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threadedComments/threadedComment5.xml" ContentType="application/vnd.ms-excel.threadedcomments+xml"/>
  <Override PartName="/xl/drawings/drawing5.xml" ContentType="application/vnd.openxmlformats-officedocument.drawing+xml"/>
  <Override PartName="/xl/comments7.xml" ContentType="application/vnd.openxmlformats-officedocument.spreadsheetml.comments+xml"/>
  <Override PartName="/xl/threadedComments/threadedComment6.xml" ContentType="application/vnd.ms-excel.threadedcomments+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threadedComments/threadedComment7.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fileSharing readOnlyRecommended="1"/>
  <workbookPr codeName="ThisWorkbook"/>
  <mc:AlternateContent xmlns:mc="http://schemas.openxmlformats.org/markup-compatibility/2006">
    <mc:Choice Requires="x15">
      <x15ac:absPath xmlns:x15ac="http://schemas.microsoft.com/office/spreadsheetml/2010/11/ac" url="\\mfeprodfps01\smithd$\Daisy\Projects\Measuring emissions guidance Aug 22\"/>
    </mc:Choice>
  </mc:AlternateContent>
  <xr:revisionPtr revIDLastSave="0" documentId="8_{07ECD390-1781-46D4-A3C3-41E1ADF6FFDE}" xr6:coauthVersionLast="47" xr6:coauthVersionMax="47" xr10:uidLastSave="{00000000-0000-0000-0000-000000000000}"/>
  <workbookProtection workbookAlgorithmName="SHA-512" workbookHashValue="v3lV875JCK7vN2E9lMm67JUKTWzb5HebZFpqY7BRgIKeyI8REw3Hh5BklrxnAwi7uKErb0eVGnLiD+Iy8MToeg==" workbookSaltValue="/gj+6BXBGTJAAkgeIPXOww==" workbookSpinCount="100000" lockStructure="1"/>
  <bookViews>
    <workbookView xWindow="-120" yWindow="-120" windowWidth="38640" windowHeight="21240" tabRatio="795" firstSheet="1" activeTab="13" xr2:uid="{00000000-000D-0000-FFFF-FFFF00000000}"/>
  </bookViews>
  <sheets>
    <sheet name="Intro" sheetId="3" r:id="rId1"/>
    <sheet name="Summary Sheet" sheetId="28" r:id="rId2"/>
    <sheet name="Fuel 2022" sheetId="30" state="hidden" r:id="rId3"/>
    <sheet name="Fuel workbook 2022" sheetId="31" r:id="rId4"/>
    <sheet name="T&amp;D losses 2022" sheetId="32" state="hidden" r:id="rId5"/>
    <sheet name="T&amp;D Losses workbook 2022" sheetId="33" r:id="rId6"/>
    <sheet name="Purchased energy 2022" sheetId="34" state="hidden" r:id="rId7"/>
    <sheet name="Purchased Energy workbook 2022" sheetId="35" r:id="rId8"/>
    <sheet name="2022 Working from home" sheetId="50" state="hidden" r:id="rId9"/>
    <sheet name="2022 Working from home workbook" sheetId="51" r:id="rId10"/>
    <sheet name="Refrigerant &amp; Other 2022" sheetId="37" state="hidden" r:id="rId11"/>
    <sheet name="Refrigerant &amp; Oth workbook 2022" sheetId="36" r:id="rId12"/>
    <sheet name="Travel 2022" sheetId="38" state="hidden" r:id="rId13"/>
    <sheet name="Travel workbook 2022" sheetId="39" r:id="rId14"/>
    <sheet name="Freight 2022" sheetId="40" state="hidden" r:id="rId15"/>
    <sheet name="Freight workbook 2022" sheetId="42" r:id="rId16"/>
    <sheet name="Wastewater 2022" sheetId="41" state="hidden" r:id="rId17"/>
    <sheet name="Wastewater workbook 2022" sheetId="43" r:id="rId18"/>
    <sheet name="Waste 2022" sheetId="53" state="hidden" r:id="rId19"/>
    <sheet name="Waste workbook 2022" sheetId="45" r:id="rId20"/>
    <sheet name="Agriculture forestry other 2022" sheetId="48" state="hidden" r:id="rId21"/>
    <sheet name="Agri Forest workbook 2022" sheetId="49" r:id="rId22"/>
    <sheet name="Conversions" sheetId="52" r:id="rId23"/>
  </sheets>
  <externalReferences>
    <externalReference r:id="rId24"/>
    <externalReference r:id="rId25"/>
  </externalReferences>
  <definedNames>
    <definedName name="Def_Pet_CH4">'Fuel 2022'!$F$47</definedName>
    <definedName name="Def_Pet_CO2">'Fuel 2022'!$E$47</definedName>
    <definedName name="Def_Pet_CO2e">'Fuel 2022'!$D$47</definedName>
    <definedName name="Def_Pet_N2O">'Fuel 2022'!$G$47</definedName>
    <definedName name="Diesel_CH4">'Fuel 2022'!$F$48</definedName>
    <definedName name="Diesel_CO2">'Fuel 2022'!$E$48</definedName>
    <definedName name="Diesel_CO2e">'Fuel 2022'!$D$48</definedName>
    <definedName name="Diesel_N2O">'Fuel 2022'!$G$48</definedName>
    <definedName name="electricity_2020_CH4">'Purchased energy 2022'!#REF!</definedName>
    <definedName name="electricity_2020_CO2">'Purchased energy 2022'!#REF!</definedName>
    <definedName name="electricity_2020_N2O">'Purchased energy 2022'!#REF!</definedName>
    <definedName name="GWP_CH4">'Refrigerant &amp; Other 2022'!$E$16</definedName>
    <definedName name="GWP_N2O">'Refrigerant &amp; Other 2022'!$E$18</definedName>
    <definedName name="Prem_Pet_CH4">'Fuel 2022'!$F$46</definedName>
    <definedName name="Prem_Pet_CO2">'Fuel 2022'!$E$46</definedName>
    <definedName name="Prem_Pet_CO2e">'Fuel 2022'!$D$46</definedName>
    <definedName name="Prem_Pet_N2O">'Fuel 2022'!$G$46</definedName>
    <definedName name="Reg_Pet_CH4">'Fuel 2022'!$F$45</definedName>
    <definedName name="Reg_Pet_CO2">'Fuel 2022'!$E$45</definedName>
    <definedName name="Reg_Pet_CO2e">'Fuel 2022'!$D$45</definedName>
    <definedName name="Reg_Pet_N2O">'Fuel 2022'!$G$45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38" i="39" l="1"/>
  <c r="G137" i="39"/>
  <c r="G136" i="39"/>
  <c r="F136" i="39"/>
  <c r="C99" i="34"/>
  <c r="D99" i="34"/>
  <c r="E99" i="34"/>
  <c r="F99" i="34"/>
  <c r="C88" i="34"/>
  <c r="D88" i="34"/>
  <c r="E88" i="34"/>
  <c r="F88" i="34"/>
  <c r="L101" i="34"/>
  <c r="H94" i="30"/>
  <c r="G94" i="30"/>
  <c r="D30" i="28"/>
  <c r="F18" i="28"/>
  <c r="E18" i="28"/>
  <c r="D18" i="28"/>
  <c r="C18" i="28"/>
  <c r="F12" i="28"/>
  <c r="E12" i="28"/>
  <c r="D12" i="28"/>
  <c r="C12" i="28"/>
  <c r="Q128" i="39"/>
  <c r="Q127" i="39"/>
  <c r="Q126" i="39"/>
  <c r="P128" i="39"/>
  <c r="P127" i="39"/>
  <c r="P126" i="39"/>
  <c r="O128" i="39"/>
  <c r="O127" i="39"/>
  <c r="O126" i="39"/>
  <c r="H128" i="39"/>
  <c r="H127" i="39"/>
  <c r="H126" i="39"/>
  <c r="G128" i="39"/>
  <c r="G127" i="39"/>
  <c r="G126" i="39"/>
  <c r="F128" i="39"/>
  <c r="F127" i="39"/>
  <c r="F126" i="39"/>
  <c r="F125" i="39"/>
  <c r="D11" i="38"/>
  <c r="D13" i="38"/>
  <c r="E13" i="51"/>
  <c r="E12" i="51"/>
  <c r="H13" i="51"/>
  <c r="H12" i="51"/>
  <c r="G13" i="51"/>
  <c r="G12" i="51"/>
  <c r="F13" i="51"/>
  <c r="F12" i="51"/>
  <c r="B69" i="34"/>
  <c r="C69" i="34"/>
  <c r="D69" i="34"/>
  <c r="E69" i="34"/>
  <c r="B70" i="34"/>
  <c r="C70" i="34"/>
  <c r="D70" i="34"/>
  <c r="E70" i="34"/>
  <c r="B71" i="34"/>
  <c r="C71" i="34"/>
  <c r="D71" i="34"/>
  <c r="E71" i="34"/>
  <c r="B72" i="34"/>
  <c r="C72" i="34"/>
  <c r="D72" i="34"/>
  <c r="E72" i="34"/>
  <c r="B74" i="34"/>
  <c r="C74" i="34"/>
  <c r="D74" i="34"/>
  <c r="E74" i="34"/>
  <c r="B75" i="34"/>
  <c r="C75" i="34"/>
  <c r="D75" i="34"/>
  <c r="E75" i="34"/>
  <c r="B76" i="34"/>
  <c r="C76" i="34"/>
  <c r="D76" i="34"/>
  <c r="E76" i="34"/>
  <c r="B77" i="34"/>
  <c r="C77" i="34"/>
  <c r="D77" i="34"/>
  <c r="E77" i="34"/>
  <c r="G88" i="34"/>
  <c r="H88" i="34"/>
  <c r="I88" i="34"/>
  <c r="J88" i="34"/>
  <c r="K88" i="34"/>
  <c r="L73" i="34"/>
  <c r="M73" i="34"/>
  <c r="L74" i="34"/>
  <c r="M74" i="34"/>
  <c r="L75" i="34"/>
  <c r="M75" i="34"/>
  <c r="L76" i="34"/>
  <c r="M76" i="34"/>
  <c r="L77" i="34"/>
  <c r="M77" i="34"/>
  <c r="L96" i="34"/>
  <c r="M96" i="34"/>
  <c r="L72" i="34"/>
  <c r="G101" i="34"/>
  <c r="H101" i="34"/>
  <c r="I101" i="34"/>
  <c r="J101" i="34"/>
  <c r="K101" i="34"/>
  <c r="B139" i="34"/>
  <c r="D139" i="34"/>
  <c r="C73" i="34" s="1"/>
  <c r="F139" i="34"/>
  <c r="D73" i="34" s="1"/>
  <c r="H139" i="34"/>
  <c r="E73" i="34" s="1"/>
  <c r="B166" i="34"/>
  <c r="B78" i="34" s="1"/>
  <c r="D166" i="34"/>
  <c r="C78" i="34" s="1"/>
  <c r="F166" i="34"/>
  <c r="D78" i="34" s="1"/>
  <c r="H166" i="34"/>
  <c r="E78" i="34" s="1"/>
  <c r="B172" i="34"/>
  <c r="C172" i="34"/>
  <c r="D172" i="34"/>
  <c r="E172" i="34"/>
  <c r="F172" i="34"/>
  <c r="G172" i="34"/>
  <c r="H172" i="34"/>
  <c r="I172" i="34"/>
  <c r="B173" i="34"/>
  <c r="C173" i="34"/>
  <c r="D173" i="34"/>
  <c r="E173" i="34"/>
  <c r="F173" i="34"/>
  <c r="G173" i="34"/>
  <c r="H173" i="34"/>
  <c r="I173" i="34"/>
  <c r="B174" i="34"/>
  <c r="C174" i="34"/>
  <c r="D174" i="34"/>
  <c r="E174" i="34"/>
  <c r="F174" i="34"/>
  <c r="G174" i="34"/>
  <c r="H174" i="34"/>
  <c r="I174" i="34"/>
  <c r="B175" i="34"/>
  <c r="C175" i="34"/>
  <c r="D175" i="34"/>
  <c r="E175" i="34"/>
  <c r="F175" i="34"/>
  <c r="G175" i="34"/>
  <c r="H175" i="34"/>
  <c r="I175" i="34"/>
  <c r="D189" i="34"/>
  <c r="E189" i="34"/>
  <c r="F189" i="34"/>
  <c r="G189" i="34"/>
  <c r="H189" i="34"/>
  <c r="I189" i="34"/>
  <c r="J189" i="34"/>
  <c r="K189" i="34"/>
  <c r="L189" i="34"/>
  <c r="D190" i="34"/>
  <c r="E190" i="34"/>
  <c r="F190" i="34"/>
  <c r="G190" i="34"/>
  <c r="H190" i="34"/>
  <c r="I190" i="34"/>
  <c r="J190" i="34"/>
  <c r="K190" i="34"/>
  <c r="L190" i="34"/>
  <c r="D191" i="34"/>
  <c r="E191" i="34"/>
  <c r="F191" i="34"/>
  <c r="G191" i="34"/>
  <c r="H191" i="34"/>
  <c r="I191" i="34"/>
  <c r="J191" i="34"/>
  <c r="K191" i="34"/>
  <c r="L191" i="34"/>
  <c r="D192" i="34"/>
  <c r="E192" i="34"/>
  <c r="F192" i="34"/>
  <c r="G192" i="34"/>
  <c r="H192" i="34"/>
  <c r="I192" i="34"/>
  <c r="J192" i="34"/>
  <c r="K192" i="34"/>
  <c r="L192" i="34"/>
  <c r="D208" i="34"/>
  <c r="E208" i="34"/>
  <c r="F208" i="34"/>
  <c r="G208" i="34"/>
  <c r="H208" i="34"/>
  <c r="D209" i="34"/>
  <c r="E209" i="34"/>
  <c r="F209" i="34"/>
  <c r="G209" i="34"/>
  <c r="H209" i="34"/>
  <c r="G197" i="34" l="1"/>
  <c r="G195" i="34"/>
  <c r="J195" i="34"/>
  <c r="L196" i="34"/>
  <c r="G196" i="34"/>
  <c r="I196" i="34"/>
  <c r="H197" i="34"/>
  <c r="G99" i="34"/>
  <c r="E197" i="34"/>
  <c r="F197" i="34"/>
  <c r="H195" i="34"/>
  <c r="F196" i="34"/>
  <c r="L197" i="34"/>
  <c r="D197" i="34"/>
  <c r="F195" i="34"/>
  <c r="K197" i="34"/>
  <c r="D196" i="34"/>
  <c r="F220" i="34"/>
  <c r="J99" i="34"/>
  <c r="E195" i="34"/>
  <c r="E196" i="34"/>
  <c r="J197" i="34"/>
  <c r="L195" i="34"/>
  <c r="G220" i="34"/>
  <c r="I197" i="34"/>
  <c r="J196" i="34"/>
  <c r="I99" i="34"/>
  <c r="H220" i="34"/>
  <c r="K196" i="34"/>
  <c r="D195" i="34"/>
  <c r="K99" i="34"/>
  <c r="D220" i="34"/>
  <c r="K195" i="34"/>
  <c r="M101" i="34"/>
  <c r="E220" i="34"/>
  <c r="H196" i="34"/>
  <c r="I195" i="34"/>
  <c r="H99" i="34"/>
  <c r="G74" i="34"/>
  <c r="G76" i="34"/>
  <c r="G78" i="34"/>
  <c r="F74" i="34"/>
  <c r="F75" i="34"/>
  <c r="F76" i="34"/>
  <c r="F77" i="34"/>
  <c r="F78" i="34"/>
  <c r="G75" i="34"/>
  <c r="G77" i="34"/>
  <c r="H74" i="34"/>
  <c r="H75" i="34"/>
  <c r="H76" i="34"/>
  <c r="H77" i="34"/>
  <c r="H78" i="34"/>
  <c r="I74" i="34"/>
  <c r="I76" i="34"/>
  <c r="I77" i="34"/>
  <c r="I78" i="34"/>
  <c r="I75" i="34"/>
  <c r="L88" i="34"/>
  <c r="L99" i="34" s="1"/>
  <c r="L80" i="34"/>
  <c r="B73" i="34"/>
  <c r="M72" i="34"/>
  <c r="B392" i="38"/>
  <c r="C392" i="38"/>
  <c r="M88" i="34" l="1"/>
  <c r="M99" i="34" s="1"/>
  <c r="G70" i="34"/>
  <c r="G72" i="34"/>
  <c r="F69" i="34"/>
  <c r="F70" i="34"/>
  <c r="F71" i="34"/>
  <c r="F72" i="34"/>
  <c r="F73" i="34"/>
  <c r="G69" i="34"/>
  <c r="G71" i="34"/>
  <c r="G73" i="34"/>
  <c r="H69" i="34"/>
  <c r="H70" i="34"/>
  <c r="H71" i="34"/>
  <c r="H72" i="34"/>
  <c r="H73" i="34"/>
  <c r="I69" i="34"/>
  <c r="I70" i="34"/>
  <c r="I71" i="34"/>
  <c r="I72" i="34"/>
  <c r="I73" i="34"/>
  <c r="M80" i="34"/>
  <c r="H103" i="39"/>
  <c r="G103" i="39"/>
  <c r="F103" i="39"/>
  <c r="H102" i="39"/>
  <c r="G102" i="39"/>
  <c r="F102" i="39"/>
  <c r="H101" i="39"/>
  <c r="G101" i="39"/>
  <c r="F101" i="39"/>
  <c r="H100" i="39"/>
  <c r="G100" i="39"/>
  <c r="F100" i="39"/>
  <c r="H99" i="39"/>
  <c r="G99" i="39"/>
  <c r="F99" i="39"/>
  <c r="H98" i="39"/>
  <c r="G98" i="39"/>
  <c r="F98" i="39"/>
  <c r="H97" i="39"/>
  <c r="G97" i="39"/>
  <c r="F97" i="39"/>
  <c r="H96" i="39"/>
  <c r="G96" i="39"/>
  <c r="F96" i="39"/>
  <c r="H95" i="39"/>
  <c r="G95" i="39"/>
  <c r="F95" i="39"/>
  <c r="H94" i="39"/>
  <c r="G94" i="39"/>
  <c r="F94" i="39"/>
  <c r="H93" i="39"/>
  <c r="G93" i="39"/>
  <c r="F93" i="39"/>
  <c r="H92" i="39"/>
  <c r="G92" i="39"/>
  <c r="F92" i="39"/>
  <c r="H91" i="39"/>
  <c r="G91" i="39"/>
  <c r="F91" i="39"/>
  <c r="H90" i="39"/>
  <c r="G90" i="39"/>
  <c r="F90" i="39"/>
  <c r="H89" i="39"/>
  <c r="H88" i="39"/>
  <c r="G89" i="39"/>
  <c r="G88" i="39"/>
  <c r="F89" i="39"/>
  <c r="F88" i="39"/>
  <c r="O136" i="39"/>
  <c r="P136" i="39"/>
  <c r="Q136" i="39"/>
  <c r="O137" i="39"/>
  <c r="P137" i="39"/>
  <c r="Q137" i="39"/>
  <c r="O138" i="39"/>
  <c r="P138" i="39"/>
  <c r="Q138" i="39"/>
  <c r="E136" i="39"/>
  <c r="H136" i="39"/>
  <c r="F137" i="39"/>
  <c r="H137" i="39"/>
  <c r="F138" i="39"/>
  <c r="H138" i="39"/>
  <c r="R30" i="39"/>
  <c r="R32" i="39"/>
  <c r="R36" i="39"/>
  <c r="R38" i="39"/>
  <c r="R40" i="39"/>
  <c r="R44" i="39"/>
  <c r="R46" i="39"/>
  <c r="R48" i="39"/>
  <c r="R52" i="39"/>
  <c r="R54" i="39"/>
  <c r="R56" i="39"/>
  <c r="R60" i="39"/>
  <c r="R62" i="39"/>
  <c r="R64" i="39"/>
  <c r="R68" i="39"/>
  <c r="R70" i="39"/>
  <c r="R72" i="39"/>
  <c r="R76" i="39"/>
  <c r="R29" i="39"/>
  <c r="R31" i="39"/>
  <c r="R33" i="39"/>
  <c r="R34" i="39"/>
  <c r="R35" i="39"/>
  <c r="R37" i="39"/>
  <c r="R39" i="39"/>
  <c r="R41" i="39"/>
  <c r="R42" i="39"/>
  <c r="R43" i="39"/>
  <c r="R45" i="39"/>
  <c r="R47" i="39"/>
  <c r="R49" i="39"/>
  <c r="R50" i="39"/>
  <c r="R51" i="39"/>
  <c r="R53" i="39"/>
  <c r="R55" i="39"/>
  <c r="R57" i="39"/>
  <c r="R58" i="39"/>
  <c r="R59" i="39"/>
  <c r="R61" i="39"/>
  <c r="R63" i="39"/>
  <c r="R65" i="39"/>
  <c r="R66" i="39"/>
  <c r="R67" i="39"/>
  <c r="R69" i="39"/>
  <c r="R71" i="39"/>
  <c r="R73" i="39"/>
  <c r="R74" i="39"/>
  <c r="R75" i="39"/>
  <c r="R77" i="39"/>
  <c r="E206" i="39"/>
  <c r="E205" i="39"/>
  <c r="E204" i="39"/>
  <c r="E203" i="39"/>
  <c r="E202" i="39"/>
  <c r="E201" i="39"/>
  <c r="E200" i="39"/>
  <c r="E199" i="39"/>
  <c r="E198" i="39"/>
  <c r="E197" i="39"/>
  <c r="E196" i="39"/>
  <c r="E195" i="39"/>
  <c r="E194" i="39"/>
  <c r="E193" i="39"/>
  <c r="E192" i="39"/>
  <c r="E191" i="39"/>
  <c r="E190" i="39"/>
  <c r="E189" i="39"/>
  <c r="E188" i="39"/>
  <c r="E187" i="39"/>
  <c r="E186" i="39"/>
  <c r="E185" i="39"/>
  <c r="E184" i="39"/>
  <c r="E183" i="39"/>
  <c r="E182" i="39"/>
  <c r="E181" i="39"/>
  <c r="E180" i="39"/>
  <c r="E179" i="39"/>
  <c r="E178" i="39"/>
  <c r="E177" i="39"/>
  <c r="E176" i="39"/>
  <c r="E175" i="39"/>
  <c r="E174" i="39"/>
  <c r="E173" i="39"/>
  <c r="E172" i="39"/>
  <c r="E171" i="39"/>
  <c r="E170" i="39"/>
  <c r="E169" i="39"/>
  <c r="E168" i="39"/>
  <c r="E167" i="39"/>
  <c r="E166" i="39"/>
  <c r="E165" i="39"/>
  <c r="E164" i="39"/>
  <c r="E163" i="39"/>
  <c r="E162" i="39"/>
  <c r="E161" i="39"/>
  <c r="E160" i="39"/>
  <c r="E159" i="39"/>
  <c r="E158" i="39"/>
  <c r="E157" i="39"/>
  <c r="Q152" i="39"/>
  <c r="P152" i="39"/>
  <c r="O152" i="39"/>
  <c r="H152" i="39"/>
  <c r="G152" i="39"/>
  <c r="F152" i="39"/>
  <c r="Q151" i="39"/>
  <c r="P151" i="39"/>
  <c r="O151" i="39"/>
  <c r="H151" i="39"/>
  <c r="G151" i="39"/>
  <c r="F151" i="39"/>
  <c r="Q150" i="39"/>
  <c r="P150" i="39"/>
  <c r="O150" i="39"/>
  <c r="H150" i="39"/>
  <c r="G150" i="39"/>
  <c r="F150" i="39"/>
  <c r="Q149" i="39"/>
  <c r="P149" i="39"/>
  <c r="O149" i="39"/>
  <c r="H149" i="39"/>
  <c r="G149" i="39"/>
  <c r="F149" i="39"/>
  <c r="Q148" i="39"/>
  <c r="P148" i="39"/>
  <c r="O148" i="39"/>
  <c r="H148" i="39"/>
  <c r="G148" i="39"/>
  <c r="F148" i="39"/>
  <c r="Q147" i="39"/>
  <c r="P147" i="39"/>
  <c r="O147" i="39"/>
  <c r="H147" i="39"/>
  <c r="G147" i="39"/>
  <c r="F147" i="39"/>
  <c r="Q146" i="39"/>
  <c r="P146" i="39"/>
  <c r="O146" i="39"/>
  <c r="H146" i="39"/>
  <c r="G146" i="39"/>
  <c r="F146" i="39"/>
  <c r="Q145" i="39"/>
  <c r="P145" i="39"/>
  <c r="O145" i="39"/>
  <c r="H145" i="39"/>
  <c r="G145" i="39"/>
  <c r="F145" i="39"/>
  <c r="Q135" i="39"/>
  <c r="P135" i="39"/>
  <c r="O135" i="39"/>
  <c r="H135" i="39"/>
  <c r="G135" i="39"/>
  <c r="F135" i="39"/>
  <c r="Q125" i="39"/>
  <c r="P125" i="39"/>
  <c r="O125" i="39"/>
  <c r="H125" i="39"/>
  <c r="G125" i="39"/>
  <c r="H117" i="39"/>
  <c r="G117" i="39"/>
  <c r="F117" i="39"/>
  <c r="H116" i="39"/>
  <c r="G116" i="39"/>
  <c r="F116" i="39"/>
  <c r="H115" i="39"/>
  <c r="G115" i="39"/>
  <c r="F115" i="39"/>
  <c r="H114" i="39"/>
  <c r="G114" i="39"/>
  <c r="F114" i="39"/>
  <c r="H113" i="39"/>
  <c r="G113" i="39"/>
  <c r="F113" i="39"/>
  <c r="H112" i="39"/>
  <c r="G112" i="39"/>
  <c r="F112" i="39"/>
  <c r="H111" i="39"/>
  <c r="G111" i="39"/>
  <c r="F111" i="39"/>
  <c r="H110" i="39"/>
  <c r="G110" i="39"/>
  <c r="F110" i="39"/>
  <c r="H109" i="39"/>
  <c r="G109" i="39"/>
  <c r="F109" i="39"/>
  <c r="H87" i="39"/>
  <c r="G87" i="39"/>
  <c r="F87" i="39"/>
  <c r="H86" i="39"/>
  <c r="G86" i="39"/>
  <c r="F86" i="39"/>
  <c r="H85" i="39"/>
  <c r="G85" i="39"/>
  <c r="F85" i="39"/>
  <c r="H84" i="39"/>
  <c r="G84" i="39"/>
  <c r="F84" i="39"/>
  <c r="Q77" i="39"/>
  <c r="P77" i="39"/>
  <c r="M77" i="39"/>
  <c r="L77" i="39"/>
  <c r="K77" i="39"/>
  <c r="Q76" i="39"/>
  <c r="P76" i="39"/>
  <c r="M76" i="39"/>
  <c r="L76" i="39"/>
  <c r="K76" i="39"/>
  <c r="Q75" i="39"/>
  <c r="P75" i="39"/>
  <c r="M75" i="39"/>
  <c r="L75" i="39"/>
  <c r="K75" i="39"/>
  <c r="H75" i="39"/>
  <c r="G75" i="39"/>
  <c r="F75" i="39"/>
  <c r="Q74" i="39"/>
  <c r="P74" i="39"/>
  <c r="M74" i="39"/>
  <c r="L74" i="39"/>
  <c r="K74" i="39"/>
  <c r="H74" i="39"/>
  <c r="G74" i="39"/>
  <c r="F74" i="39"/>
  <c r="Q73" i="39"/>
  <c r="P73" i="39"/>
  <c r="M73" i="39"/>
  <c r="L73" i="39"/>
  <c r="K73" i="39"/>
  <c r="Q72" i="39"/>
  <c r="P72" i="39"/>
  <c r="M72" i="39"/>
  <c r="L72" i="39"/>
  <c r="K72" i="39"/>
  <c r="Q71" i="39"/>
  <c r="P71" i="39"/>
  <c r="M71" i="39"/>
  <c r="L71" i="39"/>
  <c r="K71" i="39"/>
  <c r="Q70" i="39"/>
  <c r="P70" i="39"/>
  <c r="M70" i="39"/>
  <c r="L70" i="39"/>
  <c r="K70" i="39"/>
  <c r="Q69" i="39"/>
  <c r="P69" i="39"/>
  <c r="M69" i="39"/>
  <c r="L69" i="39"/>
  <c r="K69" i="39"/>
  <c r="Q68" i="39"/>
  <c r="P68" i="39"/>
  <c r="M68" i="39"/>
  <c r="L68" i="39"/>
  <c r="K68" i="39"/>
  <c r="Q67" i="39"/>
  <c r="P67" i="39"/>
  <c r="M67" i="39"/>
  <c r="L67" i="39"/>
  <c r="K67" i="39"/>
  <c r="Q66" i="39"/>
  <c r="P66" i="39"/>
  <c r="M66" i="39"/>
  <c r="L66" i="39"/>
  <c r="K66" i="39"/>
  <c r="Q65" i="39"/>
  <c r="P65" i="39"/>
  <c r="M65" i="39"/>
  <c r="L65" i="39"/>
  <c r="K65" i="39"/>
  <c r="Q64" i="39"/>
  <c r="P64" i="39"/>
  <c r="M64" i="39"/>
  <c r="L64" i="39"/>
  <c r="K64" i="39"/>
  <c r="Q63" i="39"/>
  <c r="P63" i="39"/>
  <c r="M63" i="39"/>
  <c r="L63" i="39"/>
  <c r="K63" i="39"/>
  <c r="Q62" i="39"/>
  <c r="P62" i="39"/>
  <c r="M62" i="39"/>
  <c r="L62" i="39"/>
  <c r="K62" i="39"/>
  <c r="Q61" i="39"/>
  <c r="P61" i="39"/>
  <c r="M61" i="39"/>
  <c r="L61" i="39"/>
  <c r="K61" i="39"/>
  <c r="Q60" i="39"/>
  <c r="P60" i="39"/>
  <c r="M60" i="39"/>
  <c r="L60" i="39"/>
  <c r="K60" i="39"/>
  <c r="Q59" i="39"/>
  <c r="P59" i="39"/>
  <c r="M59" i="39"/>
  <c r="L59" i="39"/>
  <c r="K59" i="39"/>
  <c r="Q58" i="39"/>
  <c r="P58" i="39"/>
  <c r="M58" i="39"/>
  <c r="L58" i="39"/>
  <c r="K58" i="39"/>
  <c r="Q57" i="39"/>
  <c r="P57" i="39"/>
  <c r="M57" i="39"/>
  <c r="L57" i="39"/>
  <c r="K57" i="39"/>
  <c r="Q56" i="39"/>
  <c r="P56" i="39"/>
  <c r="M56" i="39"/>
  <c r="L56" i="39"/>
  <c r="K56" i="39"/>
  <c r="Q55" i="39"/>
  <c r="P55" i="39"/>
  <c r="M55" i="39"/>
  <c r="L55" i="39"/>
  <c r="K55" i="39"/>
  <c r="Q54" i="39"/>
  <c r="P54" i="39"/>
  <c r="M54" i="39"/>
  <c r="L54" i="39"/>
  <c r="K54" i="39"/>
  <c r="Q53" i="39"/>
  <c r="P53" i="39"/>
  <c r="M53" i="39"/>
  <c r="L53" i="39"/>
  <c r="K53" i="39"/>
  <c r="Q52" i="39"/>
  <c r="P52" i="39"/>
  <c r="M52" i="39"/>
  <c r="L52" i="39"/>
  <c r="K52" i="39"/>
  <c r="Q51" i="39"/>
  <c r="P51" i="39"/>
  <c r="M51" i="39"/>
  <c r="L51" i="39"/>
  <c r="K51" i="39"/>
  <c r="Q50" i="39"/>
  <c r="P50" i="39"/>
  <c r="M50" i="39"/>
  <c r="L50" i="39"/>
  <c r="K50" i="39"/>
  <c r="Q49" i="39"/>
  <c r="P49" i="39"/>
  <c r="M49" i="39"/>
  <c r="L49" i="39"/>
  <c r="K49" i="39"/>
  <c r="Q48" i="39"/>
  <c r="P48" i="39"/>
  <c r="M48" i="39"/>
  <c r="L48" i="39"/>
  <c r="K48" i="39"/>
  <c r="Q47" i="39"/>
  <c r="P47" i="39"/>
  <c r="M47" i="39"/>
  <c r="L47" i="39"/>
  <c r="K47" i="39"/>
  <c r="Q46" i="39"/>
  <c r="P46" i="39"/>
  <c r="M46" i="39"/>
  <c r="L46" i="39"/>
  <c r="K46" i="39"/>
  <c r="Q45" i="39"/>
  <c r="P45" i="39"/>
  <c r="M45" i="39"/>
  <c r="L45" i="39"/>
  <c r="K45" i="39"/>
  <c r="Q44" i="39"/>
  <c r="P44" i="39"/>
  <c r="M44" i="39"/>
  <c r="L44" i="39"/>
  <c r="K44" i="39"/>
  <c r="Q43" i="39"/>
  <c r="P43" i="39"/>
  <c r="M43" i="39"/>
  <c r="L43" i="39"/>
  <c r="K43" i="39"/>
  <c r="H43" i="39"/>
  <c r="G43" i="39"/>
  <c r="F43" i="39"/>
  <c r="Q42" i="39"/>
  <c r="P42" i="39"/>
  <c r="M42" i="39"/>
  <c r="L42" i="39"/>
  <c r="K42" i="39"/>
  <c r="H42" i="39"/>
  <c r="G42" i="39"/>
  <c r="F42" i="39"/>
  <c r="Q41" i="39"/>
  <c r="P41" i="39"/>
  <c r="M41" i="39"/>
  <c r="L41" i="39"/>
  <c r="K41" i="39"/>
  <c r="H41" i="39"/>
  <c r="G41" i="39"/>
  <c r="F41" i="39"/>
  <c r="Q40" i="39"/>
  <c r="P40" i="39"/>
  <c r="M40" i="39"/>
  <c r="L40" i="39"/>
  <c r="K40" i="39"/>
  <c r="H40" i="39"/>
  <c r="G40" i="39"/>
  <c r="F40" i="39"/>
  <c r="Q39" i="39"/>
  <c r="P39" i="39"/>
  <c r="M39" i="39"/>
  <c r="L39" i="39"/>
  <c r="K39" i="39"/>
  <c r="H39" i="39"/>
  <c r="G39" i="39"/>
  <c r="F39" i="39"/>
  <c r="Q38" i="39"/>
  <c r="P38" i="39"/>
  <c r="M38" i="39"/>
  <c r="L38" i="39"/>
  <c r="K38" i="39"/>
  <c r="H38" i="39"/>
  <c r="G38" i="39"/>
  <c r="F38" i="39"/>
  <c r="Q37" i="39"/>
  <c r="P37" i="39"/>
  <c r="M37" i="39"/>
  <c r="L37" i="39"/>
  <c r="K37" i="39"/>
  <c r="H37" i="39"/>
  <c r="G37" i="39"/>
  <c r="F37" i="39"/>
  <c r="Q36" i="39"/>
  <c r="P36" i="39"/>
  <c r="M36" i="39"/>
  <c r="L36" i="39"/>
  <c r="K36" i="39"/>
  <c r="H36" i="39"/>
  <c r="G36" i="39"/>
  <c r="F36" i="39"/>
  <c r="Q35" i="39"/>
  <c r="P35" i="39"/>
  <c r="M35" i="39"/>
  <c r="L35" i="39"/>
  <c r="K35" i="39"/>
  <c r="H35" i="39"/>
  <c r="G35" i="39"/>
  <c r="F35" i="39"/>
  <c r="Q34" i="39"/>
  <c r="P34" i="39"/>
  <c r="M34" i="39"/>
  <c r="L34" i="39"/>
  <c r="K34" i="39"/>
  <c r="H34" i="39"/>
  <c r="G34" i="39"/>
  <c r="F34" i="39"/>
  <c r="Q33" i="39"/>
  <c r="P33" i="39"/>
  <c r="M33" i="39"/>
  <c r="L33" i="39"/>
  <c r="K33" i="39"/>
  <c r="H33" i="39"/>
  <c r="G33" i="39"/>
  <c r="F33" i="39"/>
  <c r="Q32" i="39"/>
  <c r="P32" i="39"/>
  <c r="M32" i="39"/>
  <c r="L32" i="39"/>
  <c r="K32" i="39"/>
  <c r="H32" i="39"/>
  <c r="G32" i="39"/>
  <c r="F32" i="39"/>
  <c r="Q31" i="39"/>
  <c r="P31" i="39"/>
  <c r="M31" i="39"/>
  <c r="L31" i="39"/>
  <c r="K31" i="39"/>
  <c r="H31" i="39"/>
  <c r="G31" i="39"/>
  <c r="F31" i="39"/>
  <c r="Q30" i="39"/>
  <c r="P30" i="39"/>
  <c r="M30" i="39"/>
  <c r="L30" i="39"/>
  <c r="K30" i="39"/>
  <c r="H30" i="39"/>
  <c r="G30" i="39"/>
  <c r="F30" i="39"/>
  <c r="Q29" i="39"/>
  <c r="P29" i="39"/>
  <c r="M29" i="39"/>
  <c r="L29" i="39"/>
  <c r="K29" i="39"/>
  <c r="H29" i="39"/>
  <c r="G29" i="39"/>
  <c r="F29" i="39"/>
  <c r="H22" i="39"/>
  <c r="G22" i="39"/>
  <c r="F22" i="39"/>
  <c r="H21" i="39"/>
  <c r="G21" i="39"/>
  <c r="F21" i="39"/>
  <c r="H20" i="39"/>
  <c r="G20" i="39"/>
  <c r="F20" i="39"/>
  <c r="H19" i="39"/>
  <c r="G19" i="39"/>
  <c r="F19" i="39"/>
  <c r="H18" i="39"/>
  <c r="G18" i="39"/>
  <c r="F18" i="39"/>
  <c r="H17" i="39"/>
  <c r="G17" i="39"/>
  <c r="F17" i="39"/>
  <c r="H16" i="39"/>
  <c r="G16" i="39"/>
  <c r="F16" i="39"/>
  <c r="F662" i="38"/>
  <c r="F661" i="38"/>
  <c r="F660" i="38"/>
  <c r="F659" i="38"/>
  <c r="F658" i="38"/>
  <c r="F657" i="38"/>
  <c r="F656" i="38"/>
  <c r="F655" i="38"/>
  <c r="F654" i="38"/>
  <c r="F653" i="38"/>
  <c r="F652" i="38"/>
  <c r="F651" i="38"/>
  <c r="B644" i="38"/>
  <c r="B643" i="38"/>
  <c r="B642" i="38"/>
  <c r="E598" i="38" s="1"/>
  <c r="D598" i="38" s="1"/>
  <c r="D639" i="38"/>
  <c r="D638" i="38"/>
  <c r="B632" i="38"/>
  <c r="B631" i="38"/>
  <c r="B630" i="38"/>
  <c r="B629" i="38"/>
  <c r="J614" i="38"/>
  <c r="I614" i="38"/>
  <c r="K614" i="38" s="1"/>
  <c r="K613" i="38"/>
  <c r="J613" i="38"/>
  <c r="I613" i="38"/>
  <c r="K612" i="38"/>
  <c r="J612" i="38"/>
  <c r="J617" i="38" s="1"/>
  <c r="F590" i="38" s="1"/>
  <c r="I612" i="38"/>
  <c r="I617" i="38" s="1"/>
  <c r="E590" i="38" s="1"/>
  <c r="E597" i="38"/>
  <c r="G596" i="38"/>
  <c r="F596" i="38"/>
  <c r="E596" i="38"/>
  <c r="D596" i="38" s="1"/>
  <c r="G592" i="38"/>
  <c r="F592" i="38"/>
  <c r="E592" i="38"/>
  <c r="G591" i="38"/>
  <c r="F591" i="38"/>
  <c r="E591" i="38"/>
  <c r="D591" i="38" s="1"/>
  <c r="C439" i="38"/>
  <c r="C438" i="38"/>
  <c r="C437" i="38"/>
  <c r="C436" i="38"/>
  <c r="C435" i="38"/>
  <c r="EE432" i="38"/>
  <c r="ED432" i="38"/>
  <c r="DV432" i="38"/>
  <c r="DN432" i="38"/>
  <c r="DG432" i="38"/>
  <c r="CY432" i="38"/>
  <c r="CQ432" i="38"/>
  <c r="CP432" i="38"/>
  <c r="BS432" i="38"/>
  <c r="BR432" i="38"/>
  <c r="BB432" i="38"/>
  <c r="AU432" i="38"/>
  <c r="AE432" i="38"/>
  <c r="AD432" i="38"/>
  <c r="G432" i="38"/>
  <c r="F432" i="38"/>
  <c r="EI431" i="38"/>
  <c r="EH431" i="38"/>
  <c r="EG431" i="38"/>
  <c r="EF431" i="38"/>
  <c r="EE431" i="38"/>
  <c r="ED431" i="38"/>
  <c r="EC431" i="38"/>
  <c r="EB431" i="38"/>
  <c r="EA431" i="38"/>
  <c r="DZ431" i="38"/>
  <c r="DY431" i="38"/>
  <c r="DX431" i="38"/>
  <c r="DW431" i="38"/>
  <c r="DV431" i="38"/>
  <c r="DU431" i="38"/>
  <c r="DT431" i="38"/>
  <c r="DS431" i="38"/>
  <c r="DR431" i="38"/>
  <c r="DQ431" i="38"/>
  <c r="DP431" i="38"/>
  <c r="DO431" i="38"/>
  <c r="DN431" i="38"/>
  <c r="DM431" i="38"/>
  <c r="DL431" i="38"/>
  <c r="DK431" i="38"/>
  <c r="DJ431" i="38"/>
  <c r="DI431" i="38"/>
  <c r="DH431" i="38"/>
  <c r="DG431" i="38"/>
  <c r="DF431" i="38"/>
  <c r="DE431" i="38"/>
  <c r="DD431" i="38"/>
  <c r="DC431" i="38"/>
  <c r="DB431" i="38"/>
  <c r="DA431" i="38"/>
  <c r="CZ431" i="38"/>
  <c r="CY431" i="38"/>
  <c r="CX431" i="38"/>
  <c r="CW431" i="38"/>
  <c r="CV431" i="38"/>
  <c r="CU431" i="38"/>
  <c r="CT431" i="38"/>
  <c r="CS431" i="38"/>
  <c r="CR431" i="38"/>
  <c r="CQ431" i="38"/>
  <c r="CP431" i="38"/>
  <c r="CO431" i="38"/>
  <c r="CN431" i="38"/>
  <c r="CM431" i="38"/>
  <c r="CL431" i="38"/>
  <c r="CK431" i="38"/>
  <c r="CJ431" i="38"/>
  <c r="CI431" i="38"/>
  <c r="CH431" i="38"/>
  <c r="CG431" i="38"/>
  <c r="CF431" i="38"/>
  <c r="CE431" i="38"/>
  <c r="CD431" i="38"/>
  <c r="CC431" i="38"/>
  <c r="CB431" i="38"/>
  <c r="CA431" i="38"/>
  <c r="BZ431" i="38"/>
  <c r="BY431" i="38"/>
  <c r="BX431" i="38"/>
  <c r="BW431" i="38"/>
  <c r="BV431" i="38"/>
  <c r="BU431" i="38"/>
  <c r="BT431" i="38"/>
  <c r="BS431" i="38"/>
  <c r="BR431" i="38"/>
  <c r="BQ431" i="38"/>
  <c r="BP431" i="38"/>
  <c r="BO431" i="38"/>
  <c r="BN431" i="38"/>
  <c r="BM431" i="38"/>
  <c r="BL431" i="38"/>
  <c r="BK431" i="38"/>
  <c r="BJ431" i="38"/>
  <c r="BI431" i="38"/>
  <c r="BH431" i="38"/>
  <c r="BG431" i="38"/>
  <c r="BF431" i="38"/>
  <c r="BE431" i="38"/>
  <c r="BD431" i="38"/>
  <c r="BC431" i="38"/>
  <c r="BB431" i="38"/>
  <c r="BA431" i="38"/>
  <c r="AZ431" i="38"/>
  <c r="AY431" i="38"/>
  <c r="AX431" i="38"/>
  <c r="AW431" i="38"/>
  <c r="AV431" i="38"/>
  <c r="AU431" i="38"/>
  <c r="AT431" i="38"/>
  <c r="AS431" i="38"/>
  <c r="AR431" i="38"/>
  <c r="AQ431" i="38"/>
  <c r="AP431" i="38"/>
  <c r="AO431" i="38"/>
  <c r="AN431" i="38"/>
  <c r="AM431" i="38"/>
  <c r="AL431" i="38"/>
  <c r="AK431" i="38"/>
  <c r="AJ431" i="38"/>
  <c r="AI431" i="38"/>
  <c r="AH431" i="38"/>
  <c r="AG431" i="38"/>
  <c r="AF431" i="38"/>
  <c r="AE431" i="38"/>
  <c r="AD431" i="38"/>
  <c r="AC431" i="38"/>
  <c r="AB431" i="38"/>
  <c r="AA431" i="38"/>
  <c r="Z431" i="38"/>
  <c r="Y431" i="38"/>
  <c r="X431" i="38"/>
  <c r="W431" i="38"/>
  <c r="V431" i="38"/>
  <c r="U431" i="38"/>
  <c r="T431" i="38"/>
  <c r="S431" i="38"/>
  <c r="R431" i="38"/>
  <c r="Q431" i="38"/>
  <c r="P431" i="38"/>
  <c r="O431" i="38"/>
  <c r="N431" i="38"/>
  <c r="M431" i="38"/>
  <c r="L431" i="38"/>
  <c r="K431" i="38"/>
  <c r="J431" i="38"/>
  <c r="I431" i="38"/>
  <c r="H431" i="38"/>
  <c r="G431" i="38"/>
  <c r="F431" i="38"/>
  <c r="E431" i="38"/>
  <c r="D431" i="38"/>
  <c r="C431" i="38"/>
  <c r="B431" i="38"/>
  <c r="EI430" i="38"/>
  <c r="EH430" i="38"/>
  <c r="EG430" i="38"/>
  <c r="EF430" i="38"/>
  <c r="EE430" i="38"/>
  <c r="ED430" i="38"/>
  <c r="EC430" i="38"/>
  <c r="EB430" i="38"/>
  <c r="EA430" i="38"/>
  <c r="DZ430" i="38"/>
  <c r="DY430" i="38"/>
  <c r="DX430" i="38"/>
  <c r="DW430" i="38"/>
  <c r="DV430" i="38"/>
  <c r="DU430" i="38"/>
  <c r="DT430" i="38"/>
  <c r="DS430" i="38"/>
  <c r="DR430" i="38"/>
  <c r="DQ430" i="38"/>
  <c r="DP430" i="38"/>
  <c r="DO430" i="38"/>
  <c r="DN430" i="38"/>
  <c r="DM430" i="38"/>
  <c r="DL430" i="38"/>
  <c r="DK430" i="38"/>
  <c r="DJ430" i="38"/>
  <c r="DI430" i="38"/>
  <c r="DH430" i="38"/>
  <c r="DG430" i="38"/>
  <c r="DF430" i="38"/>
  <c r="DE430" i="38"/>
  <c r="DD430" i="38"/>
  <c r="DC430" i="38"/>
  <c r="DB430" i="38"/>
  <c r="DA430" i="38"/>
  <c r="CZ430" i="38"/>
  <c r="CY430" i="38"/>
  <c r="CX430" i="38"/>
  <c r="CW430" i="38"/>
  <c r="CV430" i="38"/>
  <c r="CU430" i="38"/>
  <c r="CT430" i="38"/>
  <c r="CS430" i="38"/>
  <c r="CR430" i="38"/>
  <c r="CQ430" i="38"/>
  <c r="CP430" i="38"/>
  <c r="CO430" i="38"/>
  <c r="CN430" i="38"/>
  <c r="CM430" i="38"/>
  <c r="CL430" i="38"/>
  <c r="CK430" i="38"/>
  <c r="CJ430" i="38"/>
  <c r="CI430" i="38"/>
  <c r="CH430" i="38"/>
  <c r="CG430" i="38"/>
  <c r="CF430" i="38"/>
  <c r="CE430" i="38"/>
  <c r="CD430" i="38"/>
  <c r="CC430" i="38"/>
  <c r="CB430" i="38"/>
  <c r="CA430" i="38"/>
  <c r="BZ430" i="38"/>
  <c r="BY430" i="38"/>
  <c r="BX430" i="38"/>
  <c r="BW430" i="38"/>
  <c r="BV430" i="38"/>
  <c r="BU430" i="38"/>
  <c r="BT430" i="38"/>
  <c r="BS430" i="38"/>
  <c r="BR430" i="38"/>
  <c r="BQ430" i="38"/>
  <c r="BP430" i="38"/>
  <c r="BO430" i="38"/>
  <c r="BN430" i="38"/>
  <c r="BM430" i="38"/>
  <c r="BL430" i="38"/>
  <c r="BK430" i="38"/>
  <c r="BJ430" i="38"/>
  <c r="BI430" i="38"/>
  <c r="BH430" i="38"/>
  <c r="BG430" i="38"/>
  <c r="BF430" i="38"/>
  <c r="BE430" i="38"/>
  <c r="BD430" i="38"/>
  <c r="BC430" i="38"/>
  <c r="BB430" i="38"/>
  <c r="BA430" i="38"/>
  <c r="AZ430" i="38"/>
  <c r="AY430" i="38"/>
  <c r="AX430" i="38"/>
  <c r="AW430" i="38"/>
  <c r="AV430" i="38"/>
  <c r="AU430" i="38"/>
  <c r="AT430" i="38"/>
  <c r="AS430" i="38"/>
  <c r="AR430" i="38"/>
  <c r="AQ430" i="38"/>
  <c r="AP430" i="38"/>
  <c r="AO430" i="38"/>
  <c r="AN430" i="38"/>
  <c r="AM430" i="38"/>
  <c r="AL430" i="38"/>
  <c r="AK430" i="38"/>
  <c r="AJ430" i="38"/>
  <c r="AI430" i="38"/>
  <c r="AH430" i="38"/>
  <c r="AG430" i="38"/>
  <c r="AF430" i="38"/>
  <c r="AE430" i="38"/>
  <c r="AD430" i="38"/>
  <c r="AC430" i="38"/>
  <c r="AB430" i="38"/>
  <c r="AA430" i="38"/>
  <c r="Z430" i="38"/>
  <c r="Y430" i="38"/>
  <c r="X430" i="38"/>
  <c r="W430" i="38"/>
  <c r="V430" i="38"/>
  <c r="U430" i="38"/>
  <c r="T430" i="38"/>
  <c r="S430" i="38"/>
  <c r="R430" i="38"/>
  <c r="Q430" i="38"/>
  <c r="P430" i="38"/>
  <c r="O430" i="38"/>
  <c r="N430" i="38"/>
  <c r="M430" i="38"/>
  <c r="L430" i="38"/>
  <c r="K430" i="38"/>
  <c r="J430" i="38"/>
  <c r="I430" i="38"/>
  <c r="H430" i="38"/>
  <c r="G430" i="38"/>
  <c r="F430" i="38"/>
  <c r="E430" i="38"/>
  <c r="D430" i="38"/>
  <c r="C430" i="38"/>
  <c r="B430" i="38"/>
  <c r="EI429" i="38"/>
  <c r="EI432" i="38" s="1"/>
  <c r="EH429" i="38"/>
  <c r="EH432" i="38" s="1"/>
  <c r="EG429" i="38"/>
  <c r="EG432" i="38" s="1"/>
  <c r="EF429" i="38"/>
  <c r="EF432" i="38" s="1"/>
  <c r="EE429" i="38"/>
  <c r="ED429" i="38"/>
  <c r="EC429" i="38"/>
  <c r="EC432" i="38" s="1"/>
  <c r="EB429" i="38"/>
  <c r="EB432" i="38" s="1"/>
  <c r="EA429" i="38"/>
  <c r="EA432" i="38" s="1"/>
  <c r="DZ429" i="38"/>
  <c r="DZ432" i="38" s="1"/>
  <c r="DY429" i="38"/>
  <c r="DY432" i="38" s="1"/>
  <c r="DX429" i="38"/>
  <c r="DX432" i="38" s="1"/>
  <c r="DW429" i="38"/>
  <c r="DW432" i="38" s="1"/>
  <c r="DV429" i="38"/>
  <c r="DU429" i="38"/>
  <c r="DU432" i="38" s="1"/>
  <c r="DT429" i="38"/>
  <c r="DT432" i="38" s="1"/>
  <c r="DS429" i="38"/>
  <c r="DS432" i="38" s="1"/>
  <c r="DR429" i="38"/>
  <c r="DR432" i="38" s="1"/>
  <c r="DQ429" i="38"/>
  <c r="DQ432" i="38" s="1"/>
  <c r="DP429" i="38"/>
  <c r="DP432" i="38" s="1"/>
  <c r="DO429" i="38"/>
  <c r="DO432" i="38" s="1"/>
  <c r="DN429" i="38"/>
  <c r="DM429" i="38"/>
  <c r="DM432" i="38" s="1"/>
  <c r="DL429" i="38"/>
  <c r="DL432" i="38" s="1"/>
  <c r="DK429" i="38"/>
  <c r="DK432" i="38" s="1"/>
  <c r="DJ429" i="38"/>
  <c r="DJ432" i="38" s="1"/>
  <c r="DI429" i="38"/>
  <c r="DI432" i="38" s="1"/>
  <c r="DH429" i="38"/>
  <c r="DH432" i="38" s="1"/>
  <c r="DG429" i="38"/>
  <c r="DF429" i="38"/>
  <c r="DF432" i="38" s="1"/>
  <c r="DE429" i="38"/>
  <c r="DE432" i="38" s="1"/>
  <c r="DD429" i="38"/>
  <c r="DD432" i="38" s="1"/>
  <c r="DC429" i="38"/>
  <c r="DC432" i="38" s="1"/>
  <c r="DB429" i="38"/>
  <c r="DB432" i="38" s="1"/>
  <c r="DA429" i="38"/>
  <c r="DA432" i="38" s="1"/>
  <c r="CZ429" i="38"/>
  <c r="CZ432" i="38" s="1"/>
  <c r="CY429" i="38"/>
  <c r="CX429" i="38"/>
  <c r="CX432" i="38" s="1"/>
  <c r="CW429" i="38"/>
  <c r="CW432" i="38" s="1"/>
  <c r="CV429" i="38"/>
  <c r="CV432" i="38" s="1"/>
  <c r="CU429" i="38"/>
  <c r="CU432" i="38" s="1"/>
  <c r="CT429" i="38"/>
  <c r="CT432" i="38" s="1"/>
  <c r="CS429" i="38"/>
  <c r="CS432" i="38" s="1"/>
  <c r="CR429" i="38"/>
  <c r="CR432" i="38" s="1"/>
  <c r="CQ429" i="38"/>
  <c r="CP429" i="38"/>
  <c r="CO429" i="38"/>
  <c r="CO432" i="38" s="1"/>
  <c r="CN429" i="38"/>
  <c r="CN432" i="38" s="1"/>
  <c r="CM429" i="38"/>
  <c r="CM432" i="38" s="1"/>
  <c r="CL429" i="38"/>
  <c r="CL432" i="38" s="1"/>
  <c r="CK429" i="38"/>
  <c r="CK432" i="38" s="1"/>
  <c r="CJ429" i="38"/>
  <c r="CJ432" i="38" s="1"/>
  <c r="CI429" i="38"/>
  <c r="CI432" i="38" s="1"/>
  <c r="CH429" i="38"/>
  <c r="CH432" i="38" s="1"/>
  <c r="CG429" i="38"/>
  <c r="CG432" i="38" s="1"/>
  <c r="CF429" i="38"/>
  <c r="CF432" i="38" s="1"/>
  <c r="CE429" i="38"/>
  <c r="CE432" i="38" s="1"/>
  <c r="CD429" i="38"/>
  <c r="CD432" i="38" s="1"/>
  <c r="CC429" i="38"/>
  <c r="CC432" i="38" s="1"/>
  <c r="CB429" i="38"/>
  <c r="CB432" i="38" s="1"/>
  <c r="CA429" i="38"/>
  <c r="CA432" i="38" s="1"/>
  <c r="BZ429" i="38"/>
  <c r="BZ432" i="38" s="1"/>
  <c r="BY429" i="38"/>
  <c r="BY432" i="38" s="1"/>
  <c r="BX429" i="38"/>
  <c r="BX432" i="38" s="1"/>
  <c r="BW429" i="38"/>
  <c r="BW432" i="38" s="1"/>
  <c r="BV429" i="38"/>
  <c r="BV432" i="38" s="1"/>
  <c r="BU429" i="38"/>
  <c r="BU432" i="38" s="1"/>
  <c r="BT429" i="38"/>
  <c r="BT432" i="38" s="1"/>
  <c r="BS429" i="38"/>
  <c r="BR429" i="38"/>
  <c r="BQ429" i="38"/>
  <c r="BQ432" i="38" s="1"/>
  <c r="BP429" i="38"/>
  <c r="BP432" i="38" s="1"/>
  <c r="BO429" i="38"/>
  <c r="BO432" i="38" s="1"/>
  <c r="BN429" i="38"/>
  <c r="BN432" i="38" s="1"/>
  <c r="BM429" i="38"/>
  <c r="BM432" i="38" s="1"/>
  <c r="BL429" i="38"/>
  <c r="BL432" i="38" s="1"/>
  <c r="BK429" i="38"/>
  <c r="BK432" i="38" s="1"/>
  <c r="BJ429" i="38"/>
  <c r="BJ432" i="38" s="1"/>
  <c r="BI429" i="38"/>
  <c r="BI432" i="38" s="1"/>
  <c r="BH429" i="38"/>
  <c r="BH432" i="38" s="1"/>
  <c r="BG429" i="38"/>
  <c r="BG432" i="38" s="1"/>
  <c r="BF429" i="38"/>
  <c r="BF432" i="38" s="1"/>
  <c r="BE429" i="38"/>
  <c r="BE432" i="38" s="1"/>
  <c r="BD429" i="38"/>
  <c r="BD432" i="38" s="1"/>
  <c r="BC429" i="38"/>
  <c r="BC432" i="38" s="1"/>
  <c r="BB429" i="38"/>
  <c r="BA429" i="38"/>
  <c r="BA432" i="38" s="1"/>
  <c r="AZ429" i="38"/>
  <c r="AZ432" i="38" s="1"/>
  <c r="AY429" i="38"/>
  <c r="AY432" i="38" s="1"/>
  <c r="AX429" i="38"/>
  <c r="AX432" i="38" s="1"/>
  <c r="AW429" i="38"/>
  <c r="AW432" i="38" s="1"/>
  <c r="AV429" i="38"/>
  <c r="AV432" i="38" s="1"/>
  <c r="AU429" i="38"/>
  <c r="AT429" i="38"/>
  <c r="AT432" i="38" s="1"/>
  <c r="AS429" i="38"/>
  <c r="AS432" i="38" s="1"/>
  <c r="AR429" i="38"/>
  <c r="AR432" i="38" s="1"/>
  <c r="AQ429" i="38"/>
  <c r="AQ432" i="38" s="1"/>
  <c r="AP429" i="38"/>
  <c r="AP432" i="38" s="1"/>
  <c r="AO429" i="38"/>
  <c r="AO432" i="38" s="1"/>
  <c r="AN429" i="38"/>
  <c r="AN432" i="38" s="1"/>
  <c r="AM429" i="38"/>
  <c r="AM432" i="38" s="1"/>
  <c r="AL429" i="38"/>
  <c r="AL432" i="38" s="1"/>
  <c r="AK429" i="38"/>
  <c r="AK432" i="38" s="1"/>
  <c r="AJ429" i="38"/>
  <c r="AJ432" i="38" s="1"/>
  <c r="AI429" i="38"/>
  <c r="AI432" i="38" s="1"/>
  <c r="AH429" i="38"/>
  <c r="AH432" i="38" s="1"/>
  <c r="AG429" i="38"/>
  <c r="AG432" i="38" s="1"/>
  <c r="AF429" i="38"/>
  <c r="AF432" i="38" s="1"/>
  <c r="AE429" i="38"/>
  <c r="AD429" i="38"/>
  <c r="AC429" i="38"/>
  <c r="AC432" i="38" s="1"/>
  <c r="AB429" i="38"/>
  <c r="AB432" i="38" s="1"/>
  <c r="AA429" i="38"/>
  <c r="AA432" i="38" s="1"/>
  <c r="Z429" i="38"/>
  <c r="Z432" i="38" s="1"/>
  <c r="Y429" i="38"/>
  <c r="Y432" i="38" s="1"/>
  <c r="X429" i="38"/>
  <c r="X432" i="38" s="1"/>
  <c r="W429" i="38"/>
  <c r="W432" i="38" s="1"/>
  <c r="V429" i="38"/>
  <c r="V432" i="38" s="1"/>
  <c r="U429" i="38"/>
  <c r="U432" i="38" s="1"/>
  <c r="T429" i="38"/>
  <c r="T432" i="38" s="1"/>
  <c r="S429" i="38"/>
  <c r="S432" i="38" s="1"/>
  <c r="R429" i="38"/>
  <c r="R432" i="38" s="1"/>
  <c r="Q429" i="38"/>
  <c r="Q432" i="38" s="1"/>
  <c r="P429" i="38"/>
  <c r="P432" i="38" s="1"/>
  <c r="O429" i="38"/>
  <c r="O432" i="38" s="1"/>
  <c r="N429" i="38"/>
  <c r="N432" i="38" s="1"/>
  <c r="M429" i="38"/>
  <c r="M432" i="38" s="1"/>
  <c r="L429" i="38"/>
  <c r="L432" i="38" s="1"/>
  <c r="K429" i="38"/>
  <c r="K432" i="38" s="1"/>
  <c r="J429" i="38"/>
  <c r="J432" i="38" s="1"/>
  <c r="I429" i="38"/>
  <c r="I432" i="38" s="1"/>
  <c r="H429" i="38"/>
  <c r="H432" i="38" s="1"/>
  <c r="G429" i="38"/>
  <c r="F429" i="38"/>
  <c r="E429" i="38"/>
  <c r="E432" i="38" s="1"/>
  <c r="D429" i="38"/>
  <c r="D432" i="38" s="1"/>
  <c r="C429" i="38"/>
  <c r="C432" i="38" s="1"/>
  <c r="B429" i="38"/>
  <c r="B432" i="38" s="1"/>
  <c r="C391" i="38"/>
  <c r="C390" i="38"/>
  <c r="B384" i="38"/>
  <c r="B383" i="38"/>
  <c r="C386" i="38" s="1"/>
  <c r="C385" i="38" s="1"/>
  <c r="B381" i="38"/>
  <c r="G378" i="38"/>
  <c r="M371" i="38"/>
  <c r="L371" i="38"/>
  <c r="K371" i="38"/>
  <c r="J371" i="38"/>
  <c r="M370" i="38"/>
  <c r="L370" i="38"/>
  <c r="K370" i="38"/>
  <c r="J370" i="38"/>
  <c r="M369" i="38"/>
  <c r="L369" i="38"/>
  <c r="K369" i="38"/>
  <c r="J369" i="38"/>
  <c r="M368" i="38"/>
  <c r="L368" i="38"/>
  <c r="K368" i="38"/>
  <c r="J368" i="38" s="1"/>
  <c r="F368" i="38"/>
  <c r="E368" i="38"/>
  <c r="D368" i="38"/>
  <c r="C368" i="38"/>
  <c r="M367" i="38"/>
  <c r="L367" i="38"/>
  <c r="K367" i="38"/>
  <c r="J367" i="38"/>
  <c r="M366" i="38"/>
  <c r="L366" i="38"/>
  <c r="K366" i="38"/>
  <c r="J366" i="38"/>
  <c r="M365" i="38"/>
  <c r="L365" i="38"/>
  <c r="K365" i="38"/>
  <c r="J365" i="38"/>
  <c r="M364" i="38"/>
  <c r="L364" i="38"/>
  <c r="K364" i="38"/>
  <c r="F364" i="38"/>
  <c r="E364" i="38"/>
  <c r="D364" i="38"/>
  <c r="C364" i="38"/>
  <c r="M363" i="38"/>
  <c r="P386" i="38" s="1"/>
  <c r="L363" i="38"/>
  <c r="O386" i="38" s="1"/>
  <c r="K363" i="38"/>
  <c r="N386" i="38" s="1"/>
  <c r="F363" i="38"/>
  <c r="E363" i="38"/>
  <c r="D363" i="38"/>
  <c r="C363" i="38"/>
  <c r="M354" i="38"/>
  <c r="L354" i="38"/>
  <c r="K354" i="38"/>
  <c r="J354" i="38"/>
  <c r="M353" i="38"/>
  <c r="L353" i="38"/>
  <c r="K353" i="38"/>
  <c r="J353" i="38"/>
  <c r="M352" i="38"/>
  <c r="L352" i="38"/>
  <c r="K352" i="38"/>
  <c r="J352" i="38"/>
  <c r="G352" i="38"/>
  <c r="M351" i="38"/>
  <c r="L351" i="38"/>
  <c r="K351" i="38"/>
  <c r="F351" i="38"/>
  <c r="E351" i="38"/>
  <c r="D351" i="38"/>
  <c r="C351" i="38"/>
  <c r="M350" i="38"/>
  <c r="L350" i="38"/>
  <c r="K350" i="38"/>
  <c r="J350" i="38"/>
  <c r="M349" i="38"/>
  <c r="L349" i="38"/>
  <c r="K349" i="38"/>
  <c r="J349" i="38"/>
  <c r="M348" i="38"/>
  <c r="L348" i="38"/>
  <c r="K348" i="38"/>
  <c r="J348" i="38"/>
  <c r="M347" i="38"/>
  <c r="L347" i="38"/>
  <c r="K347" i="38"/>
  <c r="J347" i="38" s="1"/>
  <c r="F347" i="38"/>
  <c r="E347" i="38"/>
  <c r="D347" i="38"/>
  <c r="C347" i="38"/>
  <c r="M346" i="38"/>
  <c r="P378" i="38" s="1"/>
  <c r="L346" i="38"/>
  <c r="O378" i="38" s="1"/>
  <c r="K346" i="38"/>
  <c r="N378" i="38" s="1"/>
  <c r="F346" i="38"/>
  <c r="E346" i="38"/>
  <c r="D346" i="38"/>
  <c r="C346" i="38"/>
  <c r="M333" i="38"/>
  <c r="L333" i="38"/>
  <c r="K333" i="38"/>
  <c r="J333" i="38"/>
  <c r="I333" i="38"/>
  <c r="F333" i="38"/>
  <c r="E333" i="38"/>
  <c r="D333" i="38"/>
  <c r="C333" i="38"/>
  <c r="B333" i="38"/>
  <c r="M329" i="38"/>
  <c r="L329" i="38"/>
  <c r="K329" i="38"/>
  <c r="J329" i="38"/>
  <c r="I329" i="38"/>
  <c r="F329" i="38"/>
  <c r="E329" i="38"/>
  <c r="D329" i="38"/>
  <c r="C329" i="38"/>
  <c r="B329" i="38"/>
  <c r="M328" i="38"/>
  <c r="L328" i="38"/>
  <c r="K328" i="38"/>
  <c r="J328" i="38"/>
  <c r="I328" i="38"/>
  <c r="F328" i="38"/>
  <c r="E328" i="38"/>
  <c r="D328" i="38"/>
  <c r="C328" i="38"/>
  <c r="B328" i="38"/>
  <c r="B319" i="38"/>
  <c r="K315" i="38"/>
  <c r="J315" i="38"/>
  <c r="I315" i="38"/>
  <c r="H315" i="38"/>
  <c r="E315" i="38"/>
  <c r="D315" i="38"/>
  <c r="C315" i="38"/>
  <c r="B315" i="38"/>
  <c r="K311" i="38"/>
  <c r="J311" i="38"/>
  <c r="I311" i="38"/>
  <c r="H311" i="38"/>
  <c r="E311" i="38"/>
  <c r="D311" i="38"/>
  <c r="C311" i="38"/>
  <c r="B311" i="38"/>
  <c r="K310" i="38"/>
  <c r="J310" i="38"/>
  <c r="I310" i="38"/>
  <c r="H310" i="38"/>
  <c r="E310" i="38"/>
  <c r="D310" i="38"/>
  <c r="C310" i="38"/>
  <c r="B310" i="38"/>
  <c r="O289" i="38"/>
  <c r="N289" i="38"/>
  <c r="M289" i="38"/>
  <c r="L289" i="38" s="1"/>
  <c r="G289" i="38"/>
  <c r="F289" i="38"/>
  <c r="E289" i="38"/>
  <c r="C289" i="38"/>
  <c r="O288" i="38"/>
  <c r="O290" i="38" s="1"/>
  <c r="N288" i="38"/>
  <c r="N290" i="38" s="1"/>
  <c r="M288" i="38"/>
  <c r="M290" i="38" s="1"/>
  <c r="G288" i="38"/>
  <c r="F288" i="38"/>
  <c r="E288" i="38"/>
  <c r="E290" i="38" s="1"/>
  <c r="C288" i="38"/>
  <c r="C290" i="38" s="1"/>
  <c r="C287" i="38"/>
  <c r="O286" i="38"/>
  <c r="N286" i="38"/>
  <c r="M286" i="38"/>
  <c r="G286" i="38"/>
  <c r="F286" i="38"/>
  <c r="E286" i="38"/>
  <c r="O285" i="38"/>
  <c r="N285" i="38"/>
  <c r="M285" i="38"/>
  <c r="L285" i="38" s="1"/>
  <c r="G285" i="38"/>
  <c r="F285" i="38"/>
  <c r="E285" i="38"/>
  <c r="O284" i="38"/>
  <c r="N284" i="38"/>
  <c r="M284" i="38"/>
  <c r="G284" i="38"/>
  <c r="F284" i="38"/>
  <c r="F287" i="38" s="1"/>
  <c r="E284" i="38"/>
  <c r="E287" i="38" s="1"/>
  <c r="M239" i="38"/>
  <c r="L239" i="38"/>
  <c r="K239" i="38"/>
  <c r="J239" i="38"/>
  <c r="M238" i="38"/>
  <c r="L238" i="38"/>
  <c r="K238" i="38"/>
  <c r="J238" i="38"/>
  <c r="M231" i="38"/>
  <c r="L231" i="38"/>
  <c r="K231" i="38"/>
  <c r="J231" i="38"/>
  <c r="M230" i="38"/>
  <c r="L230" i="38"/>
  <c r="K230" i="38"/>
  <c r="J230" i="38"/>
  <c r="E135" i="39" l="1"/>
  <c r="E128" i="39"/>
  <c r="N126" i="39"/>
  <c r="E126" i="39"/>
  <c r="O41" i="39"/>
  <c r="E19" i="39"/>
  <c r="N151" i="39"/>
  <c r="E127" i="39"/>
  <c r="E33" i="39"/>
  <c r="N150" i="39"/>
  <c r="O139" i="39"/>
  <c r="J34" i="39"/>
  <c r="J36" i="39"/>
  <c r="J42" i="39"/>
  <c r="E116" i="39"/>
  <c r="L284" i="38"/>
  <c r="F378" i="38"/>
  <c r="J351" i="38"/>
  <c r="F386" i="38"/>
  <c r="D592" i="38"/>
  <c r="E593" i="38"/>
  <c r="D593" i="38" s="1"/>
  <c r="N287" i="38"/>
  <c r="D286" i="38"/>
  <c r="D289" i="38"/>
  <c r="G386" i="38"/>
  <c r="F593" i="38"/>
  <c r="H386" i="38"/>
  <c r="C387" i="38"/>
  <c r="P388" i="38" s="1"/>
  <c r="G593" i="38"/>
  <c r="C381" i="38"/>
  <c r="O287" i="38"/>
  <c r="F290" i="38"/>
  <c r="D285" i="38"/>
  <c r="D288" i="38"/>
  <c r="D290" i="38" s="1"/>
  <c r="I378" i="38"/>
  <c r="I386" i="38"/>
  <c r="C388" i="38"/>
  <c r="G388" i="38" s="1"/>
  <c r="G287" i="38"/>
  <c r="H378" i="38"/>
  <c r="L286" i="38"/>
  <c r="L288" i="38"/>
  <c r="L290" i="38" s="1"/>
  <c r="J346" i="38"/>
  <c r="M378" i="38" s="1"/>
  <c r="C389" i="38"/>
  <c r="E92" i="39"/>
  <c r="E100" i="39"/>
  <c r="E96" i="39"/>
  <c r="E95" i="39"/>
  <c r="N147" i="39"/>
  <c r="G598" i="38"/>
  <c r="E20" i="39"/>
  <c r="J63" i="39"/>
  <c r="O63" i="39"/>
  <c r="E113" i="39"/>
  <c r="N135" i="39"/>
  <c r="J40" i="39"/>
  <c r="E88" i="39"/>
  <c r="E114" i="39"/>
  <c r="J29" i="39"/>
  <c r="J67" i="39"/>
  <c r="E85" i="39"/>
  <c r="O43" i="39"/>
  <c r="O60" i="39"/>
  <c r="N138" i="39"/>
  <c r="J48" i="39"/>
  <c r="J76" i="39"/>
  <c r="O39" i="39"/>
  <c r="E94" i="39"/>
  <c r="E102" i="39"/>
  <c r="F129" i="39"/>
  <c r="N145" i="39"/>
  <c r="O69" i="39"/>
  <c r="J31" i="39"/>
  <c r="E42" i="39"/>
  <c r="J52" i="39"/>
  <c r="J74" i="39"/>
  <c r="E110" i="39"/>
  <c r="O31" i="39"/>
  <c r="J35" i="39"/>
  <c r="J38" i="39"/>
  <c r="J49" i="39"/>
  <c r="J65" i="39"/>
  <c r="J73" i="39"/>
  <c r="J77" i="39"/>
  <c r="E90" i="39"/>
  <c r="O49" i="39"/>
  <c r="O57" i="39"/>
  <c r="J62" i="39"/>
  <c r="N125" i="39"/>
  <c r="N149" i="39"/>
  <c r="E31" i="39"/>
  <c r="J51" i="39"/>
  <c r="E98" i="39"/>
  <c r="P129" i="39"/>
  <c r="J53" i="39"/>
  <c r="E86" i="39"/>
  <c r="E101" i="39"/>
  <c r="E112" i="39"/>
  <c r="E138" i="39"/>
  <c r="N136" i="39"/>
  <c r="J30" i="39"/>
  <c r="J32" i="39"/>
  <c r="E43" i="39"/>
  <c r="J66" i="39"/>
  <c r="E74" i="39"/>
  <c r="E84" i="39"/>
  <c r="E91" i="39"/>
  <c r="E75" i="39"/>
  <c r="E29" i="39"/>
  <c r="E35" i="39"/>
  <c r="E37" i="39"/>
  <c r="E39" i="39"/>
  <c r="E41" i="39"/>
  <c r="E34" i="39"/>
  <c r="E36" i="39"/>
  <c r="E30" i="39"/>
  <c r="J33" i="39"/>
  <c r="J47" i="39"/>
  <c r="J50" i="39"/>
  <c r="J61" i="39"/>
  <c r="J64" i="39"/>
  <c r="J72" i="39"/>
  <c r="E89" i="39"/>
  <c r="E117" i="39"/>
  <c r="O67" i="39"/>
  <c r="O55" i="39"/>
  <c r="O42" i="39"/>
  <c r="O29" i="39"/>
  <c r="O56" i="39"/>
  <c r="O36" i="39"/>
  <c r="E137" i="39"/>
  <c r="N127" i="39"/>
  <c r="E22" i="39"/>
  <c r="E38" i="39"/>
  <c r="J41" i="39"/>
  <c r="J44" i="39"/>
  <c r="J55" i="39"/>
  <c r="J58" i="39"/>
  <c r="J69" i="39"/>
  <c r="E87" i="39"/>
  <c r="E103" i="39"/>
  <c r="E115" i="39"/>
  <c r="O66" i="39"/>
  <c r="O53" i="39"/>
  <c r="O76" i="39"/>
  <c r="O54" i="39"/>
  <c r="O32" i="39"/>
  <c r="N137" i="39"/>
  <c r="F118" i="39"/>
  <c r="G129" i="39"/>
  <c r="O77" i="39"/>
  <c r="O65" i="39"/>
  <c r="O51" i="39"/>
  <c r="O72" i="39"/>
  <c r="O52" i="39"/>
  <c r="O30" i="39"/>
  <c r="H139" i="39"/>
  <c r="E32" i="39"/>
  <c r="J46" i="39"/>
  <c r="J57" i="39"/>
  <c r="J60" i="39"/>
  <c r="J71" i="39"/>
  <c r="E99" i="39"/>
  <c r="G118" i="39"/>
  <c r="E111" i="39"/>
  <c r="E125" i="39"/>
  <c r="E147" i="39"/>
  <c r="O75" i="39"/>
  <c r="O50" i="39"/>
  <c r="O37" i="39"/>
  <c r="O70" i="39"/>
  <c r="O48" i="39"/>
  <c r="O38" i="39"/>
  <c r="J37" i="39"/>
  <c r="E40" i="39"/>
  <c r="J43" i="39"/>
  <c r="J54" i="39"/>
  <c r="J68" i="39"/>
  <c r="E97" i="39"/>
  <c r="H129" i="39"/>
  <c r="N148" i="39"/>
  <c r="O61" i="39"/>
  <c r="O35" i="39"/>
  <c r="O68" i="39"/>
  <c r="O46" i="39"/>
  <c r="F78" i="39"/>
  <c r="J75" i="39"/>
  <c r="F104" i="39"/>
  <c r="O129" i="39"/>
  <c r="N152" i="39"/>
  <c r="O73" i="39"/>
  <c r="O59" i="39"/>
  <c r="O47" i="39"/>
  <c r="O34" i="39"/>
  <c r="O64" i="39"/>
  <c r="O44" i="39"/>
  <c r="E16" i="39"/>
  <c r="E18" i="39"/>
  <c r="G78" i="39"/>
  <c r="J39" i="39"/>
  <c r="J45" i="39"/>
  <c r="J56" i="39"/>
  <c r="J59" i="39"/>
  <c r="J70" i="39"/>
  <c r="G104" i="39"/>
  <c r="E93" i="39"/>
  <c r="N146" i="39"/>
  <c r="O71" i="39"/>
  <c r="O58" i="39"/>
  <c r="O45" i="39"/>
  <c r="O33" i="39"/>
  <c r="O62" i="39"/>
  <c r="O40" i="39"/>
  <c r="N128" i="39"/>
  <c r="E17" i="39"/>
  <c r="H23" i="39"/>
  <c r="F23" i="39"/>
  <c r="G23" i="39"/>
  <c r="E21" i="39"/>
  <c r="P139" i="39"/>
  <c r="Q139" i="39"/>
  <c r="Q129" i="39"/>
  <c r="G139" i="39"/>
  <c r="F139" i="39"/>
  <c r="F153" i="39"/>
  <c r="E152" i="39"/>
  <c r="G153" i="39"/>
  <c r="E146" i="39"/>
  <c r="E151" i="39"/>
  <c r="E145" i="39"/>
  <c r="E150" i="39"/>
  <c r="E149" i="39"/>
  <c r="E148" i="39"/>
  <c r="O153" i="39"/>
  <c r="P153" i="39"/>
  <c r="Q153" i="39"/>
  <c r="H78" i="39"/>
  <c r="E109" i="39"/>
  <c r="H118" i="39"/>
  <c r="H153" i="39"/>
  <c r="O74" i="39"/>
  <c r="H104" i="39"/>
  <c r="E207" i="39"/>
  <c r="C384" i="38"/>
  <c r="O379" i="38" s="1"/>
  <c r="D590" i="38"/>
  <c r="K617" i="38"/>
  <c r="G590" i="38" s="1"/>
  <c r="N388" i="38"/>
  <c r="G290" i="38"/>
  <c r="D284" i="38"/>
  <c r="D287" i="38" s="1"/>
  <c r="J363" i="38"/>
  <c r="M386" i="38" s="1"/>
  <c r="J364" i="38"/>
  <c r="M387" i="38" s="1"/>
  <c r="G597" i="38"/>
  <c r="F597" i="38"/>
  <c r="C383" i="38"/>
  <c r="F598" i="38"/>
  <c r="M287" i="38"/>
  <c r="D597" i="38" l="1"/>
  <c r="F11" i="39"/>
  <c r="H11" i="39"/>
  <c r="G11" i="39"/>
  <c r="E129" i="39"/>
  <c r="G380" i="38"/>
  <c r="O380" i="38"/>
  <c r="I380" i="38"/>
  <c r="H388" i="38"/>
  <c r="H380" i="38"/>
  <c r="O388" i="38"/>
  <c r="M388" i="38" s="1"/>
  <c r="F380" i="38"/>
  <c r="N380" i="38"/>
  <c r="O387" i="38"/>
  <c r="I379" i="38"/>
  <c r="P380" i="38"/>
  <c r="I388" i="38"/>
  <c r="F388" i="38" s="1"/>
  <c r="L287" i="38"/>
  <c r="N153" i="39"/>
  <c r="N129" i="39"/>
  <c r="N139" i="39"/>
  <c r="E78" i="39"/>
  <c r="E139" i="39"/>
  <c r="E104" i="39"/>
  <c r="E118" i="39"/>
  <c r="E23" i="39"/>
  <c r="E153" i="39"/>
  <c r="G387" i="38"/>
  <c r="F387" i="38" s="1"/>
  <c r="N387" i="38"/>
  <c r="P379" i="38"/>
  <c r="H387" i="38"/>
  <c r="G379" i="38"/>
  <c r="I387" i="38"/>
  <c r="N379" i="38"/>
  <c r="H379" i="38"/>
  <c r="P387" i="38"/>
  <c r="E11" i="39" l="1"/>
  <c r="M379" i="38"/>
  <c r="M380" i="38"/>
  <c r="F379" i="38"/>
  <c r="G18" i="33" l="1"/>
  <c r="E45" i="49"/>
  <c r="F45" i="49"/>
  <c r="E47" i="49"/>
  <c r="F47" i="49"/>
  <c r="E49" i="49"/>
  <c r="F49" i="49"/>
  <c r="E38" i="49"/>
  <c r="F38" i="49"/>
  <c r="E39" i="49"/>
  <c r="F39" i="49"/>
  <c r="E40" i="49"/>
  <c r="F40" i="49"/>
  <c r="F30" i="49"/>
  <c r="F31" i="49"/>
  <c r="F29" i="49"/>
  <c r="F24" i="49"/>
  <c r="F25" i="49"/>
  <c r="F26" i="49"/>
  <c r="F27" i="49"/>
  <c r="F23" i="49"/>
  <c r="F20" i="49"/>
  <c r="F21" i="49"/>
  <c r="F19" i="49"/>
  <c r="F18" i="49"/>
  <c r="E19" i="49"/>
  <c r="E20" i="49"/>
  <c r="E21" i="49"/>
  <c r="K126" i="36" l="1"/>
  <c r="K124" i="36"/>
  <c r="K125" i="36"/>
  <c r="K123" i="36"/>
  <c r="K121" i="36"/>
  <c r="K112" i="36"/>
  <c r="K113" i="36"/>
  <c r="K114" i="36"/>
  <c r="K115" i="36"/>
  <c r="K116" i="36"/>
  <c r="K117" i="36"/>
  <c r="K118" i="36"/>
  <c r="K111" i="36"/>
  <c r="E103" i="36"/>
  <c r="E101" i="36"/>
  <c r="E102" i="36"/>
  <c r="E100" i="36"/>
  <c r="E98" i="36"/>
  <c r="E87" i="36"/>
  <c r="E88" i="36"/>
  <c r="E89" i="36"/>
  <c r="E90" i="36"/>
  <c r="E91" i="36"/>
  <c r="E92" i="36"/>
  <c r="E93" i="36"/>
  <c r="E94" i="36"/>
  <c r="E95" i="36"/>
  <c r="E86" i="36"/>
  <c r="K105" i="36"/>
  <c r="K106" i="36"/>
  <c r="K107" i="36"/>
  <c r="K108" i="36"/>
  <c r="K104" i="36"/>
  <c r="E82" i="36"/>
  <c r="E83" i="36"/>
  <c r="E81" i="36"/>
  <c r="K102" i="36"/>
  <c r="E79" i="36"/>
  <c r="K74" i="36"/>
  <c r="K75" i="36"/>
  <c r="K76" i="36"/>
  <c r="K77" i="36"/>
  <c r="K78" i="36"/>
  <c r="K79" i="36"/>
  <c r="K80" i="36"/>
  <c r="K81" i="36"/>
  <c r="K82" i="36"/>
  <c r="K83" i="36"/>
  <c r="K84" i="36"/>
  <c r="K85" i="36"/>
  <c r="K86" i="36"/>
  <c r="K87" i="36"/>
  <c r="K88" i="36"/>
  <c r="K89" i="36"/>
  <c r="K90" i="36"/>
  <c r="K91" i="36"/>
  <c r="K92" i="36"/>
  <c r="K93" i="36"/>
  <c r="K94" i="36"/>
  <c r="K95" i="36"/>
  <c r="K96" i="36"/>
  <c r="K97" i="36"/>
  <c r="K98" i="36"/>
  <c r="K99" i="36"/>
  <c r="K100" i="36"/>
  <c r="K73" i="36"/>
  <c r="E64" i="36"/>
  <c r="E65" i="36"/>
  <c r="E66" i="36"/>
  <c r="E67" i="36"/>
  <c r="E68" i="36"/>
  <c r="E69" i="36"/>
  <c r="E70" i="36"/>
  <c r="E71" i="36"/>
  <c r="E72" i="36"/>
  <c r="E73" i="36"/>
  <c r="E74" i="36"/>
  <c r="E75" i="36"/>
  <c r="E76" i="36"/>
  <c r="E77" i="36"/>
  <c r="E63" i="36"/>
  <c r="K61" i="36"/>
  <c r="K62" i="36"/>
  <c r="K63" i="36"/>
  <c r="K64" i="36"/>
  <c r="K65" i="36"/>
  <c r="K66" i="36"/>
  <c r="K67" i="36"/>
  <c r="K68" i="36"/>
  <c r="K69" i="36"/>
  <c r="K70" i="36"/>
  <c r="K71" i="36"/>
  <c r="K60" i="36"/>
  <c r="E52" i="36"/>
  <c r="E53" i="36"/>
  <c r="E54" i="36"/>
  <c r="E55" i="36"/>
  <c r="E56" i="36"/>
  <c r="E57" i="36"/>
  <c r="E58" i="36"/>
  <c r="E59" i="36"/>
  <c r="E60" i="36"/>
  <c r="E61" i="36"/>
  <c r="E51" i="36"/>
  <c r="K41" i="36"/>
  <c r="K42" i="36"/>
  <c r="K43" i="36"/>
  <c r="K44" i="36"/>
  <c r="K45" i="36"/>
  <c r="K46" i="36"/>
  <c r="K47" i="36"/>
  <c r="K48" i="36"/>
  <c r="K49" i="36"/>
  <c r="K50" i="36"/>
  <c r="K51" i="36"/>
  <c r="K52" i="36"/>
  <c r="K53" i="36"/>
  <c r="K54" i="36"/>
  <c r="K55" i="36"/>
  <c r="K56" i="36"/>
  <c r="K57" i="36"/>
  <c r="K58" i="36"/>
  <c r="K40" i="36"/>
  <c r="E40" i="36"/>
  <c r="E41" i="36"/>
  <c r="E42" i="36"/>
  <c r="E43" i="36"/>
  <c r="E44" i="36"/>
  <c r="E45" i="36"/>
  <c r="E46" i="36"/>
  <c r="E47" i="36"/>
  <c r="E48" i="36"/>
  <c r="E49" i="36"/>
  <c r="K20" i="36"/>
  <c r="K21" i="36"/>
  <c r="K22" i="36"/>
  <c r="K23" i="36"/>
  <c r="K24" i="36"/>
  <c r="K25" i="36"/>
  <c r="K26" i="36"/>
  <c r="K27" i="36"/>
  <c r="K28" i="36"/>
  <c r="K29" i="36"/>
  <c r="K30" i="36"/>
  <c r="K31" i="36"/>
  <c r="K32" i="36"/>
  <c r="K33" i="36"/>
  <c r="K34" i="36"/>
  <c r="K35" i="36"/>
  <c r="K36" i="36"/>
  <c r="K37" i="36"/>
  <c r="K38" i="36"/>
  <c r="E39" i="36"/>
  <c r="K19" i="36"/>
  <c r="E20" i="36"/>
  <c r="E21" i="36"/>
  <c r="E22" i="36"/>
  <c r="E23" i="36"/>
  <c r="E24" i="36"/>
  <c r="E25" i="36"/>
  <c r="E26" i="36"/>
  <c r="E27" i="36"/>
  <c r="E28" i="36"/>
  <c r="E29" i="36"/>
  <c r="E30" i="36"/>
  <c r="E31" i="36"/>
  <c r="E32" i="36"/>
  <c r="E33" i="36"/>
  <c r="E34" i="36"/>
  <c r="E35" i="36"/>
  <c r="E36" i="36"/>
  <c r="E37" i="36"/>
  <c r="E19" i="36"/>
  <c r="K17" i="36"/>
  <c r="K16" i="36"/>
  <c r="K15" i="36"/>
  <c r="E17" i="36"/>
  <c r="E16" i="36"/>
  <c r="E15" i="36"/>
  <c r="K127" i="36" l="1"/>
  <c r="F30" i="35" l="1"/>
  <c r="G30" i="35"/>
  <c r="H30" i="35"/>
  <c r="F31" i="35"/>
  <c r="G31" i="35"/>
  <c r="H31" i="35"/>
  <c r="F32" i="35"/>
  <c r="G32" i="35"/>
  <c r="H32" i="35"/>
  <c r="F33" i="35"/>
  <c r="G33" i="35"/>
  <c r="H33" i="35"/>
  <c r="F34" i="35"/>
  <c r="G34" i="35"/>
  <c r="H34" i="35"/>
  <c r="F35" i="35"/>
  <c r="G35" i="35"/>
  <c r="H35" i="35"/>
  <c r="F36" i="35"/>
  <c r="G36" i="35"/>
  <c r="H36" i="35"/>
  <c r="H29" i="35"/>
  <c r="G29" i="35"/>
  <c r="F29" i="35"/>
  <c r="F37" i="35" l="1"/>
  <c r="D11" i="28" s="1"/>
  <c r="H37" i="35"/>
  <c r="F11" i="28" s="1"/>
  <c r="G37" i="35"/>
  <c r="E11" i="28" s="1"/>
  <c r="G191" i="30"/>
  <c r="E191" i="30"/>
  <c r="C191" i="30"/>
  <c r="G190" i="30"/>
  <c r="G192" i="30" s="1"/>
  <c r="E190" i="30"/>
  <c r="C190" i="30"/>
  <c r="G189" i="30"/>
  <c r="E189" i="30"/>
  <c r="C189" i="30"/>
  <c r="F16" i="35"/>
  <c r="G16" i="35"/>
  <c r="H16" i="35"/>
  <c r="F17" i="35"/>
  <c r="G17" i="35"/>
  <c r="H17" i="35"/>
  <c r="F18" i="35"/>
  <c r="G18" i="35"/>
  <c r="H18" i="35"/>
  <c r="F19" i="35"/>
  <c r="G19" i="35"/>
  <c r="H19" i="35"/>
  <c r="F20" i="35"/>
  <c r="G20" i="35"/>
  <c r="H20" i="35"/>
  <c r="F21" i="35"/>
  <c r="G21" i="35"/>
  <c r="H21" i="35"/>
  <c r="F22" i="35"/>
  <c r="G22" i="35"/>
  <c r="H22" i="35"/>
  <c r="F23" i="35"/>
  <c r="G23" i="35"/>
  <c r="H23" i="35"/>
  <c r="H15" i="35"/>
  <c r="G15" i="35"/>
  <c r="F15" i="35"/>
  <c r="H92" i="49"/>
  <c r="H93" i="49"/>
  <c r="H91" i="49"/>
  <c r="E86" i="49"/>
  <c r="E87" i="49"/>
  <c r="E88" i="49"/>
  <c r="E89" i="49"/>
  <c r="E90" i="49"/>
  <c r="E91" i="49"/>
  <c r="E92" i="49"/>
  <c r="E93" i="49"/>
  <c r="E94" i="49"/>
  <c r="E85" i="49"/>
  <c r="F82" i="49"/>
  <c r="F81" i="49"/>
  <c r="E81" i="49"/>
  <c r="E82" i="49"/>
  <c r="E80" i="49"/>
  <c r="H81" i="49"/>
  <c r="H82" i="49"/>
  <c r="H80" i="49"/>
  <c r="H79" i="49"/>
  <c r="H74" i="49"/>
  <c r="H70" i="49"/>
  <c r="E61" i="49"/>
  <c r="E62" i="49"/>
  <c r="E63" i="49"/>
  <c r="E64" i="49"/>
  <c r="E65" i="49"/>
  <c r="E66" i="49"/>
  <c r="E67" i="49"/>
  <c r="E68" i="49"/>
  <c r="E69" i="49"/>
  <c r="E71" i="49"/>
  <c r="E72" i="49"/>
  <c r="E73" i="49"/>
  <c r="E74" i="49"/>
  <c r="E75" i="49"/>
  <c r="E76" i="49"/>
  <c r="E77" i="49"/>
  <c r="E78" i="49"/>
  <c r="E79" i="49"/>
  <c r="G61" i="49"/>
  <c r="G62" i="49"/>
  <c r="G63" i="49"/>
  <c r="G64" i="49"/>
  <c r="G65" i="49"/>
  <c r="G66" i="49"/>
  <c r="G67" i="49"/>
  <c r="G68" i="49"/>
  <c r="G69" i="49"/>
  <c r="G71" i="49"/>
  <c r="G72" i="49"/>
  <c r="G73" i="49"/>
  <c r="G74" i="49"/>
  <c r="G75" i="49"/>
  <c r="G76" i="49"/>
  <c r="G77" i="49"/>
  <c r="G78" i="49"/>
  <c r="G79" i="49"/>
  <c r="E60" i="49"/>
  <c r="G60" i="49"/>
  <c r="E52" i="49"/>
  <c r="F52" i="49"/>
  <c r="E53" i="49"/>
  <c r="F53" i="49"/>
  <c r="E51" i="49"/>
  <c r="F51" i="49"/>
  <c r="E43" i="49"/>
  <c r="F43" i="49"/>
  <c r="E37" i="49"/>
  <c r="F37" i="49"/>
  <c r="E30" i="49"/>
  <c r="E31" i="49"/>
  <c r="E29" i="49"/>
  <c r="E24" i="49"/>
  <c r="E25" i="49"/>
  <c r="E26" i="49"/>
  <c r="E27" i="49"/>
  <c r="E23" i="49"/>
  <c r="E18" i="49"/>
  <c r="G47" i="45"/>
  <c r="F31" i="43"/>
  <c r="G31" i="43"/>
  <c r="H31" i="43"/>
  <c r="H30" i="43"/>
  <c r="G30" i="43"/>
  <c r="F30" i="43"/>
  <c r="H23" i="43"/>
  <c r="E23" i="43" s="1"/>
  <c r="G22" i="43"/>
  <c r="G21" i="43"/>
  <c r="E21" i="43" s="1"/>
  <c r="H20" i="43"/>
  <c r="G20" i="43"/>
  <c r="H19" i="43"/>
  <c r="G19" i="43"/>
  <c r="E19" i="43" s="1"/>
  <c r="G18" i="43"/>
  <c r="H17" i="43"/>
  <c r="G17" i="43"/>
  <c r="F17" i="43"/>
  <c r="H16" i="43"/>
  <c r="F16" i="43"/>
  <c r="H295" i="41"/>
  <c r="I214" i="41" s="1"/>
  <c r="H294" i="41"/>
  <c r="H284" i="41"/>
  <c r="H283" i="41"/>
  <c r="H273" i="41"/>
  <c r="H272" i="41"/>
  <c r="H259" i="41"/>
  <c r="H216" i="41" s="1"/>
  <c r="F216" i="41" s="1"/>
  <c r="H250" i="41"/>
  <c r="H214" i="41" s="1"/>
  <c r="H241" i="41"/>
  <c r="H213" i="41" s="1"/>
  <c r="H231" i="41"/>
  <c r="H215" i="41" s="1"/>
  <c r="F215" i="41" s="1"/>
  <c r="D200" i="41"/>
  <c r="D201" i="41" s="1"/>
  <c r="J187" i="41"/>
  <c r="J188" i="41" s="1"/>
  <c r="D186" i="41"/>
  <c r="D188" i="41" s="1"/>
  <c r="D189" i="41" s="1"/>
  <c r="F157" i="41"/>
  <c r="E137" i="41"/>
  <c r="C109" i="41"/>
  <c r="C72" i="41"/>
  <c r="C68" i="41"/>
  <c r="F68" i="41" s="1"/>
  <c r="C63" i="41"/>
  <c r="C108" i="41" s="1"/>
  <c r="G56" i="41"/>
  <c r="E56" i="41"/>
  <c r="H51" i="41"/>
  <c r="F25" i="41"/>
  <c r="E25" i="41"/>
  <c r="G23" i="41"/>
  <c r="E23" i="41"/>
  <c r="G21" i="41"/>
  <c r="E21" i="41"/>
  <c r="E19" i="41"/>
  <c r="E17" i="41"/>
  <c r="G15" i="41"/>
  <c r="E15" i="41"/>
  <c r="D167" i="53"/>
  <c r="I149" i="53" s="1"/>
  <c r="F49" i="53" s="1"/>
  <c r="D49" i="53" s="1"/>
  <c r="C145" i="53"/>
  <c r="C131" i="53"/>
  <c r="E117" i="53"/>
  <c r="E118" i="53" s="1"/>
  <c r="G37" i="53" s="1"/>
  <c r="H46" i="45" s="1"/>
  <c r="C117" i="53"/>
  <c r="C118" i="53" s="1"/>
  <c r="E116" i="53"/>
  <c r="C116" i="53"/>
  <c r="D109" i="53"/>
  <c r="D78" i="53" s="1"/>
  <c r="D106" i="53"/>
  <c r="E71" i="53"/>
  <c r="H70" i="53"/>
  <c r="G70" i="53"/>
  <c r="F70" i="53"/>
  <c r="D70" i="53"/>
  <c r="C70" i="53"/>
  <c r="B70" i="53"/>
  <c r="F38" i="53"/>
  <c r="D38" i="53"/>
  <c r="E192" i="30" l="1"/>
  <c r="F191" i="30" s="1"/>
  <c r="H189" i="30"/>
  <c r="C192" i="30"/>
  <c r="D190" i="30" s="1"/>
  <c r="E31" i="43"/>
  <c r="F54" i="49"/>
  <c r="F11" i="49" s="1"/>
  <c r="H78" i="53"/>
  <c r="H81" i="53" s="1"/>
  <c r="F17" i="53" s="1"/>
  <c r="D17" i="53" s="1"/>
  <c r="D149" i="53"/>
  <c r="F44" i="53" s="1"/>
  <c r="D44" i="53" s="1"/>
  <c r="C151" i="53"/>
  <c r="F51" i="53" s="1"/>
  <c r="D51" i="53" s="1"/>
  <c r="G149" i="53"/>
  <c r="F47" i="53" s="1"/>
  <c r="D81" i="53"/>
  <c r="F13" i="53" s="1"/>
  <c r="F26" i="53"/>
  <c r="I217" i="41"/>
  <c r="F217" i="41" s="1"/>
  <c r="G78" i="53"/>
  <c r="F29" i="53" s="1"/>
  <c r="C149" i="53"/>
  <c r="F43" i="53" s="1"/>
  <c r="G53" i="45" s="1"/>
  <c r="I213" i="41"/>
  <c r="F213" i="41" s="1"/>
  <c r="E149" i="53"/>
  <c r="F45" i="53" s="1"/>
  <c r="F149" i="53"/>
  <c r="F46" i="53" s="1"/>
  <c r="G56" i="45" s="1"/>
  <c r="B78" i="53"/>
  <c r="F24" i="53" s="1"/>
  <c r="H149" i="53"/>
  <c r="F48" i="53" s="1"/>
  <c r="E78" i="53"/>
  <c r="E81" i="53" s="1"/>
  <c r="F14" i="53" s="1"/>
  <c r="G14" i="35"/>
  <c r="E18" i="35"/>
  <c r="E21" i="35"/>
  <c r="F190" i="30"/>
  <c r="D191" i="30"/>
  <c r="D189" i="30"/>
  <c r="H191" i="30"/>
  <c r="F189" i="30"/>
  <c r="H190" i="30"/>
  <c r="E20" i="35"/>
  <c r="E22" i="35"/>
  <c r="E16" i="35"/>
  <c r="E17" i="35"/>
  <c r="E33" i="35"/>
  <c r="E35" i="35"/>
  <c r="E19" i="35"/>
  <c r="E23" i="35"/>
  <c r="E15" i="35"/>
  <c r="E32" i="35"/>
  <c r="E30" i="35"/>
  <c r="E29" i="35"/>
  <c r="E34" i="35"/>
  <c r="E36" i="35"/>
  <c r="E31" i="35"/>
  <c r="G59" i="45"/>
  <c r="E54" i="49"/>
  <c r="E11" i="49" s="1"/>
  <c r="F32" i="49"/>
  <c r="F12" i="49" s="1"/>
  <c r="E32" i="49"/>
  <c r="E12" i="49" s="1"/>
  <c r="E20" i="43"/>
  <c r="E22" i="43"/>
  <c r="E18" i="43"/>
  <c r="E17" i="43"/>
  <c r="C85" i="41"/>
  <c r="H50" i="41" s="1"/>
  <c r="F214" i="41"/>
  <c r="C118" i="41"/>
  <c r="C116" i="41"/>
  <c r="C114" i="41"/>
  <c r="C112" i="41"/>
  <c r="G51" i="41" s="1"/>
  <c r="D191" i="41"/>
  <c r="D193" i="41"/>
  <c r="H48" i="41" s="1"/>
  <c r="H49" i="41" s="1"/>
  <c r="H53" i="41" s="1"/>
  <c r="D192" i="41"/>
  <c r="G48" i="41" s="1"/>
  <c r="G49" i="41" s="1"/>
  <c r="D203" i="41"/>
  <c r="D204" i="41"/>
  <c r="D205" i="41"/>
  <c r="C117" i="41"/>
  <c r="J190" i="41"/>
  <c r="J192" i="41"/>
  <c r="H44" i="41" s="1"/>
  <c r="J191" i="41"/>
  <c r="G44" i="41" s="1"/>
  <c r="G45" i="41" s="1"/>
  <c r="C78" i="41"/>
  <c r="C115" i="41"/>
  <c r="C77" i="41"/>
  <c r="C105" i="41" s="1"/>
  <c r="C86" i="41"/>
  <c r="F37" i="53"/>
  <c r="C121" i="53"/>
  <c r="B74" i="53"/>
  <c r="B84" i="53" s="1"/>
  <c r="C78" i="53"/>
  <c r="F78" i="53"/>
  <c r="E37" i="35" l="1"/>
  <c r="C11" i="28" s="1"/>
  <c r="D43" i="53"/>
  <c r="G54" i="45"/>
  <c r="F30" i="53"/>
  <c r="D30" i="53" s="1"/>
  <c r="G22" i="45"/>
  <c r="E22" i="45" s="1"/>
  <c r="F13" i="35"/>
  <c r="F14" i="35"/>
  <c r="D46" i="53"/>
  <c r="G81" i="53"/>
  <c r="F16" i="53" s="1"/>
  <c r="D16" i="53" s="1"/>
  <c r="G61" i="45"/>
  <c r="B89" i="53"/>
  <c r="F33" i="53" s="1"/>
  <c r="B81" i="53"/>
  <c r="F11" i="53" s="1"/>
  <c r="D11" i="53" s="1"/>
  <c r="G57" i="45"/>
  <c r="D47" i="53"/>
  <c r="F27" i="53"/>
  <c r="D27" i="53" s="1"/>
  <c r="D48" i="53"/>
  <c r="G58" i="45"/>
  <c r="D24" i="53"/>
  <c r="G31" i="45"/>
  <c r="D45" i="53"/>
  <c r="G55" i="45"/>
  <c r="D26" i="53"/>
  <c r="G33" i="45"/>
  <c r="D13" i="53"/>
  <c r="G18" i="45"/>
  <c r="H14" i="35"/>
  <c r="G13" i="35"/>
  <c r="G24" i="35" s="1"/>
  <c r="H13" i="35"/>
  <c r="H24" i="35" s="1"/>
  <c r="D192" i="30"/>
  <c r="F192" i="30"/>
  <c r="H192" i="30"/>
  <c r="D37" i="53"/>
  <c r="G46" i="45"/>
  <c r="D14" i="53"/>
  <c r="G19" i="45"/>
  <c r="D29" i="53"/>
  <c r="G36" i="45"/>
  <c r="H45" i="41"/>
  <c r="D202" i="41"/>
  <c r="H52" i="41"/>
  <c r="D190" i="41"/>
  <c r="F48" i="41"/>
  <c r="F44" i="41"/>
  <c r="J189" i="41"/>
  <c r="G50" i="41"/>
  <c r="E51" i="41"/>
  <c r="G53" i="41"/>
  <c r="F32" i="53"/>
  <c r="B86" i="53"/>
  <c r="F19" i="53" s="1"/>
  <c r="F28" i="53"/>
  <c r="F81" i="53"/>
  <c r="F15" i="53" s="1"/>
  <c r="F25" i="53"/>
  <c r="C81" i="53"/>
  <c r="F12" i="53" s="1"/>
  <c r="F24" i="35" l="1"/>
  <c r="B91" i="53"/>
  <c r="F20" i="53" s="1"/>
  <c r="G25" i="45" s="1"/>
  <c r="E14" i="35"/>
  <c r="G37" i="45"/>
  <c r="E37" i="45" s="1"/>
  <c r="G21" i="45"/>
  <c r="G34" i="45"/>
  <c r="B115" i="32"/>
  <c r="C115" i="32" s="1"/>
  <c r="B109" i="32"/>
  <c r="C109" i="32" s="1"/>
  <c r="B114" i="32"/>
  <c r="C114" i="32" s="1"/>
  <c r="B110" i="32"/>
  <c r="C110" i="32" s="1"/>
  <c r="B111" i="32"/>
  <c r="C111" i="32" s="1"/>
  <c r="B116" i="32"/>
  <c r="C116" i="32" s="1"/>
  <c r="G16" i="45"/>
  <c r="D33" i="53"/>
  <c r="G40" i="45"/>
  <c r="D25" i="53"/>
  <c r="G32" i="45"/>
  <c r="D20" i="53"/>
  <c r="D12" i="53"/>
  <c r="G17" i="45"/>
  <c r="D28" i="53"/>
  <c r="G35" i="45"/>
  <c r="D15" i="53"/>
  <c r="G20" i="45"/>
  <c r="D19" i="53"/>
  <c r="G24" i="45"/>
  <c r="D32" i="53"/>
  <c r="G39" i="45"/>
  <c r="E44" i="41"/>
  <c r="F45" i="41"/>
  <c r="E45" i="41" s="1"/>
  <c r="G52" i="41"/>
  <c r="G16" i="43" s="1"/>
  <c r="E50" i="41"/>
  <c r="E48" i="41"/>
  <c r="F52" i="41"/>
  <c r="F49" i="41"/>
  <c r="E52" i="41" l="1"/>
  <c r="E49" i="41"/>
  <c r="F53" i="41"/>
  <c r="E53" i="41" l="1"/>
  <c r="H17" i="33"/>
  <c r="G17" i="33"/>
  <c r="F17" i="33"/>
  <c r="H16" i="33"/>
  <c r="G16" i="33"/>
  <c r="F16" i="33"/>
  <c r="G14" i="33"/>
  <c r="E14" i="33" s="1"/>
  <c r="E17" i="33" l="1"/>
  <c r="E16" i="33"/>
  <c r="E13" i="35"/>
  <c r="E24" i="35" s="1"/>
  <c r="G345" i="30" l="1"/>
  <c r="H96" i="30"/>
  <c r="H95" i="30"/>
  <c r="H93" i="30"/>
  <c r="H92" i="30"/>
  <c r="J91" i="30"/>
  <c r="J92" i="30"/>
  <c r="J93" i="30"/>
  <c r="J94" i="30"/>
  <c r="J95" i="30"/>
  <c r="J96" i="30"/>
  <c r="J97" i="30"/>
  <c r="J101" i="30"/>
  <c r="J103" i="30"/>
  <c r="I91" i="30"/>
  <c r="I92" i="30"/>
  <c r="I93" i="30"/>
  <c r="G92" i="30" s="1"/>
  <c r="I94" i="30"/>
  <c r="I95" i="30"/>
  <c r="I96" i="30"/>
  <c r="I97" i="30"/>
  <c r="I101" i="30"/>
  <c r="I103" i="30"/>
  <c r="J89" i="30"/>
  <c r="I89" i="30"/>
  <c r="J68" i="30"/>
  <c r="J69" i="30"/>
  <c r="J70" i="30"/>
  <c r="J71" i="30"/>
  <c r="J72" i="30"/>
  <c r="J73" i="30"/>
  <c r="J67" i="30"/>
  <c r="I71" i="30"/>
  <c r="I72" i="30"/>
  <c r="I73" i="30"/>
  <c r="I68" i="30"/>
  <c r="I69" i="30"/>
  <c r="I70" i="30"/>
  <c r="I67" i="30"/>
  <c r="J63" i="30"/>
  <c r="J64" i="30"/>
  <c r="J62" i="30"/>
  <c r="I63" i="30"/>
  <c r="I64" i="30"/>
  <c r="I62" i="30"/>
  <c r="O220" i="30"/>
  <c r="N220" i="30"/>
  <c r="H73" i="30"/>
  <c r="G73" i="30" s="1"/>
  <c r="H72" i="30"/>
  <c r="G72" i="30" s="1"/>
  <c r="H70" i="30"/>
  <c r="G70" i="30" s="1"/>
  <c r="H69" i="30"/>
  <c r="G69" i="30" s="1"/>
  <c r="H68" i="30"/>
  <c r="G68" i="30" s="1"/>
  <c r="H67" i="30"/>
  <c r="H64" i="30"/>
  <c r="G64" i="30" s="1"/>
  <c r="H63" i="30"/>
  <c r="G63" i="30" s="1"/>
  <c r="H62" i="30"/>
  <c r="D200" i="30" l="1"/>
  <c r="D175" i="30"/>
  <c r="C198" i="30"/>
  <c r="C173" i="30"/>
  <c r="G62" i="30"/>
  <c r="C200" i="30"/>
  <c r="C175" i="30"/>
  <c r="G67" i="30"/>
  <c r="D198" i="30"/>
  <c r="D173" i="30"/>
  <c r="E198" i="30"/>
  <c r="E173" i="30"/>
  <c r="G95" i="30"/>
  <c r="E200" i="30"/>
  <c r="E175" i="30"/>
  <c r="G93" i="30"/>
  <c r="P134" i="30"/>
  <c r="P135" i="30"/>
  <c r="P136" i="30"/>
  <c r="P137" i="30"/>
  <c r="P138" i="30"/>
  <c r="P139" i="30"/>
  <c r="P140" i="30"/>
  <c r="P141" i="30"/>
  <c r="P142" i="30"/>
  <c r="P143" i="30"/>
  <c r="P144" i="30"/>
  <c r="P145" i="30"/>
  <c r="P146" i="30"/>
  <c r="P147" i="30"/>
  <c r="P148" i="30"/>
  <c r="P149" i="30"/>
  <c r="P150" i="30"/>
  <c r="P152" i="30"/>
  <c r="P153" i="30"/>
  <c r="P154" i="30"/>
  <c r="P155" i="30"/>
  <c r="P157" i="30"/>
  <c r="P158" i="30"/>
  <c r="P159" i="30"/>
  <c r="P160" i="30"/>
  <c r="P161" i="30"/>
  <c r="P162" i="30"/>
  <c r="P163" i="30"/>
  <c r="P164" i="30"/>
  <c r="P165" i="30"/>
  <c r="P166" i="30"/>
  <c r="P167" i="30"/>
  <c r="P168" i="30"/>
  <c r="P169" i="30"/>
  <c r="P170" i="30"/>
  <c r="P174" i="30"/>
  <c r="P175" i="30"/>
  <c r="P176" i="30"/>
  <c r="P177" i="30"/>
  <c r="P178" i="30"/>
  <c r="P179" i="30"/>
  <c r="P180" i="30"/>
  <c r="P133" i="30"/>
  <c r="N134" i="30"/>
  <c r="N135" i="30"/>
  <c r="N136" i="30"/>
  <c r="N137" i="30"/>
  <c r="N138" i="30"/>
  <c r="N139" i="30"/>
  <c r="N140" i="30"/>
  <c r="N141" i="30"/>
  <c r="N142" i="30"/>
  <c r="N143" i="30"/>
  <c r="N144" i="30"/>
  <c r="N145" i="30"/>
  <c r="N146" i="30"/>
  <c r="N147" i="30"/>
  <c r="N148" i="30"/>
  <c r="N149" i="30"/>
  <c r="N150" i="30"/>
  <c r="N152" i="30"/>
  <c r="N153" i="30"/>
  <c r="N154" i="30"/>
  <c r="N155" i="30"/>
  <c r="N157" i="30"/>
  <c r="N158" i="30"/>
  <c r="N159" i="30"/>
  <c r="N160" i="30"/>
  <c r="N161" i="30"/>
  <c r="N162" i="30"/>
  <c r="N163" i="30"/>
  <c r="N164" i="30"/>
  <c r="N165" i="30"/>
  <c r="N166" i="30"/>
  <c r="N167" i="30"/>
  <c r="N168" i="30"/>
  <c r="N169" i="30"/>
  <c r="N170" i="30"/>
  <c r="N174" i="30"/>
  <c r="N175" i="30"/>
  <c r="N176" i="30"/>
  <c r="N177" i="30"/>
  <c r="N178" i="30"/>
  <c r="N179" i="30"/>
  <c r="N180" i="30"/>
  <c r="N133" i="30"/>
  <c r="H152" i="30"/>
  <c r="H138" i="30"/>
  <c r="H139" i="30"/>
  <c r="H140" i="30"/>
  <c r="H141" i="30"/>
  <c r="H137" i="30"/>
  <c r="F152" i="30"/>
  <c r="F138" i="30"/>
  <c r="F139" i="30"/>
  <c r="F140" i="30"/>
  <c r="F141" i="30"/>
  <c r="F137" i="30"/>
  <c r="D134" i="30"/>
  <c r="D135" i="30"/>
  <c r="D136" i="30"/>
  <c r="D137" i="30"/>
  <c r="D138" i="30"/>
  <c r="D139" i="30"/>
  <c r="D140" i="30"/>
  <c r="D141" i="30"/>
  <c r="D142" i="30"/>
  <c r="D143" i="30"/>
  <c r="D144" i="30"/>
  <c r="D145" i="30"/>
  <c r="D146" i="30"/>
  <c r="D147" i="30"/>
  <c r="D148" i="30"/>
  <c r="D149" i="30"/>
  <c r="D150" i="30"/>
  <c r="D151" i="30"/>
  <c r="D152" i="30"/>
  <c r="D133" i="30"/>
  <c r="D116" i="30"/>
  <c r="D117" i="30"/>
  <c r="D118" i="30"/>
  <c r="D115" i="30"/>
  <c r="D109" i="30"/>
  <c r="D110" i="30"/>
  <c r="D111" i="30"/>
  <c r="D112" i="30"/>
  <c r="D113" i="30"/>
  <c r="D108" i="30"/>
  <c r="F74" i="30"/>
  <c r="E74" i="30"/>
  <c r="D74" i="30"/>
  <c r="F85" i="30"/>
  <c r="E85" i="30"/>
  <c r="D85" i="30"/>
  <c r="D99" i="30"/>
  <c r="C99" i="30"/>
  <c r="D98" i="30"/>
  <c r="C98" i="30"/>
  <c r="D84" i="30"/>
  <c r="C84" i="30"/>
  <c r="D83" i="30"/>
  <c r="C83" i="30"/>
  <c r="C82" i="30"/>
  <c r="C81" i="30"/>
  <c r="D80" i="30"/>
  <c r="C80" i="30"/>
  <c r="D79" i="30"/>
  <c r="C79" i="30"/>
  <c r="D78" i="30"/>
  <c r="C78" i="30"/>
  <c r="B200" i="30" l="1"/>
  <c r="F200" i="30" s="1"/>
  <c r="B175" i="30"/>
  <c r="B198" i="30"/>
  <c r="F198" i="30" s="1"/>
  <c r="B173" i="30"/>
  <c r="H80" i="30"/>
  <c r="J80" i="30"/>
  <c r="I80" i="30"/>
  <c r="H98" i="30"/>
  <c r="J98" i="30"/>
  <c r="I98" i="30"/>
  <c r="H84" i="30"/>
  <c r="J84" i="30"/>
  <c r="I84" i="30"/>
  <c r="I81" i="30"/>
  <c r="H81" i="30"/>
  <c r="J81" i="30"/>
  <c r="J99" i="30"/>
  <c r="H99" i="30"/>
  <c r="I99" i="30"/>
  <c r="J82" i="30"/>
  <c r="I82" i="30"/>
  <c r="H79" i="30"/>
  <c r="J79" i="30"/>
  <c r="I79" i="30"/>
  <c r="H78" i="30"/>
  <c r="I78" i="30"/>
  <c r="J78" i="30"/>
  <c r="J83" i="30"/>
  <c r="H83" i="30"/>
  <c r="I83" i="30"/>
  <c r="F162" i="40"/>
  <c r="G80" i="30" l="1"/>
  <c r="G79" i="30"/>
  <c r="E202" i="30"/>
  <c r="E177" i="30"/>
  <c r="D202" i="30"/>
  <c r="D177" i="30"/>
  <c r="C202" i="30"/>
  <c r="C177" i="30"/>
  <c r="G78" i="30"/>
  <c r="M220" i="30"/>
  <c r="B202" i="30" l="1"/>
  <c r="F202" i="30" s="1"/>
  <c r="B177" i="30"/>
  <c r="D126" i="32"/>
  <c r="E126" i="32" s="1"/>
  <c r="D127" i="32"/>
  <c r="E127" i="32" s="1"/>
  <c r="D128" i="32"/>
  <c r="E128" i="32" s="1"/>
  <c r="F224" i="30" l="1"/>
  <c r="F234" i="30" s="1"/>
  <c r="G224" i="30"/>
  <c r="H224" i="30"/>
  <c r="G234" i="30"/>
  <c r="H234" i="30"/>
  <c r="F235" i="30"/>
  <c r="E236" i="30"/>
  <c r="F236" i="30"/>
  <c r="E237" i="30"/>
  <c r="F237" i="30"/>
  <c r="E238" i="30"/>
  <c r="F238" i="30"/>
  <c r="E240" i="30"/>
  <c r="E241" i="30"/>
  <c r="E242" i="30"/>
  <c r="F242" i="30"/>
  <c r="E243" i="30"/>
  <c r="F243" i="30"/>
  <c r="E252" i="30"/>
  <c r="F252" i="30"/>
  <c r="E253" i="30"/>
  <c r="F253" i="30"/>
  <c r="O184" i="40"/>
  <c r="O183" i="40"/>
  <c r="O182" i="40"/>
  <c r="O181" i="40"/>
  <c r="O180" i="40"/>
  <c r="K184" i="40"/>
  <c r="K183" i="40"/>
  <c r="K182" i="40"/>
  <c r="K181" i="40"/>
  <c r="K180" i="40"/>
  <c r="N184" i="40"/>
  <c r="N183" i="40"/>
  <c r="N182" i="40"/>
  <c r="N181" i="40"/>
  <c r="N180" i="40"/>
  <c r="J184" i="40"/>
  <c r="J183" i="40"/>
  <c r="J182" i="40"/>
  <c r="J181" i="40"/>
  <c r="J180" i="40"/>
  <c r="M184" i="40"/>
  <c r="M183" i="40"/>
  <c r="M182" i="40"/>
  <c r="M181" i="40"/>
  <c r="M180" i="40"/>
  <c r="I184" i="40"/>
  <c r="I183" i="40"/>
  <c r="I182" i="40"/>
  <c r="I181" i="40"/>
  <c r="I180" i="40"/>
  <c r="L184" i="40"/>
  <c r="L183" i="40"/>
  <c r="L182" i="40"/>
  <c r="L181" i="40"/>
  <c r="L180" i="40"/>
  <c r="H184" i="40"/>
  <c r="H183" i="40"/>
  <c r="H182" i="40"/>
  <c r="H181" i="40"/>
  <c r="H180" i="40"/>
  <c r="S440" i="40"/>
  <c r="S439" i="40"/>
  <c r="S438" i="40"/>
  <c r="S437" i="40"/>
  <c r="S436" i="40"/>
  <c r="R440" i="40"/>
  <c r="R439" i="40"/>
  <c r="R438" i="40"/>
  <c r="R437" i="40"/>
  <c r="R436" i="40"/>
  <c r="Q440" i="40"/>
  <c r="Q439" i="40"/>
  <c r="Q438" i="40"/>
  <c r="Q437" i="40"/>
  <c r="Q436" i="40"/>
  <c r="P440" i="40"/>
  <c r="P439" i="40"/>
  <c r="P438" i="40"/>
  <c r="P437" i="40"/>
  <c r="P436" i="40"/>
  <c r="S434" i="40"/>
  <c r="S433" i="40"/>
  <c r="S432" i="40"/>
  <c r="S430" i="40"/>
  <c r="S431" i="40"/>
  <c r="R434" i="40"/>
  <c r="R433" i="40"/>
  <c r="R432" i="40"/>
  <c r="R431" i="40"/>
  <c r="R430" i="40"/>
  <c r="Q434" i="40"/>
  <c r="Q433" i="40"/>
  <c r="Q432" i="40"/>
  <c r="Q431" i="40"/>
  <c r="Q430" i="40"/>
  <c r="P430" i="40"/>
  <c r="P434" i="40"/>
  <c r="P433" i="40"/>
  <c r="P432" i="40"/>
  <c r="P431" i="40"/>
  <c r="O179" i="40"/>
  <c r="O178" i="40"/>
  <c r="O177" i="40"/>
  <c r="O176" i="40"/>
  <c r="O175" i="40"/>
  <c r="O174" i="40"/>
  <c r="O173" i="40"/>
  <c r="O172" i="40"/>
  <c r="O171" i="40"/>
  <c r="K179" i="40"/>
  <c r="K178" i="40"/>
  <c r="K177" i="40"/>
  <c r="K176" i="40"/>
  <c r="K175" i="40"/>
  <c r="K174" i="40"/>
  <c r="K173" i="40"/>
  <c r="K172" i="40"/>
  <c r="K171" i="40"/>
  <c r="G179" i="40"/>
  <c r="G178" i="40"/>
  <c r="G177" i="40"/>
  <c r="G176" i="40"/>
  <c r="G175" i="40"/>
  <c r="G174" i="40"/>
  <c r="G173" i="40"/>
  <c r="G172" i="40"/>
  <c r="G171" i="40"/>
  <c r="N179" i="40"/>
  <c r="N178" i="40"/>
  <c r="N177" i="40"/>
  <c r="N176" i="40"/>
  <c r="N175" i="40"/>
  <c r="N174" i="40"/>
  <c r="N173" i="40"/>
  <c r="N172" i="40"/>
  <c r="N171" i="40"/>
  <c r="J179" i="40"/>
  <c r="J178" i="40"/>
  <c r="J177" i="40"/>
  <c r="J176" i="40"/>
  <c r="J175" i="40"/>
  <c r="J174" i="40"/>
  <c r="J173" i="40"/>
  <c r="J172" i="40"/>
  <c r="J171" i="40"/>
  <c r="F179" i="40"/>
  <c r="F178" i="40"/>
  <c r="F177" i="40"/>
  <c r="F176" i="40"/>
  <c r="F175" i="40"/>
  <c r="F174" i="40"/>
  <c r="F173" i="40"/>
  <c r="F172" i="40"/>
  <c r="F171" i="40"/>
  <c r="M179" i="40"/>
  <c r="M178" i="40"/>
  <c r="M177" i="40"/>
  <c r="M176" i="40"/>
  <c r="M175" i="40"/>
  <c r="M174" i="40"/>
  <c r="M173" i="40"/>
  <c r="M172" i="40"/>
  <c r="M171" i="40"/>
  <c r="I179" i="40"/>
  <c r="I178" i="40"/>
  <c r="I177" i="40"/>
  <c r="I176" i="40"/>
  <c r="I175" i="40"/>
  <c r="I174" i="40"/>
  <c r="I173" i="40"/>
  <c r="I172" i="40"/>
  <c r="I171" i="40"/>
  <c r="E179" i="40"/>
  <c r="E178" i="40"/>
  <c r="E177" i="40"/>
  <c r="E176" i="40"/>
  <c r="E175" i="40"/>
  <c r="E174" i="40"/>
  <c r="E173" i="40"/>
  <c r="E172" i="40"/>
  <c r="E171" i="40"/>
  <c r="L179" i="40"/>
  <c r="L178" i="40"/>
  <c r="L177" i="40"/>
  <c r="L176" i="40"/>
  <c r="L175" i="40"/>
  <c r="L174" i="40"/>
  <c r="L173" i="40"/>
  <c r="L172" i="40"/>
  <c r="L171" i="40"/>
  <c r="H179" i="40"/>
  <c r="H178" i="40"/>
  <c r="H177" i="40"/>
  <c r="H176" i="40"/>
  <c r="H175" i="40"/>
  <c r="H174" i="40"/>
  <c r="H173" i="40"/>
  <c r="H172" i="40"/>
  <c r="H171" i="40"/>
  <c r="D179" i="40"/>
  <c r="D178" i="40"/>
  <c r="D177" i="40"/>
  <c r="D176" i="40"/>
  <c r="D175" i="40"/>
  <c r="D174" i="40"/>
  <c r="D173" i="40"/>
  <c r="D172" i="40"/>
  <c r="D171" i="40"/>
  <c r="O170" i="40"/>
  <c r="O169" i="40"/>
  <c r="O168" i="40"/>
  <c r="O167" i="40"/>
  <c r="O166" i="40"/>
  <c r="O165" i="40"/>
  <c r="O164" i="40"/>
  <c r="O163" i="40"/>
  <c r="O162" i="40"/>
  <c r="K170" i="40"/>
  <c r="K169" i="40"/>
  <c r="K168" i="40"/>
  <c r="K167" i="40"/>
  <c r="K166" i="40"/>
  <c r="K165" i="40"/>
  <c r="K164" i="40"/>
  <c r="K163" i="40"/>
  <c r="K162" i="40"/>
  <c r="G170" i="40"/>
  <c r="G169" i="40"/>
  <c r="G168" i="40"/>
  <c r="G167" i="40"/>
  <c r="G166" i="40"/>
  <c r="G165" i="40"/>
  <c r="G164" i="40"/>
  <c r="G163" i="40"/>
  <c r="G162" i="40"/>
  <c r="N170" i="40"/>
  <c r="N169" i="40"/>
  <c r="N168" i="40"/>
  <c r="N167" i="40"/>
  <c r="N166" i="40"/>
  <c r="N165" i="40"/>
  <c r="N164" i="40"/>
  <c r="N163" i="40"/>
  <c r="N162" i="40"/>
  <c r="J170" i="40"/>
  <c r="J169" i="40"/>
  <c r="J168" i="40"/>
  <c r="J167" i="40"/>
  <c r="J166" i="40"/>
  <c r="J165" i="40"/>
  <c r="J164" i="40"/>
  <c r="J163" i="40"/>
  <c r="J162" i="40"/>
  <c r="F170" i="40"/>
  <c r="F169" i="40"/>
  <c r="F168" i="40"/>
  <c r="F167" i="40"/>
  <c r="F166" i="40"/>
  <c r="F165" i="40"/>
  <c r="F164" i="40"/>
  <c r="F163" i="40"/>
  <c r="M170" i="40"/>
  <c r="M169" i="40"/>
  <c r="M168" i="40"/>
  <c r="M167" i="40"/>
  <c r="M166" i="40"/>
  <c r="M165" i="40"/>
  <c r="M164" i="40"/>
  <c r="M163" i="40"/>
  <c r="M162" i="40"/>
  <c r="I170" i="40"/>
  <c r="I169" i="40"/>
  <c r="I168" i="40"/>
  <c r="I167" i="40"/>
  <c r="I166" i="40"/>
  <c r="I165" i="40"/>
  <c r="I164" i="40"/>
  <c r="I163" i="40"/>
  <c r="I162" i="40"/>
  <c r="E170" i="40"/>
  <c r="E169" i="40"/>
  <c r="E168" i="40"/>
  <c r="E167" i="40"/>
  <c r="E166" i="40"/>
  <c r="E165" i="40"/>
  <c r="E164" i="40"/>
  <c r="E163" i="40"/>
  <c r="E162" i="40"/>
  <c r="L170" i="40"/>
  <c r="L169" i="40"/>
  <c r="L168" i="40"/>
  <c r="L167" i="40"/>
  <c r="L166" i="40"/>
  <c r="L165" i="40"/>
  <c r="L164" i="40"/>
  <c r="L163" i="40"/>
  <c r="L162" i="40"/>
  <c r="H170" i="40"/>
  <c r="H169" i="40"/>
  <c r="H168" i="40"/>
  <c r="H167" i="40"/>
  <c r="H166" i="40"/>
  <c r="H165" i="40"/>
  <c r="H164" i="40"/>
  <c r="H163" i="40"/>
  <c r="H162" i="40"/>
  <c r="D170" i="40"/>
  <c r="D169" i="40"/>
  <c r="D168" i="40"/>
  <c r="D163" i="40"/>
  <c r="D162" i="40"/>
  <c r="D167" i="40"/>
  <c r="D166" i="40"/>
  <c r="D165" i="40"/>
  <c r="D164" i="40"/>
  <c r="SUB366" i="40"/>
  <c r="STL366" i="40"/>
  <c r="SSV366" i="40"/>
  <c r="SSF366" i="40"/>
  <c r="SRP366" i="40"/>
  <c r="SQZ366" i="40"/>
  <c r="SQJ366" i="40"/>
  <c r="SPT366" i="40"/>
  <c r="SPD366" i="40"/>
  <c r="SON366" i="40"/>
  <c r="SNX366" i="40"/>
  <c r="SNH366" i="40"/>
  <c r="SMR366" i="40"/>
  <c r="SMB366" i="40"/>
  <c r="SLL366" i="40"/>
  <c r="SKV366" i="40"/>
  <c r="SKF366" i="40"/>
  <c r="SJP366" i="40"/>
  <c r="SIZ366" i="40"/>
  <c r="SIJ366" i="40"/>
  <c r="SHT366" i="40"/>
  <c r="SHD366" i="40"/>
  <c r="SGN366" i="40"/>
  <c r="SFX366" i="40"/>
  <c r="SFH366" i="40"/>
  <c r="SER366" i="40"/>
  <c r="SEB366" i="40"/>
  <c r="SDL366" i="40"/>
  <c r="SCV366" i="40"/>
  <c r="SCF366" i="40"/>
  <c r="SBP366" i="40"/>
  <c r="SAZ366" i="40"/>
  <c r="SAJ366" i="40"/>
  <c r="RZT366" i="40"/>
  <c r="RZD366" i="40"/>
  <c r="RYN366" i="40"/>
  <c r="RXX366" i="40"/>
  <c r="RXH366" i="40"/>
  <c r="RWR366" i="40"/>
  <c r="RWB366" i="40"/>
  <c r="RVL366" i="40"/>
  <c r="RUV366" i="40"/>
  <c r="RUF366" i="40"/>
  <c r="RTP366" i="40"/>
  <c r="RSZ366" i="40"/>
  <c r="RSJ366" i="40"/>
  <c r="RRT366" i="40"/>
  <c r="RRD366" i="40"/>
  <c r="RQN366" i="40"/>
  <c r="RPX366" i="40"/>
  <c r="RPH366" i="40"/>
  <c r="ROR366" i="40"/>
  <c r="ROB366" i="40"/>
  <c r="RNL366" i="40"/>
  <c r="RMV366" i="40"/>
  <c r="RMF366" i="40"/>
  <c r="RLP366" i="40"/>
  <c r="RKZ366" i="40"/>
  <c r="RKJ366" i="40"/>
  <c r="RJT366" i="40"/>
  <c r="RJD366" i="40"/>
  <c r="RIN366" i="40"/>
  <c r="RHX366" i="40"/>
  <c r="RHH366" i="40"/>
  <c r="RGR366" i="40"/>
  <c r="RGB366" i="40"/>
  <c r="RFL366" i="40"/>
  <c r="REV366" i="40"/>
  <c r="REF366" i="40"/>
  <c r="RDP366" i="40"/>
  <c r="RCZ366" i="40"/>
  <c r="RCJ366" i="40"/>
  <c r="RBT366" i="40"/>
  <c r="RBD366" i="40"/>
  <c r="RAN366" i="40"/>
  <c r="QZX366" i="40"/>
  <c r="QZH366" i="40"/>
  <c r="QYR366" i="40"/>
  <c r="QYB366" i="40"/>
  <c r="QXL366" i="40"/>
  <c r="QWV366" i="40"/>
  <c r="QWF366" i="40"/>
  <c r="QVP366" i="40"/>
  <c r="QUZ366" i="40"/>
  <c r="QUJ366" i="40"/>
  <c r="QTT366" i="40"/>
  <c r="QTD366" i="40"/>
  <c r="QSN366" i="40"/>
  <c r="QRX366" i="40"/>
  <c r="QRH366" i="40"/>
  <c r="QQR366" i="40"/>
  <c r="QQB366" i="40"/>
  <c r="QPL366" i="40"/>
  <c r="QOV366" i="40"/>
  <c r="QOF366" i="40"/>
  <c r="QNP366" i="40"/>
  <c r="QMZ366" i="40"/>
  <c r="QMJ366" i="40"/>
  <c r="QLT366" i="40"/>
  <c r="QLD366" i="40"/>
  <c r="QKN366" i="40"/>
  <c r="QJX366" i="40"/>
  <c r="QJH366" i="40"/>
  <c r="QIR366" i="40"/>
  <c r="QIB366" i="40"/>
  <c r="QHL366" i="40"/>
  <c r="QGV366" i="40"/>
  <c r="QGF366" i="40"/>
  <c r="QFP366" i="40"/>
  <c r="QEZ366" i="40"/>
  <c r="QEJ366" i="40"/>
  <c r="QDT366" i="40"/>
  <c r="QDD366" i="40"/>
  <c r="QCN366" i="40"/>
  <c r="QBX366" i="40"/>
  <c r="QBH366" i="40"/>
  <c r="QAR366" i="40"/>
  <c r="QAB366" i="40"/>
  <c r="PZL366" i="40"/>
  <c r="PYV366" i="40"/>
  <c r="PYF366" i="40"/>
  <c r="PXP366" i="40"/>
  <c r="PWZ366" i="40"/>
  <c r="PWJ366" i="40"/>
  <c r="PVT366" i="40"/>
  <c r="PVD366" i="40"/>
  <c r="PUN366" i="40"/>
  <c r="PTX366" i="40"/>
  <c r="PTH366" i="40"/>
  <c r="PSR366" i="40"/>
  <c r="PSB366" i="40"/>
  <c r="PRL366" i="40"/>
  <c r="PQV366" i="40"/>
  <c r="PQF366" i="40"/>
  <c r="PPP366" i="40"/>
  <c r="POZ366" i="40"/>
  <c r="POJ366" i="40"/>
  <c r="PNT366" i="40"/>
  <c r="PND366" i="40"/>
  <c r="PMN366" i="40"/>
  <c r="PLX366" i="40"/>
  <c r="PLH366" i="40"/>
  <c r="PKR366" i="40"/>
  <c r="PKB366" i="40"/>
  <c r="PJL366" i="40"/>
  <c r="PIV366" i="40"/>
  <c r="PIF366" i="40"/>
  <c r="PHP366" i="40"/>
  <c r="PGZ366" i="40"/>
  <c r="PGJ366" i="40"/>
  <c r="PFT366" i="40"/>
  <c r="PFD366" i="40"/>
  <c r="PEN366" i="40"/>
  <c r="PDX366" i="40"/>
  <c r="PDH366" i="40"/>
  <c r="PCR366" i="40"/>
  <c r="PCB366" i="40"/>
  <c r="PBL366" i="40"/>
  <c r="PAV366" i="40"/>
  <c r="PAF366" i="40"/>
  <c r="OZP366" i="40"/>
  <c r="OYZ366" i="40"/>
  <c r="OYJ366" i="40"/>
  <c r="OXT366" i="40"/>
  <c r="OXD366" i="40"/>
  <c r="OWN366" i="40"/>
  <c r="OVX366" i="40"/>
  <c r="OVH366" i="40"/>
  <c r="OUR366" i="40"/>
  <c r="OUB366" i="40"/>
  <c r="OTL366" i="40"/>
  <c r="OSV366" i="40"/>
  <c r="OSF366" i="40"/>
  <c r="ORP366" i="40"/>
  <c r="OQZ366" i="40"/>
  <c r="OQJ366" i="40"/>
  <c r="OPT366" i="40"/>
  <c r="OPD366" i="40"/>
  <c r="OON366" i="40"/>
  <c r="ONX366" i="40"/>
  <c r="ONH366" i="40"/>
  <c r="OMR366" i="40"/>
  <c r="OMB366" i="40"/>
  <c r="OLL366" i="40"/>
  <c r="OKV366" i="40"/>
  <c r="OKF366" i="40"/>
  <c r="OJP366" i="40"/>
  <c r="OIZ366" i="40"/>
  <c r="OIJ366" i="40"/>
  <c r="OHT366" i="40"/>
  <c r="OHD366" i="40"/>
  <c r="OGN366" i="40"/>
  <c r="OFX366" i="40"/>
  <c r="OFH366" i="40"/>
  <c r="OER366" i="40"/>
  <c r="OEB366" i="40"/>
  <c r="ODL366" i="40"/>
  <c r="OCV366" i="40"/>
  <c r="OCF366" i="40"/>
  <c r="OBP366" i="40"/>
  <c r="OAZ366" i="40"/>
  <c r="OAJ366" i="40"/>
  <c r="NZT366" i="40"/>
  <c r="NZD366" i="40"/>
  <c r="NYN366" i="40"/>
  <c r="NXX366" i="40"/>
  <c r="NXH366" i="40"/>
  <c r="NWR366" i="40"/>
  <c r="NWB366" i="40"/>
  <c r="NVL366" i="40"/>
  <c r="NUV366" i="40"/>
  <c r="NUF366" i="40"/>
  <c r="NTP366" i="40"/>
  <c r="NSZ366" i="40"/>
  <c r="NSJ366" i="40"/>
  <c r="NRT366" i="40"/>
  <c r="NRD366" i="40"/>
  <c r="NQN366" i="40"/>
  <c r="NPX366" i="40"/>
  <c r="NPH366" i="40"/>
  <c r="NOR366" i="40"/>
  <c r="NOB366" i="40"/>
  <c r="NNL366" i="40"/>
  <c r="NMV366" i="40"/>
  <c r="NMF366" i="40"/>
  <c r="NLP366" i="40"/>
  <c r="NKZ366" i="40"/>
  <c r="NKJ366" i="40"/>
  <c r="NJT366" i="40"/>
  <c r="NJD366" i="40"/>
  <c r="NIN366" i="40"/>
  <c r="NHX366" i="40"/>
  <c r="NHH366" i="40"/>
  <c r="NGR366" i="40"/>
  <c r="NGB366" i="40"/>
  <c r="NFL366" i="40"/>
  <c r="NEV366" i="40"/>
  <c r="NEF366" i="40"/>
  <c r="NDP366" i="40"/>
  <c r="NCZ366" i="40"/>
  <c r="NCJ366" i="40"/>
  <c r="NBT366" i="40"/>
  <c r="NBD366" i="40"/>
  <c r="NAN366" i="40"/>
  <c r="MZX366" i="40"/>
  <c r="MZH366" i="40"/>
  <c r="MYR366" i="40"/>
  <c r="MYB366" i="40"/>
  <c r="MXL366" i="40"/>
  <c r="MWV366" i="40"/>
  <c r="MWF366" i="40"/>
  <c r="MVP366" i="40"/>
  <c r="MUZ366" i="40"/>
  <c r="MUJ366" i="40"/>
  <c r="MTT366" i="40"/>
  <c r="MTD366" i="40"/>
  <c r="MSN366" i="40"/>
  <c r="MRX366" i="40"/>
  <c r="MRH366" i="40"/>
  <c r="MQR366" i="40"/>
  <c r="MQB366" i="40"/>
  <c r="MPL366" i="40"/>
  <c r="MOV366" i="40"/>
  <c r="MOF366" i="40"/>
  <c r="MNP366" i="40"/>
  <c r="MMZ366" i="40"/>
  <c r="MMJ366" i="40"/>
  <c r="MLT366" i="40"/>
  <c r="MLD366" i="40"/>
  <c r="MKN366" i="40"/>
  <c r="MJX366" i="40"/>
  <c r="MJH366" i="40"/>
  <c r="MIR366" i="40"/>
  <c r="MIB366" i="40"/>
  <c r="MHL366" i="40"/>
  <c r="MGV366" i="40"/>
  <c r="MGF366" i="40"/>
  <c r="MFP366" i="40"/>
  <c r="MEZ366" i="40"/>
  <c r="MEJ366" i="40"/>
  <c r="MDT366" i="40"/>
  <c r="MDD366" i="40"/>
  <c r="MCN366" i="40"/>
  <c r="MBX366" i="40"/>
  <c r="MBH366" i="40"/>
  <c r="MAR366" i="40"/>
  <c r="MAB366" i="40"/>
  <c r="LZL366" i="40"/>
  <c r="LYV366" i="40"/>
  <c r="LYF366" i="40"/>
  <c r="LXP366" i="40"/>
  <c r="LWZ366" i="40"/>
  <c r="LWJ366" i="40"/>
  <c r="LVT366" i="40"/>
  <c r="LVD366" i="40"/>
  <c r="LUN366" i="40"/>
  <c r="LTX366" i="40"/>
  <c r="LTH366" i="40"/>
  <c r="LSR366" i="40"/>
  <c r="LSB366" i="40"/>
  <c r="LRL366" i="40"/>
  <c r="LQV366" i="40"/>
  <c r="LQF366" i="40"/>
  <c r="LPP366" i="40"/>
  <c r="LOZ366" i="40"/>
  <c r="LOJ366" i="40"/>
  <c r="LNT366" i="40"/>
  <c r="LND366" i="40"/>
  <c r="LMN366" i="40"/>
  <c r="LLX366" i="40"/>
  <c r="LLH366" i="40"/>
  <c r="LKR366" i="40"/>
  <c r="LKB366" i="40"/>
  <c r="LJL366" i="40"/>
  <c r="LIV366" i="40"/>
  <c r="LIF366" i="40"/>
  <c r="LHP366" i="40"/>
  <c r="LGZ366" i="40"/>
  <c r="LGJ366" i="40"/>
  <c r="LFT366" i="40"/>
  <c r="LFD366" i="40"/>
  <c r="LEN366" i="40"/>
  <c r="LDX366" i="40"/>
  <c r="LDH366" i="40"/>
  <c r="LCR366" i="40"/>
  <c r="LCB366" i="40"/>
  <c r="LBL366" i="40"/>
  <c r="LAV366" i="40"/>
  <c r="LAF366" i="40"/>
  <c r="KZP366" i="40"/>
  <c r="KYZ366" i="40"/>
  <c r="KYJ366" i="40"/>
  <c r="KXT366" i="40"/>
  <c r="KXD366" i="40"/>
  <c r="KWN366" i="40"/>
  <c r="KVX366" i="40"/>
  <c r="KVH366" i="40"/>
  <c r="KUR366" i="40"/>
  <c r="KUB366" i="40"/>
  <c r="KTL366" i="40"/>
  <c r="KSV366" i="40"/>
  <c r="KSF366" i="40"/>
  <c r="KRP366" i="40"/>
  <c r="KQZ366" i="40"/>
  <c r="KQJ366" i="40"/>
  <c r="KPT366" i="40"/>
  <c r="KPD366" i="40"/>
  <c r="KON366" i="40"/>
  <c r="KNX366" i="40"/>
  <c r="KNH366" i="40"/>
  <c r="KMR366" i="40"/>
  <c r="KMB366" i="40"/>
  <c r="KLL366" i="40"/>
  <c r="KKV366" i="40"/>
  <c r="KKF366" i="40"/>
  <c r="KJP366" i="40"/>
  <c r="KIZ366" i="40"/>
  <c r="KIJ366" i="40"/>
  <c r="KHT366" i="40"/>
  <c r="KHD366" i="40"/>
  <c r="KGN366" i="40"/>
  <c r="KFX366" i="40"/>
  <c r="KFH366" i="40"/>
  <c r="KER366" i="40"/>
  <c r="KEB366" i="40"/>
  <c r="KDL366" i="40"/>
  <c r="KCV366" i="40"/>
  <c r="KCF366" i="40"/>
  <c r="KBP366" i="40"/>
  <c r="KAZ366" i="40"/>
  <c r="KAJ366" i="40"/>
  <c r="JZT366" i="40"/>
  <c r="JZD366" i="40"/>
  <c r="JYN366" i="40"/>
  <c r="JXX366" i="40"/>
  <c r="JXH366" i="40"/>
  <c r="JWR366" i="40"/>
  <c r="JWB366" i="40"/>
  <c r="JVL366" i="40"/>
  <c r="JUV366" i="40"/>
  <c r="JUF366" i="40"/>
  <c r="JTP366" i="40"/>
  <c r="JSZ366" i="40"/>
  <c r="JSJ366" i="40"/>
  <c r="JRT366" i="40"/>
  <c r="JRD366" i="40"/>
  <c r="JQN366" i="40"/>
  <c r="JPX366" i="40"/>
  <c r="JPH366" i="40"/>
  <c r="JOR366" i="40"/>
  <c r="JOB366" i="40"/>
  <c r="JNL366" i="40"/>
  <c r="JMV366" i="40"/>
  <c r="JMF366" i="40"/>
  <c r="JLP366" i="40"/>
  <c r="JKZ366" i="40"/>
  <c r="JKJ366" i="40"/>
  <c r="JJT366" i="40"/>
  <c r="JJD366" i="40"/>
  <c r="JIN366" i="40"/>
  <c r="JHX366" i="40"/>
  <c r="JHH366" i="40"/>
  <c r="JGR366" i="40"/>
  <c r="JGB366" i="40"/>
  <c r="JFL366" i="40"/>
  <c r="JEV366" i="40"/>
  <c r="JEF366" i="40"/>
  <c r="JDP366" i="40"/>
  <c r="JCZ366" i="40"/>
  <c r="JCJ366" i="40"/>
  <c r="JBT366" i="40"/>
  <c r="JBD366" i="40"/>
  <c r="JAN366" i="40"/>
  <c r="IZX366" i="40"/>
  <c r="IZH366" i="40"/>
  <c r="IYR366" i="40"/>
  <c r="IYB366" i="40"/>
  <c r="IXL366" i="40"/>
  <c r="IWV366" i="40"/>
  <c r="IWF366" i="40"/>
  <c r="IVP366" i="40"/>
  <c r="IUZ366" i="40"/>
  <c r="IUJ366" i="40"/>
  <c r="ITT366" i="40"/>
  <c r="ITD366" i="40"/>
  <c r="ISN366" i="40"/>
  <c r="IRX366" i="40"/>
  <c r="IRH366" i="40"/>
  <c r="IQR366" i="40"/>
  <c r="IQB366" i="40"/>
  <c r="IPL366" i="40"/>
  <c r="IOV366" i="40"/>
  <c r="IOF366" i="40"/>
  <c r="INP366" i="40"/>
  <c r="IMZ366" i="40"/>
  <c r="IMJ366" i="40"/>
  <c r="ILT366" i="40"/>
  <c r="ILD366" i="40"/>
  <c r="IKN366" i="40"/>
  <c r="IJX366" i="40"/>
  <c r="IJH366" i="40"/>
  <c r="IIR366" i="40"/>
  <c r="IIB366" i="40"/>
  <c r="IHL366" i="40"/>
  <c r="IGV366" i="40"/>
  <c r="IGF366" i="40"/>
  <c r="IFP366" i="40"/>
  <c r="IEZ366" i="40"/>
  <c r="IEJ366" i="40"/>
  <c r="IDT366" i="40"/>
  <c r="IDD366" i="40"/>
  <c r="ICN366" i="40"/>
  <c r="IBX366" i="40"/>
  <c r="IBH366" i="40"/>
  <c r="IAR366" i="40"/>
  <c r="IAB366" i="40"/>
  <c r="HZL366" i="40"/>
  <c r="HYV366" i="40"/>
  <c r="HYF366" i="40"/>
  <c r="HXP366" i="40"/>
  <c r="HWZ366" i="40"/>
  <c r="HWJ366" i="40"/>
  <c r="HVT366" i="40"/>
  <c r="HVD366" i="40"/>
  <c r="HUN366" i="40"/>
  <c r="HTX366" i="40"/>
  <c r="HTH366" i="40"/>
  <c r="HSR366" i="40"/>
  <c r="HSB366" i="40"/>
  <c r="HRL366" i="40"/>
  <c r="HQV366" i="40"/>
  <c r="HQF366" i="40"/>
  <c r="HPP366" i="40"/>
  <c r="HOZ366" i="40"/>
  <c r="HOJ366" i="40"/>
  <c r="HNT366" i="40"/>
  <c r="HND366" i="40"/>
  <c r="HMN366" i="40"/>
  <c r="HLX366" i="40"/>
  <c r="HLH366" i="40"/>
  <c r="HKR366" i="40"/>
  <c r="HKB366" i="40"/>
  <c r="HJL366" i="40"/>
  <c r="HIV366" i="40"/>
  <c r="HIF366" i="40"/>
  <c r="HHP366" i="40"/>
  <c r="HGZ366" i="40"/>
  <c r="HGJ366" i="40"/>
  <c r="HFT366" i="40"/>
  <c r="HFD366" i="40"/>
  <c r="HEN366" i="40"/>
  <c r="HDX366" i="40"/>
  <c r="HDH366" i="40"/>
  <c r="HCR366" i="40"/>
  <c r="HCB366" i="40"/>
  <c r="HBL366" i="40"/>
  <c r="HAV366" i="40"/>
  <c r="HAF366" i="40"/>
  <c r="GZP366" i="40"/>
  <c r="GYZ366" i="40"/>
  <c r="GYJ366" i="40"/>
  <c r="GXT366" i="40"/>
  <c r="GXD366" i="40"/>
  <c r="GWN366" i="40"/>
  <c r="GVX366" i="40"/>
  <c r="GVH366" i="40"/>
  <c r="GUR366" i="40"/>
  <c r="GUB366" i="40"/>
  <c r="GTL366" i="40"/>
  <c r="GSV366" i="40"/>
  <c r="GSF366" i="40"/>
  <c r="GRP366" i="40"/>
  <c r="GQZ366" i="40"/>
  <c r="GQJ366" i="40"/>
  <c r="GPT366" i="40"/>
  <c r="GPD366" i="40"/>
  <c r="GON366" i="40"/>
  <c r="GNX366" i="40"/>
  <c r="GNH366" i="40"/>
  <c r="GMR366" i="40"/>
  <c r="GMB366" i="40"/>
  <c r="GLL366" i="40"/>
  <c r="GKV366" i="40"/>
  <c r="GKF366" i="40"/>
  <c r="GJP366" i="40"/>
  <c r="GIZ366" i="40"/>
  <c r="GIJ366" i="40"/>
  <c r="GHT366" i="40"/>
  <c r="GHD366" i="40"/>
  <c r="GGN366" i="40"/>
  <c r="GFX366" i="40"/>
  <c r="GFH366" i="40"/>
  <c r="GER366" i="40"/>
  <c r="GEB366" i="40"/>
  <c r="GDL366" i="40"/>
  <c r="GCV366" i="40"/>
  <c r="GCF366" i="40"/>
  <c r="GBP366" i="40"/>
  <c r="GAZ366" i="40"/>
  <c r="GAJ366" i="40"/>
  <c r="FZT366" i="40"/>
  <c r="FZD366" i="40"/>
  <c r="FYN366" i="40"/>
  <c r="FXX366" i="40"/>
  <c r="FXH366" i="40"/>
  <c r="FWR366" i="40"/>
  <c r="FWB366" i="40"/>
  <c r="FVL366" i="40"/>
  <c r="FUV366" i="40"/>
  <c r="FUF366" i="40"/>
  <c r="FTP366" i="40"/>
  <c r="FSZ366" i="40"/>
  <c r="FSJ366" i="40"/>
  <c r="FRT366" i="40"/>
  <c r="FRD366" i="40"/>
  <c r="FQN366" i="40"/>
  <c r="FPX366" i="40"/>
  <c r="FPH366" i="40"/>
  <c r="FOR366" i="40"/>
  <c r="FOB366" i="40"/>
  <c r="FNL366" i="40"/>
  <c r="FMV366" i="40"/>
  <c r="FMF366" i="40"/>
  <c r="FLP366" i="40"/>
  <c r="FKZ366" i="40"/>
  <c r="FKJ366" i="40"/>
  <c r="FJT366" i="40"/>
  <c r="FJD366" i="40"/>
  <c r="FIN366" i="40"/>
  <c r="FHX366" i="40"/>
  <c r="FHH366" i="40"/>
  <c r="FGR366" i="40"/>
  <c r="FGB366" i="40"/>
  <c r="FFL366" i="40"/>
  <c r="FEV366" i="40"/>
  <c r="FEF366" i="40"/>
  <c r="FDP366" i="40"/>
  <c r="FCZ366" i="40"/>
  <c r="FCJ366" i="40"/>
  <c r="FBT366" i="40"/>
  <c r="FBD366" i="40"/>
  <c r="FAN366" i="40"/>
  <c r="EZX366" i="40"/>
  <c r="EZH366" i="40"/>
  <c r="EYR366" i="40"/>
  <c r="EYB366" i="40"/>
  <c r="EXL366" i="40"/>
  <c r="EWV366" i="40"/>
  <c r="EWF366" i="40"/>
  <c r="EVP366" i="40"/>
  <c r="EUZ366" i="40"/>
  <c r="EUJ366" i="40"/>
  <c r="ETT366" i="40"/>
  <c r="ETD366" i="40"/>
  <c r="ESN366" i="40"/>
  <c r="ERX366" i="40"/>
  <c r="ERH366" i="40"/>
  <c r="EQR366" i="40"/>
  <c r="EQB366" i="40"/>
  <c r="EPL366" i="40"/>
  <c r="EOV366" i="40"/>
  <c r="EOF366" i="40"/>
  <c r="ENP366" i="40"/>
  <c r="EMZ366" i="40"/>
  <c r="EMJ366" i="40"/>
  <c r="ELT366" i="40"/>
  <c r="ELD366" i="40"/>
  <c r="EKN366" i="40"/>
  <c r="EJX366" i="40"/>
  <c r="EJH366" i="40"/>
  <c r="EIR366" i="40"/>
  <c r="EIB366" i="40"/>
  <c r="EHL366" i="40"/>
  <c r="EGV366" i="40"/>
  <c r="EGF366" i="40"/>
  <c r="EFP366" i="40"/>
  <c r="EEZ366" i="40"/>
  <c r="EEJ366" i="40"/>
  <c r="EDT366" i="40"/>
  <c r="EDD366" i="40"/>
  <c r="ECN366" i="40"/>
  <c r="EBX366" i="40"/>
  <c r="EBH366" i="40"/>
  <c r="EAR366" i="40"/>
  <c r="EAB366" i="40"/>
  <c r="DZL366" i="40"/>
  <c r="DYV366" i="40"/>
  <c r="DYF366" i="40"/>
  <c r="DXP366" i="40"/>
  <c r="DWZ366" i="40"/>
  <c r="DWJ366" i="40"/>
  <c r="DVT366" i="40"/>
  <c r="DVD366" i="40"/>
  <c r="DUN366" i="40"/>
  <c r="DTX366" i="40"/>
  <c r="DTH366" i="40"/>
  <c r="DSR366" i="40"/>
  <c r="DSB366" i="40"/>
  <c r="DRL366" i="40"/>
  <c r="DQV366" i="40"/>
  <c r="DQF366" i="40"/>
  <c r="DPP366" i="40"/>
  <c r="DOZ366" i="40"/>
  <c r="DOJ366" i="40"/>
  <c r="DNT366" i="40"/>
  <c r="DND366" i="40"/>
  <c r="DMN366" i="40"/>
  <c r="DLX366" i="40"/>
  <c r="DLH366" i="40"/>
  <c r="DKR366" i="40"/>
  <c r="DKB366" i="40"/>
  <c r="DJL366" i="40"/>
  <c r="DIV366" i="40"/>
  <c r="DIF366" i="40"/>
  <c r="DHP366" i="40"/>
  <c r="DGZ366" i="40"/>
  <c r="DGJ366" i="40"/>
  <c r="DFT366" i="40"/>
  <c r="DFD366" i="40"/>
  <c r="DEN366" i="40"/>
  <c r="DDX366" i="40"/>
  <c r="DDH366" i="40"/>
  <c r="DCR366" i="40"/>
  <c r="DCB366" i="40"/>
  <c r="DBL366" i="40"/>
  <c r="DAV366" i="40"/>
  <c r="DAF366" i="40"/>
  <c r="CZP366" i="40"/>
  <c r="CYZ366" i="40"/>
  <c r="CYJ366" i="40"/>
  <c r="CXT366" i="40"/>
  <c r="CXD366" i="40"/>
  <c r="CWN366" i="40"/>
  <c r="CVX366" i="40"/>
  <c r="CVH366" i="40"/>
  <c r="CUR366" i="40"/>
  <c r="CUB366" i="40"/>
  <c r="CTL366" i="40"/>
  <c r="CSV366" i="40"/>
  <c r="CSF366" i="40"/>
  <c r="CRP366" i="40"/>
  <c r="CQZ366" i="40"/>
  <c r="CQJ366" i="40"/>
  <c r="CPT366" i="40"/>
  <c r="CPD366" i="40"/>
  <c r="CON366" i="40"/>
  <c r="CNX366" i="40"/>
  <c r="CNH366" i="40"/>
  <c r="CMR366" i="40"/>
  <c r="CMB366" i="40"/>
  <c r="CLL366" i="40"/>
  <c r="CKV366" i="40"/>
  <c r="CKF366" i="40"/>
  <c r="CJP366" i="40"/>
  <c r="CIZ366" i="40"/>
  <c r="CIJ366" i="40"/>
  <c r="CHT366" i="40"/>
  <c r="CHD366" i="40"/>
  <c r="CGN366" i="40"/>
  <c r="CFX366" i="40"/>
  <c r="CFH366" i="40"/>
  <c r="CER366" i="40"/>
  <c r="CEB366" i="40"/>
  <c r="CDL366" i="40"/>
  <c r="CCV366" i="40"/>
  <c r="CCF366" i="40"/>
  <c r="CBP366" i="40"/>
  <c r="CAZ366" i="40"/>
  <c r="CAJ366" i="40"/>
  <c r="BZT366" i="40"/>
  <c r="BZD366" i="40"/>
  <c r="BYN366" i="40"/>
  <c r="BXX366" i="40"/>
  <c r="BXH366" i="40"/>
  <c r="BWR366" i="40"/>
  <c r="BWB366" i="40"/>
  <c r="BVL366" i="40"/>
  <c r="BUV366" i="40"/>
  <c r="BUF366" i="40"/>
  <c r="BTP366" i="40"/>
  <c r="BSZ366" i="40"/>
  <c r="BSJ366" i="40"/>
  <c r="BRT366" i="40"/>
  <c r="BRD366" i="40"/>
  <c r="BQN366" i="40"/>
  <c r="BPX366" i="40"/>
  <c r="BPH366" i="40"/>
  <c r="BOR366" i="40"/>
  <c r="BOB366" i="40"/>
  <c r="BNL366" i="40"/>
  <c r="BMV366" i="40"/>
  <c r="BMF366" i="40"/>
  <c r="BLP366" i="40"/>
  <c r="BKZ366" i="40"/>
  <c r="BKJ366" i="40"/>
  <c r="BJT366" i="40"/>
  <c r="BJD366" i="40"/>
  <c r="BIN366" i="40"/>
  <c r="BHX366" i="40"/>
  <c r="BHH366" i="40"/>
  <c r="BGR366" i="40"/>
  <c r="BGB366" i="40"/>
  <c r="BFL366" i="40"/>
  <c r="BEV366" i="40"/>
  <c r="BEF366" i="40"/>
  <c r="BDP366" i="40"/>
  <c r="BCZ366" i="40"/>
  <c r="BCJ366" i="40"/>
  <c r="BBT366" i="40"/>
  <c r="BBD366" i="40"/>
  <c r="BAN366" i="40"/>
  <c r="AZX366" i="40"/>
  <c r="AZH366" i="40"/>
  <c r="AYR366" i="40"/>
  <c r="AYB366" i="40"/>
  <c r="AXL366" i="40"/>
  <c r="AWV366" i="40"/>
  <c r="AWF366" i="40"/>
  <c r="AVP366" i="40"/>
  <c r="AUZ366" i="40"/>
  <c r="AUJ366" i="40"/>
  <c r="ATT366" i="40"/>
  <c r="ATD366" i="40"/>
  <c r="ASN366" i="40"/>
  <c r="ARX366" i="40"/>
  <c r="ARH366" i="40"/>
  <c r="AQR366" i="40"/>
  <c r="AQB366" i="40"/>
  <c r="APL366" i="40"/>
  <c r="AOV366" i="40"/>
  <c r="AOF366" i="40"/>
  <c r="ANP366" i="40"/>
  <c r="AMZ366" i="40"/>
  <c r="AMJ366" i="40"/>
  <c r="ALT366" i="40"/>
  <c r="ALD366" i="40"/>
  <c r="AKN366" i="40"/>
  <c r="AJX366" i="40"/>
  <c r="AJH366" i="40"/>
  <c r="AIR366" i="40"/>
  <c r="AIB366" i="40"/>
  <c r="AHL366" i="40"/>
  <c r="AGV366" i="40"/>
  <c r="AGF366" i="40"/>
  <c r="AFP366" i="40"/>
  <c r="AEZ366" i="40"/>
  <c r="AEJ366" i="40"/>
  <c r="ADT366" i="40"/>
  <c r="ADD366" i="40"/>
  <c r="ACN366" i="40"/>
  <c r="ABX366" i="40"/>
  <c r="ABH366" i="40"/>
  <c r="AAR366" i="40"/>
  <c r="AAB366" i="40"/>
  <c r="ZL366" i="40"/>
  <c r="YV366" i="40"/>
  <c r="YF366" i="40"/>
  <c r="XP366" i="40"/>
  <c r="WZ366" i="40"/>
  <c r="WJ366" i="40"/>
  <c r="VT366" i="40"/>
  <c r="VD366" i="40"/>
  <c r="UN366" i="40"/>
  <c r="TX366" i="40"/>
  <c r="TH366" i="40"/>
  <c r="SR366" i="40"/>
  <c r="SB366" i="40"/>
  <c r="RL366" i="40"/>
  <c r="QV366" i="40"/>
  <c r="QF366" i="40"/>
  <c r="PP366" i="40"/>
  <c r="OZ366" i="40"/>
  <c r="OJ366" i="40"/>
  <c r="NT366" i="40"/>
  <c r="ND366" i="40"/>
  <c r="MN366" i="40"/>
  <c r="LX366" i="40"/>
  <c r="LH366" i="40"/>
  <c r="KR366" i="40"/>
  <c r="KB366" i="40"/>
  <c r="JL366" i="40"/>
  <c r="IV366" i="40"/>
  <c r="IF366" i="40"/>
  <c r="HP366" i="40"/>
  <c r="GZ366" i="40"/>
  <c r="GJ366" i="40"/>
  <c r="FT366" i="40"/>
  <c r="FD366" i="40"/>
  <c r="EN366" i="40"/>
  <c r="DX366" i="40"/>
  <c r="DH366" i="40"/>
  <c r="CR366" i="40"/>
  <c r="CB366" i="40"/>
  <c r="BL366" i="40"/>
  <c r="AV366" i="40"/>
  <c r="AF366" i="40"/>
  <c r="P366" i="40"/>
  <c r="SUB363" i="40"/>
  <c r="STL363" i="40"/>
  <c r="SSV363" i="40"/>
  <c r="SSF363" i="40"/>
  <c r="SRP363" i="40"/>
  <c r="SQZ363" i="40"/>
  <c r="SQJ363" i="40"/>
  <c r="SPT363" i="40"/>
  <c r="SPD363" i="40"/>
  <c r="SON363" i="40"/>
  <c r="SNX363" i="40"/>
  <c r="SNH363" i="40"/>
  <c r="SMR363" i="40"/>
  <c r="SMB363" i="40"/>
  <c r="SLL363" i="40"/>
  <c r="SKV363" i="40"/>
  <c r="SKF363" i="40"/>
  <c r="SJP363" i="40"/>
  <c r="SIZ363" i="40"/>
  <c r="SIJ363" i="40"/>
  <c r="SHT363" i="40"/>
  <c r="SHD363" i="40"/>
  <c r="SGN363" i="40"/>
  <c r="SFX363" i="40"/>
  <c r="SFH363" i="40"/>
  <c r="SER363" i="40"/>
  <c r="SEB363" i="40"/>
  <c r="SDL363" i="40"/>
  <c r="SCV363" i="40"/>
  <c r="SCF363" i="40"/>
  <c r="SBP363" i="40"/>
  <c r="SAZ363" i="40"/>
  <c r="SAJ363" i="40"/>
  <c r="RZT363" i="40"/>
  <c r="RZD363" i="40"/>
  <c r="RYN363" i="40"/>
  <c r="RXX363" i="40"/>
  <c r="RXH363" i="40"/>
  <c r="RWR363" i="40"/>
  <c r="RWB363" i="40"/>
  <c r="RVL363" i="40"/>
  <c r="RUV363" i="40"/>
  <c r="RUF363" i="40"/>
  <c r="RTP363" i="40"/>
  <c r="RSZ363" i="40"/>
  <c r="RSJ363" i="40"/>
  <c r="RRT363" i="40"/>
  <c r="RRD363" i="40"/>
  <c r="RQN363" i="40"/>
  <c r="RPX363" i="40"/>
  <c r="RPH363" i="40"/>
  <c r="ROR363" i="40"/>
  <c r="ROB363" i="40"/>
  <c r="RNL363" i="40"/>
  <c r="RMV363" i="40"/>
  <c r="RMF363" i="40"/>
  <c r="RLP363" i="40"/>
  <c r="RKZ363" i="40"/>
  <c r="RKJ363" i="40"/>
  <c r="RJT363" i="40"/>
  <c r="RJD363" i="40"/>
  <c r="RIN363" i="40"/>
  <c r="RHX363" i="40"/>
  <c r="RHH363" i="40"/>
  <c r="RGR363" i="40"/>
  <c r="RGB363" i="40"/>
  <c r="RFL363" i="40"/>
  <c r="REV363" i="40"/>
  <c r="REF363" i="40"/>
  <c r="RDP363" i="40"/>
  <c r="RCZ363" i="40"/>
  <c r="RCJ363" i="40"/>
  <c r="RBT363" i="40"/>
  <c r="RBD363" i="40"/>
  <c r="RAN363" i="40"/>
  <c r="QZX363" i="40"/>
  <c r="QZH363" i="40"/>
  <c r="QYR363" i="40"/>
  <c r="QYB363" i="40"/>
  <c r="QXL363" i="40"/>
  <c r="QWV363" i="40"/>
  <c r="QWF363" i="40"/>
  <c r="QVP363" i="40"/>
  <c r="QUZ363" i="40"/>
  <c r="QUJ363" i="40"/>
  <c r="QTT363" i="40"/>
  <c r="QTD363" i="40"/>
  <c r="QSN363" i="40"/>
  <c r="QRX363" i="40"/>
  <c r="QRH363" i="40"/>
  <c r="QQR363" i="40"/>
  <c r="QQB363" i="40"/>
  <c r="QPL363" i="40"/>
  <c r="QOV363" i="40"/>
  <c r="QOF363" i="40"/>
  <c r="QNP363" i="40"/>
  <c r="QMZ363" i="40"/>
  <c r="QMJ363" i="40"/>
  <c r="QLT363" i="40"/>
  <c r="QLD363" i="40"/>
  <c r="QKN363" i="40"/>
  <c r="QJX363" i="40"/>
  <c r="QJH363" i="40"/>
  <c r="QIR363" i="40"/>
  <c r="QIB363" i="40"/>
  <c r="QHL363" i="40"/>
  <c r="QGV363" i="40"/>
  <c r="QGF363" i="40"/>
  <c r="QFP363" i="40"/>
  <c r="QEZ363" i="40"/>
  <c r="QEJ363" i="40"/>
  <c r="QDT363" i="40"/>
  <c r="QDD363" i="40"/>
  <c r="QCN363" i="40"/>
  <c r="QBX363" i="40"/>
  <c r="QBH363" i="40"/>
  <c r="QAR363" i="40"/>
  <c r="QAB363" i="40"/>
  <c r="PZL363" i="40"/>
  <c r="PYV363" i="40"/>
  <c r="PYF363" i="40"/>
  <c r="PXP363" i="40"/>
  <c r="PWZ363" i="40"/>
  <c r="PWJ363" i="40"/>
  <c r="PVT363" i="40"/>
  <c r="PVD363" i="40"/>
  <c r="PUN363" i="40"/>
  <c r="PTX363" i="40"/>
  <c r="PTH363" i="40"/>
  <c r="PSR363" i="40"/>
  <c r="PSB363" i="40"/>
  <c r="PRL363" i="40"/>
  <c r="PQV363" i="40"/>
  <c r="PQF363" i="40"/>
  <c r="PPP363" i="40"/>
  <c r="POZ363" i="40"/>
  <c r="POJ363" i="40"/>
  <c r="PNT363" i="40"/>
  <c r="PND363" i="40"/>
  <c r="PMN363" i="40"/>
  <c r="PLX363" i="40"/>
  <c r="PLH363" i="40"/>
  <c r="PKR363" i="40"/>
  <c r="PKB363" i="40"/>
  <c r="PJL363" i="40"/>
  <c r="PIV363" i="40"/>
  <c r="PIF363" i="40"/>
  <c r="PHP363" i="40"/>
  <c r="PGZ363" i="40"/>
  <c r="PGJ363" i="40"/>
  <c r="PFT363" i="40"/>
  <c r="PFD363" i="40"/>
  <c r="PEN363" i="40"/>
  <c r="PDX363" i="40"/>
  <c r="PDH363" i="40"/>
  <c r="PCR363" i="40"/>
  <c r="PCB363" i="40"/>
  <c r="PBL363" i="40"/>
  <c r="PAV363" i="40"/>
  <c r="PAF363" i="40"/>
  <c r="OZP363" i="40"/>
  <c r="OYZ363" i="40"/>
  <c r="OYJ363" i="40"/>
  <c r="OXT363" i="40"/>
  <c r="OXD363" i="40"/>
  <c r="OWN363" i="40"/>
  <c r="OVX363" i="40"/>
  <c r="OVH363" i="40"/>
  <c r="OUR363" i="40"/>
  <c r="OUB363" i="40"/>
  <c r="OTL363" i="40"/>
  <c r="OSV363" i="40"/>
  <c r="OSF363" i="40"/>
  <c r="ORP363" i="40"/>
  <c r="OQZ363" i="40"/>
  <c r="OQJ363" i="40"/>
  <c r="OPT363" i="40"/>
  <c r="OPD363" i="40"/>
  <c r="OON363" i="40"/>
  <c r="ONX363" i="40"/>
  <c r="ONH363" i="40"/>
  <c r="OMR363" i="40"/>
  <c r="OMB363" i="40"/>
  <c r="OLL363" i="40"/>
  <c r="OKV363" i="40"/>
  <c r="OKF363" i="40"/>
  <c r="OJP363" i="40"/>
  <c r="OIZ363" i="40"/>
  <c r="OIJ363" i="40"/>
  <c r="OHT363" i="40"/>
  <c r="OHD363" i="40"/>
  <c r="OGN363" i="40"/>
  <c r="OFX363" i="40"/>
  <c r="OFH363" i="40"/>
  <c r="OER363" i="40"/>
  <c r="OEB363" i="40"/>
  <c r="ODL363" i="40"/>
  <c r="OCV363" i="40"/>
  <c r="OCF363" i="40"/>
  <c r="OBP363" i="40"/>
  <c r="OAZ363" i="40"/>
  <c r="OAJ363" i="40"/>
  <c r="NZT363" i="40"/>
  <c r="NZD363" i="40"/>
  <c r="NYN363" i="40"/>
  <c r="NXX363" i="40"/>
  <c r="NXH363" i="40"/>
  <c r="NWR363" i="40"/>
  <c r="NWB363" i="40"/>
  <c r="NVL363" i="40"/>
  <c r="NUV363" i="40"/>
  <c r="NUF363" i="40"/>
  <c r="NTP363" i="40"/>
  <c r="NSZ363" i="40"/>
  <c r="NSJ363" i="40"/>
  <c r="NRT363" i="40"/>
  <c r="NRD363" i="40"/>
  <c r="NQN363" i="40"/>
  <c r="NPX363" i="40"/>
  <c r="NPH363" i="40"/>
  <c r="NOR363" i="40"/>
  <c r="NOB363" i="40"/>
  <c r="NNL363" i="40"/>
  <c r="NMV363" i="40"/>
  <c r="NMF363" i="40"/>
  <c r="NLP363" i="40"/>
  <c r="NKZ363" i="40"/>
  <c r="NKJ363" i="40"/>
  <c r="NJT363" i="40"/>
  <c r="NJD363" i="40"/>
  <c r="NIN363" i="40"/>
  <c r="NHX363" i="40"/>
  <c r="NHH363" i="40"/>
  <c r="NGR363" i="40"/>
  <c r="NGB363" i="40"/>
  <c r="NFL363" i="40"/>
  <c r="NEV363" i="40"/>
  <c r="NEF363" i="40"/>
  <c r="NDP363" i="40"/>
  <c r="NCZ363" i="40"/>
  <c r="NCJ363" i="40"/>
  <c r="NBT363" i="40"/>
  <c r="NBD363" i="40"/>
  <c r="NAN363" i="40"/>
  <c r="MZX363" i="40"/>
  <c r="MZH363" i="40"/>
  <c r="MYR363" i="40"/>
  <c r="MYB363" i="40"/>
  <c r="MXL363" i="40"/>
  <c r="MWV363" i="40"/>
  <c r="MWF363" i="40"/>
  <c r="MVP363" i="40"/>
  <c r="MUZ363" i="40"/>
  <c r="MUJ363" i="40"/>
  <c r="MTT363" i="40"/>
  <c r="MTD363" i="40"/>
  <c r="MSN363" i="40"/>
  <c r="MRX363" i="40"/>
  <c r="MRH363" i="40"/>
  <c r="MQR363" i="40"/>
  <c r="MQB363" i="40"/>
  <c r="MPL363" i="40"/>
  <c r="MOV363" i="40"/>
  <c r="MOF363" i="40"/>
  <c r="MNP363" i="40"/>
  <c r="MMZ363" i="40"/>
  <c r="MMJ363" i="40"/>
  <c r="MLT363" i="40"/>
  <c r="MLD363" i="40"/>
  <c r="MKN363" i="40"/>
  <c r="MJX363" i="40"/>
  <c r="MJH363" i="40"/>
  <c r="MIR363" i="40"/>
  <c r="MIB363" i="40"/>
  <c r="MHL363" i="40"/>
  <c r="MGV363" i="40"/>
  <c r="MGF363" i="40"/>
  <c r="MFP363" i="40"/>
  <c r="MEZ363" i="40"/>
  <c r="MEJ363" i="40"/>
  <c r="MDT363" i="40"/>
  <c r="MDD363" i="40"/>
  <c r="MCN363" i="40"/>
  <c r="MBX363" i="40"/>
  <c r="MBH363" i="40"/>
  <c r="MAR363" i="40"/>
  <c r="MAB363" i="40"/>
  <c r="LZL363" i="40"/>
  <c r="LYV363" i="40"/>
  <c r="LYF363" i="40"/>
  <c r="LXP363" i="40"/>
  <c r="LWZ363" i="40"/>
  <c r="LWJ363" i="40"/>
  <c r="LVT363" i="40"/>
  <c r="LVD363" i="40"/>
  <c r="LUN363" i="40"/>
  <c r="LTX363" i="40"/>
  <c r="LTH363" i="40"/>
  <c r="LSR363" i="40"/>
  <c r="LSB363" i="40"/>
  <c r="LRL363" i="40"/>
  <c r="LQV363" i="40"/>
  <c r="LQF363" i="40"/>
  <c r="LPP363" i="40"/>
  <c r="LOZ363" i="40"/>
  <c r="LOJ363" i="40"/>
  <c r="LNT363" i="40"/>
  <c r="LND363" i="40"/>
  <c r="LMN363" i="40"/>
  <c r="LLX363" i="40"/>
  <c r="LLH363" i="40"/>
  <c r="LKR363" i="40"/>
  <c r="LKB363" i="40"/>
  <c r="LJL363" i="40"/>
  <c r="LIV363" i="40"/>
  <c r="LIF363" i="40"/>
  <c r="LHP363" i="40"/>
  <c r="LGZ363" i="40"/>
  <c r="LGJ363" i="40"/>
  <c r="LFT363" i="40"/>
  <c r="LFD363" i="40"/>
  <c r="LEN363" i="40"/>
  <c r="LDX363" i="40"/>
  <c r="LDH363" i="40"/>
  <c r="LCR363" i="40"/>
  <c r="LCB363" i="40"/>
  <c r="LBL363" i="40"/>
  <c r="LAV363" i="40"/>
  <c r="LAF363" i="40"/>
  <c r="KZP363" i="40"/>
  <c r="KYZ363" i="40"/>
  <c r="KYJ363" i="40"/>
  <c r="KXT363" i="40"/>
  <c r="KXD363" i="40"/>
  <c r="KWN363" i="40"/>
  <c r="KVX363" i="40"/>
  <c r="KVH363" i="40"/>
  <c r="KUR363" i="40"/>
  <c r="KUB363" i="40"/>
  <c r="KTL363" i="40"/>
  <c r="KSV363" i="40"/>
  <c r="KSF363" i="40"/>
  <c r="KRP363" i="40"/>
  <c r="KQZ363" i="40"/>
  <c r="KQJ363" i="40"/>
  <c r="KPT363" i="40"/>
  <c r="KPD363" i="40"/>
  <c r="KON363" i="40"/>
  <c r="KNX363" i="40"/>
  <c r="KNH363" i="40"/>
  <c r="KMR363" i="40"/>
  <c r="KMB363" i="40"/>
  <c r="KLL363" i="40"/>
  <c r="KKV363" i="40"/>
  <c r="KKF363" i="40"/>
  <c r="KJP363" i="40"/>
  <c r="KIZ363" i="40"/>
  <c r="KIJ363" i="40"/>
  <c r="KHT363" i="40"/>
  <c r="KHD363" i="40"/>
  <c r="KGN363" i="40"/>
  <c r="KFX363" i="40"/>
  <c r="KFH363" i="40"/>
  <c r="KER363" i="40"/>
  <c r="KEB363" i="40"/>
  <c r="KDL363" i="40"/>
  <c r="KCV363" i="40"/>
  <c r="KCF363" i="40"/>
  <c r="KBP363" i="40"/>
  <c r="KAZ363" i="40"/>
  <c r="KAJ363" i="40"/>
  <c r="JZT363" i="40"/>
  <c r="JZD363" i="40"/>
  <c r="JYN363" i="40"/>
  <c r="JXX363" i="40"/>
  <c r="JXH363" i="40"/>
  <c r="JWR363" i="40"/>
  <c r="JWB363" i="40"/>
  <c r="JVL363" i="40"/>
  <c r="JUV363" i="40"/>
  <c r="JUF363" i="40"/>
  <c r="JTP363" i="40"/>
  <c r="JSZ363" i="40"/>
  <c r="JSJ363" i="40"/>
  <c r="JRT363" i="40"/>
  <c r="JRD363" i="40"/>
  <c r="JQN363" i="40"/>
  <c r="JPX363" i="40"/>
  <c r="JPH363" i="40"/>
  <c r="JOR363" i="40"/>
  <c r="JOB363" i="40"/>
  <c r="JNL363" i="40"/>
  <c r="JMV363" i="40"/>
  <c r="JMF363" i="40"/>
  <c r="JLP363" i="40"/>
  <c r="JKZ363" i="40"/>
  <c r="JKJ363" i="40"/>
  <c r="JJT363" i="40"/>
  <c r="JJD363" i="40"/>
  <c r="JIN363" i="40"/>
  <c r="JHX363" i="40"/>
  <c r="JHH363" i="40"/>
  <c r="JGR363" i="40"/>
  <c r="JGB363" i="40"/>
  <c r="JFL363" i="40"/>
  <c r="JEV363" i="40"/>
  <c r="JEF363" i="40"/>
  <c r="JDP363" i="40"/>
  <c r="JCZ363" i="40"/>
  <c r="JCJ363" i="40"/>
  <c r="JBT363" i="40"/>
  <c r="JBD363" i="40"/>
  <c r="JAN363" i="40"/>
  <c r="IZX363" i="40"/>
  <c r="IZH363" i="40"/>
  <c r="IYR363" i="40"/>
  <c r="IYB363" i="40"/>
  <c r="IXL363" i="40"/>
  <c r="IWV363" i="40"/>
  <c r="IWF363" i="40"/>
  <c r="IVP363" i="40"/>
  <c r="IUZ363" i="40"/>
  <c r="IUJ363" i="40"/>
  <c r="ITT363" i="40"/>
  <c r="ITD363" i="40"/>
  <c r="ISN363" i="40"/>
  <c r="IRX363" i="40"/>
  <c r="IRH363" i="40"/>
  <c r="IQR363" i="40"/>
  <c r="IQB363" i="40"/>
  <c r="IPL363" i="40"/>
  <c r="IOV363" i="40"/>
  <c r="IOF363" i="40"/>
  <c r="INP363" i="40"/>
  <c r="IMZ363" i="40"/>
  <c r="IMJ363" i="40"/>
  <c r="ILT363" i="40"/>
  <c r="ILD363" i="40"/>
  <c r="IKN363" i="40"/>
  <c r="IJX363" i="40"/>
  <c r="IJH363" i="40"/>
  <c r="IIR363" i="40"/>
  <c r="IIB363" i="40"/>
  <c r="IHL363" i="40"/>
  <c r="IGV363" i="40"/>
  <c r="IGF363" i="40"/>
  <c r="IFP363" i="40"/>
  <c r="IEZ363" i="40"/>
  <c r="IEJ363" i="40"/>
  <c r="IDT363" i="40"/>
  <c r="IDD363" i="40"/>
  <c r="ICN363" i="40"/>
  <c r="IBX363" i="40"/>
  <c r="IBH363" i="40"/>
  <c r="IAR363" i="40"/>
  <c r="IAB363" i="40"/>
  <c r="HZL363" i="40"/>
  <c r="HYV363" i="40"/>
  <c r="HYF363" i="40"/>
  <c r="HXP363" i="40"/>
  <c r="HWZ363" i="40"/>
  <c r="HWJ363" i="40"/>
  <c r="HVT363" i="40"/>
  <c r="HVD363" i="40"/>
  <c r="HUN363" i="40"/>
  <c r="HTX363" i="40"/>
  <c r="HTH363" i="40"/>
  <c r="HSR363" i="40"/>
  <c r="HSB363" i="40"/>
  <c r="HRL363" i="40"/>
  <c r="HQV363" i="40"/>
  <c r="HQF363" i="40"/>
  <c r="HPP363" i="40"/>
  <c r="HOZ363" i="40"/>
  <c r="HOJ363" i="40"/>
  <c r="HNT363" i="40"/>
  <c r="HND363" i="40"/>
  <c r="HMN363" i="40"/>
  <c r="HLX363" i="40"/>
  <c r="HLH363" i="40"/>
  <c r="HKR363" i="40"/>
  <c r="HKB363" i="40"/>
  <c r="HJL363" i="40"/>
  <c r="HIV363" i="40"/>
  <c r="HIF363" i="40"/>
  <c r="HHP363" i="40"/>
  <c r="HGZ363" i="40"/>
  <c r="HGJ363" i="40"/>
  <c r="HFT363" i="40"/>
  <c r="HFD363" i="40"/>
  <c r="HEN363" i="40"/>
  <c r="HDX363" i="40"/>
  <c r="HDH363" i="40"/>
  <c r="HCR363" i="40"/>
  <c r="HCB363" i="40"/>
  <c r="HBL363" i="40"/>
  <c r="HAV363" i="40"/>
  <c r="HAF363" i="40"/>
  <c r="GZP363" i="40"/>
  <c r="GYZ363" i="40"/>
  <c r="GYJ363" i="40"/>
  <c r="GXT363" i="40"/>
  <c r="GXD363" i="40"/>
  <c r="GWN363" i="40"/>
  <c r="GVX363" i="40"/>
  <c r="GVH363" i="40"/>
  <c r="GUR363" i="40"/>
  <c r="GUB363" i="40"/>
  <c r="GTL363" i="40"/>
  <c r="GSV363" i="40"/>
  <c r="GSF363" i="40"/>
  <c r="GRP363" i="40"/>
  <c r="GQZ363" i="40"/>
  <c r="GQJ363" i="40"/>
  <c r="GPT363" i="40"/>
  <c r="GPD363" i="40"/>
  <c r="GON363" i="40"/>
  <c r="GNX363" i="40"/>
  <c r="GNH363" i="40"/>
  <c r="GMR363" i="40"/>
  <c r="GMB363" i="40"/>
  <c r="GLL363" i="40"/>
  <c r="GKV363" i="40"/>
  <c r="GKF363" i="40"/>
  <c r="GJP363" i="40"/>
  <c r="GIZ363" i="40"/>
  <c r="GIJ363" i="40"/>
  <c r="GHT363" i="40"/>
  <c r="GHD363" i="40"/>
  <c r="GGN363" i="40"/>
  <c r="GFX363" i="40"/>
  <c r="GFH363" i="40"/>
  <c r="GER363" i="40"/>
  <c r="GEB363" i="40"/>
  <c r="GDL363" i="40"/>
  <c r="GCV363" i="40"/>
  <c r="GCF363" i="40"/>
  <c r="GBP363" i="40"/>
  <c r="GAZ363" i="40"/>
  <c r="GAJ363" i="40"/>
  <c r="FZT363" i="40"/>
  <c r="FZD363" i="40"/>
  <c r="FYN363" i="40"/>
  <c r="FXX363" i="40"/>
  <c r="FXH363" i="40"/>
  <c r="FWR363" i="40"/>
  <c r="FWB363" i="40"/>
  <c r="FVL363" i="40"/>
  <c r="FUV363" i="40"/>
  <c r="FUF363" i="40"/>
  <c r="FTP363" i="40"/>
  <c r="FSZ363" i="40"/>
  <c r="FSJ363" i="40"/>
  <c r="FRT363" i="40"/>
  <c r="FRD363" i="40"/>
  <c r="FQN363" i="40"/>
  <c r="FPX363" i="40"/>
  <c r="FPH363" i="40"/>
  <c r="FOR363" i="40"/>
  <c r="FOB363" i="40"/>
  <c r="FNL363" i="40"/>
  <c r="FMV363" i="40"/>
  <c r="FMF363" i="40"/>
  <c r="FLP363" i="40"/>
  <c r="FKZ363" i="40"/>
  <c r="FKJ363" i="40"/>
  <c r="FJT363" i="40"/>
  <c r="FJD363" i="40"/>
  <c r="FIN363" i="40"/>
  <c r="FHX363" i="40"/>
  <c r="FHH363" i="40"/>
  <c r="FGR363" i="40"/>
  <c r="FGB363" i="40"/>
  <c r="FFL363" i="40"/>
  <c r="FEV363" i="40"/>
  <c r="FEF363" i="40"/>
  <c r="FDP363" i="40"/>
  <c r="FCZ363" i="40"/>
  <c r="FCJ363" i="40"/>
  <c r="FBT363" i="40"/>
  <c r="FBD363" i="40"/>
  <c r="FAN363" i="40"/>
  <c r="EZX363" i="40"/>
  <c r="EZH363" i="40"/>
  <c r="EYR363" i="40"/>
  <c r="EYB363" i="40"/>
  <c r="EXL363" i="40"/>
  <c r="EWV363" i="40"/>
  <c r="EWF363" i="40"/>
  <c r="EVP363" i="40"/>
  <c r="EUZ363" i="40"/>
  <c r="EUJ363" i="40"/>
  <c r="ETT363" i="40"/>
  <c r="ETD363" i="40"/>
  <c r="ESN363" i="40"/>
  <c r="ERX363" i="40"/>
  <c r="ERH363" i="40"/>
  <c r="EQR363" i="40"/>
  <c r="EQB363" i="40"/>
  <c r="EPL363" i="40"/>
  <c r="EOV363" i="40"/>
  <c r="EOF363" i="40"/>
  <c r="ENP363" i="40"/>
  <c r="EMZ363" i="40"/>
  <c r="EMJ363" i="40"/>
  <c r="ELT363" i="40"/>
  <c r="ELD363" i="40"/>
  <c r="EKN363" i="40"/>
  <c r="EJX363" i="40"/>
  <c r="EJH363" i="40"/>
  <c r="EIR363" i="40"/>
  <c r="EIB363" i="40"/>
  <c r="EHL363" i="40"/>
  <c r="EGV363" i="40"/>
  <c r="EGF363" i="40"/>
  <c r="EFP363" i="40"/>
  <c r="EEZ363" i="40"/>
  <c r="EEJ363" i="40"/>
  <c r="EDT363" i="40"/>
  <c r="EDD363" i="40"/>
  <c r="ECN363" i="40"/>
  <c r="EBX363" i="40"/>
  <c r="EBH363" i="40"/>
  <c r="EAR363" i="40"/>
  <c r="EAB363" i="40"/>
  <c r="DZL363" i="40"/>
  <c r="DYV363" i="40"/>
  <c r="DYF363" i="40"/>
  <c r="DXP363" i="40"/>
  <c r="DWZ363" i="40"/>
  <c r="DWJ363" i="40"/>
  <c r="DVT363" i="40"/>
  <c r="DVD363" i="40"/>
  <c r="DUN363" i="40"/>
  <c r="DTX363" i="40"/>
  <c r="DTH363" i="40"/>
  <c r="DSR363" i="40"/>
  <c r="DSB363" i="40"/>
  <c r="DRL363" i="40"/>
  <c r="DQV363" i="40"/>
  <c r="DQF363" i="40"/>
  <c r="DPP363" i="40"/>
  <c r="DOZ363" i="40"/>
  <c r="DOJ363" i="40"/>
  <c r="DNT363" i="40"/>
  <c r="DND363" i="40"/>
  <c r="DMN363" i="40"/>
  <c r="DLX363" i="40"/>
  <c r="DLH363" i="40"/>
  <c r="DKR363" i="40"/>
  <c r="DKB363" i="40"/>
  <c r="DJL363" i="40"/>
  <c r="DIV363" i="40"/>
  <c r="DIF363" i="40"/>
  <c r="DHP363" i="40"/>
  <c r="DGZ363" i="40"/>
  <c r="DGJ363" i="40"/>
  <c r="DFT363" i="40"/>
  <c r="DFD363" i="40"/>
  <c r="DEN363" i="40"/>
  <c r="DDX363" i="40"/>
  <c r="DDH363" i="40"/>
  <c r="DCR363" i="40"/>
  <c r="DCB363" i="40"/>
  <c r="DBL363" i="40"/>
  <c r="DAV363" i="40"/>
  <c r="DAF363" i="40"/>
  <c r="CZP363" i="40"/>
  <c r="CYZ363" i="40"/>
  <c r="CYJ363" i="40"/>
  <c r="CXT363" i="40"/>
  <c r="CXD363" i="40"/>
  <c r="CWN363" i="40"/>
  <c r="CVX363" i="40"/>
  <c r="CVH363" i="40"/>
  <c r="CUR363" i="40"/>
  <c r="CUB363" i="40"/>
  <c r="CTL363" i="40"/>
  <c r="CSV363" i="40"/>
  <c r="CSF363" i="40"/>
  <c r="CRP363" i="40"/>
  <c r="CQZ363" i="40"/>
  <c r="CQJ363" i="40"/>
  <c r="CPT363" i="40"/>
  <c r="CPD363" i="40"/>
  <c r="CON363" i="40"/>
  <c r="CNX363" i="40"/>
  <c r="CNH363" i="40"/>
  <c r="CMR363" i="40"/>
  <c r="CMB363" i="40"/>
  <c r="CLL363" i="40"/>
  <c r="CKV363" i="40"/>
  <c r="CKF363" i="40"/>
  <c r="CJP363" i="40"/>
  <c r="CIZ363" i="40"/>
  <c r="CIJ363" i="40"/>
  <c r="CHT363" i="40"/>
  <c r="CHD363" i="40"/>
  <c r="CGN363" i="40"/>
  <c r="CFX363" i="40"/>
  <c r="CFH363" i="40"/>
  <c r="CER363" i="40"/>
  <c r="CEB363" i="40"/>
  <c r="CDL363" i="40"/>
  <c r="CCV363" i="40"/>
  <c r="CCF363" i="40"/>
  <c r="CBP363" i="40"/>
  <c r="CAZ363" i="40"/>
  <c r="CAJ363" i="40"/>
  <c r="BZT363" i="40"/>
  <c r="BZD363" i="40"/>
  <c r="BYN363" i="40"/>
  <c r="BXX363" i="40"/>
  <c r="BXH363" i="40"/>
  <c r="BWR363" i="40"/>
  <c r="BWB363" i="40"/>
  <c r="BVL363" i="40"/>
  <c r="BUV363" i="40"/>
  <c r="BUF363" i="40"/>
  <c r="BTP363" i="40"/>
  <c r="BSZ363" i="40"/>
  <c r="BSJ363" i="40"/>
  <c r="BRT363" i="40"/>
  <c r="BRD363" i="40"/>
  <c r="BQN363" i="40"/>
  <c r="BPX363" i="40"/>
  <c r="BPH363" i="40"/>
  <c r="BOR363" i="40"/>
  <c r="BOB363" i="40"/>
  <c r="BNL363" i="40"/>
  <c r="BMV363" i="40"/>
  <c r="BMF363" i="40"/>
  <c r="BLP363" i="40"/>
  <c r="BKZ363" i="40"/>
  <c r="BKJ363" i="40"/>
  <c r="BJT363" i="40"/>
  <c r="BJD363" i="40"/>
  <c r="BIN363" i="40"/>
  <c r="BHX363" i="40"/>
  <c r="BHH363" i="40"/>
  <c r="BGR363" i="40"/>
  <c r="BGB363" i="40"/>
  <c r="BFL363" i="40"/>
  <c r="BEV363" i="40"/>
  <c r="BEF363" i="40"/>
  <c r="BDP363" i="40"/>
  <c r="BCZ363" i="40"/>
  <c r="BCJ363" i="40"/>
  <c r="BBT363" i="40"/>
  <c r="BBD363" i="40"/>
  <c r="BAN363" i="40"/>
  <c r="AZX363" i="40"/>
  <c r="AZH363" i="40"/>
  <c r="AYR363" i="40"/>
  <c r="AYB363" i="40"/>
  <c r="AXL363" i="40"/>
  <c r="AWV363" i="40"/>
  <c r="AWF363" i="40"/>
  <c r="AVP363" i="40"/>
  <c r="AUZ363" i="40"/>
  <c r="AUJ363" i="40"/>
  <c r="ATT363" i="40"/>
  <c r="ATD363" i="40"/>
  <c r="ASN363" i="40"/>
  <c r="ARX363" i="40"/>
  <c r="ARH363" i="40"/>
  <c r="AQR363" i="40"/>
  <c r="AQB363" i="40"/>
  <c r="APL363" i="40"/>
  <c r="AOV363" i="40"/>
  <c r="AOF363" i="40"/>
  <c r="ANP363" i="40"/>
  <c r="AMZ363" i="40"/>
  <c r="AMJ363" i="40"/>
  <c r="ALT363" i="40"/>
  <c r="ALD363" i="40"/>
  <c r="AKN363" i="40"/>
  <c r="AJX363" i="40"/>
  <c r="AJH363" i="40"/>
  <c r="AIR363" i="40"/>
  <c r="AIB363" i="40"/>
  <c r="AHL363" i="40"/>
  <c r="AGV363" i="40"/>
  <c r="AGF363" i="40"/>
  <c r="AFP363" i="40"/>
  <c r="AEZ363" i="40"/>
  <c r="AEJ363" i="40"/>
  <c r="ADT363" i="40"/>
  <c r="ADD363" i="40"/>
  <c r="ACN363" i="40"/>
  <c r="ABX363" i="40"/>
  <c r="ABH363" i="40"/>
  <c r="AAR363" i="40"/>
  <c r="AAB363" i="40"/>
  <c r="ZL363" i="40"/>
  <c r="YV363" i="40"/>
  <c r="YF363" i="40"/>
  <c r="XP363" i="40"/>
  <c r="WZ363" i="40"/>
  <c r="WJ363" i="40"/>
  <c r="VT363" i="40"/>
  <c r="VD363" i="40"/>
  <c r="UN363" i="40"/>
  <c r="TX363" i="40"/>
  <c r="TH363" i="40"/>
  <c r="SR363" i="40"/>
  <c r="SB363" i="40"/>
  <c r="RL363" i="40"/>
  <c r="QV363" i="40"/>
  <c r="QF363" i="40"/>
  <c r="PP363" i="40"/>
  <c r="OZ363" i="40"/>
  <c r="OJ363" i="40"/>
  <c r="NT363" i="40"/>
  <c r="ND363" i="40"/>
  <c r="MN363" i="40"/>
  <c r="LX363" i="40"/>
  <c r="LH363" i="40"/>
  <c r="KR363" i="40"/>
  <c r="KB363" i="40"/>
  <c r="JL363" i="40"/>
  <c r="IV363" i="40"/>
  <c r="IF363" i="40"/>
  <c r="HP363" i="40"/>
  <c r="GZ363" i="40"/>
  <c r="GJ363" i="40"/>
  <c r="FT363" i="40"/>
  <c r="FD363" i="40"/>
  <c r="EN363" i="40"/>
  <c r="DX363" i="40"/>
  <c r="DH363" i="40"/>
  <c r="CR363" i="40"/>
  <c r="CB363" i="40"/>
  <c r="BL363" i="40"/>
  <c r="AV363" i="40"/>
  <c r="AF363" i="40"/>
  <c r="P363" i="40"/>
  <c r="SUB362" i="40"/>
  <c r="STL362" i="40"/>
  <c r="SSV362" i="40"/>
  <c r="SSF362" i="40"/>
  <c r="SRP362" i="40"/>
  <c r="SQZ362" i="40"/>
  <c r="SQJ362" i="40"/>
  <c r="SPT362" i="40"/>
  <c r="SPD362" i="40"/>
  <c r="SON362" i="40"/>
  <c r="SNX362" i="40"/>
  <c r="SNH362" i="40"/>
  <c r="SMR362" i="40"/>
  <c r="SMB362" i="40"/>
  <c r="SLL362" i="40"/>
  <c r="SKV362" i="40"/>
  <c r="SKF362" i="40"/>
  <c r="SJP362" i="40"/>
  <c r="SIZ362" i="40"/>
  <c r="SIJ362" i="40"/>
  <c r="SHT362" i="40"/>
  <c r="SHD362" i="40"/>
  <c r="SGN362" i="40"/>
  <c r="SFX362" i="40"/>
  <c r="SFH362" i="40"/>
  <c r="SER362" i="40"/>
  <c r="SEB362" i="40"/>
  <c r="SDL362" i="40"/>
  <c r="SCV362" i="40"/>
  <c r="SCF362" i="40"/>
  <c r="SBP362" i="40"/>
  <c r="SAZ362" i="40"/>
  <c r="SAJ362" i="40"/>
  <c r="RZT362" i="40"/>
  <c r="RZD362" i="40"/>
  <c r="RYN362" i="40"/>
  <c r="RXX362" i="40"/>
  <c r="RXH362" i="40"/>
  <c r="RWR362" i="40"/>
  <c r="RWB362" i="40"/>
  <c r="RVL362" i="40"/>
  <c r="RUV362" i="40"/>
  <c r="RUF362" i="40"/>
  <c r="RTP362" i="40"/>
  <c r="RSZ362" i="40"/>
  <c r="RSJ362" i="40"/>
  <c r="RRT362" i="40"/>
  <c r="RRD362" i="40"/>
  <c r="RQN362" i="40"/>
  <c r="RPX362" i="40"/>
  <c r="RPH362" i="40"/>
  <c r="ROR362" i="40"/>
  <c r="ROB362" i="40"/>
  <c r="RNL362" i="40"/>
  <c r="RMV362" i="40"/>
  <c r="RMF362" i="40"/>
  <c r="RLP362" i="40"/>
  <c r="RKZ362" i="40"/>
  <c r="RKJ362" i="40"/>
  <c r="RJT362" i="40"/>
  <c r="RJD362" i="40"/>
  <c r="RIN362" i="40"/>
  <c r="RHX362" i="40"/>
  <c r="RHH362" i="40"/>
  <c r="RGR362" i="40"/>
  <c r="RGB362" i="40"/>
  <c r="RFL362" i="40"/>
  <c r="REV362" i="40"/>
  <c r="REF362" i="40"/>
  <c r="RDP362" i="40"/>
  <c r="RCZ362" i="40"/>
  <c r="RCJ362" i="40"/>
  <c r="RBT362" i="40"/>
  <c r="RBD362" i="40"/>
  <c r="RAN362" i="40"/>
  <c r="RAN373" i="40" s="1"/>
  <c r="QZX362" i="40"/>
  <c r="QZX373" i="40" s="1"/>
  <c r="QZH362" i="40"/>
  <c r="QYR362" i="40"/>
  <c r="QYB362" i="40"/>
  <c r="QYB373" i="40" s="1"/>
  <c r="QXL362" i="40"/>
  <c r="QXL373" i="40" s="1"/>
  <c r="QWV362" i="40"/>
  <c r="QWF362" i="40"/>
  <c r="QVP362" i="40"/>
  <c r="QVP373" i="40" s="1"/>
  <c r="QUZ362" i="40"/>
  <c r="QUZ373" i="40" s="1"/>
  <c r="QUJ362" i="40"/>
  <c r="QTT362" i="40"/>
  <c r="QTD362" i="40"/>
  <c r="QTD373" i="40" s="1"/>
  <c r="QSN362" i="40"/>
  <c r="QSN373" i="40" s="1"/>
  <c r="QRX362" i="40"/>
  <c r="QRH362" i="40"/>
  <c r="QQR362" i="40"/>
  <c r="QQR373" i="40" s="1"/>
  <c r="QQB362" i="40"/>
  <c r="QQB373" i="40" s="1"/>
  <c r="QPL362" i="40"/>
  <c r="QOV362" i="40"/>
  <c r="QOF362" i="40"/>
  <c r="QOF373" i="40" s="1"/>
  <c r="QNP362" i="40"/>
  <c r="QNP373" i="40" s="1"/>
  <c r="QMZ362" i="40"/>
  <c r="QMJ362" i="40"/>
  <c r="QLT362" i="40"/>
  <c r="QLT373" i="40" s="1"/>
  <c r="QLD362" i="40"/>
  <c r="QLD373" i="40" s="1"/>
  <c r="QKN362" i="40"/>
  <c r="QJX362" i="40"/>
  <c r="QJH362" i="40"/>
  <c r="QJH373" i="40" s="1"/>
  <c r="QIR362" i="40"/>
  <c r="QIR373" i="40" s="1"/>
  <c r="QIB362" i="40"/>
  <c r="QHL362" i="40"/>
  <c r="QGV362" i="40"/>
  <c r="QGV373" i="40" s="1"/>
  <c r="QGF362" i="40"/>
  <c r="QGF373" i="40" s="1"/>
  <c r="QFP362" i="40"/>
  <c r="QEZ362" i="40"/>
  <c r="QEJ362" i="40"/>
  <c r="QEJ373" i="40" s="1"/>
  <c r="QDT362" i="40"/>
  <c r="QDT373" i="40" s="1"/>
  <c r="QDD362" i="40"/>
  <c r="QCN362" i="40"/>
  <c r="QBX362" i="40"/>
  <c r="QBX373" i="40" s="1"/>
  <c r="QBH362" i="40"/>
  <c r="QBH373" i="40" s="1"/>
  <c r="QAR362" i="40"/>
  <c r="QAB362" i="40"/>
  <c r="PZL362" i="40"/>
  <c r="PZL373" i="40" s="1"/>
  <c r="PYV362" i="40"/>
  <c r="PYV373" i="40" s="1"/>
  <c r="PYF362" i="40"/>
  <c r="PXP362" i="40"/>
  <c r="PWZ362" i="40"/>
  <c r="PWZ373" i="40" s="1"/>
  <c r="PWJ362" i="40"/>
  <c r="PWJ373" i="40" s="1"/>
  <c r="PVT362" i="40"/>
  <c r="PVD362" i="40"/>
  <c r="PUN362" i="40"/>
  <c r="PUN373" i="40" s="1"/>
  <c r="PTX362" i="40"/>
  <c r="PTX373" i="40" s="1"/>
  <c r="PTH362" i="40"/>
  <c r="PSR362" i="40"/>
  <c r="PSB362" i="40"/>
  <c r="PSB373" i="40" s="1"/>
  <c r="PRL362" i="40"/>
  <c r="PRL373" i="40" s="1"/>
  <c r="PQV362" i="40"/>
  <c r="PQF362" i="40"/>
  <c r="PPP362" i="40"/>
  <c r="PPP373" i="40" s="1"/>
  <c r="POZ362" i="40"/>
  <c r="POZ373" i="40" s="1"/>
  <c r="POJ362" i="40"/>
  <c r="PNT362" i="40"/>
  <c r="PND362" i="40"/>
  <c r="PND373" i="40" s="1"/>
  <c r="PMN362" i="40"/>
  <c r="PMN373" i="40" s="1"/>
  <c r="PLX362" i="40"/>
  <c r="PLH362" i="40"/>
  <c r="PKR362" i="40"/>
  <c r="PKR373" i="40" s="1"/>
  <c r="PKB362" i="40"/>
  <c r="PKB373" i="40" s="1"/>
  <c r="PJL362" i="40"/>
  <c r="PIV362" i="40"/>
  <c r="PIF362" i="40"/>
  <c r="PIF373" i="40" s="1"/>
  <c r="PHP362" i="40"/>
  <c r="PHP373" i="40" s="1"/>
  <c r="PGZ362" i="40"/>
  <c r="PGJ362" i="40"/>
  <c r="PFT362" i="40"/>
  <c r="PFT373" i="40" s="1"/>
  <c r="PFD362" i="40"/>
  <c r="PFD373" i="40" s="1"/>
  <c r="PEN362" i="40"/>
  <c r="PDX362" i="40"/>
  <c r="PDH362" i="40"/>
  <c r="PDH373" i="40" s="1"/>
  <c r="PCR362" i="40"/>
  <c r="PCR373" i="40" s="1"/>
  <c r="PCB362" i="40"/>
  <c r="PBL362" i="40"/>
  <c r="PAV362" i="40"/>
  <c r="PAV373" i="40" s="1"/>
  <c r="PAF362" i="40"/>
  <c r="PAF373" i="40" s="1"/>
  <c r="OZP362" i="40"/>
  <c r="OYZ362" i="40"/>
  <c r="OYJ362" i="40"/>
  <c r="OYJ373" i="40" s="1"/>
  <c r="OXT362" i="40"/>
  <c r="OXT373" i="40" s="1"/>
  <c r="OXD362" i="40"/>
  <c r="OWN362" i="40"/>
  <c r="OVX362" i="40"/>
  <c r="OVX373" i="40" s="1"/>
  <c r="OVH362" i="40"/>
  <c r="OVH373" i="40" s="1"/>
  <c r="OUR362" i="40"/>
  <c r="OUB362" i="40"/>
  <c r="OTL362" i="40"/>
  <c r="OTL373" i="40" s="1"/>
  <c r="OSV362" i="40"/>
  <c r="OSV373" i="40" s="1"/>
  <c r="OSF362" i="40"/>
  <c r="ORP362" i="40"/>
  <c r="OQZ362" i="40"/>
  <c r="OQZ373" i="40" s="1"/>
  <c r="OQJ362" i="40"/>
  <c r="OQJ373" i="40" s="1"/>
  <c r="OPT362" i="40"/>
  <c r="OPD362" i="40"/>
  <c r="OON362" i="40"/>
  <c r="OON373" i="40" s="1"/>
  <c r="ONX362" i="40"/>
  <c r="ONX373" i="40" s="1"/>
  <c r="ONH362" i="40"/>
  <c r="OMR362" i="40"/>
  <c r="OMB362" i="40"/>
  <c r="OMB373" i="40" s="1"/>
  <c r="OLL362" i="40"/>
  <c r="OLL373" i="40" s="1"/>
  <c r="OKV362" i="40"/>
  <c r="OKF362" i="40"/>
  <c r="OJP362" i="40"/>
  <c r="OJP373" i="40" s="1"/>
  <c r="OIZ362" i="40"/>
  <c r="OIZ373" i="40" s="1"/>
  <c r="OIJ362" i="40"/>
  <c r="OHT362" i="40"/>
  <c r="OHD362" i="40"/>
  <c r="OHD373" i="40" s="1"/>
  <c r="OGN362" i="40"/>
  <c r="OGN373" i="40" s="1"/>
  <c r="OFX362" i="40"/>
  <c r="OFH362" i="40"/>
  <c r="OER362" i="40"/>
  <c r="OER373" i="40" s="1"/>
  <c r="OEB362" i="40"/>
  <c r="OEB373" i="40" s="1"/>
  <c r="ODL362" i="40"/>
  <c r="OCV362" i="40"/>
  <c r="OCF362" i="40"/>
  <c r="OCF373" i="40" s="1"/>
  <c r="OBP362" i="40"/>
  <c r="OBP373" i="40" s="1"/>
  <c r="OAZ362" i="40"/>
  <c r="OAJ362" i="40"/>
  <c r="NZT362" i="40"/>
  <c r="NZT373" i="40" s="1"/>
  <c r="NZD362" i="40"/>
  <c r="NZD373" i="40" s="1"/>
  <c r="NYN362" i="40"/>
  <c r="NXX362" i="40"/>
  <c r="NXH362" i="40"/>
  <c r="NXH373" i="40" s="1"/>
  <c r="NWR362" i="40"/>
  <c r="NWR373" i="40" s="1"/>
  <c r="NWB362" i="40"/>
  <c r="NVL362" i="40"/>
  <c r="NUV362" i="40"/>
  <c r="NUV373" i="40" s="1"/>
  <c r="NUF362" i="40"/>
  <c r="NUF373" i="40" s="1"/>
  <c r="NTP362" i="40"/>
  <c r="NSZ362" i="40"/>
  <c r="NSJ362" i="40"/>
  <c r="NSJ373" i="40" s="1"/>
  <c r="NRT362" i="40"/>
  <c r="NRT373" i="40" s="1"/>
  <c r="NRD362" i="40"/>
  <c r="NQN362" i="40"/>
  <c r="NPX362" i="40"/>
  <c r="NPX373" i="40" s="1"/>
  <c r="NPH362" i="40"/>
  <c r="NPH373" i="40" s="1"/>
  <c r="NOR362" i="40"/>
  <c r="NOB362" i="40"/>
  <c r="NNL362" i="40"/>
  <c r="NNL373" i="40" s="1"/>
  <c r="NMV362" i="40"/>
  <c r="NMV373" i="40" s="1"/>
  <c r="NMF362" i="40"/>
  <c r="NLP362" i="40"/>
  <c r="NKZ362" i="40"/>
  <c r="NKZ373" i="40" s="1"/>
  <c r="NKJ362" i="40"/>
  <c r="NKJ373" i="40" s="1"/>
  <c r="NJT362" i="40"/>
  <c r="NJD362" i="40"/>
  <c r="NIN362" i="40"/>
  <c r="NIN373" i="40" s="1"/>
  <c r="NHX362" i="40"/>
  <c r="NHX373" i="40" s="1"/>
  <c r="NHH362" i="40"/>
  <c r="NGR362" i="40"/>
  <c r="NGB362" i="40"/>
  <c r="NGB373" i="40" s="1"/>
  <c r="NFL362" i="40"/>
  <c r="NFL373" i="40" s="1"/>
  <c r="NEV362" i="40"/>
  <c r="NEF362" i="40"/>
  <c r="NDP362" i="40"/>
  <c r="NDP373" i="40" s="1"/>
  <c r="NCZ362" i="40"/>
  <c r="NCZ373" i="40" s="1"/>
  <c r="NCJ362" i="40"/>
  <c r="NBT362" i="40"/>
  <c r="NBD362" i="40"/>
  <c r="NBD373" i="40" s="1"/>
  <c r="NAN362" i="40"/>
  <c r="NAN373" i="40" s="1"/>
  <c r="MZX362" i="40"/>
  <c r="MZH362" i="40"/>
  <c r="MYR362" i="40"/>
  <c r="MYR373" i="40" s="1"/>
  <c r="MYB362" i="40"/>
  <c r="MYB373" i="40" s="1"/>
  <c r="MXL362" i="40"/>
  <c r="MWV362" i="40"/>
  <c r="MWF362" i="40"/>
  <c r="MWF373" i="40" s="1"/>
  <c r="MVP362" i="40"/>
  <c r="MVP373" i="40" s="1"/>
  <c r="MUZ362" i="40"/>
  <c r="MUJ362" i="40"/>
  <c r="MTT362" i="40"/>
  <c r="MTT373" i="40" s="1"/>
  <c r="MTD362" i="40"/>
  <c r="MTD373" i="40" s="1"/>
  <c r="MSN362" i="40"/>
  <c r="MRX362" i="40"/>
  <c r="MRH362" i="40"/>
  <c r="MRH373" i="40" s="1"/>
  <c r="MQR362" i="40"/>
  <c r="MQR373" i="40" s="1"/>
  <c r="MQB362" i="40"/>
  <c r="MPL362" i="40"/>
  <c r="MOV362" i="40"/>
  <c r="MOV373" i="40" s="1"/>
  <c r="MOF362" i="40"/>
  <c r="MOF373" i="40" s="1"/>
  <c r="MNP362" i="40"/>
  <c r="MMZ362" i="40"/>
  <c r="MMJ362" i="40"/>
  <c r="MMJ373" i="40" s="1"/>
  <c r="MLT362" i="40"/>
  <c r="MLT373" i="40" s="1"/>
  <c r="MLD362" i="40"/>
  <c r="MKN362" i="40"/>
  <c r="MJX362" i="40"/>
  <c r="MJX373" i="40" s="1"/>
  <c r="MJH362" i="40"/>
  <c r="MJH373" i="40" s="1"/>
  <c r="MIR362" i="40"/>
  <c r="MIB362" i="40"/>
  <c r="MHL362" i="40"/>
  <c r="MHL373" i="40" s="1"/>
  <c r="MGV362" i="40"/>
  <c r="MGV373" i="40" s="1"/>
  <c r="MGF362" i="40"/>
  <c r="MFP362" i="40"/>
  <c r="MEZ362" i="40"/>
  <c r="MEZ373" i="40" s="1"/>
  <c r="MEJ362" i="40"/>
  <c r="MEJ373" i="40" s="1"/>
  <c r="MDT362" i="40"/>
  <c r="MDD362" i="40"/>
  <c r="MCN362" i="40"/>
  <c r="MCN373" i="40" s="1"/>
  <c r="MBX362" i="40"/>
  <c r="MBX373" i="40" s="1"/>
  <c r="MBH362" i="40"/>
  <c r="MAR362" i="40"/>
  <c r="MAB362" i="40"/>
  <c r="MAB373" i="40" s="1"/>
  <c r="LZL362" i="40"/>
  <c r="LZL373" i="40" s="1"/>
  <c r="LYV362" i="40"/>
  <c r="LYF362" i="40"/>
  <c r="LXP362" i="40"/>
  <c r="LXP373" i="40" s="1"/>
  <c r="LWZ362" i="40"/>
  <c r="LWZ373" i="40" s="1"/>
  <c r="LWJ362" i="40"/>
  <c r="LVT362" i="40"/>
  <c r="LVD362" i="40"/>
  <c r="LVD373" i="40" s="1"/>
  <c r="LUN362" i="40"/>
  <c r="LUN373" i="40" s="1"/>
  <c r="LTX362" i="40"/>
  <c r="LTH362" i="40"/>
  <c r="LSR362" i="40"/>
  <c r="LSR373" i="40" s="1"/>
  <c r="LSB362" i="40"/>
  <c r="LSB373" i="40" s="1"/>
  <c r="LRL362" i="40"/>
  <c r="LQV362" i="40"/>
  <c r="LQF362" i="40"/>
  <c r="LQF373" i="40" s="1"/>
  <c r="LPP362" i="40"/>
  <c r="LPP373" i="40" s="1"/>
  <c r="LOZ362" i="40"/>
  <c r="LOJ362" i="40"/>
  <c r="LNT362" i="40"/>
  <c r="LNT373" i="40" s="1"/>
  <c r="LND362" i="40"/>
  <c r="LND373" i="40" s="1"/>
  <c r="LMN362" i="40"/>
  <c r="LLX362" i="40"/>
  <c r="LLH362" i="40"/>
  <c r="LLH373" i="40" s="1"/>
  <c r="LKR362" i="40"/>
  <c r="LKR373" i="40" s="1"/>
  <c r="LKB362" i="40"/>
  <c r="LJL362" i="40"/>
  <c r="LIV362" i="40"/>
  <c r="LIV373" i="40" s="1"/>
  <c r="LIF362" i="40"/>
  <c r="LIF373" i="40" s="1"/>
  <c r="LHP362" i="40"/>
  <c r="LGZ362" i="40"/>
  <c r="LGJ362" i="40"/>
  <c r="LGJ373" i="40" s="1"/>
  <c r="LFT362" i="40"/>
  <c r="LFT373" i="40" s="1"/>
  <c r="LFD362" i="40"/>
  <c r="LEN362" i="40"/>
  <c r="LDX362" i="40"/>
  <c r="LDX373" i="40" s="1"/>
  <c r="LDH362" i="40"/>
  <c r="LDH373" i="40" s="1"/>
  <c r="LCR362" i="40"/>
  <c r="LCB362" i="40"/>
  <c r="LBL362" i="40"/>
  <c r="LAV362" i="40"/>
  <c r="LAV373" i="40" s="1"/>
  <c r="LAF362" i="40"/>
  <c r="KZP362" i="40"/>
  <c r="KYZ362" i="40"/>
  <c r="KYZ373" i="40" s="1"/>
  <c r="KYJ362" i="40"/>
  <c r="KYJ373" i="40" s="1"/>
  <c r="KXT362" i="40"/>
  <c r="KXD362" i="40"/>
  <c r="KWN362" i="40"/>
  <c r="KWN373" i="40" s="1"/>
  <c r="KVX362" i="40"/>
  <c r="KVX373" i="40" s="1"/>
  <c r="KVH362" i="40"/>
  <c r="KUR362" i="40"/>
  <c r="KUB362" i="40"/>
  <c r="KUB373" i="40" s="1"/>
  <c r="KTL362" i="40"/>
  <c r="KTL373" i="40" s="1"/>
  <c r="KSV362" i="40"/>
  <c r="KSF362" i="40"/>
  <c r="KRP362" i="40"/>
  <c r="KRP373" i="40" s="1"/>
  <c r="KQZ362" i="40"/>
  <c r="KQZ373" i="40" s="1"/>
  <c r="KQJ362" i="40"/>
  <c r="KPT362" i="40"/>
  <c r="KPD362" i="40"/>
  <c r="KPD373" i="40" s="1"/>
  <c r="KON362" i="40"/>
  <c r="KON373" i="40" s="1"/>
  <c r="KNX362" i="40"/>
  <c r="KNH362" i="40"/>
  <c r="KMR362" i="40"/>
  <c r="KMR373" i="40" s="1"/>
  <c r="KMB362" i="40"/>
  <c r="KMB373" i="40" s="1"/>
  <c r="KLL362" i="40"/>
  <c r="KKV362" i="40"/>
  <c r="KKF362" i="40"/>
  <c r="KKF373" i="40" s="1"/>
  <c r="KJP362" i="40"/>
  <c r="KJP373" i="40" s="1"/>
  <c r="KIZ362" i="40"/>
  <c r="KIJ362" i="40"/>
  <c r="KHT362" i="40"/>
  <c r="KHT373" i="40" s="1"/>
  <c r="KHD362" i="40"/>
  <c r="KHD373" i="40" s="1"/>
  <c r="KGN362" i="40"/>
  <c r="KFX362" i="40"/>
  <c r="KFH362" i="40"/>
  <c r="KFH373" i="40" s="1"/>
  <c r="KER362" i="40"/>
  <c r="KER373" i="40" s="1"/>
  <c r="KEB362" i="40"/>
  <c r="KDL362" i="40"/>
  <c r="KCV362" i="40"/>
  <c r="KCV373" i="40" s="1"/>
  <c r="KCF362" i="40"/>
  <c r="KCF373" i="40" s="1"/>
  <c r="KBP362" i="40"/>
  <c r="KAZ362" i="40"/>
  <c r="KAJ362" i="40"/>
  <c r="KAJ373" i="40" s="1"/>
  <c r="JZT362" i="40"/>
  <c r="JZT373" i="40" s="1"/>
  <c r="JZD362" i="40"/>
  <c r="JYN362" i="40"/>
  <c r="JXX362" i="40"/>
  <c r="JXX373" i="40" s="1"/>
  <c r="JXH362" i="40"/>
  <c r="JXH373" i="40" s="1"/>
  <c r="JWR362" i="40"/>
  <c r="JWB362" i="40"/>
  <c r="JVL362" i="40"/>
  <c r="JVL373" i="40" s="1"/>
  <c r="JUV362" i="40"/>
  <c r="JUV373" i="40" s="1"/>
  <c r="JUF362" i="40"/>
  <c r="JTP362" i="40"/>
  <c r="JSZ362" i="40"/>
  <c r="JSZ373" i="40" s="1"/>
  <c r="JSJ362" i="40"/>
  <c r="JSJ373" i="40" s="1"/>
  <c r="JRT362" i="40"/>
  <c r="JRD362" i="40"/>
  <c r="JQN362" i="40"/>
  <c r="JQN373" i="40" s="1"/>
  <c r="JPX362" i="40"/>
  <c r="JPX373" i="40" s="1"/>
  <c r="JPH362" i="40"/>
  <c r="JOR362" i="40"/>
  <c r="JOB362" i="40"/>
  <c r="JOB373" i="40" s="1"/>
  <c r="JNL362" i="40"/>
  <c r="JNL373" i="40" s="1"/>
  <c r="JMV362" i="40"/>
  <c r="JMF362" i="40"/>
  <c r="JLP362" i="40"/>
  <c r="JLP373" i="40" s="1"/>
  <c r="JKZ362" i="40"/>
  <c r="JKZ373" i="40" s="1"/>
  <c r="JKJ362" i="40"/>
  <c r="JJT362" i="40"/>
  <c r="JJD362" i="40"/>
  <c r="JJD373" i="40" s="1"/>
  <c r="JIN362" i="40"/>
  <c r="JIN373" i="40" s="1"/>
  <c r="JHX362" i="40"/>
  <c r="JHH362" i="40"/>
  <c r="JGR362" i="40"/>
  <c r="JGR373" i="40" s="1"/>
  <c r="JGB362" i="40"/>
  <c r="JGB373" i="40" s="1"/>
  <c r="JFL362" i="40"/>
  <c r="JEV362" i="40"/>
  <c r="JEF362" i="40"/>
  <c r="JEF373" i="40" s="1"/>
  <c r="JDP362" i="40"/>
  <c r="JDP373" i="40" s="1"/>
  <c r="JCZ362" i="40"/>
  <c r="JCJ362" i="40"/>
  <c r="JBT362" i="40"/>
  <c r="JBT373" i="40" s="1"/>
  <c r="JBD362" i="40"/>
  <c r="JBD373" i="40" s="1"/>
  <c r="JAN362" i="40"/>
  <c r="IZX362" i="40"/>
  <c r="IZH362" i="40"/>
  <c r="IZH373" i="40" s="1"/>
  <c r="IYR362" i="40"/>
  <c r="IYR373" i="40" s="1"/>
  <c r="IYB362" i="40"/>
  <c r="IXL362" i="40"/>
  <c r="IWV362" i="40"/>
  <c r="IWV373" i="40" s="1"/>
  <c r="IWF362" i="40"/>
  <c r="IWF373" i="40" s="1"/>
  <c r="IVP362" i="40"/>
  <c r="IUZ362" i="40"/>
  <c r="IUJ362" i="40"/>
  <c r="IUJ373" i="40" s="1"/>
  <c r="ITT362" i="40"/>
  <c r="ITT373" i="40" s="1"/>
  <c r="ITD362" i="40"/>
  <c r="ISN362" i="40"/>
  <c r="IRX362" i="40"/>
  <c r="IRX373" i="40" s="1"/>
  <c r="IRH362" i="40"/>
  <c r="IRH373" i="40" s="1"/>
  <c r="IQR362" i="40"/>
  <c r="IQB362" i="40"/>
  <c r="IPL362" i="40"/>
  <c r="IPL373" i="40" s="1"/>
  <c r="IOV362" i="40"/>
  <c r="IOV373" i="40" s="1"/>
  <c r="IOF362" i="40"/>
  <c r="INP362" i="40"/>
  <c r="IMZ362" i="40"/>
  <c r="IMZ373" i="40" s="1"/>
  <c r="IMJ362" i="40"/>
  <c r="IMJ373" i="40" s="1"/>
  <c r="ILT362" i="40"/>
  <c r="ILD362" i="40"/>
  <c r="IKN362" i="40"/>
  <c r="IKN373" i="40" s="1"/>
  <c r="IJX362" i="40"/>
  <c r="IJX373" i="40" s="1"/>
  <c r="IJH362" i="40"/>
  <c r="IIR362" i="40"/>
  <c r="IIB362" i="40"/>
  <c r="IIB373" i="40" s="1"/>
  <c r="IHL362" i="40"/>
  <c r="IHL373" i="40" s="1"/>
  <c r="IGV362" i="40"/>
  <c r="IGF362" i="40"/>
  <c r="IFP362" i="40"/>
  <c r="IFP373" i="40" s="1"/>
  <c r="IEZ362" i="40"/>
  <c r="IEZ373" i="40" s="1"/>
  <c r="IEJ362" i="40"/>
  <c r="IDT362" i="40"/>
  <c r="IDD362" i="40"/>
  <c r="IDD373" i="40" s="1"/>
  <c r="ICN362" i="40"/>
  <c r="ICN373" i="40" s="1"/>
  <c r="IBX362" i="40"/>
  <c r="IBH362" i="40"/>
  <c r="IAR362" i="40"/>
  <c r="IAR373" i="40" s="1"/>
  <c r="IAB362" i="40"/>
  <c r="IAB373" i="40" s="1"/>
  <c r="HZL362" i="40"/>
  <c r="HYV362" i="40"/>
  <c r="HYF362" i="40"/>
  <c r="HYF373" i="40" s="1"/>
  <c r="HXP362" i="40"/>
  <c r="HXP373" i="40" s="1"/>
  <c r="HWZ362" i="40"/>
  <c r="HWJ362" i="40"/>
  <c r="HVT362" i="40"/>
  <c r="HVT373" i="40" s="1"/>
  <c r="HVD362" i="40"/>
  <c r="HVD373" i="40" s="1"/>
  <c r="HUN362" i="40"/>
  <c r="HTX362" i="40"/>
  <c r="HTH362" i="40"/>
  <c r="HTH373" i="40" s="1"/>
  <c r="HSR362" i="40"/>
  <c r="HSR373" i="40" s="1"/>
  <c r="HSB362" i="40"/>
  <c r="HRL362" i="40"/>
  <c r="HQV362" i="40"/>
  <c r="HQV373" i="40" s="1"/>
  <c r="HQF362" i="40"/>
  <c r="HQF373" i="40" s="1"/>
  <c r="HPP362" i="40"/>
  <c r="HOZ362" i="40"/>
  <c r="HOJ362" i="40"/>
  <c r="HOJ373" i="40" s="1"/>
  <c r="HNT362" i="40"/>
  <c r="HNT373" i="40" s="1"/>
  <c r="HND362" i="40"/>
  <c r="HMN362" i="40"/>
  <c r="HLX362" i="40"/>
  <c r="HLX373" i="40" s="1"/>
  <c r="HLH362" i="40"/>
  <c r="HLH373" i="40" s="1"/>
  <c r="HKR362" i="40"/>
  <c r="HKB362" i="40"/>
  <c r="HJL362" i="40"/>
  <c r="HJL373" i="40" s="1"/>
  <c r="HIV362" i="40"/>
  <c r="HIV373" i="40" s="1"/>
  <c r="HIF362" i="40"/>
  <c r="HHP362" i="40"/>
  <c r="HGZ362" i="40"/>
  <c r="HGZ373" i="40" s="1"/>
  <c r="HGJ362" i="40"/>
  <c r="HGJ373" i="40" s="1"/>
  <c r="HFT362" i="40"/>
  <c r="HFD362" i="40"/>
  <c r="HEN362" i="40"/>
  <c r="HEN373" i="40" s="1"/>
  <c r="HDX362" i="40"/>
  <c r="HDX373" i="40" s="1"/>
  <c r="HDH362" i="40"/>
  <c r="HCR362" i="40"/>
  <c r="HCB362" i="40"/>
  <c r="HCB373" i="40" s="1"/>
  <c r="HBL362" i="40"/>
  <c r="HBL373" i="40" s="1"/>
  <c r="HAV362" i="40"/>
  <c r="HAF362" i="40"/>
  <c r="GZP362" i="40"/>
  <c r="GZP373" i="40" s="1"/>
  <c r="GYZ362" i="40"/>
  <c r="GYZ373" i="40" s="1"/>
  <c r="GYJ362" i="40"/>
  <c r="GXT362" i="40"/>
  <c r="GXD362" i="40"/>
  <c r="GXD373" i="40" s="1"/>
  <c r="GWN362" i="40"/>
  <c r="GWN373" i="40" s="1"/>
  <c r="GVX362" i="40"/>
  <c r="GVH362" i="40"/>
  <c r="GUR362" i="40"/>
  <c r="GUR373" i="40" s="1"/>
  <c r="GUB362" i="40"/>
  <c r="GUB373" i="40" s="1"/>
  <c r="GTL362" i="40"/>
  <c r="GSV362" i="40"/>
  <c r="GSF362" i="40"/>
  <c r="GSF373" i="40" s="1"/>
  <c r="GRP362" i="40"/>
  <c r="GRP373" i="40" s="1"/>
  <c r="GQZ362" i="40"/>
  <c r="GQJ362" i="40"/>
  <c r="GPT362" i="40"/>
  <c r="GPT373" i="40" s="1"/>
  <c r="GPD362" i="40"/>
  <c r="GPD373" i="40" s="1"/>
  <c r="GON362" i="40"/>
  <c r="GNX362" i="40"/>
  <c r="GNH362" i="40"/>
  <c r="GNH373" i="40" s="1"/>
  <c r="GMR362" i="40"/>
  <c r="GMR373" i="40" s="1"/>
  <c r="GMB362" i="40"/>
  <c r="GLL362" i="40"/>
  <c r="GKV362" i="40"/>
  <c r="GKV373" i="40" s="1"/>
  <c r="GKF362" i="40"/>
  <c r="GKF373" i="40" s="1"/>
  <c r="GJP362" i="40"/>
  <c r="GIZ362" i="40"/>
  <c r="GIJ362" i="40"/>
  <c r="GIJ373" i="40" s="1"/>
  <c r="GHT362" i="40"/>
  <c r="GHT373" i="40" s="1"/>
  <c r="GHD362" i="40"/>
  <c r="GGN362" i="40"/>
  <c r="GFX362" i="40"/>
  <c r="GFX373" i="40" s="1"/>
  <c r="GFH362" i="40"/>
  <c r="GFH373" i="40" s="1"/>
  <c r="GER362" i="40"/>
  <c r="GEB362" i="40"/>
  <c r="GDL362" i="40"/>
  <c r="GDL373" i="40" s="1"/>
  <c r="GCV362" i="40"/>
  <c r="GCV373" i="40" s="1"/>
  <c r="GCF362" i="40"/>
  <c r="GBP362" i="40"/>
  <c r="GAZ362" i="40"/>
  <c r="GAZ373" i="40" s="1"/>
  <c r="GAJ362" i="40"/>
  <c r="GAJ373" i="40" s="1"/>
  <c r="FZT362" i="40"/>
  <c r="FZD362" i="40"/>
  <c r="FYN362" i="40"/>
  <c r="FYN373" i="40" s="1"/>
  <c r="FXX362" i="40"/>
  <c r="FXX373" i="40" s="1"/>
  <c r="FXH362" i="40"/>
  <c r="FWR362" i="40"/>
  <c r="FWB362" i="40"/>
  <c r="FWB373" i="40" s="1"/>
  <c r="FVL362" i="40"/>
  <c r="FVL373" i="40" s="1"/>
  <c r="FUV362" i="40"/>
  <c r="FUF362" i="40"/>
  <c r="FTP362" i="40"/>
  <c r="FTP373" i="40" s="1"/>
  <c r="FSZ362" i="40"/>
  <c r="FSZ373" i="40" s="1"/>
  <c r="FSJ362" i="40"/>
  <c r="FRT362" i="40"/>
  <c r="FRD362" i="40"/>
  <c r="FRD373" i="40" s="1"/>
  <c r="FQN362" i="40"/>
  <c r="FQN373" i="40" s="1"/>
  <c r="FPX362" i="40"/>
  <c r="FPH362" i="40"/>
  <c r="FOR362" i="40"/>
  <c r="FOR373" i="40" s="1"/>
  <c r="FOB362" i="40"/>
  <c r="FOB373" i="40" s="1"/>
  <c r="FNL362" i="40"/>
  <c r="FMV362" i="40"/>
  <c r="FMF362" i="40"/>
  <c r="FMF373" i="40" s="1"/>
  <c r="FLP362" i="40"/>
  <c r="FLP373" i="40" s="1"/>
  <c r="FKZ362" i="40"/>
  <c r="FKJ362" i="40"/>
  <c r="FJT362" i="40"/>
  <c r="FJT373" i="40" s="1"/>
  <c r="FJD362" i="40"/>
  <c r="FJD373" i="40" s="1"/>
  <c r="FIN362" i="40"/>
  <c r="FHX362" i="40"/>
  <c r="FHH362" i="40"/>
  <c r="FHH373" i="40" s="1"/>
  <c r="FGR362" i="40"/>
  <c r="FGR373" i="40" s="1"/>
  <c r="FGB362" i="40"/>
  <c r="FFL362" i="40"/>
  <c r="FEV362" i="40"/>
  <c r="FEV373" i="40" s="1"/>
  <c r="FEF362" i="40"/>
  <c r="FEF373" i="40" s="1"/>
  <c r="FDP362" i="40"/>
  <c r="FCZ362" i="40"/>
  <c r="FCJ362" i="40"/>
  <c r="FCJ373" i="40" s="1"/>
  <c r="FBT362" i="40"/>
  <c r="FBT373" i="40" s="1"/>
  <c r="FBD362" i="40"/>
  <c r="FAN362" i="40"/>
  <c r="EZX362" i="40"/>
  <c r="EZX373" i="40" s="1"/>
  <c r="EZH362" i="40"/>
  <c r="EZH373" i="40" s="1"/>
  <c r="EYR362" i="40"/>
  <c r="EYB362" i="40"/>
  <c r="EXL362" i="40"/>
  <c r="EXL373" i="40" s="1"/>
  <c r="EWV362" i="40"/>
  <c r="EWV373" i="40" s="1"/>
  <c r="EWF362" i="40"/>
  <c r="EVP362" i="40"/>
  <c r="EUZ362" i="40"/>
  <c r="EUZ373" i="40" s="1"/>
  <c r="EUJ362" i="40"/>
  <c r="EUJ373" i="40" s="1"/>
  <c r="ETT362" i="40"/>
  <c r="ETD362" i="40"/>
  <c r="ESN362" i="40"/>
  <c r="ESN373" i="40" s="1"/>
  <c r="ERX362" i="40"/>
  <c r="ERX373" i="40" s="1"/>
  <c r="ERH362" i="40"/>
  <c r="EQR362" i="40"/>
  <c r="EQB362" i="40"/>
  <c r="EQB373" i="40" s="1"/>
  <c r="EPL362" i="40"/>
  <c r="EPL373" i="40" s="1"/>
  <c r="EOV362" i="40"/>
  <c r="EOF362" i="40"/>
  <c r="ENP362" i="40"/>
  <c r="ENP373" i="40" s="1"/>
  <c r="EMZ362" i="40"/>
  <c r="EMZ373" i="40" s="1"/>
  <c r="EMJ362" i="40"/>
  <c r="ELT362" i="40"/>
  <c r="ELD362" i="40"/>
  <c r="ELD373" i="40" s="1"/>
  <c r="EKN362" i="40"/>
  <c r="EKN373" i="40" s="1"/>
  <c r="EJX362" i="40"/>
  <c r="EJH362" i="40"/>
  <c r="EIR362" i="40"/>
  <c r="EIR373" i="40" s="1"/>
  <c r="EIB362" i="40"/>
  <c r="EIB373" i="40" s="1"/>
  <c r="EHL362" i="40"/>
  <c r="EGV362" i="40"/>
  <c r="EGF362" i="40"/>
  <c r="EGF373" i="40" s="1"/>
  <c r="EFP362" i="40"/>
  <c r="EFP373" i="40" s="1"/>
  <c r="EEZ362" i="40"/>
  <c r="EEJ362" i="40"/>
  <c r="EDT362" i="40"/>
  <c r="EDT373" i="40" s="1"/>
  <c r="EDD362" i="40"/>
  <c r="EDD373" i="40" s="1"/>
  <c r="ECN362" i="40"/>
  <c r="EBX362" i="40"/>
  <c r="EBH362" i="40"/>
  <c r="EBH373" i="40" s="1"/>
  <c r="EAR362" i="40"/>
  <c r="EAR373" i="40" s="1"/>
  <c r="EAB362" i="40"/>
  <c r="DZL362" i="40"/>
  <c r="DYV362" i="40"/>
  <c r="DYV373" i="40" s="1"/>
  <c r="DYF362" i="40"/>
  <c r="DYF373" i="40" s="1"/>
  <c r="DXP362" i="40"/>
  <c r="DWZ362" i="40"/>
  <c r="DWJ362" i="40"/>
  <c r="DWJ373" i="40" s="1"/>
  <c r="DVT362" i="40"/>
  <c r="DVT373" i="40" s="1"/>
  <c r="DVD362" i="40"/>
  <c r="DUN362" i="40"/>
  <c r="DTX362" i="40"/>
  <c r="DTX373" i="40" s="1"/>
  <c r="DTH362" i="40"/>
  <c r="DTH373" i="40" s="1"/>
  <c r="DSR362" i="40"/>
  <c r="DSB362" i="40"/>
  <c r="DRL362" i="40"/>
  <c r="DRL373" i="40" s="1"/>
  <c r="DQV362" i="40"/>
  <c r="DQV373" i="40" s="1"/>
  <c r="DQF362" i="40"/>
  <c r="DPP362" i="40"/>
  <c r="DOZ362" i="40"/>
  <c r="DOZ373" i="40" s="1"/>
  <c r="DOJ362" i="40"/>
  <c r="DOJ373" i="40" s="1"/>
  <c r="DNT362" i="40"/>
  <c r="DND362" i="40"/>
  <c r="DMN362" i="40"/>
  <c r="DMN373" i="40" s="1"/>
  <c r="DLX362" i="40"/>
  <c r="DLX373" i="40" s="1"/>
  <c r="DLH362" i="40"/>
  <c r="DKR362" i="40"/>
  <c r="DKB362" i="40"/>
  <c r="DKB373" i="40" s="1"/>
  <c r="DJL362" i="40"/>
  <c r="DJL373" i="40" s="1"/>
  <c r="DIV362" i="40"/>
  <c r="DIF362" i="40"/>
  <c r="DHP362" i="40"/>
  <c r="DHP373" i="40" s="1"/>
  <c r="DGZ362" i="40"/>
  <c r="DGZ373" i="40" s="1"/>
  <c r="DGJ362" i="40"/>
  <c r="DFT362" i="40"/>
  <c r="DFD362" i="40"/>
  <c r="DFD373" i="40" s="1"/>
  <c r="DEN362" i="40"/>
  <c r="DEN373" i="40" s="1"/>
  <c r="DDX362" i="40"/>
  <c r="DDH362" i="40"/>
  <c r="DCR362" i="40"/>
  <c r="DCR373" i="40" s="1"/>
  <c r="DCB362" i="40"/>
  <c r="DCB373" i="40" s="1"/>
  <c r="DBL362" i="40"/>
  <c r="DAV362" i="40"/>
  <c r="DAF362" i="40"/>
  <c r="DAF373" i="40" s="1"/>
  <c r="CZP362" i="40"/>
  <c r="CZP373" i="40" s="1"/>
  <c r="CYZ362" i="40"/>
  <c r="CYJ362" i="40"/>
  <c r="CXT362" i="40"/>
  <c r="CXT373" i="40" s="1"/>
  <c r="CXD362" i="40"/>
  <c r="CXD373" i="40" s="1"/>
  <c r="CWN362" i="40"/>
  <c r="CVX362" i="40"/>
  <c r="CVH362" i="40"/>
  <c r="CVH373" i="40" s="1"/>
  <c r="CUR362" i="40"/>
  <c r="CUR373" i="40" s="1"/>
  <c r="CUB362" i="40"/>
  <c r="CTL362" i="40"/>
  <c r="CSV362" i="40"/>
  <c r="CSV373" i="40" s="1"/>
  <c r="CSF362" i="40"/>
  <c r="CSF373" i="40" s="1"/>
  <c r="CRP362" i="40"/>
  <c r="CQZ362" i="40"/>
  <c r="CQJ362" i="40"/>
  <c r="CQJ373" i="40" s="1"/>
  <c r="CPT362" i="40"/>
  <c r="CPT373" i="40" s="1"/>
  <c r="CPD362" i="40"/>
  <c r="CON362" i="40"/>
  <c r="CNX362" i="40"/>
  <c r="CNX373" i="40" s="1"/>
  <c r="CNH362" i="40"/>
  <c r="CNH373" i="40" s="1"/>
  <c r="CMR362" i="40"/>
  <c r="CMB362" i="40"/>
  <c r="CLL362" i="40"/>
  <c r="CLL373" i="40" s="1"/>
  <c r="CKV362" i="40"/>
  <c r="CKV373" i="40" s="1"/>
  <c r="CKF362" i="40"/>
  <c r="CJP362" i="40"/>
  <c r="CIZ362" i="40"/>
  <c r="CIZ373" i="40" s="1"/>
  <c r="CIJ362" i="40"/>
  <c r="CIJ373" i="40" s="1"/>
  <c r="CHT362" i="40"/>
  <c r="CHD362" i="40"/>
  <c r="CGN362" i="40"/>
  <c r="CGN373" i="40" s="1"/>
  <c r="CFX362" i="40"/>
  <c r="CFX373" i="40" s="1"/>
  <c r="CFH362" i="40"/>
  <c r="CER362" i="40"/>
  <c r="CEB362" i="40"/>
  <c r="CEB373" i="40" s="1"/>
  <c r="CDL362" i="40"/>
  <c r="CDL373" i="40" s="1"/>
  <c r="CCV362" i="40"/>
  <c r="CCF362" i="40"/>
  <c r="CBP362" i="40"/>
  <c r="CBP373" i="40" s="1"/>
  <c r="CAZ362" i="40"/>
  <c r="CAZ373" i="40" s="1"/>
  <c r="CAJ362" i="40"/>
  <c r="BZT362" i="40"/>
  <c r="BZD362" i="40"/>
  <c r="BZD373" i="40" s="1"/>
  <c r="BYN362" i="40"/>
  <c r="BYN373" i="40" s="1"/>
  <c r="BXX362" i="40"/>
  <c r="BXH362" i="40"/>
  <c r="BWR362" i="40"/>
  <c r="BWR373" i="40" s="1"/>
  <c r="BWB362" i="40"/>
  <c r="BWB373" i="40" s="1"/>
  <c r="BVL362" i="40"/>
  <c r="BUV362" i="40"/>
  <c r="BUF362" i="40"/>
  <c r="BUF373" i="40" s="1"/>
  <c r="BTP362" i="40"/>
  <c r="BTP373" i="40" s="1"/>
  <c r="BSZ362" i="40"/>
  <c r="BSJ362" i="40"/>
  <c r="BRT362" i="40"/>
  <c r="BRT373" i="40" s="1"/>
  <c r="BRD362" i="40"/>
  <c r="BRD373" i="40" s="1"/>
  <c r="BQN362" i="40"/>
  <c r="BPX362" i="40"/>
  <c r="BPH362" i="40"/>
  <c r="BPH373" i="40" s="1"/>
  <c r="BOR362" i="40"/>
  <c r="BOR373" i="40" s="1"/>
  <c r="BOB362" i="40"/>
  <c r="BNL362" i="40"/>
  <c r="BMV362" i="40"/>
  <c r="BMV373" i="40" s="1"/>
  <c r="BMF362" i="40"/>
  <c r="BMF373" i="40" s="1"/>
  <c r="BLP362" i="40"/>
  <c r="BKZ362" i="40"/>
  <c r="BKJ362" i="40"/>
  <c r="BKJ373" i="40" s="1"/>
  <c r="BJT362" i="40"/>
  <c r="BJT373" i="40" s="1"/>
  <c r="BJD362" i="40"/>
  <c r="BIN362" i="40"/>
  <c r="BHX362" i="40"/>
  <c r="BHX373" i="40" s="1"/>
  <c r="BHH362" i="40"/>
  <c r="BHH373" i="40" s="1"/>
  <c r="BGR362" i="40"/>
  <c r="BGB362" i="40"/>
  <c r="BFL362" i="40"/>
  <c r="BFL373" i="40" s="1"/>
  <c r="BEV362" i="40"/>
  <c r="BEV373" i="40" s="1"/>
  <c r="BEF362" i="40"/>
  <c r="BDP362" i="40"/>
  <c r="BCZ362" i="40"/>
  <c r="BCZ373" i="40" s="1"/>
  <c r="BCJ362" i="40"/>
  <c r="BCJ373" i="40" s="1"/>
  <c r="BBT362" i="40"/>
  <c r="BBD362" i="40"/>
  <c r="BAN362" i="40"/>
  <c r="BAN373" i="40" s="1"/>
  <c r="AZX362" i="40"/>
  <c r="AZX373" i="40" s="1"/>
  <c r="AZH362" i="40"/>
  <c r="AYR362" i="40"/>
  <c r="AYB362" i="40"/>
  <c r="AYB373" i="40" s="1"/>
  <c r="AXL362" i="40"/>
  <c r="AXL373" i="40" s="1"/>
  <c r="AWV362" i="40"/>
  <c r="AWF362" i="40"/>
  <c r="AVP362" i="40"/>
  <c r="AVP373" i="40" s="1"/>
  <c r="AUZ362" i="40"/>
  <c r="AUZ373" i="40" s="1"/>
  <c r="AUJ362" i="40"/>
  <c r="ATT362" i="40"/>
  <c r="ATD362" i="40"/>
  <c r="ATD373" i="40" s="1"/>
  <c r="ASN362" i="40"/>
  <c r="ASN373" i="40" s="1"/>
  <c r="ARX362" i="40"/>
  <c r="ARH362" i="40"/>
  <c r="AQR362" i="40"/>
  <c r="AQR373" i="40" s="1"/>
  <c r="AQB362" i="40"/>
  <c r="AQB373" i="40" s="1"/>
  <c r="APL362" i="40"/>
  <c r="AOV362" i="40"/>
  <c r="AOF362" i="40"/>
  <c r="AOF373" i="40" s="1"/>
  <c r="ANP362" i="40"/>
  <c r="ANP373" i="40" s="1"/>
  <c r="AMZ362" i="40"/>
  <c r="AMJ362" i="40"/>
  <c r="ALT362" i="40"/>
  <c r="ALT373" i="40" s="1"/>
  <c r="ALD362" i="40"/>
  <c r="ALD373" i="40" s="1"/>
  <c r="AKN362" i="40"/>
  <c r="AJX362" i="40"/>
  <c r="AJH362" i="40"/>
  <c r="AJH373" i="40" s="1"/>
  <c r="AIR362" i="40"/>
  <c r="AIR373" i="40" s="1"/>
  <c r="AIB362" i="40"/>
  <c r="AHL362" i="40"/>
  <c r="AGV362" i="40"/>
  <c r="AGV373" i="40" s="1"/>
  <c r="AGF362" i="40"/>
  <c r="AGF373" i="40" s="1"/>
  <c r="AFP362" i="40"/>
  <c r="AEZ362" i="40"/>
  <c r="AEJ362" i="40"/>
  <c r="AEJ373" i="40" s="1"/>
  <c r="ADT362" i="40"/>
  <c r="ADT373" i="40" s="1"/>
  <c r="ADD362" i="40"/>
  <c r="ACN362" i="40"/>
  <c r="ABX362" i="40"/>
  <c r="ABX373" i="40" s="1"/>
  <c r="ABH362" i="40"/>
  <c r="ABH373" i="40" s="1"/>
  <c r="AAR362" i="40"/>
  <c r="AAB362" i="40"/>
  <c r="ZL362" i="40"/>
  <c r="ZL373" i="40" s="1"/>
  <c r="YV362" i="40"/>
  <c r="YV373" i="40" s="1"/>
  <c r="YF362" i="40"/>
  <c r="XP362" i="40"/>
  <c r="WZ362" i="40"/>
  <c r="WZ373" i="40" s="1"/>
  <c r="WJ362" i="40"/>
  <c r="WJ373" i="40" s="1"/>
  <c r="VT362" i="40"/>
  <c r="VD362" i="40"/>
  <c r="UN362" i="40"/>
  <c r="UN373" i="40" s="1"/>
  <c r="TX362" i="40"/>
  <c r="TX373" i="40" s="1"/>
  <c r="TH362" i="40"/>
  <c r="SR362" i="40"/>
  <c r="SB362" i="40"/>
  <c r="SB373" i="40" s="1"/>
  <c r="RL362" i="40"/>
  <c r="RL373" i="40" s="1"/>
  <c r="QV362" i="40"/>
  <c r="QF362" i="40"/>
  <c r="PP362" i="40"/>
  <c r="PP373" i="40" s="1"/>
  <c r="OZ362" i="40"/>
  <c r="OZ373" i="40" s="1"/>
  <c r="OJ362" i="40"/>
  <c r="NT362" i="40"/>
  <c r="ND362" i="40"/>
  <c r="ND373" i="40" s="1"/>
  <c r="MN362" i="40"/>
  <c r="MN373" i="40" s="1"/>
  <c r="LX362" i="40"/>
  <c r="LH362" i="40"/>
  <c r="KR362" i="40"/>
  <c r="KR373" i="40" s="1"/>
  <c r="KB362" i="40"/>
  <c r="KB373" i="40" s="1"/>
  <c r="JL362" i="40"/>
  <c r="IV362" i="40"/>
  <c r="IF362" i="40"/>
  <c r="IF373" i="40" s="1"/>
  <c r="HP362" i="40"/>
  <c r="HP373" i="40" s="1"/>
  <c r="GZ362" i="40"/>
  <c r="GJ362" i="40"/>
  <c r="FT362" i="40"/>
  <c r="FT373" i="40" s="1"/>
  <c r="FD362" i="40"/>
  <c r="FD373" i="40" s="1"/>
  <c r="EN362" i="40"/>
  <c r="DX362" i="40"/>
  <c r="DH362" i="40"/>
  <c r="DH373" i="40" s="1"/>
  <c r="CR362" i="40"/>
  <c r="CR373" i="40" s="1"/>
  <c r="CB362" i="40"/>
  <c r="BL362" i="40"/>
  <c r="AV362" i="40"/>
  <c r="AV373" i="40" s="1"/>
  <c r="AF362" i="40"/>
  <c r="AF373" i="40" s="1"/>
  <c r="P362" i="40"/>
  <c r="C378" i="40"/>
  <c r="C379" i="40"/>
  <c r="D390" i="40" s="1"/>
  <c r="C380" i="40"/>
  <c r="C381" i="40"/>
  <c r="C382" i="40"/>
  <c r="C383" i="40"/>
  <c r="C384" i="40"/>
  <c r="C385" i="40"/>
  <c r="D392" i="40" s="1"/>
  <c r="C386" i="40"/>
  <c r="C387" i="40"/>
  <c r="P373" i="40" l="1"/>
  <c r="EN373" i="40"/>
  <c r="JL373" i="40"/>
  <c r="OJ373" i="40"/>
  <c r="TH373" i="40"/>
  <c r="YF373" i="40"/>
  <c r="ADD373" i="40"/>
  <c r="AIB373" i="40"/>
  <c r="AMZ373" i="40"/>
  <c r="ARX373" i="40"/>
  <c r="AWV373" i="40"/>
  <c r="BBT373" i="40"/>
  <c r="BGR373" i="40"/>
  <c r="BLP373" i="40"/>
  <c r="BQN373" i="40"/>
  <c r="BVL373" i="40"/>
  <c r="CAJ373" i="40"/>
  <c r="CFH373" i="40"/>
  <c r="CKF373" i="40"/>
  <c r="DX373" i="40"/>
  <c r="IV373" i="40"/>
  <c r="NT373" i="40"/>
  <c r="SR373" i="40"/>
  <c r="XP373" i="40"/>
  <c r="ACN373" i="40"/>
  <c r="AHL373" i="40"/>
  <c r="AMJ373" i="40"/>
  <c r="ARH373" i="40"/>
  <c r="AWF373" i="40"/>
  <c r="BBD373" i="40"/>
  <c r="BGB373" i="40"/>
  <c r="BKZ373" i="40"/>
  <c r="BPX373" i="40"/>
  <c r="BUV373" i="40"/>
  <c r="BZT373" i="40"/>
  <c r="CER373" i="40"/>
  <c r="CJP373" i="40"/>
  <c r="CPD373" i="40"/>
  <c r="CUB373" i="40"/>
  <c r="CYZ373" i="40"/>
  <c r="DDX373" i="40"/>
  <c r="DIV373" i="40"/>
  <c r="DNT373" i="40"/>
  <c r="DSR373" i="40"/>
  <c r="DXP373" i="40"/>
  <c r="ECN373" i="40"/>
  <c r="EHL373" i="40"/>
  <c r="EMJ373" i="40"/>
  <c r="ERH373" i="40"/>
  <c r="EWF373" i="40"/>
  <c r="FBD373" i="40"/>
  <c r="FGB373" i="40"/>
  <c r="FKZ373" i="40"/>
  <c r="FPX373" i="40"/>
  <c r="FUV373" i="40"/>
  <c r="FZT373" i="40"/>
  <c r="GER373" i="40"/>
  <c r="GJP373" i="40"/>
  <c r="GON373" i="40"/>
  <c r="GTL373" i="40"/>
  <c r="GYJ373" i="40"/>
  <c r="HDH373" i="40"/>
  <c r="HIF373" i="40"/>
  <c r="HND373" i="40"/>
  <c r="HSB373" i="40"/>
  <c r="HWZ373" i="40"/>
  <c r="IBX373" i="40"/>
  <c r="IGV373" i="40"/>
  <c r="ILT373" i="40"/>
  <c r="IQR373" i="40"/>
  <c r="IVP373" i="40"/>
  <c r="JAN373" i="40"/>
  <c r="JFL373" i="40"/>
  <c r="JKJ373" i="40"/>
  <c r="JUF373" i="40"/>
  <c r="JZD373" i="40"/>
  <c r="KEB373" i="40"/>
  <c r="KIZ373" i="40"/>
  <c r="KNX373" i="40"/>
  <c r="KSV373" i="40"/>
  <c r="KXT373" i="40"/>
  <c r="LCR373" i="40"/>
  <c r="LHP373" i="40"/>
  <c r="LMN373" i="40"/>
  <c r="LRL373" i="40"/>
  <c r="LWJ373" i="40"/>
  <c r="MBH373" i="40"/>
  <c r="MGF373" i="40"/>
  <c r="MLD373" i="40"/>
  <c r="MQB373" i="40"/>
  <c r="MUZ373" i="40"/>
  <c r="MZX373" i="40"/>
  <c r="NEV373" i="40"/>
  <c r="NJT373" i="40"/>
  <c r="NOR373" i="40"/>
  <c r="NTP373" i="40"/>
  <c r="NYN373" i="40"/>
  <c r="ODL373" i="40"/>
  <c r="OIJ373" i="40"/>
  <c r="ONH373" i="40"/>
  <c r="OSF373" i="40"/>
  <c r="OXD373" i="40"/>
  <c r="PCB373" i="40"/>
  <c r="PGZ373" i="40"/>
  <c r="PLX373" i="40"/>
  <c r="PQV373" i="40"/>
  <c r="PVT373" i="40"/>
  <c r="QAR373" i="40"/>
  <c r="QFP373" i="40"/>
  <c r="QKN373" i="40"/>
  <c r="QPL373" i="40"/>
  <c r="QUJ373" i="40"/>
  <c r="QZH373" i="40"/>
  <c r="REF373" i="40"/>
  <c r="RJD373" i="40"/>
  <c r="ROB373" i="40"/>
  <c r="RSZ373" i="40"/>
  <c r="RXX373" i="40"/>
  <c r="SCV373" i="40"/>
  <c r="SHT373" i="40"/>
  <c r="SMR373" i="40"/>
  <c r="SRP373" i="40"/>
  <c r="RCJ373" i="40"/>
  <c r="REV373" i="40"/>
  <c r="RHH373" i="40"/>
  <c r="RJT373" i="40"/>
  <c r="RMF373" i="40"/>
  <c r="ROR373" i="40"/>
  <c r="RRD373" i="40"/>
  <c r="RTP373" i="40"/>
  <c r="RWB373" i="40"/>
  <c r="RYN373" i="40"/>
  <c r="SAZ373" i="40"/>
  <c r="SDL373" i="40"/>
  <c r="SFX373" i="40"/>
  <c r="SIJ373" i="40"/>
  <c r="SNH373" i="40"/>
  <c r="SSF373" i="40"/>
  <c r="RCZ373" i="40"/>
  <c r="RFL373" i="40"/>
  <c r="RHX373" i="40"/>
  <c r="RKJ373" i="40"/>
  <c r="RMV373" i="40"/>
  <c r="RPH373" i="40"/>
  <c r="RRT373" i="40"/>
  <c r="RUF373" i="40"/>
  <c r="RWR373" i="40"/>
  <c r="RZD373" i="40"/>
  <c r="SBP373" i="40"/>
  <c r="SEB373" i="40"/>
  <c r="SGN373" i="40"/>
  <c r="SIZ373" i="40"/>
  <c r="SLL373" i="40"/>
  <c r="SNX373" i="40"/>
  <c r="SSV373" i="40"/>
  <c r="BL373" i="40"/>
  <c r="GJ373" i="40"/>
  <c r="LH373" i="40"/>
  <c r="QF373" i="40"/>
  <c r="VD373" i="40"/>
  <c r="AAB373" i="40"/>
  <c r="AEZ373" i="40"/>
  <c r="AJX373" i="40"/>
  <c r="AOV373" i="40"/>
  <c r="ATT373" i="40"/>
  <c r="AYR373" i="40"/>
  <c r="BDP373" i="40"/>
  <c r="BIN373" i="40"/>
  <c r="BNL373" i="40"/>
  <c r="BSJ373" i="40"/>
  <c r="BXH373" i="40"/>
  <c r="CCF373" i="40"/>
  <c r="CHD373" i="40"/>
  <c r="CMB373" i="40"/>
  <c r="CQZ373" i="40"/>
  <c r="CVX373" i="40"/>
  <c r="DAV373" i="40"/>
  <c r="DFT373" i="40"/>
  <c r="DKR373" i="40"/>
  <c r="DPP373" i="40"/>
  <c r="DUN373" i="40"/>
  <c r="CB373" i="40"/>
  <c r="GZ373" i="40"/>
  <c r="LX373" i="40"/>
  <c r="QV373" i="40"/>
  <c r="VT373" i="40"/>
  <c r="AAR373" i="40"/>
  <c r="AFP373" i="40"/>
  <c r="AKN373" i="40"/>
  <c r="APL373" i="40"/>
  <c r="AUJ373" i="40"/>
  <c r="AZH373" i="40"/>
  <c r="BEF373" i="40"/>
  <c r="BJD373" i="40"/>
  <c r="BOB373" i="40"/>
  <c r="BSZ373" i="40"/>
  <c r="BXX373" i="40"/>
  <c r="CCV373" i="40"/>
  <c r="CHT373" i="40"/>
  <c r="CMR373" i="40"/>
  <c r="CRP373" i="40"/>
  <c r="CWN373" i="40"/>
  <c r="DBL373" i="40"/>
  <c r="DGJ373" i="40"/>
  <c r="DLH373" i="40"/>
  <c r="DQF373" i="40"/>
  <c r="DVD373" i="40"/>
  <c r="EAB373" i="40"/>
  <c r="DZL373" i="40"/>
  <c r="EEJ373" i="40"/>
  <c r="EJH373" i="40"/>
  <c r="EOF373" i="40"/>
  <c r="ETD373" i="40"/>
  <c r="EYB373" i="40"/>
  <c r="FCZ373" i="40"/>
  <c r="FHX373" i="40"/>
  <c r="FMV373" i="40"/>
  <c r="FRT373" i="40"/>
  <c r="FWR373" i="40"/>
  <c r="GBP373" i="40"/>
  <c r="GGN373" i="40"/>
  <c r="GLL373" i="40"/>
  <c r="GQJ373" i="40"/>
  <c r="GVH373" i="40"/>
  <c r="HAF373" i="40"/>
  <c r="HFD373" i="40"/>
  <c r="HKB373" i="40"/>
  <c r="HOZ373" i="40"/>
  <c r="HTX373" i="40"/>
  <c r="HYV373" i="40"/>
  <c r="IDT373" i="40"/>
  <c r="IIR373" i="40"/>
  <c r="INP373" i="40"/>
  <c r="ISN373" i="40"/>
  <c r="IXL373" i="40"/>
  <c r="JCJ373" i="40"/>
  <c r="JHH373" i="40"/>
  <c r="JMF373" i="40"/>
  <c r="JRD373" i="40"/>
  <c r="JWB373" i="40"/>
  <c r="KAZ373" i="40"/>
  <c r="KFX373" i="40"/>
  <c r="KKV373" i="40"/>
  <c r="KPT373" i="40"/>
  <c r="KUR373" i="40"/>
  <c r="KZP373" i="40"/>
  <c r="LEN373" i="40"/>
  <c r="LJL373" i="40"/>
  <c r="LOJ373" i="40"/>
  <c r="LTH373" i="40"/>
  <c r="LYF373" i="40"/>
  <c r="MDD373" i="40"/>
  <c r="MIB373" i="40"/>
  <c r="MMZ373" i="40"/>
  <c r="MRX373" i="40"/>
  <c r="MWV373" i="40"/>
  <c r="NBT373" i="40"/>
  <c r="NGR373" i="40"/>
  <c r="NLP373" i="40"/>
  <c r="NQN373" i="40"/>
  <c r="NVL373" i="40"/>
  <c r="OAJ373" i="40"/>
  <c r="OFH373" i="40"/>
  <c r="OKF373" i="40"/>
  <c r="OPD373" i="40"/>
  <c r="OUB373" i="40"/>
  <c r="OYZ373" i="40"/>
  <c r="PDX373" i="40"/>
  <c r="PIV373" i="40"/>
  <c r="PNT373" i="40"/>
  <c r="PSR373" i="40"/>
  <c r="PXP373" i="40"/>
  <c r="QCN373" i="40"/>
  <c r="QHL373" i="40"/>
  <c r="QMJ373" i="40"/>
  <c r="QRH373" i="40"/>
  <c r="QWF373" i="40"/>
  <c r="RBD373" i="40"/>
  <c r="RGB373" i="40"/>
  <c r="RKZ373" i="40"/>
  <c r="RPX373" i="40"/>
  <c r="RUV373" i="40"/>
  <c r="RZT373" i="40"/>
  <c r="SER373" i="40"/>
  <c r="SJP373" i="40"/>
  <c r="SON373" i="40"/>
  <c r="STL373" i="40"/>
  <c r="EEZ373" i="40"/>
  <c r="EJX373" i="40"/>
  <c r="EOV373" i="40"/>
  <c r="ETT373" i="40"/>
  <c r="EYR373" i="40"/>
  <c r="FDP373" i="40"/>
  <c r="FIN373" i="40"/>
  <c r="FNL373" i="40"/>
  <c r="FSJ373" i="40"/>
  <c r="FXH373" i="40"/>
  <c r="GCF373" i="40"/>
  <c r="GHD373" i="40"/>
  <c r="GMB373" i="40"/>
  <c r="GQZ373" i="40"/>
  <c r="GVX373" i="40"/>
  <c r="HAV373" i="40"/>
  <c r="HFT373" i="40"/>
  <c r="HKR373" i="40"/>
  <c r="HPP373" i="40"/>
  <c r="HUN373" i="40"/>
  <c r="HZL373" i="40"/>
  <c r="IEJ373" i="40"/>
  <c r="IJH373" i="40"/>
  <c r="IOF373" i="40"/>
  <c r="ITD373" i="40"/>
  <c r="IYB373" i="40"/>
  <c r="JCZ373" i="40"/>
  <c r="JHX373" i="40"/>
  <c r="JMV373" i="40"/>
  <c r="JRT373" i="40"/>
  <c r="JWR373" i="40"/>
  <c r="KBP373" i="40"/>
  <c r="KGN373" i="40"/>
  <c r="KLL373" i="40"/>
  <c r="KQJ373" i="40"/>
  <c r="KVH373" i="40"/>
  <c r="LAF373" i="40"/>
  <c r="LFD373" i="40"/>
  <c r="LKB373" i="40"/>
  <c r="LOZ373" i="40"/>
  <c r="LTX373" i="40"/>
  <c r="LYV373" i="40"/>
  <c r="MDT373" i="40"/>
  <c r="MIR373" i="40"/>
  <c r="MNP373" i="40"/>
  <c r="MSN373" i="40"/>
  <c r="MXL373" i="40"/>
  <c r="NCJ373" i="40"/>
  <c r="NHH373" i="40"/>
  <c r="NMF373" i="40"/>
  <c r="NRD373" i="40"/>
  <c r="NWB373" i="40"/>
  <c r="OAZ373" i="40"/>
  <c r="OFX373" i="40"/>
  <c r="OKV373" i="40"/>
  <c r="OPT373" i="40"/>
  <c r="OUR373" i="40"/>
  <c r="OZP373" i="40"/>
  <c r="PEN373" i="40"/>
  <c r="PJL373" i="40"/>
  <c r="POJ373" i="40"/>
  <c r="PTH373" i="40"/>
  <c r="PYF373" i="40"/>
  <c r="QDD373" i="40"/>
  <c r="QIB373" i="40"/>
  <c r="QMZ373" i="40"/>
  <c r="QRX373" i="40"/>
  <c r="QWV373" i="40"/>
  <c r="RBT373" i="40"/>
  <c r="RGR373" i="40"/>
  <c r="RLP373" i="40"/>
  <c r="RQN373" i="40"/>
  <c r="RVL373" i="40"/>
  <c r="SAJ373" i="40"/>
  <c r="SFH373" i="40"/>
  <c r="SKF373" i="40"/>
  <c r="SPD373" i="40"/>
  <c r="SUB373" i="40"/>
  <c r="CON373" i="40"/>
  <c r="CTL373" i="40"/>
  <c r="CYJ373" i="40"/>
  <c r="DDH373" i="40"/>
  <c r="DIF373" i="40"/>
  <c r="DND373" i="40"/>
  <c r="DSB373" i="40"/>
  <c r="DWZ373" i="40"/>
  <c r="EBX373" i="40"/>
  <c r="EGV373" i="40"/>
  <c r="ELT373" i="40"/>
  <c r="EQR373" i="40"/>
  <c r="EVP373" i="40"/>
  <c r="FAN373" i="40"/>
  <c r="FFL373" i="40"/>
  <c r="FKJ373" i="40"/>
  <c r="FPH373" i="40"/>
  <c r="FUF373" i="40"/>
  <c r="FZD373" i="40"/>
  <c r="GEB373" i="40"/>
  <c r="GIZ373" i="40"/>
  <c r="GNX373" i="40"/>
  <c r="GSV373" i="40"/>
  <c r="GXT373" i="40"/>
  <c r="HCR373" i="40"/>
  <c r="HHP373" i="40"/>
  <c r="HMN373" i="40"/>
  <c r="HRL373" i="40"/>
  <c r="HWJ373" i="40"/>
  <c r="IBH373" i="40"/>
  <c r="IGF373" i="40"/>
  <c r="ILD373" i="40"/>
  <c r="IQB373" i="40"/>
  <c r="IUZ373" i="40"/>
  <c r="IZX373" i="40"/>
  <c r="JEV373" i="40"/>
  <c r="JJT373" i="40"/>
  <c r="JOR373" i="40"/>
  <c r="JTP373" i="40"/>
  <c r="JYN373" i="40"/>
  <c r="KDL373" i="40"/>
  <c r="KIJ373" i="40"/>
  <c r="KSF373" i="40"/>
  <c r="KXD373" i="40"/>
  <c r="LCB373" i="40"/>
  <c r="LGZ373" i="40"/>
  <c r="LLX373" i="40"/>
  <c r="LQV373" i="40"/>
  <c r="LVT373" i="40"/>
  <c r="MAR373" i="40"/>
  <c r="MFP373" i="40"/>
  <c r="MKN373" i="40"/>
  <c r="MPL373" i="40"/>
  <c r="MUJ373" i="40"/>
  <c r="MZH373" i="40"/>
  <c r="NEF373" i="40"/>
  <c r="NJD373" i="40"/>
  <c r="NOB373" i="40"/>
  <c r="NSZ373" i="40"/>
  <c r="NXX373" i="40"/>
  <c r="OCV373" i="40"/>
  <c r="OHT373" i="40"/>
  <c r="OMR373" i="40"/>
  <c r="ORP373" i="40"/>
  <c r="OWN373" i="40"/>
  <c r="PBL373" i="40"/>
  <c r="PGJ373" i="40"/>
  <c r="PLH373" i="40"/>
  <c r="PQF373" i="40"/>
  <c r="PVD373" i="40"/>
  <c r="QAB373" i="40"/>
  <c r="QEZ373" i="40"/>
  <c r="QJX373" i="40"/>
  <c r="QOV373" i="40"/>
  <c r="QTT373" i="40"/>
  <c r="QYR373" i="40"/>
  <c r="RDP373" i="40"/>
  <c r="RIN373" i="40"/>
  <c r="RNL373" i="40"/>
  <c r="RSJ373" i="40"/>
  <c r="RXH373" i="40"/>
  <c r="SCF373" i="40"/>
  <c r="SHD373" i="40"/>
  <c r="SMB373" i="40"/>
  <c r="KNH373" i="40"/>
  <c r="SKV373" i="40"/>
  <c r="SQJ373" i="40"/>
  <c r="LBL373" i="40"/>
  <c r="JPH373" i="40"/>
  <c r="SQZ373" i="40"/>
  <c r="SPT373" i="40"/>
  <c r="F10" i="31"/>
  <c r="G141" i="37" l="1"/>
  <c r="E37" i="50" l="1"/>
  <c r="F37" i="50"/>
  <c r="D37" i="50"/>
  <c r="E39" i="50"/>
  <c r="F39" i="50"/>
  <c r="D39" i="50"/>
  <c r="C37" i="50" l="1"/>
  <c r="H116" i="48"/>
  <c r="H111" i="48"/>
  <c r="H115" i="48"/>
  <c r="H114" i="48"/>
  <c r="H113" i="48"/>
  <c r="H112" i="48"/>
  <c r="F92" i="48"/>
  <c r="G92" i="48" s="1"/>
  <c r="H90" i="49"/>
  <c r="H94" i="49"/>
  <c r="H76" i="49"/>
  <c r="H78" i="49"/>
  <c r="H89" i="49"/>
  <c r="H75" i="49"/>
  <c r="H77" i="49"/>
  <c r="F124" i="48"/>
  <c r="E124" i="48" s="1"/>
  <c r="D124" i="48" s="1"/>
  <c r="F125" i="48"/>
  <c r="E125" i="48" s="1"/>
  <c r="D125" i="48" s="1"/>
  <c r="F126" i="48"/>
  <c r="E126" i="48" s="1"/>
  <c r="D126" i="48" s="1"/>
  <c r="F127" i="48"/>
  <c r="E127" i="48" s="1"/>
  <c r="D127" i="48" s="1"/>
  <c r="F128" i="48"/>
  <c r="E128" i="48" s="1"/>
  <c r="D128" i="48" s="1"/>
  <c r="F123" i="48"/>
  <c r="E123" i="48" s="1"/>
  <c r="D123" i="48" s="1"/>
  <c r="F99" i="48"/>
  <c r="F100" i="48"/>
  <c r="F101" i="48"/>
  <c r="F102" i="48"/>
  <c r="F98" i="48"/>
  <c r="E112" i="48"/>
  <c r="E113" i="48"/>
  <c r="E114" i="48"/>
  <c r="E115" i="48"/>
  <c r="E116" i="48"/>
  <c r="E111" i="48"/>
  <c r="D112" i="48"/>
  <c r="D113" i="48"/>
  <c r="D114" i="48"/>
  <c r="D115" i="48"/>
  <c r="D116" i="48"/>
  <c r="D111" i="48"/>
  <c r="D99" i="48"/>
  <c r="D100" i="48"/>
  <c r="D101" i="48"/>
  <c r="D102" i="48"/>
  <c r="D98" i="48"/>
  <c r="D99" i="50" l="1"/>
  <c r="D98" i="50"/>
  <c r="E70" i="49" l="1"/>
  <c r="G70" i="49"/>
  <c r="B144" i="50"/>
  <c r="F144" i="50" s="1"/>
  <c r="F41" i="50" s="1"/>
  <c r="B140" i="50"/>
  <c r="C124" i="50"/>
  <c r="D167" i="32"/>
  <c r="E167" i="32"/>
  <c r="F167" i="32"/>
  <c r="G167" i="32"/>
  <c r="H167" i="32"/>
  <c r="I167" i="32"/>
  <c r="J167" i="32"/>
  <c r="K167" i="32"/>
  <c r="C167" i="32"/>
  <c r="C166" i="32"/>
  <c r="D166" i="32"/>
  <c r="E166" i="32"/>
  <c r="F166" i="32"/>
  <c r="G166" i="32"/>
  <c r="H166" i="32"/>
  <c r="I166" i="32"/>
  <c r="J166" i="32"/>
  <c r="K166" i="32"/>
  <c r="H179" i="32" l="1"/>
  <c r="G179" i="32"/>
  <c r="F179" i="32"/>
  <c r="K179" i="32"/>
  <c r="E179" i="32"/>
  <c r="D179" i="32"/>
  <c r="J179" i="32"/>
  <c r="C179" i="32"/>
  <c r="I179" i="32"/>
  <c r="D144" i="50"/>
  <c r="D41" i="50" s="1"/>
  <c r="E144" i="50"/>
  <c r="E41" i="50" s="1"/>
  <c r="B141" i="50"/>
  <c r="E141" i="50" s="1"/>
  <c r="D130" i="50"/>
  <c r="C121" i="50"/>
  <c r="C122" i="50"/>
  <c r="F469" i="40"/>
  <c r="G469" i="40"/>
  <c r="H469" i="40"/>
  <c r="E469" i="40"/>
  <c r="F462" i="40"/>
  <c r="G462" i="40"/>
  <c r="H462" i="40"/>
  <c r="E462" i="40"/>
  <c r="E476" i="40"/>
  <c r="G476" i="40"/>
  <c r="H476" i="40"/>
  <c r="F476" i="40"/>
  <c r="H107" i="48"/>
  <c r="C41" i="50" l="1"/>
  <c r="C144" i="50"/>
  <c r="C123" i="50"/>
  <c r="E44" i="50"/>
  <c r="C44" i="50" s="1"/>
  <c r="C141" i="50"/>
  <c r="D131" i="50" l="1"/>
  <c r="D132" i="50" s="1"/>
  <c r="E45" i="50" s="1"/>
  <c r="X269" i="30" l="1"/>
  <c r="R287" i="30" l="1"/>
  <c r="H62" i="45" l="1"/>
  <c r="B339" i="40" l="1"/>
  <c r="B338" i="40"/>
  <c r="B337" i="40"/>
  <c r="B333" i="40"/>
  <c r="B332" i="40"/>
  <c r="B331" i="40"/>
  <c r="H10" i="31" l="1"/>
  <c r="E60" i="45" l="1"/>
  <c r="G62" i="45"/>
  <c r="E54" i="45"/>
  <c r="E55" i="45"/>
  <c r="E56" i="45"/>
  <c r="E57" i="45"/>
  <c r="E58" i="45"/>
  <c r="E59" i="45"/>
  <c r="E53" i="45"/>
  <c r="E61" i="45" l="1"/>
  <c r="E62" i="45" s="1"/>
  <c r="E47" i="45"/>
  <c r="P154" i="42" l="1"/>
  <c r="K92" i="42"/>
  <c r="G90" i="42"/>
  <c r="H90" i="42"/>
  <c r="G91" i="42"/>
  <c r="H91" i="42"/>
  <c r="F99" i="42"/>
  <c r="F91" i="42"/>
  <c r="F90" i="42"/>
  <c r="G64" i="42"/>
  <c r="H64" i="42"/>
  <c r="F64" i="42"/>
  <c r="G53" i="42"/>
  <c r="H53" i="42"/>
  <c r="G54" i="42"/>
  <c r="H54" i="42"/>
  <c r="G55" i="42"/>
  <c r="H55" i="42"/>
  <c r="G56" i="42"/>
  <c r="H56" i="42"/>
  <c r="G57" i="42"/>
  <c r="H57" i="42"/>
  <c r="G58" i="42"/>
  <c r="H58" i="42"/>
  <c r="H59" i="42"/>
  <c r="G60" i="42"/>
  <c r="H60" i="42"/>
  <c r="G61" i="42"/>
  <c r="H61" i="42"/>
  <c r="G62" i="42"/>
  <c r="H62" i="42"/>
  <c r="G63" i="42"/>
  <c r="H63" i="42"/>
  <c r="G65" i="42"/>
  <c r="H65" i="42"/>
  <c r="G66" i="42"/>
  <c r="H66" i="42"/>
  <c r="G67" i="42"/>
  <c r="H67" i="42"/>
  <c r="G68" i="42"/>
  <c r="H68" i="42"/>
  <c r="G69" i="42"/>
  <c r="H69" i="42"/>
  <c r="G70" i="42"/>
  <c r="H70" i="42"/>
  <c r="G71" i="42"/>
  <c r="H71" i="42"/>
  <c r="G72" i="42"/>
  <c r="H72" i="42"/>
  <c r="G74" i="42"/>
  <c r="H74" i="42"/>
  <c r="G75" i="42"/>
  <c r="H75" i="42"/>
  <c r="G76" i="42"/>
  <c r="H76" i="42"/>
  <c r="G77" i="42"/>
  <c r="H77" i="42"/>
  <c r="G78" i="42"/>
  <c r="H78" i="42"/>
  <c r="G79" i="42"/>
  <c r="H79" i="42"/>
  <c r="G80" i="42"/>
  <c r="H80" i="42"/>
  <c r="F80" i="42"/>
  <c r="F79" i="42"/>
  <c r="F78" i="42"/>
  <c r="F77" i="42"/>
  <c r="F76" i="42"/>
  <c r="F75" i="42"/>
  <c r="F74" i="42"/>
  <c r="F72" i="42"/>
  <c r="F71" i="42"/>
  <c r="F70" i="42"/>
  <c r="F69" i="42"/>
  <c r="F68" i="42"/>
  <c r="F67" i="42"/>
  <c r="F66" i="42"/>
  <c r="F65" i="42"/>
  <c r="F63" i="42"/>
  <c r="F62" i="42"/>
  <c r="F61" i="42"/>
  <c r="F60" i="42"/>
  <c r="F58" i="42"/>
  <c r="F57" i="42"/>
  <c r="F56" i="42"/>
  <c r="F55" i="42"/>
  <c r="F54" i="42"/>
  <c r="F53" i="42"/>
  <c r="P29" i="42"/>
  <c r="Q29" i="42"/>
  <c r="P30" i="42"/>
  <c r="Q30" i="42"/>
  <c r="O30" i="42"/>
  <c r="O29" i="42"/>
  <c r="O28" i="42"/>
  <c r="P28" i="42"/>
  <c r="Q28" i="42"/>
  <c r="G28" i="42"/>
  <c r="H28" i="42"/>
  <c r="G29" i="42"/>
  <c r="H29" i="42"/>
  <c r="G30" i="42"/>
  <c r="H30" i="42"/>
  <c r="F30" i="42"/>
  <c r="F29" i="42"/>
  <c r="F28" i="42"/>
  <c r="F59" i="42"/>
  <c r="G59" i="42"/>
  <c r="F73" i="42"/>
  <c r="G73" i="42"/>
  <c r="H73" i="42"/>
  <c r="F94" i="42" l="1"/>
  <c r="Q161" i="42" l="1"/>
  <c r="R161" i="42"/>
  <c r="Q162" i="42"/>
  <c r="R162" i="42"/>
  <c r="Q163" i="42"/>
  <c r="R163" i="42"/>
  <c r="Q164" i="42"/>
  <c r="R164" i="42"/>
  <c r="Q165" i="42"/>
  <c r="R165" i="42"/>
  <c r="Q166" i="42"/>
  <c r="R166" i="42"/>
  <c r="Q167" i="42"/>
  <c r="R167" i="42"/>
  <c r="Q168" i="42"/>
  <c r="R168" i="42"/>
  <c r="Q169" i="42"/>
  <c r="R169" i="42"/>
  <c r="M161" i="42"/>
  <c r="Q153" i="42"/>
  <c r="R153" i="42"/>
  <c r="R154" i="42"/>
  <c r="Q155" i="42"/>
  <c r="R155" i="42"/>
  <c r="Q156" i="42"/>
  <c r="R156" i="42"/>
  <c r="Q157" i="42"/>
  <c r="R157" i="42"/>
  <c r="Q158" i="42"/>
  <c r="R158" i="42"/>
  <c r="Q159" i="42"/>
  <c r="R159" i="42"/>
  <c r="Q160" i="42"/>
  <c r="R160" i="42"/>
  <c r="R152" i="42"/>
  <c r="Q152" i="42"/>
  <c r="L162" i="42"/>
  <c r="M162" i="42"/>
  <c r="L163" i="42"/>
  <c r="M163" i="42"/>
  <c r="L164" i="42"/>
  <c r="M164" i="42"/>
  <c r="L165" i="42"/>
  <c r="M165" i="42"/>
  <c r="L166" i="42"/>
  <c r="M166" i="42"/>
  <c r="L167" i="42"/>
  <c r="M167" i="42"/>
  <c r="L168" i="42"/>
  <c r="M168" i="42"/>
  <c r="L169" i="42"/>
  <c r="M169" i="42"/>
  <c r="L161" i="42"/>
  <c r="L153" i="42"/>
  <c r="M153" i="42"/>
  <c r="L154" i="42"/>
  <c r="M154" i="42"/>
  <c r="L155" i="42"/>
  <c r="M155" i="42"/>
  <c r="L156" i="42"/>
  <c r="M156" i="42"/>
  <c r="L157" i="42"/>
  <c r="M157" i="42"/>
  <c r="L158" i="42"/>
  <c r="M158" i="42"/>
  <c r="L159" i="42"/>
  <c r="M159" i="42"/>
  <c r="L160" i="42"/>
  <c r="M160" i="42"/>
  <c r="M152" i="42"/>
  <c r="L152" i="42"/>
  <c r="F162" i="42"/>
  <c r="G162" i="42"/>
  <c r="H162" i="42"/>
  <c r="F163" i="42"/>
  <c r="G163" i="42"/>
  <c r="H163" i="42"/>
  <c r="F164" i="42"/>
  <c r="G164" i="42"/>
  <c r="H164" i="42"/>
  <c r="F165" i="42"/>
  <c r="G165" i="42"/>
  <c r="H165" i="42"/>
  <c r="F166" i="42"/>
  <c r="G166" i="42"/>
  <c r="H166" i="42"/>
  <c r="F167" i="42"/>
  <c r="G167" i="42"/>
  <c r="H167" i="42"/>
  <c r="F168" i="42"/>
  <c r="G168" i="42"/>
  <c r="H168" i="42"/>
  <c r="F169" i="42"/>
  <c r="G169" i="42"/>
  <c r="H169" i="42"/>
  <c r="H161" i="42"/>
  <c r="G161" i="42"/>
  <c r="F161" i="42"/>
  <c r="F153" i="42"/>
  <c r="G153" i="42"/>
  <c r="H153" i="42"/>
  <c r="F154" i="42"/>
  <c r="G154" i="42"/>
  <c r="H154" i="42"/>
  <c r="F155" i="42"/>
  <c r="G155" i="42"/>
  <c r="H155" i="42"/>
  <c r="F156" i="42"/>
  <c r="G156" i="42"/>
  <c r="H156" i="42"/>
  <c r="F157" i="42"/>
  <c r="G157" i="42"/>
  <c r="H157" i="42"/>
  <c r="F158" i="42"/>
  <c r="G158" i="42"/>
  <c r="H158" i="42"/>
  <c r="F159" i="42"/>
  <c r="G159" i="42"/>
  <c r="H159" i="42"/>
  <c r="F160" i="42"/>
  <c r="G160" i="42"/>
  <c r="H160" i="42"/>
  <c r="H152" i="42"/>
  <c r="G152" i="42"/>
  <c r="F152" i="42"/>
  <c r="K158" i="42" l="1"/>
  <c r="K154" i="42"/>
  <c r="K161" i="42"/>
  <c r="K169" i="42"/>
  <c r="K165" i="42"/>
  <c r="P157" i="42"/>
  <c r="Q154" i="42"/>
  <c r="P166" i="42"/>
  <c r="P162" i="42"/>
  <c r="K152" i="42"/>
  <c r="K159" i="42"/>
  <c r="K155" i="42"/>
  <c r="K166" i="42"/>
  <c r="K162" i="42"/>
  <c r="P158" i="42"/>
  <c r="P167" i="42"/>
  <c r="P163" i="42"/>
  <c r="K160" i="42"/>
  <c r="K156" i="42"/>
  <c r="K167" i="42"/>
  <c r="K163" i="42"/>
  <c r="P152" i="42"/>
  <c r="P159" i="42"/>
  <c r="P155" i="42"/>
  <c r="P168" i="42"/>
  <c r="P164" i="42"/>
  <c r="K157" i="42"/>
  <c r="K153" i="42"/>
  <c r="K168" i="42"/>
  <c r="K164" i="42"/>
  <c r="P160" i="42"/>
  <c r="P156" i="42"/>
  <c r="P153" i="42"/>
  <c r="P169" i="42"/>
  <c r="P165" i="42"/>
  <c r="P161" i="42"/>
  <c r="P121" i="42"/>
  <c r="Q121" i="42"/>
  <c r="R121" i="42"/>
  <c r="P122" i="42"/>
  <c r="Q122" i="42"/>
  <c r="R122" i="42"/>
  <c r="P123" i="42"/>
  <c r="Q123" i="42"/>
  <c r="R123" i="42"/>
  <c r="P124" i="42"/>
  <c r="Q124" i="42"/>
  <c r="R124" i="42"/>
  <c r="R120" i="42"/>
  <c r="Q120" i="42"/>
  <c r="P120" i="42"/>
  <c r="P111" i="42"/>
  <c r="Q111" i="42"/>
  <c r="R111" i="42"/>
  <c r="P112" i="42"/>
  <c r="Q112" i="42"/>
  <c r="R112" i="42"/>
  <c r="P113" i="42"/>
  <c r="Q113" i="42"/>
  <c r="R113" i="42"/>
  <c r="P114" i="42"/>
  <c r="Q114" i="42"/>
  <c r="R114" i="42"/>
  <c r="R110" i="42"/>
  <c r="Q110" i="42"/>
  <c r="P110" i="42"/>
  <c r="P106" i="42"/>
  <c r="Q106" i="42"/>
  <c r="R106" i="42"/>
  <c r="P107" i="42"/>
  <c r="Q107" i="42"/>
  <c r="R107" i="42"/>
  <c r="P108" i="42"/>
  <c r="Q108" i="42"/>
  <c r="R108" i="42"/>
  <c r="P109" i="42"/>
  <c r="Q109" i="42"/>
  <c r="R109" i="42"/>
  <c r="R105" i="42"/>
  <c r="Q105" i="42"/>
  <c r="P105" i="42"/>
  <c r="P101" i="42"/>
  <c r="Q101" i="42"/>
  <c r="R101" i="42"/>
  <c r="P102" i="42"/>
  <c r="Q102" i="42"/>
  <c r="R102" i="42"/>
  <c r="P103" i="42"/>
  <c r="Q103" i="42"/>
  <c r="R103" i="42"/>
  <c r="P104" i="42"/>
  <c r="Q104" i="42"/>
  <c r="R104" i="42"/>
  <c r="R100" i="42"/>
  <c r="Q100" i="42"/>
  <c r="P100" i="42"/>
  <c r="D149" i="32" l="1"/>
  <c r="R96" i="42" l="1"/>
  <c r="R97" i="42"/>
  <c r="R98" i="42"/>
  <c r="R99" i="42"/>
  <c r="R95" i="42"/>
  <c r="Q96" i="42"/>
  <c r="Q97" i="42"/>
  <c r="Q98" i="42"/>
  <c r="Q99" i="42"/>
  <c r="Q95" i="42"/>
  <c r="P96" i="42"/>
  <c r="P97" i="42"/>
  <c r="P98" i="42"/>
  <c r="P99" i="42"/>
  <c r="P95" i="42"/>
  <c r="R91" i="42"/>
  <c r="R92" i="42"/>
  <c r="R93" i="42"/>
  <c r="R94" i="42"/>
  <c r="R90" i="42"/>
  <c r="Q94" i="42"/>
  <c r="Q91" i="42"/>
  <c r="Q92" i="42"/>
  <c r="Q93" i="42"/>
  <c r="Q90" i="42"/>
  <c r="P91" i="42"/>
  <c r="P92" i="42"/>
  <c r="P93" i="42"/>
  <c r="P94" i="42"/>
  <c r="P90" i="42"/>
  <c r="M121" i="42"/>
  <c r="M122" i="42"/>
  <c r="M123" i="42"/>
  <c r="M124" i="42"/>
  <c r="M120" i="42"/>
  <c r="L121" i="42"/>
  <c r="L122" i="42"/>
  <c r="L123" i="42"/>
  <c r="L124" i="42"/>
  <c r="L120" i="42"/>
  <c r="K121" i="42"/>
  <c r="K122" i="42"/>
  <c r="K123" i="42"/>
  <c r="K124" i="42"/>
  <c r="K120" i="42"/>
  <c r="M111" i="42"/>
  <c r="M112" i="42"/>
  <c r="M113" i="42"/>
  <c r="M114" i="42"/>
  <c r="M110" i="42"/>
  <c r="L111" i="42"/>
  <c r="L112" i="42"/>
  <c r="L113" i="42"/>
  <c r="L114" i="42"/>
  <c r="L110" i="42"/>
  <c r="K111" i="42"/>
  <c r="K112" i="42"/>
  <c r="K113" i="42"/>
  <c r="K114" i="42"/>
  <c r="K110" i="42"/>
  <c r="M106" i="42"/>
  <c r="M107" i="42"/>
  <c r="M108" i="42"/>
  <c r="M109" i="42"/>
  <c r="M105" i="42"/>
  <c r="L106" i="42"/>
  <c r="L107" i="42"/>
  <c r="L108" i="42"/>
  <c r="L109" i="42"/>
  <c r="L105" i="42"/>
  <c r="K106" i="42"/>
  <c r="K107" i="42"/>
  <c r="K108" i="42"/>
  <c r="K109" i="42"/>
  <c r="K105" i="42"/>
  <c r="M101" i="42"/>
  <c r="M102" i="42"/>
  <c r="M103" i="42"/>
  <c r="M104" i="42"/>
  <c r="M100" i="42"/>
  <c r="L101" i="42"/>
  <c r="L102" i="42"/>
  <c r="L103" i="42"/>
  <c r="L104" i="42"/>
  <c r="L100" i="42"/>
  <c r="K101" i="42"/>
  <c r="K102" i="42"/>
  <c r="K103" i="42"/>
  <c r="K104" i="42"/>
  <c r="K100" i="42"/>
  <c r="M96" i="42"/>
  <c r="M97" i="42"/>
  <c r="M98" i="42"/>
  <c r="M99" i="42"/>
  <c r="M95" i="42"/>
  <c r="L96" i="42"/>
  <c r="L97" i="42"/>
  <c r="L98" i="42"/>
  <c r="L99" i="42"/>
  <c r="L95" i="42"/>
  <c r="K96" i="42"/>
  <c r="K97" i="42"/>
  <c r="K98" i="42"/>
  <c r="K99" i="42"/>
  <c r="K95" i="42"/>
  <c r="M91" i="42"/>
  <c r="M92" i="42"/>
  <c r="M93" i="42"/>
  <c r="M94" i="42"/>
  <c r="M90" i="42"/>
  <c r="L91" i="42"/>
  <c r="L92" i="42"/>
  <c r="L93" i="42"/>
  <c r="L94" i="42"/>
  <c r="L90" i="42"/>
  <c r="K91" i="42"/>
  <c r="K93" i="42"/>
  <c r="K94" i="42"/>
  <c r="K90" i="42"/>
  <c r="H109" i="42"/>
  <c r="H106" i="42"/>
  <c r="H107" i="42"/>
  <c r="H108" i="42"/>
  <c r="H105" i="42"/>
  <c r="G106" i="42"/>
  <c r="G107" i="42"/>
  <c r="G108" i="42"/>
  <c r="G109" i="42"/>
  <c r="G105" i="42"/>
  <c r="F106" i="42"/>
  <c r="F107" i="42"/>
  <c r="F108" i="42"/>
  <c r="F109" i="42"/>
  <c r="F105" i="42"/>
  <c r="H101" i="42"/>
  <c r="H102" i="42"/>
  <c r="H103" i="42"/>
  <c r="H104" i="42"/>
  <c r="H100" i="42"/>
  <c r="G101" i="42"/>
  <c r="G102" i="42"/>
  <c r="G103" i="42"/>
  <c r="G104" i="42"/>
  <c r="G100" i="42"/>
  <c r="F101" i="42"/>
  <c r="F102" i="42"/>
  <c r="F103" i="42"/>
  <c r="F104" i="42"/>
  <c r="F100" i="42"/>
  <c r="H96" i="42"/>
  <c r="H97" i="42"/>
  <c r="H98" i="42"/>
  <c r="H99" i="42"/>
  <c r="H95" i="42"/>
  <c r="G96" i="42"/>
  <c r="G97" i="42"/>
  <c r="G98" i="42"/>
  <c r="G99" i="42"/>
  <c r="G95" i="42"/>
  <c r="F96" i="42"/>
  <c r="F97" i="42"/>
  <c r="F98" i="42"/>
  <c r="F95" i="42"/>
  <c r="H92" i="42"/>
  <c r="H93" i="42"/>
  <c r="H94" i="42"/>
  <c r="G92" i="42"/>
  <c r="G93" i="42"/>
  <c r="G94" i="42"/>
  <c r="F92" i="42"/>
  <c r="F93" i="42"/>
  <c r="H86" i="49" l="1"/>
  <c r="H87" i="49"/>
  <c r="H88" i="49"/>
  <c r="H85" i="49"/>
  <c r="D103" i="50" l="1"/>
  <c r="D100" i="50"/>
  <c r="D177" i="32"/>
  <c r="E177" i="32"/>
  <c r="F177" i="32"/>
  <c r="G177" i="32"/>
  <c r="H177" i="32"/>
  <c r="I177" i="32"/>
  <c r="J177" i="32"/>
  <c r="K177" i="32"/>
  <c r="C177" i="32"/>
  <c r="D42" i="50" l="1"/>
  <c r="F42" i="50"/>
  <c r="E42" i="50"/>
  <c r="F43" i="50"/>
  <c r="D43" i="50"/>
  <c r="E43" i="50"/>
  <c r="L235" i="32"/>
  <c r="L234" i="32"/>
  <c r="L233" i="32"/>
  <c r="L232" i="32"/>
  <c r="L231" i="32"/>
  <c r="L230" i="32"/>
  <c r="L229" i="32"/>
  <c r="L228" i="32"/>
  <c r="L227" i="32"/>
  <c r="K226" i="32"/>
  <c r="J226" i="32"/>
  <c r="J224" i="32" s="1"/>
  <c r="I226" i="32"/>
  <c r="I224" i="32" s="1"/>
  <c r="H226" i="32"/>
  <c r="H224" i="32" s="1"/>
  <c r="G226" i="32"/>
  <c r="G224" i="32" s="1"/>
  <c r="F226" i="32"/>
  <c r="F224" i="32" s="1"/>
  <c r="H137" i="32" s="1"/>
  <c r="E226" i="32"/>
  <c r="E224" i="32" s="1"/>
  <c r="G137" i="32" s="1"/>
  <c r="D226" i="32"/>
  <c r="D224" i="32" s="1"/>
  <c r="F137" i="32" s="1"/>
  <c r="C226" i="32"/>
  <c r="C224" i="32" s="1"/>
  <c r="E137" i="32" s="1"/>
  <c r="B226" i="32"/>
  <c r="B224" i="32" s="1"/>
  <c r="L225" i="32"/>
  <c r="L222" i="32"/>
  <c r="L221" i="32"/>
  <c r="L220" i="32"/>
  <c r="L219" i="32"/>
  <c r="L218" i="32"/>
  <c r="L217" i="32"/>
  <c r="L216" i="32"/>
  <c r="L215" i="32"/>
  <c r="L214" i="32"/>
  <c r="K213" i="32"/>
  <c r="J213" i="32"/>
  <c r="J211" i="32" s="1"/>
  <c r="M137" i="32" s="1"/>
  <c r="I213" i="32"/>
  <c r="I211" i="32" s="1"/>
  <c r="L137" i="32" s="1"/>
  <c r="H213" i="32"/>
  <c r="H211" i="32" s="1"/>
  <c r="K137" i="32" s="1"/>
  <c r="G213" i="32"/>
  <c r="G211" i="32" s="1"/>
  <c r="J137" i="32" s="1"/>
  <c r="F213" i="32"/>
  <c r="F211" i="32" s="1"/>
  <c r="I137" i="32" s="1"/>
  <c r="L212" i="32"/>
  <c r="L209" i="32"/>
  <c r="L208" i="32"/>
  <c r="K207" i="32"/>
  <c r="J207" i="32"/>
  <c r="I207" i="32"/>
  <c r="H207" i="32"/>
  <c r="G207" i="32"/>
  <c r="F207" i="32"/>
  <c r="E207" i="32"/>
  <c r="L204" i="32"/>
  <c r="L203" i="32"/>
  <c r="L202" i="32"/>
  <c r="L201" i="32"/>
  <c r="L200" i="32"/>
  <c r="L199" i="32"/>
  <c r="L198" i="32"/>
  <c r="L197" i="32"/>
  <c r="L196" i="32"/>
  <c r="L195" i="32"/>
  <c r="K194" i="32"/>
  <c r="K205" i="32" s="1"/>
  <c r="J194" i="32"/>
  <c r="J205" i="32" s="1"/>
  <c r="I194" i="32"/>
  <c r="I205" i="32" s="1"/>
  <c r="H194" i="32"/>
  <c r="H205" i="32" s="1"/>
  <c r="G194" i="32"/>
  <c r="G205" i="32" s="1"/>
  <c r="F194" i="32"/>
  <c r="F205" i="32" s="1"/>
  <c r="E194" i="32"/>
  <c r="H138" i="32" s="1"/>
  <c r="D194" i="32"/>
  <c r="G138" i="32" s="1"/>
  <c r="C194" i="32"/>
  <c r="C205" i="32" s="1"/>
  <c r="B194" i="32"/>
  <c r="B205" i="32" s="1"/>
  <c r="L207" i="32" l="1"/>
  <c r="E205" i="32"/>
  <c r="L226" i="32"/>
  <c r="L213" i="32"/>
  <c r="K138" i="32"/>
  <c r="J138" i="32"/>
  <c r="I138" i="32"/>
  <c r="D205" i="32"/>
  <c r="E138" i="32"/>
  <c r="N138" i="32"/>
  <c r="F138" i="32"/>
  <c r="M138" i="32"/>
  <c r="L138" i="32"/>
  <c r="K224" i="32"/>
  <c r="L224" i="32" s="1"/>
  <c r="K211" i="32"/>
  <c r="L194" i="32"/>
  <c r="L211" i="32" l="1"/>
  <c r="N137" i="32"/>
  <c r="K141" i="32"/>
  <c r="K139" i="32"/>
  <c r="K143" i="32" s="1"/>
  <c r="F42" i="31"/>
  <c r="G42" i="31"/>
  <c r="H42" i="31"/>
  <c r="F43" i="31"/>
  <c r="G43" i="31"/>
  <c r="H43" i="31"/>
  <c r="F44" i="31"/>
  <c r="G44" i="31"/>
  <c r="H44" i="31"/>
  <c r="F45" i="31"/>
  <c r="G45" i="31"/>
  <c r="H45" i="31"/>
  <c r="F46" i="31"/>
  <c r="G46" i="31"/>
  <c r="H46" i="31"/>
  <c r="F47" i="31"/>
  <c r="G47" i="31"/>
  <c r="H47" i="31"/>
  <c r="F48" i="31"/>
  <c r="G48" i="31"/>
  <c r="H48" i="31"/>
  <c r="F50" i="31"/>
  <c r="G50" i="31"/>
  <c r="H50" i="31"/>
  <c r="E50" i="31"/>
  <c r="E48" i="31"/>
  <c r="E47" i="31"/>
  <c r="E46" i="31"/>
  <c r="E45" i="31"/>
  <c r="E44" i="31"/>
  <c r="E43" i="31"/>
  <c r="E42" i="31"/>
  <c r="G41" i="31"/>
  <c r="H41" i="31"/>
  <c r="F41" i="31"/>
  <c r="H40" i="31"/>
  <c r="G40" i="31"/>
  <c r="F40" i="31"/>
  <c r="H39" i="31"/>
  <c r="G39" i="31"/>
  <c r="F39" i="31"/>
  <c r="G38" i="31"/>
  <c r="H38" i="31"/>
  <c r="F38" i="31"/>
  <c r="F26" i="31"/>
  <c r="G26" i="31"/>
  <c r="H26" i="31"/>
  <c r="F27" i="31"/>
  <c r="G27" i="31"/>
  <c r="H27" i="31"/>
  <c r="F28" i="31"/>
  <c r="G28" i="31"/>
  <c r="H28" i="31"/>
  <c r="F29" i="31"/>
  <c r="G29" i="31"/>
  <c r="H29" i="31"/>
  <c r="F30" i="31"/>
  <c r="G30" i="31"/>
  <c r="H30" i="31"/>
  <c r="F31" i="31"/>
  <c r="G31" i="31"/>
  <c r="H31" i="31"/>
  <c r="F32" i="31"/>
  <c r="G32" i="31"/>
  <c r="H32" i="31"/>
  <c r="F33" i="31"/>
  <c r="G33" i="31"/>
  <c r="H33" i="31"/>
  <c r="F34" i="31"/>
  <c r="G34" i="31"/>
  <c r="H34" i="31"/>
  <c r="F35" i="31"/>
  <c r="G35" i="31"/>
  <c r="H35" i="31"/>
  <c r="H37" i="31"/>
  <c r="G37" i="31"/>
  <c r="F37" i="31"/>
  <c r="H36" i="31"/>
  <c r="G36" i="31"/>
  <c r="F36" i="31"/>
  <c r="E35" i="31"/>
  <c r="E34" i="31"/>
  <c r="E33" i="31"/>
  <c r="E32" i="31"/>
  <c r="E31" i="31"/>
  <c r="E30" i="31"/>
  <c r="E29" i="31"/>
  <c r="E28" i="31"/>
  <c r="E27" i="31"/>
  <c r="E26" i="31"/>
  <c r="F22" i="31"/>
  <c r="G22" i="31"/>
  <c r="H22" i="31"/>
  <c r="F23" i="31"/>
  <c r="G23" i="31"/>
  <c r="H23" i="31"/>
  <c r="F24" i="31"/>
  <c r="G24" i="31"/>
  <c r="H24" i="31"/>
  <c r="E24" i="31"/>
  <c r="E23" i="31"/>
  <c r="E22" i="31"/>
  <c r="F21" i="31"/>
  <c r="G21" i="31"/>
  <c r="H21" i="31"/>
  <c r="E21" i="31"/>
  <c r="F20" i="31"/>
  <c r="G20" i="31"/>
  <c r="H20" i="31"/>
  <c r="E20" i="31"/>
  <c r="G19" i="31"/>
  <c r="H19" i="31"/>
  <c r="F19" i="31"/>
  <c r="E19" i="31"/>
  <c r="F18" i="31"/>
  <c r="G18" i="31"/>
  <c r="H18" i="31"/>
  <c r="E18" i="31"/>
  <c r="F17" i="31"/>
  <c r="G17" i="31"/>
  <c r="H17" i="31"/>
  <c r="E17" i="31"/>
  <c r="F16" i="31"/>
  <c r="G16" i="31"/>
  <c r="H16" i="31"/>
  <c r="E16" i="31"/>
  <c r="F15" i="31"/>
  <c r="G15" i="31"/>
  <c r="H15" i="31"/>
  <c r="E15" i="31"/>
  <c r="F13" i="31"/>
  <c r="G13" i="31"/>
  <c r="H13" i="31"/>
  <c r="E13" i="31"/>
  <c r="F12" i="31"/>
  <c r="G12" i="31"/>
  <c r="H12" i="31"/>
  <c r="E12" i="31"/>
  <c r="F11" i="31"/>
  <c r="G11" i="31"/>
  <c r="H11" i="31"/>
  <c r="E11" i="31"/>
  <c r="G10" i="31"/>
  <c r="E10" i="31"/>
  <c r="E317" i="40" l="1"/>
  <c r="H37" i="42" s="1"/>
  <c r="D319" i="40"/>
  <c r="G39" i="42" s="1"/>
  <c r="C319" i="40"/>
  <c r="F39" i="42" s="1"/>
  <c r="E324" i="40"/>
  <c r="H20" i="42" s="1"/>
  <c r="D323" i="40"/>
  <c r="G19" i="42" s="1"/>
  <c r="C324" i="40"/>
  <c r="F20" i="42" s="1"/>
  <c r="C317" i="40" l="1"/>
  <c r="F37" i="42" s="1"/>
  <c r="C318" i="40"/>
  <c r="F38" i="42" s="1"/>
  <c r="D318" i="40"/>
  <c r="G38" i="42" s="1"/>
  <c r="E318" i="40"/>
  <c r="H38" i="42" s="1"/>
  <c r="D317" i="40"/>
  <c r="G37" i="42" s="1"/>
  <c r="E319" i="40"/>
  <c r="H39" i="42" s="1"/>
  <c r="E323" i="40"/>
  <c r="H19" i="42" s="1"/>
  <c r="E325" i="40"/>
  <c r="H21" i="42" s="1"/>
  <c r="C325" i="40"/>
  <c r="F21" i="42" s="1"/>
  <c r="D324" i="40"/>
  <c r="C323" i="40"/>
  <c r="D325" i="40"/>
  <c r="G21" i="42" s="1"/>
  <c r="H22" i="42" l="1"/>
  <c r="F19" i="42"/>
  <c r="F22" i="42" s="1"/>
  <c r="G20" i="42"/>
  <c r="E21" i="42"/>
  <c r="E20" i="42" l="1"/>
  <c r="G22" i="42"/>
  <c r="D95" i="50" l="1"/>
  <c r="D96" i="50" s="1"/>
  <c r="D90" i="50"/>
  <c r="H78" i="50" s="1"/>
  <c r="F38" i="50" l="1"/>
  <c r="D38" i="50"/>
  <c r="E38" i="50"/>
  <c r="B57" i="50" l="1"/>
  <c r="L174" i="42" l="1"/>
  <c r="Q171" i="42"/>
  <c r="L171" i="42"/>
  <c r="Q174" i="42"/>
  <c r="L172" i="42"/>
  <c r="L170" i="42"/>
  <c r="Q172" i="42"/>
  <c r="Q173" i="42"/>
  <c r="Q170" i="42"/>
  <c r="L173" i="42"/>
  <c r="Q126" i="42"/>
  <c r="Q134" i="42"/>
  <c r="Q127" i="42"/>
  <c r="Q131" i="42"/>
  <c r="Q129" i="42"/>
  <c r="Q117" i="42"/>
  <c r="Q119" i="42"/>
  <c r="Q115" i="42"/>
  <c r="Q132" i="42"/>
  <c r="Q125" i="42"/>
  <c r="Q118" i="42"/>
  <c r="Q116" i="42"/>
  <c r="Q133" i="42"/>
  <c r="Q130" i="42"/>
  <c r="Q128" i="42"/>
  <c r="P131" i="42"/>
  <c r="P129" i="42"/>
  <c r="P117" i="42"/>
  <c r="P115" i="42"/>
  <c r="P119" i="42"/>
  <c r="P134" i="42"/>
  <c r="P127" i="42"/>
  <c r="P132" i="42"/>
  <c r="P118" i="42"/>
  <c r="P130" i="42"/>
  <c r="P133" i="42"/>
  <c r="P128" i="42"/>
  <c r="P125" i="42"/>
  <c r="P116" i="42"/>
  <c r="P126" i="42"/>
  <c r="R173" i="42"/>
  <c r="M171" i="42"/>
  <c r="R174" i="42"/>
  <c r="M172" i="42"/>
  <c r="M174" i="42"/>
  <c r="R171" i="42"/>
  <c r="M170" i="42"/>
  <c r="R170" i="42"/>
  <c r="M173" i="42"/>
  <c r="R172" i="42"/>
  <c r="R133" i="42"/>
  <c r="R119" i="42"/>
  <c r="R134" i="42"/>
  <c r="R128" i="42"/>
  <c r="R126" i="42"/>
  <c r="R115" i="42"/>
  <c r="R117" i="42"/>
  <c r="R131" i="42"/>
  <c r="R129" i="42"/>
  <c r="R125" i="42"/>
  <c r="R130" i="42"/>
  <c r="R127" i="42"/>
  <c r="R118" i="42"/>
  <c r="R132" i="42"/>
  <c r="R116" i="42"/>
  <c r="K117" i="42"/>
  <c r="K130" i="42"/>
  <c r="K126" i="42"/>
  <c r="K118" i="42"/>
  <c r="K131" i="42"/>
  <c r="K127" i="42"/>
  <c r="K119" i="42"/>
  <c r="K132" i="42"/>
  <c r="K128" i="42"/>
  <c r="K115" i="42"/>
  <c r="K116" i="42"/>
  <c r="K133" i="42"/>
  <c r="K129" i="42"/>
  <c r="K134" i="42"/>
  <c r="K125" i="42"/>
  <c r="M131" i="42"/>
  <c r="M127" i="42"/>
  <c r="M119" i="42"/>
  <c r="M132" i="42"/>
  <c r="M128" i="42"/>
  <c r="M115" i="42"/>
  <c r="M133" i="42"/>
  <c r="M129" i="42"/>
  <c r="M126" i="42"/>
  <c r="M134" i="42"/>
  <c r="M125" i="42"/>
  <c r="M130" i="42"/>
  <c r="M117" i="42"/>
  <c r="M116" i="42"/>
  <c r="M118" i="42"/>
  <c r="L134" i="42"/>
  <c r="L125" i="42"/>
  <c r="L130" i="42"/>
  <c r="L115" i="42"/>
  <c r="L129" i="42"/>
  <c r="L119" i="42"/>
  <c r="L132" i="42"/>
  <c r="L116" i="42"/>
  <c r="L126" i="42"/>
  <c r="L117" i="42"/>
  <c r="L133" i="42"/>
  <c r="L131" i="42"/>
  <c r="L127" i="42"/>
  <c r="L118" i="42"/>
  <c r="L128" i="42"/>
  <c r="E40" i="50"/>
  <c r="D40" i="50"/>
  <c r="F40" i="50"/>
  <c r="K174" i="42" l="1"/>
  <c r="J174" i="42" s="1"/>
  <c r="P170" i="42"/>
  <c r="P172" i="42"/>
  <c r="K170" i="42"/>
  <c r="K172" i="42"/>
  <c r="P173" i="42"/>
  <c r="P171" i="42"/>
  <c r="K171" i="42"/>
  <c r="K173" i="42"/>
  <c r="P174" i="42"/>
  <c r="O174" i="42" s="1"/>
  <c r="C42" i="50"/>
  <c r="C40" i="50"/>
  <c r="C39" i="50"/>
  <c r="C38" i="50"/>
  <c r="H239" i="48"/>
  <c r="H233" i="48"/>
  <c r="J209" i="48"/>
  <c r="K208" i="48"/>
  <c r="J208" i="48"/>
  <c r="K207" i="48"/>
  <c r="J207" i="48"/>
  <c r="K206" i="48"/>
  <c r="J206" i="48"/>
  <c r="K205" i="48"/>
  <c r="J205" i="48"/>
  <c r="K204" i="48"/>
  <c r="J204" i="48"/>
  <c r="B179" i="48"/>
  <c r="E141" i="48" s="1"/>
  <c r="C149" i="48"/>
  <c r="D149" i="48" s="1"/>
  <c r="C148" i="48"/>
  <c r="D148" i="48" s="1"/>
  <c r="J143" i="48"/>
  <c r="H141" i="48"/>
  <c r="H140" i="48"/>
  <c r="H73" i="49"/>
  <c r="H72" i="49"/>
  <c r="H71" i="49"/>
  <c r="H41" i="45"/>
  <c r="F41" i="45"/>
  <c r="E38" i="45"/>
  <c r="H26" i="45"/>
  <c r="F26" i="45"/>
  <c r="E31" i="45"/>
  <c r="H48" i="45"/>
  <c r="E35" i="45"/>
  <c r="E24" i="45"/>
  <c r="O167" i="42"/>
  <c r="J165" i="42"/>
  <c r="E160" i="42"/>
  <c r="O158" i="42"/>
  <c r="O156" i="42"/>
  <c r="E156" i="42"/>
  <c r="E154" i="42"/>
  <c r="E152" i="42"/>
  <c r="J134" i="42"/>
  <c r="J131" i="42"/>
  <c r="J129" i="42"/>
  <c r="J127" i="42"/>
  <c r="J126" i="42"/>
  <c r="J125" i="42"/>
  <c r="J123" i="42"/>
  <c r="J121" i="42"/>
  <c r="J119" i="42"/>
  <c r="J117" i="42"/>
  <c r="J115" i="42"/>
  <c r="J114" i="42"/>
  <c r="J113" i="42"/>
  <c r="J103" i="42"/>
  <c r="E101" i="42"/>
  <c r="E100" i="42"/>
  <c r="J99" i="42"/>
  <c r="E90" i="42"/>
  <c r="N30" i="42"/>
  <c r="C130" i="50"/>
  <c r="C131" i="50" s="1"/>
  <c r="E391" i="40"/>
  <c r="D391" i="40"/>
  <c r="D393" i="40" s="1"/>
  <c r="C391" i="40"/>
  <c r="E390" i="40"/>
  <c r="C390" i="40"/>
  <c r="G182" i="42"/>
  <c r="F181" i="42"/>
  <c r="H143" i="42"/>
  <c r="H142" i="42"/>
  <c r="H141" i="42"/>
  <c r="D151" i="32"/>
  <c r="D150" i="32"/>
  <c r="E41" i="31"/>
  <c r="E40" i="31"/>
  <c r="E39" i="31"/>
  <c r="E38" i="31"/>
  <c r="E37" i="31"/>
  <c r="E36" i="31"/>
  <c r="H295" i="30"/>
  <c r="G295" i="30"/>
  <c r="F295" i="30"/>
  <c r="H294" i="30"/>
  <c r="G294" i="30"/>
  <c r="F294" i="30"/>
  <c r="T288" i="30"/>
  <c r="W288" i="30" s="1"/>
  <c r="H51" i="31" s="1"/>
  <c r="S288" i="30"/>
  <c r="R288" i="30"/>
  <c r="T287" i="30"/>
  <c r="W287" i="30" s="1"/>
  <c r="S287" i="30"/>
  <c r="V287" i="30" s="1"/>
  <c r="G49" i="31" s="1"/>
  <c r="U287" i="30"/>
  <c r="T282" i="30"/>
  <c r="S282" i="30"/>
  <c r="R282" i="30"/>
  <c r="Q282" i="30"/>
  <c r="T281" i="30"/>
  <c r="S281" i="30"/>
  <c r="R281" i="30"/>
  <c r="Q281" i="30"/>
  <c r="H276" i="30"/>
  <c r="G276" i="30"/>
  <c r="F276" i="30"/>
  <c r="H274" i="30"/>
  <c r="G274" i="30"/>
  <c r="F274" i="30"/>
  <c r="O253" i="30"/>
  <c r="O252" i="30"/>
  <c r="O250" i="30"/>
  <c r="AB250" i="30" s="1"/>
  <c r="N250" i="30"/>
  <c r="AA250" i="30" s="1"/>
  <c r="M250" i="30"/>
  <c r="Z250" i="30" s="1"/>
  <c r="O249" i="30"/>
  <c r="AB249" i="30" s="1"/>
  <c r="N249" i="30"/>
  <c r="AA249" i="30" s="1"/>
  <c r="M249" i="30"/>
  <c r="Z249" i="30" s="1"/>
  <c r="O248" i="30"/>
  <c r="AB248" i="30" s="1"/>
  <c r="N248" i="30"/>
  <c r="AA248" i="30" s="1"/>
  <c r="M248" i="30"/>
  <c r="Z248" i="30" s="1"/>
  <c r="O247" i="30"/>
  <c r="AB247" i="30" s="1"/>
  <c r="N247" i="30"/>
  <c r="AA247" i="30" s="1"/>
  <c r="M247" i="30"/>
  <c r="Z247" i="30" s="1"/>
  <c r="O245" i="30"/>
  <c r="AB245" i="30" s="1"/>
  <c r="N245" i="30"/>
  <c r="AA245" i="30" s="1"/>
  <c r="M245" i="30"/>
  <c r="Z245" i="30" s="1"/>
  <c r="O244" i="30"/>
  <c r="AB244" i="30" s="1"/>
  <c r="N244" i="30"/>
  <c r="AA244" i="30" s="1"/>
  <c r="M244" i="30"/>
  <c r="Z244" i="30" s="1"/>
  <c r="N243" i="30"/>
  <c r="O242" i="30"/>
  <c r="AB242" i="30" s="1"/>
  <c r="N242" i="30"/>
  <c r="O241" i="30"/>
  <c r="M240" i="30"/>
  <c r="AB239" i="30"/>
  <c r="AA239" i="30"/>
  <c r="Z239" i="30"/>
  <c r="M238" i="30"/>
  <c r="Z238" i="30" s="1"/>
  <c r="O238" i="30"/>
  <c r="O237" i="30"/>
  <c r="M236" i="30"/>
  <c r="Z236" i="30" s="1"/>
  <c r="O236" i="30"/>
  <c r="O235" i="30"/>
  <c r="AB235" i="30" s="1"/>
  <c r="N235" i="30"/>
  <c r="AA235" i="30" s="1"/>
  <c r="M235" i="30"/>
  <c r="Z235" i="30" s="1"/>
  <c r="O234" i="30"/>
  <c r="N234" i="30"/>
  <c r="O233" i="30"/>
  <c r="AB233" i="30" s="1"/>
  <c r="N233" i="30"/>
  <c r="AA233" i="30" s="1"/>
  <c r="M233" i="30"/>
  <c r="O232" i="30"/>
  <c r="AB232" i="30" s="1"/>
  <c r="N232" i="30"/>
  <c r="AA232" i="30" s="1"/>
  <c r="M232" i="30"/>
  <c r="Z232" i="30" s="1"/>
  <c r="O231" i="30"/>
  <c r="AB231" i="30" s="1"/>
  <c r="N231" i="30"/>
  <c r="AA231" i="30" s="1"/>
  <c r="M231" i="30"/>
  <c r="Z231" i="30" s="1"/>
  <c r="O230" i="30"/>
  <c r="AB230" i="30" s="1"/>
  <c r="N230" i="30"/>
  <c r="AA230" i="30" s="1"/>
  <c r="M230" i="30"/>
  <c r="Z230" i="30" s="1"/>
  <c r="O228" i="30"/>
  <c r="AB228" i="30" s="1"/>
  <c r="N228" i="30"/>
  <c r="AA228" i="30" s="1"/>
  <c r="M228" i="30"/>
  <c r="O227" i="30"/>
  <c r="AB227" i="30" s="1"/>
  <c r="N227" i="30"/>
  <c r="AA227" i="30" s="1"/>
  <c r="M227" i="30"/>
  <c r="Z227" i="30" s="1"/>
  <c r="O226" i="30"/>
  <c r="AB226" i="30" s="1"/>
  <c r="N226" i="30"/>
  <c r="AA226" i="30" s="1"/>
  <c r="M226" i="30"/>
  <c r="Z226" i="30" s="1"/>
  <c r="O225" i="30"/>
  <c r="N225" i="30"/>
  <c r="AA225" i="30" s="1"/>
  <c r="M225" i="30"/>
  <c r="Z225" i="30" s="1"/>
  <c r="M224" i="30"/>
  <c r="Z224" i="30" s="1"/>
  <c r="O224" i="30"/>
  <c r="N224" i="30"/>
  <c r="M234" i="30"/>
  <c r="O223" i="30"/>
  <c r="N223" i="30"/>
  <c r="M223" i="30"/>
  <c r="O222" i="30"/>
  <c r="AB222" i="30" s="1"/>
  <c r="N222" i="30"/>
  <c r="AA222" i="30" s="1"/>
  <c r="M222" i="30"/>
  <c r="Z222" i="30" s="1"/>
  <c r="O221" i="30"/>
  <c r="N221" i="30"/>
  <c r="AA221" i="30" s="1"/>
  <c r="M221" i="30"/>
  <c r="Z221" i="30" s="1"/>
  <c r="AB220" i="30"/>
  <c r="AA220" i="30"/>
  <c r="Z220" i="30"/>
  <c r="H49" i="31"/>
  <c r="F10" i="45" l="1"/>
  <c r="D17" i="28" s="1"/>
  <c r="H10" i="45"/>
  <c r="F17" i="28" s="1"/>
  <c r="W281" i="30"/>
  <c r="V281" i="30"/>
  <c r="M237" i="30"/>
  <c r="Z237" i="30" s="1"/>
  <c r="N240" i="30"/>
  <c r="AA240" i="30" s="1"/>
  <c r="O243" i="30"/>
  <c r="AB243" i="30" s="1"/>
  <c r="U281" i="30"/>
  <c r="O240" i="30"/>
  <c r="AB240" i="30" s="1"/>
  <c r="W282" i="30"/>
  <c r="C132" i="50"/>
  <c r="H24" i="43"/>
  <c r="E130" i="50"/>
  <c r="E131" i="50" s="1"/>
  <c r="E132" i="50" s="1"/>
  <c r="F45" i="50" s="1"/>
  <c r="E139" i="48"/>
  <c r="D29" i="28"/>
  <c r="C29" i="28" s="1"/>
  <c r="D140" i="48"/>
  <c r="F83" i="49"/>
  <c r="E83" i="49" s="1"/>
  <c r="G95" i="49"/>
  <c r="G10" i="49" s="1"/>
  <c r="C139" i="48"/>
  <c r="D141" i="48"/>
  <c r="F84" i="49"/>
  <c r="E84" i="49" s="1"/>
  <c r="F49" i="31"/>
  <c r="H52" i="31"/>
  <c r="F8" i="28" s="1"/>
  <c r="F18" i="33"/>
  <c r="E46" i="45"/>
  <c r="E48" i="45" s="1"/>
  <c r="G48" i="45"/>
  <c r="E36" i="45"/>
  <c r="E33" i="45"/>
  <c r="E32" i="45"/>
  <c r="E34" i="45"/>
  <c r="E20" i="45"/>
  <c r="E18" i="45"/>
  <c r="B130" i="50"/>
  <c r="F24" i="43"/>
  <c r="O105" i="42"/>
  <c r="O115" i="42"/>
  <c r="O92" i="42"/>
  <c r="F23" i="33"/>
  <c r="F26" i="33"/>
  <c r="F25" i="33"/>
  <c r="F22" i="33"/>
  <c r="F21" i="33"/>
  <c r="F24" i="33"/>
  <c r="H26" i="33"/>
  <c r="H25" i="33"/>
  <c r="H22" i="33"/>
  <c r="H24" i="33"/>
  <c r="H21" i="33"/>
  <c r="G23" i="33"/>
  <c r="H23" i="33"/>
  <c r="G26" i="33"/>
  <c r="G24" i="33"/>
  <c r="G22" i="33"/>
  <c r="G25" i="33"/>
  <c r="G21" i="33"/>
  <c r="H18" i="33"/>
  <c r="G19" i="33"/>
  <c r="H19" i="33"/>
  <c r="F19" i="33"/>
  <c r="J111" i="42"/>
  <c r="E98" i="42"/>
  <c r="E105" i="42"/>
  <c r="O110" i="42"/>
  <c r="E92" i="42"/>
  <c r="J97" i="42"/>
  <c r="O101" i="42"/>
  <c r="O102" i="42"/>
  <c r="E107" i="42"/>
  <c r="J116" i="42"/>
  <c r="J96" i="42"/>
  <c r="E104" i="42"/>
  <c r="O106" i="42"/>
  <c r="J109" i="42"/>
  <c r="O128" i="42"/>
  <c r="O154" i="42"/>
  <c r="J157" i="42"/>
  <c r="J158" i="42"/>
  <c r="O162" i="42"/>
  <c r="O163" i="42"/>
  <c r="J159" i="42"/>
  <c r="E162" i="42"/>
  <c r="J167" i="42"/>
  <c r="J170" i="42"/>
  <c r="H31" i="42"/>
  <c r="H11" i="42" s="1"/>
  <c r="O108" i="42"/>
  <c r="O119" i="42"/>
  <c r="O123" i="42"/>
  <c r="O127" i="42"/>
  <c r="J168" i="42"/>
  <c r="E30" i="42"/>
  <c r="O97" i="42"/>
  <c r="E102" i="42"/>
  <c r="J105" i="42"/>
  <c r="E108" i="42"/>
  <c r="O113" i="42"/>
  <c r="O118" i="42"/>
  <c r="O126" i="42"/>
  <c r="E164" i="42"/>
  <c r="O98" i="42"/>
  <c r="J100" i="42"/>
  <c r="J120" i="42"/>
  <c r="J124" i="42"/>
  <c r="J132" i="42"/>
  <c r="J133" i="42"/>
  <c r="O152" i="42"/>
  <c r="J155" i="42"/>
  <c r="E158" i="42"/>
  <c r="J161" i="42"/>
  <c r="J163" i="42"/>
  <c r="E166" i="42"/>
  <c r="O166" i="42"/>
  <c r="O168" i="42"/>
  <c r="J173" i="42"/>
  <c r="J93" i="42"/>
  <c r="J94" i="42"/>
  <c r="O99" i="42"/>
  <c r="J101" i="42"/>
  <c r="E103" i="42"/>
  <c r="J110" i="42"/>
  <c r="O121" i="42"/>
  <c r="O153" i="42"/>
  <c r="O160" i="42"/>
  <c r="J172" i="42"/>
  <c r="J108" i="42"/>
  <c r="O172" i="42"/>
  <c r="O112" i="42"/>
  <c r="J130" i="42"/>
  <c r="O157" i="42"/>
  <c r="J164" i="42"/>
  <c r="J169" i="42"/>
  <c r="E106" i="42"/>
  <c r="O131" i="42"/>
  <c r="J160" i="42"/>
  <c r="F31" i="42"/>
  <c r="O111" i="42"/>
  <c r="E153" i="42"/>
  <c r="O170" i="42"/>
  <c r="N29" i="42"/>
  <c r="O164" i="42"/>
  <c r="E37" i="42"/>
  <c r="E93" i="42"/>
  <c r="O95" i="42"/>
  <c r="O104" i="42"/>
  <c r="J106" i="42"/>
  <c r="J118" i="42"/>
  <c r="O120" i="42"/>
  <c r="J128" i="42"/>
  <c r="J152" i="42"/>
  <c r="E159" i="42"/>
  <c r="E163" i="42"/>
  <c r="J91" i="42"/>
  <c r="E94" i="42"/>
  <c r="O96" i="42"/>
  <c r="O100" i="42"/>
  <c r="J107" i="42"/>
  <c r="J112" i="42"/>
  <c r="J122" i="42"/>
  <c r="O129" i="42"/>
  <c r="O134" i="42"/>
  <c r="J153" i="42"/>
  <c r="E155" i="42"/>
  <c r="O165" i="42"/>
  <c r="E168" i="42"/>
  <c r="J171" i="42"/>
  <c r="E39" i="42"/>
  <c r="O91" i="42"/>
  <c r="E96" i="42"/>
  <c r="E97" i="42"/>
  <c r="J102" i="42"/>
  <c r="O107" i="42"/>
  <c r="O114" i="42"/>
  <c r="O122" i="42"/>
  <c r="O130" i="42"/>
  <c r="F175" i="42"/>
  <c r="J154" i="42"/>
  <c r="O159" i="42"/>
  <c r="E165" i="42"/>
  <c r="O171" i="42"/>
  <c r="E91" i="42"/>
  <c r="J95" i="42"/>
  <c r="H175" i="42"/>
  <c r="O169" i="42"/>
  <c r="O31" i="42"/>
  <c r="G40" i="42"/>
  <c r="E169" i="42"/>
  <c r="G175" i="42"/>
  <c r="P31" i="42"/>
  <c r="H40" i="42"/>
  <c r="J90" i="42"/>
  <c r="O94" i="42"/>
  <c r="E157" i="42"/>
  <c r="J162" i="42"/>
  <c r="Q31" i="42"/>
  <c r="F40" i="42"/>
  <c r="O90" i="42"/>
  <c r="E95" i="42"/>
  <c r="E99" i="42"/>
  <c r="J104" i="42"/>
  <c r="O109" i="42"/>
  <c r="O117" i="42"/>
  <c r="O125" i="42"/>
  <c r="O133" i="42"/>
  <c r="J156" i="42"/>
  <c r="O161" i="42"/>
  <c r="E167" i="42"/>
  <c r="G31" i="42"/>
  <c r="G11" i="42" s="1"/>
  <c r="E29" i="42"/>
  <c r="F81" i="42"/>
  <c r="J92" i="42"/>
  <c r="J98" i="42"/>
  <c r="O103" i="42"/>
  <c r="E109" i="42"/>
  <c r="O116" i="42"/>
  <c r="O124" i="42"/>
  <c r="O132" i="42"/>
  <c r="O155" i="42"/>
  <c r="E161" i="42"/>
  <c r="J166" i="42"/>
  <c r="O173" i="42"/>
  <c r="E16" i="43"/>
  <c r="H181" i="42"/>
  <c r="G181" i="42"/>
  <c r="G183" i="42" s="1"/>
  <c r="H182" i="42"/>
  <c r="F142" i="42"/>
  <c r="G142" i="42"/>
  <c r="G46" i="42"/>
  <c r="G47" i="42" s="1"/>
  <c r="E10" i="28"/>
  <c r="E23" i="28" s="1"/>
  <c r="D153" i="32"/>
  <c r="F10" i="28"/>
  <c r="F23" i="28" s="1"/>
  <c r="F141" i="42"/>
  <c r="G141" i="42"/>
  <c r="E393" i="40"/>
  <c r="H46" i="42" s="1"/>
  <c r="H47" i="42" s="1"/>
  <c r="C140" i="48"/>
  <c r="C141" i="48"/>
  <c r="D139" i="48"/>
  <c r="E140" i="48"/>
  <c r="E16" i="45"/>
  <c r="E19" i="42"/>
  <c r="E22" i="42" s="1"/>
  <c r="N28" i="42"/>
  <c r="E38" i="42"/>
  <c r="F135" i="42"/>
  <c r="H81" i="42"/>
  <c r="G135" i="42"/>
  <c r="H135" i="42"/>
  <c r="O93" i="42"/>
  <c r="E28" i="42"/>
  <c r="F144" i="42"/>
  <c r="G143" i="42"/>
  <c r="H144" i="42"/>
  <c r="H145" i="42" s="1"/>
  <c r="G144" i="42"/>
  <c r="D10" i="28"/>
  <c r="D23" i="28" s="1"/>
  <c r="AB224" i="30"/>
  <c r="AB238" i="30"/>
  <c r="AB241" i="30"/>
  <c r="AB252" i="30"/>
  <c r="AA234" i="30"/>
  <c r="AB236" i="30"/>
  <c r="AA242" i="30"/>
  <c r="Z234" i="30"/>
  <c r="AB234" i="30"/>
  <c r="AB253" i="30"/>
  <c r="AA224" i="30"/>
  <c r="AB237" i="30"/>
  <c r="AA243" i="30"/>
  <c r="Z240" i="30"/>
  <c r="N236" i="30"/>
  <c r="N237" i="30"/>
  <c r="N238" i="30"/>
  <c r="M241" i="30"/>
  <c r="M242" i="30"/>
  <c r="M243" i="30"/>
  <c r="N241" i="30"/>
  <c r="U288" i="30"/>
  <c r="AB221" i="30"/>
  <c r="AB225" i="30"/>
  <c r="Z228" i="30"/>
  <c r="Z233" i="30"/>
  <c r="V288" i="30"/>
  <c r="G51" i="31" s="1"/>
  <c r="G52" i="31" s="1"/>
  <c r="E8" i="28" s="1"/>
  <c r="U282" i="30"/>
  <c r="M252" i="30"/>
  <c r="M253" i="30"/>
  <c r="V282" i="30"/>
  <c r="N252" i="30"/>
  <c r="N253" i="30"/>
  <c r="F11" i="42" l="1"/>
  <c r="F141" i="48"/>
  <c r="N31" i="42"/>
  <c r="G32" i="43"/>
  <c r="D126" i="50"/>
  <c r="D127" i="50" s="1"/>
  <c r="D128" i="50" s="1"/>
  <c r="E46" i="50" s="1"/>
  <c r="E36" i="50" s="1"/>
  <c r="G11" i="51" s="1"/>
  <c r="G145" i="42"/>
  <c r="E104" i="36"/>
  <c r="C13" i="28" s="1"/>
  <c r="E144" i="42"/>
  <c r="E141" i="42"/>
  <c r="E142" i="42"/>
  <c r="F95" i="49"/>
  <c r="F10" i="49" s="1"/>
  <c r="B131" i="50"/>
  <c r="D45" i="50"/>
  <c r="B132" i="50"/>
  <c r="F139" i="48"/>
  <c r="F132" i="48" s="1"/>
  <c r="G132" i="48" s="1"/>
  <c r="H183" i="42"/>
  <c r="F15" i="28" s="1"/>
  <c r="E181" i="42"/>
  <c r="E49" i="31"/>
  <c r="F51" i="31"/>
  <c r="F52" i="31" s="1"/>
  <c r="D8" i="28" s="1"/>
  <c r="E22" i="33"/>
  <c r="E25" i="33"/>
  <c r="E26" i="33"/>
  <c r="E24" i="33"/>
  <c r="E21" i="33"/>
  <c r="E18" i="33"/>
  <c r="E23" i="33"/>
  <c r="E19" i="33"/>
  <c r="E40" i="45"/>
  <c r="E25" i="45"/>
  <c r="E21" i="45"/>
  <c r="E19" i="45"/>
  <c r="D154" i="32"/>
  <c r="E175" i="42"/>
  <c r="E40" i="42"/>
  <c r="E31" i="42"/>
  <c r="E11" i="42" s="1"/>
  <c r="E135" i="42"/>
  <c r="F182" i="42"/>
  <c r="C10" i="28"/>
  <c r="C23" i="28" s="1"/>
  <c r="G141" i="48"/>
  <c r="J141" i="48" s="1"/>
  <c r="K141" i="48" s="1"/>
  <c r="F140" i="48"/>
  <c r="F143" i="42"/>
  <c r="E143" i="42" s="1"/>
  <c r="AA252" i="30"/>
  <c r="AA238" i="30"/>
  <c r="AA236" i="30"/>
  <c r="Z253" i="30"/>
  <c r="Z243" i="30"/>
  <c r="Z241" i="30"/>
  <c r="AA253" i="30"/>
  <c r="Z252" i="30"/>
  <c r="Z242" i="30"/>
  <c r="AA241" i="30"/>
  <c r="AA237" i="30"/>
  <c r="G139" i="48" l="1"/>
  <c r="J139" i="48" s="1"/>
  <c r="K139" i="48" s="1"/>
  <c r="H32" i="43"/>
  <c r="H10" i="43" s="1"/>
  <c r="F16" i="28" s="1"/>
  <c r="E126" i="50"/>
  <c r="E127" i="50" s="1"/>
  <c r="E128" i="50" s="1"/>
  <c r="F46" i="50" s="1"/>
  <c r="F36" i="50" s="1"/>
  <c r="H11" i="51" s="1"/>
  <c r="F145" i="42"/>
  <c r="E145" i="42" s="1"/>
  <c r="C45" i="50"/>
  <c r="E182" i="42"/>
  <c r="F183" i="42"/>
  <c r="G15" i="33"/>
  <c r="E15" i="33" s="1"/>
  <c r="E51" i="31"/>
  <c r="E52" i="31" s="1"/>
  <c r="E17" i="45"/>
  <c r="E26" i="45" s="1"/>
  <c r="G26" i="45"/>
  <c r="E39" i="45"/>
  <c r="E41" i="45" s="1"/>
  <c r="G41" i="45"/>
  <c r="G24" i="43"/>
  <c r="G10" i="43" s="1"/>
  <c r="C43" i="50"/>
  <c r="G140" i="48"/>
  <c r="J140" i="48" s="1"/>
  <c r="K140" i="48" s="1"/>
  <c r="F14" i="28" l="1"/>
  <c r="E14" i="28"/>
  <c r="H14" i="51"/>
  <c r="C8" i="28"/>
  <c r="C30" i="28"/>
  <c r="G10" i="45"/>
  <c r="E17" i="28" s="1"/>
  <c r="E24" i="43"/>
  <c r="E16" i="28"/>
  <c r="F20" i="33"/>
  <c r="G14" i="51"/>
  <c r="C126" i="50"/>
  <c r="C127" i="50" s="1"/>
  <c r="H95" i="49" l="1"/>
  <c r="H10" i="49" s="1"/>
  <c r="C128" i="50"/>
  <c r="B127" i="50"/>
  <c r="C14" i="28"/>
  <c r="D14" i="28"/>
  <c r="F11" i="51"/>
  <c r="E11" i="51"/>
  <c r="E95" i="49"/>
  <c r="F27" i="33"/>
  <c r="D9" i="28" s="1"/>
  <c r="E392" i="40"/>
  <c r="H20" i="33"/>
  <c r="H27" i="33" s="1"/>
  <c r="F9" i="28" s="1"/>
  <c r="F24" i="28" s="1"/>
  <c r="G20" i="33"/>
  <c r="G27" i="33" s="1"/>
  <c r="E9" i="28" s="1"/>
  <c r="E24" i="28" s="1"/>
  <c r="E10" i="45"/>
  <c r="C17" i="28" s="1"/>
  <c r="B126" i="50"/>
  <c r="E30" i="43"/>
  <c r="C392" i="40"/>
  <c r="C393" i="40" s="1"/>
  <c r="B393" i="40" s="1"/>
  <c r="F21" i="28" l="1"/>
  <c r="E21" i="28"/>
  <c r="E10" i="49"/>
  <c r="B128" i="50"/>
  <c r="D46" i="50"/>
  <c r="F32" i="43"/>
  <c r="F10" i="43" s="1"/>
  <c r="D16" i="28" s="1"/>
  <c r="F14" i="51"/>
  <c r="E32" i="43"/>
  <c r="E10" i="43" s="1"/>
  <c r="C16" i="28" s="1"/>
  <c r="E14" i="51"/>
  <c r="E20" i="33"/>
  <c r="E27" i="33" s="1"/>
  <c r="C9" i="28" s="1"/>
  <c r="C24" i="28" s="1"/>
  <c r="D24" i="28" l="1"/>
  <c r="D21" i="28"/>
  <c r="C21" i="28"/>
  <c r="C46" i="50"/>
  <c r="D36" i="50"/>
  <c r="C36" i="50" s="1"/>
  <c r="F46" i="42"/>
  <c r="F47" i="42" s="1"/>
  <c r="E183" i="42"/>
  <c r="D15" i="28" l="1"/>
  <c r="E46" i="42"/>
  <c r="E47" i="42" s="1"/>
  <c r="F22" i="28" l="1"/>
  <c r="E22" i="28"/>
  <c r="E75" i="42"/>
  <c r="E66" i="42"/>
  <c r="E63" i="42"/>
  <c r="E71" i="42"/>
  <c r="E77" i="42"/>
  <c r="E67" i="42"/>
  <c r="E72" i="42"/>
  <c r="E79" i="42"/>
  <c r="E62" i="42"/>
  <c r="E53" i="42"/>
  <c r="E73" i="42"/>
  <c r="E69" i="42"/>
  <c r="E56" i="42"/>
  <c r="E54" i="42"/>
  <c r="E74" i="42"/>
  <c r="E80" i="42"/>
  <c r="E57" i="42"/>
  <c r="E65" i="42"/>
  <c r="E59" i="42"/>
  <c r="E76" i="42"/>
  <c r="E55" i="42"/>
  <c r="E70" i="42"/>
  <c r="E60" i="42"/>
  <c r="E61" i="42"/>
  <c r="E58" i="42"/>
  <c r="E78" i="42"/>
  <c r="E68" i="42"/>
  <c r="E64" i="42"/>
  <c r="G81" i="42"/>
  <c r="E15" i="28" s="1"/>
  <c r="E81" i="42" l="1"/>
  <c r="C15" i="28" s="1"/>
  <c r="C22" i="28"/>
  <c r="D22" i="2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Brian Moore</author>
    <author>Sophia White</author>
    <author>tc={19501CE1-A37A-4AB3-A50B-D1AF1469EFA0}</author>
    <author>Kate Ellingham</author>
  </authors>
  <commentList>
    <comment ref="B224" authorId="0" shapeId="0" xr:uid="{00000000-0006-0000-0200-000001000000}">
      <text>
        <r>
          <rPr>
            <b/>
            <sz val="9"/>
            <color indexed="81"/>
            <rFont val="Tahoma"/>
            <family val="2"/>
          </rPr>
          <t>Brian Moore:</t>
        </r>
        <r>
          <rPr>
            <sz val="9"/>
            <color indexed="81"/>
            <rFont val="Tahoma"/>
            <family val="2"/>
          </rPr>
          <t xml:space="preserve">
Scope 1 only</t>
        </r>
      </text>
    </comment>
    <comment ref="D268" authorId="1" shapeId="0" xr:uid="{00000000-0006-0000-0200-000002000000}">
      <text>
        <r>
          <rPr>
            <b/>
            <sz val="9"/>
            <color indexed="81"/>
            <rFont val="Tahoma"/>
            <family val="2"/>
          </rPr>
          <t>Sophia White:</t>
        </r>
        <r>
          <rPr>
            <sz val="9"/>
            <color indexed="81"/>
            <rFont val="Tahoma"/>
            <family val="2"/>
          </rPr>
          <t xml:space="preserve">
kilotonnes</t>
        </r>
      </text>
    </comment>
    <comment ref="D269" authorId="1" shapeId="0" xr:uid="{00000000-0006-0000-0200-000003000000}">
      <text>
        <r>
          <rPr>
            <b/>
            <sz val="9"/>
            <color indexed="81"/>
            <rFont val="Tahoma"/>
            <family val="2"/>
          </rPr>
          <t>Sophia White:</t>
        </r>
        <r>
          <rPr>
            <sz val="9"/>
            <color indexed="81"/>
            <rFont val="Tahoma"/>
            <family val="2"/>
          </rPr>
          <t xml:space="preserve">
is this kilotonne?</t>
        </r>
      </text>
    </comment>
    <comment ref="V269" authorId="2" shapeId="0" xr:uid="{00000000-0006-0000-0200-000004000000}">
      <text>
        <t>[Threaded comment]
Your version of Excel allows you to read this threaded comment; however, any edits to it will get removed if the file is opened in a newer version of Excel. Learn more: https://go.microsoft.com/fwlink/?linkid=870924
Comment:
    updated from 2019 values. Email from Ben 4/9/20</t>
      </text>
    </comment>
    <comment ref="X269" authorId="3" shapeId="0" xr:uid="{00000000-0006-0000-0200-000005000000}">
      <text>
        <r>
          <rPr>
            <b/>
            <sz val="9"/>
            <color indexed="81"/>
            <rFont val="Tahoma"/>
            <family val="2"/>
          </rPr>
          <t>Kate Ellingham:</t>
        </r>
        <r>
          <rPr>
            <sz val="9"/>
            <color indexed="81"/>
            <rFont val="Tahoma"/>
            <family val="2"/>
          </rPr>
          <t xml:space="preserve">
This was 37.02 when submitted last time</t>
        </r>
      </text>
    </comment>
    <comment ref="D270" authorId="1" shapeId="0" xr:uid="{00000000-0006-0000-0200-000006000000}">
      <text>
        <r>
          <rPr>
            <b/>
            <sz val="9"/>
            <color indexed="81"/>
            <rFont val="Tahoma"/>
            <family val="2"/>
          </rPr>
          <t>Sophia White:</t>
        </r>
        <r>
          <rPr>
            <sz val="9"/>
            <color indexed="81"/>
            <rFont val="Tahoma"/>
            <family val="2"/>
          </rPr>
          <t xml:space="preserve">
kilotonnes of CO2
</t>
        </r>
      </text>
    </comment>
    <comment ref="F281" authorId="1" shapeId="0" xr:uid="{00000000-0006-0000-0200-000007000000}">
      <text>
        <r>
          <rPr>
            <b/>
            <sz val="9"/>
            <color indexed="81"/>
            <rFont val="Tahoma"/>
            <family val="2"/>
          </rPr>
          <t>Sophia White:</t>
        </r>
        <r>
          <rPr>
            <sz val="9"/>
            <color indexed="81"/>
            <rFont val="Tahoma"/>
            <family val="2"/>
          </rPr>
          <t xml:space="preserve">
kilotonnes of co2 per petajoule
</t>
        </r>
      </text>
    </comment>
    <comment ref="F284" authorId="1" shapeId="0" xr:uid="{00000000-0006-0000-0200-000008000000}">
      <text>
        <r>
          <rPr>
            <b/>
            <sz val="9"/>
            <color indexed="81"/>
            <rFont val="Tahoma"/>
            <family val="2"/>
          </rPr>
          <t>Sophia White:</t>
        </r>
        <r>
          <rPr>
            <sz val="9"/>
            <color indexed="81"/>
            <rFont val="Tahoma"/>
            <family val="2"/>
          </rPr>
          <t xml:space="preserve">
kilotonnes of CO2 per petajoule</t>
        </r>
      </text>
    </comment>
    <comment ref="F287" authorId="1" shapeId="0" xr:uid="{00000000-0006-0000-0200-000009000000}">
      <text>
        <r>
          <rPr>
            <b/>
            <sz val="9"/>
            <color indexed="81"/>
            <rFont val="Tahoma"/>
            <family val="2"/>
          </rPr>
          <t>Sophia White:</t>
        </r>
        <r>
          <rPr>
            <sz val="9"/>
            <color indexed="81"/>
            <rFont val="Tahoma"/>
            <family val="2"/>
          </rPr>
          <t xml:space="preserve">
kilotonnes of co2 per petajoule
</t>
        </r>
      </text>
    </comment>
    <comment ref="G287" authorId="1" shapeId="0" xr:uid="{00000000-0006-0000-0200-00000A000000}">
      <text>
        <r>
          <rPr>
            <b/>
            <sz val="9"/>
            <color indexed="81"/>
            <rFont val="Tahoma"/>
            <family val="2"/>
          </rPr>
          <t>Sophia White:</t>
        </r>
        <r>
          <rPr>
            <sz val="9"/>
            <color indexed="81"/>
            <rFont val="Tahoma"/>
            <family val="2"/>
          </rPr>
          <t xml:space="preserve">
kg CH4 per TJ </t>
        </r>
      </text>
    </comment>
    <comment ref="H287" authorId="1" shapeId="0" xr:uid="{00000000-0006-0000-0200-00000B000000}">
      <text>
        <r>
          <rPr>
            <b/>
            <sz val="9"/>
            <color indexed="81"/>
            <rFont val="Tahoma"/>
            <family val="2"/>
          </rPr>
          <t>Sophia White:</t>
        </r>
        <r>
          <rPr>
            <sz val="9"/>
            <color indexed="81"/>
            <rFont val="Tahoma"/>
            <family val="2"/>
          </rPr>
          <t xml:space="preserve">
kg N2O per TJ
</t>
        </r>
      </text>
    </comment>
    <comment ref="F289" authorId="1" shapeId="0" xr:uid="{00000000-0006-0000-0200-00000C000000}">
      <text>
        <r>
          <rPr>
            <b/>
            <sz val="9"/>
            <color indexed="81"/>
            <rFont val="Tahoma"/>
            <family val="2"/>
          </rPr>
          <t>Sophia White:</t>
        </r>
        <r>
          <rPr>
            <sz val="9"/>
            <color indexed="81"/>
            <rFont val="Tahoma"/>
            <family val="2"/>
          </rPr>
          <t xml:space="preserve">
kilotonnes of CO2 per petajoule</t>
        </r>
      </text>
    </comment>
    <comment ref="G289" authorId="1" shapeId="0" xr:uid="{00000000-0006-0000-0200-00000D000000}">
      <text>
        <r>
          <rPr>
            <b/>
            <sz val="9"/>
            <color indexed="81"/>
            <rFont val="Tahoma"/>
            <family val="2"/>
          </rPr>
          <t>Sophia White:</t>
        </r>
        <r>
          <rPr>
            <sz val="9"/>
            <color indexed="81"/>
            <rFont val="Tahoma"/>
            <family val="2"/>
          </rPr>
          <t xml:space="preserve">
kg CH4 per TJ </t>
        </r>
      </text>
    </comment>
    <comment ref="H289" authorId="1" shapeId="0" xr:uid="{00000000-0006-0000-0200-00000E000000}">
      <text>
        <r>
          <rPr>
            <b/>
            <sz val="9"/>
            <color indexed="81"/>
            <rFont val="Tahoma"/>
            <family val="2"/>
          </rPr>
          <t>Sophia White:</t>
        </r>
        <r>
          <rPr>
            <sz val="9"/>
            <color indexed="81"/>
            <rFont val="Tahoma"/>
            <family val="2"/>
          </rPr>
          <t xml:space="preserve">
kg N2O per TJ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tc={F6278904-1E68-44F7-9176-0FE416046AD5}</author>
  </authors>
  <commentList>
    <comment ref="H107" authorId="0" shapeId="0" xr:uid="{00000000-0006-0000-1600-000001000000}">
      <text>
        <t>[Threaded comment]
Your version of Excel allows you to read this threaded comment; however, any edits to it will get removed if the file is opened in a newer version of Excel. Learn more: https://go.microsoft.com/fwlink/?linkid=870924
Comment:
    Joel had this as 202.59. incorrect GWP for N2O being applied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BillingsC</author>
    <author>tc={A0396725-C2E7-4789-8A22-42E9DD6E069F}</author>
  </authors>
  <commentList>
    <comment ref="B92" authorId="0" shapeId="0" xr:uid="{C346F116-0BE7-416C-9194-9D5D86DE84EA}">
      <text>
        <r>
          <rPr>
            <b/>
            <sz val="9"/>
            <color indexed="81"/>
            <rFont val="Tahoma"/>
            <family val="2"/>
          </rPr>
          <t>BillingsC:</t>
        </r>
        <r>
          <rPr>
            <sz val="9"/>
            <color indexed="81"/>
            <rFont val="Tahoma"/>
            <family val="2"/>
          </rPr>
          <t xml:space="preserve">
what does this mean?
</t>
        </r>
      </text>
    </comment>
    <comment ref="I134" authorId="1" shapeId="0" xr:uid="{00000000-0006-0000-0400-000001000000}">
      <text>
        <t>[Threaded comment]
Your version of Excel allows you to read this threaded comment; however, any edits to it will get removed if the file is opened in a newer version of Excel. Learn more: https://go.microsoft.com/fwlink/?linkid=870924
Comment:
    Note "New methodology" is used from 2014 onwards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tc={2DA1896E-CAAD-4B8A-BADA-6B44FDE53AF1}</author>
    <author>tc={18124320-B55E-4071-A33F-501661165E87}</author>
    <author>tc={E0993F21-FBFC-4298-B3CB-C042E04B595C}</author>
  </authors>
  <commentList>
    <comment ref="A89" authorId="0" shapeId="0" xr:uid="{2DA1896E-CAAD-4B8A-BADA-6B44FDE53AF1}">
      <text>
        <t>[Threaded comment]
Your version of Excel allows you to read this threaded comment; however, any edits to it will get removed if the file is opened in a newer version of Excel. Learn more: https://go.microsoft.com/fwlink/?linkid=870924
Comment:
    Taken from column B in 'Annual elec_gen_EF' tab in the 'elec_gen_EF_CB edit' spreadsheet</t>
      </text>
    </comment>
    <comment ref="M101" authorId="1" shapeId="0" xr:uid="{18124320-B55E-4071-A33F-501661165E87}">
      <text>
        <t>[Threaded comment]
Your version of Excel allows you to read this threaded comment; however, any edits to it will get removed if the file is opened in a newer version of Excel. Learn more: https://go.microsoft.com/fwlink/?linkid=870924
Comment:
    8% are lost through transmission. The emissions associated with electrons travelling through the grid is a function of national generation therefore T&amp;D losses total 8% of the total generated emissions. There is no need to calculate a consumption emissions factor unless the consumer had a direct connection to a network and low emissions generation source that is not connected to the wider grid and wanted to claim lower Scope 2 and Scope 3 from T&amp;D losses?</t>
      </text>
    </comment>
    <comment ref="D166" authorId="2" shapeId="0" xr:uid="{E0993F21-FBFC-4298-B3CB-C042E04B595C}">
      <text>
        <t>[Threaded comment]
Your version of Excel allows you to read this threaded comment; however, any edits to it will get removed if the file is opened in a newer version of Excel. Learn more: https://go.microsoft.com/fwlink/?linkid=870924
Comment:
    This figure is higher than CO2e??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Sophia White</author>
    <author>tc={A2787475-16BE-4952-8DD1-2803B8117EA8}</author>
  </authors>
  <commentList>
    <comment ref="E35" authorId="0" shapeId="0" xr:uid="{00000000-0006-0000-0800-000001000000}">
      <text>
        <r>
          <rPr>
            <b/>
            <sz val="9"/>
            <color indexed="81"/>
            <rFont val="Tahoma"/>
            <family val="2"/>
          </rPr>
          <t>Sophia White:</t>
        </r>
        <r>
          <rPr>
            <sz val="9"/>
            <color indexed="81"/>
            <rFont val="Tahoma"/>
            <family val="2"/>
          </rPr>
          <t xml:space="preserve">
in kgCOe </t>
        </r>
      </text>
    </comment>
    <comment ref="F35" authorId="0" shapeId="0" xr:uid="{00000000-0006-0000-0800-000002000000}">
      <text>
        <r>
          <rPr>
            <b/>
            <sz val="9"/>
            <color indexed="81"/>
            <rFont val="Tahoma"/>
            <family val="2"/>
          </rPr>
          <t>Sophia White:</t>
        </r>
        <r>
          <rPr>
            <sz val="9"/>
            <color indexed="81"/>
            <rFont val="Tahoma"/>
            <family val="2"/>
          </rPr>
          <t xml:space="preserve">
in kgCO2e</t>
        </r>
      </text>
    </comment>
    <comment ref="A98" authorId="1" shapeId="0" xr:uid="{00000000-0006-0000-0800-000003000000}">
      <text>
        <t>[Threaded comment]
Your version of Excel allows you to read this threaded comment; however, any edits to it will get removed if the file is opened in a newer version of Excel. Learn more: https://go.microsoft.com/fwlink/?linkid=870924
Comment:
    what size heat pump does this now correlate to?</t>
      </text>
    </comment>
    <comment ref="D125" authorId="0" shapeId="0" xr:uid="{00000000-0006-0000-0800-000004000000}">
      <text>
        <r>
          <rPr>
            <b/>
            <sz val="9"/>
            <color indexed="81"/>
            <rFont val="Tahoma"/>
            <family val="2"/>
          </rPr>
          <t>Sophia White:</t>
        </r>
        <r>
          <rPr>
            <sz val="9"/>
            <color indexed="81"/>
            <rFont val="Tahoma"/>
            <family val="2"/>
          </rPr>
          <t xml:space="preserve">
in kgCOe </t>
        </r>
      </text>
    </comment>
    <comment ref="E125" authorId="0" shapeId="0" xr:uid="{00000000-0006-0000-0800-000005000000}">
      <text>
        <r>
          <rPr>
            <b/>
            <sz val="9"/>
            <color indexed="81"/>
            <rFont val="Tahoma"/>
            <family val="2"/>
          </rPr>
          <t>Sophia White:</t>
        </r>
        <r>
          <rPr>
            <sz val="9"/>
            <color indexed="81"/>
            <rFont val="Tahoma"/>
            <family val="2"/>
          </rPr>
          <t xml:space="preserve">
in kgCO2e</t>
        </r>
      </text>
    </comment>
    <comment ref="D129" authorId="0" shapeId="0" xr:uid="{00000000-0006-0000-0800-000006000000}">
      <text>
        <r>
          <rPr>
            <b/>
            <sz val="9"/>
            <color indexed="81"/>
            <rFont val="Tahoma"/>
            <family val="2"/>
          </rPr>
          <t>Sophia White:</t>
        </r>
        <r>
          <rPr>
            <sz val="9"/>
            <color indexed="81"/>
            <rFont val="Tahoma"/>
            <family val="2"/>
          </rPr>
          <t xml:space="preserve">
in kgCOe </t>
        </r>
      </text>
    </comment>
    <comment ref="E129" authorId="0" shapeId="0" xr:uid="{00000000-0006-0000-0800-000007000000}">
      <text>
        <r>
          <rPr>
            <b/>
            <sz val="9"/>
            <color indexed="81"/>
            <rFont val="Tahoma"/>
            <family val="2"/>
          </rPr>
          <t>Sophia White:</t>
        </r>
        <r>
          <rPr>
            <sz val="9"/>
            <color indexed="81"/>
            <rFont val="Tahoma"/>
            <family val="2"/>
          </rPr>
          <t xml:space="preserve">
in kgCO2e</t>
        </r>
      </text>
    </comment>
    <comment ref="E138" authorId="0" shapeId="0" xr:uid="{00000000-0006-0000-0800-000008000000}">
      <text>
        <r>
          <rPr>
            <b/>
            <sz val="9"/>
            <color indexed="81"/>
            <rFont val="Tahoma"/>
            <family val="2"/>
          </rPr>
          <t>Sophia White:</t>
        </r>
        <r>
          <rPr>
            <sz val="9"/>
            <color indexed="81"/>
            <rFont val="Tahoma"/>
            <family val="2"/>
          </rPr>
          <t xml:space="preserve">
in kgCOe </t>
        </r>
      </text>
    </comment>
    <comment ref="F138" authorId="0" shapeId="0" xr:uid="{00000000-0006-0000-0800-000009000000}">
      <text>
        <r>
          <rPr>
            <b/>
            <sz val="9"/>
            <color indexed="81"/>
            <rFont val="Tahoma"/>
            <family val="2"/>
          </rPr>
          <t>Sophia White:</t>
        </r>
        <r>
          <rPr>
            <sz val="9"/>
            <color indexed="81"/>
            <rFont val="Tahoma"/>
            <family val="2"/>
          </rPr>
          <t xml:space="preserve">
in kgCO2e</t>
        </r>
      </text>
    </comment>
    <comment ref="E143" authorId="0" shapeId="0" xr:uid="{00000000-0006-0000-0800-00000A000000}">
      <text>
        <r>
          <rPr>
            <b/>
            <sz val="9"/>
            <color indexed="81"/>
            <rFont val="Tahoma"/>
            <family val="2"/>
          </rPr>
          <t>Sophia White:</t>
        </r>
        <r>
          <rPr>
            <sz val="9"/>
            <color indexed="81"/>
            <rFont val="Tahoma"/>
            <family val="2"/>
          </rPr>
          <t xml:space="preserve">
in kgCOe </t>
        </r>
      </text>
    </comment>
    <comment ref="F143" authorId="0" shapeId="0" xr:uid="{00000000-0006-0000-0800-00000B000000}">
      <text>
        <r>
          <rPr>
            <b/>
            <sz val="9"/>
            <color indexed="81"/>
            <rFont val="Tahoma"/>
            <family val="2"/>
          </rPr>
          <t>Sophia White:</t>
        </r>
        <r>
          <rPr>
            <sz val="9"/>
            <color indexed="81"/>
            <rFont val="Tahoma"/>
            <family val="2"/>
          </rPr>
          <t xml:space="preserve">
in kgCO2e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Sophia White</author>
  </authors>
  <commentList>
    <comment ref="E71" authorId="0" shapeId="0" xr:uid="{00000000-0006-0000-0A00-000001000000}">
      <text>
        <r>
          <rPr>
            <b/>
            <sz val="9"/>
            <color indexed="81"/>
            <rFont val="Tahoma"/>
            <family val="2"/>
          </rPr>
          <t>Sophia White:</t>
        </r>
        <r>
          <rPr>
            <sz val="9"/>
            <color indexed="81"/>
            <rFont val="Tahoma"/>
            <family val="2"/>
          </rPr>
          <t xml:space="preserve">
&gt;7,500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tc={12A5ECA4-E624-4A14-99EF-B46BA3681F2E}</author>
    <author>tc={E79DAEE9-BE13-4354-B79A-C04925E0DD68}</author>
    <author>tc={59EDA889-EFFA-4E6E-8ED4-BEF362727987}</author>
    <author>tc={28E8C28E-810C-41F1-AC61-9D52A26BFC10}</author>
    <author>Kate Ellingham</author>
    <author>tc={93CED6FE-0DD6-40F4-ADDE-5AE93EBC93B2}</author>
    <author>tc={083B4043-A730-415F-98E4-D7A2AC07512A}</author>
    <author>tc={245AC5D6-6295-44C7-9426-EA957C666633}</author>
    <author>tc={1ACC2A1B-2604-49AC-8B08-8EB759A315A8}</author>
    <author>tc={66CE6180-C492-45CD-94D0-6A27C5900681}</author>
    <author>tc={FCF0AD65-B70B-44C8-AF29-A021472E141D}</author>
    <author>tc={0311E3C5-EDB7-4149-986C-8C241F64BFE9}</author>
  </authors>
  <commentList>
    <comment ref="D378" authorId="0" shapeId="0" xr:uid="{12A5ECA4-E624-4A14-99EF-B46BA3681F2E}">
      <text>
        <t>[Threaded comment]
Your version of Excel allows you to read this threaded comment; however, any edits to it will get removed if the file is opened in a newer version of Excel. Learn more: https://go.microsoft.com/fwlink/?linkid=870924
Comment:
    Shouldn't this row 'Large aircraft' just be the same as the AirBus figures? i.e. is there a need to apply the % share of flights here?</t>
      </text>
    </comment>
    <comment ref="C383" authorId="1" shapeId="0" xr:uid="{E79DAEE9-BE13-4354-B79A-C04925E0DD68}">
      <text>
        <t>[Threaded comment]
Your version of Excel allows you to read this threaded comment; however, any edits to it will get removed if the file is opened in a newer version of Excel. Learn more: https://go.microsoft.com/fwlink/?linkid=870924
Comment:
    I suggest this is a better way of allocating the flights to estimate the national average of medium aircraft. i.e. only look at the relative contribution that each medium aircraft type makes to the total of all medium aircraft flights. Rather than taking the national average of all flights. Note the figures don't add up t 100% anyway, in B392.</t>
      </text>
    </comment>
    <comment ref="C387" authorId="2" shapeId="0" xr:uid="{59EDA889-EFFA-4E6E-8ED4-BEF362727987}">
      <text>
        <t>[Threaded comment]
Your version of Excel allows you to read this threaded comment; however, any edits to it will get removed if the file is opened in a newer version of Excel. Learn more: https://go.microsoft.com/fwlink/?linkid=870924
Comment:
    I suggest this is a better way of allocating the flights to estimate the national average of small aircraft. i.e. only look at the relative contribution that each small aircraft type makes to the total of all small aircraft flights. Rather than taking the national average of all flights. Note the figures don't add up t 100% anyway, in B392.</t>
      </text>
    </comment>
    <comment ref="AS432" authorId="3" shapeId="0" xr:uid="{28E8C28E-810C-41F1-AC61-9D52A26BFC10}">
      <text>
        <t>[Threaded comment]
Your version of Excel allows you to read this threaded comment; however, any edits to it will get removed if the file is opened in a newer version of Excel. Learn more: https://go.microsoft.com/fwlink/?linkid=870924
Comment:
    I think this is wrong detailed guide says based on 2010-2015 fleet?</t>
      </text>
    </comment>
    <comment ref="B435" authorId="4" shapeId="0" xr:uid="{461C0B30-1529-498E-9F5F-0317B3FAC3C1}">
      <text>
        <r>
          <rPr>
            <b/>
            <sz val="9"/>
            <color indexed="81"/>
            <rFont val="Tahoma"/>
            <family val="2"/>
          </rPr>
          <t>Kate Ellingham:</t>
        </r>
        <r>
          <rPr>
            <sz val="9"/>
            <color indexed="81"/>
            <rFont val="Tahoma"/>
            <family val="2"/>
          </rPr>
          <t xml:space="preserve">
This number does not correlate with the reference. I think it should be 14.4</t>
        </r>
      </text>
    </comment>
    <comment ref="B439" authorId="4" shapeId="0" xr:uid="{F6E34D5B-3FBC-4C28-98CE-BF8C2992CB6B}">
      <text>
        <r>
          <rPr>
            <b/>
            <sz val="9"/>
            <color indexed="81"/>
            <rFont val="Tahoma"/>
            <family val="2"/>
          </rPr>
          <t>Kate Ellingham:</t>
        </r>
        <r>
          <rPr>
            <sz val="9"/>
            <color indexed="81"/>
            <rFont val="Tahoma"/>
            <family val="2"/>
          </rPr>
          <t xml:space="preserve">
This number does not correlate with the reference. 15.9?</t>
        </r>
      </text>
    </comment>
    <comment ref="F589" authorId="5" shapeId="0" xr:uid="{93CED6FE-0DD6-40F4-ADDE-5AE93EBC93B2}">
      <text>
        <t>[Threaded comment]
Your version of Excel allows you to read this threaded comment; however, any edits to it will get removed if the file is opened in a newer version of Excel. Learn more: https://go.microsoft.com/fwlink/?linkid=870924
Comment:
    expressed in kgCO2e</t>
      </text>
    </comment>
    <comment ref="G589" authorId="6" shapeId="0" xr:uid="{083B4043-A730-415F-98E4-D7A2AC07512A}">
      <text>
        <t>[Threaded comment]
Your version of Excel allows you to read this threaded comment; however, any edits to it will get removed if the file is opened in a newer version of Excel. Learn more: https://go.microsoft.com/fwlink/?linkid=870924
Comment:
    expressed in kgCO2e</t>
      </text>
    </comment>
    <comment ref="I593" authorId="7" shapeId="0" xr:uid="{245AC5D6-6295-44C7-9426-EA957C666633}">
      <text>
        <t>[Threaded comment]
Your version of Excel allows you to read this threaded comment; however, any edits to it will get removed if the file is opened in a newer version of Excel. Learn more: https://go.microsoft.com/fwlink/?linkid=870924
Comment:
    does this mean 97% diesel 3% electric?</t>
      </text>
    </comment>
    <comment ref="F595" authorId="8" shapeId="0" xr:uid="{1ACC2A1B-2604-49AC-8B08-8EB759A315A8}">
      <text>
        <t>[Threaded comment]
Your version of Excel allows you to read this threaded comment; however, any edits to it will get removed if the file is opened in a newer version of Excel. Learn more: https://go.microsoft.com/fwlink/?linkid=870924
Comment:
    expressed in kgCO2e</t>
      </text>
    </comment>
    <comment ref="G595" authorId="9" shapeId="0" xr:uid="{66CE6180-C492-45CD-94D0-6A27C5900681}">
      <text>
        <t>[Threaded comment]
Your version of Excel allows you to read this threaded comment; however, any edits to it will get removed if the file is opened in a newer version of Excel. Learn more: https://go.microsoft.com/fwlink/?linkid=870924
Comment:
    expressed in kgCO2e</t>
      </text>
    </comment>
    <comment ref="G610" authorId="10" shapeId="0" xr:uid="{FCF0AD65-B70B-44C8-AF29-A021472E141D}">
      <text>
        <t>[Threaded comment]
Your version of Excel allows you to read this threaded comment; however, any edits to it will get removed if the file is opened in a newer version of Excel. Learn more: https://go.microsoft.com/fwlink/?linkid=870924
Comment:
    I have assumed this is TJ which is what Ben assumed in his workings out</t>
      </text>
    </comment>
    <comment ref="E650" authorId="11" shapeId="0" xr:uid="{0311E3C5-EDB7-4149-986C-8C241F64BFE9}">
      <text>
        <t>[Threaded comment]
Your version of Excel allows you to read this threaded comment; however, any edits to it will get removed if the file is opened in a newer version of Excel. Learn more: https://go.microsoft.com/fwlink/?linkid=870924
Comment:
    This is the only diesel line.</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Sophia White</author>
    <author/>
    <author>tc={596C4427-39EB-4DB3-ADFF-5C29358BC322}</author>
  </authors>
  <commentList>
    <comment ref="B133" authorId="0" shapeId="0" xr:uid="{00000000-0006-0000-0E00-000003000000}">
      <text>
        <r>
          <rPr>
            <b/>
            <sz val="9"/>
            <color indexed="81"/>
            <rFont val="Tahoma"/>
            <family val="2"/>
          </rPr>
          <t>Sophia White:</t>
        </r>
        <r>
          <rPr>
            <sz val="9"/>
            <color indexed="81"/>
            <rFont val="Tahoma"/>
            <family val="2"/>
          </rPr>
          <t xml:space="preserve">
based on FIGs, 10,000+ dwt
</t>
        </r>
      </text>
    </comment>
    <comment ref="B140" authorId="0" shapeId="0" xr:uid="{00000000-0006-0000-0E00-000004000000}">
      <text>
        <r>
          <rPr>
            <b/>
            <sz val="9"/>
            <color indexed="81"/>
            <rFont val="Tahoma"/>
            <family val="2"/>
          </rPr>
          <t>Sophia White:</t>
        </r>
        <r>
          <rPr>
            <sz val="9"/>
            <color indexed="81"/>
            <rFont val="Tahoma"/>
            <family val="2"/>
          </rPr>
          <t xml:space="preserve">
based on TEU size 2923 (2000-2999TEU)
</t>
        </r>
      </text>
    </comment>
    <comment ref="C148" authorId="1" shapeId="0" xr:uid="{00000000-0006-0000-0E00-000005000000}">
      <text>
        <r>
          <rPr>
            <b/>
            <sz val="8"/>
            <rFont val="Tahoma"/>
            <family val="2"/>
          </rPr>
          <t>An equivalent measure of one tonne of transported goods over one km.</t>
        </r>
      </text>
    </comment>
    <comment ref="D180" authorId="0" shapeId="0" xr:uid="{40332AA4-8710-4363-92AC-7C4151AF43D4}">
      <text>
        <r>
          <rPr>
            <b/>
            <sz val="9"/>
            <color indexed="81"/>
            <rFont val="Tahoma"/>
            <family val="2"/>
          </rPr>
          <t>Sophia White:</t>
        </r>
        <r>
          <rPr>
            <sz val="9"/>
            <color indexed="81"/>
            <rFont val="Tahoma"/>
            <family val="2"/>
          </rPr>
          <t xml:space="preserve">
Assumed pre 2010 there are no BEV</t>
        </r>
      </text>
    </comment>
    <comment ref="G210" authorId="2" shapeId="0" xr:uid="{596C4427-39EB-4DB3-ADFF-5C29358BC322}">
      <text>
        <t>[Threaded comment]
Your version of Excel allows you to read this threaded comment; however, any edits to it will get removed if the file is opened in a newer version of Excel. Learn more: https://go.microsoft.com/fwlink/?linkid=870924
Comment:
    AirNZ think this is over-estimation</t>
      </text>
    </comment>
    <comment ref="D223" authorId="1" shapeId="0" xr:uid="{F922401B-A6A9-46BA-AE52-EDAB9D0C968C}">
      <text>
        <r>
          <rPr>
            <b/>
            <sz val="8"/>
            <rFont val="Tahoma"/>
            <family val="2"/>
          </rPr>
          <t>Including the influence of non-CO₂ climate change effects of aviation (water vapour, contrails, NOx etc.)</t>
        </r>
      </text>
    </comment>
    <comment ref="H223" authorId="1" shapeId="0" xr:uid="{433BAF02-0ADA-4C97-8ACB-CE7E2BBAFA03}">
      <text>
        <r>
          <rPr>
            <b/>
            <sz val="8"/>
            <rFont val="Tahoma"/>
            <family val="2"/>
          </rPr>
          <t>Excluding the influence of non-CO₂ climate change effects of aviation (water vapour, contrails, NOx etc.)</t>
        </r>
      </text>
    </comment>
    <comment ref="D224" authorId="1" shapeId="0" xr:uid="{29AF0ECB-C4E0-4872-A054-DAC7D098DDF5}">
      <text>
        <r>
          <rPr>
            <b/>
            <sz val="8"/>
            <rFont val="Tahoma"/>
            <family val="2"/>
          </rPr>
          <t>kg CO₂e per unit</t>
        </r>
      </text>
    </comment>
    <comment ref="E224" authorId="1" shapeId="0" xr:uid="{99D033A5-ED49-467E-B7F3-4131E86C0A3B}">
      <text>
        <r>
          <rPr>
            <b/>
            <sz val="8"/>
            <rFont val="Tahoma"/>
            <family val="2"/>
          </rPr>
          <t>kg CO₂e of CO₂ per unit</t>
        </r>
      </text>
    </comment>
    <comment ref="F224" authorId="1" shapeId="0" xr:uid="{FB499B99-B2E9-40D6-B221-C8429DDE70D1}">
      <text>
        <r>
          <rPr>
            <b/>
            <sz val="8"/>
            <rFont val="Tahoma"/>
            <family val="2"/>
          </rPr>
          <t>kg CO₂e of CH₄ per unit</t>
        </r>
      </text>
    </comment>
    <comment ref="G224" authorId="1" shapeId="0" xr:uid="{AAB9B295-5778-45E2-998F-41E1E01D5220}">
      <text>
        <r>
          <rPr>
            <b/>
            <sz val="8"/>
            <rFont val="Tahoma"/>
            <family val="2"/>
          </rPr>
          <t>kg CO₂e of N₂O per unit</t>
        </r>
      </text>
    </comment>
    <comment ref="H224" authorId="1" shapeId="0" xr:uid="{FD98575C-AB68-477A-BDF0-928F02AF08DC}">
      <text>
        <r>
          <rPr>
            <b/>
            <sz val="8"/>
            <rFont val="Tahoma"/>
            <family val="2"/>
          </rPr>
          <t>kg CO₂e per unit</t>
        </r>
      </text>
    </comment>
    <comment ref="I224" authorId="1" shapeId="0" xr:uid="{3701D3A0-2491-43FA-A1B4-63A8201AE1AD}">
      <text>
        <r>
          <rPr>
            <b/>
            <sz val="8"/>
            <rFont val="Tahoma"/>
            <family val="2"/>
          </rPr>
          <t>kg CO₂e of CO₂ per unit</t>
        </r>
      </text>
    </comment>
    <comment ref="J224" authorId="1" shapeId="0" xr:uid="{5DE389AF-31BB-4E82-A338-98AED89412C9}">
      <text>
        <r>
          <rPr>
            <b/>
            <sz val="8"/>
            <rFont val="Tahoma"/>
            <family val="2"/>
          </rPr>
          <t>kg CO₂e of CH₄ per unit</t>
        </r>
      </text>
    </comment>
    <comment ref="K224" authorId="1" shapeId="0" xr:uid="{54C94973-BB81-4668-BC7E-DD907DD2E28B}">
      <text>
        <r>
          <rPr>
            <b/>
            <sz val="8"/>
            <rFont val="Tahoma"/>
            <family val="2"/>
          </rPr>
          <t>kg CO₂e of N₂O per unit</t>
        </r>
      </text>
    </comment>
    <comment ref="B225" authorId="1" shapeId="0" xr:uid="{89707A2E-CC19-4BE8-AE19-BE2446A0D4D7}">
      <text>
        <r>
          <rPr>
            <b/>
            <sz val="8"/>
            <rFont val="Tahoma"/>
            <family val="2"/>
          </rPr>
          <t>Domestic flights are between UK airports.</t>
        </r>
      </text>
    </comment>
    <comment ref="C225" authorId="1" shapeId="0" xr:uid="{F029D0A1-530D-4EE1-A99F-59B6716C9879}">
      <text>
        <r>
          <rPr>
            <b/>
            <sz val="8"/>
            <rFont val="Tahoma"/>
            <family val="2"/>
          </rPr>
          <t>An equivalent measure of one tonne of transported goods over one km</t>
        </r>
      </text>
    </comment>
    <comment ref="B226" authorId="1" shapeId="0" xr:uid="{1B131429-B7E2-4832-BBFB-E4332A557B09}">
      <text>
        <r>
          <rPr>
            <b/>
            <sz val="8"/>
            <rFont val="Tahoma"/>
            <family val="2"/>
          </rPr>
          <t>International flights to/from the UK, typically to Europe (up to 3700km distance).</t>
        </r>
      </text>
    </comment>
    <comment ref="C226" authorId="1" shapeId="0" xr:uid="{F6AD3C0D-1561-4974-84DE-1586AB921DDA}">
      <text>
        <r>
          <rPr>
            <b/>
            <sz val="8"/>
            <rFont val="Tahoma"/>
            <family val="2"/>
          </rPr>
          <t>An equivalent measure of one tonne of transported goods over one km</t>
        </r>
      </text>
    </comment>
    <comment ref="B227" authorId="1" shapeId="0" xr:uid="{EA5CF1F2-3CFF-444C-918C-CC2CA6DF620D}">
      <text>
        <r>
          <rPr>
            <b/>
            <sz val="8"/>
            <rFont val="Tahoma"/>
            <family val="2"/>
          </rPr>
          <t>Long-haul international flights to/from the UK, typically to non-European destinations (over 3700km distance).</t>
        </r>
      </text>
    </comment>
    <comment ref="C227" authorId="1" shapeId="0" xr:uid="{674857C7-EE06-4DFB-B1DD-B4B4914A6DF0}">
      <text>
        <r>
          <rPr>
            <b/>
            <sz val="8"/>
            <rFont val="Tahoma"/>
            <family val="2"/>
          </rPr>
          <t>An equivalent measure of one tonne of transported goods over one km.</t>
        </r>
      </text>
    </comment>
    <comment ref="E235" authorId="1" shapeId="0" xr:uid="{9823DD9A-0D6D-4D09-89E9-1F92A7ED68FA}">
      <text>
        <r>
          <rPr>
            <b/>
            <sz val="8"/>
            <rFont val="Tahoma"/>
            <family val="2"/>
          </rPr>
          <t>kg CO₂e per unit</t>
        </r>
      </text>
    </comment>
    <comment ref="F235" authorId="1" shapeId="0" xr:uid="{0E9533E3-E0D0-46BC-9C2B-DFD1E5FDF527}">
      <text>
        <r>
          <rPr>
            <b/>
            <sz val="8"/>
            <rFont val="Tahoma"/>
            <family val="2"/>
          </rPr>
          <t>kg CO₂e of CO₂ per unit</t>
        </r>
      </text>
    </comment>
    <comment ref="G235" authorId="1" shapeId="0" xr:uid="{FCD9C923-2D58-4956-B086-84EF211F1DBF}">
      <text>
        <r>
          <rPr>
            <b/>
            <sz val="8"/>
            <rFont val="Tahoma"/>
            <family val="2"/>
          </rPr>
          <t>kg CO₂e of CH₄ per unit</t>
        </r>
      </text>
    </comment>
    <comment ref="H235" authorId="1" shapeId="0" xr:uid="{30D299C1-0453-4DC2-8E39-934317E1A05C}">
      <text>
        <r>
          <rPr>
            <b/>
            <sz val="8"/>
            <rFont val="Tahoma"/>
            <family val="2"/>
          </rPr>
          <t>kg CO₂e of N₂O per unit</t>
        </r>
      </text>
    </comment>
    <comment ref="D236" authorId="1" shapeId="0" xr:uid="{DB4CDDE4-760C-4BEF-A48A-A43027B3207D}">
      <text>
        <r>
          <rPr>
            <b/>
            <sz val="8"/>
            <rFont val="Tahoma"/>
            <family val="2"/>
          </rPr>
          <t>An equivalent measure of one tonne of transported goods over one km.</t>
        </r>
      </text>
    </comment>
    <comment ref="D237" authorId="1" shapeId="0" xr:uid="{E799F367-221E-4F65-A5E4-E50BD8DF8D2C}">
      <text>
        <r>
          <rPr>
            <b/>
            <sz val="8"/>
            <rFont val="Tahoma"/>
            <family val="2"/>
          </rPr>
          <t>An equivalent measure of one tonne of transported goods over one km.</t>
        </r>
      </text>
    </comment>
    <comment ref="D238" authorId="1" shapeId="0" xr:uid="{2A2315B8-1E73-4D70-800E-42CA9AE88043}">
      <text>
        <r>
          <rPr>
            <b/>
            <sz val="8"/>
            <rFont val="Tahoma"/>
            <family val="2"/>
          </rPr>
          <t>An equivalent measure of one tonne of transported goods over one km.</t>
        </r>
      </text>
    </comment>
    <comment ref="D239" authorId="1" shapeId="0" xr:uid="{26FE7B85-3EB3-4A0E-A349-5802AEBE253E}">
      <text>
        <r>
          <rPr>
            <b/>
            <sz val="8"/>
            <rFont val="Tahoma"/>
            <family val="2"/>
          </rPr>
          <t>An equivalent measure of one tonne of transported goods over one km.</t>
        </r>
      </text>
    </comment>
    <comment ref="D240" authorId="1" shapeId="0" xr:uid="{B3531D77-9498-4491-BC33-0489BE75A3E5}">
      <text>
        <r>
          <rPr>
            <b/>
            <sz val="8"/>
            <rFont val="Tahoma"/>
            <family val="2"/>
          </rPr>
          <t>An equivalent measure of one tonne of transported goods over one km.</t>
        </r>
      </text>
    </comment>
    <comment ref="D241" authorId="1" shapeId="0" xr:uid="{CE69D792-CFDB-46F3-9D5C-E73E0CE644EC}">
      <text>
        <r>
          <rPr>
            <b/>
            <sz val="8"/>
            <rFont val="Tahoma"/>
            <family val="2"/>
          </rPr>
          <t>An equivalent measure of one tonne of transported goods over one km.</t>
        </r>
      </text>
    </comment>
    <comment ref="D242" authorId="1" shapeId="0" xr:uid="{12C6C161-3A98-4F89-B48C-0403509D6871}">
      <text>
        <r>
          <rPr>
            <b/>
            <sz val="8"/>
            <rFont val="Tahoma"/>
            <family val="2"/>
          </rPr>
          <t>An equivalent measure of one tonne of transported goods over one km.</t>
        </r>
      </text>
    </comment>
    <comment ref="D243" authorId="1" shapeId="0" xr:uid="{5776D7CC-A922-4631-A9EA-1C1CA37EC176}">
      <text>
        <r>
          <rPr>
            <b/>
            <sz val="8"/>
            <rFont val="Tahoma"/>
            <family val="2"/>
          </rPr>
          <t>An equivalent measure of one tonne of transported goods over one km.</t>
        </r>
      </text>
    </comment>
    <comment ref="D244" authorId="1" shapeId="0" xr:uid="{32C35302-7BB6-4061-BB3A-8068C75D8644}">
      <text>
        <r>
          <rPr>
            <b/>
            <sz val="8"/>
            <rFont val="Tahoma"/>
            <family val="2"/>
          </rPr>
          <t>An equivalent measure of one tonne of transported goods over one km.</t>
        </r>
      </text>
    </comment>
    <comment ref="D245" authorId="1" shapeId="0" xr:uid="{95108919-1FD6-46F1-BFFF-AB3E1BED448C}">
      <text>
        <r>
          <rPr>
            <b/>
            <sz val="8"/>
            <rFont val="Tahoma"/>
            <family val="2"/>
          </rPr>
          <t>An equivalent measure of one tonne of transported goods over one km.</t>
        </r>
      </text>
    </comment>
    <comment ref="D246" authorId="1" shapeId="0" xr:uid="{8C8AED08-DDC3-4C4F-88CD-0FE0A439762E}">
      <text>
        <r>
          <rPr>
            <b/>
            <sz val="8"/>
            <rFont val="Tahoma"/>
            <family val="2"/>
          </rPr>
          <t>An equivalent measure of one tonne of transported goods over one km.</t>
        </r>
      </text>
    </comment>
    <comment ref="D247" authorId="1" shapeId="0" xr:uid="{67167E82-3D1C-457A-9F59-B2033C16ACFF}">
      <text>
        <r>
          <rPr>
            <b/>
            <sz val="8"/>
            <rFont val="Tahoma"/>
            <family val="2"/>
          </rPr>
          <t>An equivalent measure of one tonne of transported goods over one km.</t>
        </r>
      </text>
    </comment>
    <comment ref="D248" authorId="1" shapeId="0" xr:uid="{430C820D-EEFD-4D0F-95F2-DC44082C375C}">
      <text>
        <r>
          <rPr>
            <b/>
            <sz val="8"/>
            <rFont val="Tahoma"/>
            <family val="2"/>
          </rPr>
          <t>An equivalent measure of one tonne of transported goods over one km.</t>
        </r>
      </text>
    </comment>
    <comment ref="D249" authorId="1" shapeId="0" xr:uid="{A08FE773-A140-42D5-A1FA-1F6D21955F1E}">
      <text>
        <r>
          <rPr>
            <b/>
            <sz val="8"/>
            <rFont val="Tahoma"/>
            <family val="2"/>
          </rPr>
          <t>An equivalent measure of one tonne of transported goods over one km.</t>
        </r>
      </text>
    </comment>
    <comment ref="D250" authorId="1" shapeId="0" xr:uid="{AFD31AAD-B433-4211-982A-561528437EA6}">
      <text>
        <r>
          <rPr>
            <b/>
            <sz val="8"/>
            <rFont val="Tahoma"/>
            <family val="2"/>
          </rPr>
          <t>An equivalent measure of one tonne of transported goods over one km.</t>
        </r>
      </text>
    </comment>
    <comment ref="D251" authorId="1" shapeId="0" xr:uid="{078E4627-E78C-4ADB-9EC9-27CE97C0FD92}">
      <text>
        <r>
          <rPr>
            <b/>
            <sz val="8"/>
            <rFont val="Tahoma"/>
            <family val="2"/>
          </rPr>
          <t>An equivalent measure of one tonne of transported goods over one km.</t>
        </r>
      </text>
    </comment>
    <comment ref="D252" authorId="1" shapeId="0" xr:uid="{D4F826C3-2FDE-49D0-99B9-986984B914F5}">
      <text>
        <r>
          <rPr>
            <b/>
            <sz val="8"/>
            <rFont val="Tahoma"/>
            <family val="2"/>
          </rPr>
          <t>An equivalent measure of one tonne of transported goods over one km.</t>
        </r>
      </text>
    </comment>
    <comment ref="D253" authorId="1" shapeId="0" xr:uid="{50C1CCF6-0879-48F0-BFB7-2E46D55D87BE}">
      <text>
        <r>
          <rPr>
            <b/>
            <sz val="8"/>
            <rFont val="Tahoma"/>
            <family val="2"/>
          </rPr>
          <t>An equivalent measure of one tonne of transported goods over one km.</t>
        </r>
      </text>
    </comment>
    <comment ref="D254" authorId="1" shapeId="0" xr:uid="{59AE68A6-1607-4955-85B4-E5A07989EAC7}">
      <text>
        <r>
          <rPr>
            <b/>
            <sz val="8"/>
            <rFont val="Tahoma"/>
            <family val="2"/>
          </rPr>
          <t>An equivalent measure of one tonne of transported goods over one km.</t>
        </r>
      </text>
    </comment>
    <comment ref="D255" authorId="1" shapeId="0" xr:uid="{68EE58F0-AF1E-42F7-BFD7-A01986710CEC}">
      <text>
        <r>
          <rPr>
            <b/>
            <sz val="8"/>
            <rFont val="Tahoma"/>
            <family val="2"/>
          </rPr>
          <t>An equivalent measure of one tonne of transported goods over one km.</t>
        </r>
      </text>
    </comment>
    <comment ref="D256" authorId="1" shapeId="0" xr:uid="{3F85612D-ECAA-4637-92FE-A6A91E882634}">
      <text>
        <r>
          <rPr>
            <b/>
            <sz val="8"/>
            <rFont val="Tahoma"/>
            <family val="2"/>
          </rPr>
          <t>An equivalent measure of one tonne of transported goods over one km.</t>
        </r>
      </text>
    </comment>
    <comment ref="D257" authorId="1" shapeId="0" xr:uid="{554F22A9-EA0C-435D-8A95-EAB2C4939187}">
      <text>
        <r>
          <rPr>
            <b/>
            <sz val="8"/>
            <rFont val="Tahoma"/>
            <family val="2"/>
          </rPr>
          <t>An equivalent measure of one tonne of transported goods over one km.</t>
        </r>
      </text>
    </comment>
    <comment ref="D258" authorId="1" shapeId="0" xr:uid="{C53FE475-C581-4AC4-AAED-627A7FDBEEAC}">
      <text>
        <r>
          <rPr>
            <b/>
            <sz val="8"/>
            <rFont val="Tahoma"/>
            <family val="2"/>
          </rPr>
          <t>An equivalent measure of one tonne of transported goods over one km.</t>
        </r>
      </text>
    </comment>
    <comment ref="D259" authorId="1" shapeId="0" xr:uid="{E688EC61-63D3-4451-B104-E793C4366DFC}">
      <text>
        <r>
          <rPr>
            <b/>
            <sz val="8"/>
            <rFont val="Tahoma"/>
            <family val="2"/>
          </rPr>
          <t>An equivalent measure of one tonne of transported goods over one km.</t>
        </r>
      </text>
    </comment>
    <comment ref="D260" authorId="1" shapeId="0" xr:uid="{86CFB1D8-C5E5-4A99-A5EB-9E88AD1B2F70}">
      <text>
        <r>
          <rPr>
            <b/>
            <sz val="8"/>
            <rFont val="Tahoma"/>
            <family val="2"/>
          </rPr>
          <t>An equivalent measure of one tonne of transported goods over one km.</t>
        </r>
      </text>
    </comment>
    <comment ref="D261" authorId="1" shapeId="0" xr:uid="{70CF783E-9624-4C0F-9DA2-5C7F9F5C8EEE}">
      <text>
        <r>
          <rPr>
            <b/>
            <sz val="8"/>
            <rFont val="Tahoma"/>
            <family val="2"/>
          </rPr>
          <t>An equivalent measure of one tonne of transported goods over one km.</t>
        </r>
      </text>
    </comment>
    <comment ref="D262" authorId="1" shapeId="0" xr:uid="{75E99A69-9FAA-4DAD-831A-CB30DBA56CA0}">
      <text>
        <r>
          <rPr>
            <b/>
            <sz val="8"/>
            <rFont val="Tahoma"/>
            <family val="2"/>
          </rPr>
          <t>An equivalent measure of one tonne of transported goods over one km.</t>
        </r>
      </text>
    </comment>
    <comment ref="D264" authorId="1" shapeId="0" xr:uid="{CF91DDB2-736F-4B85-B4A1-69027738FE61}">
      <text>
        <r>
          <rPr>
            <b/>
            <sz val="8"/>
            <rFont val="Tahoma"/>
            <family val="2"/>
          </rPr>
          <t>An equivalent measure of one tonne of transported goods over one km.</t>
        </r>
      </text>
    </comment>
    <comment ref="D448" authorId="1" shapeId="0" xr:uid="{00000000-0006-0000-0E00-000006000000}">
      <text>
        <r>
          <rPr>
            <b/>
            <sz val="8"/>
            <rFont val="Tahoma"/>
            <family val="2"/>
          </rPr>
          <t>Including the influence of non-CO₂ climate change effects of aviation (water vapour, contrails, NOx etc.)</t>
        </r>
      </text>
    </comment>
    <comment ref="H448" authorId="1" shapeId="0" xr:uid="{00000000-0006-0000-0E00-000007000000}">
      <text>
        <r>
          <rPr>
            <b/>
            <sz val="8"/>
            <rFont val="Tahoma"/>
            <family val="2"/>
          </rPr>
          <t>Excluding the influence of non-CO₂ climate change effects of aviation (water vapour, contrails, NOx etc.)</t>
        </r>
      </text>
    </comment>
    <comment ref="D449" authorId="1" shapeId="0" xr:uid="{00000000-0006-0000-0E00-000008000000}">
      <text>
        <r>
          <rPr>
            <b/>
            <sz val="8"/>
            <rFont val="Tahoma"/>
            <family val="2"/>
          </rPr>
          <t>kg CO₂e per unit</t>
        </r>
      </text>
    </comment>
    <comment ref="E449" authorId="1" shapeId="0" xr:uid="{00000000-0006-0000-0E00-000009000000}">
      <text>
        <r>
          <rPr>
            <b/>
            <sz val="8"/>
            <rFont val="Tahoma"/>
            <family val="2"/>
          </rPr>
          <t>kg CO₂e of CO₂ per unit</t>
        </r>
      </text>
    </comment>
    <comment ref="F449" authorId="1" shapeId="0" xr:uid="{00000000-0006-0000-0E00-00000A000000}">
      <text>
        <r>
          <rPr>
            <b/>
            <sz val="8"/>
            <rFont val="Tahoma"/>
            <family val="2"/>
          </rPr>
          <t>kg CO₂e of CH₄ per unit</t>
        </r>
      </text>
    </comment>
    <comment ref="G449" authorId="1" shapeId="0" xr:uid="{00000000-0006-0000-0E00-00000B000000}">
      <text>
        <r>
          <rPr>
            <b/>
            <sz val="8"/>
            <rFont val="Tahoma"/>
            <family val="2"/>
          </rPr>
          <t>kg CO₂e of N₂O per unit</t>
        </r>
      </text>
    </comment>
    <comment ref="H449" authorId="1" shapeId="0" xr:uid="{00000000-0006-0000-0E00-00000C000000}">
      <text>
        <r>
          <rPr>
            <b/>
            <sz val="8"/>
            <rFont val="Tahoma"/>
            <family val="2"/>
          </rPr>
          <t>kg CO₂e per unit</t>
        </r>
      </text>
    </comment>
    <comment ref="I449" authorId="1" shapeId="0" xr:uid="{00000000-0006-0000-0E00-00000D000000}">
      <text>
        <r>
          <rPr>
            <b/>
            <sz val="8"/>
            <rFont val="Tahoma"/>
            <family val="2"/>
          </rPr>
          <t>kg CO₂e of CO₂ per unit</t>
        </r>
      </text>
    </comment>
    <comment ref="J449" authorId="1" shapeId="0" xr:uid="{00000000-0006-0000-0E00-00000E000000}">
      <text>
        <r>
          <rPr>
            <b/>
            <sz val="8"/>
            <rFont val="Tahoma"/>
            <family val="2"/>
          </rPr>
          <t>kg CO₂e of CH₄ per unit</t>
        </r>
      </text>
    </comment>
    <comment ref="K449" authorId="1" shapeId="0" xr:uid="{00000000-0006-0000-0E00-00000F000000}">
      <text>
        <r>
          <rPr>
            <b/>
            <sz val="8"/>
            <rFont val="Tahoma"/>
            <family val="2"/>
          </rPr>
          <t>kg CO₂e of N₂O per unit</t>
        </r>
      </text>
    </comment>
    <comment ref="B450" authorId="1" shapeId="0" xr:uid="{00000000-0006-0000-0E00-000010000000}">
      <text>
        <r>
          <rPr>
            <b/>
            <sz val="8"/>
            <rFont val="Tahoma"/>
            <family val="2"/>
          </rPr>
          <t>Domestic flights are between UK airports.</t>
        </r>
      </text>
    </comment>
    <comment ref="C450" authorId="1" shapeId="0" xr:uid="{00000000-0006-0000-0E00-000011000000}">
      <text>
        <r>
          <rPr>
            <b/>
            <sz val="8"/>
            <rFont val="Tahoma"/>
            <family val="2"/>
          </rPr>
          <t>An equivalent measure of one tonne of transported goods over one km</t>
        </r>
      </text>
    </comment>
    <comment ref="B451" authorId="1" shapeId="0" xr:uid="{00000000-0006-0000-0E00-000012000000}">
      <text>
        <r>
          <rPr>
            <b/>
            <sz val="8"/>
            <rFont val="Tahoma"/>
            <family val="2"/>
          </rPr>
          <t>International flights to/from the UK, typically to Europe (up to 3700km distance).</t>
        </r>
      </text>
    </comment>
    <comment ref="C451" authorId="1" shapeId="0" xr:uid="{00000000-0006-0000-0E00-000013000000}">
      <text>
        <r>
          <rPr>
            <b/>
            <sz val="8"/>
            <rFont val="Tahoma"/>
            <family val="2"/>
          </rPr>
          <t>An equivalent measure of one tonne of transported goods over one km</t>
        </r>
      </text>
    </comment>
    <comment ref="B452" authorId="1" shapeId="0" xr:uid="{00000000-0006-0000-0E00-000014000000}">
      <text>
        <r>
          <rPr>
            <b/>
            <sz val="8"/>
            <rFont val="Tahoma"/>
            <family val="2"/>
          </rPr>
          <t>Long-haul international flights to/from the UK, typically to non-European destinations (over 3700km distance).</t>
        </r>
      </text>
    </comment>
    <comment ref="C452" authorId="1" shapeId="0" xr:uid="{00000000-0006-0000-0E00-000015000000}">
      <text>
        <r>
          <rPr>
            <b/>
            <sz val="8"/>
            <rFont val="Tahoma"/>
            <family val="2"/>
          </rPr>
          <t>An equivalent measure of one tonne of transported goods over one km.</t>
        </r>
      </text>
    </comment>
    <comment ref="E455" authorId="1" shapeId="0" xr:uid="{00000000-0006-0000-0E00-000016000000}">
      <text>
        <r>
          <rPr>
            <b/>
            <sz val="8"/>
            <rFont val="Tahoma"/>
            <family val="2"/>
          </rPr>
          <t>kg CO₂e per unit</t>
        </r>
      </text>
    </comment>
    <comment ref="F455" authorId="1" shapeId="0" xr:uid="{00000000-0006-0000-0E00-000017000000}">
      <text>
        <r>
          <rPr>
            <b/>
            <sz val="8"/>
            <rFont val="Tahoma"/>
            <family val="2"/>
          </rPr>
          <t>kg CO₂e of CO₂ per unit</t>
        </r>
      </text>
    </comment>
    <comment ref="G455" authorId="1" shapeId="0" xr:uid="{00000000-0006-0000-0E00-000018000000}">
      <text>
        <r>
          <rPr>
            <b/>
            <sz val="8"/>
            <rFont val="Tahoma"/>
            <family val="2"/>
          </rPr>
          <t>kg CO₂e of CH₄ per unit</t>
        </r>
      </text>
    </comment>
    <comment ref="H455" authorId="1" shapeId="0" xr:uid="{00000000-0006-0000-0E00-000019000000}">
      <text>
        <r>
          <rPr>
            <b/>
            <sz val="8"/>
            <rFont val="Tahoma"/>
            <family val="2"/>
          </rPr>
          <t>kg CO₂e of N₂O per unit</t>
        </r>
      </text>
    </comment>
    <comment ref="D456" authorId="1" shapeId="0" xr:uid="{00000000-0006-0000-0E00-00001A000000}">
      <text>
        <r>
          <rPr>
            <b/>
            <sz val="8"/>
            <rFont val="Tahoma"/>
            <family val="2"/>
          </rPr>
          <t>An equivalent measure of one tonne of transported goods over one km.</t>
        </r>
      </text>
    </comment>
    <comment ref="D457" authorId="1" shapeId="0" xr:uid="{00000000-0006-0000-0E00-00001B000000}">
      <text>
        <r>
          <rPr>
            <b/>
            <sz val="8"/>
            <rFont val="Tahoma"/>
            <family val="2"/>
          </rPr>
          <t>An equivalent measure of one tonne of transported goods over one km.</t>
        </r>
      </text>
    </comment>
    <comment ref="D458" authorId="1" shapeId="0" xr:uid="{00000000-0006-0000-0E00-00001C000000}">
      <text>
        <r>
          <rPr>
            <b/>
            <sz val="8"/>
            <rFont val="Tahoma"/>
            <family val="2"/>
          </rPr>
          <t>An equivalent measure of one tonne of transported goods over one km.</t>
        </r>
      </text>
    </comment>
    <comment ref="D459" authorId="1" shapeId="0" xr:uid="{00000000-0006-0000-0E00-00001D000000}">
      <text>
        <r>
          <rPr>
            <b/>
            <sz val="8"/>
            <rFont val="Tahoma"/>
            <family val="2"/>
          </rPr>
          <t>An equivalent measure of one tonne of transported goods over one km.</t>
        </r>
      </text>
    </comment>
    <comment ref="D460" authorId="1" shapeId="0" xr:uid="{00000000-0006-0000-0E00-00001E000000}">
      <text>
        <r>
          <rPr>
            <b/>
            <sz val="8"/>
            <rFont val="Tahoma"/>
            <family val="2"/>
          </rPr>
          <t>An equivalent measure of one tonne of transported goods over one km.</t>
        </r>
      </text>
    </comment>
    <comment ref="D461" authorId="1" shapeId="0" xr:uid="{00000000-0006-0000-0E00-00001F000000}">
      <text>
        <r>
          <rPr>
            <b/>
            <sz val="8"/>
            <rFont val="Tahoma"/>
            <family val="2"/>
          </rPr>
          <t>An equivalent measure of one tonne of transported goods over one km.</t>
        </r>
      </text>
    </comment>
    <comment ref="D462" authorId="1" shapeId="0" xr:uid="{00000000-0006-0000-0E00-000020000000}">
      <text>
        <r>
          <rPr>
            <b/>
            <sz val="8"/>
            <rFont val="Tahoma"/>
            <family val="2"/>
          </rPr>
          <t>An equivalent measure of one tonne of transported goods over one km.</t>
        </r>
      </text>
    </comment>
    <comment ref="D463" authorId="1" shapeId="0" xr:uid="{00000000-0006-0000-0E00-000021000000}">
      <text>
        <r>
          <rPr>
            <b/>
            <sz val="8"/>
            <rFont val="Tahoma"/>
            <family val="2"/>
          </rPr>
          <t>An equivalent measure of one tonne of transported goods over one km.</t>
        </r>
      </text>
    </comment>
    <comment ref="D464" authorId="1" shapeId="0" xr:uid="{00000000-0006-0000-0E00-000022000000}">
      <text>
        <r>
          <rPr>
            <b/>
            <sz val="8"/>
            <rFont val="Tahoma"/>
            <family val="2"/>
          </rPr>
          <t>An equivalent measure of one tonne of transported goods over one km.</t>
        </r>
      </text>
    </comment>
    <comment ref="D465" authorId="1" shapeId="0" xr:uid="{00000000-0006-0000-0E00-000023000000}">
      <text>
        <r>
          <rPr>
            <b/>
            <sz val="8"/>
            <rFont val="Tahoma"/>
            <family val="2"/>
          </rPr>
          <t>An equivalent measure of one tonne of transported goods over one km.</t>
        </r>
      </text>
    </comment>
    <comment ref="D466" authorId="1" shapeId="0" xr:uid="{00000000-0006-0000-0E00-000024000000}">
      <text>
        <r>
          <rPr>
            <b/>
            <sz val="8"/>
            <rFont val="Tahoma"/>
            <family val="2"/>
          </rPr>
          <t>An equivalent measure of one tonne of transported goods over one km.</t>
        </r>
      </text>
    </comment>
    <comment ref="D467" authorId="1" shapeId="0" xr:uid="{00000000-0006-0000-0E00-000025000000}">
      <text>
        <r>
          <rPr>
            <b/>
            <sz val="8"/>
            <rFont val="Tahoma"/>
            <family val="2"/>
          </rPr>
          <t>An equivalent measure of one tonne of transported goods over one km.</t>
        </r>
      </text>
    </comment>
    <comment ref="D468" authorId="1" shapeId="0" xr:uid="{00000000-0006-0000-0E00-000026000000}">
      <text>
        <r>
          <rPr>
            <b/>
            <sz val="8"/>
            <rFont val="Tahoma"/>
            <family val="2"/>
          </rPr>
          <t>An equivalent measure of one tonne of transported goods over one km.</t>
        </r>
      </text>
    </comment>
    <comment ref="D469" authorId="1" shapeId="0" xr:uid="{00000000-0006-0000-0E00-000027000000}">
      <text>
        <r>
          <rPr>
            <b/>
            <sz val="8"/>
            <rFont val="Tahoma"/>
            <family val="2"/>
          </rPr>
          <t>An equivalent measure of one tonne of transported goods over one km.</t>
        </r>
      </text>
    </comment>
    <comment ref="D470" authorId="1" shapeId="0" xr:uid="{00000000-0006-0000-0E00-000028000000}">
      <text>
        <r>
          <rPr>
            <b/>
            <sz val="8"/>
            <rFont val="Tahoma"/>
            <family val="2"/>
          </rPr>
          <t>An equivalent measure of one tonne of transported goods over one km.</t>
        </r>
      </text>
    </comment>
    <comment ref="D471" authorId="1" shapeId="0" xr:uid="{00000000-0006-0000-0E00-000029000000}">
      <text>
        <r>
          <rPr>
            <b/>
            <sz val="8"/>
            <rFont val="Tahoma"/>
            <family val="2"/>
          </rPr>
          <t>An equivalent measure of one tonne of transported goods over one km.</t>
        </r>
      </text>
    </comment>
    <comment ref="D472" authorId="1" shapeId="0" xr:uid="{00000000-0006-0000-0E00-00002A000000}">
      <text>
        <r>
          <rPr>
            <b/>
            <sz val="8"/>
            <rFont val="Tahoma"/>
            <family val="2"/>
          </rPr>
          <t>An equivalent measure of one tonne of transported goods over one km.</t>
        </r>
      </text>
    </comment>
    <comment ref="D473" authorId="1" shapeId="0" xr:uid="{00000000-0006-0000-0E00-00002B000000}">
      <text>
        <r>
          <rPr>
            <b/>
            <sz val="8"/>
            <rFont val="Tahoma"/>
            <family val="2"/>
          </rPr>
          <t>An equivalent measure of one tonne of transported goods over one km.</t>
        </r>
      </text>
    </comment>
    <comment ref="D474" authorId="1" shapeId="0" xr:uid="{00000000-0006-0000-0E00-00002C000000}">
      <text>
        <r>
          <rPr>
            <b/>
            <sz val="8"/>
            <rFont val="Tahoma"/>
            <family val="2"/>
          </rPr>
          <t>An equivalent measure of one tonne of transported goods over one km.</t>
        </r>
      </text>
    </comment>
    <comment ref="D475" authorId="1" shapeId="0" xr:uid="{00000000-0006-0000-0E00-00002D000000}">
      <text>
        <r>
          <rPr>
            <b/>
            <sz val="8"/>
            <rFont val="Tahoma"/>
            <family val="2"/>
          </rPr>
          <t>An equivalent measure of one tonne of transported goods over one km.</t>
        </r>
      </text>
    </comment>
    <comment ref="D476" authorId="1" shapeId="0" xr:uid="{00000000-0006-0000-0E00-00002E000000}">
      <text>
        <r>
          <rPr>
            <b/>
            <sz val="8"/>
            <rFont val="Tahoma"/>
            <family val="2"/>
          </rPr>
          <t>An equivalent measure of one tonne of transported goods over one km.</t>
        </r>
      </text>
    </comment>
    <comment ref="D477" authorId="1" shapeId="0" xr:uid="{00000000-0006-0000-0E00-00002F000000}">
      <text>
        <r>
          <rPr>
            <b/>
            <sz val="8"/>
            <rFont val="Tahoma"/>
            <family val="2"/>
          </rPr>
          <t>An equivalent measure of one tonne of transported goods over one km.</t>
        </r>
      </text>
    </comment>
    <comment ref="D478" authorId="1" shapeId="0" xr:uid="{00000000-0006-0000-0E00-000030000000}">
      <text>
        <r>
          <rPr>
            <b/>
            <sz val="8"/>
            <rFont val="Tahoma"/>
            <family val="2"/>
          </rPr>
          <t>An equivalent measure of one tonne of transported goods over one km.</t>
        </r>
      </text>
    </comment>
    <comment ref="D479" authorId="1" shapeId="0" xr:uid="{00000000-0006-0000-0E00-000031000000}">
      <text>
        <r>
          <rPr>
            <b/>
            <sz val="8"/>
            <rFont val="Tahoma"/>
            <family val="2"/>
          </rPr>
          <t>An equivalent measure of one tonne of transported goods over one km.</t>
        </r>
      </text>
    </comment>
    <comment ref="D480" authorId="1" shapeId="0" xr:uid="{00000000-0006-0000-0E00-000032000000}">
      <text>
        <r>
          <rPr>
            <b/>
            <sz val="8"/>
            <rFont val="Tahoma"/>
            <family val="2"/>
          </rPr>
          <t>An equivalent measure of one tonne of transported goods over one km.</t>
        </r>
      </text>
    </comment>
    <comment ref="D481" authorId="1" shapeId="0" xr:uid="{00000000-0006-0000-0E00-000033000000}">
      <text>
        <r>
          <rPr>
            <b/>
            <sz val="8"/>
            <rFont val="Tahoma"/>
            <family val="2"/>
          </rPr>
          <t>An equivalent measure of one tonne of transported goods over one km.</t>
        </r>
      </text>
    </comment>
    <comment ref="D482" authorId="1" shapeId="0" xr:uid="{00000000-0006-0000-0E00-000034000000}">
      <text>
        <r>
          <rPr>
            <b/>
            <sz val="8"/>
            <rFont val="Tahoma"/>
            <family val="2"/>
          </rPr>
          <t>An equivalent measure of one tonne of transported goods over one km.</t>
        </r>
      </text>
    </comment>
    <comment ref="D483" authorId="1" shapeId="0" xr:uid="{00000000-0006-0000-0E00-000035000000}">
      <text>
        <r>
          <rPr>
            <b/>
            <sz val="8"/>
            <rFont val="Tahoma"/>
            <family val="2"/>
          </rPr>
          <t>An equivalent measure of one tonne of transported goods over one km.</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C80" authorId="0" shapeId="0" xr:uid="{00000000-0006-0000-0F00-000003000000}">
      <text>
        <r>
          <rPr>
            <b/>
            <sz val="8"/>
            <rFont val="Tahoma"/>
            <family val="2"/>
          </rPr>
          <t>An equivalent measure of one tonne of transported goods over one km.</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Chris Bean</author>
  </authors>
  <commentList>
    <comment ref="E71" authorId="0" shapeId="0" xr:uid="{453EB128-7EAF-4938-B10C-58560967394A}">
      <text>
        <r>
          <rPr>
            <b/>
            <sz val="9"/>
            <color indexed="81"/>
            <rFont val="Tahoma"/>
            <family val="2"/>
          </rPr>
          <t>Chris Bean:</t>
        </r>
        <r>
          <rPr>
            <sz val="9"/>
            <color indexed="81"/>
            <rFont val="Tahoma"/>
            <family val="2"/>
          </rPr>
          <t xml:space="preserve">
derived from original values, affects emissions factor by ~3%</t>
        </r>
      </text>
    </comment>
  </commentList>
</comments>
</file>

<file path=xl/sharedStrings.xml><?xml version="1.0" encoding="utf-8"?>
<sst xmlns="http://schemas.openxmlformats.org/spreadsheetml/2006/main" count="23078" uniqueCount="2480">
  <si>
    <t>MfE Measuring Emissions Guidance 2022 - Interactive Workbook</t>
  </si>
  <si>
    <t>Introduction to emission factors and how to use the worksheets</t>
  </si>
  <si>
    <t>How to use the worksheets</t>
  </si>
  <si>
    <t>Complete the worksheets by inputting information that is relevant to your organisation. The colomns labelled "Your Input" is where you are required to put your data, in the units specified in column "unit" in order for the calculations to work properly.</t>
  </si>
  <si>
    <t>Key</t>
  </si>
  <si>
    <t>Cells requiring data to be input in the units specified</t>
  </si>
  <si>
    <t>Cells containing a formula</t>
  </si>
  <si>
    <r>
      <t xml:space="preserve">Reporting requirements of </t>
    </r>
    <r>
      <rPr>
        <b/>
        <i/>
        <sz val="11"/>
        <color theme="0"/>
        <rFont val="Calibri"/>
        <family val="2"/>
        <scheme val="minor"/>
      </rPr>
      <t>ISO 14064-1</t>
    </r>
    <r>
      <rPr>
        <b/>
        <sz val="11"/>
        <color theme="0"/>
        <rFont val="Calibri"/>
        <family val="2"/>
        <scheme val="minor"/>
      </rPr>
      <t xml:space="preserve"> and </t>
    </r>
    <r>
      <rPr>
        <b/>
        <i/>
        <sz val="11"/>
        <color theme="0"/>
        <rFont val="Calibri"/>
        <family val="2"/>
        <scheme val="minor"/>
      </rPr>
      <t xml:space="preserve">The GHG Protocol </t>
    </r>
  </si>
  <si>
    <r>
      <t xml:space="preserve">In line with the reporting requirements of </t>
    </r>
    <r>
      <rPr>
        <i/>
        <sz val="11"/>
        <color theme="1"/>
        <rFont val="Calibri"/>
        <family val="2"/>
        <scheme val="minor"/>
      </rPr>
      <t>ISO 14064-1</t>
    </r>
    <r>
      <rPr>
        <sz val="11"/>
        <color theme="1"/>
        <rFont val="Calibri"/>
        <family val="2"/>
        <scheme val="minor"/>
      </rPr>
      <t xml:space="preserve"> and t</t>
    </r>
    <r>
      <rPr>
        <i/>
        <sz val="11"/>
        <color theme="1"/>
        <rFont val="Calibri"/>
        <family val="2"/>
        <scheme val="minor"/>
      </rPr>
      <t>he GHG Protocol</t>
    </r>
    <r>
      <rPr>
        <sz val="11"/>
        <color theme="1"/>
        <rFont val="Calibri"/>
        <family val="2"/>
        <scheme val="minor"/>
      </rPr>
      <t xml:space="preserve"> emission factors are provided to allow separate calculation of carbon dioxide (CO</t>
    </r>
    <r>
      <rPr>
        <vertAlign val="subscript"/>
        <sz val="11"/>
        <color theme="1"/>
        <rFont val="Calibri"/>
        <family val="2"/>
        <scheme val="minor"/>
      </rPr>
      <t>2</t>
    </r>
    <r>
      <rPr>
        <sz val="11"/>
        <color theme="1"/>
        <rFont val="Calibri"/>
        <family val="2"/>
        <scheme val="minor"/>
      </rPr>
      <t>), methane (CH</t>
    </r>
    <r>
      <rPr>
        <vertAlign val="subscript"/>
        <sz val="11"/>
        <color theme="1"/>
        <rFont val="Calibri"/>
        <family val="2"/>
        <scheme val="minor"/>
      </rPr>
      <t>4</t>
    </r>
    <r>
      <rPr>
        <sz val="11"/>
        <color theme="1"/>
        <rFont val="Calibri"/>
        <family val="2"/>
        <scheme val="minor"/>
      </rPr>
      <t>) and nitrous oxide (N</t>
    </r>
    <r>
      <rPr>
        <vertAlign val="subscript"/>
        <sz val="11"/>
        <color theme="1"/>
        <rFont val="Calibri"/>
        <family val="2"/>
        <scheme val="minor"/>
      </rPr>
      <t>2</t>
    </r>
    <r>
      <rPr>
        <sz val="11"/>
        <color theme="1"/>
        <rFont val="Calibri"/>
        <family val="2"/>
        <scheme val="minor"/>
      </rPr>
      <t>O), as well as the total CO</t>
    </r>
    <r>
      <rPr>
        <vertAlign val="subscript"/>
        <sz val="11"/>
        <color theme="1"/>
        <rFont val="Calibri"/>
        <family val="2"/>
        <scheme val="minor"/>
      </rPr>
      <t>2</t>
    </r>
    <r>
      <rPr>
        <sz val="11"/>
        <color theme="1"/>
        <rFont val="Calibri"/>
        <family val="2"/>
        <scheme val="minor"/>
      </rPr>
      <t xml:space="preserve"> equivalent.</t>
    </r>
  </si>
  <si>
    <t>Global Warming Potentials</t>
  </si>
  <si>
    <t xml:space="preserve">All emission factors in the guide are expressed in units of carbon dioxide equivalent (CO2-e); this is in line with The GHG Protocol. 
The Global Warming Potentials (GWPs) used are those from the IPCC, 2006, Fourth Assessment Report (AR4) and Fifth Assessment Report (AR5). The use of these values are in line with the United Nations Framework Convention on Climate Change (UNFCCC), to which the New Zealand National Inventory Report is submitted. </t>
  </si>
  <si>
    <t>Greenhouse Gas</t>
  </si>
  <si>
    <r>
      <t>CO</t>
    </r>
    <r>
      <rPr>
        <vertAlign val="subscript"/>
        <sz val="11"/>
        <color theme="1"/>
        <rFont val="Calibri"/>
        <family val="2"/>
        <scheme val="minor"/>
      </rPr>
      <t>2</t>
    </r>
  </si>
  <si>
    <r>
      <t>CH</t>
    </r>
    <r>
      <rPr>
        <vertAlign val="subscript"/>
        <sz val="11"/>
        <color theme="1"/>
        <rFont val="Calibri"/>
        <family val="2"/>
        <scheme val="minor"/>
      </rPr>
      <t>4</t>
    </r>
  </si>
  <si>
    <r>
      <t>N</t>
    </r>
    <r>
      <rPr>
        <vertAlign val="subscript"/>
        <sz val="11"/>
        <color theme="1"/>
        <rFont val="Calibri"/>
        <family val="2"/>
        <scheme val="minor"/>
      </rPr>
      <t>2</t>
    </r>
    <r>
      <rPr>
        <sz val="11"/>
        <color theme="1"/>
        <rFont val="Calibri"/>
        <family val="2"/>
        <scheme val="minor"/>
      </rPr>
      <t>O</t>
    </r>
  </si>
  <si>
    <t>Global Warming Potentials (AR4)</t>
  </si>
  <si>
    <t>Global Warming Potentials (AR5)</t>
  </si>
  <si>
    <r>
      <rPr>
        <sz val="11"/>
        <rFont val="Calibri"/>
        <family val="2"/>
        <scheme val="minor"/>
      </rPr>
      <t>This Workbook is part of a su</t>
    </r>
    <r>
      <rPr>
        <sz val="11"/>
        <color theme="1"/>
        <rFont val="Calibri"/>
        <family val="2"/>
        <scheme val="minor"/>
      </rPr>
      <t xml:space="preserve">ite of documents that comprise the Measuring Emissions Guidance – 2022, as outlined in figure 1 below.
</t>
    </r>
    <r>
      <rPr>
        <b/>
        <sz val="11"/>
        <color theme="1"/>
        <rFont val="Calibri"/>
        <family val="2"/>
        <scheme val="minor"/>
      </rPr>
      <t xml:space="preserve">Figure 1: Documents in </t>
    </r>
    <r>
      <rPr>
        <b/>
        <i/>
        <sz val="11"/>
        <color theme="1"/>
        <rFont val="Calibri"/>
        <family val="2"/>
        <scheme val="minor"/>
      </rPr>
      <t>Measuring Emissions: A Guide for Organisations</t>
    </r>
  </si>
  <si>
    <t>Key changes from previous publication</t>
  </si>
  <si>
    <t>Updated Emissions Factors published in this version for the following:</t>
  </si>
  <si>
    <t>Fuel, updated to align with 2022 greenhouse gas inventory</t>
  </si>
  <si>
    <t>Purchased Energy, heat and steam, addition of 2019 and 2020 emission factors</t>
  </si>
  <si>
    <t>Electricity and Transmission &amp; Distribution Losses time series, addition of 2019 and 2020 emission factors</t>
  </si>
  <si>
    <t>Indirect business emissions, updated methodology to align with international examples</t>
  </si>
  <si>
    <t>Travel, updated domestic air travel emission factors for 2019 and 2020 data, Public transport passenger travel updates for bus and rail</t>
  </si>
  <si>
    <t>Freight, update to heavy truck and international shipping emission factors</t>
  </si>
  <si>
    <t>Waste and wastewater, updated to align with 2022 greenhouse gas inventory</t>
  </si>
  <si>
    <t>Agriculture, forestry and other land use, updated to align with 2022 greenhouse gas inventory</t>
  </si>
  <si>
    <t>Other significant changes</t>
  </si>
  <si>
    <t>Materials, construction emission factors removed</t>
  </si>
  <si>
    <t>Summary of total emissions</t>
  </si>
  <si>
    <t>The following tables detail your total emissions. Total emissions are all of the emissions from anthropogenic sources. Biogenic CO2 emissions are reported separately, but note that biogenic CO2 factors are not currently available for all relevant emission sources.</t>
  </si>
  <si>
    <t>Total calculated emissions based on user input into worksheets</t>
  </si>
  <si>
    <t>Default Scope</t>
  </si>
  <si>
    <t>Emission Source</t>
  </si>
  <si>
    <r>
      <t>kg CO</t>
    </r>
    <r>
      <rPr>
        <b/>
        <vertAlign val="subscript"/>
        <sz val="11"/>
        <color theme="1"/>
        <rFont val="Calibri"/>
        <family val="2"/>
        <scheme val="minor"/>
      </rPr>
      <t>2</t>
    </r>
    <r>
      <rPr>
        <b/>
        <sz val="11"/>
        <color theme="1"/>
        <rFont val="Calibri"/>
        <family val="2"/>
        <scheme val="minor"/>
      </rPr>
      <t>-e</t>
    </r>
  </si>
  <si>
    <r>
      <t>CO</t>
    </r>
    <r>
      <rPr>
        <b/>
        <vertAlign val="subscript"/>
        <sz val="11"/>
        <color theme="1"/>
        <rFont val="Calibri"/>
        <family val="2"/>
        <scheme val="minor"/>
      </rPr>
      <t xml:space="preserve">2 </t>
    </r>
    <r>
      <rPr>
        <b/>
        <sz val="11"/>
        <color theme="1"/>
        <rFont val="Calibri"/>
        <family val="2"/>
        <scheme val="minor"/>
      </rPr>
      <t>(kg CO</t>
    </r>
    <r>
      <rPr>
        <b/>
        <vertAlign val="subscript"/>
        <sz val="11"/>
        <color theme="1"/>
        <rFont val="Calibri"/>
        <family val="2"/>
        <scheme val="minor"/>
      </rPr>
      <t>2</t>
    </r>
    <r>
      <rPr>
        <b/>
        <sz val="11"/>
        <color theme="1"/>
        <rFont val="Calibri"/>
        <family val="2"/>
        <scheme val="minor"/>
      </rPr>
      <t>)</t>
    </r>
  </si>
  <si>
    <r>
      <t>CH</t>
    </r>
    <r>
      <rPr>
        <b/>
        <vertAlign val="subscript"/>
        <sz val="11"/>
        <color theme="1"/>
        <rFont val="Calibri"/>
        <family val="2"/>
        <scheme val="minor"/>
      </rPr>
      <t>4</t>
    </r>
    <r>
      <rPr>
        <b/>
        <sz val="11"/>
        <color theme="1"/>
        <rFont val="Calibri"/>
        <family val="2"/>
        <scheme val="minor"/>
      </rPr>
      <t xml:space="preserve"> (kg CO</t>
    </r>
    <r>
      <rPr>
        <b/>
        <vertAlign val="subscript"/>
        <sz val="11"/>
        <color theme="1"/>
        <rFont val="Calibri"/>
        <family val="2"/>
        <scheme val="minor"/>
      </rPr>
      <t>2</t>
    </r>
    <r>
      <rPr>
        <b/>
        <sz val="11"/>
        <color theme="1"/>
        <rFont val="Calibri"/>
        <family val="2"/>
        <scheme val="minor"/>
      </rPr>
      <t>-e)</t>
    </r>
  </si>
  <si>
    <r>
      <t>N</t>
    </r>
    <r>
      <rPr>
        <b/>
        <vertAlign val="subscript"/>
        <sz val="11"/>
        <color theme="1"/>
        <rFont val="Calibri"/>
        <family val="2"/>
        <scheme val="minor"/>
      </rPr>
      <t>2</t>
    </r>
    <r>
      <rPr>
        <b/>
        <sz val="11"/>
        <color theme="1"/>
        <rFont val="Calibri"/>
        <family val="2"/>
        <scheme val="minor"/>
      </rPr>
      <t>O (kg CO</t>
    </r>
    <r>
      <rPr>
        <b/>
        <vertAlign val="subscript"/>
        <sz val="11"/>
        <color theme="1"/>
        <rFont val="Calibri"/>
        <family val="2"/>
        <scheme val="minor"/>
      </rPr>
      <t>2</t>
    </r>
    <r>
      <rPr>
        <b/>
        <sz val="11"/>
        <color theme="1"/>
        <rFont val="Calibri"/>
        <family val="2"/>
        <scheme val="minor"/>
      </rPr>
      <t>-e)</t>
    </r>
  </si>
  <si>
    <t>Scope 1</t>
  </si>
  <si>
    <t>Fuel</t>
  </si>
  <si>
    <t>Scope 3</t>
  </si>
  <si>
    <t>T&amp;D losses</t>
  </si>
  <si>
    <t>Scope 2</t>
  </si>
  <si>
    <t>Purchased energy (annual)</t>
  </si>
  <si>
    <t>Purchased energy (quarterly)</t>
  </si>
  <si>
    <t>Working from home</t>
  </si>
  <si>
    <t>Refrigerant  and other gases</t>
  </si>
  <si>
    <t>n/a</t>
  </si>
  <si>
    <t>Passenger transport</t>
  </si>
  <si>
    <t>Freight Transport</t>
  </si>
  <si>
    <t>Water supply and wastewater treatment</t>
  </si>
  <si>
    <t>Waste</t>
  </si>
  <si>
    <t>Agriculture</t>
  </si>
  <si>
    <t xml:space="preserve">Total GHG Inventory Emissions </t>
  </si>
  <si>
    <t>Total scope 1</t>
  </si>
  <si>
    <t>Total scope 2</t>
  </si>
  <si>
    <t>Total scope 3</t>
  </si>
  <si>
    <r>
      <t>Biogenic CO</t>
    </r>
    <r>
      <rPr>
        <b/>
        <vertAlign val="subscript"/>
        <sz val="11"/>
        <color theme="0"/>
        <rFont val="Calibri"/>
        <family val="2"/>
        <scheme val="minor"/>
      </rPr>
      <t>2</t>
    </r>
  </si>
  <si>
    <r>
      <t>kg CO</t>
    </r>
    <r>
      <rPr>
        <b/>
        <vertAlign val="subscript"/>
        <sz val="11"/>
        <rFont val="Calibri"/>
        <family val="2"/>
        <scheme val="minor"/>
      </rPr>
      <t>2</t>
    </r>
    <r>
      <rPr>
        <b/>
        <sz val="11"/>
        <rFont val="Calibri"/>
        <family val="2"/>
        <scheme val="minor"/>
      </rPr>
      <t>-e</t>
    </r>
  </si>
  <si>
    <r>
      <t>kg CO</t>
    </r>
    <r>
      <rPr>
        <b/>
        <vertAlign val="subscript"/>
        <sz val="11"/>
        <rFont val="Calibri"/>
        <family val="2"/>
        <scheme val="minor"/>
      </rPr>
      <t>2</t>
    </r>
  </si>
  <si>
    <t>Scope 1 (Biofuel, LULUCF)</t>
  </si>
  <si>
    <t>Forestry Removals</t>
  </si>
  <si>
    <t>MfE Measuring Emissions Guidance 2022</t>
  </si>
  <si>
    <t>Review columns - delete prior to issue</t>
  </si>
  <si>
    <t>Fuel Emission Factors</t>
  </si>
  <si>
    <t xml:space="preserve">Additional Information </t>
  </si>
  <si>
    <r>
      <t>All emissions are expressed as kg of carbon dioxide equivalent (kg CO</t>
    </r>
    <r>
      <rPr>
        <vertAlign val="subscript"/>
        <sz val="11"/>
        <color theme="1"/>
        <rFont val="Calibri"/>
        <family val="2"/>
        <scheme val="minor"/>
      </rPr>
      <t>2</t>
    </r>
    <r>
      <rPr>
        <sz val="11"/>
        <color theme="1"/>
        <rFont val="Calibri"/>
        <family val="2"/>
        <scheme val="minor"/>
      </rPr>
      <t>-e) per unit. 
Residential use emission factors are for fuel used primarily at residential properties.
Commercial use is for fuels used at properties or sites where commercial activities take place.
Industrial use emission factors can be applied where combustion takes place at sites where industrial processes or within engines that support industrial activities.
The emission factors for biofuels are the unchanged whether they are combusted in a stationary or transport engine.</t>
    </r>
  </si>
  <si>
    <t xml:space="preserve">Fuel emission factors </t>
  </si>
  <si>
    <t>Emission source</t>
  </si>
  <si>
    <t>Unit</t>
  </si>
  <si>
    <r>
      <t>kg CO</t>
    </r>
    <r>
      <rPr>
        <b/>
        <vertAlign val="subscript"/>
        <sz val="11"/>
        <color theme="1"/>
        <rFont val="Calibri"/>
        <family val="2"/>
        <scheme val="minor"/>
      </rPr>
      <t>2</t>
    </r>
    <r>
      <rPr>
        <b/>
        <sz val="11"/>
        <color theme="1"/>
        <rFont val="Calibri"/>
        <family val="2"/>
        <scheme val="minor"/>
      </rPr>
      <t>e</t>
    </r>
  </si>
  <si>
    <r>
      <t>CO</t>
    </r>
    <r>
      <rPr>
        <b/>
        <vertAlign val="subscript"/>
        <sz val="11"/>
        <color theme="1"/>
        <rFont val="Calibri"/>
        <family val="2"/>
        <scheme val="minor"/>
      </rPr>
      <t>2</t>
    </r>
    <r>
      <rPr>
        <b/>
        <sz val="11"/>
        <color theme="1"/>
        <rFont val="Calibri"/>
        <family val="2"/>
        <scheme val="minor"/>
      </rPr>
      <t xml:space="preserve"> (kg CO2e)</t>
    </r>
  </si>
  <si>
    <r>
      <t>CH</t>
    </r>
    <r>
      <rPr>
        <b/>
        <vertAlign val="subscript"/>
        <sz val="11"/>
        <color theme="1"/>
        <rFont val="Calibri"/>
        <family val="2"/>
        <scheme val="minor"/>
      </rPr>
      <t xml:space="preserve">4 </t>
    </r>
    <r>
      <rPr>
        <b/>
        <sz val="11"/>
        <color theme="1"/>
        <rFont val="Calibri"/>
        <family val="2"/>
        <scheme val="minor"/>
      </rPr>
      <t>(kg CO2e)</t>
    </r>
  </si>
  <si>
    <r>
      <t>N</t>
    </r>
    <r>
      <rPr>
        <b/>
        <vertAlign val="subscript"/>
        <sz val="11"/>
        <color theme="1"/>
        <rFont val="Calibri"/>
        <family val="2"/>
        <scheme val="minor"/>
      </rPr>
      <t>2</t>
    </r>
    <r>
      <rPr>
        <b/>
        <sz val="11"/>
        <color theme="1"/>
        <rFont val="Calibri"/>
        <family val="2"/>
        <scheme val="minor"/>
      </rPr>
      <t>O (kg CO2e)</t>
    </r>
  </si>
  <si>
    <t xml:space="preserve">Uncertainties </t>
  </si>
  <si>
    <t>Assumptions</t>
  </si>
  <si>
    <r>
      <t>kg CO</t>
    </r>
    <r>
      <rPr>
        <b/>
        <vertAlign val="subscript"/>
        <sz val="11"/>
        <color theme="1"/>
        <rFont val="Calibri"/>
        <family val="2"/>
        <scheme val="minor"/>
      </rPr>
      <t>2</t>
    </r>
  </si>
  <si>
    <r>
      <t>kg CH</t>
    </r>
    <r>
      <rPr>
        <b/>
        <vertAlign val="subscript"/>
        <sz val="11"/>
        <color theme="1"/>
        <rFont val="Calibri"/>
        <family val="2"/>
        <scheme val="minor"/>
      </rPr>
      <t>4</t>
    </r>
  </si>
  <si>
    <r>
      <t>kg N</t>
    </r>
    <r>
      <rPr>
        <b/>
        <vertAlign val="subscript"/>
        <sz val="11"/>
        <color theme="1"/>
        <rFont val="Calibri"/>
        <family val="2"/>
        <scheme val="minor"/>
      </rPr>
      <t>2</t>
    </r>
    <r>
      <rPr>
        <b/>
        <sz val="11"/>
        <color theme="1"/>
        <rFont val="Calibri"/>
        <family val="2"/>
        <scheme val="minor"/>
      </rPr>
      <t>O</t>
    </r>
  </si>
  <si>
    <t xml:space="preserve">Stationary combustion fuel emission factors </t>
  </si>
  <si>
    <t>Residential use</t>
  </si>
  <si>
    <t>Coal - Default</t>
  </si>
  <si>
    <t>kg</t>
  </si>
  <si>
    <t>Uncertainties based on data provided by MBIE (voluntary guidance 2018 yr-energy_BL_updated)</t>
  </si>
  <si>
    <t>Coal - Bituminous</t>
  </si>
  <si>
    <t>Coal - Sub-Bituminous</t>
  </si>
  <si>
    <t>Coal - Lignite</t>
  </si>
  <si>
    <t xml:space="preserve">Commercial use </t>
  </si>
  <si>
    <t xml:space="preserve">Coal - Default </t>
  </si>
  <si>
    <t>Diesel</t>
  </si>
  <si>
    <t>litre</t>
  </si>
  <si>
    <t>LPG</t>
  </si>
  <si>
    <t>Heavy Fuel Oil</t>
  </si>
  <si>
    <t>Light Fuel Oil</t>
  </si>
  <si>
    <t>Natural Gas</t>
  </si>
  <si>
    <t>kWh</t>
  </si>
  <si>
    <t>GJ</t>
  </si>
  <si>
    <t>Industrial Use</t>
  </si>
  <si>
    <t xml:space="preserve">Diesel </t>
  </si>
  <si>
    <t xml:space="preserve">Heavy Fuel Oil </t>
  </si>
  <si>
    <t xml:space="preserve">Light Fuel Oil </t>
  </si>
  <si>
    <t>Assumed the same uncertainty as commercial use</t>
  </si>
  <si>
    <t>Biofuel and biomass emission factors</t>
  </si>
  <si>
    <t xml:space="preserve">Biofuel </t>
  </si>
  <si>
    <t>Bioethanol</t>
  </si>
  <si>
    <r>
      <t>IPCC defaults for N</t>
    </r>
    <r>
      <rPr>
        <vertAlign val="subscript"/>
        <sz val="11"/>
        <color theme="1"/>
        <rFont val="Calibri"/>
        <family val="2"/>
        <scheme val="minor"/>
      </rPr>
      <t>2</t>
    </r>
    <r>
      <rPr>
        <sz val="11"/>
        <color theme="1"/>
        <rFont val="Calibri"/>
        <family val="2"/>
        <scheme val="minor"/>
      </rPr>
      <t>O and CH</t>
    </r>
    <r>
      <rPr>
        <vertAlign val="subscript"/>
        <sz val="11"/>
        <color theme="1"/>
        <rFont val="Calibri"/>
        <family val="2"/>
        <scheme val="minor"/>
      </rPr>
      <t>4;</t>
    </r>
    <r>
      <rPr>
        <sz val="11"/>
        <color theme="1"/>
        <rFont val="Calibri"/>
        <family val="2"/>
        <scheme val="minor"/>
      </rPr>
      <t xml:space="preserve"> combustion for biofuel is the same regardless of transport or stationary combustion. </t>
    </r>
  </si>
  <si>
    <t>Biodiesel</t>
  </si>
  <si>
    <t>Wood - Residential</t>
  </si>
  <si>
    <r>
      <t>There was no uncertainty provided for CO</t>
    </r>
    <r>
      <rPr>
        <vertAlign val="subscript"/>
        <sz val="11"/>
        <color theme="1"/>
        <rFont val="Calibri"/>
        <family val="2"/>
        <scheme val="minor"/>
      </rPr>
      <t>2</t>
    </r>
    <r>
      <rPr>
        <sz val="11"/>
        <color theme="1"/>
        <rFont val="Calibri"/>
        <family val="2"/>
        <scheme val="minor"/>
      </rPr>
      <t>, therefore the total uncertainty was applied to the CO</t>
    </r>
    <r>
      <rPr>
        <vertAlign val="subscript"/>
        <sz val="11"/>
        <color theme="1"/>
        <rFont val="Calibri"/>
        <family val="2"/>
        <scheme val="minor"/>
      </rPr>
      <t>2</t>
    </r>
  </si>
  <si>
    <t>Wood - Industrial</t>
  </si>
  <si>
    <r>
      <t>There was no uncertainty provided for CO</t>
    </r>
    <r>
      <rPr>
        <vertAlign val="subscript"/>
        <sz val="11"/>
        <color theme="1"/>
        <rFont val="Calibri"/>
        <family val="2"/>
        <scheme val="minor"/>
      </rPr>
      <t>2</t>
    </r>
  </si>
  <si>
    <t>Transport fuel emission factors</t>
  </si>
  <si>
    <t>Regular Petrol</t>
  </si>
  <si>
    <t>Premium Petrol</t>
  </si>
  <si>
    <t>Aviation fuel (Kerosene)</t>
  </si>
  <si>
    <t>Aviation gas</t>
  </si>
  <si>
    <t>2022 Calculations</t>
  </si>
  <si>
    <t>Source data: MBIE (2022 National Inventory report)</t>
  </si>
  <si>
    <t>Calorific Value (MJ/unit)</t>
  </si>
  <si>
    <t>T CO2/TJ (After Oxidation)</t>
  </si>
  <si>
    <t>T CH4/TJ</t>
  </si>
  <si>
    <t>T N2O/TJ</t>
  </si>
  <si>
    <t>co2 is same no matter what section</t>
  </si>
  <si>
    <t>Not sure that the above equation is correct, should it be (kt gas/PJ) ?</t>
  </si>
  <si>
    <t>Key:</t>
  </si>
  <si>
    <t>Data calculated in 2022 using 2020 data which is different from previous MEG emission factors</t>
  </si>
  <si>
    <t>NA</t>
  </si>
  <si>
    <t>Coal (2020 data) dtf_emission_factor_variable_coal</t>
  </si>
  <si>
    <t>Gas (2020 data) dtf_emission_factor_variable_gas</t>
  </si>
  <si>
    <t>Liquid (2020 data) dtf_emission_factor_variable_liquid</t>
  </si>
  <si>
    <t>Year</t>
  </si>
  <si>
    <t>Emission Factor (CO2 KT/PJ)</t>
  </si>
  <si>
    <t>EF converted (CO2 t/TJ)</t>
  </si>
  <si>
    <t>Category</t>
  </si>
  <si>
    <t>Field</t>
  </si>
  <si>
    <t>EF</t>
  </si>
  <si>
    <t>Unit.EF</t>
  </si>
  <si>
    <t>Gas</t>
  </si>
  <si>
    <t>Bituminous for Export</t>
  </si>
  <si>
    <t>Variable</t>
  </si>
  <si>
    <t>maui</t>
  </si>
  <si>
    <t>CO2 KT per PJ</t>
  </si>
  <si>
    <t>Premium_Petrol</t>
  </si>
  <si>
    <t>CO2</t>
  </si>
  <si>
    <t>Bituminous for Domestic Use</t>
  </si>
  <si>
    <t>kapuni</t>
  </si>
  <si>
    <t>Regular_Petrol</t>
  </si>
  <si>
    <t>Lignite</t>
  </si>
  <si>
    <t>mckee</t>
  </si>
  <si>
    <t>All_Diesel</t>
  </si>
  <si>
    <t>Sub-Bituminous produced domestically</t>
  </si>
  <si>
    <t>kaimiro</t>
  </si>
  <si>
    <t>Auto_Diesel</t>
  </si>
  <si>
    <t>Sub-Bituminous imported</t>
  </si>
  <si>
    <t>ngatoro</t>
  </si>
  <si>
    <t>Diesel_50ppm</t>
  </si>
  <si>
    <t>Mixed Sub-Bituminous for Huntly</t>
  </si>
  <si>
    <t>tawn</t>
  </si>
  <si>
    <t>Diesel_10ppm</t>
  </si>
  <si>
    <t>mangahewa</t>
  </si>
  <si>
    <t>Marine_Diesel</t>
  </si>
  <si>
    <t>IPCC</t>
  </si>
  <si>
    <t>turangi</t>
  </si>
  <si>
    <t>Light_Fuel_Oil</t>
  </si>
  <si>
    <t>cheal</t>
  </si>
  <si>
    <t>Heavy_Fuel_Oil</t>
  </si>
  <si>
    <t>radnor</t>
  </si>
  <si>
    <t>Bunker_Fuel_Oil</t>
  </si>
  <si>
    <t>surrey</t>
  </si>
  <si>
    <t>pohokura</t>
  </si>
  <si>
    <t>rimu/kauri</t>
  </si>
  <si>
    <t>tui</t>
  </si>
  <si>
    <t>goldie</t>
  </si>
  <si>
    <t>maari</t>
  </si>
  <si>
    <t>moturoa</t>
  </si>
  <si>
    <t>kowhai</t>
  </si>
  <si>
    <t>kupe</t>
  </si>
  <si>
    <t>sidewinder</t>
  </si>
  <si>
    <t>kapuni lts</t>
  </si>
  <si>
    <t>weighted average</t>
  </si>
  <si>
    <t>dtf_emission_factor_co2_ipcc</t>
  </si>
  <si>
    <t>dtf_emission_factor_non_co2_ipcc</t>
  </si>
  <si>
    <t>Fuel_detail</t>
  </si>
  <si>
    <t>EF (CO2 KT /PJ)</t>
  </si>
  <si>
    <t>EF (CH4 KT/PJ)</t>
  </si>
  <si>
    <t>EF converted (CH4 t/TJ)</t>
  </si>
  <si>
    <t>EF (N2O KT/PJ)</t>
  </si>
  <si>
    <t>EF converted (N2O t/TJ)</t>
  </si>
  <si>
    <t>Methanol - Mixed Feed - to 94</t>
  </si>
  <si>
    <t>Liquid - Stationary</t>
  </si>
  <si>
    <t>Agriculture - Stationary</t>
  </si>
  <si>
    <t>Methanol - LTS - to 94</t>
  </si>
  <si>
    <t>Industry - Distillate Fuel Oil Boilers (Petrol, Diesel)</t>
  </si>
  <si>
    <t>Liquid Fuels</t>
  </si>
  <si>
    <t>Other</t>
  </si>
  <si>
    <t>Industry - Residual Fuel Oil Boilers</t>
  </si>
  <si>
    <t>Fugitive - flared</t>
  </si>
  <si>
    <t>Industry - LPG</t>
  </si>
  <si>
    <t>Crude Oil</t>
  </si>
  <si>
    <t>Commercial - Distillate Fuel Oil (Petrol, Diesel)</t>
  </si>
  <si>
    <t>Biomass</t>
  </si>
  <si>
    <t>Biogas</t>
  </si>
  <si>
    <t>Commercial - Residual Fuel Oil</t>
  </si>
  <si>
    <t>Wood (industrial)</t>
  </si>
  <si>
    <t>Commercial - LPG</t>
  </si>
  <si>
    <t>Wood (residential)</t>
  </si>
  <si>
    <t>Residential - Distillate Fuel Oil</t>
  </si>
  <si>
    <t>Black liquor</t>
  </si>
  <si>
    <t>Residential - Residual Fuel Oil</t>
  </si>
  <si>
    <t>Coal</t>
  </si>
  <si>
    <t>All sectors (Sub-bituminous)</t>
  </si>
  <si>
    <t>Residential - LPG</t>
  </si>
  <si>
    <t>All sectors (Bituminous)</t>
  </si>
  <si>
    <t>Electricity - Distillate Fuel Oil</t>
  </si>
  <si>
    <t>All sectors (Lignite)</t>
  </si>
  <si>
    <t>Electricity - Residual Fuel Oil</t>
  </si>
  <si>
    <t>All sectors (t/t)</t>
  </si>
  <si>
    <t>Refinery</t>
  </si>
  <si>
    <t>Electricity (domestic coal)</t>
  </si>
  <si>
    <t>Elec - Kaltim Prima</t>
  </si>
  <si>
    <t>Liquid - Mobile</t>
  </si>
  <si>
    <t>Petrol</t>
  </si>
  <si>
    <t>Elec - Adaro</t>
  </si>
  <si>
    <t>Diesel (road)</t>
  </si>
  <si>
    <t>Elec - Kideco</t>
  </si>
  <si>
    <t>Diesel (rail)</t>
  </si>
  <si>
    <t>Electricity (t/t)</t>
  </si>
  <si>
    <t>Fuel Oil (heavy fuel oil)</t>
  </si>
  <si>
    <t>All sectors</t>
  </si>
  <si>
    <t>Fuel Oil (light fuel oil)</t>
  </si>
  <si>
    <t>Other Fossil Fuels</t>
  </si>
  <si>
    <t>Fireworks Fuel</t>
  </si>
  <si>
    <t>Av Fuel/Kerosene</t>
  </si>
  <si>
    <t>Bunkers - Diesel + Fuel Oil</t>
  </si>
  <si>
    <t>Bunkers - Av Fuel</t>
  </si>
  <si>
    <t>Source: Energy in New Zealand 2021</t>
  </si>
  <si>
    <t>Asphalt (Bitumen)</t>
  </si>
  <si>
    <t>Energy Supply adnd Demand (page 10)</t>
  </si>
  <si>
    <t>Industry - Natural Gas Boilers</t>
  </si>
  <si>
    <t>Calendar Year 2020</t>
  </si>
  <si>
    <t>Commercial - Natural Gas Boilers</t>
  </si>
  <si>
    <t>Converted into Petajoules using Gross Calorific Values</t>
  </si>
  <si>
    <t>Residential - Natural Gas Heaters</t>
  </si>
  <si>
    <t>Bituminous</t>
  </si>
  <si>
    <t>Sub-bitum.</t>
  </si>
  <si>
    <t>Bituminous &amp; Sub-bitum.</t>
  </si>
  <si>
    <t>Total</t>
  </si>
  <si>
    <t>Transport - CNG</t>
  </si>
  <si>
    <t>Supply</t>
  </si>
  <si>
    <t>Total Primary Energy</t>
  </si>
  <si>
    <t>Electricity - Large Gas-fired turbines</t>
  </si>
  <si>
    <t>Energy Transformation</t>
  </si>
  <si>
    <t>Electricity - Natural Gas Boilers</t>
  </si>
  <si>
    <t>Consumer Energy (calculated)</t>
  </si>
  <si>
    <t>Own Use</t>
  </si>
  <si>
    <t>Demand</t>
  </si>
  <si>
    <t>Agriculture, Forestry and Fishing</t>
  </si>
  <si>
    <t>Industrial</t>
  </si>
  <si>
    <t>Industrial (Cement and Lime)</t>
  </si>
  <si>
    <t>Commercial</t>
  </si>
  <si>
    <t>Industry (Excl Cement and Lime)</t>
  </si>
  <si>
    <t>Transport</t>
  </si>
  <si>
    <t>Residential</t>
  </si>
  <si>
    <t>Consumer Energy (cobserved)</t>
  </si>
  <si>
    <t>Electricity</t>
  </si>
  <si>
    <t>Transport - Railways</t>
  </si>
  <si>
    <t>Sub-Bituminous</t>
  </si>
  <si>
    <t>Wood (Industrial)</t>
  </si>
  <si>
    <t>Black Liquor</t>
  </si>
  <si>
    <t>thinkstep-anz</t>
  </si>
  <si>
    <t>PJ</t>
  </si>
  <si>
    <t>%</t>
  </si>
  <si>
    <t>SUM CHECK</t>
  </si>
  <si>
    <t xml:space="preserve">Calculations </t>
  </si>
  <si>
    <t>These will be removed from the final emission factor workbook and this page will not be included in the interactive emission factor workbook. Please note for that reason final styling has not been applied.</t>
  </si>
  <si>
    <t>It was decided that the fuel emission factors would not change as it is unlikely there are any changes in calorific value. This was suggested by Michael Smith of MBIE and agreed by BEN of MfE. The below calculations are unchanged since the previous publication and have been copied exactly.</t>
  </si>
  <si>
    <t>Data from Michael Smith @ MBIE</t>
  </si>
  <si>
    <t>CALCULATIONS</t>
  </si>
  <si>
    <t>RAW DATA on Calorific Value</t>
  </si>
  <si>
    <t>Emission factor calculations for 2018 guidance</t>
  </si>
  <si>
    <t>Data from 2016 Guidance</t>
  </si>
  <si>
    <t>Comparison between 2018 &amp; 2016 results</t>
  </si>
  <si>
    <t>User</t>
  </si>
  <si>
    <t>Calorific Value</t>
  </si>
  <si>
    <t>CO2 emission factor</t>
  </si>
  <si>
    <t>CH4 emission factor</t>
  </si>
  <si>
    <t>N2O emission factor</t>
  </si>
  <si>
    <t>Difference</t>
  </si>
  <si>
    <t>(MJ/unit)</t>
  </si>
  <si>
    <t>Converted to GWP</t>
  </si>
  <si>
    <t>uncertainty</t>
  </si>
  <si>
    <t>CH4</t>
  </si>
  <si>
    <t>N2O</t>
  </si>
  <si>
    <t>Stationary Combustion</t>
  </si>
  <si>
    <t>Stationary combustion</t>
  </si>
  <si>
    <t>Coal – bituminous</t>
  </si>
  <si>
    <t>Coal – sub- bituminous</t>
  </si>
  <si>
    <t>Coal – lignite</t>
  </si>
  <si>
    <t>Coal – default*</t>
  </si>
  <si>
    <t>TBC</t>
  </si>
  <si>
    <t>Distributed Natural Gas</t>
  </si>
  <si>
    <t>Distributed natural gas</t>
  </si>
  <si>
    <t>Coal – Bituminous</t>
  </si>
  <si>
    <t>Coal – Sub-bituminous</t>
  </si>
  <si>
    <t>Coal – Lignite</t>
  </si>
  <si>
    <t>Coal – Default</t>
  </si>
  <si>
    <t>tbc</t>
  </si>
  <si>
    <t>LPG**</t>
  </si>
  <si>
    <t>Heavy fuel oil</t>
  </si>
  <si>
    <t>Light fuel oil</t>
  </si>
  <si>
    <t>Industry</t>
  </si>
  <si>
    <t>Coal – sub-bituminous</t>
  </si>
  <si>
    <t>Wood</t>
  </si>
  <si>
    <t>Industry***</t>
  </si>
  <si>
    <t>Fireplaces*</t>
  </si>
  <si>
    <t>Fireplaces****</t>
  </si>
  <si>
    <t>Transport Fuels</t>
  </si>
  <si>
    <t>Mobile use</t>
  </si>
  <si>
    <t>Regular petrol</t>
  </si>
  <si>
    <t>Premium petrol</t>
  </si>
  <si>
    <t>Marine Diesel</t>
  </si>
  <si>
    <t>-</t>
  </si>
  <si>
    <t>Sophia adding</t>
  </si>
  <si>
    <t>Jet Kerosene</t>
  </si>
  <si>
    <t>Mobile Use</t>
  </si>
  <si>
    <t>Jet Aviation gas</t>
  </si>
  <si>
    <t>Biofuels</t>
  </si>
  <si>
    <t>All uses</t>
  </si>
  <si>
    <t>Rounding:</t>
  </si>
  <si>
    <t>2dp</t>
  </si>
  <si>
    <t>3sf</t>
  </si>
  <si>
    <t>Rounding has been chosen to be consistent with the previous edition of the guidance.</t>
  </si>
  <si>
    <t>JET FUEL Information provided by Michael Smith @ MBIE</t>
  </si>
  <si>
    <t>FUEL Information provided by Michael Smith @ MBIE VIA EMAIL ON 26/10/2018 AT 3:49PM</t>
  </si>
  <si>
    <t>unit</t>
  </si>
  <si>
    <r>
      <t>Tonnes CO</t>
    </r>
    <r>
      <rPr>
        <vertAlign val="subscript"/>
        <sz val="11"/>
        <color rgb="FF1F497D"/>
        <rFont val="Calibri"/>
        <family val="2"/>
        <scheme val="minor"/>
      </rPr>
      <t>2</t>
    </r>
  </si>
  <si>
    <t>kgCH4</t>
  </si>
  <si>
    <t>kgN2O</t>
  </si>
  <si>
    <t>Uncertainties?</t>
  </si>
  <si>
    <t>assumptions</t>
  </si>
  <si>
    <t>Gross Emission Factor (ktCO2/PJ)</t>
  </si>
  <si>
    <t>Carbon Content (%mass)</t>
  </si>
  <si>
    <t xml:space="preserve">Gross Calorific Value (MJ/kg) </t>
  </si>
  <si>
    <t>Gross Calorific Value (MJ/l)</t>
  </si>
  <si>
    <t>Emissions per litre (kg CO2/L)</t>
  </si>
  <si>
    <t>TJ</t>
  </si>
  <si>
    <t>IPCC defaults are used for Jet Kerosene ch4 and nitrous oxide, co2 is country specific</t>
  </si>
  <si>
    <t>Jet/Kero</t>
  </si>
  <si>
    <t>Aviation Gasoline</t>
  </si>
  <si>
    <t>Jet/Kerosene</t>
  </si>
  <si>
    <t>Jet fuel</t>
  </si>
  <si>
    <t>petajoule</t>
  </si>
  <si>
    <t>IPCC defaults for CH4 and N2O</t>
  </si>
  <si>
    <t>calculated for the guidance</t>
  </si>
  <si>
    <t>kgCO2e</t>
  </si>
  <si>
    <t>kg CO2</t>
  </si>
  <si>
    <t>kg CH4</t>
  </si>
  <si>
    <t>kg N2O</t>
  </si>
  <si>
    <t>I think you already have the GCVs for the biofuels so you’ll be able to convert the EFs to per litre values.</t>
  </si>
  <si>
    <t>kg CO2e</t>
  </si>
  <si>
    <t>kg NO2</t>
  </si>
  <si>
    <t>For T&amp;D losses for natural gas, just divide (the emissions by gas type) by (the total amount of reticulated gas). Give me a call if you run into problems.</t>
  </si>
  <si>
    <t>IPCC defaults for kerosene and av gas are the same</t>
  </si>
  <si>
    <t>BIO FUEL Information provided by Michael Smith @ MBIE</t>
  </si>
  <si>
    <t>Biofuel calculated per litre</t>
  </si>
  <si>
    <t xml:space="preserve">Gross Caloric value </t>
  </si>
  <si>
    <t xml:space="preserve">Net calorific value </t>
  </si>
  <si>
    <r>
      <t>Tonnes CH</t>
    </r>
    <r>
      <rPr>
        <vertAlign val="subscript"/>
        <sz val="11"/>
        <color rgb="FF1F497D"/>
        <rFont val="Calibri"/>
        <family val="2"/>
        <scheme val="minor"/>
      </rPr>
      <t>4</t>
    </r>
  </si>
  <si>
    <r>
      <t>Tonnes N</t>
    </r>
    <r>
      <rPr>
        <vertAlign val="subscript"/>
        <sz val="11"/>
        <color rgb="FF1F497D"/>
        <rFont val="Calibri"/>
        <family val="2"/>
        <scheme val="minor"/>
      </rPr>
      <t>2</t>
    </r>
    <r>
      <rPr>
        <sz val="11"/>
        <color rgb="FF1F497D"/>
        <rFont val="Calibri"/>
        <family val="2"/>
        <scheme val="minor"/>
      </rPr>
      <t>O</t>
    </r>
  </si>
  <si>
    <t>gross calorific value (MJ per litre)</t>
  </si>
  <si>
    <t>TCO2/ TJ</t>
  </si>
  <si>
    <t>TCH4/TJ</t>
  </si>
  <si>
    <t>TN2O/TJ</t>
  </si>
  <si>
    <t>EF CO2</t>
  </si>
  <si>
    <t>EF CH4</t>
  </si>
  <si>
    <t>EF N2O</t>
  </si>
  <si>
    <t>Bioethanol (mobile)</t>
  </si>
  <si>
    <t xml:space="preserve">Petajoule </t>
  </si>
  <si>
    <t>Same as petrol</t>
  </si>
  <si>
    <t>50% for methane and nitrous oxides, 0.05% for liquid fuels</t>
  </si>
  <si>
    <t>MJ per kg</t>
  </si>
  <si>
    <t>MJ per litre</t>
  </si>
  <si>
    <t>Biodiesel (assumed rapeseed for calorific values) (mobile)</t>
  </si>
  <si>
    <t>Petajoule</t>
  </si>
  <si>
    <t>Same as diesel</t>
  </si>
  <si>
    <r>
      <t>Net</t>
    </r>
    <r>
      <rPr>
        <b/>
        <sz val="11"/>
        <color rgb="FFFF0000"/>
        <rFont val="Calibri"/>
        <family val="2"/>
        <scheme val="minor"/>
      </rPr>
      <t>/</t>
    </r>
    <r>
      <rPr>
        <sz val="11"/>
        <color rgb="FF1F497D"/>
        <rFont val="Calibri"/>
        <family val="2"/>
        <scheme val="minor"/>
      </rPr>
      <t>0.95</t>
    </r>
  </si>
  <si>
    <t>Jet fuel calculated per litre</t>
  </si>
  <si>
    <t>bioethanol (stationary</t>
  </si>
  <si>
    <t>petajoule + terajoule</t>
  </si>
  <si>
    <t>methane and nitrous oxide are from IPCC defaults</t>
  </si>
  <si>
    <t>64.2 Kit CO2 per PJ = 0.0642kgCO2 per GJ
To make TJ also GJ = 0.00285 kgch4 per go and N2O = 0.00057 kg per GJ</t>
  </si>
  <si>
    <t>Kerosene</t>
  </si>
  <si>
    <t>Aviation Gas</t>
  </si>
  <si>
    <t>biodiesel (Stationary)</t>
  </si>
  <si>
    <t>calculated for the guidance - THINK THIS IS WRONG</t>
  </si>
  <si>
    <t xml:space="preserve">Bioethanol </t>
  </si>
  <si>
    <t>biodiesel</t>
  </si>
  <si>
    <t>IPCC defaults for N2O and CH4</t>
  </si>
  <si>
    <t>Emission factors sent by MBIE</t>
  </si>
  <si>
    <t xml:space="preserve">Emission factor Total CO2-e
(kg CO2-e/unit) </t>
  </si>
  <si>
    <t>Uncertainty Total CO2-e</t>
  </si>
  <si>
    <t xml:space="preserve">Emission factor CO2
(kg CO2/unit) </t>
  </si>
  <si>
    <t xml:space="preserve">Emission factor CH4
(kg CO2-e/unit) </t>
  </si>
  <si>
    <t xml:space="preserve">Emission factor N2O
(kg CO2-e/unit) </t>
  </si>
  <si>
    <t xml:space="preserve">Absolute Uncertainty Total CO2-e
(kg CO2-e/unit) </t>
  </si>
  <si>
    <t xml:space="preserve">Absolute Uncertainty CO2
(kg CO2/unit) </t>
  </si>
  <si>
    <t xml:space="preserve">Absolute Uncertainty CH4
(kg CO2-e/unit) </t>
  </si>
  <si>
    <t xml:space="preserve">Absolute Uncertainty N2O
(kg CO2-e/unit) </t>
  </si>
  <si>
    <t>This is the preferential uncertainty to be used</t>
  </si>
  <si>
    <t>Solid</t>
  </si>
  <si>
    <t>Liquid</t>
  </si>
  <si>
    <t>Gaseous</t>
  </si>
  <si>
    <t xml:space="preserve">Emission factor
        N2O
(kg CO2-e/unit) </t>
  </si>
  <si>
    <t xml:space="preserve">Regular Petrol </t>
  </si>
  <si>
    <t>Petrol - Default</t>
  </si>
  <si>
    <t xml:space="preserve">LPG </t>
  </si>
  <si>
    <t>Coal web tables - sectoral breakdown</t>
  </si>
  <si>
    <t>CO2-e</t>
  </si>
  <si>
    <t>Coal - default Residential</t>
  </si>
  <si>
    <t>Interactive User Workbook Using Data and Methods from the 2020 Calendar Year</t>
  </si>
  <si>
    <t>See Intro sheet for instructions if required</t>
  </si>
  <si>
    <t>Fuel Emission Workbook</t>
  </si>
  <si>
    <t>Calculated Footprint</t>
  </si>
  <si>
    <t>Your Input</t>
  </si>
  <si>
    <r>
      <t>CO</t>
    </r>
    <r>
      <rPr>
        <vertAlign val="subscript"/>
        <sz val="11"/>
        <rFont val="Calibri"/>
        <family val="2"/>
        <scheme val="minor"/>
      </rPr>
      <t>2</t>
    </r>
    <r>
      <rPr>
        <b/>
        <sz val="11"/>
        <rFont val="Calibri"/>
        <family val="2"/>
        <scheme val="minor"/>
      </rPr>
      <t xml:space="preserve"> (kg CO</t>
    </r>
    <r>
      <rPr>
        <b/>
        <vertAlign val="subscript"/>
        <sz val="11"/>
        <rFont val="Calibri"/>
        <family val="2"/>
        <scheme val="minor"/>
      </rPr>
      <t>2</t>
    </r>
    <r>
      <rPr>
        <b/>
        <sz val="11"/>
        <rFont val="Calibri"/>
        <family val="2"/>
        <scheme val="minor"/>
      </rPr>
      <t>)</t>
    </r>
  </si>
  <si>
    <r>
      <t>CH</t>
    </r>
    <r>
      <rPr>
        <vertAlign val="subscript"/>
        <sz val="11"/>
        <rFont val="Calibri"/>
        <family val="2"/>
        <scheme val="minor"/>
      </rPr>
      <t>4</t>
    </r>
    <r>
      <rPr>
        <b/>
        <sz val="11"/>
        <rFont val="Calibri"/>
        <family val="2"/>
        <scheme val="minor"/>
      </rPr>
      <t xml:space="preserve"> (kg CO</t>
    </r>
    <r>
      <rPr>
        <b/>
        <vertAlign val="subscript"/>
        <sz val="11"/>
        <rFont val="Calibri"/>
        <family val="2"/>
        <scheme val="minor"/>
      </rPr>
      <t>2</t>
    </r>
    <r>
      <rPr>
        <b/>
        <sz val="11"/>
        <rFont val="Calibri"/>
        <family val="2"/>
        <scheme val="minor"/>
      </rPr>
      <t>-e)</t>
    </r>
  </si>
  <si>
    <r>
      <t>N</t>
    </r>
    <r>
      <rPr>
        <b/>
        <vertAlign val="subscript"/>
        <sz val="11"/>
        <rFont val="Calibri"/>
        <family val="2"/>
        <scheme val="minor"/>
      </rPr>
      <t>2</t>
    </r>
    <r>
      <rPr>
        <b/>
        <sz val="11"/>
        <rFont val="Calibri"/>
        <family val="2"/>
        <scheme val="minor"/>
      </rPr>
      <t>O (kg CO</t>
    </r>
    <r>
      <rPr>
        <b/>
        <vertAlign val="subscript"/>
        <sz val="11"/>
        <rFont val="Calibri"/>
        <family val="2"/>
        <scheme val="minor"/>
      </rPr>
      <t>2</t>
    </r>
    <r>
      <rPr>
        <b/>
        <sz val="11"/>
        <rFont val="Calibri"/>
        <family val="2"/>
        <scheme val="minor"/>
      </rPr>
      <t>-e)</t>
    </r>
  </si>
  <si>
    <t xml:space="preserve">Coal - Lignite </t>
  </si>
  <si>
    <t xml:space="preserve">Biofuel and biomass emission factors </t>
  </si>
  <si>
    <t>Biodiesel (100%)</t>
  </si>
  <si>
    <t>Emissions Factor Workbook Using Data and Methods from the 2020 Calendar Year</t>
  </si>
  <si>
    <t>Transmission &amp; distribution losses emission factors</t>
  </si>
  <si>
    <r>
      <t>All emissions are expressed as kg of carbon dioxide equivalent (kg CO</t>
    </r>
    <r>
      <rPr>
        <vertAlign val="subscript"/>
        <sz val="11"/>
        <color theme="1"/>
        <rFont val="Calibri"/>
        <family val="2"/>
        <scheme val="minor"/>
      </rPr>
      <t>2</t>
    </r>
    <r>
      <rPr>
        <sz val="11"/>
        <color theme="1"/>
        <rFont val="Calibri"/>
        <family val="2"/>
        <scheme val="minor"/>
      </rPr>
      <t xml:space="preserve">-e) per unit. </t>
    </r>
  </si>
  <si>
    <t>Transmission and distribution losses</t>
  </si>
  <si>
    <r>
      <t>kg CO</t>
    </r>
    <r>
      <rPr>
        <b/>
        <vertAlign val="subscript"/>
        <sz val="11"/>
        <rFont val="Calibri"/>
        <family val="2"/>
        <scheme val="minor"/>
      </rPr>
      <t>2</t>
    </r>
    <r>
      <rPr>
        <b/>
        <sz val="11"/>
        <rFont val="Calibri"/>
        <family val="2"/>
        <scheme val="minor"/>
      </rPr>
      <t>e</t>
    </r>
  </si>
  <si>
    <r>
      <t>CO</t>
    </r>
    <r>
      <rPr>
        <vertAlign val="subscript"/>
        <sz val="11"/>
        <rFont val="Calibri"/>
        <family val="2"/>
        <scheme val="minor"/>
      </rPr>
      <t>2</t>
    </r>
    <r>
      <rPr>
        <b/>
        <sz val="11"/>
        <rFont val="Calibri"/>
        <family val="2"/>
        <scheme val="minor"/>
      </rPr>
      <t xml:space="preserve"> (kg CO</t>
    </r>
    <r>
      <rPr>
        <b/>
        <vertAlign val="subscript"/>
        <sz val="11"/>
        <rFont val="Calibri"/>
        <family val="2"/>
        <scheme val="minor"/>
      </rPr>
      <t>2</t>
    </r>
    <r>
      <rPr>
        <b/>
        <sz val="11"/>
        <rFont val="Calibri"/>
        <family val="2"/>
        <scheme val="minor"/>
      </rPr>
      <t>e)</t>
    </r>
  </si>
  <si>
    <r>
      <t>CH</t>
    </r>
    <r>
      <rPr>
        <vertAlign val="subscript"/>
        <sz val="11"/>
        <rFont val="Calibri"/>
        <family val="2"/>
        <scheme val="minor"/>
      </rPr>
      <t>4</t>
    </r>
    <r>
      <rPr>
        <b/>
        <sz val="11"/>
        <rFont val="Calibri"/>
        <family val="2"/>
        <scheme val="minor"/>
      </rPr>
      <t xml:space="preserve"> (kg CO</t>
    </r>
    <r>
      <rPr>
        <b/>
        <vertAlign val="subscript"/>
        <sz val="11"/>
        <rFont val="Calibri"/>
        <family val="2"/>
        <scheme val="minor"/>
      </rPr>
      <t>2</t>
    </r>
    <r>
      <rPr>
        <b/>
        <sz val="11"/>
        <rFont val="Calibri"/>
        <family val="2"/>
        <scheme val="minor"/>
      </rPr>
      <t>e)</t>
    </r>
  </si>
  <si>
    <r>
      <t>N</t>
    </r>
    <r>
      <rPr>
        <b/>
        <vertAlign val="subscript"/>
        <sz val="11"/>
        <rFont val="Calibri"/>
        <family val="2"/>
        <scheme val="minor"/>
      </rPr>
      <t>2</t>
    </r>
    <r>
      <rPr>
        <b/>
        <sz val="11"/>
        <rFont val="Calibri"/>
        <family val="2"/>
        <scheme val="minor"/>
      </rPr>
      <t>O (kg CO</t>
    </r>
    <r>
      <rPr>
        <b/>
        <vertAlign val="subscript"/>
        <sz val="11"/>
        <rFont val="Calibri"/>
        <family val="2"/>
        <scheme val="minor"/>
      </rPr>
      <t>2</t>
    </r>
    <r>
      <rPr>
        <b/>
        <sz val="11"/>
        <rFont val="Calibri"/>
        <family val="2"/>
        <scheme val="minor"/>
      </rPr>
      <t>e)</t>
    </r>
  </si>
  <si>
    <t>Uncertainties</t>
  </si>
  <si>
    <t>Natural gas used</t>
  </si>
  <si>
    <t>Unknown</t>
  </si>
  <si>
    <t>Electricity used</t>
  </si>
  <si>
    <t>July/August recalculations</t>
  </si>
  <si>
    <t>See recalculations in Sharepoint: Climate and Atmosphere&gt;Documents&gt;05&gt;03&gt;03&gt;09&gt;July 2022</t>
  </si>
  <si>
    <t>Source data: MBIE (2022 National Inventory Report)</t>
  </si>
  <si>
    <t>dft_gas_distribution_loss_activity_emission</t>
  </si>
  <si>
    <t>Activity</t>
  </si>
  <si>
    <t>Emissions (CO2)</t>
  </si>
  <si>
    <t>Emissions (CH4)</t>
  </si>
  <si>
    <t>Unit.Activity</t>
  </si>
  <si>
    <t>Unit.Emissions</t>
  </si>
  <si>
    <t>KT</t>
  </si>
  <si>
    <t>dft_gas_transmission_loss_activity_emission</t>
  </si>
  <si>
    <t>Source</t>
  </si>
  <si>
    <t>Compressor</t>
  </si>
  <si>
    <t>Line Loss</t>
  </si>
  <si>
    <t>1B2b41</t>
  </si>
  <si>
    <t>From Purchased Energy sheet:</t>
  </si>
  <si>
    <t>T&amp;D EF</t>
  </si>
  <si>
    <t>To calculate the breakdown of gases, need to understand the ratios of the three gases, which can be calculated from purchased energy</t>
  </si>
  <si>
    <t>split of total emissions</t>
  </si>
  <si>
    <t xml:space="preserve">2020 Calculations </t>
  </si>
  <si>
    <t>Source:</t>
  </si>
  <si>
    <t>Taken from MBIE emissions factors</t>
  </si>
  <si>
    <t xml:space="preserve">Methodology: </t>
  </si>
  <si>
    <t xml:space="preserve">To get EF for transmission and distribution losses, EF for electricity generated is calculated and subtracted from the EF for electricity consumed. The EFs include emissions from </t>
  </si>
  <si>
    <t>thermal electricity generation, plus fugitive emissions from geothermal production from the NZEGGE (Table4) divided by total electricity generated (Energy Data File, Table G.2a)</t>
  </si>
  <si>
    <t>Direct thermal emissions</t>
  </si>
  <si>
    <t>Gg CO2-e</t>
  </si>
  <si>
    <t>http://www.mbie.govt.nz/info-services/sectors-industries/energy/energy-data-modelling/statistics/greenhouse-gas-emissions</t>
  </si>
  <si>
    <t>Geothermal emissions</t>
  </si>
  <si>
    <t>Electricity consumed</t>
  </si>
  <si>
    <t>GWh</t>
  </si>
  <si>
    <t xml:space="preserve">http://www.mbie.govt.nz/info-services/sectors-industries/energy/energy-data-modelling/statistics/electricity .  (Observed consumption) </t>
  </si>
  <si>
    <t>Electricity generation</t>
  </si>
  <si>
    <t>EF - consumption</t>
  </si>
  <si>
    <t>g/Wh</t>
  </si>
  <si>
    <t>kg/kWh</t>
  </si>
  <si>
    <t>EF - generation</t>
  </si>
  <si>
    <t>T &amp; D losses</t>
  </si>
  <si>
    <t>Transmission and distribution losses for natural gas emission factor</t>
  </si>
  <si>
    <t>2017 data from the annual electricity data</t>
  </si>
  <si>
    <t>Transmission losses for natural gas</t>
  </si>
  <si>
    <t>Gas reticulated (total)</t>
  </si>
  <si>
    <t>gas statistics file for year 2017 - gas energy transformation - row 63, annual PJ https://www.mbie.govt.nz/building-and-energy/energy-and-natural-resources/energy-statistics-and-modelling/energy-statistics/gas-statistics/</t>
  </si>
  <si>
    <t>Transmission losses (kg CO2-e)</t>
  </si>
  <si>
    <t>Gas reticulated (GJ)</t>
  </si>
  <si>
    <t>kg CO2-e /GJ</t>
  </si>
  <si>
    <t>kg CO2-e /kWh</t>
  </si>
  <si>
    <t>[Note: unit conversion factor (GJ to kWh) is: 0.0036]</t>
  </si>
  <si>
    <t>Source data: MBIE emission factors - electricity</t>
  </si>
  <si>
    <t>Measurement</t>
  </si>
  <si>
    <t>Electricity generation implied emission factor</t>
  </si>
  <si>
    <t>kt CO2-e/GWh</t>
  </si>
  <si>
    <t>Electricity consumption implied emission factor</t>
  </si>
  <si>
    <t>Total Emissions</t>
  </si>
  <si>
    <t>kt CO2-e</t>
  </si>
  <si>
    <t>Combustion Emissions</t>
  </si>
  <si>
    <t>Biomass Emissions</t>
  </si>
  <si>
    <t>Coal Emissions</t>
  </si>
  <si>
    <t>Gas Emissions</t>
  </si>
  <si>
    <t>Geothermal Emissions</t>
  </si>
  <si>
    <t>Liquid Fuels Emissions</t>
  </si>
  <si>
    <t>Annual Generation</t>
  </si>
  <si>
    <t>Annual Consumption</t>
  </si>
  <si>
    <t xml:space="preserve">t&amp;d Losses EF </t>
  </si>
  <si>
    <t>kgCO2e/kWh</t>
  </si>
  <si>
    <t xml:space="preserve">Source data from:  Data tables for Electricity (annual generation &amp; consumption) https://www.mbie.govt.nz/building-and-energy/energy-and-natural-resources/energy-statistics-and-modelling/energy-statistics/electricity-statistics/ </t>
  </si>
  <si>
    <t xml:space="preserve"> Calendar year</t>
  </si>
  <si>
    <t>Annual % change</t>
  </si>
  <si>
    <r>
      <t>Net Generation (GWh)</t>
    </r>
    <r>
      <rPr>
        <vertAlign val="superscript"/>
        <sz val="11"/>
        <rFont val="Calibri"/>
        <family val="2"/>
        <scheme val="minor"/>
      </rPr>
      <t>1,2</t>
    </r>
  </si>
  <si>
    <t>Hydro</t>
  </si>
  <si>
    <t>Geothermal</t>
  </si>
  <si>
    <t>Wind</t>
  </si>
  <si>
    <r>
      <t>Solar</t>
    </r>
    <r>
      <rPr>
        <vertAlign val="superscript"/>
        <sz val="11"/>
        <color theme="1"/>
        <rFont val="Calibri"/>
        <family val="2"/>
        <scheme val="minor"/>
      </rPr>
      <t>3</t>
    </r>
  </si>
  <si>
    <t>Oil</t>
  </si>
  <si>
    <r>
      <t>Waste Heat</t>
    </r>
    <r>
      <rPr>
        <vertAlign val="superscript"/>
        <sz val="11"/>
        <color theme="1"/>
        <rFont val="Calibri"/>
        <family val="2"/>
        <scheme val="minor"/>
      </rPr>
      <t>4</t>
    </r>
  </si>
  <si>
    <t>Renewable Share (%)</t>
  </si>
  <si>
    <t>Total Line Losses (GWh)</t>
  </si>
  <si>
    <t>Losses - Transmission</t>
  </si>
  <si>
    <t>Losses - Distribution</t>
  </si>
  <si>
    <r>
      <t>Consumption (GWh)</t>
    </r>
    <r>
      <rPr>
        <vertAlign val="superscript"/>
        <sz val="11"/>
        <color theme="1"/>
        <rFont val="Calibri"/>
        <family val="2"/>
        <scheme val="minor"/>
      </rPr>
      <t xml:space="preserve">5  </t>
    </r>
    <r>
      <rPr>
        <sz val="11"/>
        <color theme="1"/>
        <rFont val="Calibri"/>
        <family val="2"/>
        <scheme val="minor"/>
      </rPr>
      <t>̶</t>
    </r>
    <r>
      <rPr>
        <sz val="11"/>
        <color theme="1"/>
        <rFont val="Calibri"/>
        <family val="2"/>
        <scheme val="minor"/>
      </rPr>
      <t xml:space="preserve">  new methodology</t>
    </r>
  </si>
  <si>
    <t>Agriculture/ Forestry/ Fishing</t>
  </si>
  <si>
    <t>Industrial:</t>
  </si>
  <si>
    <t>Mining</t>
  </si>
  <si>
    <t>Food Processing</t>
  </si>
  <si>
    <t>Wood, Pulp, Paper and Printing</t>
  </si>
  <si>
    <t>Chemicals</t>
  </si>
  <si>
    <t>Basic Metals</t>
  </si>
  <si>
    <t>Other Minor Sectors</t>
  </si>
  <si>
    <t>Commercial (incl. Transport)</t>
  </si>
  <si>
    <t xml:space="preserve">    Unallocated Onsite Generation</t>
  </si>
  <si>
    <r>
      <t>Consumption (GWh)</t>
    </r>
    <r>
      <rPr>
        <vertAlign val="superscript"/>
        <sz val="11"/>
        <color theme="1"/>
        <rFont val="Calibri"/>
        <family val="2"/>
        <scheme val="minor"/>
      </rPr>
      <t xml:space="preserve">5  </t>
    </r>
    <r>
      <rPr>
        <sz val="11"/>
        <color theme="1"/>
        <rFont val="Calibri"/>
        <family val="2"/>
        <scheme val="minor"/>
      </rPr>
      <t>̶</t>
    </r>
    <r>
      <rPr>
        <sz val="11"/>
        <color theme="1"/>
        <rFont val="Calibri"/>
        <family val="2"/>
        <scheme val="minor"/>
      </rPr>
      <t xml:space="preserve">  historically consistent methodology</t>
    </r>
  </si>
  <si>
    <t xml:space="preserve">    Unallocated Demand</t>
  </si>
  <si>
    <t>Transmission and distribution losses emissions</t>
  </si>
  <si>
    <t>Natural gas uses (T&amp;D losses)</t>
  </si>
  <si>
    <t>Electricity used (T&amp;D losses)</t>
  </si>
  <si>
    <t>Emissions Factor Workbook Using Data and Methods from calendars years between 2010 and 2020.</t>
  </si>
  <si>
    <t>Purchased energy emission factors</t>
  </si>
  <si>
    <r>
      <t>All emissions are expressed as kg of carbon dioxide equivalent (kg CO</t>
    </r>
    <r>
      <rPr>
        <vertAlign val="subscript"/>
        <sz val="11"/>
        <color theme="1"/>
        <rFont val="Calibri"/>
        <family val="2"/>
        <scheme val="minor"/>
      </rPr>
      <t>2</t>
    </r>
    <r>
      <rPr>
        <sz val="11"/>
        <color theme="1"/>
        <rFont val="Calibri"/>
        <family val="2"/>
        <scheme val="minor"/>
      </rPr>
      <t>-e) per unit. 
Users should use the emission factor from the timeseries that is most closely matches the year the data was collected. From 2020 onwards, this would be the emission factors from the year 2020.</t>
    </r>
  </si>
  <si>
    <t>Purchased energy emission factors - annual average</t>
  </si>
  <si>
    <t>Purchased energy emission factors - calendar quarters</t>
  </si>
  <si>
    <t>Quarter</t>
  </si>
  <si>
    <t>Recalculations (July 2022)</t>
  </si>
  <si>
    <t xml:space="preserve">Purchased energy emission factors </t>
  </si>
  <si>
    <t>Time Period</t>
  </si>
  <si>
    <t>Emissions (CO2-e)</t>
  </si>
  <si>
    <t>Emissions (N2O)</t>
  </si>
  <si>
    <t>Emission factor (kg of GHG per kWh of electricity) (CO2-e)</t>
  </si>
  <si>
    <t>Emission factor (kg of GHG per kWh of electricity) (CO2)</t>
  </si>
  <si>
    <t>Emission factor (kg of GHG per kWh of electricity) (CH4)</t>
  </si>
  <si>
    <t>Emission factor (kg of GHG per kWh of electricity) (N2O)</t>
  </si>
  <si>
    <t>Update for Table 11 of Detailed Guide</t>
  </si>
  <si>
    <t>Information used to calculate the purchased electricity emission factor for 2010-2020</t>
  </si>
  <si>
    <t>Calculation component</t>
  </si>
  <si>
    <t>Public electricity consumed and emissions by gas and source</t>
  </si>
  <si>
    <t>Public electricity consumption (GWh)</t>
  </si>
  <si>
    <t>Total 2019</t>
  </si>
  <si>
    <t>Emissions of CO2 from public electricity generation (kt)</t>
  </si>
  <si>
    <t>Geothermal fugutive emissions of CO2 (kt)</t>
  </si>
  <si>
    <t>Emissions of CH4 from public electricity generation (kt)</t>
  </si>
  <si>
    <t>Geothermal fugutive emissions of CH4 (kt)</t>
  </si>
  <si>
    <t>Emissions of N2O from public electricity generation (kt)</t>
  </si>
  <si>
    <t>Total 2020</t>
  </si>
  <si>
    <t>Geothermal fugutive emissions of N2O (kt)</t>
  </si>
  <si>
    <t>T&amp;D Losses thinkstep</t>
  </si>
  <si>
    <t xml:space="preserve">Annual generation and consumption data from: </t>
  </si>
  <si>
    <t xml:space="preserve">MBIE electricity statistics data [Table 2] https://www.mbie.govt.nz/building-and-energy/energy-and-natural-resources/energy-statistics-and-modelling/energy-statistics/electricity-statistics/ </t>
  </si>
  <si>
    <r>
      <t>Consumption (GWh)</t>
    </r>
    <r>
      <rPr>
        <vertAlign val="superscript"/>
        <sz val="11"/>
        <color theme="1"/>
        <rFont val="Calibri"/>
        <family val="2"/>
        <scheme val="minor"/>
      </rPr>
      <t xml:space="preserve">5  </t>
    </r>
    <r>
      <rPr>
        <sz val="11"/>
        <color theme="1"/>
        <rFont val="Calibri"/>
        <family val="2"/>
        <scheme val="minor"/>
      </rPr>
      <t>̶</t>
    </r>
    <r>
      <rPr>
        <sz val="11"/>
        <color theme="1"/>
        <rFont val="Calibri"/>
        <family val="2"/>
        <scheme val="minor"/>
      </rPr>
      <t xml:space="preserve">  based on actual sales</t>
    </r>
  </si>
  <si>
    <t>Source: MBIE (2022 NIR)</t>
  </si>
  <si>
    <t>dtf_elec_gen_activity_emission</t>
  </si>
  <si>
    <t xml:space="preserve">multiply by 25 </t>
  </si>
  <si>
    <t>multiply by 298 to become CO2 -e</t>
  </si>
  <si>
    <t>TimePeriod</t>
  </si>
  <si>
    <t>EF (CO2-e KT/PJ)</t>
  </si>
  <si>
    <t>EF (CO2 KT/PJ)</t>
  </si>
  <si>
    <t>Application</t>
  </si>
  <si>
    <t>Fuel Oil</t>
  </si>
  <si>
    <t>Biogas landfill</t>
  </si>
  <si>
    <t>Electricity statistics | Ministry of Business, Innovation &amp; Employment (mbie.govt.nz)</t>
  </si>
  <si>
    <r>
      <t>Consumption</t>
    </r>
    <r>
      <rPr>
        <vertAlign val="superscript"/>
        <sz val="11"/>
        <color theme="1"/>
        <rFont val="Calibri"/>
        <family val="2"/>
        <scheme val="minor"/>
      </rPr>
      <t xml:space="preserve"> </t>
    </r>
    <r>
      <rPr>
        <sz val="11"/>
        <color theme="1"/>
        <rFont val="Calibri"/>
        <family val="2"/>
        <scheme val="minor"/>
      </rPr>
      <t>(GWh)</t>
    </r>
    <r>
      <rPr>
        <vertAlign val="superscript"/>
        <sz val="11"/>
        <color theme="1"/>
        <rFont val="Calibri"/>
        <family val="2"/>
        <scheme val="minor"/>
      </rPr>
      <t>5</t>
    </r>
  </si>
  <si>
    <t>Activity emissions (CO2-e)</t>
  </si>
  <si>
    <t>Activity emissions (CO2)</t>
  </si>
  <si>
    <t>Activity emissions (CH4)</t>
  </si>
  <si>
    <t>Activity emissions (N2O)</t>
  </si>
  <si>
    <t>UNFCC report - inventory data</t>
  </si>
  <si>
    <t>Based on calendar year</t>
  </si>
  <si>
    <t>Energy use</t>
  </si>
  <si>
    <t>ktCO2</t>
  </si>
  <si>
    <t>ktCH4</t>
  </si>
  <si>
    <t>ktN2O</t>
  </si>
  <si>
    <t>public electricity consumption in kWh</t>
  </si>
  <si>
    <t>kgCO2/kWh</t>
  </si>
  <si>
    <t>kgCH4/kWh</t>
  </si>
  <si>
    <t>kgN2O/kWh</t>
  </si>
  <si>
    <t xml:space="preserve">MBIE Electricity Annual consumption &amp; production </t>
  </si>
  <si>
    <t xml:space="preserve">Total electricity generataion and production is sourced from MBIE electricity statistics data tables https://www.mbie.govt.nz/building-and-energy/energy-and-natural-resources/energy-statistics-and-modelling/energy-statistics/electricity-statistics/ </t>
  </si>
  <si>
    <r>
      <t>Consumption (GWh)</t>
    </r>
    <r>
      <rPr>
        <vertAlign val="superscript"/>
        <sz val="11"/>
        <color theme="1"/>
        <rFont val="Calibri"/>
        <family val="2"/>
        <scheme val="minor"/>
      </rPr>
      <t xml:space="preserve">5  </t>
    </r>
    <r>
      <rPr>
        <sz val="11"/>
        <color theme="1"/>
        <rFont val="Arial"/>
        <family val="2"/>
      </rPr>
      <t>̶</t>
    </r>
    <r>
      <rPr>
        <sz val="11"/>
        <color theme="1"/>
        <rFont val="Calibri"/>
        <family val="2"/>
        <scheme val="minor"/>
      </rPr>
      <t xml:space="preserve">  new methodology</t>
    </r>
  </si>
  <si>
    <t>update methodology in 2014</t>
  </si>
  <si>
    <r>
      <t>Consumption (GWh)</t>
    </r>
    <r>
      <rPr>
        <vertAlign val="superscript"/>
        <sz val="11"/>
        <color theme="1"/>
        <rFont val="Calibri"/>
        <family val="2"/>
        <scheme val="minor"/>
      </rPr>
      <t xml:space="preserve">5  </t>
    </r>
    <r>
      <rPr>
        <sz val="11"/>
        <color theme="1"/>
        <rFont val="Arial"/>
        <family val="2"/>
      </rPr>
      <t>̶</t>
    </r>
    <r>
      <rPr>
        <sz val="11"/>
        <color theme="1"/>
        <rFont val="Calibri"/>
        <family val="2"/>
        <scheme val="minor"/>
      </rPr>
      <t xml:space="preserve">  historically consistent methodology</t>
    </r>
  </si>
  <si>
    <t>https://www.mbie.govt.nz/assets/Data-Files/Energy/7042baaf2c/emission-factors-electricity.csv</t>
  </si>
  <si>
    <t>Calculating for the calendar year 2018</t>
  </si>
  <si>
    <t>The total emissions from electricity production and consumption is sourced from the 2020 New Zealand National Inventory Report (NIR), common reporting framework (CRF) tables - Table 1.A, which is based on the reporting year 2018</t>
  </si>
  <si>
    <t>GREENHOUSE GAS SOURCE AND SINK CATEGORIES</t>
  </si>
  <si>
    <t>AGGREGATE ACTIVITY DATA</t>
  </si>
  <si>
    <t>IMPLIED EMISSION FACTORS</t>
  </si>
  <si>
    <t>EMISSIONS</t>
  </si>
  <si>
    <t xml:space="preserve">Consumption </t>
  </si>
  <si>
    <r>
      <t xml:space="preserve"> CO</t>
    </r>
    <r>
      <rPr>
        <b/>
        <vertAlign val="subscript"/>
        <sz val="9"/>
        <rFont val="Times New Roman"/>
        <family val="1"/>
      </rPr>
      <t>2</t>
    </r>
    <r>
      <rPr>
        <b/>
        <vertAlign val="superscript"/>
        <sz val="9"/>
        <rFont val="Times New Roman"/>
        <family val="1"/>
      </rPr>
      <t>(1)</t>
    </r>
  </si>
  <si>
    <r>
      <t>CH</t>
    </r>
    <r>
      <rPr>
        <b/>
        <vertAlign val="subscript"/>
        <sz val="9"/>
        <rFont val="Times New Roman"/>
        <family val="1"/>
      </rPr>
      <t>4</t>
    </r>
  </si>
  <si>
    <r>
      <t>N</t>
    </r>
    <r>
      <rPr>
        <b/>
        <vertAlign val="subscript"/>
        <sz val="9"/>
        <rFont val="Times New Roman"/>
        <family val="1"/>
      </rPr>
      <t>2</t>
    </r>
    <r>
      <rPr>
        <b/>
        <sz val="9"/>
        <rFont val="Times New Roman"/>
        <family val="1"/>
      </rPr>
      <t>O</t>
    </r>
  </si>
  <si>
    <r>
      <t xml:space="preserve"> CO</t>
    </r>
    <r>
      <rPr>
        <b/>
        <vertAlign val="subscript"/>
        <sz val="9"/>
        <rFont val="Times New Roman"/>
        <family val="1"/>
      </rPr>
      <t>2</t>
    </r>
    <r>
      <rPr>
        <b/>
        <vertAlign val="superscript"/>
        <sz val="9"/>
        <rFont val="Times New Roman"/>
        <family val="1"/>
      </rPr>
      <t>(2)</t>
    </r>
  </si>
  <si>
    <r>
      <t>CO</t>
    </r>
    <r>
      <rPr>
        <b/>
        <vertAlign val="subscript"/>
        <sz val="9"/>
        <rFont val="Times New Roman"/>
        <family val="1"/>
      </rPr>
      <t>2</t>
    </r>
  </si>
  <si>
    <t>Amount captured</t>
  </si>
  <si>
    <t>(TJ)</t>
  </si>
  <si>
    <r>
      <t>NCV/GCV</t>
    </r>
    <r>
      <rPr>
        <b/>
        <vertAlign val="superscript"/>
        <sz val="9"/>
        <rFont val="Times New Roman"/>
        <family val="1"/>
      </rPr>
      <t>(3)</t>
    </r>
  </si>
  <si>
    <t>(t/TJ)</t>
  </si>
  <si>
    <t>(kg/TJ)</t>
  </si>
  <si>
    <t>(kt)</t>
  </si>
  <si>
    <r>
      <t>a.  Public electricity and heat production</t>
    </r>
    <r>
      <rPr>
        <vertAlign val="superscript"/>
        <sz val="9"/>
        <rFont val="Times New Roman"/>
        <family val="1"/>
      </rPr>
      <t>(7)</t>
    </r>
  </si>
  <si>
    <t>GCV</t>
  </si>
  <si>
    <t/>
  </si>
  <si>
    <t>NO</t>
  </si>
  <si>
    <t>Liquid fuels</t>
  </si>
  <si>
    <t>Solid fuels</t>
  </si>
  <si>
    <t>Gaseous fuels</t>
  </si>
  <si>
    <r>
      <t>Other fossil fuels</t>
    </r>
    <r>
      <rPr>
        <vertAlign val="superscript"/>
        <sz val="9"/>
        <rFont val="Times New Roman"/>
        <family val="1"/>
      </rPr>
      <t>(4)</t>
    </r>
  </si>
  <si>
    <r>
      <t>Peat</t>
    </r>
    <r>
      <rPr>
        <vertAlign val="superscript"/>
        <sz val="9"/>
        <rFont val="Times New Roman"/>
        <family val="1"/>
      </rPr>
      <t>(5)</t>
    </r>
  </si>
  <si>
    <r>
      <t>Biomass</t>
    </r>
    <r>
      <rPr>
        <vertAlign val="superscript"/>
        <sz val="9"/>
        <rFont val="Times New Roman"/>
        <family val="1"/>
      </rPr>
      <t>(6)</t>
    </r>
  </si>
  <si>
    <t>Geothermal fugitive emissions are not included in this table so must be included from table 1.B.2</t>
  </si>
  <si>
    <t xml:space="preserve">GREENHOUSE GAS SOURCE AND </t>
  </si>
  <si>
    <r>
      <t>ACTIVITY  DATA</t>
    </r>
    <r>
      <rPr>
        <b/>
        <vertAlign val="superscript"/>
        <sz val="9"/>
        <rFont val="Times New Roman"/>
        <family val="1"/>
      </rPr>
      <t>(1)</t>
    </r>
  </si>
  <si>
    <t xml:space="preserve">    IMPLIED EMISSION FACTORS</t>
  </si>
  <si>
    <t>SINK CATEGORIES</t>
  </si>
  <si>
    <r>
      <t>Description</t>
    </r>
    <r>
      <rPr>
        <b/>
        <vertAlign val="superscript"/>
        <sz val="9"/>
        <rFont val="Times New Roman"/>
        <family val="1"/>
      </rPr>
      <t>(1)</t>
    </r>
  </si>
  <si>
    <r>
      <t>Unit</t>
    </r>
    <r>
      <rPr>
        <b/>
        <vertAlign val="superscript"/>
        <sz val="9"/>
        <rFont val="Times New Roman"/>
        <family val="1"/>
      </rPr>
      <t>(1)</t>
    </r>
  </si>
  <si>
    <t>Value</t>
  </si>
  <si>
    <r>
      <t>CO</t>
    </r>
    <r>
      <rPr>
        <b/>
        <vertAlign val="subscript"/>
        <sz val="9"/>
        <rFont val="Times New Roman"/>
        <family val="1"/>
      </rPr>
      <t>2</t>
    </r>
    <r>
      <rPr>
        <b/>
        <vertAlign val="superscript"/>
        <sz val="9"/>
        <rFont val="Times New Roman"/>
        <family val="1"/>
      </rPr>
      <t>(2)</t>
    </r>
  </si>
  <si>
    <r>
      <t>CH</t>
    </r>
    <r>
      <rPr>
        <b/>
        <vertAlign val="subscript"/>
        <sz val="9"/>
        <rFont val="Times New Roman"/>
        <family val="1"/>
      </rPr>
      <t xml:space="preserve">4 </t>
    </r>
    <r>
      <rPr>
        <b/>
        <vertAlign val="superscript"/>
        <sz val="9"/>
        <rFont val="Times New Roman"/>
        <family val="1"/>
      </rPr>
      <t xml:space="preserve">(4) </t>
    </r>
  </si>
  <si>
    <r>
      <t>Emissions</t>
    </r>
    <r>
      <rPr>
        <b/>
        <vertAlign val="superscript"/>
        <sz val="9"/>
        <rFont val="Times New Roman"/>
        <family val="1"/>
      </rPr>
      <t>(3)</t>
    </r>
  </si>
  <si>
    <t xml:space="preserve">Amount captured </t>
  </si>
  <si>
    <r>
      <t>(kg/unit)</t>
    </r>
    <r>
      <rPr>
        <b/>
        <vertAlign val="superscript"/>
        <sz val="9"/>
        <rFont val="Times New Roman"/>
        <family val="1"/>
      </rPr>
      <t xml:space="preserve"> (5)</t>
    </r>
  </si>
  <si>
    <r>
      <t xml:space="preserve">1.B.2.d. Other </t>
    </r>
    <r>
      <rPr>
        <b/>
        <i/>
        <sz val="9"/>
        <rFont val="Times New Roman"/>
        <family val="1"/>
      </rPr>
      <t>(please specify)</t>
    </r>
    <r>
      <rPr>
        <b/>
        <vertAlign val="superscript"/>
        <sz val="9"/>
        <rFont val="Times New Roman"/>
        <family val="1"/>
      </rPr>
      <t>(9)</t>
    </r>
  </si>
  <si>
    <t>Calculating for the year 2017</t>
  </si>
  <si>
    <t>The total emissions from electricity production and consumption is sourced from the New Zealand National Inventory Report (NIR), common reporting framework (CRF) tables - Table 1.A</t>
  </si>
  <si>
    <t>Calendar year 2016</t>
  </si>
  <si>
    <t>TABLE 1.A(a)  SECTORAL BACKGROUND DATA  FOR  ENERGY</t>
  </si>
  <si>
    <t>Inventory 2016</t>
  </si>
  <si>
    <t>Fuel combustion activities - sectoral approach</t>
  </si>
  <si>
    <t>Submission 2020 v1</t>
  </si>
  <si>
    <t>(Sheet 1 of 4)</t>
  </si>
  <si>
    <t>NEW ZEALAND</t>
  </si>
  <si>
    <r>
      <t xml:space="preserve"> CO</t>
    </r>
    <r>
      <rPr>
        <b/>
        <vertAlign val="subscript"/>
        <sz val="11"/>
        <rFont val="Calibri"/>
        <family val="2"/>
        <scheme val="minor"/>
      </rPr>
      <t>2</t>
    </r>
    <r>
      <rPr>
        <b/>
        <vertAlign val="superscript"/>
        <sz val="11"/>
        <rFont val="Calibri"/>
        <family val="2"/>
        <scheme val="minor"/>
      </rPr>
      <t>(1)</t>
    </r>
  </si>
  <si>
    <r>
      <t>CH</t>
    </r>
    <r>
      <rPr>
        <b/>
        <vertAlign val="subscript"/>
        <sz val="11"/>
        <rFont val="Calibri"/>
        <family val="2"/>
        <scheme val="minor"/>
      </rPr>
      <t>4</t>
    </r>
  </si>
  <si>
    <r>
      <t>N</t>
    </r>
    <r>
      <rPr>
        <b/>
        <vertAlign val="subscript"/>
        <sz val="11"/>
        <rFont val="Calibri"/>
        <family val="2"/>
        <scheme val="minor"/>
      </rPr>
      <t>2</t>
    </r>
    <r>
      <rPr>
        <b/>
        <sz val="11"/>
        <rFont val="Calibri"/>
        <family val="2"/>
        <scheme val="minor"/>
      </rPr>
      <t>O</t>
    </r>
  </si>
  <si>
    <r>
      <t xml:space="preserve"> CO</t>
    </r>
    <r>
      <rPr>
        <b/>
        <vertAlign val="subscript"/>
        <sz val="11"/>
        <rFont val="Calibri"/>
        <family val="2"/>
        <scheme val="minor"/>
      </rPr>
      <t>2</t>
    </r>
    <r>
      <rPr>
        <b/>
        <vertAlign val="superscript"/>
        <sz val="11"/>
        <rFont val="Calibri"/>
        <family val="2"/>
        <scheme val="minor"/>
      </rPr>
      <t>(2)</t>
    </r>
  </si>
  <si>
    <r>
      <t>CO</t>
    </r>
    <r>
      <rPr>
        <b/>
        <vertAlign val="subscript"/>
        <sz val="11"/>
        <rFont val="Calibri"/>
        <family val="2"/>
        <scheme val="minor"/>
      </rPr>
      <t>2</t>
    </r>
  </si>
  <si>
    <r>
      <t>NCV/GCV</t>
    </r>
    <r>
      <rPr>
        <b/>
        <vertAlign val="superscript"/>
        <sz val="11"/>
        <rFont val="Calibri"/>
        <family val="2"/>
        <scheme val="minor"/>
      </rPr>
      <t>(3)</t>
    </r>
  </si>
  <si>
    <t>geothermal emissions</t>
  </si>
  <si>
    <t>Calendar year 2015</t>
  </si>
  <si>
    <t>Inventory 2015</t>
  </si>
  <si>
    <t>Calendar year 2014</t>
  </si>
  <si>
    <t>Inventory 2014</t>
  </si>
  <si>
    <t>Calendar year 2013</t>
  </si>
  <si>
    <t>Inventory 2013</t>
  </si>
  <si>
    <t>Calendar year 2012</t>
  </si>
  <si>
    <t>Inventory 2012</t>
  </si>
  <si>
    <t>Calendar year 2011</t>
  </si>
  <si>
    <t>Inventory 2011</t>
  </si>
  <si>
    <t>Calendar year 2010</t>
  </si>
  <si>
    <t>Interactive User Workbook Using Data and Methods from the 2010 - 2020 Calendar Year</t>
  </si>
  <si>
    <t>Purchased energy emissions workbook</t>
  </si>
  <si>
    <t xml:space="preserve">Electricity used </t>
  </si>
  <si>
    <t>Purchased energy emissions workbook - calendar quarters</t>
  </si>
  <si>
    <t>Calendar Quarter</t>
  </si>
  <si>
    <t>Working from home emission factors</t>
  </si>
  <si>
    <t xml:space="preserve">Working from home emission factors </t>
  </si>
  <si>
    <t>Default</t>
  </si>
  <si>
    <t>employee per day</t>
  </si>
  <si>
    <t>unknown</t>
  </si>
  <si>
    <t>Refer to detailed guide</t>
  </si>
  <si>
    <t>Without heating</t>
  </si>
  <si>
    <t>With heating</t>
  </si>
  <si>
    <t>Table 14:</t>
  </si>
  <si>
    <t>Data used to calculate the emission factors.</t>
  </si>
  <si>
    <r>
      <t>kg CO</t>
    </r>
    <r>
      <rPr>
        <b/>
        <vertAlign val="subscript"/>
        <sz val="9"/>
        <color rgb="FFFFFFFF"/>
        <rFont val="Calibri"/>
        <family val="2"/>
        <scheme val="minor"/>
      </rPr>
      <t>2</t>
    </r>
    <r>
      <rPr>
        <b/>
        <sz val="9"/>
        <color rgb="FFFFFFFF"/>
        <rFont val="Calibri"/>
        <family val="2"/>
        <scheme val="minor"/>
      </rPr>
      <t>‑e/unit</t>
    </r>
  </si>
  <si>
    <r>
      <t>kg CO</t>
    </r>
    <r>
      <rPr>
        <b/>
        <vertAlign val="subscript"/>
        <sz val="9"/>
        <color rgb="FFFFFFFF"/>
        <rFont val="Calibri"/>
        <family val="2"/>
        <scheme val="minor"/>
      </rPr>
      <t>2</t>
    </r>
    <r>
      <rPr>
        <b/>
        <sz val="9"/>
        <color rgb="FFFFFFFF"/>
        <rFont val="Calibri"/>
        <family val="2"/>
        <scheme val="minor"/>
      </rPr>
      <t>/unit</t>
    </r>
  </si>
  <si>
    <r>
      <t>kg CH</t>
    </r>
    <r>
      <rPr>
        <b/>
        <vertAlign val="subscript"/>
        <sz val="9"/>
        <color rgb="FFFFFFFF"/>
        <rFont val="Calibri"/>
        <family val="2"/>
        <scheme val="minor"/>
      </rPr>
      <t>4</t>
    </r>
    <r>
      <rPr>
        <b/>
        <sz val="9"/>
        <color rgb="FFFFFFFF"/>
        <rFont val="Calibri"/>
        <family val="2"/>
        <scheme val="minor"/>
      </rPr>
      <t>/unit</t>
    </r>
  </si>
  <si>
    <r>
      <t>kg N</t>
    </r>
    <r>
      <rPr>
        <b/>
        <vertAlign val="subscript"/>
        <sz val="9"/>
        <color rgb="FFFFFFFF"/>
        <rFont val="Calibri"/>
        <family val="2"/>
        <scheme val="minor"/>
      </rPr>
      <t>2</t>
    </r>
    <r>
      <rPr>
        <b/>
        <sz val="9"/>
        <color rgb="FFFFFFFF"/>
        <rFont val="Calibri"/>
        <family val="2"/>
        <scheme val="minor"/>
      </rPr>
      <t>O/unit (kg CO</t>
    </r>
    <r>
      <rPr>
        <b/>
        <vertAlign val="subscript"/>
        <sz val="9"/>
        <color rgb="FFFFFFFF"/>
        <rFont val="Calibri"/>
        <family val="2"/>
        <scheme val="minor"/>
      </rPr>
      <t>2</t>
    </r>
    <r>
      <rPr>
        <b/>
        <sz val="9"/>
        <color rgb="FFFFFFFF"/>
        <rFont val="Calibri"/>
        <family val="2"/>
        <scheme val="minor"/>
      </rPr>
      <t>‑e)</t>
    </r>
  </si>
  <si>
    <r>
      <t>(kg CO</t>
    </r>
    <r>
      <rPr>
        <b/>
        <vertAlign val="subscript"/>
        <sz val="9"/>
        <color rgb="FFFFFFFF"/>
        <rFont val="Calibri"/>
        <family val="2"/>
        <scheme val="minor"/>
      </rPr>
      <t>2</t>
    </r>
    <r>
      <rPr>
        <b/>
        <sz val="9"/>
        <color rgb="FFFFFFFF"/>
        <rFont val="Calibri"/>
        <family val="2"/>
        <scheme val="minor"/>
      </rPr>
      <t>-e)</t>
    </r>
  </si>
  <si>
    <r>
      <t>(kg CO</t>
    </r>
    <r>
      <rPr>
        <b/>
        <vertAlign val="subscript"/>
        <sz val="9"/>
        <color rgb="FFFFFFFF"/>
        <rFont val="Calibri"/>
        <family val="2"/>
        <scheme val="minor"/>
      </rPr>
      <t>2</t>
    </r>
    <r>
      <rPr>
        <b/>
        <sz val="9"/>
        <color rgb="FFFFFFFF"/>
        <rFont val="Calibri"/>
        <family val="2"/>
        <scheme val="minor"/>
      </rPr>
      <t>‑e)</t>
    </r>
  </si>
  <si>
    <t>Monitor</t>
  </si>
  <si>
    <t>Employee per day</t>
  </si>
  <si>
    <t>8 hrs per day</t>
  </si>
  <si>
    <t xml:space="preserve">Laptop </t>
  </si>
  <si>
    <t xml:space="preserve">employee per day </t>
  </si>
  <si>
    <t>Light Use</t>
  </si>
  <si>
    <t>12 W 8 hrs per day</t>
  </si>
  <si>
    <t xml:space="preserve">Heat pump use </t>
  </si>
  <si>
    <t>4 kW</t>
  </si>
  <si>
    <t>6hrs per day 50% of households</t>
  </si>
  <si>
    <t xml:space="preserve">Electric Heater </t>
  </si>
  <si>
    <t>2 kW</t>
  </si>
  <si>
    <t>2020 Calculations</t>
  </si>
  <si>
    <t xml:space="preserve">To calculate the working from home electricity usage emission factor, we decided that the most appropriate unit would be per employee per day. Therefore, we would need to calculate how much electricity, waste, waste water and water an employee typically used per day. Included in electricity emissions should be computer use, heating and cooking and light use.  </t>
  </si>
  <si>
    <r>
      <t>kg CO</t>
    </r>
    <r>
      <rPr>
        <vertAlign val="subscript"/>
        <sz val="11"/>
        <rFont val="Calibri"/>
        <family val="2"/>
        <scheme val="minor"/>
      </rPr>
      <t>2</t>
    </r>
  </si>
  <si>
    <r>
      <t>kg CH</t>
    </r>
    <r>
      <rPr>
        <vertAlign val="subscript"/>
        <sz val="11"/>
        <rFont val="Calibri"/>
        <family val="2"/>
        <scheme val="minor"/>
      </rPr>
      <t>4</t>
    </r>
  </si>
  <si>
    <r>
      <t>kg N</t>
    </r>
    <r>
      <rPr>
        <b/>
        <vertAlign val="subscript"/>
        <sz val="11"/>
        <rFont val="Calibri"/>
        <family val="2"/>
        <scheme val="minor"/>
      </rPr>
      <t>2</t>
    </r>
    <r>
      <rPr>
        <b/>
        <sz val="11"/>
        <rFont val="Calibri"/>
        <family val="2"/>
        <scheme val="minor"/>
      </rPr>
      <t>O</t>
    </r>
  </si>
  <si>
    <t>Monitor use</t>
  </si>
  <si>
    <t>assume 8 hrs per day</t>
  </si>
  <si>
    <t xml:space="preserve">Computer </t>
  </si>
  <si>
    <t>Boiling a cup of water in a kettle twice a day</t>
  </si>
  <si>
    <t>assume 2 boils of a kettle filled 500ml</t>
  </si>
  <si>
    <t>assume used 8hrs per day half the year</t>
  </si>
  <si>
    <t>Waste to landfill</t>
  </si>
  <si>
    <t>assume 21% of the year is a working year</t>
  </si>
  <si>
    <t>Waste water</t>
  </si>
  <si>
    <t>Water use</t>
  </si>
  <si>
    <t xml:space="preserve">Electricity from computer usage using  consumer NZ article </t>
  </si>
  <si>
    <t xml:space="preserve">According to consumer NZ, a typical computer and LED monitor uses 150 watts per hour. </t>
  </si>
  <si>
    <t xml:space="preserve">Source: https://www.consumer.org.nz/articles/appliance-running-costs </t>
  </si>
  <si>
    <t>Computer &amp; LED monitor</t>
  </si>
  <si>
    <t>watts</t>
  </si>
  <si>
    <t xml:space="preserve">Average working day </t>
  </si>
  <si>
    <t>hours</t>
  </si>
  <si>
    <t>kWh/day</t>
  </si>
  <si>
    <t>Electricity usage of other appliances based on the Stuff article: https://www.stuff.co.nz/life-style/homed/houses/121037162/how-to-avoid-ramping-up-the-power-bill-while-working-from-home</t>
  </si>
  <si>
    <t>Average power</t>
  </si>
  <si>
    <t>Kettle boiling (assuming 3 cups a day)</t>
  </si>
  <si>
    <t>Heat pump</t>
  </si>
  <si>
    <t>6kWh</t>
  </si>
  <si>
    <t>Microwave (2 minutes reheat food)</t>
  </si>
  <si>
    <t>Gareth Gretton</t>
  </si>
  <si>
    <t>EECA</t>
  </si>
  <si>
    <t>22nd July 2020</t>
  </si>
  <si>
    <t>Cross-check numbers in Stuff article:</t>
  </si>
  <si>
    <t>https://www.stuff.co.nz/life-style/homed/houses/121037162/how-to-avoid-ramping-up-the-power-bill-while-working-from-home</t>
  </si>
  <si>
    <t>Also reference Energy Networks Australia:</t>
  </si>
  <si>
    <t>https://www.energynetworks.com.au/resources/fact-sheets/electricity-costs-working-from-home/</t>
  </si>
  <si>
    <t>Power [W]</t>
  </si>
  <si>
    <t>Time [h]</t>
  </si>
  <si>
    <t>[kWh]</t>
  </si>
  <si>
    <t>Cost per kWh</t>
  </si>
  <si>
    <t>Cost [$]</t>
  </si>
  <si>
    <t>Cost [c]</t>
  </si>
  <si>
    <t>Laptop</t>
  </si>
  <si>
    <t>Stuff article</t>
  </si>
  <si>
    <t>Energy Networks Australia</t>
  </si>
  <si>
    <t>PC</t>
  </si>
  <si>
    <t>Toitu calculation</t>
  </si>
  <si>
    <t>Kettle</t>
  </si>
  <si>
    <t>Stuff article. Assumes 2 kW for 2 minutes?</t>
  </si>
  <si>
    <t>Energy Networks Australia. Assumes 2 kW for 5 minutes?</t>
  </si>
  <si>
    <t>See calculation below.</t>
  </si>
  <si>
    <t>Boiling 500ml (minimul kettle fill)</t>
  </si>
  <si>
    <t>Boiling 500ml twice a day (2 cups)</t>
  </si>
  <si>
    <t>6 kW heat pump ??</t>
  </si>
  <si>
    <t>Email from gareth @ EECA suggested 1kW for heatpump</t>
  </si>
  <si>
    <t>Over half of new homes
including at least one heatpump</t>
  </si>
  <si>
    <t>https://www.buildmagazine.org.nz/assets/PDF/Build-152-76-Research-The-Low-down-On-Heat-Pumps.pdf</t>
  </si>
  <si>
    <t xml:space="preserve">6kW heat pump use for 1 hour </t>
  </si>
  <si>
    <t>Electric heater</t>
  </si>
  <si>
    <t xml:space="preserve">Electric heater use for 1 hour </t>
  </si>
  <si>
    <t>Calculation for boiling water</t>
  </si>
  <si>
    <t>Specific heat capacity of water</t>
  </si>
  <si>
    <t>kJ / kg K</t>
  </si>
  <si>
    <t>Mass of water</t>
  </si>
  <si>
    <t>Keep cup is 340 mL</t>
  </si>
  <si>
    <t>Delta T</t>
  </si>
  <si>
    <t>K</t>
  </si>
  <si>
    <t>Assume cold water at 10 degC</t>
  </si>
  <si>
    <t>Energy</t>
  </si>
  <si>
    <t>kJ</t>
  </si>
  <si>
    <t>MJ</t>
  </si>
  <si>
    <t>Efficiency</t>
  </si>
  <si>
    <t>Water/ waste water use</t>
  </si>
  <si>
    <t>Assume full time staff works  46 weeks per year, using per capita emissions:</t>
  </si>
  <si>
    <t>Hrs/ year</t>
  </si>
  <si>
    <t>working Hrs/ year</t>
  </si>
  <si>
    <t>% work time / year</t>
  </si>
  <si>
    <t>working days/ working year</t>
  </si>
  <si>
    <t>water</t>
  </si>
  <si>
    <r>
      <t>kg CO</t>
    </r>
    <r>
      <rPr>
        <b/>
        <vertAlign val="subscript"/>
        <sz val="11"/>
        <color rgb="FFFF0000"/>
        <rFont val="Calibri"/>
        <family val="2"/>
        <scheme val="minor"/>
      </rPr>
      <t>2</t>
    </r>
    <r>
      <rPr>
        <b/>
        <sz val="11"/>
        <color rgb="FFFF0000"/>
        <rFont val="Calibri"/>
        <family val="2"/>
        <scheme val="minor"/>
      </rPr>
      <t>-e</t>
    </r>
  </si>
  <si>
    <r>
      <t>kg CO</t>
    </r>
    <r>
      <rPr>
        <b/>
        <vertAlign val="subscript"/>
        <sz val="11"/>
        <color rgb="FFFF0000"/>
        <rFont val="Calibri"/>
        <family val="2"/>
        <scheme val="minor"/>
      </rPr>
      <t>2</t>
    </r>
  </si>
  <si>
    <r>
      <t>kg CH</t>
    </r>
    <r>
      <rPr>
        <b/>
        <vertAlign val="subscript"/>
        <sz val="11"/>
        <color rgb="FFFF0000"/>
        <rFont val="Calibri"/>
        <family val="2"/>
        <scheme val="minor"/>
      </rPr>
      <t>4</t>
    </r>
  </si>
  <si>
    <r>
      <t>kg N</t>
    </r>
    <r>
      <rPr>
        <b/>
        <vertAlign val="subscript"/>
        <sz val="11"/>
        <color rgb="FFFF0000"/>
        <rFont val="Calibri"/>
        <family val="2"/>
        <scheme val="minor"/>
      </rPr>
      <t>2</t>
    </r>
    <r>
      <rPr>
        <b/>
        <sz val="11"/>
        <color rgb="FFFF0000"/>
        <rFont val="Calibri"/>
        <family val="2"/>
        <scheme val="minor"/>
      </rPr>
      <t>O</t>
    </r>
  </si>
  <si>
    <t>Per capita per year</t>
  </si>
  <si>
    <t>employee per working year</t>
  </si>
  <si>
    <t>waste water use</t>
  </si>
  <si>
    <t>Waste-using NO LFGR general waste emission factor</t>
  </si>
  <si>
    <t>over estimateion</t>
  </si>
  <si>
    <t>Per capita/per yr</t>
  </si>
  <si>
    <t>per capita/ per working year</t>
  </si>
  <si>
    <t>N/A</t>
  </si>
  <si>
    <t>Light use-12W LED</t>
  </si>
  <si>
    <t>kW/ day</t>
  </si>
  <si>
    <t>Employee per day (8hrs)</t>
  </si>
  <si>
    <t>https://www.aucklandcouncil.govt.nz/plans-projects-policies-reports-bylaws/our-plans-strategies/topic-based-plans-strategies/environmental-plans-strategies/docswastemanagementplan/waste-assessment-2017.pdf</t>
  </si>
  <si>
    <t xml:space="preserve">Working from home electricity usage for various sources </t>
  </si>
  <si>
    <t>Refrigerant and other</t>
  </si>
  <si>
    <t>2022 Source</t>
  </si>
  <si>
    <t>AR5 GWP</t>
  </si>
  <si>
    <t>https://www.ghgprotocol.org/sites/default/files/ghgp/Global-Warming-Potential-Values%20%28Feb%2016%202016%29_1.pdf</t>
  </si>
  <si>
    <t>Add explaination in Detailed Guide about GWP values changing under Kyoto and Paris</t>
  </si>
  <si>
    <t xml:space="preserve">Appendix 8.A: </t>
  </si>
  <si>
    <t>https://www.ipcc.ch/site/assets/uploads/2018/02/WG1AR5_Chapter08_FINAL.pdf</t>
  </si>
  <si>
    <t>2020 Source</t>
  </si>
  <si>
    <r>
      <rPr>
        <sz val="11"/>
        <rFont val="Calibri"/>
        <family val="2"/>
        <scheme val="minor"/>
      </rPr>
      <t>Refrigerants</t>
    </r>
    <r>
      <rPr>
        <u/>
        <sz val="11"/>
        <rFont val="Calibri"/>
        <family val="2"/>
        <scheme val="minor"/>
      </rPr>
      <t xml:space="preserve"> https://www.ipcc.ch/publications_and_data/ar4/wg1/en/ch2s2-10-2.html </t>
    </r>
  </si>
  <si>
    <t xml:space="preserve">* specified medical gases https://www.ipcc.ch/site/assets/uploads/2018/02/WG1AR5_Chapter08_FINAL.pdf </t>
  </si>
  <si>
    <r>
      <t xml:space="preserve">Refrigerants </t>
    </r>
    <r>
      <rPr>
        <b/>
        <sz val="11"/>
        <color rgb="FFFF0000"/>
        <rFont val="Calibri"/>
        <family val="2"/>
        <scheme val="minor"/>
      </rPr>
      <t xml:space="preserve">and other </t>
    </r>
  </si>
  <si>
    <r>
      <t>AR4 Global Warming Potentials in a 100 year period (kg CO</t>
    </r>
    <r>
      <rPr>
        <b/>
        <vertAlign val="subscript"/>
        <sz val="11"/>
        <color theme="1"/>
        <rFont val="Calibri"/>
        <family val="2"/>
        <scheme val="minor"/>
      </rPr>
      <t>2</t>
    </r>
    <r>
      <rPr>
        <b/>
        <sz val="11"/>
        <color theme="1"/>
        <rFont val="Calibri"/>
        <family val="2"/>
        <scheme val="minor"/>
      </rPr>
      <t>-e)</t>
    </r>
  </si>
  <si>
    <r>
      <t>AR5 Global Warming Potentials in a 100 year period (kg CO</t>
    </r>
    <r>
      <rPr>
        <b/>
        <vertAlign val="subscript"/>
        <sz val="11"/>
        <color theme="1"/>
        <rFont val="Calibri"/>
        <family val="2"/>
        <scheme val="minor"/>
      </rPr>
      <t>2</t>
    </r>
    <r>
      <rPr>
        <b/>
        <sz val="11"/>
        <color theme="1"/>
        <rFont val="Calibri"/>
        <family val="2"/>
        <scheme val="minor"/>
      </rPr>
      <t>-e)</t>
    </r>
  </si>
  <si>
    <t xml:space="preserve">Industrial Designation or Common Name </t>
  </si>
  <si>
    <t>Chemical formula</t>
  </si>
  <si>
    <t>Carbon dioxide (R - 744)</t>
  </si>
  <si>
    <r>
      <t>CO</t>
    </r>
    <r>
      <rPr>
        <vertAlign val="subscript"/>
        <sz val="11"/>
        <color rgb="FF000000"/>
        <rFont val="Calibri"/>
        <family val="2"/>
        <scheme val="minor"/>
      </rPr>
      <t>2 </t>
    </r>
    <r>
      <rPr>
        <sz val="11"/>
        <color rgb="FF000000"/>
        <rFont val="Calibri"/>
        <family val="2"/>
        <scheme val="minor"/>
      </rPr>
      <t> </t>
    </r>
  </si>
  <si>
    <t>Methane</t>
  </si>
  <si>
    <r>
      <t>CH</t>
    </r>
    <r>
      <rPr>
        <vertAlign val="subscript"/>
        <sz val="11"/>
        <color rgb="FF000000"/>
        <rFont val="Calibri"/>
        <family val="2"/>
        <scheme val="minor"/>
      </rPr>
      <t>4 </t>
    </r>
  </si>
  <si>
    <t xml:space="preserve">Propane (R-290) </t>
  </si>
  <si>
    <r>
      <t>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8</t>
    </r>
  </si>
  <si>
    <t>From UK BEIS: https://www.gov.uk/government/publications/greenhouse-gas-reporting-conversion-factors-2021</t>
  </si>
  <si>
    <t>Nitrous oxide (R-744a)</t>
  </si>
  <si>
    <r>
      <t>N</t>
    </r>
    <r>
      <rPr>
        <vertAlign val="subscript"/>
        <sz val="11"/>
        <color rgb="FF000000"/>
        <rFont val="Calibri"/>
        <family val="2"/>
        <scheme val="minor"/>
      </rPr>
      <t>2</t>
    </r>
    <r>
      <rPr>
        <sz val="11"/>
        <color rgb="FF000000"/>
        <rFont val="Calibri"/>
        <family val="2"/>
        <scheme val="minor"/>
      </rPr>
      <t>O </t>
    </r>
  </si>
  <si>
    <t>Isobutane(R-600a)</t>
  </si>
  <si>
    <r>
      <t>C</t>
    </r>
    <r>
      <rPr>
        <vertAlign val="subscript"/>
        <sz val="11"/>
        <color theme="1"/>
        <rFont val="Calibri"/>
        <family val="2"/>
        <scheme val="minor"/>
      </rPr>
      <t>4</t>
    </r>
    <r>
      <rPr>
        <sz val="11"/>
        <color theme="1"/>
        <rFont val="Calibri"/>
        <family val="2"/>
        <scheme val="minor"/>
      </rPr>
      <t>H</t>
    </r>
    <r>
      <rPr>
        <vertAlign val="subscript"/>
        <sz val="11"/>
        <color theme="1"/>
        <rFont val="Calibri"/>
        <family val="2"/>
        <scheme val="minor"/>
      </rPr>
      <t xml:space="preserve">10 </t>
    </r>
  </si>
  <si>
    <t xml:space="preserve">Substances controlled by the Montreal Protocol </t>
  </si>
  <si>
    <t>Chlorofluorocarbons</t>
  </si>
  <si>
    <t>CFC-11  (R-11)</t>
  </si>
  <si>
    <r>
      <t>CCl</t>
    </r>
    <r>
      <rPr>
        <vertAlign val="subscript"/>
        <sz val="11"/>
        <color rgb="FF000000"/>
        <rFont val="Calibri"/>
        <family val="2"/>
        <scheme val="minor"/>
      </rPr>
      <t>3</t>
    </r>
    <r>
      <rPr>
        <sz val="11"/>
        <color rgb="FF000000"/>
        <rFont val="Calibri"/>
        <family val="2"/>
        <scheme val="minor"/>
      </rPr>
      <t>F  </t>
    </r>
  </si>
  <si>
    <t>CFC-12  (R-12)</t>
  </si>
  <si>
    <r>
      <t>CCl</t>
    </r>
    <r>
      <rPr>
        <vertAlign val="subscript"/>
        <sz val="11"/>
        <color rgb="FF000000"/>
        <rFont val="Calibri"/>
        <family val="2"/>
        <scheme val="minor"/>
      </rPr>
      <t>2</t>
    </r>
    <r>
      <rPr>
        <sz val="11"/>
        <color rgb="FF000000"/>
        <rFont val="Calibri"/>
        <family val="2"/>
        <scheme val="minor"/>
      </rPr>
      <t>F</t>
    </r>
    <r>
      <rPr>
        <vertAlign val="subscript"/>
        <sz val="11"/>
        <color rgb="FF000000"/>
        <rFont val="Calibri"/>
        <family val="2"/>
        <scheme val="minor"/>
      </rPr>
      <t>2 </t>
    </r>
    <r>
      <rPr>
        <sz val="11"/>
        <color rgb="FF000000"/>
        <rFont val="Calibri"/>
        <family val="2"/>
        <scheme val="minor"/>
      </rPr>
      <t> </t>
    </r>
  </si>
  <si>
    <t>CFC-13  (R-13)</t>
  </si>
  <si>
    <r>
      <t>CClF</t>
    </r>
    <r>
      <rPr>
        <vertAlign val="subscript"/>
        <sz val="11"/>
        <color rgb="FF000000"/>
        <rFont val="Calibri"/>
        <family val="2"/>
        <scheme val="minor"/>
      </rPr>
      <t>3 </t>
    </r>
    <r>
      <rPr>
        <sz val="11"/>
        <color rgb="FF000000"/>
        <rFont val="Calibri"/>
        <family val="2"/>
        <scheme val="minor"/>
      </rPr>
      <t> </t>
    </r>
  </si>
  <si>
    <t>CFC-113  (R-113)</t>
  </si>
  <si>
    <r>
      <t>CCl</t>
    </r>
    <r>
      <rPr>
        <vertAlign val="subscript"/>
        <sz val="11"/>
        <color rgb="FF000000"/>
        <rFont val="Calibri"/>
        <family val="2"/>
        <scheme val="minor"/>
      </rPr>
      <t>2</t>
    </r>
    <r>
      <rPr>
        <sz val="11"/>
        <color rgb="FF000000"/>
        <rFont val="Calibri"/>
        <family val="2"/>
        <scheme val="minor"/>
      </rPr>
      <t>FCClF</t>
    </r>
    <r>
      <rPr>
        <vertAlign val="subscript"/>
        <sz val="11"/>
        <color rgb="FF000000"/>
        <rFont val="Calibri"/>
        <family val="2"/>
        <scheme val="minor"/>
      </rPr>
      <t>2 </t>
    </r>
    <r>
      <rPr>
        <sz val="11"/>
        <color rgb="FF000000"/>
        <rFont val="Calibri"/>
        <family val="2"/>
        <scheme val="minor"/>
      </rPr>
      <t> </t>
    </r>
  </si>
  <si>
    <t>CFC-114  (R-114)</t>
  </si>
  <si>
    <r>
      <t>CClF</t>
    </r>
    <r>
      <rPr>
        <vertAlign val="subscript"/>
        <sz val="11"/>
        <color rgb="FF000000"/>
        <rFont val="Calibri"/>
        <family val="2"/>
        <scheme val="minor"/>
      </rPr>
      <t>2</t>
    </r>
    <r>
      <rPr>
        <sz val="11"/>
        <color rgb="FF000000"/>
        <rFont val="Calibri"/>
        <family val="2"/>
        <scheme val="minor"/>
      </rPr>
      <t>CClF</t>
    </r>
    <r>
      <rPr>
        <vertAlign val="subscript"/>
        <sz val="11"/>
        <color rgb="FF000000"/>
        <rFont val="Calibri"/>
        <family val="2"/>
        <scheme val="minor"/>
      </rPr>
      <t>2 </t>
    </r>
    <r>
      <rPr>
        <sz val="11"/>
        <color rgb="FF000000"/>
        <rFont val="Calibri"/>
        <family val="2"/>
        <scheme val="minor"/>
      </rPr>
      <t> </t>
    </r>
  </si>
  <si>
    <t>CFC-115  (R-115)</t>
  </si>
  <si>
    <r>
      <t>CClF</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3 </t>
    </r>
    <r>
      <rPr>
        <sz val="11"/>
        <color rgb="FF000000"/>
        <rFont val="Calibri"/>
        <family val="2"/>
        <scheme val="minor"/>
      </rPr>
      <t> </t>
    </r>
  </si>
  <si>
    <t>Halon-1301  (R-1301)</t>
  </si>
  <si>
    <r>
      <t>CBrF</t>
    </r>
    <r>
      <rPr>
        <vertAlign val="subscript"/>
        <sz val="11"/>
        <color rgb="FF000000"/>
        <rFont val="Calibri"/>
        <family val="2"/>
        <scheme val="minor"/>
      </rPr>
      <t>3 </t>
    </r>
    <r>
      <rPr>
        <sz val="11"/>
        <color rgb="FF000000"/>
        <rFont val="Calibri"/>
        <family val="2"/>
        <scheme val="minor"/>
      </rPr>
      <t> </t>
    </r>
  </si>
  <si>
    <t>Halon-1211  (R-1211)</t>
  </si>
  <si>
    <r>
      <t>CBrClF</t>
    </r>
    <r>
      <rPr>
        <vertAlign val="subscript"/>
        <sz val="11"/>
        <color rgb="FF000000"/>
        <rFont val="Calibri"/>
        <family val="2"/>
        <scheme val="minor"/>
      </rPr>
      <t>2 </t>
    </r>
    <r>
      <rPr>
        <sz val="11"/>
        <color rgb="FF000000"/>
        <rFont val="Calibri"/>
        <family val="2"/>
        <scheme val="minor"/>
      </rPr>
      <t> </t>
    </r>
  </si>
  <si>
    <t>Halon-2402  (R-2402)</t>
  </si>
  <si>
    <r>
      <t>CBrF</t>
    </r>
    <r>
      <rPr>
        <vertAlign val="subscript"/>
        <sz val="11"/>
        <color rgb="FF000000"/>
        <rFont val="Calibri"/>
        <family val="2"/>
        <scheme val="minor"/>
      </rPr>
      <t>2</t>
    </r>
    <r>
      <rPr>
        <sz val="11"/>
        <color rgb="FF000000"/>
        <rFont val="Calibri"/>
        <family val="2"/>
        <scheme val="minor"/>
      </rPr>
      <t>CBrF</t>
    </r>
    <r>
      <rPr>
        <vertAlign val="subscript"/>
        <sz val="11"/>
        <color rgb="FF000000"/>
        <rFont val="Calibri"/>
        <family val="2"/>
        <scheme val="minor"/>
      </rPr>
      <t>2 </t>
    </r>
    <r>
      <rPr>
        <sz val="11"/>
        <color rgb="FF000000"/>
        <rFont val="Calibri"/>
        <family val="2"/>
        <scheme val="minor"/>
      </rPr>
      <t> </t>
    </r>
  </si>
  <si>
    <t>Carbon tetrachloride  (R-10)</t>
  </si>
  <si>
    <r>
      <t>CCl</t>
    </r>
    <r>
      <rPr>
        <vertAlign val="subscript"/>
        <sz val="11"/>
        <color rgb="FF000000"/>
        <rFont val="Calibri"/>
        <family val="2"/>
        <scheme val="minor"/>
      </rPr>
      <t>4 </t>
    </r>
    <r>
      <rPr>
        <sz val="11"/>
        <color rgb="FF000000"/>
        <rFont val="Calibri"/>
        <family val="2"/>
        <scheme val="minor"/>
      </rPr>
      <t> </t>
    </r>
  </si>
  <si>
    <t>Methyl bromide  </t>
  </si>
  <si>
    <r>
      <t>CH</t>
    </r>
    <r>
      <rPr>
        <vertAlign val="subscript"/>
        <sz val="11"/>
        <color rgb="FF000000"/>
        <rFont val="Calibri"/>
        <family val="2"/>
        <scheme val="minor"/>
      </rPr>
      <t>3</t>
    </r>
    <r>
      <rPr>
        <sz val="11"/>
        <color rgb="FF000000"/>
        <rFont val="Calibri"/>
        <family val="2"/>
        <scheme val="minor"/>
      </rPr>
      <t>Br  </t>
    </r>
  </si>
  <si>
    <t>Methyl chloroform  </t>
  </si>
  <si>
    <r>
      <t>CH</t>
    </r>
    <r>
      <rPr>
        <vertAlign val="subscript"/>
        <sz val="11"/>
        <color rgb="FF000000"/>
        <rFont val="Calibri"/>
        <family val="2"/>
        <scheme val="minor"/>
      </rPr>
      <t>3</t>
    </r>
    <r>
      <rPr>
        <sz val="11"/>
        <color rgb="FF000000"/>
        <rFont val="Calibri"/>
        <family val="2"/>
        <scheme val="minor"/>
      </rPr>
      <t>CCl</t>
    </r>
    <r>
      <rPr>
        <vertAlign val="subscript"/>
        <sz val="11"/>
        <color rgb="FF000000"/>
        <rFont val="Calibri"/>
        <family val="2"/>
        <scheme val="minor"/>
      </rPr>
      <t>3 </t>
    </r>
    <r>
      <rPr>
        <sz val="11"/>
        <color rgb="FF000000"/>
        <rFont val="Calibri"/>
        <family val="2"/>
        <scheme val="minor"/>
      </rPr>
      <t> </t>
    </r>
  </si>
  <si>
    <t>HCFC-21</t>
  </si>
  <si>
    <r>
      <t>(CHCl</t>
    </r>
    <r>
      <rPr>
        <vertAlign val="subscript"/>
        <sz val="11"/>
        <color theme="7"/>
        <rFont val="Calibri"/>
        <family val="2"/>
        <scheme val="minor"/>
      </rPr>
      <t>2</t>
    </r>
    <r>
      <rPr>
        <sz val="11"/>
        <color theme="7"/>
        <rFont val="Calibri"/>
        <family val="2"/>
        <scheme val="minor"/>
      </rPr>
      <t>F)</t>
    </r>
  </si>
  <si>
    <t>HCFC-22  (R-22)</t>
  </si>
  <si>
    <r>
      <t>CHClF</t>
    </r>
    <r>
      <rPr>
        <vertAlign val="subscript"/>
        <sz val="11"/>
        <color rgb="FF000000"/>
        <rFont val="Calibri"/>
        <family val="2"/>
        <scheme val="minor"/>
      </rPr>
      <t>2 </t>
    </r>
    <r>
      <rPr>
        <sz val="11"/>
        <color rgb="FF000000"/>
        <rFont val="Calibri"/>
        <family val="2"/>
        <scheme val="minor"/>
      </rPr>
      <t> </t>
    </r>
  </si>
  <si>
    <t>HCFC-123  (R-123)</t>
  </si>
  <si>
    <r>
      <t>CHCl</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3 </t>
    </r>
    <r>
      <rPr>
        <sz val="11"/>
        <color rgb="FF000000"/>
        <rFont val="Calibri"/>
        <family val="2"/>
        <scheme val="minor"/>
      </rPr>
      <t> </t>
    </r>
  </si>
  <si>
    <t>HCFC-124  (R-124)</t>
  </si>
  <si>
    <r>
      <t>CHClFCF</t>
    </r>
    <r>
      <rPr>
        <vertAlign val="subscript"/>
        <sz val="11"/>
        <color rgb="FF000000"/>
        <rFont val="Calibri"/>
        <family val="2"/>
        <scheme val="minor"/>
      </rPr>
      <t>3 </t>
    </r>
    <r>
      <rPr>
        <sz val="11"/>
        <color rgb="FF000000"/>
        <rFont val="Calibri"/>
        <family val="2"/>
        <scheme val="minor"/>
      </rPr>
      <t> </t>
    </r>
  </si>
  <si>
    <t>HCFC-141b  (R-141b)</t>
  </si>
  <si>
    <r>
      <t>CH</t>
    </r>
    <r>
      <rPr>
        <vertAlign val="subscript"/>
        <sz val="11"/>
        <color rgb="FF000000"/>
        <rFont val="Calibri"/>
        <family val="2"/>
        <scheme val="minor"/>
      </rPr>
      <t>3</t>
    </r>
    <r>
      <rPr>
        <sz val="11"/>
        <color rgb="FF000000"/>
        <rFont val="Calibri"/>
        <family val="2"/>
        <scheme val="minor"/>
      </rPr>
      <t>CCl</t>
    </r>
    <r>
      <rPr>
        <vertAlign val="subscript"/>
        <sz val="11"/>
        <color rgb="FF000000"/>
        <rFont val="Calibri"/>
        <family val="2"/>
        <scheme val="minor"/>
      </rPr>
      <t>2</t>
    </r>
    <r>
      <rPr>
        <sz val="11"/>
        <color rgb="FF000000"/>
        <rFont val="Calibri"/>
        <family val="2"/>
        <scheme val="minor"/>
      </rPr>
      <t>F  </t>
    </r>
  </si>
  <si>
    <t>HCFC-142b  (R-142b)</t>
  </si>
  <si>
    <r>
      <t>CH</t>
    </r>
    <r>
      <rPr>
        <vertAlign val="subscript"/>
        <sz val="11"/>
        <color rgb="FF000000"/>
        <rFont val="Calibri"/>
        <family val="2"/>
        <scheme val="minor"/>
      </rPr>
      <t>3</t>
    </r>
    <r>
      <rPr>
        <sz val="11"/>
        <color rgb="FF000000"/>
        <rFont val="Calibri"/>
        <family val="2"/>
        <scheme val="minor"/>
      </rPr>
      <t>CClF</t>
    </r>
    <r>
      <rPr>
        <vertAlign val="subscript"/>
        <sz val="11"/>
        <color rgb="FF000000"/>
        <rFont val="Calibri"/>
        <family val="2"/>
        <scheme val="minor"/>
      </rPr>
      <t>2 </t>
    </r>
    <r>
      <rPr>
        <sz val="11"/>
        <color rgb="FF000000"/>
        <rFont val="Calibri"/>
        <family val="2"/>
        <scheme val="minor"/>
      </rPr>
      <t> </t>
    </r>
  </si>
  <si>
    <t>HCFC-225ca  (R-225ca)</t>
  </si>
  <si>
    <r>
      <t>CHCl</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3 </t>
    </r>
    <r>
      <rPr>
        <sz val="11"/>
        <color rgb="FF000000"/>
        <rFont val="Calibri"/>
        <family val="2"/>
        <scheme val="minor"/>
      </rPr>
      <t> </t>
    </r>
  </si>
  <si>
    <t>HCFC-225cb  (R- 225cb)</t>
  </si>
  <si>
    <r>
      <t>CHClFCF</t>
    </r>
    <r>
      <rPr>
        <vertAlign val="subscript"/>
        <sz val="11"/>
        <color rgb="FF000000"/>
        <rFont val="Calibri"/>
        <family val="2"/>
        <scheme val="minor"/>
      </rPr>
      <t>2</t>
    </r>
    <r>
      <rPr>
        <sz val="11"/>
        <color rgb="FF000000"/>
        <rFont val="Calibri"/>
        <family val="2"/>
        <scheme val="minor"/>
      </rPr>
      <t>CClF</t>
    </r>
    <r>
      <rPr>
        <vertAlign val="subscript"/>
        <sz val="11"/>
        <color rgb="FF000000"/>
        <rFont val="Calibri"/>
        <family val="2"/>
        <scheme val="minor"/>
      </rPr>
      <t>2 </t>
    </r>
    <r>
      <rPr>
        <sz val="11"/>
        <color rgb="FF000000"/>
        <rFont val="Calibri"/>
        <family val="2"/>
        <scheme val="minor"/>
      </rPr>
      <t> </t>
    </r>
  </si>
  <si>
    <t>Hydrofluorocarbons </t>
  </si>
  <si>
    <t>HFC-23  (R-23)</t>
  </si>
  <si>
    <r>
      <t>CHF</t>
    </r>
    <r>
      <rPr>
        <vertAlign val="subscript"/>
        <sz val="11"/>
        <color rgb="FF000000"/>
        <rFont val="Calibri"/>
        <family val="2"/>
        <scheme val="minor"/>
      </rPr>
      <t>3 </t>
    </r>
    <r>
      <rPr>
        <sz val="11"/>
        <color rgb="FF000000"/>
        <rFont val="Calibri"/>
        <family val="2"/>
        <scheme val="minor"/>
      </rPr>
      <t> </t>
    </r>
  </si>
  <si>
    <t>HFC-32  (R-32)</t>
  </si>
  <si>
    <r>
      <t>CH</t>
    </r>
    <r>
      <rPr>
        <vertAlign val="subscript"/>
        <sz val="11"/>
        <color rgb="FF000000"/>
        <rFont val="Calibri"/>
        <family val="2"/>
        <scheme val="minor"/>
      </rPr>
      <t>2</t>
    </r>
    <r>
      <rPr>
        <sz val="11"/>
        <color rgb="FF000000"/>
        <rFont val="Calibri"/>
        <family val="2"/>
        <scheme val="minor"/>
      </rPr>
      <t>F</t>
    </r>
    <r>
      <rPr>
        <vertAlign val="subscript"/>
        <sz val="11"/>
        <color rgb="FF000000"/>
        <rFont val="Calibri"/>
        <family val="2"/>
        <scheme val="minor"/>
      </rPr>
      <t>2 </t>
    </r>
    <r>
      <rPr>
        <sz val="11"/>
        <color rgb="FF000000"/>
        <rFont val="Calibri"/>
        <family val="2"/>
        <scheme val="minor"/>
      </rPr>
      <t> </t>
    </r>
  </si>
  <si>
    <t>HFC-41</t>
  </si>
  <si>
    <r>
      <t>CH</t>
    </r>
    <r>
      <rPr>
        <vertAlign val="subscript"/>
        <sz val="11"/>
        <color theme="7"/>
        <rFont val="Calibri"/>
        <family val="2"/>
        <scheme val="minor"/>
      </rPr>
      <t>3</t>
    </r>
    <r>
      <rPr>
        <sz val="11"/>
        <color theme="7"/>
        <rFont val="Calibri"/>
        <family val="2"/>
        <scheme val="minor"/>
      </rPr>
      <t>F</t>
    </r>
    <r>
      <rPr>
        <vertAlign val="subscript"/>
        <sz val="11"/>
        <color theme="7"/>
        <rFont val="Calibri"/>
        <family val="2"/>
        <scheme val="minor"/>
      </rPr>
      <t>2</t>
    </r>
  </si>
  <si>
    <t>HFC-125  (R-125)</t>
  </si>
  <si>
    <r>
      <t>CHF</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3 </t>
    </r>
    <r>
      <rPr>
        <sz val="11"/>
        <color rgb="FF000000"/>
        <rFont val="Calibri"/>
        <family val="2"/>
        <scheme val="minor"/>
      </rPr>
      <t> </t>
    </r>
  </si>
  <si>
    <t>HFC-134</t>
  </si>
  <si>
    <r>
      <t>CHF</t>
    </r>
    <r>
      <rPr>
        <vertAlign val="subscript"/>
        <sz val="11"/>
        <color theme="7"/>
        <rFont val="Calibri"/>
        <family val="2"/>
        <scheme val="minor"/>
      </rPr>
      <t>2</t>
    </r>
    <r>
      <rPr>
        <sz val="11"/>
        <color theme="7"/>
        <rFont val="Calibri"/>
        <family val="2"/>
        <scheme val="minor"/>
      </rPr>
      <t>CHF</t>
    </r>
    <r>
      <rPr>
        <vertAlign val="subscript"/>
        <sz val="11"/>
        <color theme="7"/>
        <rFont val="Calibri"/>
        <family val="2"/>
        <scheme val="minor"/>
      </rPr>
      <t>2</t>
    </r>
  </si>
  <si>
    <t>HFC-134a  (R-134a)</t>
  </si>
  <si>
    <r>
      <t>CH</t>
    </r>
    <r>
      <rPr>
        <vertAlign val="subscript"/>
        <sz val="11"/>
        <color rgb="FF000000"/>
        <rFont val="Calibri"/>
        <family val="2"/>
        <scheme val="minor"/>
      </rPr>
      <t>2</t>
    </r>
    <r>
      <rPr>
        <sz val="11"/>
        <color rgb="FF000000"/>
        <rFont val="Calibri"/>
        <family val="2"/>
        <scheme val="minor"/>
      </rPr>
      <t>FCF</t>
    </r>
    <r>
      <rPr>
        <vertAlign val="subscript"/>
        <sz val="11"/>
        <color rgb="FF000000"/>
        <rFont val="Calibri"/>
        <family val="2"/>
        <scheme val="minor"/>
      </rPr>
      <t>3 </t>
    </r>
    <r>
      <rPr>
        <sz val="11"/>
        <color rgb="FF000000"/>
        <rFont val="Calibri"/>
        <family val="2"/>
        <scheme val="minor"/>
      </rPr>
      <t> </t>
    </r>
  </si>
  <si>
    <t>HFC-143</t>
  </si>
  <si>
    <r>
      <t>CH</t>
    </r>
    <r>
      <rPr>
        <vertAlign val="subscript"/>
        <sz val="11"/>
        <color theme="7"/>
        <rFont val="Calibri"/>
        <family val="2"/>
        <scheme val="minor"/>
      </rPr>
      <t>2</t>
    </r>
    <r>
      <rPr>
        <sz val="11"/>
        <color theme="7"/>
        <rFont val="Calibri"/>
        <family val="2"/>
        <scheme val="minor"/>
      </rPr>
      <t>FCHF</t>
    </r>
    <r>
      <rPr>
        <vertAlign val="subscript"/>
        <sz val="11"/>
        <color theme="7"/>
        <rFont val="Calibri"/>
        <family val="2"/>
        <scheme val="minor"/>
      </rPr>
      <t>2</t>
    </r>
  </si>
  <si>
    <t>HFC-143a  (R-143a)</t>
  </si>
  <si>
    <r>
      <t>CH</t>
    </r>
    <r>
      <rPr>
        <vertAlign val="subscript"/>
        <sz val="11"/>
        <color rgb="FF000000"/>
        <rFont val="Calibri"/>
        <family val="2"/>
        <scheme val="minor"/>
      </rPr>
      <t>3</t>
    </r>
    <r>
      <rPr>
        <sz val="11"/>
        <color rgb="FF000000"/>
        <rFont val="Calibri"/>
        <family val="2"/>
        <scheme val="minor"/>
      </rPr>
      <t>CF</t>
    </r>
    <r>
      <rPr>
        <vertAlign val="subscript"/>
        <sz val="11"/>
        <color rgb="FF000000"/>
        <rFont val="Calibri"/>
        <family val="2"/>
        <scheme val="minor"/>
      </rPr>
      <t>3 </t>
    </r>
    <r>
      <rPr>
        <sz val="11"/>
        <color rgb="FF000000"/>
        <rFont val="Calibri"/>
        <family val="2"/>
        <scheme val="minor"/>
      </rPr>
      <t> </t>
    </r>
  </si>
  <si>
    <t>HFC-152</t>
  </si>
  <si>
    <r>
      <t>CH</t>
    </r>
    <r>
      <rPr>
        <vertAlign val="subscript"/>
        <sz val="11"/>
        <color theme="7"/>
        <rFont val="Calibri"/>
        <family val="2"/>
        <scheme val="minor"/>
      </rPr>
      <t>2</t>
    </r>
    <r>
      <rPr>
        <sz val="11"/>
        <color theme="7"/>
        <rFont val="Calibri"/>
        <family val="2"/>
        <scheme val="minor"/>
      </rPr>
      <t>FCH</t>
    </r>
    <r>
      <rPr>
        <vertAlign val="subscript"/>
        <sz val="11"/>
        <color theme="7"/>
        <rFont val="Calibri"/>
        <family val="2"/>
        <scheme val="minor"/>
      </rPr>
      <t>2</t>
    </r>
    <r>
      <rPr>
        <sz val="11"/>
        <color theme="7"/>
        <rFont val="Calibri"/>
        <family val="2"/>
        <scheme val="minor"/>
      </rPr>
      <t>F</t>
    </r>
  </si>
  <si>
    <t>HFC-152a  (R-152a)</t>
  </si>
  <si>
    <r>
      <t>CH</t>
    </r>
    <r>
      <rPr>
        <vertAlign val="subscript"/>
        <sz val="11"/>
        <color rgb="FF000000"/>
        <rFont val="Calibri"/>
        <family val="2"/>
        <scheme val="minor"/>
      </rPr>
      <t>3</t>
    </r>
    <r>
      <rPr>
        <sz val="11"/>
        <color rgb="FF000000"/>
        <rFont val="Calibri"/>
        <family val="2"/>
        <scheme val="minor"/>
      </rPr>
      <t>CHF</t>
    </r>
    <r>
      <rPr>
        <vertAlign val="subscript"/>
        <sz val="11"/>
        <color rgb="FF000000"/>
        <rFont val="Calibri"/>
        <family val="2"/>
        <scheme val="minor"/>
      </rPr>
      <t>2 </t>
    </r>
    <r>
      <rPr>
        <sz val="11"/>
        <color rgb="FF000000"/>
        <rFont val="Calibri"/>
        <family val="2"/>
        <scheme val="minor"/>
      </rPr>
      <t> </t>
    </r>
  </si>
  <si>
    <t>HFC-161</t>
  </si>
  <si>
    <r>
      <t>CH</t>
    </r>
    <r>
      <rPr>
        <vertAlign val="subscript"/>
        <sz val="11"/>
        <color theme="7"/>
        <rFont val="Calibri"/>
        <family val="2"/>
        <scheme val="minor"/>
      </rPr>
      <t>3</t>
    </r>
    <r>
      <rPr>
        <sz val="11"/>
        <color theme="7"/>
        <rFont val="Calibri"/>
        <family val="2"/>
        <scheme val="minor"/>
      </rPr>
      <t>CH</t>
    </r>
    <r>
      <rPr>
        <vertAlign val="subscript"/>
        <sz val="11"/>
        <color theme="7"/>
        <rFont val="Calibri"/>
        <family val="2"/>
        <scheme val="minor"/>
      </rPr>
      <t>2</t>
    </r>
    <r>
      <rPr>
        <sz val="11"/>
        <color theme="7"/>
        <rFont val="Calibri"/>
        <family val="2"/>
        <scheme val="minor"/>
      </rPr>
      <t>F</t>
    </r>
  </si>
  <si>
    <t>HFC-227ea  (R-227ea)</t>
  </si>
  <si>
    <r>
      <t>CF</t>
    </r>
    <r>
      <rPr>
        <vertAlign val="subscript"/>
        <sz val="11"/>
        <color rgb="FF000000"/>
        <rFont val="Calibri"/>
        <family val="2"/>
        <scheme val="minor"/>
      </rPr>
      <t>3</t>
    </r>
    <r>
      <rPr>
        <sz val="11"/>
        <color rgb="FF000000"/>
        <rFont val="Calibri"/>
        <family val="2"/>
        <scheme val="minor"/>
      </rPr>
      <t>CHFCF</t>
    </r>
    <r>
      <rPr>
        <vertAlign val="subscript"/>
        <sz val="11"/>
        <color rgb="FF000000"/>
        <rFont val="Calibri"/>
        <family val="2"/>
        <scheme val="minor"/>
      </rPr>
      <t>3 </t>
    </r>
    <r>
      <rPr>
        <sz val="11"/>
        <color rgb="FF000000"/>
        <rFont val="Calibri"/>
        <family val="2"/>
        <scheme val="minor"/>
      </rPr>
      <t> </t>
    </r>
  </si>
  <si>
    <t>HFC-236cb</t>
  </si>
  <si>
    <r>
      <t>CH</t>
    </r>
    <r>
      <rPr>
        <vertAlign val="subscript"/>
        <sz val="11"/>
        <color theme="7"/>
        <rFont val="Calibri"/>
        <family val="2"/>
        <scheme val="minor"/>
      </rPr>
      <t>2</t>
    </r>
    <r>
      <rPr>
        <sz val="11"/>
        <color theme="7"/>
        <rFont val="Calibri"/>
        <family val="2"/>
        <scheme val="minor"/>
      </rPr>
      <t>FCF</t>
    </r>
    <r>
      <rPr>
        <vertAlign val="subscript"/>
        <sz val="11"/>
        <color theme="7"/>
        <rFont val="Calibri"/>
        <family val="2"/>
        <scheme val="minor"/>
      </rPr>
      <t>2</t>
    </r>
    <r>
      <rPr>
        <sz val="11"/>
        <color theme="7"/>
        <rFont val="Calibri"/>
        <family val="2"/>
        <scheme val="minor"/>
      </rPr>
      <t>CF</t>
    </r>
    <r>
      <rPr>
        <vertAlign val="subscript"/>
        <sz val="11"/>
        <color theme="7"/>
        <rFont val="Calibri"/>
        <family val="2"/>
        <scheme val="minor"/>
      </rPr>
      <t>3</t>
    </r>
  </si>
  <si>
    <t>HFC-236ea</t>
  </si>
  <si>
    <r>
      <t>CHF</t>
    </r>
    <r>
      <rPr>
        <vertAlign val="subscript"/>
        <sz val="11"/>
        <color theme="7"/>
        <rFont val="Calibri"/>
        <family val="2"/>
        <scheme val="minor"/>
      </rPr>
      <t>2</t>
    </r>
    <r>
      <rPr>
        <sz val="11"/>
        <color theme="7"/>
        <rFont val="Calibri"/>
        <family val="2"/>
        <scheme val="minor"/>
      </rPr>
      <t>CHFCF</t>
    </r>
    <r>
      <rPr>
        <vertAlign val="subscript"/>
        <sz val="11"/>
        <color theme="7"/>
        <rFont val="Calibri"/>
        <family val="2"/>
        <scheme val="minor"/>
      </rPr>
      <t>3</t>
    </r>
  </si>
  <si>
    <t>HFC-236fa  (R-236fa)</t>
  </si>
  <si>
    <r>
      <t>CF</t>
    </r>
    <r>
      <rPr>
        <vertAlign val="subscript"/>
        <sz val="11"/>
        <color rgb="FF000000"/>
        <rFont val="Calibri"/>
        <family val="2"/>
        <scheme val="minor"/>
      </rPr>
      <t>3</t>
    </r>
    <r>
      <rPr>
        <sz val="11"/>
        <color rgb="FF000000"/>
        <rFont val="Calibri"/>
        <family val="2"/>
        <scheme val="minor"/>
      </rPr>
      <t>CH</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3 </t>
    </r>
    <r>
      <rPr>
        <sz val="11"/>
        <color rgb="FF000000"/>
        <rFont val="Calibri"/>
        <family val="2"/>
        <scheme val="minor"/>
      </rPr>
      <t> </t>
    </r>
  </si>
  <si>
    <t>HFC-245ca</t>
  </si>
  <si>
    <r>
      <t>CH</t>
    </r>
    <r>
      <rPr>
        <vertAlign val="subscript"/>
        <sz val="11"/>
        <color theme="7"/>
        <rFont val="Calibri"/>
        <family val="2"/>
        <scheme val="minor"/>
      </rPr>
      <t>2</t>
    </r>
    <r>
      <rPr>
        <sz val="11"/>
        <color theme="7"/>
        <rFont val="Calibri"/>
        <family val="2"/>
        <scheme val="minor"/>
      </rPr>
      <t>FCF</t>
    </r>
    <r>
      <rPr>
        <vertAlign val="subscript"/>
        <sz val="11"/>
        <color theme="7"/>
        <rFont val="Calibri"/>
        <family val="2"/>
        <scheme val="minor"/>
      </rPr>
      <t>2</t>
    </r>
    <r>
      <rPr>
        <sz val="11"/>
        <color theme="7"/>
        <rFont val="Calibri"/>
        <family val="2"/>
        <scheme val="minor"/>
      </rPr>
      <t>CHF</t>
    </r>
    <r>
      <rPr>
        <vertAlign val="subscript"/>
        <sz val="11"/>
        <color theme="7"/>
        <rFont val="Calibri"/>
        <family val="2"/>
        <scheme val="minor"/>
      </rPr>
      <t>2</t>
    </r>
  </si>
  <si>
    <t>HFC-245fa  (R - 245fa)</t>
  </si>
  <si>
    <r>
      <t>CHF</t>
    </r>
    <r>
      <rPr>
        <vertAlign val="subscript"/>
        <sz val="11"/>
        <color rgb="FF000000"/>
        <rFont val="Calibri"/>
        <family val="2"/>
        <scheme val="minor"/>
      </rPr>
      <t>2</t>
    </r>
    <r>
      <rPr>
        <sz val="11"/>
        <color rgb="FF000000"/>
        <rFont val="Calibri"/>
        <family val="2"/>
        <scheme val="minor"/>
      </rPr>
      <t>CH</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3 </t>
    </r>
    <r>
      <rPr>
        <sz val="11"/>
        <color rgb="FF000000"/>
        <rFont val="Calibri"/>
        <family val="2"/>
        <scheme val="minor"/>
      </rPr>
      <t> </t>
    </r>
  </si>
  <si>
    <t>HFC-365mfc  (R- 365mfc)</t>
  </si>
  <si>
    <r>
      <t>CH</t>
    </r>
    <r>
      <rPr>
        <vertAlign val="subscript"/>
        <sz val="11"/>
        <color rgb="FF000000"/>
        <rFont val="Calibri"/>
        <family val="2"/>
        <scheme val="minor"/>
      </rPr>
      <t>3</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CH</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3 </t>
    </r>
    <r>
      <rPr>
        <sz val="11"/>
        <color rgb="FF000000"/>
        <rFont val="Calibri"/>
        <family val="2"/>
        <scheme val="minor"/>
      </rPr>
      <t> </t>
    </r>
  </si>
  <si>
    <t>HFC-43-10mee  </t>
  </si>
  <si>
    <r>
      <t>CF</t>
    </r>
    <r>
      <rPr>
        <vertAlign val="subscript"/>
        <sz val="11"/>
        <color rgb="FF000000"/>
        <rFont val="Calibri"/>
        <family val="2"/>
        <scheme val="minor"/>
      </rPr>
      <t>3</t>
    </r>
    <r>
      <rPr>
        <sz val="11"/>
        <color rgb="FF000000"/>
        <rFont val="Calibri"/>
        <family val="2"/>
        <scheme val="minor"/>
      </rPr>
      <t>CHFCHFCF</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3</t>
    </r>
    <r>
      <rPr>
        <sz val="11"/>
        <color rgb="FF000000"/>
        <rFont val="Calibri"/>
        <family val="2"/>
        <scheme val="minor"/>
      </rPr>
      <t> </t>
    </r>
  </si>
  <si>
    <t>Perfluorinated compounds  </t>
  </si>
  <si>
    <t>Fully Fluorinated Species</t>
  </si>
  <si>
    <t>Sulphur hexafluoride  </t>
  </si>
  <si>
    <r>
      <t>SF</t>
    </r>
    <r>
      <rPr>
        <vertAlign val="subscript"/>
        <sz val="11"/>
        <color rgb="FF000000"/>
        <rFont val="Calibri"/>
        <family val="2"/>
        <scheme val="minor"/>
      </rPr>
      <t>6 </t>
    </r>
    <r>
      <rPr>
        <sz val="11"/>
        <color rgb="FF000000"/>
        <rFont val="Calibri"/>
        <family val="2"/>
        <scheme val="minor"/>
      </rPr>
      <t> </t>
    </r>
  </si>
  <si>
    <t>Nitrogen trifluoride  </t>
  </si>
  <si>
    <r>
      <t>NF</t>
    </r>
    <r>
      <rPr>
        <vertAlign val="subscript"/>
        <sz val="11"/>
        <color rgb="FF000000"/>
        <rFont val="Calibri"/>
        <family val="2"/>
        <scheme val="minor"/>
      </rPr>
      <t>3 </t>
    </r>
    <r>
      <rPr>
        <sz val="11"/>
        <color rgb="FF000000"/>
        <rFont val="Calibri"/>
        <family val="2"/>
        <scheme val="minor"/>
      </rPr>
      <t> </t>
    </r>
  </si>
  <si>
    <t>PFC-14  </t>
  </si>
  <si>
    <r>
      <t>CF</t>
    </r>
    <r>
      <rPr>
        <vertAlign val="subscript"/>
        <sz val="11"/>
        <color rgb="FF000000"/>
        <rFont val="Calibri"/>
        <family val="2"/>
        <scheme val="minor"/>
      </rPr>
      <t>4 </t>
    </r>
    <r>
      <rPr>
        <sz val="11"/>
        <color rgb="FF000000"/>
        <rFont val="Calibri"/>
        <family val="2"/>
        <scheme val="minor"/>
      </rPr>
      <t> </t>
    </r>
  </si>
  <si>
    <t>PFC-116  </t>
  </si>
  <si>
    <r>
      <t>C</t>
    </r>
    <r>
      <rPr>
        <vertAlign val="subscript"/>
        <sz val="11"/>
        <rFont val="Calibri"/>
        <family val="2"/>
        <scheme val="minor"/>
      </rPr>
      <t>2</t>
    </r>
    <r>
      <rPr>
        <sz val="11"/>
        <rFont val="Calibri"/>
        <family val="2"/>
        <scheme val="minor"/>
      </rPr>
      <t>F</t>
    </r>
    <r>
      <rPr>
        <vertAlign val="subscript"/>
        <sz val="11"/>
        <rFont val="Calibri"/>
        <family val="2"/>
        <scheme val="minor"/>
      </rPr>
      <t>6 </t>
    </r>
    <r>
      <rPr>
        <sz val="11"/>
        <rFont val="Calibri"/>
        <family val="2"/>
        <scheme val="minor"/>
      </rPr>
      <t> </t>
    </r>
  </si>
  <si>
    <t>PFC-218  </t>
  </si>
  <si>
    <r>
      <t>C</t>
    </r>
    <r>
      <rPr>
        <vertAlign val="subscript"/>
        <sz val="11"/>
        <rFont val="Calibri"/>
        <family val="2"/>
        <scheme val="minor"/>
      </rPr>
      <t>3</t>
    </r>
    <r>
      <rPr>
        <sz val="11"/>
        <rFont val="Calibri"/>
        <family val="2"/>
        <scheme val="minor"/>
      </rPr>
      <t>F</t>
    </r>
    <r>
      <rPr>
        <vertAlign val="subscript"/>
        <sz val="11"/>
        <rFont val="Calibri"/>
        <family val="2"/>
        <scheme val="minor"/>
      </rPr>
      <t>8</t>
    </r>
  </si>
  <si>
    <t>PFC-318  </t>
  </si>
  <si>
    <r>
      <t>c-C</t>
    </r>
    <r>
      <rPr>
        <vertAlign val="subscript"/>
        <sz val="11"/>
        <rFont val="Calibri"/>
        <family val="2"/>
        <scheme val="minor"/>
      </rPr>
      <t>4</t>
    </r>
    <r>
      <rPr>
        <sz val="11"/>
        <rFont val="Calibri"/>
        <family val="2"/>
        <scheme val="minor"/>
      </rPr>
      <t>F</t>
    </r>
    <r>
      <rPr>
        <vertAlign val="subscript"/>
        <sz val="11"/>
        <rFont val="Calibri"/>
        <family val="2"/>
        <scheme val="minor"/>
      </rPr>
      <t>8</t>
    </r>
  </si>
  <si>
    <t>PFC-31-10  </t>
  </si>
  <si>
    <r>
      <t>C</t>
    </r>
    <r>
      <rPr>
        <vertAlign val="subscript"/>
        <sz val="11"/>
        <rFont val="Calibri"/>
        <family val="2"/>
        <scheme val="minor"/>
      </rPr>
      <t>4</t>
    </r>
    <r>
      <rPr>
        <sz val="11"/>
        <rFont val="Calibri"/>
        <family val="2"/>
        <scheme val="minor"/>
      </rPr>
      <t>F</t>
    </r>
    <r>
      <rPr>
        <vertAlign val="subscript"/>
        <sz val="11"/>
        <rFont val="Calibri"/>
        <family val="2"/>
        <scheme val="minor"/>
      </rPr>
      <t>10</t>
    </r>
  </si>
  <si>
    <t>PFC-41-12  </t>
  </si>
  <si>
    <r>
      <t>C</t>
    </r>
    <r>
      <rPr>
        <vertAlign val="subscript"/>
        <sz val="11"/>
        <rFont val="Calibri"/>
        <family val="2"/>
        <scheme val="minor"/>
      </rPr>
      <t>5</t>
    </r>
    <r>
      <rPr>
        <sz val="11"/>
        <rFont val="Calibri"/>
        <family val="2"/>
        <scheme val="minor"/>
      </rPr>
      <t>F</t>
    </r>
    <r>
      <rPr>
        <vertAlign val="subscript"/>
        <sz val="11"/>
        <rFont val="Calibri"/>
        <family val="2"/>
        <scheme val="minor"/>
      </rPr>
      <t>12</t>
    </r>
  </si>
  <si>
    <t>PFC-51-14  </t>
  </si>
  <si>
    <r>
      <t>C</t>
    </r>
    <r>
      <rPr>
        <vertAlign val="subscript"/>
        <sz val="11"/>
        <rFont val="Calibri"/>
        <family val="2"/>
        <scheme val="minor"/>
      </rPr>
      <t>6</t>
    </r>
    <r>
      <rPr>
        <sz val="11"/>
        <rFont val="Calibri"/>
        <family val="2"/>
        <scheme val="minor"/>
      </rPr>
      <t>F</t>
    </r>
    <r>
      <rPr>
        <vertAlign val="subscript"/>
        <sz val="11"/>
        <rFont val="Calibri"/>
        <family val="2"/>
        <scheme val="minor"/>
      </rPr>
      <t>14</t>
    </r>
  </si>
  <si>
    <t>PFC-91-18  </t>
  </si>
  <si>
    <r>
      <t>C</t>
    </r>
    <r>
      <rPr>
        <vertAlign val="subscript"/>
        <sz val="11"/>
        <rFont val="Calibri"/>
        <family val="2"/>
        <scheme val="minor"/>
      </rPr>
      <t>10</t>
    </r>
    <r>
      <rPr>
        <sz val="11"/>
        <rFont val="Calibri"/>
        <family val="2"/>
        <scheme val="minor"/>
      </rPr>
      <t>F</t>
    </r>
    <r>
      <rPr>
        <vertAlign val="subscript"/>
        <sz val="11"/>
        <rFont val="Calibri"/>
        <family val="2"/>
        <scheme val="minor"/>
      </rPr>
      <t>18</t>
    </r>
  </si>
  <si>
    <t>Trifluoromethyl sulphur pentafluoride </t>
  </si>
  <si>
    <r>
      <t>SF</t>
    </r>
    <r>
      <rPr>
        <vertAlign val="subscript"/>
        <sz val="11"/>
        <rFont val="Calibri"/>
        <family val="2"/>
        <scheme val="minor"/>
      </rPr>
      <t>5</t>
    </r>
    <r>
      <rPr>
        <sz val="11"/>
        <rFont val="Calibri"/>
        <family val="2"/>
        <scheme val="minor"/>
      </rPr>
      <t>CF</t>
    </r>
    <r>
      <rPr>
        <vertAlign val="subscript"/>
        <sz val="11"/>
        <rFont val="Calibri"/>
        <family val="2"/>
        <scheme val="minor"/>
      </rPr>
      <t>3</t>
    </r>
  </si>
  <si>
    <t>Perfluorocyclopropane</t>
  </si>
  <si>
    <r>
      <t>c-C</t>
    </r>
    <r>
      <rPr>
        <vertAlign val="subscript"/>
        <sz val="11"/>
        <color theme="7"/>
        <rFont val="Calibri"/>
        <family val="2"/>
        <scheme val="minor"/>
      </rPr>
      <t>3</t>
    </r>
    <r>
      <rPr>
        <sz val="11"/>
        <color theme="7"/>
        <rFont val="Calibri"/>
        <family val="2"/>
        <scheme val="minor"/>
      </rPr>
      <t>F</t>
    </r>
    <r>
      <rPr>
        <vertAlign val="subscript"/>
        <sz val="11"/>
        <color theme="7"/>
        <rFont val="Calibri"/>
        <family val="2"/>
        <scheme val="minor"/>
      </rPr>
      <t>6</t>
    </r>
  </si>
  <si>
    <r>
      <t>Fluorinated ethers </t>
    </r>
    <r>
      <rPr>
        <sz val="8"/>
        <color rgb="FF0C3086"/>
        <rFont val="Arial"/>
        <family val="2"/>
      </rPr>
      <t> </t>
    </r>
  </si>
  <si>
    <t>Halogenated  Ethers</t>
  </si>
  <si>
    <t>HFE-125  </t>
  </si>
  <si>
    <r>
      <t>CHF</t>
    </r>
    <r>
      <rPr>
        <vertAlign val="subscript"/>
        <sz val="11"/>
        <color theme="7"/>
        <rFont val="Calibri"/>
        <family val="2"/>
        <scheme val="minor"/>
      </rPr>
      <t>2</t>
    </r>
    <r>
      <rPr>
        <sz val="11"/>
        <color theme="7"/>
        <rFont val="Calibri"/>
        <family val="2"/>
        <scheme val="minor"/>
      </rPr>
      <t>OCF</t>
    </r>
    <r>
      <rPr>
        <vertAlign val="subscript"/>
        <sz val="11"/>
        <color theme="7"/>
        <rFont val="Calibri"/>
        <family val="2"/>
        <scheme val="minor"/>
      </rPr>
      <t>3</t>
    </r>
  </si>
  <si>
    <t>HFE-134  </t>
  </si>
  <si>
    <r>
      <t>CHF</t>
    </r>
    <r>
      <rPr>
        <vertAlign val="subscript"/>
        <sz val="11"/>
        <color theme="7"/>
        <rFont val="Calibri"/>
        <family val="2"/>
        <scheme val="minor"/>
      </rPr>
      <t>2</t>
    </r>
    <r>
      <rPr>
        <sz val="11"/>
        <color theme="7"/>
        <rFont val="Calibri"/>
        <family val="2"/>
        <scheme val="minor"/>
      </rPr>
      <t>OCHF</t>
    </r>
    <r>
      <rPr>
        <vertAlign val="subscript"/>
        <sz val="11"/>
        <color theme="7"/>
        <rFont val="Calibri"/>
        <family val="2"/>
        <scheme val="minor"/>
      </rPr>
      <t>2</t>
    </r>
  </si>
  <si>
    <t>HFE-143a  </t>
  </si>
  <si>
    <r>
      <t>CH</t>
    </r>
    <r>
      <rPr>
        <vertAlign val="subscript"/>
        <sz val="11"/>
        <color theme="7"/>
        <rFont val="Calibri"/>
        <family val="2"/>
        <scheme val="minor"/>
      </rPr>
      <t>3</t>
    </r>
    <r>
      <rPr>
        <sz val="11"/>
        <color theme="7"/>
        <rFont val="Calibri"/>
        <family val="2"/>
        <scheme val="minor"/>
      </rPr>
      <t>OCF</t>
    </r>
    <r>
      <rPr>
        <vertAlign val="subscript"/>
        <sz val="11"/>
        <color theme="7"/>
        <rFont val="Calibri"/>
        <family val="2"/>
        <scheme val="minor"/>
      </rPr>
      <t>3</t>
    </r>
  </si>
  <si>
    <t xml:space="preserve">HFE-227ea </t>
  </si>
  <si>
    <t>CF3CHFOCF3</t>
  </si>
  <si>
    <t>HCFE-235da2  </t>
  </si>
  <si>
    <r>
      <t>CHF</t>
    </r>
    <r>
      <rPr>
        <vertAlign val="subscript"/>
        <sz val="11"/>
        <color theme="7"/>
        <rFont val="Calibri"/>
        <family val="2"/>
        <scheme val="minor"/>
      </rPr>
      <t>2</t>
    </r>
    <r>
      <rPr>
        <sz val="11"/>
        <color theme="7"/>
        <rFont val="Calibri"/>
        <family val="2"/>
        <scheme val="minor"/>
      </rPr>
      <t>OCHClCF</t>
    </r>
    <r>
      <rPr>
        <vertAlign val="subscript"/>
        <sz val="11"/>
        <color theme="7"/>
        <rFont val="Calibri"/>
        <family val="2"/>
        <scheme val="minor"/>
      </rPr>
      <t>3</t>
    </r>
  </si>
  <si>
    <t xml:space="preserve">HFE-236ea2 </t>
  </si>
  <si>
    <t>CHF2OCHFCF3</t>
  </si>
  <si>
    <t xml:space="preserve">HFE-236fa </t>
  </si>
  <si>
    <t>CF3CH2OCF3</t>
  </si>
  <si>
    <t>HFE-245cb2  </t>
  </si>
  <si>
    <r>
      <t>CH</t>
    </r>
    <r>
      <rPr>
        <vertAlign val="subscript"/>
        <sz val="11"/>
        <color theme="7"/>
        <rFont val="Calibri"/>
        <family val="2"/>
        <scheme val="minor"/>
      </rPr>
      <t>3</t>
    </r>
    <r>
      <rPr>
        <sz val="11"/>
        <color theme="7"/>
        <rFont val="Calibri"/>
        <family val="2"/>
        <scheme val="minor"/>
      </rPr>
      <t>OCF</t>
    </r>
    <r>
      <rPr>
        <vertAlign val="subscript"/>
        <sz val="11"/>
        <color theme="7"/>
        <rFont val="Calibri"/>
        <family val="2"/>
        <scheme val="minor"/>
      </rPr>
      <t>2</t>
    </r>
    <r>
      <rPr>
        <sz val="11"/>
        <color theme="7"/>
        <rFont val="Calibri"/>
        <family val="2"/>
        <scheme val="minor"/>
      </rPr>
      <t>CF</t>
    </r>
    <r>
      <rPr>
        <vertAlign val="subscript"/>
        <sz val="11"/>
        <color theme="7"/>
        <rFont val="Calibri"/>
        <family val="2"/>
        <scheme val="minor"/>
      </rPr>
      <t>3</t>
    </r>
  </si>
  <si>
    <t>HFE-245fa1</t>
  </si>
  <si>
    <t>CHF2CH2OCF3</t>
  </si>
  <si>
    <t>HFE-245fa2  </t>
  </si>
  <si>
    <r>
      <t>CHF</t>
    </r>
    <r>
      <rPr>
        <vertAlign val="subscript"/>
        <sz val="11"/>
        <color theme="7"/>
        <rFont val="Calibri"/>
        <family val="2"/>
        <scheme val="minor"/>
      </rPr>
      <t>2</t>
    </r>
    <r>
      <rPr>
        <sz val="11"/>
        <color theme="7"/>
        <rFont val="Calibri"/>
        <family val="2"/>
        <scheme val="minor"/>
      </rPr>
      <t>OCH</t>
    </r>
    <r>
      <rPr>
        <vertAlign val="subscript"/>
        <sz val="11"/>
        <color theme="7"/>
        <rFont val="Calibri"/>
        <family val="2"/>
        <scheme val="minor"/>
      </rPr>
      <t>2</t>
    </r>
    <r>
      <rPr>
        <sz val="11"/>
        <color theme="7"/>
        <rFont val="Calibri"/>
        <family val="2"/>
        <scheme val="minor"/>
      </rPr>
      <t>CF</t>
    </r>
    <r>
      <rPr>
        <vertAlign val="subscript"/>
        <sz val="11"/>
        <color theme="7"/>
        <rFont val="Calibri"/>
        <family val="2"/>
        <scheme val="minor"/>
      </rPr>
      <t>3</t>
    </r>
  </si>
  <si>
    <t>HFE-254cb2  </t>
  </si>
  <si>
    <t xml:space="preserve">HFE-263fb2 </t>
  </si>
  <si>
    <t>CF3CH2OCH3</t>
  </si>
  <si>
    <t xml:space="preserve">HFE-329mcc2 </t>
  </si>
  <si>
    <t>CHF2CF2OCF2CF3</t>
  </si>
  <si>
    <t xml:space="preserve">HFE-338mcf2 </t>
  </si>
  <si>
    <t>CF3CH2OCF2CF3</t>
  </si>
  <si>
    <t>HFE-347mcc3  </t>
  </si>
  <si>
    <r>
      <t>CH</t>
    </r>
    <r>
      <rPr>
        <vertAlign val="subscript"/>
        <sz val="11"/>
        <color theme="7"/>
        <rFont val="Calibri"/>
        <family val="2"/>
        <scheme val="minor"/>
      </rPr>
      <t>3</t>
    </r>
    <r>
      <rPr>
        <sz val="11"/>
        <color theme="7"/>
        <rFont val="Calibri"/>
        <family val="2"/>
        <scheme val="minor"/>
      </rPr>
      <t>OCF</t>
    </r>
    <r>
      <rPr>
        <vertAlign val="subscript"/>
        <sz val="11"/>
        <color theme="7"/>
        <rFont val="Calibri"/>
        <family val="2"/>
        <scheme val="minor"/>
      </rPr>
      <t>2</t>
    </r>
    <r>
      <rPr>
        <sz val="11"/>
        <color theme="7"/>
        <rFont val="Calibri"/>
        <family val="2"/>
        <scheme val="minor"/>
      </rPr>
      <t>CF</t>
    </r>
    <r>
      <rPr>
        <vertAlign val="subscript"/>
        <sz val="11"/>
        <color theme="7"/>
        <rFont val="Calibri"/>
        <family val="2"/>
        <scheme val="minor"/>
      </rPr>
      <t>2</t>
    </r>
    <r>
      <rPr>
        <sz val="11"/>
        <color theme="7"/>
        <rFont val="Calibri"/>
        <family val="2"/>
        <scheme val="minor"/>
      </rPr>
      <t>CF</t>
    </r>
    <r>
      <rPr>
        <vertAlign val="subscript"/>
        <sz val="11"/>
        <color theme="7"/>
        <rFont val="Calibri"/>
        <family val="2"/>
        <scheme val="minor"/>
      </rPr>
      <t>3</t>
    </r>
    <r>
      <rPr>
        <sz val="11"/>
        <color theme="7"/>
        <rFont val="Calibri"/>
        <family val="2"/>
        <scheme val="minor"/>
      </rPr>
      <t xml:space="preserve"> </t>
    </r>
  </si>
  <si>
    <t xml:space="preserve">HFE-347mcf2 </t>
  </si>
  <si>
    <t>CHF2CH2OCF2CF3</t>
  </si>
  <si>
    <t>HFE-347pcf2  </t>
  </si>
  <si>
    <r>
      <t>CHF</t>
    </r>
    <r>
      <rPr>
        <vertAlign val="subscript"/>
        <sz val="11"/>
        <color theme="7"/>
        <rFont val="Calibri"/>
        <family val="2"/>
        <scheme val="minor"/>
      </rPr>
      <t>2</t>
    </r>
    <r>
      <rPr>
        <sz val="11"/>
        <color theme="7"/>
        <rFont val="Calibri"/>
        <family val="2"/>
        <scheme val="minor"/>
      </rPr>
      <t>CF</t>
    </r>
    <r>
      <rPr>
        <vertAlign val="subscript"/>
        <sz val="11"/>
        <color theme="7"/>
        <rFont val="Calibri"/>
        <family val="2"/>
        <scheme val="minor"/>
      </rPr>
      <t>2</t>
    </r>
    <r>
      <rPr>
        <sz val="11"/>
        <color theme="7"/>
        <rFont val="Calibri"/>
        <family val="2"/>
        <scheme val="minor"/>
      </rPr>
      <t>OCH</t>
    </r>
    <r>
      <rPr>
        <vertAlign val="subscript"/>
        <sz val="11"/>
        <color theme="7"/>
        <rFont val="Calibri"/>
        <family val="2"/>
        <scheme val="minor"/>
      </rPr>
      <t>2</t>
    </r>
    <r>
      <rPr>
        <sz val="11"/>
        <color theme="7"/>
        <rFont val="Calibri"/>
        <family val="2"/>
        <scheme val="minor"/>
      </rPr>
      <t>CF</t>
    </r>
    <r>
      <rPr>
        <vertAlign val="subscript"/>
        <sz val="11"/>
        <color theme="7"/>
        <rFont val="Calibri"/>
        <family val="2"/>
        <scheme val="minor"/>
      </rPr>
      <t>3</t>
    </r>
    <r>
      <rPr>
        <sz val="11"/>
        <color theme="7"/>
        <rFont val="Calibri"/>
        <family val="2"/>
        <scheme val="minor"/>
      </rPr>
      <t xml:space="preserve"> </t>
    </r>
  </si>
  <si>
    <t xml:space="preserve">HFE-356mec3 </t>
  </si>
  <si>
    <t>CH3OCF2CHFCF3</t>
  </si>
  <si>
    <t>HFE-356pcc3  </t>
  </si>
  <si>
    <r>
      <t>CH</t>
    </r>
    <r>
      <rPr>
        <vertAlign val="subscript"/>
        <sz val="11"/>
        <color theme="7"/>
        <rFont val="Calibri"/>
        <family val="2"/>
        <scheme val="minor"/>
      </rPr>
      <t>3</t>
    </r>
    <r>
      <rPr>
        <sz val="11"/>
        <color theme="7"/>
        <rFont val="Calibri"/>
        <family val="2"/>
        <scheme val="minor"/>
      </rPr>
      <t>OCF</t>
    </r>
    <r>
      <rPr>
        <vertAlign val="subscript"/>
        <sz val="11"/>
        <color theme="7"/>
        <rFont val="Calibri"/>
        <family val="2"/>
        <scheme val="minor"/>
      </rPr>
      <t>2</t>
    </r>
    <r>
      <rPr>
        <sz val="11"/>
        <color theme="7"/>
        <rFont val="Calibri"/>
        <family val="2"/>
        <scheme val="minor"/>
      </rPr>
      <t>CF</t>
    </r>
    <r>
      <rPr>
        <vertAlign val="subscript"/>
        <sz val="11"/>
        <color theme="7"/>
        <rFont val="Calibri"/>
        <family val="2"/>
        <scheme val="minor"/>
      </rPr>
      <t>2</t>
    </r>
    <r>
      <rPr>
        <sz val="11"/>
        <color theme="7"/>
        <rFont val="Calibri"/>
        <family val="2"/>
        <scheme val="minor"/>
      </rPr>
      <t>CHF</t>
    </r>
    <r>
      <rPr>
        <vertAlign val="subscript"/>
        <sz val="11"/>
        <color theme="7"/>
        <rFont val="Calibri"/>
        <family val="2"/>
        <scheme val="minor"/>
      </rPr>
      <t>2</t>
    </r>
  </si>
  <si>
    <t xml:space="preserve">HFE-356pcf2 </t>
  </si>
  <si>
    <t>CHF2CH2OCF2CHF2</t>
  </si>
  <si>
    <t xml:space="preserve">HFE-356pcf3 </t>
  </si>
  <si>
    <t>CHF2OCH2CF2CHF2</t>
  </si>
  <si>
    <t xml:space="preserve">HFE-365mcf3 </t>
  </si>
  <si>
    <t>CF3CF2CH2OCH3</t>
  </si>
  <si>
    <t xml:space="preserve">HFE-374pc2 </t>
  </si>
  <si>
    <t>CHF2CF2OCH2CH3</t>
  </si>
  <si>
    <t>HFE-449sl (HFE-7100)  </t>
  </si>
  <si>
    <r>
      <t>C</t>
    </r>
    <r>
      <rPr>
        <vertAlign val="subscript"/>
        <sz val="11"/>
        <color theme="7"/>
        <rFont val="Calibri"/>
        <family val="2"/>
        <scheme val="minor"/>
      </rPr>
      <t>4</t>
    </r>
    <r>
      <rPr>
        <sz val="11"/>
        <color theme="7"/>
        <rFont val="Calibri"/>
        <family val="2"/>
        <scheme val="minor"/>
      </rPr>
      <t>F</t>
    </r>
    <r>
      <rPr>
        <vertAlign val="subscript"/>
        <sz val="11"/>
        <color theme="7"/>
        <rFont val="Calibri"/>
        <family val="2"/>
        <scheme val="minor"/>
      </rPr>
      <t>9</t>
    </r>
    <r>
      <rPr>
        <sz val="11"/>
        <color theme="7"/>
        <rFont val="Calibri"/>
        <family val="2"/>
        <scheme val="minor"/>
      </rPr>
      <t>OCH</t>
    </r>
    <r>
      <rPr>
        <vertAlign val="subscript"/>
        <sz val="11"/>
        <color theme="7"/>
        <rFont val="Calibri"/>
        <family val="2"/>
        <scheme val="minor"/>
      </rPr>
      <t>3</t>
    </r>
  </si>
  <si>
    <t>HFE-569sf2 (HFE-7200)  </t>
  </si>
  <si>
    <r>
      <t>C</t>
    </r>
    <r>
      <rPr>
        <vertAlign val="subscript"/>
        <sz val="11"/>
        <color theme="7"/>
        <rFont val="Calibri"/>
        <family val="2"/>
        <scheme val="minor"/>
      </rPr>
      <t>4</t>
    </r>
    <r>
      <rPr>
        <sz val="11"/>
        <color theme="7"/>
        <rFont val="Calibri"/>
        <family val="2"/>
        <scheme val="minor"/>
      </rPr>
      <t>F</t>
    </r>
    <r>
      <rPr>
        <vertAlign val="subscript"/>
        <sz val="11"/>
        <color theme="7"/>
        <rFont val="Calibri"/>
        <family val="2"/>
        <scheme val="minor"/>
      </rPr>
      <t>9</t>
    </r>
    <r>
      <rPr>
        <sz val="11"/>
        <color theme="7"/>
        <rFont val="Calibri"/>
        <family val="2"/>
        <scheme val="minor"/>
      </rPr>
      <t>OC</t>
    </r>
    <r>
      <rPr>
        <vertAlign val="subscript"/>
        <sz val="11"/>
        <color theme="7"/>
        <rFont val="Calibri"/>
        <family val="2"/>
        <scheme val="minor"/>
      </rPr>
      <t>2</t>
    </r>
    <r>
      <rPr>
        <sz val="11"/>
        <color theme="7"/>
        <rFont val="Calibri"/>
        <family val="2"/>
        <scheme val="minor"/>
      </rPr>
      <t>H</t>
    </r>
    <r>
      <rPr>
        <vertAlign val="subscript"/>
        <sz val="11"/>
        <color theme="7"/>
        <rFont val="Calibri"/>
        <family val="2"/>
        <scheme val="minor"/>
      </rPr>
      <t xml:space="preserve">5 </t>
    </r>
  </si>
  <si>
    <t>HFE-43-10pccc124 (H-Galden 1040x)  </t>
  </si>
  <si>
    <t>CHF2OCF2OC2F4OCHF2</t>
  </si>
  <si>
    <t>HFE-236ca12 (HG-10)  </t>
  </si>
  <si>
    <r>
      <t>CHF</t>
    </r>
    <r>
      <rPr>
        <vertAlign val="subscript"/>
        <sz val="11"/>
        <color theme="7"/>
        <rFont val="Calibri"/>
        <family val="2"/>
        <scheme val="minor"/>
      </rPr>
      <t>2</t>
    </r>
    <r>
      <rPr>
        <sz val="11"/>
        <color theme="7"/>
        <rFont val="Calibri"/>
        <family val="2"/>
        <scheme val="minor"/>
      </rPr>
      <t>OCF</t>
    </r>
    <r>
      <rPr>
        <vertAlign val="subscript"/>
        <sz val="11"/>
        <color theme="7"/>
        <rFont val="Calibri"/>
        <family val="2"/>
        <scheme val="minor"/>
      </rPr>
      <t>2</t>
    </r>
    <r>
      <rPr>
        <sz val="11"/>
        <color theme="7"/>
        <rFont val="Calibri"/>
        <family val="2"/>
        <scheme val="minor"/>
      </rPr>
      <t>OCHF</t>
    </r>
    <r>
      <rPr>
        <vertAlign val="subscript"/>
        <sz val="11"/>
        <color theme="7"/>
        <rFont val="Calibri"/>
        <family val="2"/>
        <scheme val="minor"/>
      </rPr>
      <t>2</t>
    </r>
  </si>
  <si>
    <t>HFE-338pcc13 (HG-01)  </t>
  </si>
  <si>
    <r>
      <t xml:space="preserve"> CHF</t>
    </r>
    <r>
      <rPr>
        <vertAlign val="subscript"/>
        <sz val="11"/>
        <color theme="7"/>
        <rFont val="Calibri"/>
        <family val="2"/>
        <scheme val="minor"/>
      </rPr>
      <t>2</t>
    </r>
    <r>
      <rPr>
        <sz val="11"/>
        <color theme="7"/>
        <rFont val="Calibri"/>
        <family val="2"/>
        <scheme val="minor"/>
      </rPr>
      <t>OCF</t>
    </r>
    <r>
      <rPr>
        <vertAlign val="subscript"/>
        <sz val="11"/>
        <color theme="7"/>
        <rFont val="Calibri"/>
        <family val="2"/>
        <scheme val="minor"/>
      </rPr>
      <t>2</t>
    </r>
    <r>
      <rPr>
        <sz val="11"/>
        <color theme="7"/>
        <rFont val="Calibri"/>
        <family val="2"/>
        <scheme val="minor"/>
      </rPr>
      <t>CF</t>
    </r>
    <r>
      <rPr>
        <vertAlign val="subscript"/>
        <sz val="11"/>
        <color theme="7"/>
        <rFont val="Calibri"/>
        <family val="2"/>
        <scheme val="minor"/>
      </rPr>
      <t>2</t>
    </r>
    <r>
      <rPr>
        <sz val="11"/>
        <color theme="7"/>
        <rFont val="Calibri"/>
        <family val="2"/>
        <scheme val="minor"/>
      </rPr>
      <t>OCHF</t>
    </r>
    <r>
      <rPr>
        <vertAlign val="subscript"/>
        <sz val="11"/>
        <color theme="7"/>
        <rFont val="Calibri"/>
        <family val="2"/>
        <scheme val="minor"/>
      </rPr>
      <t>2</t>
    </r>
  </si>
  <si>
    <r>
      <t>Perfluoropolyethers</t>
    </r>
    <r>
      <rPr>
        <sz val="8"/>
        <color rgb="FF0C3086"/>
        <rFont val="Arial"/>
        <family val="2"/>
      </rPr>
      <t>  </t>
    </r>
  </si>
  <si>
    <t>PFPMIE  </t>
  </si>
  <si>
    <t>CF3OCF(CF3)CF2OCF2OCF3</t>
  </si>
  <si>
    <r>
      <t>Hydrocarbons and other compounds – Direct Effects </t>
    </r>
    <r>
      <rPr>
        <sz val="8"/>
        <color rgb="FF0C3086"/>
        <rFont val="Arial"/>
        <family val="2"/>
      </rPr>
      <t> </t>
    </r>
  </si>
  <si>
    <t>Chlorocarbons and Hydrochlorocarbons</t>
  </si>
  <si>
    <t>Chloroform</t>
  </si>
  <si>
    <t>CHCl3</t>
  </si>
  <si>
    <t>Dimethylether  </t>
  </si>
  <si>
    <t>Methylene chloride  </t>
  </si>
  <si>
    <r>
      <t>CH</t>
    </r>
    <r>
      <rPr>
        <vertAlign val="subscript"/>
        <sz val="11"/>
        <color theme="7"/>
        <rFont val="Calibri"/>
        <family val="2"/>
        <scheme val="minor"/>
      </rPr>
      <t>2</t>
    </r>
    <r>
      <rPr>
        <sz val="11"/>
        <color theme="7"/>
        <rFont val="Calibri"/>
        <family val="2"/>
        <scheme val="minor"/>
      </rPr>
      <t>Cl</t>
    </r>
    <r>
      <rPr>
        <vertAlign val="subscript"/>
        <sz val="11"/>
        <color theme="7"/>
        <rFont val="Calibri"/>
        <family val="2"/>
        <scheme val="minor"/>
      </rPr>
      <t>2</t>
    </r>
  </si>
  <si>
    <t xml:space="preserve">Halon-1201 </t>
  </si>
  <si>
    <t>CHBrF2</t>
  </si>
  <si>
    <t>Methyl chloride  </t>
  </si>
  <si>
    <r>
      <t>CH</t>
    </r>
    <r>
      <rPr>
        <vertAlign val="subscript"/>
        <sz val="11"/>
        <color theme="7"/>
        <rFont val="Calibri"/>
        <family val="2"/>
        <scheme val="minor"/>
      </rPr>
      <t>3</t>
    </r>
    <r>
      <rPr>
        <sz val="11"/>
        <color theme="7"/>
        <rFont val="Calibri"/>
        <family val="2"/>
        <scheme val="minor"/>
      </rPr>
      <t>Cl</t>
    </r>
  </si>
  <si>
    <t>Refrigerant blends: Zeotropes</t>
  </si>
  <si>
    <t xml:space="preserve">ASHRAE Refrigerant designation </t>
  </si>
  <si>
    <t xml:space="preserve">Mix (mass %) </t>
  </si>
  <si>
    <t>GWP (calculated)</t>
  </si>
  <si>
    <t>404A</t>
  </si>
  <si>
    <t>R-125/143a/134a (44.0/52.0/4.0)</t>
  </si>
  <si>
    <t>Kyoto Protocol blend</t>
  </si>
  <si>
    <t>406A</t>
  </si>
  <si>
    <t>R-22/600a/142b (55.0/4.0/41.0)</t>
  </si>
  <si>
    <t>Montreal Protocol blend</t>
  </si>
  <si>
    <t>407C</t>
  </si>
  <si>
    <t>R-32/125/134a (23.0/25.0/52.0)</t>
  </si>
  <si>
    <t>407F</t>
  </si>
  <si>
    <t>R-32/125/134a (30.0/30.0/40.0)</t>
  </si>
  <si>
    <t>408A</t>
  </si>
  <si>
    <t>R-125/143a/22 (7.0/46.0/47.0)</t>
  </si>
  <si>
    <t>409A</t>
  </si>
  <si>
    <t>R-22/124/142b (60.0/25.0/15.0)</t>
  </si>
  <si>
    <t>409B</t>
  </si>
  <si>
    <t>R-22/124/142b (65.0/25.0/10.0)</t>
  </si>
  <si>
    <t>Cannot find in any source</t>
  </si>
  <si>
    <t>Leave as AR4? *</t>
  </si>
  <si>
    <t xml:space="preserve"> </t>
  </si>
  <si>
    <t>410A</t>
  </si>
  <si>
    <t>R-32/125 (50.0/50.0)</t>
  </si>
  <si>
    <t>436A</t>
  </si>
  <si>
    <t>R-290/600a (56.0/44.0)</t>
  </si>
  <si>
    <t>436B</t>
  </si>
  <si>
    <t>R-290/600a (52.0/48.0)</t>
  </si>
  <si>
    <t>Refrigerant blends: Azeotropes</t>
  </si>
  <si>
    <t>507A</t>
  </si>
  <si>
    <t>R-125/143a (50.0/50.0)</t>
  </si>
  <si>
    <t>Medical gases</t>
  </si>
  <si>
    <t>HFE-347mmz1 (Sevoflurane)*</t>
  </si>
  <si>
    <r>
      <t>(CF</t>
    </r>
    <r>
      <rPr>
        <vertAlign val="subscript"/>
        <sz val="11"/>
        <color rgb="FFFF0000"/>
        <rFont val="Calibri"/>
        <family val="2"/>
        <scheme val="minor"/>
      </rPr>
      <t>3</t>
    </r>
    <r>
      <rPr>
        <sz val="11"/>
        <color rgb="FFFF0000"/>
        <rFont val="Calibri"/>
        <family val="2"/>
        <scheme val="minor"/>
      </rPr>
      <t>)</t>
    </r>
    <r>
      <rPr>
        <vertAlign val="subscript"/>
        <sz val="11"/>
        <color rgb="FFFF0000"/>
        <rFont val="Calibri"/>
        <family val="2"/>
        <scheme val="minor"/>
      </rPr>
      <t>2</t>
    </r>
    <r>
      <rPr>
        <sz val="11"/>
        <color rgb="FFFF0000"/>
        <rFont val="Calibri"/>
        <family val="2"/>
        <scheme val="minor"/>
      </rPr>
      <t>CHOCH</t>
    </r>
    <r>
      <rPr>
        <vertAlign val="subscript"/>
        <sz val="11"/>
        <color rgb="FFFF0000"/>
        <rFont val="Calibri"/>
        <family val="2"/>
        <scheme val="minor"/>
      </rPr>
      <t>2</t>
    </r>
    <r>
      <rPr>
        <sz val="11"/>
        <color rgb="FFFF0000"/>
        <rFont val="Calibri"/>
        <family val="2"/>
        <scheme val="minor"/>
      </rPr>
      <t>F</t>
    </r>
  </si>
  <si>
    <t>HCFE-235da2 (Isoflurane)</t>
  </si>
  <si>
    <r>
      <t>CHF</t>
    </r>
    <r>
      <rPr>
        <vertAlign val="subscript"/>
        <sz val="11"/>
        <color rgb="FFFF0000"/>
        <rFont val="Calibri"/>
        <family val="2"/>
        <scheme val="minor"/>
      </rPr>
      <t>2</t>
    </r>
    <r>
      <rPr>
        <sz val="11"/>
        <color rgb="FFFF0000"/>
        <rFont val="Calibri"/>
        <family val="2"/>
        <scheme val="minor"/>
      </rPr>
      <t>OCHClCF</t>
    </r>
    <r>
      <rPr>
        <vertAlign val="subscript"/>
        <sz val="11"/>
        <color rgb="FFFF0000"/>
        <rFont val="Calibri"/>
        <family val="2"/>
        <scheme val="minor"/>
      </rPr>
      <t>3</t>
    </r>
  </si>
  <si>
    <t>HFE-236ea2 (Desflurane)*</t>
  </si>
  <si>
    <r>
      <t>CHF</t>
    </r>
    <r>
      <rPr>
        <vertAlign val="subscript"/>
        <sz val="11"/>
        <color rgb="FFFF0000"/>
        <rFont val="Calibri"/>
        <family val="2"/>
        <scheme val="minor"/>
      </rPr>
      <t>2</t>
    </r>
    <r>
      <rPr>
        <sz val="11"/>
        <color rgb="FFFF0000"/>
        <rFont val="Calibri"/>
        <family val="2"/>
        <scheme val="minor"/>
      </rPr>
      <t>OCHFCF</t>
    </r>
    <r>
      <rPr>
        <vertAlign val="subscript"/>
        <sz val="11"/>
        <color rgb="FFFF0000"/>
        <rFont val="Calibri"/>
        <family val="2"/>
        <scheme val="minor"/>
      </rPr>
      <t>3</t>
    </r>
  </si>
  <si>
    <t>Medical gas blends</t>
  </si>
  <si>
    <t>Entonox</t>
  </si>
  <si>
    <r>
      <t>N</t>
    </r>
    <r>
      <rPr>
        <vertAlign val="subscript"/>
        <sz val="11"/>
        <color rgb="FFFF0000"/>
        <rFont val="Calibri"/>
        <family val="2"/>
        <scheme val="minor"/>
      </rPr>
      <t>2</t>
    </r>
    <r>
      <rPr>
        <sz val="11"/>
        <color rgb="FFFF0000"/>
        <rFont val="Calibri"/>
        <family val="2"/>
        <scheme val="minor"/>
      </rPr>
      <t>O/O</t>
    </r>
    <r>
      <rPr>
        <vertAlign val="subscript"/>
        <sz val="11"/>
        <color rgb="FFFF0000"/>
        <rFont val="Calibri"/>
        <family val="2"/>
        <scheme val="minor"/>
      </rPr>
      <t>2</t>
    </r>
    <r>
      <rPr>
        <sz val="11"/>
        <color rgb="FFFF0000"/>
        <rFont val="Calibri"/>
        <family val="2"/>
        <scheme val="minor"/>
      </rPr>
      <t xml:space="preserve"> (50.0/50.0)</t>
    </r>
  </si>
  <si>
    <t>AR5 (without cc feedback) = 153
AR5 (with cc feedback) = 173</t>
  </si>
  <si>
    <t>Medical gases workings</t>
  </si>
  <si>
    <t>As agreed with Ben Nistor, use AR4 factors GWPs were available and AR5 for remainder. Agreed to include blend value for Entonox</t>
  </si>
  <si>
    <t>GWP 100-yr</t>
  </si>
  <si>
    <t>Sevoflurane (HFE-347mmz1)</t>
  </si>
  <si>
    <t>Isoflurane (HCFE-235da2)</t>
  </si>
  <si>
    <t>Desflurane (HFE-236ea2)</t>
  </si>
  <si>
    <r>
      <t>Entonox (N</t>
    </r>
    <r>
      <rPr>
        <b/>
        <vertAlign val="subscript"/>
        <sz val="11"/>
        <color rgb="FFFF0000"/>
        <rFont val="Calibri"/>
        <family val="2"/>
      </rPr>
      <t>2</t>
    </r>
    <r>
      <rPr>
        <b/>
        <sz val="11"/>
        <color rgb="FFFF0000"/>
        <rFont val="Calibri"/>
        <family val="2"/>
      </rPr>
      <t>O/O</t>
    </r>
    <r>
      <rPr>
        <b/>
        <vertAlign val="subscript"/>
        <sz val="11"/>
        <color rgb="FFFF0000"/>
        <rFont val="Calibri"/>
        <family val="2"/>
      </rPr>
      <t>2</t>
    </r>
    <r>
      <rPr>
        <b/>
        <sz val="11"/>
        <color rgb="FFFF0000"/>
        <rFont val="Calibri"/>
        <family val="2"/>
      </rPr>
      <t>) 50/50 blend</t>
    </r>
  </si>
  <si>
    <t>AR5 Without cc feedbacks</t>
  </si>
  <si>
    <t>Table 8.A.1</t>
  </si>
  <si>
    <r>
      <t>583</t>
    </r>
    <r>
      <rPr>
        <sz val="11"/>
        <color rgb="FFFF0000"/>
        <rFont val="Calibri"/>
        <family val="2"/>
      </rPr>
      <t xml:space="preserve"> 491</t>
    </r>
  </si>
  <si>
    <t>265*(44.01/(44.01+32))=153 (Table 8.7 AR5)</t>
  </si>
  <si>
    <t>In detailed guide provide AR5 if clients are wanting to confirm</t>
  </si>
  <si>
    <t>AR5 With cc feedbacks</t>
  </si>
  <si>
    <t>Table 8.SM.16</t>
  </si>
  <si>
    <t>298*(44.01/(44.01+32))=173 (Table 8.7 AR5)</t>
  </si>
  <si>
    <t>AR4 (without cc feedbacks)</t>
  </si>
  <si>
    <t>Chapter 2</t>
  </si>
  <si>
    <t>Refrigerant and other gas emission factors</t>
  </si>
  <si>
    <t xml:space="preserve">Refrigerants Emissions - AR4 Global Warming Potentials in a 100 year period </t>
  </si>
  <si>
    <t xml:space="preserve">Refrigerants Emissions - AR5 Global Warming Potentials in a 100 year period </t>
  </si>
  <si>
    <t>Carbon dioxide </t>
  </si>
  <si>
    <r>
      <t>CO</t>
    </r>
    <r>
      <rPr>
        <vertAlign val="subscript"/>
        <sz val="9"/>
        <color rgb="FF000000"/>
        <rFont val="Arial"/>
        <family val="2"/>
      </rPr>
      <t>2</t>
    </r>
    <r>
      <rPr>
        <vertAlign val="subscript"/>
        <sz val="11"/>
        <color rgb="FF000000"/>
        <rFont val="Calibri"/>
        <family val="2"/>
        <scheme val="minor"/>
      </rPr>
      <t> </t>
    </r>
    <r>
      <rPr>
        <sz val="8"/>
        <color rgb="FF000000"/>
        <rFont val="Calibri"/>
        <family val="2"/>
        <scheme val="minor"/>
      </rPr>
      <t> </t>
    </r>
  </si>
  <si>
    <r>
      <t>CH</t>
    </r>
    <r>
      <rPr>
        <vertAlign val="subscript"/>
        <sz val="9"/>
        <color rgb="FF000000"/>
        <rFont val="Arial"/>
        <family val="2"/>
      </rPr>
      <t>4</t>
    </r>
    <r>
      <rPr>
        <vertAlign val="subscript"/>
        <sz val="11"/>
        <color rgb="FF000000"/>
        <rFont val="Calibri"/>
        <family val="2"/>
        <scheme val="minor"/>
      </rPr>
      <t> </t>
    </r>
  </si>
  <si>
    <t>Nitrous oxide </t>
  </si>
  <si>
    <r>
      <t>N</t>
    </r>
    <r>
      <rPr>
        <vertAlign val="subscript"/>
        <sz val="8"/>
        <color rgb="FF000000"/>
        <rFont val="Arial"/>
        <family val="2"/>
      </rPr>
      <t>2</t>
    </r>
    <r>
      <rPr>
        <sz val="8"/>
        <color rgb="FF000000"/>
        <rFont val="Arial"/>
        <family val="2"/>
      </rPr>
      <t>O </t>
    </r>
  </si>
  <si>
    <t>CFC-11  </t>
  </si>
  <si>
    <r>
      <t>CCl</t>
    </r>
    <r>
      <rPr>
        <vertAlign val="subscript"/>
        <sz val="8"/>
        <color rgb="FF000000"/>
        <rFont val="Arial"/>
        <family val="2"/>
      </rPr>
      <t>3</t>
    </r>
    <r>
      <rPr>
        <sz val="8"/>
        <color rgb="FF000000"/>
        <rFont val="Arial"/>
        <family val="2"/>
      </rPr>
      <t>F  </t>
    </r>
  </si>
  <si>
    <t>CFC-12  </t>
  </si>
  <si>
    <r>
      <t>CCl</t>
    </r>
    <r>
      <rPr>
        <vertAlign val="subscript"/>
        <sz val="8"/>
        <color rgb="FF000000"/>
        <rFont val="Arial"/>
        <family val="2"/>
      </rPr>
      <t>2</t>
    </r>
    <r>
      <rPr>
        <sz val="8"/>
        <color rgb="FF000000"/>
        <rFont val="Arial"/>
        <family val="2"/>
      </rPr>
      <t>F</t>
    </r>
    <r>
      <rPr>
        <vertAlign val="subscript"/>
        <sz val="8"/>
        <color rgb="FF000000"/>
        <rFont val="Arial"/>
        <family val="2"/>
      </rPr>
      <t>2 </t>
    </r>
    <r>
      <rPr>
        <sz val="8"/>
        <color rgb="FF000000"/>
        <rFont val="Arial"/>
        <family val="2"/>
      </rPr>
      <t> </t>
    </r>
  </si>
  <si>
    <t>CFC-13  </t>
  </si>
  <si>
    <r>
      <t>CClF</t>
    </r>
    <r>
      <rPr>
        <vertAlign val="subscript"/>
        <sz val="8"/>
        <color rgb="FF000000"/>
        <rFont val="Arial"/>
        <family val="2"/>
      </rPr>
      <t>3 </t>
    </r>
    <r>
      <rPr>
        <sz val="8"/>
        <color rgb="FF000000"/>
        <rFont val="Arial"/>
        <family val="2"/>
      </rPr>
      <t> </t>
    </r>
  </si>
  <si>
    <t>CFC-113  </t>
  </si>
  <si>
    <r>
      <t>CCl</t>
    </r>
    <r>
      <rPr>
        <vertAlign val="subscript"/>
        <sz val="8"/>
        <color rgb="FF000000"/>
        <rFont val="Arial"/>
        <family val="2"/>
      </rPr>
      <t>2</t>
    </r>
    <r>
      <rPr>
        <sz val="8"/>
        <color rgb="FF000000"/>
        <rFont val="Arial"/>
        <family val="2"/>
      </rPr>
      <t>FCClF</t>
    </r>
    <r>
      <rPr>
        <vertAlign val="subscript"/>
        <sz val="8"/>
        <color rgb="FF000000"/>
        <rFont val="Arial"/>
        <family val="2"/>
      </rPr>
      <t>2 </t>
    </r>
    <r>
      <rPr>
        <sz val="8"/>
        <color rgb="FF000000"/>
        <rFont val="Arial"/>
        <family val="2"/>
      </rPr>
      <t> </t>
    </r>
  </si>
  <si>
    <t>CFC-114  </t>
  </si>
  <si>
    <r>
      <t>CClF</t>
    </r>
    <r>
      <rPr>
        <vertAlign val="subscript"/>
        <sz val="8"/>
        <color rgb="FF000000"/>
        <rFont val="Arial"/>
        <family val="2"/>
      </rPr>
      <t>2</t>
    </r>
    <r>
      <rPr>
        <sz val="8"/>
        <color rgb="FF000000"/>
        <rFont val="Arial"/>
        <family val="2"/>
      </rPr>
      <t>CClF</t>
    </r>
    <r>
      <rPr>
        <vertAlign val="subscript"/>
        <sz val="8"/>
        <color rgb="FF000000"/>
        <rFont val="Arial"/>
        <family val="2"/>
      </rPr>
      <t>2 </t>
    </r>
    <r>
      <rPr>
        <sz val="8"/>
        <color rgb="FF000000"/>
        <rFont val="Arial"/>
        <family val="2"/>
      </rPr>
      <t> </t>
    </r>
  </si>
  <si>
    <t>CFC-115  </t>
  </si>
  <si>
    <r>
      <t>CClF</t>
    </r>
    <r>
      <rPr>
        <vertAlign val="subscript"/>
        <sz val="8"/>
        <color rgb="FF000000"/>
        <rFont val="Arial"/>
        <family val="2"/>
      </rPr>
      <t>2</t>
    </r>
    <r>
      <rPr>
        <sz val="8"/>
        <color rgb="FF000000"/>
        <rFont val="Arial"/>
        <family val="2"/>
      </rPr>
      <t>CF</t>
    </r>
    <r>
      <rPr>
        <vertAlign val="subscript"/>
        <sz val="8"/>
        <color rgb="FF000000"/>
        <rFont val="Arial"/>
        <family val="2"/>
      </rPr>
      <t>3 </t>
    </r>
    <r>
      <rPr>
        <sz val="8"/>
        <color rgb="FF000000"/>
        <rFont val="Arial"/>
        <family val="2"/>
      </rPr>
      <t> </t>
    </r>
  </si>
  <si>
    <t>Halon-1301  </t>
  </si>
  <si>
    <r>
      <t>CBrF</t>
    </r>
    <r>
      <rPr>
        <vertAlign val="subscript"/>
        <sz val="8"/>
        <color rgb="FF000000"/>
        <rFont val="Arial"/>
        <family val="2"/>
      </rPr>
      <t>3 </t>
    </r>
    <r>
      <rPr>
        <sz val="8"/>
        <color rgb="FF000000"/>
        <rFont val="Arial"/>
        <family val="2"/>
      </rPr>
      <t> </t>
    </r>
  </si>
  <si>
    <t>Halon-1211  </t>
  </si>
  <si>
    <r>
      <t>CBrClF</t>
    </r>
    <r>
      <rPr>
        <vertAlign val="subscript"/>
        <sz val="8"/>
        <color rgb="FF000000"/>
        <rFont val="Arial"/>
        <family val="2"/>
      </rPr>
      <t>2 </t>
    </r>
    <r>
      <rPr>
        <sz val="8"/>
        <color rgb="FF000000"/>
        <rFont val="Arial"/>
        <family val="2"/>
      </rPr>
      <t> </t>
    </r>
  </si>
  <si>
    <t>Halon-2402  </t>
  </si>
  <si>
    <r>
      <t>CBrF</t>
    </r>
    <r>
      <rPr>
        <vertAlign val="subscript"/>
        <sz val="8"/>
        <color rgb="FF000000"/>
        <rFont val="Arial"/>
        <family val="2"/>
      </rPr>
      <t>2</t>
    </r>
    <r>
      <rPr>
        <sz val="8"/>
        <color rgb="FF000000"/>
        <rFont val="Arial"/>
        <family val="2"/>
      </rPr>
      <t>CBrF</t>
    </r>
    <r>
      <rPr>
        <vertAlign val="subscript"/>
        <sz val="8"/>
        <color rgb="FF000000"/>
        <rFont val="Arial"/>
        <family val="2"/>
      </rPr>
      <t>2 </t>
    </r>
    <r>
      <rPr>
        <sz val="8"/>
        <color rgb="FF000000"/>
        <rFont val="Arial"/>
        <family val="2"/>
      </rPr>
      <t> </t>
    </r>
  </si>
  <si>
    <t>Carbon tetrachloride  </t>
  </si>
  <si>
    <r>
      <t>CCl</t>
    </r>
    <r>
      <rPr>
        <vertAlign val="subscript"/>
        <sz val="8"/>
        <color rgb="FF000000"/>
        <rFont val="Arial"/>
        <family val="2"/>
      </rPr>
      <t>4 </t>
    </r>
    <r>
      <rPr>
        <sz val="8"/>
        <color rgb="FF000000"/>
        <rFont val="Arial"/>
        <family val="2"/>
      </rPr>
      <t> </t>
    </r>
  </si>
  <si>
    <r>
      <t>CH</t>
    </r>
    <r>
      <rPr>
        <vertAlign val="subscript"/>
        <sz val="8"/>
        <color rgb="FF000000"/>
        <rFont val="Arial"/>
        <family val="2"/>
      </rPr>
      <t>3</t>
    </r>
    <r>
      <rPr>
        <sz val="8"/>
        <color rgb="FF000000"/>
        <rFont val="Arial"/>
        <family val="2"/>
      </rPr>
      <t>Br  </t>
    </r>
  </si>
  <si>
    <r>
      <t>CH</t>
    </r>
    <r>
      <rPr>
        <vertAlign val="subscript"/>
        <sz val="8"/>
        <color rgb="FF000000"/>
        <rFont val="Arial"/>
        <family val="2"/>
      </rPr>
      <t>3</t>
    </r>
    <r>
      <rPr>
        <sz val="8"/>
        <color rgb="FF000000"/>
        <rFont val="Arial"/>
        <family val="2"/>
      </rPr>
      <t>CCl</t>
    </r>
    <r>
      <rPr>
        <vertAlign val="subscript"/>
        <sz val="8"/>
        <color rgb="FF000000"/>
        <rFont val="Arial"/>
        <family val="2"/>
      </rPr>
      <t>3 </t>
    </r>
    <r>
      <rPr>
        <sz val="8"/>
        <color rgb="FF000000"/>
        <rFont val="Arial"/>
        <family val="2"/>
      </rPr>
      <t> </t>
    </r>
  </si>
  <si>
    <t>HCFC-22  </t>
  </si>
  <si>
    <r>
      <t>CHClF</t>
    </r>
    <r>
      <rPr>
        <vertAlign val="subscript"/>
        <sz val="8"/>
        <color rgb="FF000000"/>
        <rFont val="Arial"/>
        <family val="2"/>
      </rPr>
      <t>2 </t>
    </r>
    <r>
      <rPr>
        <sz val="8"/>
        <color rgb="FF000000"/>
        <rFont val="Arial"/>
        <family val="2"/>
      </rPr>
      <t> </t>
    </r>
  </si>
  <si>
    <r>
      <t>CHCl</t>
    </r>
    <r>
      <rPr>
        <vertAlign val="subscript"/>
        <sz val="11"/>
        <color theme="1"/>
        <rFont val="Calibri"/>
        <family val="2"/>
        <scheme val="minor"/>
      </rPr>
      <t>2</t>
    </r>
    <r>
      <rPr>
        <sz val="11"/>
        <color theme="1"/>
        <rFont val="Calibri"/>
        <family val="2"/>
        <scheme val="minor"/>
      </rPr>
      <t>F</t>
    </r>
  </si>
  <si>
    <t>HCFC-123  </t>
  </si>
  <si>
    <r>
      <t>CHCl</t>
    </r>
    <r>
      <rPr>
        <vertAlign val="subscript"/>
        <sz val="8"/>
        <color rgb="FF000000"/>
        <rFont val="Arial"/>
        <family val="2"/>
      </rPr>
      <t>2</t>
    </r>
    <r>
      <rPr>
        <sz val="8"/>
        <color rgb="FF000000"/>
        <rFont val="Arial"/>
        <family val="2"/>
      </rPr>
      <t>CF</t>
    </r>
    <r>
      <rPr>
        <vertAlign val="subscript"/>
        <sz val="8"/>
        <color rgb="FF000000"/>
        <rFont val="Arial"/>
        <family val="2"/>
      </rPr>
      <t>3 </t>
    </r>
    <r>
      <rPr>
        <sz val="8"/>
        <color rgb="FF000000"/>
        <rFont val="Arial"/>
        <family val="2"/>
      </rPr>
      <t> </t>
    </r>
  </si>
  <si>
    <t>HCFC-124  </t>
  </si>
  <si>
    <r>
      <t>CHClFCF</t>
    </r>
    <r>
      <rPr>
        <vertAlign val="subscript"/>
        <sz val="8"/>
        <color rgb="FF000000"/>
        <rFont val="Arial"/>
        <family val="2"/>
      </rPr>
      <t>3 </t>
    </r>
    <r>
      <rPr>
        <sz val="8"/>
        <color rgb="FF000000"/>
        <rFont val="Arial"/>
        <family val="2"/>
      </rPr>
      <t> </t>
    </r>
  </si>
  <si>
    <t>HCFC-141b  </t>
  </si>
  <si>
    <r>
      <t>CH</t>
    </r>
    <r>
      <rPr>
        <vertAlign val="subscript"/>
        <sz val="8"/>
        <color rgb="FF000000"/>
        <rFont val="Arial"/>
        <family val="2"/>
      </rPr>
      <t>3</t>
    </r>
    <r>
      <rPr>
        <sz val="8"/>
        <color rgb="FF000000"/>
        <rFont val="Arial"/>
        <family val="2"/>
      </rPr>
      <t>CCl</t>
    </r>
    <r>
      <rPr>
        <vertAlign val="subscript"/>
        <sz val="8"/>
        <color rgb="FF000000"/>
        <rFont val="Arial"/>
        <family val="2"/>
      </rPr>
      <t>2</t>
    </r>
    <r>
      <rPr>
        <sz val="8"/>
        <color rgb="FF000000"/>
        <rFont val="Arial"/>
        <family val="2"/>
      </rPr>
      <t>F  </t>
    </r>
  </si>
  <si>
    <t>HCFC-142b  </t>
  </si>
  <si>
    <r>
      <t>CH</t>
    </r>
    <r>
      <rPr>
        <vertAlign val="subscript"/>
        <sz val="8"/>
        <color rgb="FF000000"/>
        <rFont val="Arial"/>
        <family val="2"/>
      </rPr>
      <t>3</t>
    </r>
    <r>
      <rPr>
        <sz val="8"/>
        <color rgb="FF000000"/>
        <rFont val="Arial"/>
        <family val="2"/>
      </rPr>
      <t>CClF</t>
    </r>
    <r>
      <rPr>
        <vertAlign val="subscript"/>
        <sz val="8"/>
        <color rgb="FF000000"/>
        <rFont val="Arial"/>
        <family val="2"/>
      </rPr>
      <t>2 </t>
    </r>
    <r>
      <rPr>
        <sz val="8"/>
        <color rgb="FF000000"/>
        <rFont val="Arial"/>
        <family val="2"/>
      </rPr>
      <t> </t>
    </r>
  </si>
  <si>
    <t>HCFC-225ca  </t>
  </si>
  <si>
    <r>
      <t>CHCl</t>
    </r>
    <r>
      <rPr>
        <vertAlign val="subscript"/>
        <sz val="8"/>
        <color rgb="FF000000"/>
        <rFont val="Arial"/>
        <family val="2"/>
      </rPr>
      <t>2</t>
    </r>
    <r>
      <rPr>
        <sz val="8"/>
        <color rgb="FF000000"/>
        <rFont val="Arial"/>
        <family val="2"/>
      </rPr>
      <t>CF</t>
    </r>
    <r>
      <rPr>
        <vertAlign val="subscript"/>
        <sz val="8"/>
        <color rgb="FF000000"/>
        <rFont val="Arial"/>
        <family val="2"/>
      </rPr>
      <t>2</t>
    </r>
    <r>
      <rPr>
        <sz val="8"/>
        <color rgb="FF000000"/>
        <rFont val="Arial"/>
        <family val="2"/>
      </rPr>
      <t>CF</t>
    </r>
    <r>
      <rPr>
        <vertAlign val="subscript"/>
        <sz val="8"/>
        <color rgb="FF000000"/>
        <rFont val="Arial"/>
        <family val="2"/>
      </rPr>
      <t>3 </t>
    </r>
    <r>
      <rPr>
        <sz val="8"/>
        <color rgb="FF000000"/>
        <rFont val="Arial"/>
        <family val="2"/>
      </rPr>
      <t> </t>
    </r>
  </si>
  <si>
    <t>HCFC-225cb  </t>
  </si>
  <si>
    <r>
      <t>CHClFCF</t>
    </r>
    <r>
      <rPr>
        <vertAlign val="subscript"/>
        <sz val="8"/>
        <color rgb="FF000000"/>
        <rFont val="Arial"/>
        <family val="2"/>
      </rPr>
      <t>2</t>
    </r>
    <r>
      <rPr>
        <sz val="8"/>
        <color rgb="FF000000"/>
        <rFont val="Arial"/>
        <family val="2"/>
      </rPr>
      <t>CClF</t>
    </r>
    <r>
      <rPr>
        <vertAlign val="subscript"/>
        <sz val="8"/>
        <color rgb="FF000000"/>
        <rFont val="Arial"/>
        <family val="2"/>
      </rPr>
      <t>2 </t>
    </r>
    <r>
      <rPr>
        <sz val="8"/>
        <color rgb="FF000000"/>
        <rFont val="Arial"/>
        <family val="2"/>
      </rPr>
      <t> </t>
    </r>
  </si>
  <si>
    <t>HFC-23  </t>
  </si>
  <si>
    <r>
      <t>CHF</t>
    </r>
    <r>
      <rPr>
        <vertAlign val="subscript"/>
        <sz val="8"/>
        <color rgb="FF000000"/>
        <rFont val="Arial"/>
        <family val="2"/>
      </rPr>
      <t>3 </t>
    </r>
    <r>
      <rPr>
        <sz val="8"/>
        <color rgb="FF000000"/>
        <rFont val="Arial"/>
        <family val="2"/>
      </rPr>
      <t> </t>
    </r>
  </si>
  <si>
    <t>HFC-32  </t>
  </si>
  <si>
    <r>
      <t>CH</t>
    </r>
    <r>
      <rPr>
        <vertAlign val="subscript"/>
        <sz val="8"/>
        <color rgb="FF000000"/>
        <rFont val="Arial"/>
        <family val="2"/>
      </rPr>
      <t>2</t>
    </r>
    <r>
      <rPr>
        <sz val="8"/>
        <color rgb="FF000000"/>
        <rFont val="Arial"/>
        <family val="2"/>
      </rPr>
      <t>F</t>
    </r>
    <r>
      <rPr>
        <vertAlign val="subscript"/>
        <sz val="8"/>
        <color rgb="FF000000"/>
        <rFont val="Arial"/>
        <family val="2"/>
      </rPr>
      <t>2 </t>
    </r>
    <r>
      <rPr>
        <sz val="8"/>
        <color rgb="FF000000"/>
        <rFont val="Arial"/>
        <family val="2"/>
      </rPr>
      <t> </t>
    </r>
  </si>
  <si>
    <t>HFC-125  </t>
  </si>
  <si>
    <r>
      <t>CHF</t>
    </r>
    <r>
      <rPr>
        <vertAlign val="subscript"/>
        <sz val="8"/>
        <color rgb="FF000000"/>
        <rFont val="Arial"/>
        <family val="2"/>
      </rPr>
      <t>2</t>
    </r>
    <r>
      <rPr>
        <sz val="8"/>
        <color rgb="FF000000"/>
        <rFont val="Arial"/>
        <family val="2"/>
      </rPr>
      <t>CF</t>
    </r>
    <r>
      <rPr>
        <vertAlign val="subscript"/>
        <sz val="8"/>
        <color rgb="FF000000"/>
        <rFont val="Arial"/>
        <family val="2"/>
      </rPr>
      <t>3 </t>
    </r>
    <r>
      <rPr>
        <sz val="8"/>
        <color rgb="FF000000"/>
        <rFont val="Arial"/>
        <family val="2"/>
      </rPr>
      <t> </t>
    </r>
  </si>
  <si>
    <t>HFC-134a  </t>
  </si>
  <si>
    <r>
      <t>CH</t>
    </r>
    <r>
      <rPr>
        <vertAlign val="subscript"/>
        <sz val="8"/>
        <color rgb="FF000000"/>
        <rFont val="Arial"/>
        <family val="2"/>
      </rPr>
      <t>2</t>
    </r>
    <r>
      <rPr>
        <sz val="8"/>
        <color rgb="FF000000"/>
        <rFont val="Arial"/>
        <family val="2"/>
      </rPr>
      <t>FCF</t>
    </r>
    <r>
      <rPr>
        <vertAlign val="subscript"/>
        <sz val="8"/>
        <color rgb="FF000000"/>
        <rFont val="Arial"/>
        <family val="2"/>
      </rPr>
      <t>3 </t>
    </r>
    <r>
      <rPr>
        <sz val="8"/>
        <color rgb="FF000000"/>
        <rFont val="Arial"/>
        <family val="2"/>
      </rPr>
      <t> </t>
    </r>
  </si>
  <si>
    <r>
      <t>CH</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2</t>
    </r>
  </si>
  <si>
    <t>HFC-143a  </t>
  </si>
  <si>
    <r>
      <t>CH</t>
    </r>
    <r>
      <rPr>
        <vertAlign val="subscript"/>
        <sz val="8"/>
        <color rgb="FF000000"/>
        <rFont val="Arial"/>
        <family val="2"/>
      </rPr>
      <t>3</t>
    </r>
    <r>
      <rPr>
        <sz val="8"/>
        <color rgb="FF000000"/>
        <rFont val="Arial"/>
        <family val="2"/>
      </rPr>
      <t>CF</t>
    </r>
    <r>
      <rPr>
        <vertAlign val="subscript"/>
        <sz val="8"/>
        <color rgb="FF000000"/>
        <rFont val="Arial"/>
        <family val="2"/>
      </rPr>
      <t>3 </t>
    </r>
    <r>
      <rPr>
        <sz val="8"/>
        <color rgb="FF000000"/>
        <rFont val="Arial"/>
        <family val="2"/>
      </rPr>
      <t> </t>
    </r>
  </si>
  <si>
    <t>HFC-152a  </t>
  </si>
  <si>
    <r>
      <t>CH</t>
    </r>
    <r>
      <rPr>
        <vertAlign val="subscript"/>
        <sz val="8"/>
        <color rgb="FF000000"/>
        <rFont val="Arial"/>
        <family val="2"/>
      </rPr>
      <t>3</t>
    </r>
    <r>
      <rPr>
        <sz val="8"/>
        <color rgb="FF000000"/>
        <rFont val="Arial"/>
        <family val="2"/>
      </rPr>
      <t>CHF</t>
    </r>
    <r>
      <rPr>
        <vertAlign val="subscript"/>
        <sz val="8"/>
        <color rgb="FF000000"/>
        <rFont val="Arial"/>
        <family val="2"/>
      </rPr>
      <t>2 </t>
    </r>
    <r>
      <rPr>
        <sz val="8"/>
        <color rgb="FF000000"/>
        <rFont val="Arial"/>
        <family val="2"/>
      </rPr>
      <t> </t>
    </r>
  </si>
  <si>
    <r>
      <t>CHF</t>
    </r>
    <r>
      <rPr>
        <vertAlign val="subscript"/>
        <sz val="11"/>
        <color theme="1"/>
        <rFont val="Calibri"/>
        <family val="2"/>
        <scheme val="minor"/>
      </rPr>
      <t>2</t>
    </r>
    <r>
      <rPr>
        <sz val="11"/>
        <color theme="1"/>
        <rFont val="Calibri"/>
        <family val="2"/>
        <scheme val="minor"/>
      </rPr>
      <t>CHF</t>
    </r>
    <r>
      <rPr>
        <vertAlign val="subscript"/>
        <sz val="11"/>
        <color theme="1"/>
        <rFont val="Calibri"/>
        <family val="2"/>
        <scheme val="minor"/>
      </rPr>
      <t>2</t>
    </r>
  </si>
  <si>
    <t>HFC-227ea  </t>
  </si>
  <si>
    <r>
      <t>CF</t>
    </r>
    <r>
      <rPr>
        <vertAlign val="subscript"/>
        <sz val="8"/>
        <color rgb="FF000000"/>
        <rFont val="Arial"/>
        <family val="2"/>
      </rPr>
      <t>3</t>
    </r>
    <r>
      <rPr>
        <sz val="8"/>
        <color rgb="FF000000"/>
        <rFont val="Arial"/>
        <family val="2"/>
      </rPr>
      <t>CHFCF</t>
    </r>
    <r>
      <rPr>
        <vertAlign val="subscript"/>
        <sz val="8"/>
        <color rgb="FF000000"/>
        <rFont val="Arial"/>
        <family val="2"/>
      </rPr>
      <t>3 </t>
    </r>
    <r>
      <rPr>
        <sz val="8"/>
        <color rgb="FF000000"/>
        <rFont val="Arial"/>
        <family val="2"/>
      </rPr>
      <t> </t>
    </r>
  </si>
  <si>
    <t>HFC-236fa  </t>
  </si>
  <si>
    <r>
      <t>CF</t>
    </r>
    <r>
      <rPr>
        <vertAlign val="subscript"/>
        <sz val="8"/>
        <color rgb="FF000000"/>
        <rFont val="Arial"/>
        <family val="2"/>
      </rPr>
      <t>3</t>
    </r>
    <r>
      <rPr>
        <sz val="8"/>
        <color rgb="FF000000"/>
        <rFont val="Arial"/>
        <family val="2"/>
      </rPr>
      <t>CH</t>
    </r>
    <r>
      <rPr>
        <vertAlign val="subscript"/>
        <sz val="8"/>
        <color rgb="FF000000"/>
        <rFont val="Arial"/>
        <family val="2"/>
      </rPr>
      <t>2</t>
    </r>
    <r>
      <rPr>
        <sz val="8"/>
        <color rgb="FF000000"/>
        <rFont val="Arial"/>
        <family val="2"/>
      </rPr>
      <t>CF</t>
    </r>
    <r>
      <rPr>
        <vertAlign val="subscript"/>
        <sz val="8"/>
        <color rgb="FF000000"/>
        <rFont val="Arial"/>
        <family val="2"/>
      </rPr>
      <t>3 </t>
    </r>
    <r>
      <rPr>
        <sz val="8"/>
        <color rgb="FF000000"/>
        <rFont val="Arial"/>
        <family val="2"/>
      </rPr>
      <t> </t>
    </r>
  </si>
  <si>
    <r>
      <t>CH</t>
    </r>
    <r>
      <rPr>
        <vertAlign val="subscript"/>
        <sz val="11"/>
        <color theme="1"/>
        <rFont val="Calibri"/>
        <family val="2"/>
        <scheme val="minor"/>
      </rPr>
      <t>2</t>
    </r>
    <r>
      <rPr>
        <sz val="11"/>
        <color theme="1"/>
        <rFont val="Calibri"/>
        <family val="2"/>
        <scheme val="minor"/>
      </rPr>
      <t>FCHF</t>
    </r>
    <r>
      <rPr>
        <vertAlign val="subscript"/>
        <sz val="11"/>
        <color theme="1"/>
        <rFont val="Calibri"/>
        <family val="2"/>
        <scheme val="minor"/>
      </rPr>
      <t>2</t>
    </r>
  </si>
  <si>
    <t>HFC-245fa  </t>
  </si>
  <si>
    <r>
      <t>CHF</t>
    </r>
    <r>
      <rPr>
        <vertAlign val="subscript"/>
        <sz val="8"/>
        <color rgb="FF000000"/>
        <rFont val="Arial"/>
        <family val="2"/>
      </rPr>
      <t>2</t>
    </r>
    <r>
      <rPr>
        <sz val="8"/>
        <color rgb="FF000000"/>
        <rFont val="Arial"/>
        <family val="2"/>
      </rPr>
      <t>CH</t>
    </r>
    <r>
      <rPr>
        <vertAlign val="subscript"/>
        <sz val="8"/>
        <color rgb="FF000000"/>
        <rFont val="Arial"/>
        <family val="2"/>
      </rPr>
      <t>2</t>
    </r>
    <r>
      <rPr>
        <sz val="8"/>
        <color rgb="FF000000"/>
        <rFont val="Arial"/>
        <family val="2"/>
      </rPr>
      <t>CF</t>
    </r>
    <r>
      <rPr>
        <vertAlign val="subscript"/>
        <sz val="8"/>
        <color rgb="FF000000"/>
        <rFont val="Arial"/>
        <family val="2"/>
      </rPr>
      <t>3 </t>
    </r>
    <r>
      <rPr>
        <sz val="8"/>
        <color rgb="FF000000"/>
        <rFont val="Arial"/>
        <family val="2"/>
      </rPr>
      <t> </t>
    </r>
  </si>
  <si>
    <t>HFC-365mfc  </t>
  </si>
  <si>
    <r>
      <t>CH</t>
    </r>
    <r>
      <rPr>
        <vertAlign val="subscript"/>
        <sz val="8"/>
        <color rgb="FF000000"/>
        <rFont val="Arial"/>
        <family val="2"/>
      </rPr>
      <t>3</t>
    </r>
    <r>
      <rPr>
        <sz val="8"/>
        <color rgb="FF000000"/>
        <rFont val="Arial"/>
        <family val="2"/>
      </rPr>
      <t>CF</t>
    </r>
    <r>
      <rPr>
        <vertAlign val="subscript"/>
        <sz val="8"/>
        <color rgb="FF000000"/>
        <rFont val="Arial"/>
        <family val="2"/>
      </rPr>
      <t>2</t>
    </r>
    <r>
      <rPr>
        <sz val="8"/>
        <color rgb="FF000000"/>
        <rFont val="Arial"/>
        <family val="2"/>
      </rPr>
      <t>CH</t>
    </r>
    <r>
      <rPr>
        <vertAlign val="subscript"/>
        <sz val="8"/>
        <color rgb="FF000000"/>
        <rFont val="Arial"/>
        <family val="2"/>
      </rPr>
      <t>2</t>
    </r>
    <r>
      <rPr>
        <sz val="8"/>
        <color rgb="FF000000"/>
        <rFont val="Arial"/>
        <family val="2"/>
      </rPr>
      <t>CF</t>
    </r>
    <r>
      <rPr>
        <vertAlign val="subscript"/>
        <sz val="8"/>
        <color rgb="FF000000"/>
        <rFont val="Arial"/>
        <family val="2"/>
      </rPr>
      <t>3 </t>
    </r>
    <r>
      <rPr>
        <sz val="8"/>
        <color rgb="FF000000"/>
        <rFont val="Arial"/>
        <family val="2"/>
      </rPr>
      <t> </t>
    </r>
  </si>
  <si>
    <r>
      <t>CH</t>
    </r>
    <r>
      <rPr>
        <vertAlign val="subscript"/>
        <sz val="11"/>
        <color theme="1"/>
        <rFont val="Calibri"/>
        <family val="2"/>
        <scheme val="minor"/>
      </rPr>
      <t>2</t>
    </r>
    <r>
      <rPr>
        <sz val="11"/>
        <color theme="1"/>
        <rFont val="Calibri"/>
        <family val="2"/>
        <scheme val="minor"/>
      </rPr>
      <t>FCH</t>
    </r>
    <r>
      <rPr>
        <vertAlign val="subscript"/>
        <sz val="11"/>
        <color theme="1"/>
        <rFont val="Calibri"/>
        <family val="2"/>
        <scheme val="minor"/>
      </rPr>
      <t>2</t>
    </r>
    <r>
      <rPr>
        <sz val="11"/>
        <color theme="1"/>
        <rFont val="Calibri"/>
        <family val="2"/>
        <scheme val="minor"/>
      </rPr>
      <t>F</t>
    </r>
  </si>
  <si>
    <r>
      <t>CF</t>
    </r>
    <r>
      <rPr>
        <vertAlign val="subscript"/>
        <sz val="8"/>
        <color rgb="FF000000"/>
        <rFont val="Arial"/>
        <family val="2"/>
      </rPr>
      <t>3</t>
    </r>
    <r>
      <rPr>
        <sz val="8"/>
        <color rgb="FF000000"/>
        <rFont val="Arial"/>
        <family val="2"/>
      </rPr>
      <t>CHFCHFCF</t>
    </r>
    <r>
      <rPr>
        <vertAlign val="subscript"/>
        <sz val="8"/>
        <color rgb="FF000000"/>
        <rFont val="Arial"/>
        <family val="2"/>
      </rPr>
      <t>2</t>
    </r>
    <r>
      <rPr>
        <sz val="8"/>
        <color rgb="FF000000"/>
        <rFont val="Arial"/>
        <family val="2"/>
      </rPr>
      <t>CF</t>
    </r>
    <r>
      <rPr>
        <vertAlign val="subscript"/>
        <sz val="8"/>
        <color rgb="FF000000"/>
        <rFont val="Arial"/>
        <family val="2"/>
      </rPr>
      <t>3</t>
    </r>
    <r>
      <rPr>
        <sz val="8"/>
        <color rgb="FF000000"/>
        <rFont val="Arial"/>
        <family val="2"/>
      </rPr>
      <t> </t>
    </r>
  </si>
  <si>
    <r>
      <t>CH</t>
    </r>
    <r>
      <rPr>
        <vertAlign val="subscript"/>
        <sz val="11"/>
        <color theme="1"/>
        <rFont val="Calibri"/>
        <family val="2"/>
        <scheme val="minor"/>
      </rPr>
      <t>3</t>
    </r>
    <r>
      <rPr>
        <sz val="11"/>
        <color theme="1"/>
        <rFont val="Calibri"/>
        <family val="2"/>
        <scheme val="minor"/>
      </rPr>
      <t>CH</t>
    </r>
    <r>
      <rPr>
        <vertAlign val="subscript"/>
        <sz val="11"/>
        <color theme="1"/>
        <rFont val="Calibri"/>
        <family val="2"/>
        <scheme val="minor"/>
      </rPr>
      <t>2</t>
    </r>
    <r>
      <rPr>
        <sz val="11"/>
        <color theme="1"/>
        <rFont val="Calibri"/>
        <family val="2"/>
        <scheme val="minor"/>
      </rPr>
      <t>F</t>
    </r>
  </si>
  <si>
    <r>
      <t>SF</t>
    </r>
    <r>
      <rPr>
        <vertAlign val="subscript"/>
        <sz val="8"/>
        <color rgb="FF000000"/>
        <rFont val="Arial"/>
        <family val="2"/>
      </rPr>
      <t>6 </t>
    </r>
    <r>
      <rPr>
        <sz val="8"/>
        <color rgb="FF000000"/>
        <rFont val="Arial"/>
        <family val="2"/>
      </rPr>
      <t> </t>
    </r>
  </si>
  <si>
    <r>
      <t>NF</t>
    </r>
    <r>
      <rPr>
        <vertAlign val="subscript"/>
        <sz val="8"/>
        <color rgb="FF000000"/>
        <rFont val="Arial"/>
        <family val="2"/>
      </rPr>
      <t>3 </t>
    </r>
    <r>
      <rPr>
        <sz val="8"/>
        <color rgb="FF000000"/>
        <rFont val="Arial"/>
        <family val="2"/>
      </rPr>
      <t> </t>
    </r>
  </si>
  <si>
    <r>
      <t>CH</t>
    </r>
    <r>
      <rPr>
        <vertAlign val="subscript"/>
        <sz val="11"/>
        <color theme="1"/>
        <rFont val="Calibri"/>
        <family val="2"/>
        <scheme val="minor"/>
      </rPr>
      <t>2</t>
    </r>
    <r>
      <rPr>
        <sz val="11"/>
        <color theme="1"/>
        <rFont val="Calibri"/>
        <family val="2"/>
        <scheme val="minor"/>
      </rPr>
      <t>FCF</t>
    </r>
    <r>
      <rPr>
        <vertAlign val="subscript"/>
        <sz val="11"/>
        <color theme="1"/>
        <rFont val="Calibri"/>
        <family val="2"/>
        <scheme val="minor"/>
      </rPr>
      <t>2</t>
    </r>
    <r>
      <rPr>
        <sz val="11"/>
        <color theme="1"/>
        <rFont val="Calibri"/>
        <family val="2"/>
        <scheme val="minor"/>
      </rPr>
      <t>CF</t>
    </r>
    <r>
      <rPr>
        <vertAlign val="subscript"/>
        <sz val="11"/>
        <color theme="1"/>
        <rFont val="Calibri"/>
        <family val="2"/>
        <scheme val="minor"/>
      </rPr>
      <t>3</t>
    </r>
  </si>
  <si>
    <r>
      <t>CF</t>
    </r>
    <r>
      <rPr>
        <vertAlign val="subscript"/>
        <sz val="8"/>
        <color rgb="FF000000"/>
        <rFont val="Arial"/>
        <family val="2"/>
      </rPr>
      <t>4 </t>
    </r>
    <r>
      <rPr>
        <sz val="8"/>
        <color rgb="FF000000"/>
        <rFont val="Arial"/>
        <family val="2"/>
      </rPr>
      <t> </t>
    </r>
  </si>
  <si>
    <r>
      <t>CHF</t>
    </r>
    <r>
      <rPr>
        <vertAlign val="subscript"/>
        <sz val="11"/>
        <color theme="1"/>
        <rFont val="Calibri"/>
        <family val="2"/>
        <scheme val="minor"/>
      </rPr>
      <t>2</t>
    </r>
    <r>
      <rPr>
        <sz val="11"/>
        <color theme="1"/>
        <rFont val="Calibri"/>
        <family val="2"/>
        <scheme val="minor"/>
      </rPr>
      <t>CHFCF</t>
    </r>
    <r>
      <rPr>
        <vertAlign val="subscript"/>
        <sz val="11"/>
        <color theme="1"/>
        <rFont val="Calibri"/>
        <family val="2"/>
        <scheme val="minor"/>
      </rPr>
      <t>3</t>
    </r>
  </si>
  <si>
    <r>
      <t>C</t>
    </r>
    <r>
      <rPr>
        <vertAlign val="subscript"/>
        <sz val="8"/>
        <color rgb="FF000000"/>
        <rFont val="Arial"/>
        <family val="2"/>
      </rPr>
      <t>2</t>
    </r>
    <r>
      <rPr>
        <sz val="8"/>
        <color rgb="FF000000"/>
        <rFont val="Arial"/>
        <family val="2"/>
      </rPr>
      <t>F</t>
    </r>
    <r>
      <rPr>
        <vertAlign val="subscript"/>
        <sz val="8"/>
        <color rgb="FF000000"/>
        <rFont val="Arial"/>
        <family val="2"/>
      </rPr>
      <t>6 </t>
    </r>
    <r>
      <rPr>
        <sz val="8"/>
        <color rgb="FF000000"/>
        <rFont val="Arial"/>
        <family val="2"/>
      </rPr>
      <t> </t>
    </r>
  </si>
  <si>
    <r>
      <t>CH</t>
    </r>
    <r>
      <rPr>
        <vertAlign val="subscript"/>
        <sz val="11"/>
        <color theme="1"/>
        <rFont val="Calibri"/>
        <family val="2"/>
        <scheme val="minor"/>
      </rPr>
      <t>2</t>
    </r>
    <r>
      <rPr>
        <sz val="11"/>
        <color theme="1"/>
        <rFont val="Calibri"/>
        <family val="2"/>
        <scheme val="minor"/>
      </rPr>
      <t>FCF</t>
    </r>
    <r>
      <rPr>
        <vertAlign val="subscript"/>
        <sz val="11"/>
        <color theme="1"/>
        <rFont val="Calibri"/>
        <family val="2"/>
        <scheme val="minor"/>
      </rPr>
      <t>2</t>
    </r>
    <r>
      <rPr>
        <sz val="11"/>
        <color theme="1"/>
        <rFont val="Calibri"/>
        <family val="2"/>
        <scheme val="minor"/>
      </rPr>
      <t>CHF</t>
    </r>
    <r>
      <rPr>
        <vertAlign val="subscript"/>
        <sz val="11"/>
        <color theme="1"/>
        <rFont val="Calibri"/>
        <family val="2"/>
        <scheme val="minor"/>
      </rPr>
      <t>2</t>
    </r>
  </si>
  <si>
    <t>PFC-3-1-10  </t>
  </si>
  <si>
    <t>PFC-4-1-12  </t>
  </si>
  <si>
    <t>PFC-5-1-14  </t>
  </si>
  <si>
    <t>PFC-9-1-18  </t>
  </si>
  <si>
    <r>
      <t>Fluorinated ethers </t>
    </r>
    <r>
      <rPr>
        <b/>
        <sz val="8"/>
        <color rgb="FF0C3086"/>
        <rFont val="Arial"/>
        <family val="2"/>
      </rPr>
      <t> </t>
    </r>
  </si>
  <si>
    <r>
      <t>CHF</t>
    </r>
    <r>
      <rPr>
        <vertAlign val="subscript"/>
        <sz val="11"/>
        <rFont val="Calibri"/>
        <family val="2"/>
        <scheme val="minor"/>
      </rPr>
      <t>2</t>
    </r>
    <r>
      <rPr>
        <sz val="11"/>
        <rFont val="Calibri"/>
        <family val="2"/>
        <scheme val="minor"/>
      </rPr>
      <t>OCF</t>
    </r>
    <r>
      <rPr>
        <vertAlign val="subscript"/>
        <sz val="11"/>
        <rFont val="Calibri"/>
        <family val="2"/>
        <scheme val="minor"/>
      </rPr>
      <t>3</t>
    </r>
  </si>
  <si>
    <r>
      <t>CHF</t>
    </r>
    <r>
      <rPr>
        <vertAlign val="subscript"/>
        <sz val="11"/>
        <rFont val="Calibri"/>
        <family val="2"/>
        <scheme val="minor"/>
      </rPr>
      <t>2</t>
    </r>
    <r>
      <rPr>
        <sz val="11"/>
        <rFont val="Calibri"/>
        <family val="2"/>
        <scheme val="minor"/>
      </rPr>
      <t>OCHF</t>
    </r>
    <r>
      <rPr>
        <vertAlign val="subscript"/>
        <sz val="11"/>
        <rFont val="Calibri"/>
        <family val="2"/>
        <scheme val="minor"/>
      </rPr>
      <t>2</t>
    </r>
  </si>
  <si>
    <r>
      <t>CH</t>
    </r>
    <r>
      <rPr>
        <vertAlign val="subscript"/>
        <sz val="11"/>
        <rFont val="Calibri"/>
        <family val="2"/>
        <scheme val="minor"/>
      </rPr>
      <t>3</t>
    </r>
    <r>
      <rPr>
        <sz val="11"/>
        <rFont val="Calibri"/>
        <family val="2"/>
        <scheme val="minor"/>
      </rPr>
      <t>OCF</t>
    </r>
    <r>
      <rPr>
        <vertAlign val="subscript"/>
        <sz val="11"/>
        <rFont val="Calibri"/>
        <family val="2"/>
        <scheme val="minor"/>
      </rPr>
      <t>3</t>
    </r>
  </si>
  <si>
    <r>
      <t>CHF</t>
    </r>
    <r>
      <rPr>
        <vertAlign val="subscript"/>
        <sz val="11"/>
        <rFont val="Calibri"/>
        <family val="2"/>
        <scheme val="minor"/>
      </rPr>
      <t>2</t>
    </r>
    <r>
      <rPr>
        <sz val="11"/>
        <rFont val="Calibri"/>
        <family val="2"/>
        <scheme val="minor"/>
      </rPr>
      <t>OCHClCF</t>
    </r>
    <r>
      <rPr>
        <vertAlign val="subscript"/>
        <sz val="11"/>
        <rFont val="Calibri"/>
        <family val="2"/>
        <scheme val="minor"/>
      </rPr>
      <t>3</t>
    </r>
  </si>
  <si>
    <r>
      <t>CH</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3</t>
    </r>
  </si>
  <si>
    <r>
      <t>CHF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CF</t>
    </r>
    <r>
      <rPr>
        <vertAlign val="subscript"/>
        <sz val="11"/>
        <rFont val="Calibri"/>
        <family val="2"/>
        <scheme val="minor"/>
      </rPr>
      <t>3</t>
    </r>
  </si>
  <si>
    <r>
      <t>CH</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CF</t>
    </r>
    <r>
      <rPr>
        <vertAlign val="subscript"/>
        <sz val="11"/>
        <rFont val="Calibri"/>
        <family val="2"/>
        <scheme val="minor"/>
      </rPr>
      <t>3</t>
    </r>
    <r>
      <rPr>
        <sz val="11"/>
        <rFont val="Calibri"/>
        <family val="2"/>
        <scheme val="minor"/>
      </rPr>
      <t xml:space="preserve"> </t>
    </r>
  </si>
  <si>
    <r>
      <t>c-C</t>
    </r>
    <r>
      <rPr>
        <vertAlign val="subscript"/>
        <sz val="11"/>
        <rFont val="Calibri"/>
        <family val="2"/>
        <scheme val="minor"/>
      </rPr>
      <t>3</t>
    </r>
    <r>
      <rPr>
        <sz val="11"/>
        <rFont val="Calibri"/>
        <family val="2"/>
        <scheme val="minor"/>
      </rPr>
      <t>F</t>
    </r>
    <r>
      <rPr>
        <vertAlign val="subscript"/>
        <sz val="11"/>
        <rFont val="Calibri"/>
        <family val="2"/>
        <scheme val="minor"/>
      </rPr>
      <t>6</t>
    </r>
  </si>
  <si>
    <r>
      <t>CH</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CHF</t>
    </r>
    <r>
      <rPr>
        <vertAlign val="subscript"/>
        <sz val="11"/>
        <rFont val="Calibri"/>
        <family val="2"/>
        <scheme val="minor"/>
      </rPr>
      <t>2</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</si>
  <si>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OCH</t>
    </r>
    <r>
      <rPr>
        <vertAlign val="subscript"/>
        <sz val="11"/>
        <rFont val="Calibri"/>
        <family val="2"/>
        <scheme val="minor"/>
      </rPr>
      <t>3</t>
    </r>
  </si>
  <si>
    <r>
      <t>C</t>
    </r>
    <r>
      <rPr>
        <vertAlign val="subscript"/>
        <sz val="11"/>
        <rFont val="Calibri"/>
        <family val="2"/>
        <scheme val="minor"/>
      </rPr>
      <t>4</t>
    </r>
    <r>
      <rPr>
        <sz val="11"/>
        <rFont val="Calibri"/>
        <family val="2"/>
        <scheme val="minor"/>
      </rPr>
      <t>F</t>
    </r>
    <r>
      <rPr>
        <vertAlign val="subscript"/>
        <sz val="11"/>
        <rFont val="Calibri"/>
        <family val="2"/>
        <scheme val="minor"/>
      </rPr>
      <t>9</t>
    </r>
    <r>
      <rPr>
        <sz val="11"/>
        <rFont val="Calibri"/>
        <family val="2"/>
        <scheme val="minor"/>
      </rPr>
      <t>OC</t>
    </r>
    <r>
      <rPr>
        <vertAlign val="subscript"/>
        <sz val="11"/>
        <rFont val="Calibri"/>
        <family val="2"/>
        <scheme val="minor"/>
      </rPr>
      <t>2</t>
    </r>
    <r>
      <rPr>
        <sz val="11"/>
        <rFont val="Calibri"/>
        <family val="2"/>
        <scheme val="minor"/>
      </rPr>
      <t>H</t>
    </r>
    <r>
      <rPr>
        <vertAlign val="subscript"/>
        <sz val="11"/>
        <rFont val="Calibri"/>
        <family val="2"/>
        <scheme val="minor"/>
      </rPr>
      <t xml:space="preserve">5 </t>
    </r>
  </si>
  <si>
    <r>
      <t>CHF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OC</t>
    </r>
    <r>
      <rPr>
        <vertAlign val="subscript"/>
        <sz val="11"/>
        <rFont val="Calibri"/>
        <family val="2"/>
        <scheme val="minor"/>
      </rPr>
      <t>2</t>
    </r>
    <r>
      <rPr>
        <sz val="11"/>
        <rFont val="Calibri"/>
        <family val="2"/>
        <scheme val="minor"/>
      </rPr>
      <t>F</t>
    </r>
    <r>
      <rPr>
        <vertAlign val="subscript"/>
        <sz val="11"/>
        <rFont val="Calibri"/>
        <family val="2"/>
        <scheme val="minor"/>
      </rPr>
      <t>4</t>
    </r>
    <r>
      <rPr>
        <sz val="11"/>
        <rFont val="Calibri"/>
        <family val="2"/>
        <scheme val="minor"/>
      </rPr>
      <t>OCHF</t>
    </r>
    <r>
      <rPr>
        <vertAlign val="subscript"/>
        <sz val="11"/>
        <rFont val="Calibri"/>
        <family val="2"/>
        <scheme val="minor"/>
      </rPr>
      <t>2</t>
    </r>
  </si>
  <si>
    <r>
      <t>CHF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OCHF</t>
    </r>
    <r>
      <rPr>
        <vertAlign val="subscript"/>
        <sz val="11"/>
        <rFont val="Calibri"/>
        <family val="2"/>
        <scheme val="minor"/>
      </rPr>
      <t>2</t>
    </r>
  </si>
  <si>
    <r>
      <t>CF</t>
    </r>
    <r>
      <rPr>
        <vertAlign val="subscript"/>
        <sz val="11"/>
        <rFont val="Calibri"/>
        <family val="2"/>
        <scheme val="minor"/>
      </rPr>
      <t>3</t>
    </r>
    <r>
      <rPr>
        <sz val="11"/>
        <rFont val="Calibri"/>
        <family val="2"/>
        <scheme val="minor"/>
      </rPr>
      <t>CHFOCF</t>
    </r>
    <r>
      <rPr>
        <vertAlign val="subscript"/>
        <sz val="11"/>
        <rFont val="Calibri"/>
        <family val="2"/>
        <scheme val="minor"/>
      </rPr>
      <t>3</t>
    </r>
  </si>
  <si>
    <r>
      <t xml:space="preserve"> CHF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OCHF</t>
    </r>
    <r>
      <rPr>
        <vertAlign val="subscript"/>
        <sz val="11"/>
        <rFont val="Calibri"/>
        <family val="2"/>
        <scheme val="minor"/>
      </rPr>
      <t>2</t>
    </r>
  </si>
  <si>
    <r>
      <t>Perfluoropolyethers</t>
    </r>
    <r>
      <rPr>
        <b/>
        <sz val="8"/>
        <color rgb="FF0C3086"/>
        <rFont val="Arial"/>
        <family val="2"/>
      </rPr>
      <t>  </t>
    </r>
  </si>
  <si>
    <r>
      <t>CHF</t>
    </r>
    <r>
      <rPr>
        <vertAlign val="subscript"/>
        <sz val="11"/>
        <rFont val="Calibri"/>
        <family val="2"/>
        <scheme val="minor"/>
      </rPr>
      <t>2</t>
    </r>
    <r>
      <rPr>
        <sz val="11"/>
        <rFont val="Calibri"/>
        <family val="2"/>
        <scheme val="minor"/>
      </rPr>
      <t>OCHFCF</t>
    </r>
    <r>
      <rPr>
        <vertAlign val="subscript"/>
        <sz val="11"/>
        <rFont val="Calibri"/>
        <family val="2"/>
        <scheme val="minor"/>
      </rPr>
      <t>3</t>
    </r>
  </si>
  <si>
    <r>
      <t>CF</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OCF</t>
    </r>
    <r>
      <rPr>
        <vertAlign val="subscript"/>
        <sz val="11"/>
        <rFont val="Calibri"/>
        <family val="2"/>
        <scheme val="minor"/>
      </rPr>
      <t>3</t>
    </r>
  </si>
  <si>
    <r>
      <t>Hydrocarbons and other compounds – Direct Effects </t>
    </r>
    <r>
      <rPr>
        <b/>
        <sz val="8"/>
        <color rgb="FF0C3086"/>
        <rFont val="Arial"/>
        <family val="2"/>
      </rPr>
      <t> </t>
    </r>
  </si>
  <si>
    <r>
      <t>CHF</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OCF</t>
    </r>
    <r>
      <rPr>
        <vertAlign val="subscript"/>
        <sz val="11"/>
        <rFont val="Calibri"/>
        <family val="2"/>
        <scheme val="minor"/>
      </rPr>
      <t>3</t>
    </r>
  </si>
  <si>
    <r>
      <t>CF</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3</t>
    </r>
  </si>
  <si>
    <r>
      <t>CHF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3</t>
    </r>
  </si>
  <si>
    <r>
      <t>CF</t>
    </r>
    <r>
      <rPr>
        <vertAlign val="subscript"/>
        <sz val="11"/>
        <rFont val="Calibri"/>
        <family val="2"/>
        <scheme val="minor"/>
      </rPr>
      <t>3</t>
    </r>
    <r>
      <rPr>
        <sz val="11"/>
        <rFont val="Calibri"/>
        <family val="2"/>
        <scheme val="minor"/>
      </rPr>
      <t>CH</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3</t>
    </r>
  </si>
  <si>
    <r>
      <t>CHF</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CF</t>
    </r>
    <r>
      <rPr>
        <vertAlign val="subscript"/>
        <sz val="11"/>
        <rFont val="Calibri"/>
        <family val="2"/>
        <scheme val="minor"/>
      </rPr>
      <t>3</t>
    </r>
  </si>
  <si>
    <r>
      <t>CHF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CF</t>
    </r>
    <r>
      <rPr>
        <vertAlign val="subscript"/>
        <sz val="11"/>
        <rFont val="Calibri"/>
        <family val="2"/>
        <scheme val="minor"/>
      </rPr>
      <t>3</t>
    </r>
    <r>
      <rPr>
        <sz val="11"/>
        <rFont val="Calibri"/>
        <family val="2"/>
        <scheme val="minor"/>
      </rPr>
      <t xml:space="preserve"> </t>
    </r>
  </si>
  <si>
    <r>
      <t>CH</t>
    </r>
    <r>
      <rPr>
        <vertAlign val="subscript"/>
        <sz val="11"/>
        <rFont val="Calibri"/>
        <family val="2"/>
        <scheme val="minor"/>
      </rPr>
      <t>3</t>
    </r>
    <r>
      <rPr>
        <sz val="11"/>
        <rFont val="Calibri"/>
        <family val="2"/>
        <scheme val="minor"/>
      </rPr>
      <t>OCF</t>
    </r>
    <r>
      <rPr>
        <vertAlign val="subscript"/>
        <sz val="11"/>
        <rFont val="Calibri"/>
        <family val="2"/>
        <scheme val="minor"/>
      </rPr>
      <t>2</t>
    </r>
    <r>
      <rPr>
        <sz val="11"/>
        <rFont val="Calibri"/>
        <family val="2"/>
        <scheme val="minor"/>
      </rPr>
      <t>CHFCF</t>
    </r>
    <r>
      <rPr>
        <vertAlign val="subscript"/>
        <sz val="11"/>
        <rFont val="Calibri"/>
        <family val="2"/>
        <scheme val="minor"/>
      </rPr>
      <t>3</t>
    </r>
  </si>
  <si>
    <r>
      <t>CHF</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OCF</t>
    </r>
    <r>
      <rPr>
        <vertAlign val="subscript"/>
        <sz val="11"/>
        <rFont val="Calibri"/>
        <family val="2"/>
        <scheme val="minor"/>
      </rPr>
      <t>2</t>
    </r>
    <r>
      <rPr>
        <sz val="11"/>
        <rFont val="Calibri"/>
        <family val="2"/>
        <scheme val="minor"/>
      </rPr>
      <t>CHF</t>
    </r>
    <r>
      <rPr>
        <vertAlign val="subscript"/>
        <sz val="11"/>
        <rFont val="Calibri"/>
        <family val="2"/>
        <scheme val="minor"/>
      </rPr>
      <t>2</t>
    </r>
  </si>
  <si>
    <r>
      <t>CHF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CHF</t>
    </r>
    <r>
      <rPr>
        <vertAlign val="subscript"/>
        <sz val="11"/>
        <rFont val="Calibri"/>
        <family val="2"/>
        <scheme val="minor"/>
      </rPr>
      <t>2</t>
    </r>
  </si>
  <si>
    <r>
      <t>CF</t>
    </r>
    <r>
      <rPr>
        <vertAlign val="subscript"/>
        <sz val="11"/>
        <rFont val="Calibri"/>
        <family val="2"/>
        <scheme val="minor"/>
      </rPr>
      <t>3</t>
    </r>
    <r>
      <rPr>
        <sz val="11"/>
        <rFont val="Calibri"/>
        <family val="2"/>
        <scheme val="minor"/>
      </rPr>
      <t>CF</t>
    </r>
    <r>
      <rPr>
        <vertAlign val="subscript"/>
        <sz val="11"/>
        <rFont val="Calibri"/>
        <family val="2"/>
        <scheme val="minor"/>
      </rPr>
      <t>2</t>
    </r>
    <r>
      <rPr>
        <sz val="11"/>
        <rFont val="Calibri"/>
        <family val="2"/>
        <scheme val="minor"/>
      </rPr>
      <t>CH</t>
    </r>
    <r>
      <rPr>
        <vertAlign val="subscript"/>
        <sz val="11"/>
        <rFont val="Calibri"/>
        <family val="2"/>
        <scheme val="minor"/>
      </rPr>
      <t>2</t>
    </r>
    <r>
      <rPr>
        <sz val="11"/>
        <rFont val="Calibri"/>
        <family val="2"/>
        <scheme val="minor"/>
      </rPr>
      <t>OCH</t>
    </r>
    <r>
      <rPr>
        <vertAlign val="subscript"/>
        <sz val="11"/>
        <rFont val="Calibri"/>
        <family val="2"/>
        <scheme val="minor"/>
      </rPr>
      <t>3</t>
    </r>
  </si>
  <si>
    <r>
      <t>CHF</t>
    </r>
    <r>
      <rPr>
        <vertAlign val="subscript"/>
        <sz val="11"/>
        <rFont val="Calibri"/>
        <family val="2"/>
        <scheme val="minor"/>
      </rPr>
      <t>2</t>
    </r>
    <r>
      <rPr>
        <sz val="11"/>
        <rFont val="Calibri"/>
        <family val="2"/>
        <scheme val="minor"/>
      </rPr>
      <t>CF</t>
    </r>
    <r>
      <rPr>
        <vertAlign val="subscript"/>
        <sz val="11"/>
        <rFont val="Calibri"/>
        <family val="2"/>
        <scheme val="minor"/>
      </rPr>
      <t>2</t>
    </r>
    <r>
      <rPr>
        <sz val="11"/>
        <rFont val="Calibri"/>
        <family val="2"/>
        <scheme val="minor"/>
      </rPr>
      <t>OCH</t>
    </r>
    <r>
      <rPr>
        <vertAlign val="subscript"/>
        <sz val="11"/>
        <rFont val="Calibri"/>
        <family val="2"/>
        <scheme val="minor"/>
      </rPr>
      <t>2</t>
    </r>
    <r>
      <rPr>
        <sz val="11"/>
        <rFont val="Calibri"/>
        <family val="2"/>
        <scheme val="minor"/>
      </rPr>
      <t>CH</t>
    </r>
    <r>
      <rPr>
        <vertAlign val="subscript"/>
        <sz val="11"/>
        <rFont val="Calibri"/>
        <family val="2"/>
        <scheme val="minor"/>
      </rPr>
      <t>3</t>
    </r>
  </si>
  <si>
    <t>Medical (anaesthetic) gases</t>
  </si>
  <si>
    <t xml:space="preserve">Mix (mole fraction %) </t>
  </si>
  <si>
    <r>
      <t>(CF</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CHOCH</t>
    </r>
    <r>
      <rPr>
        <vertAlign val="subscript"/>
        <sz val="11"/>
        <rFont val="Calibri"/>
        <family val="2"/>
        <scheme val="minor"/>
      </rPr>
      <t>2</t>
    </r>
    <r>
      <rPr>
        <sz val="11"/>
        <rFont val="Calibri"/>
        <family val="2"/>
        <scheme val="minor"/>
      </rPr>
      <t>F</t>
    </r>
  </si>
  <si>
    <r>
      <t>N</t>
    </r>
    <r>
      <rPr>
        <vertAlign val="subscript"/>
        <sz val="11"/>
        <rFont val="Calibri"/>
        <family val="2"/>
        <scheme val="minor"/>
      </rPr>
      <t>2</t>
    </r>
    <r>
      <rPr>
        <sz val="11"/>
        <rFont val="Calibri"/>
        <family val="2"/>
        <scheme val="minor"/>
      </rPr>
      <t>O/O</t>
    </r>
    <r>
      <rPr>
        <vertAlign val="subscript"/>
        <sz val="11"/>
        <rFont val="Calibri"/>
        <family val="2"/>
        <scheme val="minor"/>
      </rPr>
      <t>2</t>
    </r>
    <r>
      <rPr>
        <sz val="11"/>
        <rFont val="Calibri"/>
        <family val="2"/>
        <scheme val="minor"/>
      </rPr>
      <t xml:space="preserve"> (50.0/50.0)</t>
    </r>
  </si>
  <si>
    <t xml:space="preserve">Total </t>
  </si>
  <si>
    <r>
      <t>CHCl</t>
    </r>
    <r>
      <rPr>
        <vertAlign val="subscript"/>
        <sz val="11"/>
        <color theme="1"/>
        <rFont val="Calibri"/>
        <family val="2"/>
        <scheme val="minor"/>
      </rPr>
      <t>3</t>
    </r>
  </si>
  <si>
    <r>
      <t>CH</t>
    </r>
    <r>
      <rPr>
        <vertAlign val="subscript"/>
        <sz val="11"/>
        <rFont val="Calibri"/>
        <family val="2"/>
        <scheme val="minor"/>
      </rPr>
      <t>2</t>
    </r>
    <r>
      <rPr>
        <sz val="11"/>
        <rFont val="Calibri"/>
        <family val="2"/>
        <scheme val="minor"/>
      </rPr>
      <t>Cl</t>
    </r>
    <r>
      <rPr>
        <vertAlign val="subscript"/>
        <sz val="11"/>
        <rFont val="Calibri"/>
        <family val="2"/>
        <scheme val="minor"/>
      </rPr>
      <t>2</t>
    </r>
  </si>
  <si>
    <t>Halon-1201</t>
  </si>
  <si>
    <r>
      <t>CHBrF</t>
    </r>
    <r>
      <rPr>
        <vertAlign val="subscript"/>
        <sz val="11"/>
        <rFont val="Calibri"/>
        <family val="2"/>
        <scheme val="minor"/>
      </rPr>
      <t>2</t>
    </r>
  </si>
  <si>
    <r>
      <t>CH</t>
    </r>
    <r>
      <rPr>
        <vertAlign val="subscript"/>
        <sz val="11"/>
        <rFont val="Calibri"/>
        <family val="2"/>
        <scheme val="minor"/>
      </rPr>
      <t>3</t>
    </r>
    <r>
      <rPr>
        <sz val="11"/>
        <rFont val="Calibri"/>
        <family val="2"/>
        <scheme val="minor"/>
      </rPr>
      <t>Cl</t>
    </r>
  </si>
  <si>
    <t>Emissions Factor Workbook Using Data and Methods from the most recent available year</t>
  </si>
  <si>
    <t>Passenger transport emission factors</t>
  </si>
  <si>
    <t>Public transport passenger travel emission factors</t>
  </si>
  <si>
    <t>Bus</t>
  </si>
  <si>
    <t>National Average for Bus</t>
  </si>
  <si>
    <t>passenger.km</t>
  </si>
  <si>
    <t xml:space="preserve">Electric Bus </t>
  </si>
  <si>
    <t xml:space="preserve"> (based on Wellington)</t>
  </si>
  <si>
    <t xml:space="preserve">Diesel Bus </t>
  </si>
  <si>
    <t>Average Bus</t>
  </si>
  <si>
    <t>Rail</t>
  </si>
  <si>
    <t xml:space="preserve">Metropolitan Electric </t>
  </si>
  <si>
    <t>Metropolitan Diesel</t>
  </si>
  <si>
    <t xml:space="preserve">Metropolitan Average </t>
  </si>
  <si>
    <t xml:space="preserve">Light Passenger Vehicle emission factors </t>
  </si>
  <si>
    <t>Pre 2010 Fleet</t>
  </si>
  <si>
    <t>2010- 2015 Fleet</t>
  </si>
  <si>
    <t>Post 2015 Fleet</t>
  </si>
  <si>
    <r>
      <t>kg CO</t>
    </r>
    <r>
      <rPr>
        <b/>
        <vertAlign val="subscript"/>
        <sz val="11"/>
        <color rgb="FF000000"/>
        <rFont val="Calibri"/>
        <family val="2"/>
        <scheme val="minor"/>
      </rPr>
      <t>2</t>
    </r>
    <r>
      <rPr>
        <b/>
        <sz val="11"/>
        <color rgb="FF000000"/>
        <rFont val="Calibri"/>
        <family val="2"/>
        <scheme val="minor"/>
      </rPr>
      <t>e</t>
    </r>
  </si>
  <si>
    <r>
      <t>CO</t>
    </r>
    <r>
      <rPr>
        <vertAlign val="subscript"/>
        <sz val="11"/>
        <color rgb="FF000000"/>
        <rFont val="Calibri"/>
        <family val="2"/>
        <scheme val="minor"/>
      </rPr>
      <t>2</t>
    </r>
    <r>
      <rPr>
        <b/>
        <sz val="11"/>
        <color rgb="FF000000"/>
        <rFont val="Calibri"/>
        <family val="2"/>
        <scheme val="minor"/>
      </rPr>
      <t xml:space="preserve"> (kg CO</t>
    </r>
    <r>
      <rPr>
        <b/>
        <vertAlign val="subscript"/>
        <sz val="11"/>
        <color rgb="FF000000"/>
        <rFont val="Calibri"/>
        <family val="2"/>
        <scheme val="minor"/>
      </rPr>
      <t>2</t>
    </r>
    <r>
      <rPr>
        <b/>
        <sz val="11"/>
        <color rgb="FF000000"/>
        <rFont val="Calibri"/>
        <family val="2"/>
        <scheme val="minor"/>
      </rPr>
      <t>e)</t>
    </r>
  </si>
  <si>
    <r>
      <t>CH</t>
    </r>
    <r>
      <rPr>
        <vertAlign val="subscript"/>
        <sz val="11"/>
        <color rgb="FF000000"/>
        <rFont val="Calibri"/>
        <family val="2"/>
        <scheme val="minor"/>
      </rPr>
      <t>4</t>
    </r>
    <r>
      <rPr>
        <b/>
        <sz val="11"/>
        <color rgb="FF000000"/>
        <rFont val="Calibri"/>
        <family val="2"/>
        <scheme val="minor"/>
      </rPr>
      <t xml:space="preserve"> (kg CO</t>
    </r>
    <r>
      <rPr>
        <b/>
        <vertAlign val="subscript"/>
        <sz val="11"/>
        <color rgb="FF000000"/>
        <rFont val="Calibri"/>
        <family val="2"/>
        <scheme val="minor"/>
      </rPr>
      <t>2</t>
    </r>
    <r>
      <rPr>
        <b/>
        <sz val="11"/>
        <color rgb="FF000000"/>
        <rFont val="Calibri"/>
        <family val="2"/>
        <scheme val="minor"/>
      </rPr>
      <t>e)</t>
    </r>
  </si>
  <si>
    <r>
      <t>N</t>
    </r>
    <r>
      <rPr>
        <b/>
        <vertAlign val="subscript"/>
        <sz val="11"/>
        <color rgb="FF000000"/>
        <rFont val="Calibri"/>
        <family val="2"/>
        <scheme val="minor"/>
      </rPr>
      <t>2</t>
    </r>
    <r>
      <rPr>
        <b/>
        <sz val="11"/>
        <color rgb="FF000000"/>
        <rFont val="Calibri"/>
        <family val="2"/>
        <scheme val="minor"/>
      </rPr>
      <t>O (kg CO</t>
    </r>
    <r>
      <rPr>
        <b/>
        <vertAlign val="subscript"/>
        <sz val="11"/>
        <color rgb="FF000000"/>
        <rFont val="Calibri"/>
        <family val="2"/>
        <scheme val="minor"/>
      </rPr>
      <t>2</t>
    </r>
    <r>
      <rPr>
        <b/>
        <sz val="11"/>
        <color rgb="FF000000"/>
        <rFont val="Calibri"/>
        <family val="2"/>
        <scheme val="minor"/>
      </rPr>
      <t>e)</t>
    </r>
  </si>
  <si>
    <t xml:space="preserve">Petrol vehicle </t>
  </si>
  <si>
    <t xml:space="preserve"> &lt;1350 cc</t>
  </si>
  <si>
    <t>km</t>
  </si>
  <si>
    <t>1350–&lt;1600 cc</t>
  </si>
  <si>
    <t>1600–&lt;2000 cc</t>
  </si>
  <si>
    <t>2000–3000 cc</t>
  </si>
  <si>
    <t>≥3000 cc</t>
  </si>
  <si>
    <t>Diesel vehicle</t>
  </si>
  <si>
    <t>2000–&lt;3000 cc</t>
  </si>
  <si>
    <t>Petrol hybrid vehicle</t>
  </si>
  <si>
    <t>Diesel Hybrid vehicle</t>
  </si>
  <si>
    <t>Petrol Plug-in hybrid electric vehicle (PHEV) - Petrol consumption</t>
  </si>
  <si>
    <t>Electricity: petrol - Plug-in hybrid electric vehicle (PHEV)</t>
  </si>
  <si>
    <t>Diesel- Plug-in hybrid electric vehicle (PHEV)</t>
  </si>
  <si>
    <t>Electricity: diesel - Plug-in hybrid electric vehicle (PHEV)</t>
  </si>
  <si>
    <t>Electric vehicle</t>
  </si>
  <si>
    <t>Motorcycle</t>
  </si>
  <si>
    <t>&lt;60cc, petrol</t>
  </si>
  <si>
    <r>
      <rPr>
        <sz val="11"/>
        <color theme="1"/>
        <rFont val="Calibri"/>
        <family val="2"/>
      </rPr>
      <t>≥</t>
    </r>
    <r>
      <rPr>
        <sz val="11"/>
        <color theme="1"/>
        <rFont val="Calibri"/>
        <family val="2"/>
        <scheme val="minor"/>
      </rPr>
      <t xml:space="preserve"> 60cc, petrol</t>
    </r>
  </si>
  <si>
    <t>&lt;60cc, electricity</t>
  </si>
  <si>
    <r>
      <rPr>
        <sz val="11"/>
        <color theme="1"/>
        <rFont val="Calibri"/>
        <family val="2"/>
      </rPr>
      <t>≥</t>
    </r>
    <r>
      <rPr>
        <sz val="11"/>
        <color theme="1"/>
        <rFont val="Calibri"/>
        <family val="2"/>
        <scheme val="minor"/>
      </rPr>
      <t xml:space="preserve"> 60cc, electricity</t>
    </r>
  </si>
  <si>
    <t xml:space="preserve">Default emission factors </t>
  </si>
  <si>
    <t xml:space="preserve">Private car default (2000 - 3000cc) </t>
  </si>
  <si>
    <t>Petrol hybrid</t>
  </si>
  <si>
    <t>Diesel hybrid</t>
  </si>
  <si>
    <t>Petrol plug-in hybrid (Petrol consumption)</t>
  </si>
  <si>
    <t>Petrol plug-in hybrid (Electricity consumption)</t>
  </si>
  <si>
    <t>Diesel plug-in hybrid (Diesel consumption)</t>
  </si>
  <si>
    <t>Diesel plug-in hybrid (Electricity consumption)</t>
  </si>
  <si>
    <t>Electric</t>
  </si>
  <si>
    <t>Rental car default (engine size 1600 -&lt;2000cc) assumed to be 2010 -2015 fleet</t>
  </si>
  <si>
    <t>Taxi Travel</t>
  </si>
  <si>
    <t>Taxi travel - distance travelled (taxi is the average between 1600 -&lt;3000 based on MIA data)</t>
  </si>
  <si>
    <t>Taxi travel - dollars spent ($3.20/kilometre)</t>
  </si>
  <si>
    <t>$</t>
  </si>
  <si>
    <t xml:space="preserve">Public Transport  vehicle emission factors </t>
  </si>
  <si>
    <t>Diesel Bus</t>
  </si>
  <si>
    <t xml:space="preserve"> &lt; 7500 kg</t>
  </si>
  <si>
    <t xml:space="preserve"> Assuming pre 2010 model</t>
  </si>
  <si>
    <t>7500 - 12000 kg</t>
  </si>
  <si>
    <r>
      <rPr>
        <sz val="11"/>
        <color theme="1"/>
        <rFont val="Calibri"/>
        <family val="2"/>
      </rPr>
      <t>≥</t>
    </r>
    <r>
      <rPr>
        <sz val="11"/>
        <color theme="1"/>
        <rFont val="Calibri"/>
        <family val="2"/>
        <scheme val="minor"/>
      </rPr>
      <t xml:space="preserve"> 12000 kg</t>
    </r>
  </si>
  <si>
    <t xml:space="preserve">Diesel hybrid bus </t>
  </si>
  <si>
    <r>
      <t>Electric bus</t>
    </r>
    <r>
      <rPr>
        <b/>
        <sz val="11"/>
        <color rgb="FFFF0000"/>
        <rFont val="Calibri"/>
        <family val="2"/>
        <scheme val="minor"/>
      </rPr>
      <t xml:space="preserve"> </t>
    </r>
  </si>
  <si>
    <t xml:space="preserve">DOMESTIC AIR TRAVEL Passenger emission factors </t>
  </si>
  <si>
    <t>With Radiative Forcing factors</t>
  </si>
  <si>
    <t>Without Radiative Forcing factors</t>
  </si>
  <si>
    <t>Domestic flight (2019)</t>
  </si>
  <si>
    <t>National average</t>
  </si>
  <si>
    <t>Not quantified</t>
  </si>
  <si>
    <t>See Detailed guide</t>
  </si>
  <si>
    <t>Large aircraft</t>
  </si>
  <si>
    <t>Medium aircraft</t>
  </si>
  <si>
    <t>Small aircraft</t>
  </si>
  <si>
    <t>Domestic flight (2020)</t>
  </si>
  <si>
    <t xml:space="preserve">INTERNATIONAL AIR TRAVEL Passenger emission factors </t>
  </si>
  <si>
    <t>Short-haul (&lt;3700km)</t>
  </si>
  <si>
    <t>Average passenger</t>
  </si>
  <si>
    <t>Taken from BEIS</t>
  </si>
  <si>
    <t>Economy class</t>
  </si>
  <si>
    <t>Business class</t>
  </si>
  <si>
    <t>Long-haul (&gt;3700km)</t>
  </si>
  <si>
    <t>Premium economy class</t>
  </si>
  <si>
    <t>First class</t>
  </si>
  <si>
    <t>Helicopter emission factors</t>
  </si>
  <si>
    <t>Helicopter</t>
  </si>
  <si>
    <t>Eurocopter AS 350B Squirrel</t>
  </si>
  <si>
    <t>Eurocopter AS 350B3 Squirrel</t>
  </si>
  <si>
    <t>Robinson R44</t>
  </si>
  <si>
    <t>Robinson R22 Beta</t>
  </si>
  <si>
    <t>Bell 206B</t>
  </si>
  <si>
    <t>Hotel stay emission factor</t>
  </si>
  <si>
    <t>Hotel stay</t>
  </si>
  <si>
    <t>Argentina</t>
  </si>
  <si>
    <t>Room per night</t>
  </si>
  <si>
    <t>See CHSB tool Guidance</t>
  </si>
  <si>
    <t>Australia</t>
  </si>
  <si>
    <t>Austria</t>
  </si>
  <si>
    <t>Belgium</t>
  </si>
  <si>
    <t>Brazil</t>
  </si>
  <si>
    <t>Canada</t>
  </si>
  <si>
    <t>Caribbean Region</t>
  </si>
  <si>
    <t>Chile</t>
  </si>
  <si>
    <t>China</t>
  </si>
  <si>
    <t>Colombia</t>
  </si>
  <si>
    <t>Costa Rica</t>
  </si>
  <si>
    <t>Czech Republic</t>
  </si>
  <si>
    <t>Egypt</t>
  </si>
  <si>
    <t>Fiji</t>
  </si>
  <si>
    <t>Finland</t>
  </si>
  <si>
    <t>France</t>
  </si>
  <si>
    <t>French Polynesia</t>
  </si>
  <si>
    <t>Germany</t>
  </si>
  <si>
    <t>Greece</t>
  </si>
  <si>
    <t>Hong Kong</t>
  </si>
  <si>
    <t>Hungary</t>
  </si>
  <si>
    <t>India</t>
  </si>
  <si>
    <t>Indonesia</t>
  </si>
  <si>
    <t>Ireland</t>
  </si>
  <si>
    <t>Israel</t>
  </si>
  <si>
    <t>Italy</t>
  </si>
  <si>
    <t>Japan</t>
  </si>
  <si>
    <t>Jordan</t>
  </si>
  <si>
    <t>Kazakhstan</t>
  </si>
  <si>
    <t>Macau</t>
  </si>
  <si>
    <t>Malaysia</t>
  </si>
  <si>
    <t>Maldives</t>
  </si>
  <si>
    <t>Mexico</t>
  </si>
  <si>
    <t>Morocco</t>
  </si>
  <si>
    <t>Netherlands</t>
  </si>
  <si>
    <t>New Zealand</t>
  </si>
  <si>
    <t>Oman</t>
  </si>
  <si>
    <t>Panama</t>
  </si>
  <si>
    <t>Peru</t>
  </si>
  <si>
    <t>Philippines</t>
  </si>
  <si>
    <t>Poland</t>
  </si>
  <si>
    <t>Portugal</t>
  </si>
  <si>
    <t>Qatar</t>
  </si>
  <si>
    <t>Romania</t>
  </si>
  <si>
    <t>Russian Federation</t>
  </si>
  <si>
    <t>Saudi Arabia</t>
  </si>
  <si>
    <t>Singapore</t>
  </si>
  <si>
    <t>South Africa</t>
  </si>
  <si>
    <t>South Korea</t>
  </si>
  <si>
    <t>Spain</t>
  </si>
  <si>
    <t>Switzerland</t>
  </si>
  <si>
    <t>Taiwan</t>
  </si>
  <si>
    <t>Thailand</t>
  </si>
  <si>
    <t>Turkey</t>
  </si>
  <si>
    <t>United Arab Emirates</t>
  </si>
  <si>
    <t>United Kingdom</t>
  </si>
  <si>
    <t>United States</t>
  </si>
  <si>
    <t>Vietnam</t>
  </si>
  <si>
    <t xml:space="preserve">Calculations 2022 </t>
  </si>
  <si>
    <t>International Air travel</t>
  </si>
  <si>
    <t>NOTE: change from radiative forcing is terminalogy change. Best to adopt this (Air NZ advice)</t>
  </si>
  <si>
    <t>Including the indirect effects of non-CO2 emissions</t>
  </si>
  <si>
    <t>Direct effects from CO2, CH4 and N2O emissions only</t>
  </si>
  <si>
    <t>Emission factor calculation:</t>
  </si>
  <si>
    <t>Haul</t>
  </si>
  <si>
    <t>Class</t>
  </si>
  <si>
    <r>
      <t>kg CO</t>
    </r>
    <r>
      <rPr>
        <vertAlign val="subscript"/>
        <sz val="11"/>
        <color rgb="FF003366"/>
        <rFont val="Calibri"/>
        <family val="2"/>
      </rPr>
      <t>2</t>
    </r>
    <r>
      <rPr>
        <sz val="11"/>
        <color rgb="FF003366"/>
        <rFont val="Calibri"/>
        <family val="2"/>
      </rPr>
      <t>e</t>
    </r>
  </si>
  <si>
    <r>
      <t>kg CO</t>
    </r>
    <r>
      <rPr>
        <vertAlign val="subscript"/>
        <sz val="11"/>
        <color rgb="FF003366"/>
        <rFont val="Calibri"/>
        <family val="2"/>
      </rPr>
      <t>2</t>
    </r>
  </si>
  <si>
    <r>
      <t>kg CH</t>
    </r>
    <r>
      <rPr>
        <vertAlign val="subscript"/>
        <sz val="11"/>
        <color rgb="FF003366"/>
        <rFont val="Calibri"/>
        <family val="2"/>
      </rPr>
      <t>4</t>
    </r>
  </si>
  <si>
    <r>
      <t>kg N</t>
    </r>
    <r>
      <rPr>
        <vertAlign val="subscript"/>
        <sz val="11"/>
        <color rgb="FF003366"/>
        <rFont val="Calibri"/>
        <family val="2"/>
      </rPr>
      <t>2</t>
    </r>
    <r>
      <rPr>
        <sz val="11"/>
        <color rgb="FF003366"/>
        <rFont val="Calibri"/>
        <family val="2"/>
      </rPr>
      <t>O</t>
    </r>
  </si>
  <si>
    <t>Short-haul, to/from UK</t>
  </si>
  <si>
    <t>Long-haul, to/from UK</t>
  </si>
  <si>
    <t>Domestic Air Travel</t>
  </si>
  <si>
    <t>Waiting for data from Air NZ</t>
  </si>
  <si>
    <t>No data available this update</t>
  </si>
  <si>
    <t>Radiative forcing multiplier:</t>
  </si>
  <si>
    <t>Domestic air travel emission factors without a radiative forcing multiplier</t>
  </si>
  <si>
    <t>Domestic air travel emission factors with a radiative forcing multiplier</t>
  </si>
  <si>
    <r>
      <t>kg CO</t>
    </r>
    <r>
      <rPr>
        <vertAlign val="subscript"/>
        <sz val="11"/>
        <color theme="1"/>
        <rFont val="Calibri"/>
        <family val="2"/>
        <scheme val="minor"/>
      </rPr>
      <t>2</t>
    </r>
    <r>
      <rPr>
        <sz val="11"/>
        <color theme="1"/>
        <rFont val="Calibri"/>
        <family val="2"/>
        <scheme val="minor"/>
      </rPr>
      <t>-e/unit</t>
    </r>
  </si>
  <si>
    <r>
      <t>kg CO</t>
    </r>
    <r>
      <rPr>
        <vertAlign val="subscript"/>
        <sz val="11"/>
        <color theme="1"/>
        <rFont val="Calibri"/>
        <family val="2"/>
        <scheme val="minor"/>
      </rPr>
      <t>2</t>
    </r>
    <r>
      <rPr>
        <sz val="11"/>
        <color theme="1"/>
        <rFont val="Calibri"/>
        <family val="2"/>
        <scheme val="minor"/>
      </rPr>
      <t>/unit (kg CO</t>
    </r>
    <r>
      <rPr>
        <vertAlign val="subscript"/>
        <sz val="11"/>
        <color theme="1"/>
        <rFont val="Calibri"/>
        <family val="2"/>
        <scheme val="minor"/>
      </rPr>
      <t>2</t>
    </r>
    <r>
      <rPr>
        <sz val="11"/>
        <color theme="1"/>
        <rFont val="Calibri"/>
        <family val="2"/>
        <scheme val="minor"/>
      </rPr>
      <t>-e)</t>
    </r>
  </si>
  <si>
    <r>
      <t>kg CH</t>
    </r>
    <r>
      <rPr>
        <vertAlign val="subscript"/>
        <sz val="11"/>
        <color theme="1"/>
        <rFont val="Calibri"/>
        <family val="2"/>
        <scheme val="minor"/>
      </rPr>
      <t>4</t>
    </r>
    <r>
      <rPr>
        <sz val="11"/>
        <color theme="1"/>
        <rFont val="Calibri"/>
        <family val="2"/>
        <scheme val="minor"/>
      </rPr>
      <t>/unit (kg CO</t>
    </r>
    <r>
      <rPr>
        <vertAlign val="subscript"/>
        <sz val="11"/>
        <color theme="1"/>
        <rFont val="Calibri"/>
        <family val="2"/>
        <scheme val="minor"/>
      </rPr>
      <t>2</t>
    </r>
    <r>
      <rPr>
        <sz val="11"/>
        <color theme="1"/>
        <rFont val="Calibri"/>
        <family val="2"/>
        <scheme val="minor"/>
      </rPr>
      <t>-e)</t>
    </r>
  </si>
  <si>
    <r>
      <t>kg N</t>
    </r>
    <r>
      <rPr>
        <vertAlign val="subscript"/>
        <sz val="11"/>
        <color theme="1"/>
        <rFont val="Calibri"/>
        <family val="2"/>
        <scheme val="minor"/>
      </rPr>
      <t>2</t>
    </r>
    <r>
      <rPr>
        <sz val="11"/>
        <color theme="1"/>
        <rFont val="Calibri"/>
        <family val="2"/>
        <scheme val="minor"/>
      </rPr>
      <t>O/unit (kg CO</t>
    </r>
    <r>
      <rPr>
        <vertAlign val="subscript"/>
        <sz val="11"/>
        <color theme="1"/>
        <rFont val="Calibri"/>
        <family val="2"/>
        <scheme val="minor"/>
      </rPr>
      <t>2</t>
    </r>
    <r>
      <rPr>
        <sz val="11"/>
        <color theme="1"/>
        <rFont val="Calibri"/>
        <family val="2"/>
        <scheme val="minor"/>
      </rPr>
      <t>-e)</t>
    </r>
  </si>
  <si>
    <t>National Average</t>
  </si>
  <si>
    <t>pkm</t>
  </si>
  <si>
    <t>*the assumed passengers per flight is now supplied by Air NZ</t>
  </si>
  <si>
    <t>Workings</t>
  </si>
  <si>
    <t xml:space="preserve">Data Table </t>
  </si>
  <si>
    <t>Share of Total Domestic Traffic</t>
  </si>
  <si>
    <t xml:space="preserve">Unit </t>
  </si>
  <si>
    <t>Aircraft</t>
  </si>
  <si>
    <t>Available Seat Kilometers (ASK)</t>
  </si>
  <si>
    <t>Departures</t>
  </si>
  <si>
    <t>Fuel Density kg/L Jet A1</t>
  </si>
  <si>
    <t>Airbus</t>
  </si>
  <si>
    <t>ATR72</t>
  </si>
  <si>
    <t>Q300</t>
  </si>
  <si>
    <t>Domestic aviation data - 2019</t>
  </si>
  <si>
    <t>Source: Air NZ</t>
  </si>
  <si>
    <t>Domestic aviation data - 2020</t>
  </si>
  <si>
    <t>Air New Zealand Raw Data</t>
  </si>
  <si>
    <t>Aircraft Type</t>
  </si>
  <si>
    <t>Total fuel used (kg)</t>
  </si>
  <si>
    <t>Operational ASK</t>
  </si>
  <si>
    <t>Marketing ASK</t>
  </si>
  <si>
    <t>Marketing RPK</t>
  </si>
  <si>
    <t xml:space="preserve">Departures </t>
  </si>
  <si>
    <t>Average load factors</t>
  </si>
  <si>
    <t>CY2019</t>
  </si>
  <si>
    <t>CY2020</t>
  </si>
  <si>
    <t>Air New Zealand A320neo</t>
  </si>
  <si>
    <t>Air New Zealand A321neo</t>
  </si>
  <si>
    <t>Air New Zealand A320ceo Domestic</t>
  </si>
  <si>
    <t>Air New Zealand ATR72</t>
  </si>
  <si>
    <t>Air New Zealand Q300</t>
  </si>
  <si>
    <r>
      <t xml:space="preserve">Table 1 Data from CY2019 - </t>
    </r>
    <r>
      <rPr>
        <sz val="11"/>
        <color rgb="FFFFFFFF"/>
        <rFont val="Arial"/>
        <family val="2"/>
      </rPr>
      <t>Based off MEG Table 37</t>
    </r>
  </si>
  <si>
    <r>
      <t xml:space="preserve">Table 1 Data from CY2020 - </t>
    </r>
    <r>
      <rPr>
        <sz val="11"/>
        <color rgb="FFFFFFFF"/>
        <rFont val="Arial"/>
        <family val="2"/>
      </rPr>
      <t>Based off MEG Table 37</t>
    </r>
  </si>
  <si>
    <t>Total seats</t>
  </si>
  <si>
    <t>Average distance per flight (km)</t>
  </si>
  <si>
    <t>Total flights</t>
  </si>
  <si>
    <t>MfE A320</t>
  </si>
  <si>
    <t>MfE ATR72</t>
  </si>
  <si>
    <t>MfE Q300</t>
  </si>
  <si>
    <r>
      <t xml:space="preserve">Table 2 Calculating Emissions - </t>
    </r>
    <r>
      <rPr>
        <sz val="11"/>
        <color rgb="FFFFFFFF"/>
        <rFont val="Arial"/>
        <family val="2"/>
      </rPr>
      <t>Based off MEG Table 38</t>
    </r>
  </si>
  <si>
    <t xml:space="preserve">Fuel (kg) per flight </t>
  </si>
  <si>
    <t xml:space="preserve">Assumed passengers per flight </t>
  </si>
  <si>
    <t xml:space="preserve">Fuel (kg) per passenger </t>
  </si>
  <si>
    <t xml:space="preserve">Fuel (kg) per passenger per km </t>
  </si>
  <si>
    <t xml:space="preserve">Fuel (litres) per passenger per km </t>
  </si>
  <si>
    <t xml:space="preserve">MfE calculations (2019) </t>
  </si>
  <si>
    <t>MfE calculations (2020)</t>
  </si>
  <si>
    <t>Aircraft type</t>
  </si>
  <si>
    <t>Share of total flights (%)</t>
  </si>
  <si>
    <r>
      <t>kg CO2/unit (kg CO</t>
    </r>
    <r>
      <rPr>
        <vertAlign val="subscript"/>
        <sz val="11"/>
        <color theme="1"/>
        <rFont val="Calibri"/>
        <family val="2"/>
        <scheme val="minor"/>
      </rPr>
      <t>2</t>
    </r>
    <r>
      <rPr>
        <sz val="11"/>
        <color theme="1"/>
        <rFont val="Calibri"/>
        <family val="2"/>
        <scheme val="minor"/>
      </rPr>
      <t>-e)</t>
    </r>
  </si>
  <si>
    <t>Large</t>
  </si>
  <si>
    <t>?</t>
  </si>
  <si>
    <t>Large (average)</t>
  </si>
  <si>
    <t>Medium</t>
  </si>
  <si>
    <t>Medium (average)</t>
  </si>
  <si>
    <t>Table 4 (from Detailed Guide)</t>
  </si>
  <si>
    <t>Fuel type</t>
  </si>
  <si>
    <r>
      <t>kg CO</t>
    </r>
    <r>
      <rPr>
        <b/>
        <vertAlign val="subscript"/>
        <sz val="11"/>
        <color theme="0"/>
        <rFont val="Calibri"/>
        <family val="2"/>
        <scheme val="minor"/>
      </rPr>
      <t>2</t>
    </r>
    <r>
      <rPr>
        <b/>
        <sz val="11"/>
        <color theme="0"/>
        <rFont val="Calibri"/>
        <family val="2"/>
        <scheme val="minor"/>
      </rPr>
      <t>-e/unit</t>
    </r>
  </si>
  <si>
    <r>
      <t>kg CO2/unit (kg CO</t>
    </r>
    <r>
      <rPr>
        <b/>
        <vertAlign val="subscript"/>
        <sz val="11"/>
        <color theme="0"/>
        <rFont val="Calibri"/>
        <family val="2"/>
        <scheme val="minor"/>
      </rPr>
      <t>2</t>
    </r>
    <r>
      <rPr>
        <b/>
        <sz val="11"/>
        <color theme="0"/>
        <rFont val="Calibri"/>
        <family val="2"/>
        <scheme val="minor"/>
      </rPr>
      <t>-e)</t>
    </r>
  </si>
  <si>
    <r>
      <t>kg CH</t>
    </r>
    <r>
      <rPr>
        <b/>
        <vertAlign val="subscript"/>
        <sz val="11"/>
        <color theme="0"/>
        <rFont val="Calibri"/>
        <family val="2"/>
        <scheme val="minor"/>
      </rPr>
      <t>4</t>
    </r>
    <r>
      <rPr>
        <b/>
        <sz val="11"/>
        <color theme="0"/>
        <rFont val="Calibri"/>
        <family val="2"/>
        <scheme val="minor"/>
      </rPr>
      <t>/unit (kg CO</t>
    </r>
    <r>
      <rPr>
        <b/>
        <vertAlign val="subscript"/>
        <sz val="11"/>
        <color theme="0"/>
        <rFont val="Calibri"/>
        <family val="2"/>
        <scheme val="minor"/>
      </rPr>
      <t>2</t>
    </r>
    <r>
      <rPr>
        <b/>
        <sz val="11"/>
        <color theme="0"/>
        <rFont val="Calibri"/>
        <family val="2"/>
        <scheme val="minor"/>
      </rPr>
      <t>-e)</t>
    </r>
  </si>
  <si>
    <r>
      <t>kg N</t>
    </r>
    <r>
      <rPr>
        <b/>
        <vertAlign val="subscript"/>
        <sz val="11"/>
        <color theme="0"/>
        <rFont val="Calibri"/>
        <family val="2"/>
        <scheme val="minor"/>
      </rPr>
      <t>2</t>
    </r>
    <r>
      <rPr>
        <b/>
        <sz val="11"/>
        <color theme="0"/>
        <rFont val="Calibri"/>
        <family val="2"/>
        <scheme val="minor"/>
      </rPr>
      <t>O/unit (kg CO</t>
    </r>
    <r>
      <rPr>
        <b/>
        <vertAlign val="subscript"/>
        <sz val="11"/>
        <color theme="0"/>
        <rFont val="Calibri"/>
        <family val="2"/>
        <scheme val="minor"/>
      </rPr>
      <t>2</t>
    </r>
    <r>
      <rPr>
        <b/>
        <sz val="11"/>
        <color theme="0"/>
        <rFont val="Calibri"/>
        <family val="2"/>
        <scheme val="minor"/>
      </rPr>
      <t>-e)</t>
    </r>
  </si>
  <si>
    <t>Uncertainties kg CO2-e/unit</t>
  </si>
  <si>
    <t>green cells are new equations</t>
  </si>
  <si>
    <t>Recalculations for Detailed Guide:</t>
  </si>
  <si>
    <t>Averaged with Air NZ data</t>
  </si>
  <si>
    <t>Table 37:</t>
  </si>
  <si>
    <r>
      <t>Domestic aviation data (2019)</t>
    </r>
    <r>
      <rPr>
        <sz val="8"/>
        <color theme="1"/>
        <rFont val="Calibri"/>
        <family val="2"/>
        <scheme val="minor"/>
      </rPr>
      <t> </t>
    </r>
  </si>
  <si>
    <t>Table 38:</t>
  </si>
  <si>
    <r>
      <t>Domestic aviation data (2020)</t>
    </r>
    <r>
      <rPr>
        <sz val="8"/>
        <color theme="1"/>
        <rFont val="Calibri"/>
        <family val="2"/>
        <scheme val="minor"/>
      </rPr>
      <t> </t>
    </r>
  </si>
  <si>
    <t>Total seats per flight (ave)</t>
  </si>
  <si>
    <t>Total seats per flight</t>
  </si>
  <si>
    <t>Air New Zealand A320neo </t>
  </si>
  <si>
    <t>Air New Zealand A321neo </t>
  </si>
  <si>
    <t>Air New Zealand A320ceo Domestic </t>
  </si>
  <si>
    <t>Air New Zealand ATR72 </t>
  </si>
  <si>
    <t>Air New Zealand Q300 </t>
  </si>
  <si>
    <t>Airbus A320</t>
  </si>
  <si>
    <t>Aerospatiale/Alenia ATR 72</t>
  </si>
  <si>
    <t>British Aerospace Jetstream 32*</t>
  </si>
  <si>
    <t>Beechcraft Beech 1900D*</t>
  </si>
  <si>
    <t>Cessna Light Aircraft*</t>
  </si>
  <si>
    <t>De Havilland Canada DHC-8-300 Dash 8/8Q, Q300</t>
  </si>
  <si>
    <t>Pilatus PC-12*</t>
  </si>
  <si>
    <t>Saab SF-340*</t>
  </si>
  <si>
    <t>FOKKER F50*</t>
  </si>
  <si>
    <t>Table 42:</t>
  </si>
  <si>
    <r>
      <t>Fuel and passenger data (2019)</t>
    </r>
    <r>
      <rPr>
        <sz val="8"/>
        <color theme="1"/>
        <rFont val="Calibri"/>
        <family val="2"/>
        <scheme val="minor"/>
      </rPr>
      <t> </t>
    </r>
  </si>
  <si>
    <t>Table 41:</t>
  </si>
  <si>
    <r>
      <t>Fuel and passenger data for 2020</t>
    </r>
    <r>
      <rPr>
        <sz val="8"/>
        <color theme="1"/>
        <rFont val="Calibri"/>
        <family val="2"/>
        <scheme val="minor"/>
      </rPr>
      <t> </t>
    </r>
  </si>
  <si>
    <t>Fuel (kg) per flight</t>
  </si>
  <si>
    <t>Assumed passengers per flight</t>
  </si>
  <si>
    <t>Fuel (kg) per passenger</t>
  </si>
  <si>
    <t>Fuel (kg) per passenger per km</t>
  </si>
  <si>
    <t>Fuel (litres) per passenger per km</t>
  </si>
  <si>
    <t>Table 43:</t>
  </si>
  <si>
    <r>
      <t>Calculated emissions for 2019, without the radiative forcing multiplier, per aircraft type and the average used for the emission factors</t>
    </r>
    <r>
      <rPr>
        <sz val="8"/>
        <color theme="1"/>
        <rFont val="Calibri"/>
        <family val="2"/>
        <scheme val="minor"/>
      </rPr>
      <t> </t>
    </r>
  </si>
  <si>
    <r>
      <t>Calculated emissions for 2019, with the radiative forcing multiplier, per aircraft type</t>
    </r>
    <r>
      <rPr>
        <sz val="8"/>
        <color theme="1"/>
        <rFont val="Calibri"/>
        <family val="2"/>
        <scheme val="minor"/>
      </rPr>
      <t> </t>
    </r>
  </si>
  <si>
    <r>
      <t>kg CO</t>
    </r>
    <r>
      <rPr>
        <b/>
        <vertAlign val="subscript"/>
        <sz val="9"/>
        <color rgb="FFFFFFFF"/>
        <rFont val="Calibri"/>
        <family val="2"/>
        <scheme val="minor"/>
      </rPr>
      <t>2</t>
    </r>
    <r>
      <rPr>
        <b/>
        <sz val="9"/>
        <color rgb="FFFFFFFF"/>
        <rFont val="Calibri"/>
        <family val="2"/>
        <scheme val="minor"/>
      </rPr>
      <t>-e/unit</t>
    </r>
  </si>
  <si>
    <r>
      <t>kg CO</t>
    </r>
    <r>
      <rPr>
        <b/>
        <vertAlign val="subscript"/>
        <sz val="9"/>
        <color rgb="FFFFFFFF"/>
        <rFont val="Calibri"/>
        <family val="2"/>
        <scheme val="minor"/>
      </rPr>
      <t>2</t>
    </r>
    <r>
      <rPr>
        <b/>
        <sz val="9"/>
        <color rgb="FFFFFFFF"/>
        <rFont val="Calibri"/>
        <family val="2"/>
        <scheme val="minor"/>
      </rPr>
      <t>/unit (kg CO</t>
    </r>
    <r>
      <rPr>
        <b/>
        <vertAlign val="subscript"/>
        <sz val="9"/>
        <color rgb="FFFFFFFF"/>
        <rFont val="Calibri"/>
        <family val="2"/>
        <scheme val="minor"/>
      </rPr>
      <t>2</t>
    </r>
    <r>
      <rPr>
        <b/>
        <sz val="9"/>
        <color rgb="FFFFFFFF"/>
        <rFont val="Calibri"/>
        <family val="2"/>
        <scheme val="minor"/>
      </rPr>
      <t>-e)</t>
    </r>
  </si>
  <si>
    <r>
      <t>kg CH</t>
    </r>
    <r>
      <rPr>
        <b/>
        <vertAlign val="subscript"/>
        <sz val="9"/>
        <color rgb="FFFFFFFF"/>
        <rFont val="Calibri"/>
        <family val="2"/>
        <scheme val="minor"/>
      </rPr>
      <t>4</t>
    </r>
    <r>
      <rPr>
        <b/>
        <sz val="9"/>
        <color rgb="FFFFFFFF"/>
        <rFont val="Calibri"/>
        <family val="2"/>
        <scheme val="minor"/>
      </rPr>
      <t>/unit (kg CO</t>
    </r>
    <r>
      <rPr>
        <b/>
        <vertAlign val="subscript"/>
        <sz val="9"/>
        <color rgb="FFFFFFFF"/>
        <rFont val="Calibri"/>
        <family val="2"/>
        <scheme val="minor"/>
      </rPr>
      <t>2</t>
    </r>
    <r>
      <rPr>
        <b/>
        <sz val="9"/>
        <color rgb="FFFFFFFF"/>
        <rFont val="Calibri"/>
        <family val="2"/>
        <scheme val="minor"/>
      </rPr>
      <t>-e)</t>
    </r>
  </si>
  <si>
    <r>
      <t>kg N</t>
    </r>
    <r>
      <rPr>
        <b/>
        <vertAlign val="subscript"/>
        <sz val="9"/>
        <color rgb="FFFFFFFF"/>
        <rFont val="Calibri"/>
        <family val="2"/>
        <scheme val="minor"/>
      </rPr>
      <t>2</t>
    </r>
    <r>
      <rPr>
        <b/>
        <sz val="9"/>
        <color rgb="FFFFFFFF"/>
        <rFont val="Calibri"/>
        <family val="2"/>
        <scheme val="minor"/>
      </rPr>
      <t>O/unit (kg CO</t>
    </r>
    <r>
      <rPr>
        <b/>
        <vertAlign val="subscript"/>
        <sz val="9"/>
        <color rgb="FFFFFFFF"/>
        <rFont val="Calibri"/>
        <family val="2"/>
        <scheme val="minor"/>
      </rPr>
      <t>2</t>
    </r>
    <r>
      <rPr>
        <b/>
        <sz val="9"/>
        <color rgb="FFFFFFFF"/>
        <rFont val="Calibri"/>
        <family val="2"/>
        <scheme val="minor"/>
      </rPr>
      <t>-e)</t>
    </r>
  </si>
  <si>
    <t>Aerospatiale/Alenia ATR 72</t>
  </si>
  <si>
    <t>De Havilland Canada DHC-8-30 Dash 8/8Q, Q300</t>
  </si>
  <si>
    <r>
      <t>Calculated emissions for 2020, without the radiative forcing multiplier, per aircraft type and the average used for the emission factors</t>
    </r>
    <r>
      <rPr>
        <sz val="8"/>
        <color theme="1"/>
        <rFont val="Calibri"/>
        <family val="2"/>
        <scheme val="minor"/>
      </rPr>
      <t> </t>
    </r>
  </si>
  <si>
    <r>
      <t>Calculated emissions for 2020, with the radiative forcing multiplier, per aircraft type and the average used for the emission factors</t>
    </r>
    <r>
      <rPr>
        <sz val="8"/>
        <color theme="1"/>
        <rFont val="Calibri"/>
        <family val="2"/>
        <scheme val="minor"/>
      </rPr>
      <t> </t>
    </r>
  </si>
  <si>
    <t>Calculating weighted averages</t>
  </si>
  <si>
    <r>
      <t>kg CO</t>
    </r>
    <r>
      <rPr>
        <vertAlign val="subscript"/>
        <sz val="11"/>
        <color theme="0"/>
        <rFont val="Calibri"/>
        <family val="2"/>
        <scheme val="minor"/>
      </rPr>
      <t>2</t>
    </r>
    <r>
      <rPr>
        <sz val="11"/>
        <color theme="0"/>
        <rFont val="Calibri"/>
        <family val="2"/>
        <scheme val="minor"/>
      </rPr>
      <t>-e/unit</t>
    </r>
  </si>
  <si>
    <r>
      <t>kg CO</t>
    </r>
    <r>
      <rPr>
        <vertAlign val="subscript"/>
        <sz val="11"/>
        <color theme="0"/>
        <rFont val="Calibri"/>
        <family val="2"/>
        <scheme val="minor"/>
      </rPr>
      <t>2</t>
    </r>
    <r>
      <rPr>
        <sz val="11"/>
        <color theme="0"/>
        <rFont val="Calibri"/>
        <family val="2"/>
        <scheme val="minor"/>
      </rPr>
      <t>/unit (kg CO</t>
    </r>
    <r>
      <rPr>
        <vertAlign val="subscript"/>
        <sz val="11"/>
        <color theme="0"/>
        <rFont val="Calibri"/>
        <family val="2"/>
        <scheme val="minor"/>
      </rPr>
      <t>2</t>
    </r>
    <r>
      <rPr>
        <sz val="11"/>
        <color theme="0"/>
        <rFont val="Calibri"/>
        <family val="2"/>
        <scheme val="minor"/>
      </rPr>
      <t>-e)</t>
    </r>
  </si>
  <si>
    <r>
      <t>kg CH</t>
    </r>
    <r>
      <rPr>
        <vertAlign val="subscript"/>
        <sz val="11"/>
        <color theme="0"/>
        <rFont val="Calibri"/>
        <family val="2"/>
        <scheme val="minor"/>
      </rPr>
      <t>4</t>
    </r>
    <r>
      <rPr>
        <sz val="11"/>
        <color theme="0"/>
        <rFont val="Calibri"/>
        <family val="2"/>
        <scheme val="minor"/>
      </rPr>
      <t>/unit (kg CO</t>
    </r>
    <r>
      <rPr>
        <vertAlign val="subscript"/>
        <sz val="11"/>
        <color theme="0"/>
        <rFont val="Calibri"/>
        <family val="2"/>
        <scheme val="minor"/>
      </rPr>
      <t>2</t>
    </r>
    <r>
      <rPr>
        <sz val="11"/>
        <color theme="0"/>
        <rFont val="Calibri"/>
        <family val="2"/>
        <scheme val="minor"/>
      </rPr>
      <t>-e)</t>
    </r>
  </si>
  <si>
    <r>
      <t>kg N</t>
    </r>
    <r>
      <rPr>
        <vertAlign val="subscript"/>
        <sz val="11"/>
        <color theme="0"/>
        <rFont val="Calibri"/>
        <family val="2"/>
        <scheme val="minor"/>
      </rPr>
      <t>2</t>
    </r>
    <r>
      <rPr>
        <sz val="11"/>
        <color theme="0"/>
        <rFont val="Calibri"/>
        <family val="2"/>
        <scheme val="minor"/>
      </rPr>
      <t>O/unit (kg CO</t>
    </r>
    <r>
      <rPr>
        <vertAlign val="subscript"/>
        <sz val="11"/>
        <color theme="0"/>
        <rFont val="Calibri"/>
        <family val="2"/>
        <scheme val="minor"/>
      </rPr>
      <t>2</t>
    </r>
    <r>
      <rPr>
        <sz val="11"/>
        <color theme="0"/>
        <rFont val="Calibri"/>
        <family val="2"/>
        <scheme val="minor"/>
      </rPr>
      <t>-e)</t>
    </r>
  </si>
  <si>
    <t>emissins by gas type, by the share of total flights %. All this is divided by the share of flights for each plane type.</t>
  </si>
  <si>
    <t xml:space="preserve">Calculations 2020 </t>
  </si>
  <si>
    <t>These will be removed from the final emission factor workbook and this page will not be included in the interactive emission factor workbook.</t>
  </si>
  <si>
    <t>2020 Taxi Travel</t>
  </si>
  <si>
    <t>Taxi travel $ spend based on Taxi Charge,national  average is $3.20/km.</t>
  </si>
  <si>
    <t>Domestic Aircraft is unchanged since the previous reporting</t>
  </si>
  <si>
    <t>Source: UK BEIS 2020</t>
  </si>
  <si>
    <t>With RF</t>
  </si>
  <si>
    <t>Without RF</t>
  </si>
  <si>
    <r>
      <t>kg CO</t>
    </r>
    <r>
      <rPr>
        <vertAlign val="subscript"/>
        <sz val="11"/>
        <color indexed="56"/>
        <rFont val="Calibri"/>
        <family val="2"/>
      </rPr>
      <t>2</t>
    </r>
    <r>
      <rPr>
        <sz val="11"/>
        <color indexed="56"/>
        <rFont val="Calibri"/>
        <family val="2"/>
      </rPr>
      <t>e</t>
    </r>
  </si>
  <si>
    <r>
      <t>kg CO</t>
    </r>
    <r>
      <rPr>
        <vertAlign val="subscript"/>
        <sz val="11"/>
        <color indexed="56"/>
        <rFont val="Calibri"/>
        <family val="2"/>
      </rPr>
      <t>2</t>
    </r>
  </si>
  <si>
    <r>
      <t>kg CH</t>
    </r>
    <r>
      <rPr>
        <vertAlign val="subscript"/>
        <sz val="11"/>
        <color indexed="56"/>
        <rFont val="Calibri"/>
        <family val="2"/>
      </rPr>
      <t>4</t>
    </r>
  </si>
  <si>
    <r>
      <t>kg N</t>
    </r>
    <r>
      <rPr>
        <vertAlign val="subscript"/>
        <sz val="11"/>
        <color indexed="56"/>
        <rFont val="Calibri"/>
        <family val="2"/>
      </rPr>
      <t>2</t>
    </r>
    <r>
      <rPr>
        <sz val="11"/>
        <color indexed="56"/>
        <rFont val="Calibri"/>
        <family val="2"/>
      </rPr>
      <t>O</t>
    </r>
  </si>
  <si>
    <t>Road transport calculations</t>
  </si>
  <si>
    <t>For reference and comparison - the UK figures for domestic flights</t>
  </si>
  <si>
    <t>Data manipulation of the VFEM model 2019</t>
  </si>
  <si>
    <t>Litres of fuel per 100km</t>
  </si>
  <si>
    <t>LPV</t>
  </si>
  <si>
    <t>MC</t>
  </si>
  <si>
    <t>LCV</t>
  </si>
  <si>
    <t>HGV</t>
  </si>
  <si>
    <t>light petrol &lt;1350 cc</t>
  </si>
  <si>
    <t>light petrol &lt;1600 cc</t>
  </si>
  <si>
    <t>light petrol &lt;2000 cc</t>
  </si>
  <si>
    <t>light petrol &lt;3000 cc</t>
  </si>
  <si>
    <t>light petrol &gt;=3000 cc</t>
  </si>
  <si>
    <t>light diesel &lt;1350 cc</t>
  </si>
  <si>
    <t>light diesel &lt;1600 cc</t>
  </si>
  <si>
    <t>light diesel &lt;2000 cc</t>
  </si>
  <si>
    <t>light diesel &lt;3000 cc</t>
  </si>
  <si>
    <t>light diesel &gt;=3000 cc</t>
  </si>
  <si>
    <t>light petrol hybrid &lt;1350 cc</t>
  </si>
  <si>
    <t>light petrol hybrid &lt;1600 cc</t>
  </si>
  <si>
    <t>light petrol hybrid &lt;2000 cc</t>
  </si>
  <si>
    <t>light petrol hybrid &lt;3000 cc</t>
  </si>
  <si>
    <t>light petrol hybrid &gt;=3000 cc</t>
  </si>
  <si>
    <t>light diesel hybrid &lt;1350 cc</t>
  </si>
  <si>
    <t>light diesel hybrid &lt;1600 cc</t>
  </si>
  <si>
    <t>light diesel hybrid &lt;2000 cc</t>
  </si>
  <si>
    <t>light diesel hybrid &lt;3000 cc</t>
  </si>
  <si>
    <t>light diesel hybrid &gt;=3000 cc</t>
  </si>
  <si>
    <t>petrol PHEV &lt;1350 cc</t>
  </si>
  <si>
    <t>petrol PHEV &lt;1600 cc</t>
  </si>
  <si>
    <t>petrol PHEV &lt;2000 cc</t>
  </si>
  <si>
    <t>petrol PHEV &lt;3000 cc</t>
  </si>
  <si>
    <t>petrol PHEV &gt;=3000 cc</t>
  </si>
  <si>
    <t>electricity : petrol PHEV &lt;1350 cc</t>
  </si>
  <si>
    <t>electricity : petrol PHEV &lt;1600 cc</t>
  </si>
  <si>
    <t>electricity : petrol PHEV &lt;2000 cc</t>
  </si>
  <si>
    <t>electricity : petrol PHEV &lt;3000 cc</t>
  </si>
  <si>
    <t>electricity : petrol PHEV &gt;=3000 cc</t>
  </si>
  <si>
    <t>diesel PHEV &lt;1350 cc</t>
  </si>
  <si>
    <t>diesel PHEV &lt;1600 cc</t>
  </si>
  <si>
    <t>diesel PHEV &lt;2000 cc</t>
  </si>
  <si>
    <t>diesel PHEV &lt;3000 cc</t>
  </si>
  <si>
    <t>diesel PHEV &gt;=3000 cc</t>
  </si>
  <si>
    <t>electricity : diesel PHEV &lt;1350 cc</t>
  </si>
  <si>
    <t>electricity : diesel PHEV &lt;1600 cc</t>
  </si>
  <si>
    <t>electricity : diesel PHEV &lt;2000 cc</t>
  </si>
  <si>
    <t>electricity : diesel PHEV &lt;3000 cc</t>
  </si>
  <si>
    <t>electricity : diesel PHEV &gt;=3000 cc</t>
  </si>
  <si>
    <t>electricity : BEV &lt;1350 cc</t>
  </si>
  <si>
    <t>electricity : BEV &lt;1600 cc</t>
  </si>
  <si>
    <t>electricity : BEV &lt;2000 cc</t>
  </si>
  <si>
    <t>electricity : BEV &lt;3000 cc</t>
  </si>
  <si>
    <t>electricity : BEV &gt;=3000 cc</t>
  </si>
  <si>
    <t>MC &lt;60cc, petrol</t>
  </si>
  <si>
    <t>MC &lt;60cc, electricity</t>
  </si>
  <si>
    <t>MC &gt;= 60cc, petrol</t>
  </si>
  <si>
    <t>MC &gt;= 60cc, electricity</t>
  </si>
  <si>
    <t>HGV diesel &lt; 5000</t>
  </si>
  <si>
    <t>HGV diesel &lt; 7500</t>
  </si>
  <si>
    <t>HGV diesel &lt; 10000</t>
  </si>
  <si>
    <t>HGV diesel &lt; 12000</t>
  </si>
  <si>
    <t>HGV diesel &lt; 15000</t>
  </si>
  <si>
    <t>HGV diesel &lt; 20000</t>
  </si>
  <si>
    <t>HGV diesel &lt; 25000</t>
  </si>
  <si>
    <t>HGV diesel &lt; 30000</t>
  </si>
  <si>
    <t>HGV diesel &gt;= 30000</t>
  </si>
  <si>
    <t>HGV diesel hybrid &lt; 5000</t>
  </si>
  <si>
    <t>HGV diesel hybrid &lt; 7500</t>
  </si>
  <si>
    <t>HGV diesel hybrid &lt; 10000</t>
  </si>
  <si>
    <t>HGV diesel hybrid &lt; 12000</t>
  </si>
  <si>
    <t>HGV diesel hybrid &lt; 15000</t>
  </si>
  <si>
    <t>HGV diesel hybrid &lt; 20000</t>
  </si>
  <si>
    <t>HGV diesel hybrid &lt; 25000</t>
  </si>
  <si>
    <t>HGV diesel hybrid &lt; 30000</t>
  </si>
  <si>
    <t>HGV diesel hybrid &gt;= 30000</t>
  </si>
  <si>
    <t>HGV natural gas &lt; 5000</t>
  </si>
  <si>
    <t>HGV natural gas &lt; 7500</t>
  </si>
  <si>
    <t>HGV natural gas &lt; 10000</t>
  </si>
  <si>
    <t>HGV natural gas &lt; 12000</t>
  </si>
  <si>
    <t>HGV natural gas &lt; 15000</t>
  </si>
  <si>
    <t>HGV natural gas &lt; 20000</t>
  </si>
  <si>
    <t>HGV natural gas &lt; 25000</t>
  </si>
  <si>
    <t>HGV natural gas &lt; 30000</t>
  </si>
  <si>
    <t>HGV natural gas &gt;= 30000</t>
  </si>
  <si>
    <t>HGV BEV &lt; 5000</t>
  </si>
  <si>
    <t>HGV BEV &lt; 7500</t>
  </si>
  <si>
    <t>HGV BEV &lt; 10000</t>
  </si>
  <si>
    <t>HGV BEV &lt; 12000</t>
  </si>
  <si>
    <t>HGV BEV &lt; 15000</t>
  </si>
  <si>
    <t>diesel bus &lt; 7500</t>
  </si>
  <si>
    <t>diesel bus &lt; 12000</t>
  </si>
  <si>
    <t>diesel bus &gt;= 12000</t>
  </si>
  <si>
    <t>diesel hybrid bus &lt; 7500</t>
  </si>
  <si>
    <t>diesel hybrid bus &lt; 12000</t>
  </si>
  <si>
    <t>diesel hybrid bus &gt;= 12000</t>
  </si>
  <si>
    <t>BEV bus &lt; 7500</t>
  </si>
  <si>
    <t>BEV bus &lt; 12000</t>
  </si>
  <si>
    <t>BEV bus &gt;= 12000</t>
  </si>
  <si>
    <t>electric bus &lt; 7500</t>
  </si>
  <si>
    <t>electric bus &lt; 12000</t>
  </si>
  <si>
    <t>electric bus &gt;= 12000</t>
  </si>
  <si>
    <t>pre 2010</t>
  </si>
  <si>
    <t>2010 - 2015</t>
  </si>
  <si>
    <t>post 2015</t>
  </si>
  <si>
    <t>Unknown (based on average age of the fleet)</t>
  </si>
  <si>
    <t>average vehicle ages in 2018*</t>
  </si>
  <si>
    <t>Years old</t>
  </si>
  <si>
    <t>correlating year of manufacture</t>
  </si>
  <si>
    <t>category</t>
  </si>
  <si>
    <t>Light Passenger Vehicles</t>
  </si>
  <si>
    <t>pre2010</t>
  </si>
  <si>
    <t>Light commercial vehicles</t>
  </si>
  <si>
    <t>motorcycles</t>
  </si>
  <si>
    <t>heavy trucks</t>
  </si>
  <si>
    <t>buses</t>
  </si>
  <si>
    <t>*The source of this is MoT website: https://www.transport.govt.nz/mot-resources/transport-dashboard/2-road-transport/rd025-average-vehicle-fleet-age-years/</t>
  </si>
  <si>
    <t>For ease of inputting the information into the emission factor tables I have transposed the values of the above table below:</t>
  </si>
  <si>
    <t>Passenger transport calculations</t>
  </si>
  <si>
    <t>Uncertainty</t>
  </si>
  <si>
    <t>Bus transport</t>
  </si>
  <si>
    <t>Wellington Electric Bus</t>
  </si>
  <si>
    <t>Wellington Diesel Bus</t>
  </si>
  <si>
    <t>Wellington Average Bus</t>
  </si>
  <si>
    <t>assumes a 97:3 split of diesel to electric buses</t>
  </si>
  <si>
    <t>Electric (based on Wellington)</t>
  </si>
  <si>
    <t>Diesel (based on Wellington)</t>
  </si>
  <si>
    <t>Assumes only the Waipara line is Diesel operated</t>
  </si>
  <si>
    <t>Average (based on Wellington)</t>
  </si>
  <si>
    <t>Source data</t>
  </si>
  <si>
    <t>NZTA passgenger data for all of New Zealand (https://www.nzta.govt.nz/assets/userfiles/transport-data/PTPerformance.xlsx )</t>
  </si>
  <si>
    <t>Region</t>
  </si>
  <si>
    <t>Mode</t>
  </si>
  <si>
    <t>Breakdown</t>
  </si>
  <si>
    <t>2018/19</t>
  </si>
  <si>
    <t>NZ</t>
  </si>
  <si>
    <t>Passenger kilometres (km)</t>
  </si>
  <si>
    <t xml:space="preserve">National Emission Data from EECA </t>
  </si>
  <si>
    <t>https://tools.eeca.govt.nz/energy-end-use-database/</t>
  </si>
  <si>
    <t>Toitū calculations</t>
  </si>
  <si>
    <t>fuel</t>
  </si>
  <si>
    <t>technology</t>
  </si>
  <si>
    <t>technologyGroup</t>
  </si>
  <si>
    <t>endUse</t>
  </si>
  <si>
    <t>EnduseGroup</t>
  </si>
  <si>
    <t>transport</t>
  </si>
  <si>
    <r>
      <t xml:space="preserve">energyValue </t>
    </r>
    <r>
      <rPr>
        <b/>
        <sz val="11"/>
        <color rgb="FFFF0000"/>
        <rFont val="Calibri"/>
        <family val="2"/>
        <scheme val="minor"/>
      </rPr>
      <t>(TJ)</t>
    </r>
  </si>
  <si>
    <t>periodEndDate</t>
  </si>
  <si>
    <r>
      <t>Total tCO</t>
    </r>
    <r>
      <rPr>
        <b/>
        <vertAlign val="subscript"/>
        <sz val="11"/>
        <color rgb="FFFF0000"/>
        <rFont val="Calibri"/>
        <family val="2"/>
        <scheme val="minor"/>
      </rPr>
      <t>2</t>
    </r>
    <r>
      <rPr>
        <b/>
        <sz val="11"/>
        <color rgb="FFFF0000"/>
        <rFont val="Calibri"/>
        <family val="2"/>
        <scheme val="minor"/>
      </rPr>
      <t xml:space="preserve"> for that mode of transport</t>
    </r>
  </si>
  <si>
    <r>
      <t>Total tCH</t>
    </r>
    <r>
      <rPr>
        <b/>
        <vertAlign val="subscript"/>
        <sz val="11"/>
        <color rgb="FFFF0000"/>
        <rFont val="Calibri"/>
        <family val="2"/>
        <scheme val="minor"/>
      </rPr>
      <t>4</t>
    </r>
    <r>
      <rPr>
        <b/>
        <sz val="11"/>
        <color rgb="FFFF0000"/>
        <rFont val="Calibri"/>
        <family val="2"/>
        <scheme val="minor"/>
      </rPr>
      <t xml:space="preserve"> for that mode of transport</t>
    </r>
  </si>
  <si>
    <r>
      <t>Total tN</t>
    </r>
    <r>
      <rPr>
        <b/>
        <vertAlign val="subscript"/>
        <sz val="11"/>
        <color rgb="FFFF0000"/>
        <rFont val="Calibri"/>
        <family val="2"/>
        <scheme val="minor"/>
      </rPr>
      <t>2</t>
    </r>
    <r>
      <rPr>
        <b/>
        <sz val="11"/>
        <color rgb="FFFF0000"/>
        <rFont val="Calibri"/>
        <family val="2"/>
        <scheme val="minor"/>
      </rPr>
      <t>O for that mode of transport</t>
    </r>
  </si>
  <si>
    <t>Electric Motor</t>
  </si>
  <si>
    <t>Stationary Motors</t>
  </si>
  <si>
    <t xml:space="preserve">Transport, Land </t>
  </si>
  <si>
    <t>Mobile Motive Power</t>
  </si>
  <si>
    <t>Buses</t>
  </si>
  <si>
    <t>NULL</t>
  </si>
  <si>
    <t>Internal Combustion Engine (Land Transport)</t>
  </si>
  <si>
    <t>Mobile Motors</t>
  </si>
  <si>
    <t>Total for buses in New Zealand</t>
  </si>
  <si>
    <t>Wellington specific</t>
  </si>
  <si>
    <t>Greater Wellington Buses (ASK BEN FOR EXACT REF)</t>
  </si>
  <si>
    <t>Metlink Bus Emissions (Diesel)</t>
  </si>
  <si>
    <t>Wellington Electric Buses</t>
  </si>
  <si>
    <t>Trolley Buses</t>
  </si>
  <si>
    <t>Electric Double Deckers</t>
  </si>
  <si>
    <t>Fuel consumption (l)</t>
  </si>
  <si>
    <t>Distance (km)</t>
  </si>
  <si>
    <t>Passenger kilometers (km)</t>
  </si>
  <si>
    <t>Electric bus avg power (kwh/km)</t>
  </si>
  <si>
    <t>Electricity consumption (kwh)</t>
  </si>
  <si>
    <t>Working out an average EF for wellington buses</t>
  </si>
  <si>
    <t>Data for year 2019</t>
  </si>
  <si>
    <t>total passenger km for wellington buses</t>
  </si>
  <si>
    <t>total kgCO2</t>
  </si>
  <si>
    <t>total kgCH4 (expressed in kgCO2e)</t>
  </si>
  <si>
    <t>Total n20 (expressed in kgco2e)</t>
  </si>
  <si>
    <t>Wellington trains data</t>
  </si>
  <si>
    <t>Information provided by Kiwi Rail on energy usage</t>
  </si>
  <si>
    <t xml:space="preserve">Toitū calculations </t>
  </si>
  <si>
    <t xml:space="preserve">Metro Commuter Rail </t>
  </si>
  <si>
    <t>Units</t>
  </si>
  <si>
    <t>Total passengers by fuel type assuming Wairarapa is the only diesel line</t>
  </si>
  <si>
    <t>Electricity (WEL)</t>
  </si>
  <si>
    <t>Diesel (WEL)</t>
  </si>
  <si>
    <t>litres</t>
  </si>
  <si>
    <t>Total gases expressed in kgCO2e</t>
  </si>
  <si>
    <t>kgCO2</t>
  </si>
  <si>
    <t>Information on passenger numbers</t>
  </si>
  <si>
    <r>
      <t>TRANSDEV WLG RAIL PAX BY LINE. (</t>
    </r>
    <r>
      <rPr>
        <sz val="11"/>
        <color rgb="FFFF0000"/>
        <rFont val="Calibri"/>
        <family val="2"/>
        <scheme val="minor"/>
      </rPr>
      <t>BEN FOR SOURCE DOC</t>
    </r>
    <r>
      <rPr>
        <sz val="11"/>
        <color theme="1"/>
        <rFont val="Calibri"/>
        <family val="2"/>
        <scheme val="minor"/>
      </rPr>
      <t>)</t>
    </r>
  </si>
  <si>
    <t>Passenger kilometres</t>
  </si>
  <si>
    <t xml:space="preserve">Hutt Valley </t>
  </si>
  <si>
    <t xml:space="preserve">Johnsonville </t>
  </si>
  <si>
    <t xml:space="preserve">Kapiti </t>
  </si>
  <si>
    <t xml:space="preserve">Wairarapa </t>
  </si>
  <si>
    <t>All Lines</t>
  </si>
  <si>
    <t xml:space="preserve">Source information - VFEM model 2019 </t>
  </si>
  <si>
    <t>2012 scale factor</t>
  </si>
  <si>
    <t>Year of Manufacture</t>
  </si>
  <si>
    <t>Interactive User Workbook Using Data and Methods from the most recent data</t>
  </si>
  <si>
    <t>Total Calculated Emissions for Passenger Transport</t>
  </si>
  <si>
    <t>passenger km</t>
  </si>
  <si>
    <t>Pre 2015 Fleet</t>
  </si>
  <si>
    <t>1350–1600 cc</t>
  </si>
  <si>
    <t>1600–2000 cc</t>
  </si>
  <si>
    <t>Petrol - Plug-in hybrid electric vehicle (PHEV)</t>
  </si>
  <si>
    <t xml:space="preserve">Default Light Passenger Vehicle emission factors </t>
  </si>
  <si>
    <t xml:space="preserve">Private car default (&lt;3000cc) -based on  a car manufactured in 2001. </t>
  </si>
  <si>
    <t>Rental car default (engine size 1600 -&lt;2000cc) assumed to be pre 2015 fleet/</t>
  </si>
  <si>
    <t>Taxi travel - distance travelled (taxi is the average between 1600 -&lt;3000cc based on MIA data)</t>
  </si>
  <si>
    <t>Taxi travel - dollars spent ($3.20/kilometer)</t>
  </si>
  <si>
    <t>Diesel hybrid bus</t>
  </si>
  <si>
    <t>Electric bus*</t>
  </si>
  <si>
    <t>DOMESTIC AIR TRAVEL Passenger emission factors WITH radiative forcing</t>
  </si>
  <si>
    <t>DOMESTIC AIR TRAVEL Passenger emission factors WITHOUT radiative forcing</t>
  </si>
  <si>
    <t>Domestic flight</t>
  </si>
  <si>
    <t>INTERNATIONAL AIR TRAVEL Passenger emission factors, Including the indirect effects of non-CO2 emissions</t>
  </si>
  <si>
    <t>INTERNATIONAL AIR TRAVEL Passenger emission factors, Direct effects from CO2, CH4 and N2O emissions only</t>
  </si>
  <si>
    <t>China (Hong Kong)</t>
  </si>
  <si>
    <t>Freight transport emission factors</t>
  </si>
  <si>
    <t>Road Freighting goods in New Zealand</t>
  </si>
  <si>
    <r>
      <t>CO</t>
    </r>
    <r>
      <rPr>
        <vertAlign val="subscript"/>
        <sz val="11"/>
        <color theme="1"/>
        <rFont val="Calibri"/>
        <family val="2"/>
        <scheme val="minor"/>
      </rPr>
      <t>2</t>
    </r>
    <r>
      <rPr>
        <b/>
        <sz val="11"/>
        <color theme="1"/>
        <rFont val="Calibri"/>
        <family val="2"/>
        <scheme val="minor"/>
      </rPr>
      <t xml:space="preserve"> (kg CO</t>
    </r>
    <r>
      <rPr>
        <b/>
        <vertAlign val="subscript"/>
        <sz val="11"/>
        <color theme="1"/>
        <rFont val="Calibri"/>
        <family val="2"/>
        <scheme val="minor"/>
      </rPr>
      <t>2</t>
    </r>
    <r>
      <rPr>
        <b/>
        <sz val="11"/>
        <color theme="1"/>
        <rFont val="Calibri"/>
        <family val="2"/>
        <scheme val="minor"/>
      </rPr>
      <t>e)</t>
    </r>
  </si>
  <si>
    <r>
      <t>CH</t>
    </r>
    <r>
      <rPr>
        <vertAlign val="subscript"/>
        <sz val="11"/>
        <color theme="1"/>
        <rFont val="Calibri"/>
        <family val="2"/>
        <scheme val="minor"/>
      </rPr>
      <t>4</t>
    </r>
    <r>
      <rPr>
        <b/>
        <sz val="11"/>
        <color theme="1"/>
        <rFont val="Calibri"/>
        <family val="2"/>
        <scheme val="minor"/>
      </rPr>
      <t xml:space="preserve"> (kg CO</t>
    </r>
    <r>
      <rPr>
        <b/>
        <vertAlign val="subscript"/>
        <sz val="11"/>
        <color theme="1"/>
        <rFont val="Calibri"/>
        <family val="2"/>
        <scheme val="minor"/>
      </rPr>
      <t>2</t>
    </r>
    <r>
      <rPr>
        <b/>
        <sz val="11"/>
        <color theme="1"/>
        <rFont val="Calibri"/>
        <family val="2"/>
        <scheme val="minor"/>
      </rPr>
      <t>e)</t>
    </r>
  </si>
  <si>
    <t>Long-haul heavy truck</t>
  </si>
  <si>
    <t>tonne.km</t>
  </si>
  <si>
    <t>Assumed majority of long-haul heavy trucks are diesel</t>
  </si>
  <si>
    <t>Urban delivery heavy truck</t>
  </si>
  <si>
    <t>Assumed majority of urban delivery heavy trucks are diesel</t>
  </si>
  <si>
    <t>All trucks</t>
  </si>
  <si>
    <t>Using motor vehicle register, 79% of goods vans/ trucks and utility vehicles are diesel and therefore it is assumed that this figure is for diesel vehicles.</t>
  </si>
  <si>
    <t>ROAD freight emission factors for Light commercial vehicles</t>
  </si>
  <si>
    <t>2010 - 2015 Fleet</t>
  </si>
  <si>
    <t>&lt;1350 cc</t>
  </si>
  <si>
    <t>1350 - &lt;1600 cc</t>
  </si>
  <si>
    <t>1600 -&lt;2000 cc</t>
  </si>
  <si>
    <t>2000 - &lt;3000 cc</t>
  </si>
  <si>
    <t xml:space="preserve">Diesel hybrid </t>
  </si>
  <si>
    <t>Petrol PHEV</t>
  </si>
  <si>
    <t>Electricity : petrol PHEV</t>
  </si>
  <si>
    <t>Diesel PHEV</t>
  </si>
  <si>
    <t>Electricity : diesel PHEV</t>
  </si>
  <si>
    <t xml:space="preserve">Electricity : BEV </t>
  </si>
  <si>
    <t>Default freight emission factors for Light commercial vehicles</t>
  </si>
  <si>
    <t>Default ( pre2010)</t>
  </si>
  <si>
    <t>Petrol Hybrid</t>
  </si>
  <si>
    <t>Diesel Hybrid</t>
  </si>
  <si>
    <t>ROAD freight emission factors for Heavy goods vehicles</t>
  </si>
  <si>
    <t xml:space="preserve">HGV diesel </t>
  </si>
  <si>
    <t xml:space="preserve">&lt; 5,000 kg </t>
  </si>
  <si>
    <t xml:space="preserve">5,000 - 7,500 kg </t>
  </si>
  <si>
    <t>7,500 - 10,000 kg</t>
  </si>
  <si>
    <t xml:space="preserve">10,000 - 12,000 kg </t>
  </si>
  <si>
    <t xml:space="preserve">12,000kg - 15,000 kg </t>
  </si>
  <si>
    <t xml:space="preserve">15,000 - 20,000 kg </t>
  </si>
  <si>
    <t xml:space="preserve">20,000 - 25,000 kg </t>
  </si>
  <si>
    <t xml:space="preserve">25,000 - 30,000 kg </t>
  </si>
  <si>
    <t xml:space="preserve">≥ 30,000 kg </t>
  </si>
  <si>
    <t xml:space="preserve">HGV diesel hybrid </t>
  </si>
  <si>
    <t xml:space="preserve">HGV BEV </t>
  </si>
  <si>
    <t>Default ( pre2010 and &lt;7500kg gross vehicle mass)</t>
  </si>
  <si>
    <t>HGV Diesel</t>
  </si>
  <si>
    <t>HGV Diesel Hybrid</t>
  </si>
  <si>
    <t xml:space="preserve">AIR TRAVEL Freight emission factors </t>
  </si>
  <si>
    <t>With radiative forcing multiplier</t>
  </si>
  <si>
    <t>Without radiative forcing multiplier</t>
  </si>
  <si>
    <t>Freight flights</t>
  </si>
  <si>
    <t>Domestic</t>
  </si>
  <si>
    <t xml:space="preserve">adopted the the UK </t>
  </si>
  <si>
    <t>Short haul</t>
  </si>
  <si>
    <t xml:space="preserve">Long haul </t>
  </si>
  <si>
    <t xml:space="preserve">SEA TRAVEL Freight emission factors </t>
  </si>
  <si>
    <t>Domestic coastal freight</t>
  </si>
  <si>
    <t>Oil products</t>
  </si>
  <si>
    <t>Assumed heavy fuel oil is the shipping fuel used</t>
  </si>
  <si>
    <t>Other bulk</t>
  </si>
  <si>
    <t>Container freight</t>
  </si>
  <si>
    <t>International sea travel - adopted from the UK</t>
  </si>
  <si>
    <t>Bulk carrier</t>
  </si>
  <si>
    <t>200,000+ dwt</t>
  </si>
  <si>
    <t>Internation shipping will be similar to those factors calculated by UK BEIS</t>
  </si>
  <si>
    <t>100,000–199,999 dwt</t>
  </si>
  <si>
    <t>60,000–99,999 dwt</t>
  </si>
  <si>
    <t>35,000–59,999 dwt</t>
  </si>
  <si>
    <t>10,000–34,999 dwt</t>
  </si>
  <si>
    <t>0–9999 dwt</t>
  </si>
  <si>
    <t>Average</t>
  </si>
  <si>
    <t>General cargo</t>
  </si>
  <si>
    <t>10,000+ dwt</t>
  </si>
  <si>
    <t>5000–9999 dwt</t>
  </si>
  <si>
    <t>0–4999 dwt</t>
  </si>
  <si>
    <t>10,000+ dwt 100+ TEU</t>
  </si>
  <si>
    <t>5000–9999 dwt 100+ TEU</t>
  </si>
  <si>
    <t>0–4999 dwt 100+ TEU</t>
  </si>
  <si>
    <t>Container ship</t>
  </si>
  <si>
    <t>8000+ TEU</t>
  </si>
  <si>
    <t>5000–7999 TEU</t>
  </si>
  <si>
    <t>3000–4999 TEU</t>
  </si>
  <si>
    <t>2000–2999 TEU</t>
  </si>
  <si>
    <t>1000–1999 TEU</t>
  </si>
  <si>
    <t>0–999 TEU</t>
  </si>
  <si>
    <t>Vehicle transport</t>
  </si>
  <si>
    <t>4000+ CEU</t>
  </si>
  <si>
    <t>0–3999 CEU</t>
  </si>
  <si>
    <t>RoRo-Ferry</t>
  </si>
  <si>
    <t>2000+ LM</t>
  </si>
  <si>
    <t>0–1999 LM</t>
  </si>
  <si>
    <t>Large RoPax ferry</t>
  </si>
  <si>
    <t>Refrigerated cargo</t>
  </si>
  <si>
    <t xml:space="preserve"> All dwt</t>
  </si>
  <si>
    <t xml:space="preserve">RAIL  freight emission factors </t>
  </si>
  <si>
    <t>Rail Freight</t>
  </si>
  <si>
    <t xml:space="preserve">Rail Freight </t>
  </si>
  <si>
    <t>Calculations 2022</t>
  </si>
  <si>
    <t>Road Freight - Heavy Trucks update</t>
  </si>
  <si>
    <r>
      <t>CO</t>
    </r>
    <r>
      <rPr>
        <vertAlign val="subscript"/>
        <sz val="11"/>
        <color theme="1"/>
        <rFont val="Calibri"/>
        <family val="2"/>
        <scheme val="minor"/>
      </rPr>
      <t>2</t>
    </r>
    <r>
      <rPr>
        <sz val="11"/>
        <color theme="1"/>
        <rFont val="Calibri"/>
        <family val="2"/>
        <scheme val="minor"/>
      </rPr>
      <t xml:space="preserve"> (kg CO</t>
    </r>
    <r>
      <rPr>
        <vertAlign val="subscript"/>
        <sz val="11"/>
        <color theme="1"/>
        <rFont val="Calibri"/>
        <family val="2"/>
        <scheme val="minor"/>
      </rPr>
      <t>2</t>
    </r>
    <r>
      <rPr>
        <sz val="11"/>
        <color theme="1"/>
        <rFont val="Calibri"/>
        <family val="2"/>
        <scheme val="minor"/>
      </rPr>
      <t>e)</t>
    </r>
  </si>
  <si>
    <r>
      <t>CH</t>
    </r>
    <r>
      <rPr>
        <vertAlign val="subscript"/>
        <sz val="11"/>
        <color theme="1"/>
        <rFont val="Calibri"/>
        <family val="2"/>
        <scheme val="minor"/>
      </rPr>
      <t>4</t>
    </r>
    <r>
      <rPr>
        <sz val="11"/>
        <color theme="1"/>
        <rFont val="Calibri"/>
        <family val="2"/>
        <scheme val="minor"/>
      </rPr>
      <t xml:space="preserve"> (kg CO</t>
    </r>
    <r>
      <rPr>
        <vertAlign val="subscript"/>
        <sz val="11"/>
        <color theme="1"/>
        <rFont val="Calibri"/>
        <family val="2"/>
        <scheme val="minor"/>
      </rPr>
      <t>2</t>
    </r>
    <r>
      <rPr>
        <sz val="11"/>
        <color theme="1"/>
        <rFont val="Calibri"/>
        <family val="2"/>
        <scheme val="minor"/>
      </rPr>
      <t>e)</t>
    </r>
  </si>
  <si>
    <r>
      <t>N</t>
    </r>
    <r>
      <rPr>
        <vertAlign val="subscript"/>
        <sz val="11"/>
        <rFont val="Calibri"/>
        <family val="2"/>
        <scheme val="minor"/>
      </rPr>
      <t>2</t>
    </r>
    <r>
      <rPr>
        <sz val="11"/>
        <rFont val="Calibri"/>
        <family val="2"/>
        <scheme val="minor"/>
      </rPr>
      <t>O (kg CO</t>
    </r>
    <r>
      <rPr>
        <vertAlign val="subscript"/>
        <sz val="11"/>
        <rFont val="Calibri"/>
        <family val="2"/>
        <scheme val="minor"/>
      </rPr>
      <t>2</t>
    </r>
    <r>
      <rPr>
        <sz val="11"/>
        <rFont val="Calibri"/>
        <family val="2"/>
        <scheme val="minor"/>
      </rPr>
      <t>e)</t>
    </r>
  </si>
  <si>
    <r>
      <t>kg CO</t>
    </r>
    <r>
      <rPr>
        <vertAlign val="subscript"/>
        <sz val="11"/>
        <color theme="1"/>
        <rFont val="Calibri"/>
        <family val="2"/>
        <scheme val="minor"/>
      </rPr>
      <t>2</t>
    </r>
    <r>
      <rPr>
        <sz val="11"/>
        <color theme="1"/>
        <rFont val="Calibri"/>
        <family val="2"/>
        <scheme val="minor"/>
      </rPr>
      <t>e</t>
    </r>
  </si>
  <si>
    <t>Source: Ministry of Transport</t>
  </si>
  <si>
    <t>pre 2010 litres of fuel per 100km</t>
  </si>
  <si>
    <t>pre 2015 litres of fuel per 100km</t>
  </si>
  <si>
    <t>post 2015 litres of fuel per 100km</t>
  </si>
  <si>
    <t>Detailed Guide (pg77)</t>
  </si>
  <si>
    <t>Table 4</t>
  </si>
  <si>
    <t>Fuel Type</t>
  </si>
  <si>
    <t>kg CO2-e/unit</t>
  </si>
  <si>
    <t>kg CO2/unit</t>
  </si>
  <si>
    <t>kg CH4/unit</t>
  </si>
  <si>
    <t>kg N2O/unit</t>
  </si>
  <si>
    <t>Petrol - default*</t>
  </si>
  <si>
    <t>LGP</t>
  </si>
  <si>
    <t>Aviation fuel (kerosene)/Jet A1</t>
  </si>
  <si>
    <t>Aviation gasoline</t>
  </si>
  <si>
    <t>Conversion factors for HGV BEV calculated below (Cell O 434)</t>
  </si>
  <si>
    <t>kg CO2/unit
(kg CO2-e)</t>
  </si>
  <si>
    <t>kg CH4/unit
(kg CO2-e)</t>
  </si>
  <si>
    <t>kg N2O/unit
(kg CO2-e)</t>
  </si>
  <si>
    <t>Air Freight</t>
  </si>
  <si>
    <t>Source: UK BEIS 2021 - 'Freighting goods' Tab</t>
  </si>
  <si>
    <t>Type</t>
  </si>
  <si>
    <t>Domestic, to/from UK</t>
  </si>
  <si>
    <t>Sea Freight</t>
  </si>
  <si>
    <t>Source: Haobo Wang (MoT)</t>
  </si>
  <si>
    <t>No update this year due to no data</t>
  </si>
  <si>
    <t>International Freight</t>
  </si>
  <si>
    <t>Size</t>
  </si>
  <si>
    <t>Cargo ship</t>
  </si>
  <si>
    <t>Raw data from Kiwi Rail (Malia)</t>
  </si>
  <si>
    <t>Freight only fuel</t>
  </si>
  <si>
    <t>Freight volumes (net)</t>
  </si>
  <si>
    <t>NTKs (000s)</t>
  </si>
  <si>
    <t>Electricity NIMT (net)</t>
  </si>
  <si>
    <t>kwh</t>
  </si>
  <si>
    <t>Emission factors</t>
  </si>
  <si>
    <t>Electricity - transmission losses</t>
  </si>
  <si>
    <t>Rail Freight Emission Factor</t>
  </si>
  <si>
    <t>gm CO2-e/NTK</t>
  </si>
  <si>
    <t>kg CO2-e/NTK</t>
  </si>
  <si>
    <t>Calculations 2020</t>
  </si>
  <si>
    <t>Workings out for Freight Emissions in TONNE.KM</t>
  </si>
  <si>
    <t xml:space="preserve">Source document: </t>
  </si>
  <si>
    <t xml:space="preserve">https://www.transport.govt.nz/assets/Import/Uploads/Research/Documents/TKC2019/Wang-H_Real-world-fuel-economy-of-heavy-trucks_TKC2019-web.pdf </t>
  </si>
  <si>
    <t>Author</t>
  </si>
  <si>
    <t>Haobo Wang (Ministry of Transport</t>
  </si>
  <si>
    <r>
      <t>Typical gCO</t>
    </r>
    <r>
      <rPr>
        <vertAlign val="subscript"/>
        <sz val="11"/>
        <color theme="1"/>
        <rFont val="Calibri"/>
        <family val="2"/>
        <scheme val="minor"/>
      </rPr>
      <t>2</t>
    </r>
    <r>
      <rPr>
        <sz val="11"/>
        <color theme="1"/>
        <rFont val="Calibri"/>
        <family val="2"/>
        <scheme val="minor"/>
      </rPr>
      <t>/tkm</t>
    </r>
  </si>
  <si>
    <t>estimated kgCO2/tonne.km</t>
  </si>
  <si>
    <t>estimated kgCH4/tonne.km</t>
  </si>
  <si>
    <t>Coastal shipping (oil products)</t>
  </si>
  <si>
    <t>Coastal shipping (other bulk)</t>
  </si>
  <si>
    <t>Coastal shipping (container freight)</t>
  </si>
  <si>
    <t>Rail (electric)</t>
  </si>
  <si>
    <t>Rail (diesel)</t>
  </si>
  <si>
    <t>Rail (NZ average)</t>
  </si>
  <si>
    <t>Haobo said in one of his emails that gC02 can be assumed to be CO2e. We can use the same methodology as previous to back-calculate the split of emissions by consituent gases using assumptions</t>
  </si>
  <si>
    <t>Figure source: MoT presentation</t>
  </si>
  <si>
    <t>Road freight uses Diesel. Therefore the ratio of CO2: CH4: N2O can be worked out as follows:</t>
  </si>
  <si>
    <t>Split of gas in Diesel</t>
  </si>
  <si>
    <t>In the 2019 guidance we assumed the coastal freight uses heavy fuel oil (confirmed at the time by Ralph Samuelson who was at Ministry of Transport). Therefore the ratio of CO2: CH4:N2O can be worked out as follows:</t>
  </si>
  <si>
    <t>Split of gas in Heavy oil</t>
  </si>
  <si>
    <t>Raw Kiwi Rail information 2018</t>
  </si>
  <si>
    <t>Raw Kiwi Rail information 2020 (from Malia- Kiwirail)</t>
  </si>
  <si>
    <t>Raw Kiwi Rail information</t>
  </si>
  <si>
    <t>Check</t>
  </si>
  <si>
    <t xml:space="preserve">The above Emission factors used by kiwi rail are based on previous guidance/ emission factors. Therefore we can apply the emission factors generated in this guidance to provide an EF by breakdown of gas, which has been done in the table below. </t>
  </si>
  <si>
    <t>kgco2e</t>
  </si>
  <si>
    <r>
      <t>CO</t>
    </r>
    <r>
      <rPr>
        <vertAlign val="subscript"/>
        <sz val="11"/>
        <color theme="1"/>
        <rFont val="Calibri"/>
        <family val="2"/>
        <scheme val="minor"/>
      </rPr>
      <t>2</t>
    </r>
    <r>
      <rPr>
        <sz val="11"/>
        <color theme="1"/>
        <rFont val="Calibri"/>
        <family val="2"/>
        <scheme val="minor"/>
      </rPr>
      <t>e</t>
    </r>
  </si>
  <si>
    <r>
      <t>gCO</t>
    </r>
    <r>
      <rPr>
        <vertAlign val="subscript"/>
        <sz val="11"/>
        <color theme="1"/>
        <rFont val="Calibri"/>
        <family val="2"/>
        <scheme val="minor"/>
      </rPr>
      <t>2</t>
    </r>
  </si>
  <si>
    <r>
      <t>gCH</t>
    </r>
    <r>
      <rPr>
        <vertAlign val="subscript"/>
        <sz val="11"/>
        <color theme="1"/>
        <rFont val="Calibri"/>
        <family val="2"/>
        <scheme val="minor"/>
      </rPr>
      <t>4</t>
    </r>
  </si>
  <si>
    <r>
      <t>gN</t>
    </r>
    <r>
      <rPr>
        <vertAlign val="subscript"/>
        <sz val="11"/>
        <color theme="1"/>
        <rFont val="Calibri"/>
        <family val="2"/>
        <scheme val="minor"/>
      </rPr>
      <t>2</t>
    </r>
    <r>
      <rPr>
        <sz val="11"/>
        <color theme="1"/>
        <rFont val="Calibri"/>
        <family val="2"/>
        <scheme val="minor"/>
      </rPr>
      <t>O</t>
    </r>
  </si>
  <si>
    <t>Rail Freight Diesel emissions</t>
  </si>
  <si>
    <t>Rail freight electricity emissions</t>
  </si>
  <si>
    <t>Rail freight T&amp;D emissions</t>
  </si>
  <si>
    <t>rail freight total tonne.km</t>
  </si>
  <si>
    <t>VFEM model information for freight</t>
  </si>
  <si>
    <t>pre 2010 litres of fuel per km</t>
  </si>
  <si>
    <t>pre 2015 litres of fuel per km</t>
  </si>
  <si>
    <t>post 2015 litres of fuel per km</t>
  </si>
  <si>
    <t>between 2010 and 2015</t>
  </si>
  <si>
    <t xml:space="preserve">&lt;5,000 kg </t>
  </si>
  <si>
    <t>5,000 - &lt;7,500 kg</t>
  </si>
  <si>
    <t xml:space="preserve">7,500 - &lt;10,000 kg </t>
  </si>
  <si>
    <t>10,000 - &lt;12,000 kg</t>
  </si>
  <si>
    <t>12,000 - &lt;15,000 kg</t>
  </si>
  <si>
    <t>post-2015</t>
  </si>
  <si>
    <t>calculating conversion factors</t>
  </si>
  <si>
    <t xml:space="preserve">UK BEIS 2020 </t>
  </si>
  <si>
    <t>Source: Freighting goods tab</t>
  </si>
  <si>
    <t>Freight emission factors</t>
  </si>
  <si>
    <t>Total Calculated Emissions for Freight Transport</t>
  </si>
  <si>
    <t xml:space="preserve">Freighting Goods Emissions </t>
  </si>
  <si>
    <t>Road freight emissions for freighting goods</t>
  </si>
  <si>
    <t xml:space="preserve">AIR Freight emission factors WITH radiative forcing multiplier </t>
  </si>
  <si>
    <t xml:space="preserve">AIR Freight emission factors WITHOUT radiative forcing multiplier </t>
  </si>
  <si>
    <t>Short haul (&lt;3,700km)</t>
  </si>
  <si>
    <t>Long haul (&gt;3,700km)</t>
  </si>
  <si>
    <t xml:space="preserve">SEA Freight emission factors </t>
  </si>
  <si>
    <t>International Sea Freight</t>
  </si>
  <si>
    <t>Freight Vehicles Emissions</t>
  </si>
  <si>
    <t>2010 to 2015 Fleet</t>
  </si>
  <si>
    <t>Light petrol</t>
  </si>
  <si>
    <t>1350 - 1600 cc</t>
  </si>
  <si>
    <t>1600 -2000 cc</t>
  </si>
  <si>
    <t>2000 - 3000 cc</t>
  </si>
  <si>
    <t xml:space="preserve">Light diesel </t>
  </si>
  <si>
    <t>Light petrol hybrid</t>
  </si>
  <si>
    <t xml:space="preserve">Light diesel hybrid </t>
  </si>
  <si>
    <t>Electricity: petrol PHEV</t>
  </si>
  <si>
    <t>Electricity: diesel PHEV</t>
  </si>
  <si>
    <t xml:space="preserve">Electricity: BEV </t>
  </si>
  <si>
    <t>ROAD freight emission factors for Heavy Goods Vehicles</t>
  </si>
  <si>
    <t>Default freight emission factors for Heavvy goods vehicles</t>
  </si>
  <si>
    <t>Heavy Goods Vehicles</t>
  </si>
  <si>
    <t>HGV Diesel hyrbid</t>
  </si>
  <si>
    <t>Wastewater treatment and water supply emission factors</t>
  </si>
  <si>
    <r>
      <t>All emissions are expressed as kg of carbon dioxide equivalent (kg CO</t>
    </r>
    <r>
      <rPr>
        <vertAlign val="subscript"/>
        <sz val="11"/>
        <color rgb="FF000000"/>
        <rFont val="Calibri"/>
        <family val="2"/>
        <scheme val="minor"/>
      </rPr>
      <t>2</t>
    </r>
    <r>
      <rPr>
        <sz val="11"/>
        <color rgb="FF000000"/>
        <rFont val="Calibri"/>
        <family val="2"/>
        <scheme val="minor"/>
      </rPr>
      <t xml:space="preserve">-e) per unit. </t>
    </r>
  </si>
  <si>
    <t xml:space="preserve">Wastewater treatment emission factors </t>
  </si>
  <si>
    <t>Domestic wastewater</t>
  </si>
  <si>
    <t>Average for wastewater treatment plants</t>
  </si>
  <si>
    <r>
      <t>m</t>
    </r>
    <r>
      <rPr>
        <vertAlign val="superscript"/>
        <sz val="11"/>
        <color rgb="FF000000"/>
        <rFont val="Calibri"/>
        <family val="2"/>
        <scheme val="minor"/>
      </rPr>
      <t xml:space="preserve">3 </t>
    </r>
    <r>
      <rPr>
        <sz val="11"/>
        <color rgb="FF000000"/>
        <rFont val="Calibri"/>
        <family val="2"/>
        <scheme val="minor"/>
      </rPr>
      <t>of water supplied</t>
    </r>
  </si>
  <si>
    <t>The uncertainty for domestic and industrial wastewater methane emissions is ±40%</t>
  </si>
  <si>
    <t>Part of the calculations are based on IPCC defaults</t>
  </si>
  <si>
    <t>The uncertainty for domestic and industrial wastewater nitrous oxide emissions  ±10%</t>
  </si>
  <si>
    <t>per capita</t>
  </si>
  <si>
    <t>Septic tanks</t>
  </si>
  <si>
    <t>Industrial Wastewater</t>
  </si>
  <si>
    <t>Meat (excl poultry)</t>
  </si>
  <si>
    <t>tonne of kills</t>
  </si>
  <si>
    <t>Poultry</t>
  </si>
  <si>
    <t>Pulp &amp; paper</t>
  </si>
  <si>
    <t>tonne of product</t>
  </si>
  <si>
    <t>Wine</t>
  </si>
  <si>
    <t>tonne of crushed grapes</t>
  </si>
  <si>
    <t>Dairy processing</t>
  </si>
  <si>
    <r>
      <t>m</t>
    </r>
    <r>
      <rPr>
        <vertAlign val="superscript"/>
        <sz val="11"/>
        <color rgb="FF000000"/>
        <rFont val="Calibri"/>
        <family val="2"/>
        <scheme val="minor"/>
      </rPr>
      <t xml:space="preserve">3 </t>
    </r>
    <r>
      <rPr>
        <sz val="11"/>
        <color rgb="FF000000"/>
        <rFont val="Calibri"/>
        <family val="2"/>
        <scheme val="minor"/>
      </rPr>
      <t>of milk</t>
    </r>
  </si>
  <si>
    <t xml:space="preserve">Water supply emission factors </t>
  </si>
  <si>
    <r>
      <t>m</t>
    </r>
    <r>
      <rPr>
        <vertAlign val="superscript"/>
        <sz val="11"/>
        <color rgb="FF000000"/>
        <rFont val="Calibri"/>
        <family val="2"/>
        <scheme val="minor"/>
      </rPr>
      <t>3</t>
    </r>
  </si>
  <si>
    <t>Based on energy related emissions</t>
  </si>
  <si>
    <t>Population based on averages served by the data set in Water NZ</t>
  </si>
  <si>
    <t xml:space="preserve">2022 Calculations </t>
  </si>
  <si>
    <t>Being updated as at Feb 2022</t>
  </si>
  <si>
    <t>Water supply</t>
  </si>
  <si>
    <t>kg CH4 (CO2-e)</t>
  </si>
  <si>
    <t>kg N2O (CO2-e)</t>
  </si>
  <si>
    <t>m3</t>
  </si>
  <si>
    <t>Note: some values (eg energy per captia) have changed slightly due only to total population changing but the data not being updated; should these be left unchanged?</t>
  </si>
  <si>
    <t>WWTP wastewater (avg)</t>
  </si>
  <si>
    <t>m3 supplied</t>
  </si>
  <si>
    <t>Treatment</t>
  </si>
  <si>
    <t>(if type not specified)</t>
  </si>
  <si>
    <t>Septic tank wastewater</t>
  </si>
  <si>
    <t>Note: the septic tank EF has decreased ~20% due to 2019 MEG incorrectly applying a 25% inflation to account for industrial/commerical inflows (should not apply to septic tanks)</t>
  </si>
  <si>
    <t>Working</t>
  </si>
  <si>
    <t>Total organic product in 2020 (BEFORE correction) (kg)</t>
  </si>
  <si>
    <t>total</t>
  </si>
  <si>
    <t>WWTPs only (including IND/COM correction factor)</t>
  </si>
  <si>
    <t>Septic tanks only</t>
  </si>
  <si>
    <t>Population included in WWTP model</t>
  </si>
  <si>
    <t>adjusted population for chapter (millions)</t>
  </si>
  <si>
    <t>WWTPs only</t>
  </si>
  <si>
    <t>Correction factor in 2020 to account for population not otherwise counted</t>
  </si>
  <si>
    <t>Note: this differs slightly to the factor used in the 2020 inventory submission for 2018 due to an error</t>
  </si>
  <si>
    <t>Population covered after correction</t>
  </si>
  <si>
    <t>(stats NZ value)</t>
  </si>
  <si>
    <t>Total organic product in 2020 (AFTER correction) (kg)</t>
  </si>
  <si>
    <t>Total volume of water</t>
  </si>
  <si>
    <t>m3 treated nation wide</t>
  </si>
  <si>
    <t>From WaterNZ report https://www.waternz.org.nz/Attachment?Action=Download&amp;Attachment_id=3142</t>
  </si>
  <si>
    <t>m3 supplied nation wide</t>
  </si>
  <si>
    <t>Average volume of water per person (WWTPs)</t>
  </si>
  <si>
    <t>Average volume treated (m3)</t>
  </si>
  <si>
    <t>Average volume supplied (m3)</t>
  </si>
  <si>
    <t>Methane correction factors</t>
  </si>
  <si>
    <t>WWTPs only (average) (including IND/COM correction factor)</t>
  </si>
  <si>
    <t>This is the weighted average of the system MCFs with the system TOWs for 2016; SCS wetherill</t>
  </si>
  <si>
    <t>Implied, based on value from WaterNZ</t>
  </si>
  <si>
    <t>Anaerobic pond</t>
  </si>
  <si>
    <t>SCS wetherill</t>
  </si>
  <si>
    <t>Imhoff Tank</t>
  </si>
  <si>
    <t>Oxidation pond</t>
  </si>
  <si>
    <t>Facultative aerated ponds</t>
  </si>
  <si>
    <t>All other types</t>
  </si>
  <si>
    <r>
      <t>B</t>
    </r>
    <r>
      <rPr>
        <b/>
        <vertAlign val="subscript"/>
        <sz val="11"/>
        <rFont val="Calibri"/>
        <family val="2"/>
        <scheme val="minor"/>
      </rPr>
      <t>0</t>
    </r>
    <r>
      <rPr>
        <b/>
        <sz val="11"/>
        <rFont val="Calibri"/>
        <family val="2"/>
        <scheme val="minor"/>
      </rPr>
      <t xml:space="preserve"> (kgCH4/kgBOD)</t>
    </r>
  </si>
  <si>
    <t>kg TOP Per m3 treated at WWTPs</t>
  </si>
  <si>
    <t>kg TOP Per capita</t>
  </si>
  <si>
    <t>Septic tanks only (exactly 26 = BOD/capita)</t>
  </si>
  <si>
    <t>Methane emissions (t CO2-e/capita)</t>
  </si>
  <si>
    <t>Septic tanks only (WaterNZ) https://www.waternz.org.nz/Article?Action=View&amp;Article_id=2078</t>
  </si>
  <si>
    <t>Anaerobic pond WWTP (including average IND/COM correction factor)</t>
  </si>
  <si>
    <t>Imhoff Tank WWTP (including average IND/COM correction factor)</t>
  </si>
  <si>
    <t>Oxidation pond WWTP (including average IND/COM correction factor)</t>
  </si>
  <si>
    <t>Facultative aerated ponds WWTP (including average IND/COM correction factor)</t>
  </si>
  <si>
    <t>All other types WWTP (including average IND/COM correction factor)</t>
  </si>
  <si>
    <t>Theory: methane</t>
  </si>
  <si>
    <t>The IPCC equation for wastewater is used to derive the emission factors as follows:</t>
  </si>
  <si>
    <t>Total organic product in wastewater</t>
  </si>
  <si>
    <t>Based on equation 6.3, Vol 5 of IPCC 2006 guidelines</t>
  </si>
  <si>
    <r>
      <t xml:space="preserve">TOW (kg/yr) = </t>
    </r>
    <r>
      <rPr>
        <b/>
        <sz val="11"/>
        <color rgb="FF000000"/>
        <rFont val="Calibri"/>
        <family val="2"/>
        <scheme val="minor"/>
      </rPr>
      <t xml:space="preserve">P </t>
    </r>
    <r>
      <rPr>
        <sz val="11"/>
        <color rgb="FF000000"/>
        <rFont val="Calibri"/>
        <family val="2"/>
        <scheme val="minor"/>
      </rPr>
      <t xml:space="preserve">x </t>
    </r>
    <r>
      <rPr>
        <b/>
        <sz val="11"/>
        <color rgb="FF000000"/>
        <rFont val="Calibri"/>
        <family val="2"/>
        <scheme val="minor"/>
      </rPr>
      <t xml:space="preserve">BOD </t>
    </r>
    <r>
      <rPr>
        <sz val="11"/>
        <color rgb="FF000000"/>
        <rFont val="Calibri"/>
        <family val="2"/>
        <scheme val="minor"/>
      </rPr>
      <t xml:space="preserve">x </t>
    </r>
    <r>
      <rPr>
        <b/>
        <sz val="11"/>
        <color rgb="FF000000"/>
        <rFont val="Calibri"/>
        <family val="2"/>
        <scheme val="minor"/>
      </rPr>
      <t>IND-COMM FACTOR</t>
    </r>
  </si>
  <si>
    <t>Where</t>
  </si>
  <si>
    <t>P</t>
  </si>
  <si>
    <t>Population on a plant-specific basis</t>
  </si>
  <si>
    <t>BOD</t>
  </si>
  <si>
    <t>(kg/cap/yr) country-specific per-capita Biological Oxygen Demand</t>
  </si>
  <si>
    <t>Note: 26 kg BOD/cap/yr = 71.2 g BOD/cap/day x 0.001 x 365</t>
  </si>
  <si>
    <t>IND-COMM factor</t>
  </si>
  <si>
    <t>default 1.25 (1.0 for septic tanks) but varies for several sites</t>
  </si>
  <si>
    <t>accounts for inclusion of industrial and commerical WW discharged to municipal system</t>
  </si>
  <si>
    <t>Total methane emissions</t>
  </si>
  <si>
    <r>
      <t>EF (per kg of total organic product) = GWP x MCF x B</t>
    </r>
    <r>
      <rPr>
        <vertAlign val="subscript"/>
        <sz val="11"/>
        <color rgb="FF000000"/>
        <rFont val="Calibri"/>
        <family val="2"/>
        <scheme val="minor"/>
      </rPr>
      <t>0</t>
    </r>
  </si>
  <si>
    <t>Based on equation 6.2, Vol 5 of IPCC 2006 guidelines</t>
  </si>
  <si>
    <r>
      <t>B</t>
    </r>
    <r>
      <rPr>
        <b/>
        <vertAlign val="subscript"/>
        <sz val="11"/>
        <color rgb="FF000000"/>
        <rFont val="Calibri"/>
        <family val="2"/>
        <scheme val="minor"/>
      </rPr>
      <t>0</t>
    </r>
  </si>
  <si>
    <t>Converts the BOD to max potential methane emissions</t>
  </si>
  <si>
    <t>Source: SCS wetherill</t>
  </si>
  <si>
    <t>MCF</t>
  </si>
  <si>
    <t>the weighted-average methane correction factor for all WWTPs in 2016 (only some methane is created)</t>
  </si>
  <si>
    <t>GWP</t>
  </si>
  <si>
    <t>Converts into CO2-e</t>
  </si>
  <si>
    <t>Emissions per unit</t>
  </si>
  <si>
    <t>Divide total emissions by population or by volume of water</t>
  </si>
  <si>
    <t>Theory &amp; working: N2O</t>
  </si>
  <si>
    <t>Nitrogen emissions (t CO2-e/capita) for effluent from WWTPs</t>
  </si>
  <si>
    <t>for WWTPs only</t>
  </si>
  <si>
    <r>
      <t>N2O emissions</t>
    </r>
    <r>
      <rPr>
        <sz val="11"/>
        <color rgb="FF000000"/>
        <rFont val="Calibri"/>
        <family val="2"/>
        <scheme val="minor"/>
      </rPr>
      <t xml:space="preserve"> </t>
    </r>
    <r>
      <rPr>
        <b/>
        <sz val="11"/>
        <color rgb="FF000000"/>
        <rFont val="Calibri"/>
        <family val="2"/>
        <scheme val="minor"/>
      </rPr>
      <t xml:space="preserve">per person </t>
    </r>
    <r>
      <rPr>
        <sz val="11"/>
        <color rgb="FF000000"/>
        <rFont val="Calibri"/>
        <family val="2"/>
        <scheme val="minor"/>
      </rPr>
      <t>= (</t>
    </r>
    <r>
      <rPr>
        <b/>
        <sz val="11"/>
        <color rgb="FF000000"/>
        <rFont val="Calibri"/>
        <family val="2"/>
        <scheme val="minor"/>
      </rPr>
      <t>Total nitrogen in effluent</t>
    </r>
    <r>
      <rPr>
        <sz val="11"/>
        <color rgb="FF000000"/>
        <rFont val="Calibri"/>
        <family val="2"/>
        <scheme val="minor"/>
      </rPr>
      <t xml:space="preserve"> x </t>
    </r>
    <r>
      <rPr>
        <b/>
        <sz val="11"/>
        <color rgb="FF000000"/>
        <rFont val="Calibri"/>
        <family val="2"/>
        <scheme val="minor"/>
      </rPr>
      <t>emission factor</t>
    </r>
    <r>
      <rPr>
        <sz val="11"/>
        <color rgb="FF000000"/>
        <rFont val="Calibri"/>
        <family val="2"/>
        <scheme val="minor"/>
      </rPr>
      <t xml:space="preserve"> x </t>
    </r>
    <r>
      <rPr>
        <b/>
        <sz val="11"/>
        <color rgb="FF000000"/>
        <rFont val="Calibri"/>
        <family val="2"/>
        <scheme val="minor"/>
      </rPr>
      <t>conversion</t>
    </r>
    <r>
      <rPr>
        <sz val="11"/>
        <color rgb="FF000000"/>
        <rFont val="Calibri"/>
        <family val="2"/>
        <scheme val="minor"/>
      </rPr>
      <t xml:space="preserve"> - </t>
    </r>
    <r>
      <rPr>
        <b/>
        <sz val="11"/>
        <color rgb="FF000000"/>
        <rFont val="Calibri"/>
        <family val="2"/>
        <scheme val="minor"/>
      </rPr>
      <t>WWTP N2O emissions</t>
    </r>
    <r>
      <rPr>
        <sz val="11"/>
        <color rgb="FF000000"/>
        <rFont val="Calibri"/>
        <family val="2"/>
        <scheme val="minor"/>
      </rPr>
      <t>)</t>
    </r>
    <r>
      <rPr>
        <b/>
        <sz val="11"/>
        <color rgb="FF000000"/>
        <rFont val="Calibri"/>
        <family val="2"/>
        <scheme val="minor"/>
      </rPr>
      <t xml:space="preserve"> </t>
    </r>
    <r>
      <rPr>
        <sz val="11"/>
        <color rgb="FF000000"/>
        <rFont val="Calibri"/>
        <family val="2"/>
        <scheme val="minor"/>
      </rPr>
      <t>x</t>
    </r>
    <r>
      <rPr>
        <b/>
        <sz val="11"/>
        <color rgb="FF000000"/>
        <rFont val="Calibri"/>
        <family val="2"/>
        <scheme val="minor"/>
      </rPr>
      <t xml:space="preserve"> GWP </t>
    </r>
    <r>
      <rPr>
        <sz val="11"/>
        <color rgb="FF000000"/>
        <rFont val="Calibri"/>
        <family val="2"/>
        <scheme val="minor"/>
      </rPr>
      <t>/ 1000</t>
    </r>
  </si>
  <si>
    <t>Total nitrogen in effluent</t>
  </si>
  <si>
    <t>kg/cap/year</t>
  </si>
  <si>
    <t>from below</t>
  </si>
  <si>
    <t>emission factor</t>
  </si>
  <si>
    <t>kg N2O-N/kg N</t>
  </si>
  <si>
    <t>IPCC default</t>
  </si>
  <si>
    <t>conversion</t>
  </si>
  <si>
    <t>kg N2O-N into kg N2O</t>
  </si>
  <si>
    <t>WWTP N2O emissions</t>
  </si>
  <si>
    <t xml:space="preserve">assumed zero as it is very small in practice </t>
  </si>
  <si>
    <t>see GWP tab</t>
  </si>
  <si>
    <r>
      <t>Total nitrogen in effluent</t>
    </r>
    <r>
      <rPr>
        <sz val="11"/>
        <color rgb="FF000000"/>
        <rFont val="Calibri"/>
        <family val="2"/>
        <scheme val="minor"/>
      </rPr>
      <t xml:space="preserve"> = population x per capita protein consumption x fraction of nitrogen in protein x Fraction of non-consumption protein x Fraction of industrial and commercial co-discharged protein - nitrogen removed with sludge</t>
    </r>
  </si>
  <si>
    <t>population</t>
  </si>
  <si>
    <t>this is a per-person calculation</t>
  </si>
  <si>
    <t>per capita protein consumption</t>
  </si>
  <si>
    <t>kg/year</t>
  </si>
  <si>
    <t>Beca 2007, 99g/day</t>
  </si>
  <si>
    <t>fraction of N in protein</t>
  </si>
  <si>
    <t>Fraction of non-consumption protein</t>
  </si>
  <si>
    <t>Fraction of industrial and commercial co-discharged protein</t>
  </si>
  <si>
    <t>N removed with sludge</t>
  </si>
  <si>
    <t>default is zero</t>
  </si>
  <si>
    <t>Total check</t>
  </si>
  <si>
    <t>Electricity emissions from water</t>
  </si>
  <si>
    <t>energy Efs</t>
  </si>
  <si>
    <t>Wastewater: per unit WASTEWATER</t>
  </si>
  <si>
    <t>CO2 Electricity emission factor</t>
  </si>
  <si>
    <t>kg CO2/kWh</t>
  </si>
  <si>
    <t>CH4 Electricity emission factor</t>
  </si>
  <si>
    <t>kg CH4/kWh (CO2-e?)</t>
  </si>
  <si>
    <t>m3 volume supplied with treatment energy data</t>
  </si>
  <si>
    <t>m3 volume supplied with supply energy data</t>
  </si>
  <si>
    <t>N2O Electricity emission factor</t>
  </si>
  <si>
    <t>kg N2O/kWh (CO2-e?)</t>
  </si>
  <si>
    <t>m3 estimated volume treated with energy data</t>
  </si>
  <si>
    <t>GJ absolute amount used for supply</t>
  </si>
  <si>
    <t>GJ absolute amount used for treatment</t>
  </si>
  <si>
    <t>GJ/m3</t>
  </si>
  <si>
    <t>kWh/m3</t>
  </si>
  <si>
    <t>kg CO2-e/m3</t>
  </si>
  <si>
    <t>kg CO2/m3</t>
  </si>
  <si>
    <t>Coversion Factor (kWh/GJ)</t>
  </si>
  <si>
    <t>GJ to kWh</t>
  </si>
  <si>
    <t>kg CH4/m3 (CO2-e?)</t>
  </si>
  <si>
    <t>kg N2O/m3 (CO2-e?)</t>
  </si>
  <si>
    <t>Note: use energy consumption per unit wastewater because that is the volume that is treated with said energy</t>
  </si>
  <si>
    <t>Wastewater: per unit SUPPLY</t>
  </si>
  <si>
    <t>Industrial wastewater</t>
  </si>
  <si>
    <t xml:space="preserve">kg CH4 </t>
  </si>
  <si>
    <t>m3 of milk</t>
  </si>
  <si>
    <t>Working (methane)</t>
  </si>
  <si>
    <t>Pulp and paper</t>
  </si>
  <si>
    <t>Methane emission factor (kg/tonnes product per year) = mbcod x ef x GWP</t>
  </si>
  <si>
    <t>sources:</t>
  </si>
  <si>
    <t>mbcod (kgCODb)/t</t>
  </si>
  <si>
    <t>Cardno 2015</t>
  </si>
  <si>
    <t>ef (kgCH4/kgCOD)</t>
  </si>
  <si>
    <t>Methane emission factor (kg/tonne kills) = Unit biodegradable COD load (kg/t) x ef x GWP</t>
  </si>
  <si>
    <t>Unit biodegradable COD load (kgCODb/t)</t>
  </si>
  <si>
    <t>ef (kgCH4/kgCODb)</t>
  </si>
  <si>
    <t>Methane emission factor (kg/tonnes crushed grapes) = Unit biodegradable COD load (kg/t) x ef x GWP</t>
  </si>
  <si>
    <t>Unit biodegradable COD load (kg/t)</t>
  </si>
  <si>
    <t>Working (N2O)</t>
  </si>
  <si>
    <t>N2O emission factor (kg/tonnes ) = product of the following:</t>
  </si>
  <si>
    <t>convert m3 to t (t/m3)</t>
  </si>
  <si>
    <t>(average density of milk)</t>
  </si>
  <si>
    <t>Total N: biodegradable COD ratio</t>
  </si>
  <si>
    <t>EF (kg / kg)</t>
  </si>
  <si>
    <t>fraction (44/28)</t>
  </si>
  <si>
    <t>ratio of N2O to N2</t>
  </si>
  <si>
    <t>EF (kg/kg)</t>
  </si>
  <si>
    <t>Check against inventory</t>
  </si>
  <si>
    <t>Water supply and wastewater treatment emission factors</t>
  </si>
  <si>
    <t>Additional Information</t>
  </si>
  <si>
    <t xml:space="preserve">All emissions are expressed as kg of carbon dioxide equivalent per unit. </t>
  </si>
  <si>
    <t>Total Calculated Emissions for water supply &amp; wastewater treatment</t>
  </si>
  <si>
    <r>
      <t>m</t>
    </r>
    <r>
      <rPr>
        <vertAlign val="superscript"/>
        <sz val="11"/>
        <color theme="1"/>
        <rFont val="Calibri"/>
        <family val="2"/>
        <scheme val="minor"/>
      </rPr>
      <t>3</t>
    </r>
  </si>
  <si>
    <r>
      <t>m</t>
    </r>
    <r>
      <rPr>
        <vertAlign val="superscript"/>
        <sz val="11"/>
        <color theme="1"/>
        <rFont val="Calibri"/>
        <family val="2"/>
        <scheme val="minor"/>
      </rPr>
      <t xml:space="preserve">3 </t>
    </r>
    <r>
      <rPr>
        <sz val="11"/>
        <color theme="1"/>
        <rFont val="Calibri"/>
        <family val="2"/>
        <scheme val="minor"/>
      </rPr>
      <t>of milk</t>
    </r>
  </si>
  <si>
    <t>Solid waste emission factors</t>
  </si>
  <si>
    <r>
      <t xml:space="preserve">Waste to landfill </t>
    </r>
    <r>
      <rPr>
        <b/>
        <u/>
        <sz val="11"/>
        <color rgb="FFFFFFFF"/>
        <rFont val="Calibri"/>
        <family val="2"/>
        <scheme val="minor"/>
      </rPr>
      <t>with</t>
    </r>
    <r>
      <rPr>
        <sz val="11"/>
        <color rgb="FFFFFFFF"/>
        <rFont val="Calibri"/>
        <family val="2"/>
        <scheme val="minor"/>
      </rPr>
      <t xml:space="preserve"> gas recovery emission factors </t>
    </r>
  </si>
  <si>
    <t>Waste (known composition)</t>
  </si>
  <si>
    <t>Waste - Food</t>
  </si>
  <si>
    <t>±40%</t>
  </si>
  <si>
    <r>
      <t>N</t>
    </r>
    <r>
      <rPr>
        <vertAlign val="subscript"/>
        <sz val="11"/>
        <color rgb="FF000000"/>
        <rFont val="Calibri"/>
        <family val="2"/>
        <scheme val="minor"/>
      </rPr>
      <t>2</t>
    </r>
    <r>
      <rPr>
        <sz val="11"/>
        <color rgb="FF000000"/>
        <rFont val="Calibri"/>
        <family val="2"/>
        <scheme val="minor"/>
      </rPr>
      <t>O and CO</t>
    </r>
    <r>
      <rPr>
        <vertAlign val="subscript"/>
        <sz val="11"/>
        <color rgb="FF000000"/>
        <rFont val="Calibri"/>
        <family val="2"/>
        <scheme val="minor"/>
      </rPr>
      <t>2</t>
    </r>
    <r>
      <rPr>
        <sz val="11"/>
        <color rgb="FF000000"/>
        <rFont val="Calibri"/>
        <family val="2"/>
        <scheme val="minor"/>
      </rPr>
      <t xml:space="preserve"> are excluded</t>
    </r>
  </si>
  <si>
    <t>Waste - Garden</t>
  </si>
  <si>
    <t>Waste - Paper</t>
  </si>
  <si>
    <t>Waste - Wood</t>
  </si>
  <si>
    <t>Waste - Textile</t>
  </si>
  <si>
    <t>Waste - Nappies</t>
  </si>
  <si>
    <t>Waste - Sludge</t>
  </si>
  <si>
    <t>Waste - Other (Inert)</t>
  </si>
  <si>
    <t>Waste (unknown composition)</t>
  </si>
  <si>
    <t>General waste</t>
  </si>
  <si>
    <t>Office waste</t>
  </si>
  <si>
    <r>
      <t xml:space="preserve">Waste to landfill </t>
    </r>
    <r>
      <rPr>
        <b/>
        <u/>
        <sz val="11"/>
        <color rgb="FFFFFFFF"/>
        <rFont val="Calibri"/>
        <family val="2"/>
        <scheme val="minor"/>
      </rPr>
      <t>without</t>
    </r>
    <r>
      <rPr>
        <sz val="11"/>
        <color rgb="FFFFFFFF"/>
        <rFont val="Calibri"/>
        <family val="2"/>
        <scheme val="minor"/>
      </rPr>
      <t xml:space="preserve"> gas recovery emission factors </t>
    </r>
  </si>
  <si>
    <t>Biological Treatment of waste</t>
  </si>
  <si>
    <t>Biological treatment of waste</t>
  </si>
  <si>
    <t>Composting</t>
  </si>
  <si>
    <t>IPCC uncertainties</t>
  </si>
  <si>
    <t>IPCC default emission factors used</t>
  </si>
  <si>
    <t>Anaerobic digestion</t>
  </si>
  <si>
    <t>Kg</t>
  </si>
  <si>
    <t>Non municipal waste</t>
  </si>
  <si>
    <t>Biological (sludge)</t>
  </si>
  <si>
    <r>
      <t>N</t>
    </r>
    <r>
      <rPr>
        <vertAlign val="subscript"/>
        <sz val="11"/>
        <rFont val="Calibri"/>
        <family val="2"/>
        <scheme val="minor"/>
      </rPr>
      <t>2</t>
    </r>
    <r>
      <rPr>
        <sz val="11"/>
        <rFont val="Calibri"/>
        <family val="2"/>
        <scheme val="minor"/>
      </rPr>
      <t>O and CO</t>
    </r>
    <r>
      <rPr>
        <vertAlign val="subscript"/>
        <sz val="11"/>
        <rFont val="Calibri"/>
        <family val="2"/>
        <scheme val="minor"/>
      </rPr>
      <t>2</t>
    </r>
    <r>
      <rPr>
        <sz val="11"/>
        <rFont val="Calibri"/>
        <family val="2"/>
        <scheme val="minor"/>
      </rPr>
      <t xml:space="preserve"> are excluded</t>
    </r>
  </si>
  <si>
    <t>Construction &amp; Demolition</t>
  </si>
  <si>
    <t>Bulk Waste</t>
  </si>
  <si>
    <t>Food</t>
  </si>
  <si>
    <t>Garden</t>
  </si>
  <si>
    <t>Inert (all other waste)</t>
  </si>
  <si>
    <t>Average for non-municipal solid waste</t>
  </si>
  <si>
    <t>Managed solid waste</t>
  </si>
  <si>
    <t>Total managed solid waste deposisted in 2020 (kt)</t>
  </si>
  <si>
    <t>Notes</t>
  </si>
  <si>
    <t>Data from the waste levy</t>
  </si>
  <si>
    <t>proportion to landfills with gas recovery</t>
  </si>
  <si>
    <t>proportion to landfills without gas recovery</t>
  </si>
  <si>
    <t>Composition of waste for 2020</t>
  </si>
  <si>
    <t>Paper</t>
  </si>
  <si>
    <t>Textile</t>
  </si>
  <si>
    <t>Nappies</t>
  </si>
  <si>
    <t>Sludge</t>
  </si>
  <si>
    <t>Other (Inert)</t>
  </si>
  <si>
    <t>Sludge added Oct 2021</t>
  </si>
  <si>
    <t>Eunomia 2020</t>
  </si>
  <si>
    <t>DOC</t>
  </si>
  <si>
    <t>Decomposable Degradable organic carbon (DDOC) content</t>
  </si>
  <si>
    <t>DDOC</t>
  </si>
  <si>
    <t>DOCf</t>
  </si>
  <si>
    <t>Eunomia 2020 &amp; IPCC 2006</t>
  </si>
  <si>
    <t>Weighted general DDOC for 2020</t>
  </si>
  <si>
    <t>Emission factors by waste type (t CO2-e/t waste) Landfill without LFG recovery</t>
  </si>
  <si>
    <t xml:space="preserve">All factors are from methane only with a GWP of 25. </t>
  </si>
  <si>
    <t>Emission factors by waste type (t CO2-e/t waste) Landfill with LFG recovery</t>
  </si>
  <si>
    <t>Factors are either WITH (average) recovery or NO recovery; if recovery unknown then use no recovery to be conservative</t>
  </si>
  <si>
    <t>General waste emission factor (t CO2-e/t waste) Landfill without LFG recovery</t>
  </si>
  <si>
    <t>This composite value is different to the ETS default EF of 1.19 (due to numerous differences in methodology)</t>
  </si>
  <si>
    <t>General waste emission factor (t CO2-e/t waste) Landfill with LFG recovery</t>
  </si>
  <si>
    <t>Mixed office waste emission factor (t CO2-e/t waste) Landfill without LFG recovery</t>
  </si>
  <si>
    <t>(paper 53.6%, food 20.8%)</t>
  </si>
  <si>
    <t>Taken office composition from previous guidance; I assumed all 'food and garden' is just food</t>
  </si>
  <si>
    <t>Mixed office waste emission factor (t CO2-e/t waste) Landfill with LFG recovery</t>
  </si>
  <si>
    <t>(sustainable business network might have some data from audits using their guide?)</t>
  </si>
  <si>
    <t>Average recovery rate for landfills with gas collection in 2020</t>
  </si>
  <si>
    <t>Eunomia 2020 for open landfills</t>
  </si>
  <si>
    <t>The IPCC equation for landfills is used to derive the emission factors as follows:</t>
  </si>
  <si>
    <r>
      <t xml:space="preserve">EF = </t>
    </r>
    <r>
      <rPr>
        <b/>
        <sz val="11"/>
        <color rgb="FF000000"/>
        <rFont val="Calibri"/>
        <family val="2"/>
        <scheme val="minor"/>
      </rPr>
      <t>DOC</t>
    </r>
    <r>
      <rPr>
        <sz val="11"/>
        <color rgb="FF000000"/>
        <rFont val="Calibri"/>
        <family val="2"/>
        <scheme val="minor"/>
      </rPr>
      <t xml:space="preserve"> x</t>
    </r>
    <r>
      <rPr>
        <b/>
        <sz val="11"/>
        <color rgb="FF000000"/>
        <rFont val="Calibri"/>
        <family val="2"/>
        <scheme val="minor"/>
      </rPr>
      <t xml:space="preserve"> DOCf </t>
    </r>
    <r>
      <rPr>
        <sz val="11"/>
        <color rgb="FF000000"/>
        <rFont val="Calibri"/>
        <family val="2"/>
        <scheme val="minor"/>
      </rPr>
      <t>x</t>
    </r>
    <r>
      <rPr>
        <b/>
        <sz val="11"/>
        <color rgb="FF000000"/>
        <rFont val="Calibri"/>
        <family val="2"/>
        <scheme val="minor"/>
      </rPr>
      <t xml:space="preserve"> F </t>
    </r>
    <r>
      <rPr>
        <sz val="11"/>
        <color rgb="FF000000"/>
        <rFont val="Calibri"/>
        <family val="2"/>
        <scheme val="minor"/>
      </rPr>
      <t>x</t>
    </r>
    <r>
      <rPr>
        <b/>
        <sz val="11"/>
        <color rgb="FF000000"/>
        <rFont val="Calibri"/>
        <family val="2"/>
        <scheme val="minor"/>
      </rPr>
      <t xml:space="preserve"> MCF </t>
    </r>
    <r>
      <rPr>
        <sz val="11"/>
        <color rgb="FF000000"/>
        <rFont val="Calibri"/>
        <family val="2"/>
        <scheme val="minor"/>
      </rPr>
      <t>x</t>
    </r>
    <r>
      <rPr>
        <b/>
        <sz val="11"/>
        <color rgb="FF000000"/>
        <rFont val="Calibri"/>
        <family val="2"/>
        <scheme val="minor"/>
      </rPr>
      <t xml:space="preserve"> Conversion </t>
    </r>
    <r>
      <rPr>
        <sz val="11"/>
        <color rgb="FF000000"/>
        <rFont val="Calibri"/>
        <family val="2"/>
        <scheme val="minor"/>
      </rPr>
      <t>x</t>
    </r>
    <r>
      <rPr>
        <b/>
        <sz val="11"/>
        <color rgb="FF000000"/>
        <rFont val="Calibri"/>
        <family val="2"/>
        <scheme val="minor"/>
      </rPr>
      <t xml:space="preserve"> </t>
    </r>
    <r>
      <rPr>
        <sz val="11"/>
        <color rgb="FF000000"/>
        <rFont val="Calibri"/>
        <family val="2"/>
        <scheme val="minor"/>
      </rPr>
      <t>(1-</t>
    </r>
    <r>
      <rPr>
        <b/>
        <sz val="11"/>
        <color rgb="FF000000"/>
        <rFont val="Calibri"/>
        <family val="2"/>
        <scheme val="minor"/>
      </rPr>
      <t>Oxidation</t>
    </r>
    <r>
      <rPr>
        <sz val="11"/>
        <color rgb="FF000000"/>
        <rFont val="Calibri"/>
        <family val="2"/>
        <scheme val="minor"/>
      </rPr>
      <t>)</t>
    </r>
    <r>
      <rPr>
        <b/>
        <sz val="11"/>
        <color rgb="FF000000"/>
        <rFont val="Calibri"/>
        <family val="2"/>
        <scheme val="minor"/>
      </rPr>
      <t xml:space="preserve"> </t>
    </r>
    <r>
      <rPr>
        <sz val="11"/>
        <color rgb="FF000000"/>
        <rFont val="Calibri"/>
        <family val="2"/>
        <scheme val="minor"/>
      </rPr>
      <t>x (1-</t>
    </r>
    <r>
      <rPr>
        <b/>
        <sz val="11"/>
        <color rgb="FF000000"/>
        <rFont val="Calibri"/>
        <family val="2"/>
        <scheme val="minor"/>
      </rPr>
      <t>recovery</t>
    </r>
    <r>
      <rPr>
        <sz val="11"/>
        <color rgb="FF000000"/>
        <rFont val="Calibri"/>
        <family val="2"/>
        <scheme val="minor"/>
      </rPr>
      <t xml:space="preserve">) x </t>
    </r>
    <r>
      <rPr>
        <b/>
        <sz val="11"/>
        <color rgb="FF000000"/>
        <rFont val="Calibri"/>
        <family val="2"/>
        <scheme val="minor"/>
      </rPr>
      <t>GWP</t>
    </r>
  </si>
  <si>
    <t>This is a simplification of the IPCC FOD model as it ignores the time decay of waste and instead calculates the total emissions that will result</t>
  </si>
  <si>
    <t>Explanation</t>
  </si>
  <si>
    <t>embedded in DDOC</t>
  </si>
  <si>
    <t>Degradable organic content</t>
  </si>
  <si>
    <t>fraction of DOC that can decompose</t>
  </si>
  <si>
    <t>IPCC default for managed landfills</t>
  </si>
  <si>
    <t>F</t>
  </si>
  <si>
    <t>fraction of gas that is methane</t>
  </si>
  <si>
    <t>methane correction factor</t>
  </si>
  <si>
    <t>Conversion</t>
  </si>
  <si>
    <r>
      <t>molecular weight ratio CH</t>
    </r>
    <r>
      <rPr>
        <vertAlign val="subscript"/>
        <sz val="11"/>
        <color theme="1"/>
        <rFont val="Calibri"/>
        <family val="2"/>
        <scheme val="minor"/>
      </rPr>
      <t>4</t>
    </r>
    <r>
      <rPr>
        <sz val="11"/>
        <color theme="1"/>
        <rFont val="Calibri"/>
        <family val="2"/>
        <scheme val="minor"/>
      </rPr>
      <t>/C</t>
    </r>
  </si>
  <si>
    <t>Oxidation</t>
  </si>
  <si>
    <t>amout oxidised</t>
  </si>
  <si>
    <t>Recovery</t>
  </si>
  <si>
    <t>from above</t>
  </si>
  <si>
    <t>Compost</t>
  </si>
  <si>
    <t>gCH4/kg waste</t>
  </si>
  <si>
    <t>gN2O/kg waste</t>
  </si>
  <si>
    <t>EF consistent units</t>
  </si>
  <si>
    <t>t CH4/t waste</t>
  </si>
  <si>
    <t>t N2O/t waste</t>
  </si>
  <si>
    <t>Table 4.1 of volume 5 of 2006 IPCC guidelines</t>
  </si>
  <si>
    <t>EF (CO2-e)</t>
  </si>
  <si>
    <t>t CO2-e/t waste</t>
  </si>
  <si>
    <t>https://www.ipcc-nggip.iges.or.jp/public/2006gl/pdf/5_Volume5/V5_4_Ch4_Bio_Treat.pdf</t>
  </si>
  <si>
    <t>Combined EF</t>
  </si>
  <si>
    <t>Anaerobic Digestion emission factor</t>
  </si>
  <si>
    <t>Anaerobic Digestion is not currently reported in the GHG inventory</t>
  </si>
  <si>
    <t xml:space="preserve">CH4:       </t>
  </si>
  <si>
    <t>EF from guidelines</t>
  </si>
  <si>
    <t>gCH4/kg wet waste</t>
  </si>
  <si>
    <t>t CH4/t wet waste</t>
  </si>
  <si>
    <t>Emission factor (CO2-e)</t>
  </si>
  <si>
    <t>t CO2-e/t wet waste</t>
  </si>
  <si>
    <t>Non-municipal solid waste</t>
  </si>
  <si>
    <t>C&amp;D</t>
  </si>
  <si>
    <t>Bulk waste/"Domestic"</t>
  </si>
  <si>
    <t>Inert</t>
  </si>
  <si>
    <t>composition assumed to hold constant at 2015 values</t>
  </si>
  <si>
    <t>Degradable organic carbon (DOC) content</t>
  </si>
  <si>
    <t>Weighted average non-MSW DOC</t>
  </si>
  <si>
    <t xml:space="preserve">Emission factors by waste type (t CO2-e/t waste) </t>
  </si>
  <si>
    <t>Biological</t>
  </si>
  <si>
    <t xml:space="preserve">Average non-MSW waste emission factor (t CO2-e/t waste) </t>
  </si>
  <si>
    <r>
      <t xml:space="preserve">EF = </t>
    </r>
    <r>
      <rPr>
        <b/>
        <sz val="11"/>
        <color rgb="FF000000"/>
        <rFont val="Calibri"/>
        <family val="2"/>
        <scheme val="minor"/>
      </rPr>
      <t>DOC</t>
    </r>
    <r>
      <rPr>
        <sz val="11"/>
        <color rgb="FF000000"/>
        <rFont val="Calibri"/>
        <family val="2"/>
        <scheme val="minor"/>
      </rPr>
      <t xml:space="preserve"> x</t>
    </r>
    <r>
      <rPr>
        <b/>
        <sz val="11"/>
        <color rgb="FF000000"/>
        <rFont val="Calibri"/>
        <family val="2"/>
        <scheme val="minor"/>
      </rPr>
      <t xml:space="preserve"> DOCf </t>
    </r>
    <r>
      <rPr>
        <sz val="11"/>
        <color rgb="FF000000"/>
        <rFont val="Calibri"/>
        <family val="2"/>
        <scheme val="minor"/>
      </rPr>
      <t>x</t>
    </r>
    <r>
      <rPr>
        <b/>
        <sz val="11"/>
        <color rgb="FF000000"/>
        <rFont val="Calibri"/>
        <family val="2"/>
        <scheme val="minor"/>
      </rPr>
      <t xml:space="preserve"> F </t>
    </r>
    <r>
      <rPr>
        <sz val="11"/>
        <color rgb="FF000000"/>
        <rFont val="Calibri"/>
        <family val="2"/>
        <scheme val="minor"/>
      </rPr>
      <t>x</t>
    </r>
    <r>
      <rPr>
        <b/>
        <sz val="11"/>
        <color rgb="FF000000"/>
        <rFont val="Calibri"/>
        <family val="2"/>
        <scheme val="minor"/>
      </rPr>
      <t xml:space="preserve"> MCF </t>
    </r>
    <r>
      <rPr>
        <sz val="11"/>
        <color rgb="FF000000"/>
        <rFont val="Calibri"/>
        <family val="2"/>
        <scheme val="minor"/>
      </rPr>
      <t>x</t>
    </r>
    <r>
      <rPr>
        <b/>
        <sz val="11"/>
        <color rgb="FF000000"/>
        <rFont val="Calibri"/>
        <family val="2"/>
        <scheme val="minor"/>
      </rPr>
      <t xml:space="preserve"> Conversion </t>
    </r>
    <r>
      <rPr>
        <sz val="11"/>
        <color rgb="FF000000"/>
        <rFont val="Calibri"/>
        <family val="2"/>
        <scheme val="minor"/>
      </rPr>
      <t>x</t>
    </r>
    <r>
      <rPr>
        <b/>
        <sz val="11"/>
        <color rgb="FF000000"/>
        <rFont val="Calibri"/>
        <family val="2"/>
        <scheme val="minor"/>
      </rPr>
      <t xml:space="preserve"> </t>
    </r>
    <r>
      <rPr>
        <sz val="11"/>
        <color rgb="FF000000"/>
        <rFont val="Calibri"/>
        <family val="2"/>
        <scheme val="minor"/>
      </rPr>
      <t>(1-</t>
    </r>
    <r>
      <rPr>
        <b/>
        <sz val="11"/>
        <color rgb="FF000000"/>
        <rFont val="Calibri"/>
        <family val="2"/>
        <scheme val="minor"/>
      </rPr>
      <t>Oxidation</t>
    </r>
    <r>
      <rPr>
        <sz val="11"/>
        <color rgb="FF000000"/>
        <rFont val="Calibri"/>
        <family val="2"/>
        <scheme val="minor"/>
      </rPr>
      <t>)</t>
    </r>
    <r>
      <rPr>
        <b/>
        <sz val="11"/>
        <color rgb="FF000000"/>
        <rFont val="Calibri"/>
        <family val="2"/>
        <scheme val="minor"/>
      </rPr>
      <t xml:space="preserve"> </t>
    </r>
    <r>
      <rPr>
        <sz val="11"/>
        <color rgb="FF000000"/>
        <rFont val="Calibri"/>
        <family val="2"/>
        <scheme val="minor"/>
      </rPr>
      <t xml:space="preserve">x </t>
    </r>
    <r>
      <rPr>
        <b/>
        <sz val="11"/>
        <color rgb="FF000000"/>
        <rFont val="Calibri"/>
        <family val="2"/>
        <scheme val="minor"/>
      </rPr>
      <t>GWP</t>
    </r>
  </si>
  <si>
    <t xml:space="preserve">IPCC default </t>
  </si>
  <si>
    <t>MfE calculated based on ratio of landfill types</t>
  </si>
  <si>
    <r>
      <t>molecular weight ratio CH</t>
    </r>
    <r>
      <rPr>
        <vertAlign val="subscript"/>
        <sz val="11"/>
        <color rgb="FF000000"/>
        <rFont val="Calibri"/>
        <family val="2"/>
        <scheme val="minor"/>
      </rPr>
      <t>4</t>
    </r>
    <r>
      <rPr>
        <sz val="11"/>
        <color rgb="FF000000"/>
        <rFont val="Calibri"/>
        <family val="2"/>
        <scheme val="minor"/>
      </rPr>
      <t>/C</t>
    </r>
  </si>
  <si>
    <t>IPCC default for Non-MSW landfills</t>
  </si>
  <si>
    <t xml:space="preserve">Using 2020 datasets </t>
  </si>
  <si>
    <t>Waste emission factors</t>
  </si>
  <si>
    <t>Total Calculated Emissions for waste</t>
  </si>
  <si>
    <r>
      <t xml:space="preserve">Waste to landfill WITH </t>
    </r>
    <r>
      <rPr>
        <b/>
        <sz val="11"/>
        <color rgb="FFFFFFFF"/>
        <rFont val="Calibri"/>
        <family val="2"/>
      </rPr>
      <t>gas recovery emissions workbook</t>
    </r>
  </si>
  <si>
    <r>
      <t xml:space="preserve">Waste to landfill WITHOUT </t>
    </r>
    <r>
      <rPr>
        <b/>
        <sz val="11"/>
        <color rgb="FFFFFFFF"/>
        <rFont val="Calibri"/>
        <family val="2"/>
      </rPr>
      <t xml:space="preserve">gas recovery emission factors </t>
    </r>
  </si>
  <si>
    <t>Non Municipal Solid Waste</t>
  </si>
  <si>
    <t>Agriculture, Forestry and other land uses emission factors</t>
  </si>
  <si>
    <r>
      <t>All emissions are expressed as kg of carbon dioxide equivalent (kg CO</t>
    </r>
    <r>
      <rPr>
        <vertAlign val="subscript"/>
        <sz val="11"/>
        <rFont val="Calibri"/>
        <family val="2"/>
        <scheme val="minor"/>
      </rPr>
      <t>2</t>
    </r>
    <r>
      <rPr>
        <sz val="11"/>
        <rFont val="Calibri"/>
        <family val="2"/>
        <scheme val="minor"/>
      </rPr>
      <t>-e) per unit. 
Further information on the development of these emission factors can be found in the detailed guide.</t>
    </r>
  </si>
  <si>
    <t xml:space="preserve">LULUCF growth emission factors </t>
  </si>
  <si>
    <t>Forest growth removal source</t>
  </si>
  <si>
    <t>Uncertainties (95% CI)</t>
  </si>
  <si>
    <t>Planted forests: Approach one - Stock change accounting</t>
  </si>
  <si>
    <t>All Planted forests</t>
  </si>
  <si>
    <t>ha</t>
  </si>
  <si>
    <t>± 13.3%</t>
  </si>
  <si>
    <t>See Detailed Guide</t>
  </si>
  <si>
    <t>Pinus radiata</t>
  </si>
  <si>
    <t>± 13.2%</t>
  </si>
  <si>
    <t>Other Softwoods</t>
  </si>
  <si>
    <t>± 22.6%</t>
  </si>
  <si>
    <t>All hardwoods</t>
  </si>
  <si>
    <t>± 65.2%</t>
  </si>
  <si>
    <t>Planted forests: Approach two - Averaging accounting</t>
  </si>
  <si>
    <t xml:space="preserve">All planted forests – First rotation (Age 23 years and under) </t>
  </si>
  <si>
    <r>
      <rPr>
        <i/>
        <sz val="11"/>
        <color theme="1"/>
        <rFont val="Calibri"/>
        <family val="2"/>
        <scheme val="minor"/>
      </rPr>
      <t>Pinus radiata</t>
    </r>
    <r>
      <rPr>
        <sz val="11"/>
        <color theme="1"/>
        <rFont val="Calibri"/>
        <family val="2"/>
        <scheme val="minor"/>
      </rPr>
      <t xml:space="preserve"> – First rotation (Age 22 years and under) </t>
    </r>
  </si>
  <si>
    <t xml:space="preserve">Other Softwoods – First rotation (Age 28 years and under) </t>
  </si>
  <si>
    <t xml:space="preserve">All hardwoods – First rotation (Age 13 years and under) </t>
  </si>
  <si>
    <t xml:space="preserve">All planted forest above the long-term average age </t>
  </si>
  <si>
    <t>Natural forests</t>
  </si>
  <si>
    <t>Post-1989 Regenerating natural forest</t>
  </si>
  <si>
    <t>± 44.8%</t>
  </si>
  <si>
    <t>Pre-1990 Regenerating natural forest</t>
  </si>
  <si>
    <t>± 119.6%</t>
  </si>
  <si>
    <t>Pre-1990 Tall natural forest</t>
  </si>
  <si>
    <t xml:space="preserve">LULUCF land-use change emission factors </t>
  </si>
  <si>
    <t>Land-use change emission source</t>
  </si>
  <si>
    <r>
      <t>CO</t>
    </r>
    <r>
      <rPr>
        <vertAlign val="subscript"/>
        <sz val="11"/>
        <rFont val="Calibri"/>
        <family val="2"/>
        <scheme val="minor"/>
      </rPr>
      <t>2</t>
    </r>
    <r>
      <rPr>
        <b/>
        <sz val="11"/>
        <rFont val="Calibri"/>
        <family val="2"/>
        <scheme val="minor"/>
      </rPr>
      <t xml:space="preserve"> (kg COe)</t>
    </r>
  </si>
  <si>
    <t>Harvest or Deforestation</t>
  </si>
  <si>
    <t>± 21.9%</t>
  </si>
  <si>
    <t>± 21.8%</t>
  </si>
  <si>
    <t>± 28.5%</t>
  </si>
  <si>
    <t>± 67.4%</t>
  </si>
  <si>
    <t>Harvest</t>
  </si>
  <si>
    <t>Deforestation</t>
  </si>
  <si>
    <t>± 27.0%</t>
  </si>
  <si>
    <t>± 20.9%</t>
  </si>
  <si>
    <t>± 27.3%</t>
  </si>
  <si>
    <t xml:space="preserve">Primary Industry emission factors </t>
  </si>
  <si>
    <t>Emission source category</t>
  </si>
  <si>
    <t>Enteric Fermentation</t>
  </si>
  <si>
    <t>Dairy cattle</t>
  </si>
  <si>
    <t>per head</t>
  </si>
  <si>
    <t>These values are rounded to 2 significant figures.  See Detailed Guide for more information.</t>
  </si>
  <si>
    <t>Non-dairy cattle</t>
  </si>
  <si>
    <t>Sheep</t>
  </si>
  <si>
    <t>Deer</t>
  </si>
  <si>
    <t>Swine</t>
  </si>
  <si>
    <t>Goats</t>
  </si>
  <si>
    <t>Horses</t>
  </si>
  <si>
    <t>Alpaca &amp; llama</t>
  </si>
  <si>
    <t>Mules and asses</t>
  </si>
  <si>
    <t>Manure management</t>
  </si>
  <si>
    <t>Emission factors for manure management system distribution, the activity data on the livestock population and the use of the various manure management systems.</t>
  </si>
  <si>
    <t>Fertiliser Use</t>
  </si>
  <si>
    <t>Nitrogen content of non-urea nitrogen fertiliser</t>
  </si>
  <si>
    <t>kg N</t>
  </si>
  <si>
    <t>Nitrogen content of urea nitrogen fertiliser not coated with urease inhibitor</t>
  </si>
  <si>
    <t>Emissions associated with the application of urea are estimated using a Tier 1 methodology (equation 11.13; IPCC, 2006), using the default emission factor for carbon conversion of 0.20.</t>
  </si>
  <si>
    <r>
      <t>Assumed that all carbon in the fertilisers is emitted as CO</t>
    </r>
    <r>
      <rPr>
        <vertAlign val="subscript"/>
        <sz val="11"/>
        <color theme="1"/>
        <rFont val="Calibri"/>
        <family val="2"/>
        <scheme val="minor"/>
      </rPr>
      <t>2</t>
    </r>
    <r>
      <rPr>
        <sz val="11"/>
        <color theme="1"/>
        <rFont val="Calibri"/>
        <family val="2"/>
        <scheme val="minor"/>
      </rPr>
      <t xml:space="preserve"> into the atmosphere.</t>
    </r>
  </si>
  <si>
    <t>Nitrogen content of urea nitrogen fertiliser coated with urease inhibitor</t>
  </si>
  <si>
    <t>Limestone</t>
  </si>
  <si>
    <t>Dolomite</t>
  </si>
  <si>
    <t>Agricultural soils (live stock)</t>
  </si>
  <si>
    <t xml:space="preserve">WORKINGS  </t>
  </si>
  <si>
    <t>(Updated by J Gibbs, Aug 2020)</t>
  </si>
  <si>
    <t xml:space="preserve">Enteric Fermentation </t>
  </si>
  <si>
    <t>Animal</t>
  </si>
  <si>
    <t>2018 Population</t>
  </si>
  <si>
    <t>Enteric Fermentation (kt CH4)</t>
  </si>
  <si>
    <t>Enteric fermentation (kgCH4)</t>
  </si>
  <si>
    <t>Enteric fermentation per animal</t>
  </si>
  <si>
    <t xml:space="preserve">kgCO2e per animal </t>
  </si>
  <si>
    <t>GWP of methane</t>
  </si>
  <si>
    <t>Non- dairy cattle</t>
  </si>
  <si>
    <t>Alpaca</t>
  </si>
  <si>
    <t>NE</t>
  </si>
  <si>
    <t>Manure Management</t>
  </si>
  <si>
    <t xml:space="preserve">Animal </t>
  </si>
  <si>
    <t>Population</t>
  </si>
  <si>
    <t>Methane from manure management (kt CH4)</t>
  </si>
  <si>
    <t>Nitrous oxide from manure management (kt N2O)</t>
  </si>
  <si>
    <t>Methane from manure management (kg CH4)</t>
  </si>
  <si>
    <t>Nitrous oxide from manure management (kg N2O)</t>
  </si>
  <si>
    <t>kgCO2e per animal</t>
  </si>
  <si>
    <t>Agricultural Soils</t>
  </si>
  <si>
    <t>Total agricultural soils (kt N2O)</t>
  </si>
  <si>
    <t>tonnes of N2O</t>
  </si>
  <si>
    <t>kg of N20</t>
  </si>
  <si>
    <t>kgofCO2-e</t>
  </si>
  <si>
    <t>Calculation of Emissions from Nitrogen Fertiliser</t>
  </si>
  <si>
    <t>Tonnes of fertiliser applied (not editable)</t>
  </si>
  <si>
    <t>Calculated emissions (expressed in tonnes of CO2-e, not editable)</t>
  </si>
  <si>
    <t>Parameters and emission factors (not editable)</t>
  </si>
  <si>
    <t>Tonnes of fertiliser applied (nitrogen component only)</t>
  </si>
  <si>
    <t>direct emissions (tonnes N2O)</t>
  </si>
  <si>
    <t>Indirect emissions - volatilisation (tonnes N2O)</t>
  </si>
  <si>
    <t>Indirect emissions - leaching (tonnes N2O)</t>
  </si>
  <si>
    <t>Total N2O emssions (tonnes)</t>
  </si>
  <si>
    <t>Total N2O emssions (converted to CO2-e) (tonnes)</t>
  </si>
  <si>
    <t>CO2 emissions from urea (tonnes)</t>
  </si>
  <si>
    <t xml:space="preserve">Total fertiliser emissions (Tonnes CO2-e) </t>
  </si>
  <si>
    <t>Percentage difference in  emissions factors (compared to current value)</t>
  </si>
  <si>
    <t>Non-urea nitrogen fertiliser</t>
  </si>
  <si>
    <t>Urea nitrogen fertilser not coated with urease inhibitor</t>
  </si>
  <si>
    <t>Urea nitrogen fertilser coated with urease inhibitor</t>
  </si>
  <si>
    <t>Weighted average based on 2016 fertiliser use</t>
  </si>
  <si>
    <t>li</t>
  </si>
  <si>
    <t>Calculation of Emissions for Limestone and Dolomite</t>
  </si>
  <si>
    <t xml:space="preserve">Tonnes applied </t>
  </si>
  <si>
    <t>Emissions factor</t>
  </si>
  <si>
    <t>Emissions (Tonnes CO2-e)</t>
  </si>
  <si>
    <t>Parameters and emissions factors</t>
  </si>
  <si>
    <t>Description</t>
  </si>
  <si>
    <t>Current emissions factor (from regs document page 6)</t>
  </si>
  <si>
    <t>Direct emissions factor non-urea-N</t>
  </si>
  <si>
    <t>Based on Kelliher and de Klein, 2006</t>
  </si>
  <si>
    <t>Direct emissions urea-N</t>
  </si>
  <si>
    <t>Based on van der Weerden et al 2016 (new in 2017 NIR)</t>
  </si>
  <si>
    <t>FracGASnfert (UI)</t>
  </si>
  <si>
    <t>Saggar (2013)</t>
  </si>
  <si>
    <t>FracGASnfert (non-UI)</t>
  </si>
  <si>
    <t>Sherlock et al (2008)</t>
  </si>
  <si>
    <t>Volatilsation emission factor (EF4)</t>
  </si>
  <si>
    <t>2006 IPCC Guidelines for 
National Greenhouse Gas Inventories, Volume 4, table 11.3</t>
  </si>
  <si>
    <t>FracLeach</t>
  </si>
  <si>
    <t>Thomas et al (2005)</t>
  </si>
  <si>
    <t>Leaching emission factor (EF5)</t>
  </si>
  <si>
    <t>urea emissions factor (CO2 component)</t>
  </si>
  <si>
    <t>2006 IPCC Guidelines for 
National Greenhouse Gas Inventories, Volume 4, section 11.4.2</t>
  </si>
  <si>
    <t>Emissions factor for limestone</t>
  </si>
  <si>
    <t>2006 IPCC Guidelines for 
National Greenhouse Gas Inventories, Volume 4, section 11.3.2</t>
  </si>
  <si>
    <t>Emissions factor for dolomite</t>
  </si>
  <si>
    <t>N content of urea</t>
  </si>
  <si>
    <t>Agriculture inventory model</t>
  </si>
  <si>
    <t>molecular conversion CO2</t>
  </si>
  <si>
    <t xml:space="preserve">Emission factors provided by Charlie Clark (MfE) 2020 are saved in info file. I have updated the table below to reflect the minor changes made by Charlie to the kgC/unit. </t>
  </si>
  <si>
    <t>molecular conversion N2O</t>
  </si>
  <si>
    <t>GWP100 N2O</t>
  </si>
  <si>
    <t>Emission  factors steady state</t>
  </si>
  <si>
    <r>
      <t>kg N</t>
    </r>
    <r>
      <rPr>
        <b/>
        <vertAlign val="subscript"/>
        <sz val="9"/>
        <color rgb="FFFFFFFF"/>
        <rFont val="Calibri"/>
        <family val="2"/>
        <scheme val="minor"/>
      </rPr>
      <t>2</t>
    </r>
    <r>
      <rPr>
        <b/>
        <sz val="9"/>
        <color rgb="FFFFFFFF"/>
        <rFont val="Calibri"/>
        <family val="2"/>
        <scheme val="minor"/>
      </rPr>
      <t>O/unit</t>
    </r>
  </si>
  <si>
    <t xml:space="preserve">LULUCF </t>
  </si>
  <si>
    <t>Planted Forests</t>
  </si>
  <si>
    <t>All</t>
  </si>
  <si>
    <t>Ha</t>
  </si>
  <si>
    <r>
      <t>-33,</t>
    </r>
    <r>
      <rPr>
        <sz val="8"/>
        <color theme="1"/>
        <rFont val="Calibri"/>
        <family val="2"/>
        <scheme val="minor"/>
      </rPr>
      <t>  </t>
    </r>
    <r>
      <rPr>
        <sz val="9"/>
        <color theme="1"/>
        <rFont val="Calibri"/>
        <family val="2"/>
        <scheme val="minor"/>
      </rPr>
      <t>807</t>
    </r>
  </si>
  <si>
    <t>na</t>
  </si>
  <si>
    <t>Emission factors provided by LUCAS</t>
  </si>
  <si>
    <t>Natural Forests</t>
  </si>
  <si>
    <t>Regenerating natural forest</t>
  </si>
  <si>
    <t>Tall natural forest</t>
  </si>
  <si>
    <t>  </t>
  </si>
  <si>
    <t>Shrubland</t>
  </si>
  <si>
    <t>Shrubland &lt;30 years old</t>
  </si>
  <si>
    <t>Scrubland &gt;30 years old</t>
  </si>
  <si>
    <t>Emission factors land use change</t>
  </si>
  <si>
    <r>
      <t>kg CO</t>
    </r>
    <r>
      <rPr>
        <b/>
        <vertAlign val="subscript"/>
        <sz val="9"/>
        <color rgb="FFFFFFFF"/>
        <rFont val="Calibri"/>
        <family val="2"/>
      </rPr>
      <t>2</t>
    </r>
    <r>
      <rPr>
        <b/>
        <sz val="9"/>
        <color rgb="FFFFFFFF"/>
        <rFont val="Calibri"/>
        <family val="2"/>
      </rPr>
      <t>-e/unit</t>
    </r>
  </si>
  <si>
    <r>
      <t>kg CO</t>
    </r>
    <r>
      <rPr>
        <b/>
        <vertAlign val="subscript"/>
        <sz val="9"/>
        <color rgb="FFFFFFFF"/>
        <rFont val="Calibri"/>
        <family val="2"/>
      </rPr>
      <t>2</t>
    </r>
    <r>
      <rPr>
        <b/>
        <sz val="9"/>
        <color rgb="FFFFFFFF"/>
        <rFont val="Calibri"/>
        <family val="2"/>
      </rPr>
      <t>/unit</t>
    </r>
  </si>
  <si>
    <r>
      <t>kg CH</t>
    </r>
    <r>
      <rPr>
        <b/>
        <vertAlign val="subscript"/>
        <sz val="9"/>
        <color rgb="FFFFFFFF"/>
        <rFont val="Calibri"/>
        <family val="2"/>
      </rPr>
      <t>4</t>
    </r>
    <r>
      <rPr>
        <b/>
        <sz val="9"/>
        <color rgb="FFFFFFFF"/>
        <rFont val="Calibri"/>
        <family val="2"/>
      </rPr>
      <t>/unit</t>
    </r>
  </si>
  <si>
    <r>
      <t>kg N</t>
    </r>
    <r>
      <rPr>
        <b/>
        <vertAlign val="subscript"/>
        <sz val="9"/>
        <color rgb="FFFFFFFF"/>
        <rFont val="Calibri"/>
        <family val="2"/>
      </rPr>
      <t>2</t>
    </r>
    <r>
      <rPr>
        <b/>
        <sz val="9"/>
        <color rgb="FFFFFFFF"/>
        <rFont val="Calibri"/>
        <family val="2"/>
      </rPr>
      <t>O/unit</t>
    </r>
  </si>
  <si>
    <t>Planted forests</t>
  </si>
  <si>
    <t>Harvest and deforestation</t>
  </si>
  <si>
    <t>Natural forest</t>
  </si>
  <si>
    <t>Deforestation and harvest</t>
  </si>
  <si>
    <t>Loss of vegetation</t>
  </si>
  <si>
    <t xml:space="preserve">the emission factors based on the document alison sent over. </t>
  </si>
  <si>
    <t>t c</t>
  </si>
  <si>
    <t>TCO2</t>
  </si>
  <si>
    <t>CALCULATED</t>
  </si>
  <si>
    <t>Planted forests (growth)</t>
  </si>
  <si>
    <t>planted forests (deforestation)</t>
  </si>
  <si>
    <t>Natural forests (regenerating)</t>
  </si>
  <si>
    <t>Natural forest (deforestation)</t>
  </si>
  <si>
    <t>Shrubland (growth)</t>
  </si>
  <si>
    <t>Shrubland (deforestation)</t>
  </si>
  <si>
    <t xml:space="preserve">All emissions are expressed as kg of carbon dioxide equivalent per unit. 
</t>
  </si>
  <si>
    <t>Total Calculated Emissions for agriculture</t>
  </si>
  <si>
    <t>Total Calculated Emissions for harvest/ deforestation</t>
  </si>
  <si>
    <t xml:space="preserve">Total Calculated Removals </t>
  </si>
  <si>
    <t>Alpaca and llama</t>
  </si>
  <si>
    <t>Urea nitrogen fertiliser not coated with urease inhibitor</t>
  </si>
  <si>
    <t>Urea nitrogen fertiliser coated with urease inhibitor</t>
  </si>
  <si>
    <t>Agricultural Soils (livestock)</t>
  </si>
  <si>
    <t>Unit Conversion Factors</t>
  </si>
  <si>
    <t>These conversion factors can be used to change between units.</t>
  </si>
  <si>
    <t>Prefix</t>
  </si>
  <si>
    <t>Abbreviation</t>
  </si>
  <si>
    <t>Symbol</t>
  </si>
  <si>
    <t>Number</t>
  </si>
  <si>
    <t>Standard form</t>
  </si>
  <si>
    <t>Kilo</t>
  </si>
  <si>
    <t>k</t>
  </si>
  <si>
    <t>Mega</t>
  </si>
  <si>
    <t>M</t>
  </si>
  <si>
    <t>Giga</t>
  </si>
  <si>
    <t>G</t>
  </si>
  <si>
    <t>Tera</t>
  </si>
  <si>
    <t>T</t>
  </si>
  <si>
    <t>Peta</t>
  </si>
  <si>
    <t>therm</t>
  </si>
  <si>
    <t>toe</t>
  </si>
  <si>
    <t>kcal</t>
  </si>
  <si>
    <t>Gigajoule, GJ</t>
  </si>
  <si>
    <t>kilowatt hour, kWh</t>
  </si>
  <si>
    <t>Therm</t>
  </si>
  <si>
    <t>Tonne oil eq., toe</t>
  </si>
  <si>
    <t>Kilocalorie, kcal</t>
  </si>
  <si>
    <t>Volume</t>
  </si>
  <si>
    <t>L</t>
  </si>
  <si>
    <r>
      <t>m</t>
    </r>
    <r>
      <rPr>
        <b/>
        <vertAlign val="superscript"/>
        <sz val="11"/>
        <color indexed="56"/>
        <rFont val="Calibri"/>
        <family val="2"/>
      </rPr>
      <t>3</t>
    </r>
  </si>
  <si>
    <t>cu ft</t>
  </si>
  <si>
    <t>Imp. gallon</t>
  </si>
  <si>
    <t>US gallon</t>
  </si>
  <si>
    <t>Bbl (US,P)</t>
  </si>
  <si>
    <t>Litres, L</t>
  </si>
  <si>
    <r>
      <t>Cubic metres, m</t>
    </r>
    <r>
      <rPr>
        <b/>
        <vertAlign val="superscript"/>
        <sz val="11"/>
        <color indexed="56"/>
        <rFont val="Calibri"/>
        <family val="2"/>
      </rPr>
      <t>3</t>
    </r>
  </si>
  <si>
    <t>Cubic feet, cu ft</t>
  </si>
  <si>
    <t>Imperial gallon</t>
  </si>
  <si>
    <t>Barrel (US, petroleum), bbl</t>
  </si>
  <si>
    <t>Weight / mass</t>
  </si>
  <si>
    <t>tonne</t>
  </si>
  <si>
    <t>ton (UK)</t>
  </si>
  <si>
    <t>ton (US)</t>
  </si>
  <si>
    <t>lb</t>
  </si>
  <si>
    <t>Kilogram, kg</t>
  </si>
  <si>
    <t>tonne, t (metric ton)</t>
  </si>
  <si>
    <t>ton (UK, long ton)</t>
  </si>
  <si>
    <t>ton (US, short ton)</t>
  </si>
  <si>
    <t>Pound, lb</t>
  </si>
  <si>
    <t>Length / distance</t>
  </si>
  <si>
    <t>m</t>
  </si>
  <si>
    <t>ft</t>
  </si>
  <si>
    <t>mi</t>
  </si>
  <si>
    <t>nmi</t>
  </si>
  <si>
    <t>Metre, m</t>
  </si>
  <si>
    <t>Feet, ft</t>
  </si>
  <si>
    <t>Miles, mi</t>
  </si>
  <si>
    <t>Kilometres, km</t>
  </si>
  <si>
    <t>Nautical miles, nmi or NM</t>
  </si>
  <si>
    <t>in</t>
  </si>
  <si>
    <t>cm</t>
  </si>
  <si>
    <t>yd</t>
  </si>
  <si>
    <t>Inch, in</t>
  </si>
  <si>
    <t>Centimetres, cm</t>
  </si>
  <si>
    <t>Yard, yd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</si>
</sst>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1">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0"/>
    <numFmt numFmtId="166" formatCode="0.000"/>
    <numFmt numFmtId="167" formatCode="0.000000"/>
    <numFmt numFmtId="168" formatCode="0.0000000"/>
    <numFmt numFmtId="169" formatCode="0.00000000"/>
    <numFmt numFmtId="170" formatCode="0.00000"/>
    <numFmt numFmtId="171" formatCode="0.0"/>
    <numFmt numFmtId="172" formatCode="#,##0.000"/>
    <numFmt numFmtId="173" formatCode="#,##0.0"/>
    <numFmt numFmtId="174" formatCode="_(* #,##0.00_);_(* \(#,##0.00\);_(* &quot;-&quot;??_);_(@_)"/>
    <numFmt numFmtId="175" formatCode="_-* #,##0_-;\-* #,##0_-;_-* &quot;-&quot;??_-;_-@_-"/>
    <numFmt numFmtId="176" formatCode="_-* #,##0.00\ _F_-;\-* #,##0.00\ _F_-;_-* &quot;-&quot;??\ _F_-;_-@_-"/>
    <numFmt numFmtId="177" formatCode="#,##0.0000"/>
    <numFmt numFmtId="178" formatCode="[$-C09]d\ mmmm\ yyyy;@"/>
    <numFmt numFmtId="179" formatCode="_(&quot;$&quot;* #,##0.00_);_(&quot;$&quot;* \(#,##0.00\);_(&quot;$&quot;* &quot;-&quot;??_);_(@_)"/>
    <numFmt numFmtId="180" formatCode="&quot;$&quot;#,##0\ ;\(&quot;$&quot;#,##0\)"/>
    <numFmt numFmtId="181" formatCode="&quot;$&quot;#,##0.00;[Red]\(&quot;$&quot;#,##0.00\)"/>
    <numFmt numFmtId="182" formatCode="_(* #,##0_);_(* \(#,##0\);_(* &quot;-&quot;_);_(@_)"/>
    <numFmt numFmtId="183" formatCode="_-[$€-2]* #,##0.00_-;\-[$€-2]* #,##0.00_-;_-[$€-2]* &quot;-&quot;??_-"/>
    <numFmt numFmtId="184" formatCode="[Blue]#,##0"/>
    <numFmt numFmtId="185" formatCode="[&gt;0.5]#,##0;[&lt;-0.5]\-#,##0;\-"/>
    <numFmt numFmtId="186" formatCode="_-* #,##0\ _F_-;\-* #,##0\ _F_-;_-* &quot;-&quot;\ _F_-;_-@_-"/>
    <numFmt numFmtId="187" formatCode="_-* #,##0\ &quot;F&quot;_-;\-* #,##0\ &quot;F&quot;_-;_-* &quot;-&quot;\ &quot;F&quot;_-;_-@_-"/>
    <numFmt numFmtId="188" formatCode="_-* #,##0.00\ &quot;F&quot;_-;\-* #,##0.00\ &quot;F&quot;_-;_-* &quot;-&quot;??\ &quot;F&quot;_-;_-@_-"/>
    <numFmt numFmtId="189" formatCode="[Blue]0.0;\-0.0"/>
    <numFmt numFmtId="190" formatCode="###.0"/>
    <numFmt numFmtId="191" formatCode="##.0"/>
    <numFmt numFmtId="192" formatCode="#,###,##0"/>
    <numFmt numFmtId="193" formatCode="_-&quot;öS&quot;\ * #,##0_-;\-&quot;öS&quot;\ * #,##0_-;_-&quot;öS&quot;\ * &quot;-&quot;_-;_-@_-"/>
    <numFmt numFmtId="194" formatCode="_-&quot;öS&quot;\ * #,##0.00_-;\-&quot;öS&quot;\ * #,##0.00_-;_-&quot;öS&quot;\ * &quot;-&quot;??_-;_-@_-"/>
    <numFmt numFmtId="195" formatCode="yyyy"/>
    <numFmt numFmtId="196" formatCode="0.000000000"/>
    <numFmt numFmtId="197" formatCode="_-* #,##0.0_-;\-* #,##0.0_-;_-* &quot;-&quot;??_-;_-@_-"/>
    <numFmt numFmtId="198" formatCode="#,##0_)\ ;[Red]\(#,##0\);&quot;- &quot;\ "/>
    <numFmt numFmtId="199" formatCode="#,##0\ ;\(#,##0\)"/>
    <numFmt numFmtId="200" formatCode="#,##0.0\ ;\(#,##0.0\)"/>
    <numFmt numFmtId="201" formatCode="#,##0.00\ ;\(#,##0.00\)"/>
    <numFmt numFmtId="202" formatCode="d\ mmm"/>
    <numFmt numFmtId="203" formatCode="d\ mmm\ yyyy"/>
    <numFmt numFmtId="204" formatCode="mmm\ yy"/>
    <numFmt numFmtId="205" formatCode="_(&quot;$&quot;* #,##0_);_(&quot;$&quot;* \(#,##0\);_(&quot;$&quot;* &quot;-&quot;_);_(@_)"/>
    <numFmt numFmtId="206" formatCode="#,##0.00\ ;&quot; (&quot;#,##0.00\);&quot; -&quot;#\ ;@\ "/>
    <numFmt numFmtId="207" formatCode="#,##0%;\-\ #,##0%;_-* &quot;-&quot;??_-;_-@_-"/>
    <numFmt numFmtId="208" formatCode="#,##0.0%;\-\ #,##0.0%;_-* &quot;-&quot;??_-;_-@_-"/>
    <numFmt numFmtId="209" formatCode="#,##0.00%;\-\ #,##0.00%;_-* &quot;-&quot;??_-;_-@_-"/>
    <numFmt numFmtId="210" formatCode="#,##0;\(#,##0\)"/>
    <numFmt numFmtId="211" formatCode="&quot;$&quot;#,##0.00;\(&quot;$&quot;#,##0.00\)"/>
    <numFmt numFmtId="212" formatCode="d\-mmm\-yyyy"/>
    <numFmt numFmtId="213" formatCode="General&quot;.&quot;"/>
    <numFmt numFmtId="214" formatCode="_-&quot;$&quot;* #,##0_-;\-&quot;$&quot;* #,##0_-;_-&quot;$&quot;* &quot;-&quot;??_-;_-@_-"/>
    <numFmt numFmtId="215" formatCode="_-* #,##0.00_-;\(#,##0.00\);_-* &quot;-&quot;??_-;_-@_-"/>
    <numFmt numFmtId="216" formatCode="_-* #,##0_-;_-* #,##0\-;_-* &quot;-&quot;_-;_-@_-"/>
    <numFmt numFmtId="217" formatCode="_-* #,##0.00_-;_-* #,##0.00\-;_-* &quot;-&quot;??_-;_-@_-"/>
    <numFmt numFmtId="218" formatCode="_-* #,##0\ _P_t_s_-;\-* #,##0\ _P_t_s_-;_-* &quot;-&quot;\ _P_t_s_-;_-@_-"/>
    <numFmt numFmtId="219" formatCode="_-* #,##0.00\ _P_t_s_-;\-* #,##0.00\ _P_t_s_-;_-* &quot;-&quot;??\ _P_t_s_-;_-@_-"/>
    <numFmt numFmtId="220" formatCode="_-* #,##0\ &quot;Pts&quot;_-;\-* #,##0\ &quot;Pts&quot;_-;_-* &quot;-&quot;\ &quot;Pts&quot;_-;_-@_-"/>
    <numFmt numFmtId="221" formatCode="_-* #,##0.00\ &quot;Pts&quot;_-;\-* #,##0.00\ &quot;Pts&quot;_-;_-* &quot;-&quot;??\ &quot;Pts&quot;_-;_-@_-"/>
    <numFmt numFmtId="222" formatCode="0.00_)"/>
    <numFmt numFmtId="223" formatCode="0.00%;\(0.00%\)"/>
    <numFmt numFmtId="224" formatCode="_-* #,##0_-;[Red]\(\ #,##0\);_-* &quot;-&quot;??_-;_-@_-"/>
    <numFmt numFmtId="225" formatCode="_-&quot;F&quot;\ * #,##0_-;_-&quot;F&quot;\ * #,##0\-;_-&quot;F&quot;\ * &quot;-&quot;_-;_-@_-"/>
    <numFmt numFmtId="226" formatCode="_-&quot;F&quot;\ * #,##0.00_-;_-&quot;F&quot;\ * #,##0.00\-;_-&quot;F&quot;\ * &quot;-&quot;??_-;_-@_-"/>
    <numFmt numFmtId="227" formatCode="_-* #,##0.0_-;\-* #,##0.0_-;_-* &quot;-&quot;?_-;_-@_-"/>
    <numFmt numFmtId="228" formatCode="_-* #,##0.0000_-;\-* #,##0.0000_-;_-* &quot;-&quot;??_-;_-@_-"/>
    <numFmt numFmtId="229" formatCode="#,##0.00000"/>
    <numFmt numFmtId="230" formatCode="#,##0.0000000"/>
    <numFmt numFmtId="231" formatCode="_-* #,##0.000_-;\-* #,##0.000_-;_-* &quot;-&quot;??_-;_-@_-"/>
    <numFmt numFmtId="232" formatCode="_-* #,##0.00000_-;\-* #,##0.00000_-;_-* &quot;-&quot;??_-;_-@_-"/>
    <numFmt numFmtId="233" formatCode="_-* #,##0.0000000_-;\-* #,##0.0000000_-;_-* &quot;-&quot;??_-;_-@_-"/>
    <numFmt numFmtId="234" formatCode="_*#,##0.00;[Red]_*\(#,##0.00\);_*\-"/>
    <numFmt numFmtId="235" formatCode="_-\$* #,##0.00_-;&quot;-$&quot;* #,##0.00_-;_-\$* \-??_-;_-@_-"/>
    <numFmt numFmtId="236" formatCode="#,###,;[Red]\-#,###,;0"/>
    <numFmt numFmtId="237" formatCode="??0.0?????"/>
    <numFmt numFmtId="238" formatCode="??0.0??????"/>
    <numFmt numFmtId="239" formatCode="\ mmm\-yy"/>
    <numFmt numFmtId="240" formatCode="_-* #,##0.0000_-;\-* #,##0.0000_-;_-* &quot;-&quot;????_-;_-@_-"/>
    <numFmt numFmtId="241" formatCode="_-* #,##0.000_-;\-* #,##0.000_-;_-* &quot;-&quot;???_-;_-@_-"/>
    <numFmt numFmtId="242" formatCode="0E+00"/>
    <numFmt numFmtId="243" formatCode="#,##0.000000000"/>
    <numFmt numFmtId="244" formatCode="_-* #,##0.0000_-;\-* #,##0.0000_-;_-* &quot;-&quot;???_-;_-@_-"/>
    <numFmt numFmtId="245" formatCode="_-* #,##0.00000_-;\-* #,##0.00000_-;_-* &quot;-&quot;???_-;_-@_-"/>
    <numFmt numFmtId="246" formatCode="_-* #,##0.000000_-;\-* #,##0.000000_-;_-* &quot;-&quot;???_-;_-@_-"/>
    <numFmt numFmtId="247" formatCode="0.00000000000000"/>
    <numFmt numFmtId="248" formatCode="0.000%"/>
    <numFmt numFmtId="249" formatCode="#,##0.00_ ;\-#,##0.00\ "/>
    <numFmt numFmtId="250" formatCode="0.00000000000"/>
  </numFmts>
  <fonts count="309">
    <font>
      <sz val="11"/>
      <color theme="1"/>
      <name val="Calibri"/>
      <family val="2"/>
      <scheme val="minor"/>
    </font>
    <font>
      <sz val="11"/>
      <color theme="1"/>
      <name val="Calibri"/>
      <family val="2"/>
      <scheme val="minor"/>
    </font>
    <font>
      <b/>
      <sz val="18"/>
      <color theme="3"/>
      <name val="Cambria"/>
      <family val="2"/>
      <scheme val="major"/>
    </font>
    <font>
      <b/>
      <sz val="11"/>
      <color theme="1"/>
      <name val="Calibri"/>
      <family val="2"/>
      <scheme val="minor"/>
    </font>
    <font>
      <sz val="11"/>
      <color theme="0"/>
      <name val="Calibri"/>
      <family val="2"/>
      <scheme val="minor"/>
    </font>
    <font>
      <sz val="14"/>
      <color theme="1"/>
      <name val="Calibri"/>
      <family val="2"/>
      <scheme val="minor"/>
    </font>
    <font>
      <sz val="11"/>
      <color theme="1"/>
      <name val="Calibri"/>
      <family val="2"/>
    </font>
    <font>
      <b/>
      <sz val="9"/>
      <color indexed="81"/>
      <name val="Tahoma"/>
      <family val="2"/>
    </font>
    <font>
      <sz val="9"/>
      <color indexed="81"/>
      <name val="Tahoma"/>
      <family val="2"/>
    </font>
    <font>
      <u/>
      <sz val="11"/>
      <color theme="10"/>
      <name val="Calibri"/>
      <family val="2"/>
      <scheme val="minor"/>
    </font>
    <font>
      <i/>
      <sz val="11"/>
      <color theme="1"/>
      <name val="Calibri"/>
      <family val="2"/>
      <scheme val="minor"/>
    </font>
    <font>
      <vertAlign val="subscript"/>
      <sz val="11"/>
      <color theme="1"/>
      <name val="Calibri"/>
      <family val="2"/>
      <scheme val="minor"/>
    </font>
    <font>
      <b/>
      <sz val="24"/>
      <color theme="1"/>
      <name val="Calibri"/>
      <family val="2"/>
      <scheme val="minor"/>
    </font>
    <font>
      <b/>
      <sz val="12"/>
      <color theme="1"/>
      <name val="Calibri"/>
      <family val="2"/>
      <scheme val="minor"/>
    </font>
    <font>
      <sz val="11"/>
      <name val="Calibri"/>
      <family val="2"/>
      <scheme val="minor"/>
    </font>
    <font>
      <sz val="11"/>
      <color theme="1" tint="0.499984740745262"/>
      <name val="Calibri"/>
      <family val="2"/>
      <scheme val="minor"/>
    </font>
    <font>
      <b/>
      <sz val="14"/>
      <color theme="1"/>
      <name val="Calibri"/>
      <family val="2"/>
      <scheme val="minor"/>
    </font>
    <font>
      <b/>
      <sz val="10"/>
      <name val="Arial"/>
      <family val="2"/>
    </font>
    <font>
      <sz val="8"/>
      <name val="Arial"/>
      <family val="2"/>
    </font>
    <font>
      <sz val="10"/>
      <name val="Arial"/>
      <family val="2"/>
    </font>
    <font>
      <u/>
      <sz val="10"/>
      <name val="Arial"/>
      <family val="2"/>
    </font>
    <font>
      <sz val="11"/>
      <color theme="7"/>
      <name val="Calibri"/>
      <family val="2"/>
      <scheme val="minor"/>
    </font>
    <font>
      <sz val="11"/>
      <color theme="1"/>
      <name val="Arial"/>
      <family val="2"/>
    </font>
    <font>
      <sz val="11"/>
      <color rgb="FF3F3F76"/>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F0000"/>
      <name val="Calibri"/>
      <family val="2"/>
      <scheme val="minor"/>
    </font>
    <font>
      <i/>
      <sz val="11"/>
      <color rgb="FF7F7F7F"/>
      <name val="Calibri"/>
      <family val="2"/>
      <scheme val="minor"/>
    </font>
    <font>
      <vertAlign val="superscript"/>
      <sz val="11"/>
      <color theme="1"/>
      <name val="Calibri"/>
      <family val="2"/>
      <scheme val="minor"/>
    </font>
    <font>
      <b/>
      <sz val="12"/>
      <name val="Times New Roman"/>
      <family val="1"/>
    </font>
    <font>
      <sz val="9"/>
      <color indexed="8"/>
      <name val="Times New Roman"/>
      <family val="1"/>
    </font>
    <font>
      <b/>
      <sz val="9"/>
      <name val="Times New Roman"/>
      <family val="1"/>
    </font>
    <font>
      <sz val="9"/>
      <name val="Times New Roman"/>
      <family val="1"/>
    </font>
    <font>
      <b/>
      <sz val="12"/>
      <color indexed="8"/>
      <name val="Times New Roman"/>
      <family val="1"/>
    </font>
    <font>
      <sz val="12"/>
      <color indexed="8"/>
      <name val="Times New Roman"/>
      <family val="1"/>
    </font>
    <font>
      <sz val="11"/>
      <color indexed="8"/>
      <name val="Calibri"/>
      <family val="2"/>
    </font>
    <font>
      <u/>
      <sz val="10"/>
      <color indexed="12"/>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8"/>
      <name val="Helvetica"/>
      <family val="2"/>
    </font>
    <font>
      <sz val="12"/>
      <color indexed="8"/>
      <name val="Arial"/>
      <family val="2"/>
    </font>
    <font>
      <sz val="12"/>
      <color indexed="9"/>
      <name val="Arial"/>
      <family val="2"/>
    </font>
    <font>
      <sz val="12"/>
      <color indexed="20"/>
      <name val="Arial"/>
      <family val="2"/>
    </font>
    <font>
      <b/>
      <sz val="12"/>
      <color indexed="52"/>
      <name val="Arial"/>
      <family val="2"/>
    </font>
    <font>
      <b/>
      <sz val="8"/>
      <name val="Helv"/>
    </font>
    <font>
      <b/>
      <sz val="12"/>
      <color indexed="9"/>
      <name val="Arial"/>
      <family val="2"/>
    </font>
    <font>
      <sz val="12"/>
      <name val="Courier"/>
      <family val="3"/>
    </font>
    <font>
      <sz val="12"/>
      <color indexed="24"/>
      <name val="Arial"/>
      <family val="2"/>
    </font>
    <font>
      <sz val="10"/>
      <name val="Helv"/>
    </font>
    <font>
      <sz val="8.5"/>
      <name val="LinePrinter"/>
    </font>
    <font>
      <i/>
      <sz val="12"/>
      <color indexed="23"/>
      <name val="Arial"/>
      <family val="2"/>
    </font>
    <font>
      <sz val="12"/>
      <color indexed="17"/>
      <name val="Arial"/>
      <family val="2"/>
    </font>
    <font>
      <sz val="8"/>
      <name val="Helv"/>
    </font>
    <font>
      <b/>
      <sz val="8.5"/>
      <name val="LinePrinter"/>
    </font>
    <font>
      <sz val="14"/>
      <name val="Arial"/>
      <family val="2"/>
    </font>
    <font>
      <u/>
      <sz val="10"/>
      <color indexed="12"/>
      <name val="Arial"/>
      <family val="2"/>
    </font>
    <font>
      <u/>
      <sz val="11"/>
      <color theme="10"/>
      <name val="Arial"/>
      <family val="2"/>
    </font>
    <font>
      <u/>
      <sz val="10"/>
      <color theme="10"/>
      <name val="Arial"/>
      <family val="2"/>
    </font>
    <font>
      <u/>
      <sz val="11"/>
      <color theme="10"/>
      <name val="Calibri"/>
      <family val="2"/>
    </font>
    <font>
      <u/>
      <sz val="10"/>
      <color indexed="24"/>
      <name val="Arial"/>
      <family val="2"/>
    </font>
    <font>
      <sz val="12"/>
      <color indexed="62"/>
      <name val="Arial"/>
      <family val="2"/>
    </font>
    <font>
      <sz val="12"/>
      <color indexed="60"/>
      <name val="Arial"/>
      <family val="2"/>
    </font>
    <font>
      <sz val="10"/>
      <color indexed="8"/>
      <name val="Arial"/>
      <family val="2"/>
    </font>
    <font>
      <b/>
      <sz val="12"/>
      <color indexed="63"/>
      <name val="Arial"/>
      <family val="2"/>
    </font>
    <font>
      <sz val="11"/>
      <color indexed="8"/>
      <name val="Arial"/>
      <family val="2"/>
    </font>
    <font>
      <sz val="10"/>
      <name val="Times New Roman"/>
      <family val="1"/>
    </font>
    <font>
      <i/>
      <sz val="12"/>
      <name val="Times New Roman"/>
      <family val="1"/>
    </font>
    <font>
      <b/>
      <sz val="14"/>
      <name val="Helv"/>
    </font>
    <font>
      <b/>
      <sz val="12"/>
      <name val="Helv"/>
    </font>
    <font>
      <b/>
      <sz val="10"/>
      <color indexed="18"/>
      <name val="Arial"/>
      <family val="2"/>
    </font>
    <font>
      <b/>
      <sz val="10"/>
      <color indexed="8"/>
      <name val="Arial"/>
      <family val="2"/>
    </font>
    <font>
      <b/>
      <sz val="12"/>
      <color indexed="12"/>
      <name val="Arial"/>
      <family val="2"/>
    </font>
    <font>
      <i/>
      <sz val="10"/>
      <name val="Arial"/>
      <family val="2"/>
    </font>
    <font>
      <i/>
      <sz val="11"/>
      <color rgb="FF7F7F7F"/>
      <name val="Arial"/>
      <family val="2"/>
    </font>
    <font>
      <sz val="18"/>
      <color theme="3"/>
      <name val="Cambria"/>
      <family val="2"/>
      <scheme val="major"/>
    </font>
    <font>
      <sz val="8"/>
      <color rgb="FF0C3086"/>
      <name val="Arial"/>
      <family val="2"/>
    </font>
    <font>
      <sz val="8"/>
      <color rgb="FF000000"/>
      <name val="Arial"/>
      <family val="2"/>
    </font>
    <font>
      <vertAlign val="subscript"/>
      <sz val="8"/>
      <color rgb="FF000000"/>
      <name val="Arial"/>
      <family val="2"/>
    </font>
    <font>
      <b/>
      <vertAlign val="subscript"/>
      <sz val="11"/>
      <color theme="1"/>
      <name val="Calibri"/>
      <family val="2"/>
      <scheme val="minor"/>
    </font>
    <font>
      <b/>
      <sz val="11"/>
      <color theme="1" tint="0.499984740745262"/>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b/>
      <sz val="11"/>
      <color theme="0"/>
      <name val="Calibri"/>
      <family val="2"/>
      <scheme val="minor"/>
    </font>
    <font>
      <b/>
      <sz val="11"/>
      <color rgb="FFFF0000"/>
      <name val="Calibri"/>
      <family val="2"/>
      <scheme val="minor"/>
    </font>
    <font>
      <b/>
      <i/>
      <sz val="10"/>
      <name val="Times New Roman"/>
      <family val="1"/>
    </font>
    <font>
      <u/>
      <sz val="10"/>
      <color indexed="36"/>
      <name val="Arial"/>
      <family val="2"/>
    </font>
    <font>
      <sz val="11"/>
      <color indexed="63"/>
      <name val="Calibri"/>
      <family val="2"/>
    </font>
    <font>
      <sz val="12"/>
      <name val="Times New Roman"/>
      <family val="1"/>
    </font>
    <font>
      <sz val="10"/>
      <color indexed="12"/>
      <name val="Times New Roman"/>
      <family val="1"/>
    </font>
    <font>
      <sz val="10"/>
      <color indexed="12"/>
      <name val="Arial"/>
      <family val="2"/>
    </font>
    <font>
      <b/>
      <sz val="9"/>
      <color indexed="9"/>
      <name val="Calibri"/>
      <family val="2"/>
    </font>
    <font>
      <sz val="10"/>
      <color indexed="8"/>
      <name val="Verdana"/>
      <family val="2"/>
    </font>
    <font>
      <sz val="10"/>
      <name val="Verdana"/>
      <family val="2"/>
    </font>
    <font>
      <sz val="10"/>
      <color theme="1"/>
      <name val="Calibri"/>
      <family val="2"/>
      <scheme val="minor"/>
    </font>
    <font>
      <sz val="10"/>
      <color theme="1"/>
      <name val="Verdana"/>
      <family val="2"/>
    </font>
    <font>
      <sz val="11"/>
      <color theme="1"/>
      <name val="Verdana"/>
      <family val="2"/>
    </font>
    <font>
      <sz val="9"/>
      <color indexed="8"/>
      <name val="Calibri"/>
      <family val="2"/>
    </font>
    <font>
      <sz val="8"/>
      <name val="Century Gothic"/>
      <family val="2"/>
    </font>
    <font>
      <b/>
      <sz val="8"/>
      <name val="Arial"/>
      <family val="2"/>
    </font>
    <font>
      <sz val="10"/>
      <color indexed="12"/>
      <name val="Arial Narrow"/>
      <family val="2"/>
    </font>
    <font>
      <sz val="10"/>
      <name val="Arial Narrow"/>
      <family val="2"/>
    </font>
    <font>
      <b/>
      <sz val="12"/>
      <name val="Arial"/>
      <family val="2"/>
    </font>
    <font>
      <b/>
      <sz val="15"/>
      <color indexed="56"/>
      <name val="Arial"/>
      <family val="2"/>
    </font>
    <font>
      <b/>
      <sz val="13"/>
      <color indexed="56"/>
      <name val="Arial"/>
      <family val="2"/>
    </font>
    <font>
      <b/>
      <sz val="11"/>
      <color indexed="56"/>
      <name val="Arial"/>
      <family val="2"/>
    </font>
    <font>
      <u/>
      <sz val="10"/>
      <color theme="10"/>
      <name val="Verdana"/>
      <family val="2"/>
    </font>
    <font>
      <b/>
      <sz val="10"/>
      <color indexed="56"/>
      <name val="Wingdings"/>
      <charset val="2"/>
    </font>
    <font>
      <sz val="10"/>
      <color indexed="12"/>
      <name val="Helv"/>
    </font>
    <font>
      <sz val="12"/>
      <color indexed="52"/>
      <name val="Arial"/>
      <family val="2"/>
    </font>
    <font>
      <b/>
      <sz val="10"/>
      <color indexed="9"/>
      <name val="Arial"/>
      <family val="2"/>
    </font>
    <font>
      <b/>
      <i/>
      <sz val="16"/>
      <name val="Helv"/>
    </font>
    <font>
      <sz val="10"/>
      <color rgb="FF000000"/>
      <name val="Arial"/>
      <family val="2"/>
    </font>
    <font>
      <sz val="11"/>
      <color rgb="FF000000"/>
      <name val="Calibri"/>
      <family val="2"/>
      <scheme val="minor"/>
    </font>
    <font>
      <sz val="11"/>
      <name val="Calibri"/>
      <family val="2"/>
    </font>
    <font>
      <sz val="9"/>
      <color indexed="63"/>
      <name val="Calibri"/>
      <family val="2"/>
    </font>
    <font>
      <sz val="10"/>
      <color theme="1"/>
      <name val="Arial"/>
      <family val="2"/>
    </font>
    <font>
      <sz val="10"/>
      <name val="MS Sans Serif"/>
      <family val="2"/>
    </font>
    <font>
      <b/>
      <sz val="10"/>
      <name val="MS Sans Serif"/>
      <family val="2"/>
    </font>
    <font>
      <b/>
      <sz val="10"/>
      <color indexed="32"/>
      <name val="Arial"/>
      <family val="2"/>
    </font>
    <font>
      <u/>
      <sz val="10"/>
      <name val="Arial Narrow"/>
      <family val="2"/>
    </font>
    <font>
      <b/>
      <i/>
      <sz val="14"/>
      <color indexed="9"/>
      <name val="Times New Roman"/>
      <family val="1"/>
    </font>
    <font>
      <b/>
      <sz val="10"/>
      <name val="Arial Narrow"/>
      <family val="2"/>
    </font>
    <font>
      <sz val="9"/>
      <name val="Geneva"/>
      <family val="2"/>
    </font>
    <font>
      <sz val="10"/>
      <color indexed="10"/>
      <name val="Arial Narrow"/>
      <family val="2"/>
    </font>
    <font>
      <sz val="12"/>
      <color indexed="10"/>
      <name val="Arial"/>
      <family val="2"/>
    </font>
    <font>
      <b/>
      <sz val="10"/>
      <color indexed="31"/>
      <name val="Arial"/>
      <family val="2"/>
    </font>
    <font>
      <sz val="8"/>
      <color indexed="9"/>
      <name val="Arial"/>
      <family val="2"/>
    </font>
    <font>
      <b/>
      <sz val="12"/>
      <color indexed="45"/>
      <name val="Arial"/>
      <family val="2"/>
    </font>
    <font>
      <b/>
      <sz val="12"/>
      <color indexed="61"/>
      <name val="Arial"/>
      <family val="2"/>
    </font>
    <font>
      <b/>
      <sz val="11"/>
      <name val="Calibri"/>
      <family val="2"/>
      <scheme val="minor"/>
    </font>
    <font>
      <b/>
      <sz val="8"/>
      <name val="Tahoma"/>
      <family val="2"/>
    </font>
    <font>
      <b/>
      <sz val="24"/>
      <color theme="4"/>
      <name val="Calibri"/>
      <family val="2"/>
      <scheme val="minor"/>
    </font>
    <font>
      <b/>
      <sz val="18"/>
      <color theme="4"/>
      <name val="Calibri"/>
      <family val="2"/>
      <scheme val="minor"/>
    </font>
    <font>
      <b/>
      <i/>
      <sz val="11"/>
      <color theme="0"/>
      <name val="Calibri"/>
      <family val="2"/>
      <scheme val="minor"/>
    </font>
    <font>
      <b/>
      <sz val="16"/>
      <color theme="0"/>
      <name val="Calibri"/>
      <family val="2"/>
      <scheme val="minor"/>
    </font>
    <font>
      <sz val="11"/>
      <color rgb="FF1F497D"/>
      <name val="Calibri"/>
      <family val="2"/>
      <scheme val="minor"/>
    </font>
    <font>
      <vertAlign val="subscript"/>
      <sz val="11"/>
      <color rgb="FF1F497D"/>
      <name val="Calibri"/>
      <family val="2"/>
      <scheme val="minor"/>
    </font>
    <font>
      <i/>
      <sz val="11"/>
      <name val="Calibri"/>
      <family val="2"/>
      <scheme val="minor"/>
    </font>
    <font>
      <u/>
      <sz val="11"/>
      <name val="Calibri"/>
      <family val="2"/>
      <scheme val="minor"/>
    </font>
    <font>
      <b/>
      <vertAlign val="superscript"/>
      <sz val="11"/>
      <name val="Calibri"/>
      <family val="2"/>
      <scheme val="minor"/>
    </font>
    <font>
      <b/>
      <vertAlign val="subscript"/>
      <sz val="11"/>
      <name val="Calibri"/>
      <family val="2"/>
      <scheme val="minor"/>
    </font>
    <font>
      <vertAlign val="superscript"/>
      <sz val="11"/>
      <name val="Calibri"/>
      <family val="2"/>
      <scheme val="minor"/>
    </font>
    <font>
      <b/>
      <sz val="11"/>
      <color theme="4"/>
      <name val="Calibri"/>
      <family val="2"/>
      <scheme val="minor"/>
    </font>
    <font>
      <vertAlign val="subscript"/>
      <sz val="11"/>
      <color rgb="FF000000"/>
      <name val="Calibri"/>
      <family val="2"/>
      <scheme val="minor"/>
    </font>
    <font>
      <b/>
      <vertAlign val="superscript"/>
      <sz val="9"/>
      <name val="Times New Roman"/>
      <family val="1"/>
    </font>
    <font>
      <b/>
      <vertAlign val="subscript"/>
      <sz val="9"/>
      <name val="Times New Roman"/>
      <family val="1"/>
    </font>
    <font>
      <b/>
      <i/>
      <sz val="9"/>
      <name val="Times New Roman"/>
      <family val="1"/>
    </font>
    <font>
      <sz val="11"/>
      <color rgb="FF002060"/>
      <name val="Calibri"/>
      <family val="2"/>
      <scheme val="minor"/>
    </font>
    <font>
      <sz val="9"/>
      <color theme="1"/>
      <name val="Calibri"/>
      <family val="2"/>
      <scheme val="minor"/>
    </font>
    <font>
      <b/>
      <sz val="9"/>
      <color rgb="FFFFFFFF"/>
      <name val="Calibri"/>
      <family val="2"/>
      <scheme val="minor"/>
    </font>
    <font>
      <b/>
      <vertAlign val="subscript"/>
      <sz val="9"/>
      <color rgb="FFFFFFFF"/>
      <name val="Calibri"/>
      <family val="2"/>
      <scheme val="minor"/>
    </font>
    <font>
      <sz val="8"/>
      <color theme="1"/>
      <name val="Calibri"/>
      <family val="2"/>
      <scheme val="minor"/>
    </font>
    <font>
      <sz val="9"/>
      <color theme="1"/>
      <name val="Calibri"/>
      <family val="2"/>
    </font>
    <font>
      <b/>
      <sz val="9"/>
      <color rgb="FFFFFFFF"/>
      <name val="Calibri"/>
      <family val="2"/>
    </font>
    <font>
      <b/>
      <vertAlign val="subscript"/>
      <sz val="9"/>
      <color rgb="FFFFFFFF"/>
      <name val="Calibri"/>
      <family val="2"/>
    </font>
    <font>
      <sz val="8"/>
      <name val="Calibri"/>
      <family val="2"/>
      <scheme val="minor"/>
    </font>
    <font>
      <sz val="11"/>
      <color rgb="FF006100"/>
      <name val="Calibri"/>
      <family val="2"/>
      <scheme val="minor"/>
    </font>
    <font>
      <sz val="11"/>
      <color rgb="FF9C0006"/>
      <name val="Calibri"/>
      <family val="2"/>
      <scheme val="minor"/>
    </font>
    <font>
      <b/>
      <vertAlign val="subscript"/>
      <sz val="11"/>
      <color rgb="FFFF0000"/>
      <name val="Calibri"/>
      <family val="2"/>
      <scheme val="minor"/>
    </font>
    <font>
      <vertAlign val="subscript"/>
      <sz val="11"/>
      <color rgb="FFFF0000"/>
      <name val="Calibri"/>
      <family val="2"/>
      <scheme val="minor"/>
    </font>
    <font>
      <vertAlign val="superscript"/>
      <sz val="9"/>
      <name val="Times New Roman"/>
      <family val="1"/>
    </font>
    <font>
      <sz val="11"/>
      <color rgb="FF9C6500"/>
      <name val="Calibri"/>
      <family val="2"/>
      <scheme val="minor"/>
    </font>
    <font>
      <sz val="11"/>
      <name val="Arial"/>
      <family val="2"/>
    </font>
    <font>
      <sz val="10"/>
      <name val="Helv"/>
      <family val="2"/>
    </font>
    <font>
      <sz val="9"/>
      <name val="AGaramond"/>
    </font>
    <font>
      <b/>
      <sz val="11"/>
      <color indexed="10"/>
      <name val="Calibri"/>
      <family val="2"/>
    </font>
    <font>
      <sz val="10"/>
      <name val="CG Times"/>
      <family val="1"/>
    </font>
    <font>
      <sz val="10"/>
      <name val="Calibri"/>
      <family val="2"/>
    </font>
    <font>
      <sz val="10"/>
      <name val="Palatino"/>
      <family val="1"/>
    </font>
    <font>
      <sz val="9"/>
      <name val="GillSans"/>
      <family val="2"/>
    </font>
    <font>
      <sz val="9"/>
      <name val="GillSans Light"/>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sz val="11"/>
      <color indexed="19"/>
      <name val="Calibri"/>
      <family val="2"/>
    </font>
    <font>
      <b/>
      <sz val="10"/>
      <color indexed="50"/>
      <name val="Arial"/>
      <family val="2"/>
    </font>
    <font>
      <b/>
      <sz val="18"/>
      <color indexed="62"/>
      <name val="Cambria"/>
      <family val="2"/>
    </font>
    <font>
      <sz val="10"/>
      <color indexed="8"/>
      <name val="CG Times"/>
      <family val="1"/>
    </font>
    <font>
      <b/>
      <sz val="10"/>
      <color indexed="41"/>
      <name val="Arial"/>
      <family val="2"/>
    </font>
    <font>
      <b/>
      <sz val="12"/>
      <color indexed="25"/>
      <name val="Arial"/>
      <family val="2"/>
    </font>
    <font>
      <b/>
      <sz val="9"/>
      <color indexed="8"/>
      <name val="CG Times"/>
      <family val="1"/>
    </font>
    <font>
      <b/>
      <sz val="12"/>
      <color theme="0"/>
      <name val="Calibri"/>
      <family val="2"/>
      <scheme val="minor"/>
    </font>
    <font>
      <sz val="8"/>
      <color indexed="8"/>
      <name val="Arial"/>
      <family val="2"/>
    </font>
    <font>
      <sz val="8"/>
      <color theme="1"/>
      <name val="Arial"/>
      <family val="2"/>
    </font>
    <font>
      <vertAlign val="subscript"/>
      <sz val="11"/>
      <color indexed="56"/>
      <name val="Calibri"/>
      <family val="2"/>
    </font>
    <font>
      <sz val="11"/>
      <color indexed="56"/>
      <name val="Calibri"/>
      <family val="2"/>
    </font>
    <font>
      <u/>
      <sz val="11"/>
      <color rgb="FFFF0000"/>
      <name val="Calibri"/>
      <family val="2"/>
      <scheme val="minor"/>
    </font>
    <font>
      <sz val="18"/>
      <color rgb="FFFF0000"/>
      <name val="Calibri"/>
      <family val="2"/>
      <scheme val="minor"/>
    </font>
    <font>
      <b/>
      <sz val="11"/>
      <color rgb="FF1F497D"/>
      <name val="Calibri"/>
      <family val="2"/>
    </font>
    <font>
      <sz val="11"/>
      <color rgb="FF1F497D"/>
      <name val="Calibri"/>
      <family val="2"/>
    </font>
    <font>
      <b/>
      <sz val="10"/>
      <color rgb="FF000000"/>
      <name val="Arial"/>
      <family val="2"/>
    </font>
    <font>
      <b/>
      <sz val="9"/>
      <color indexed="8"/>
      <name val="ARIAL"/>
      <family val="2"/>
    </font>
    <font>
      <sz val="9"/>
      <color indexed="8"/>
      <name val="ARIAL"/>
      <family val="2"/>
    </font>
    <font>
      <b/>
      <sz val="11"/>
      <color indexed="8"/>
      <name val="ARIAL"/>
      <family val="2"/>
    </font>
    <font>
      <b/>
      <sz val="12"/>
      <color rgb="FFFF0000"/>
      <name val="ARIAL"/>
      <family val="2"/>
    </font>
    <font>
      <sz val="24"/>
      <color theme="0"/>
      <name val="Calibri"/>
      <family val="2"/>
      <scheme val="minor"/>
    </font>
    <font>
      <sz val="11"/>
      <color rgb="FF00B050"/>
      <name val="Calibri"/>
      <family val="2"/>
      <scheme val="minor"/>
    </font>
    <font>
      <b/>
      <sz val="10"/>
      <color theme="0"/>
      <name val="Arial"/>
      <family val="2"/>
    </font>
    <font>
      <b/>
      <sz val="10"/>
      <color theme="0"/>
      <name val="Calibri"/>
      <family val="2"/>
      <scheme val="minor"/>
    </font>
    <font>
      <sz val="11"/>
      <color rgb="FFFF0000"/>
      <name val="Calibri"/>
      <family val="2"/>
    </font>
    <font>
      <b/>
      <sz val="11"/>
      <color rgb="FFFF0000"/>
      <name val="Calibri"/>
      <family val="2"/>
    </font>
    <font>
      <strike/>
      <sz val="11"/>
      <color rgb="FFFF0000"/>
      <name val="Calibri"/>
      <family val="2"/>
    </font>
    <font>
      <b/>
      <vertAlign val="subscript"/>
      <sz val="11"/>
      <color rgb="FFFF0000"/>
      <name val="Calibri"/>
      <family val="2"/>
    </font>
    <font>
      <sz val="11"/>
      <color rgb="FF9C5700"/>
      <name val="Calibri"/>
      <family val="2"/>
      <scheme val="minor"/>
    </font>
    <font>
      <u/>
      <sz val="11"/>
      <color indexed="12"/>
      <name val="Calibri"/>
      <family val="2"/>
    </font>
    <font>
      <sz val="10"/>
      <color theme="9" tint="-0.499984740745262"/>
      <name val="Arial"/>
      <family val="2"/>
    </font>
    <font>
      <i/>
      <sz val="10"/>
      <color rgb="FFFF0000"/>
      <name val="Arial"/>
      <family val="2"/>
    </font>
    <font>
      <u/>
      <sz val="10"/>
      <color theme="11"/>
      <name val="Arial"/>
      <family val="2"/>
    </font>
    <font>
      <sz val="12"/>
      <color rgb="FFFF0000"/>
      <name val="Times New Roman"/>
      <family val="1"/>
    </font>
    <font>
      <vertAlign val="subscript"/>
      <sz val="11"/>
      <name val="Calibri"/>
      <family val="2"/>
      <scheme val="minor"/>
    </font>
    <font>
      <sz val="11"/>
      <color rgb="FF053D5F"/>
      <name val="Calibri"/>
      <family val="2"/>
      <scheme val="minor"/>
    </font>
    <font>
      <b/>
      <vertAlign val="superscript"/>
      <sz val="11"/>
      <color indexed="56"/>
      <name val="Calibri"/>
      <family val="2"/>
    </font>
    <font>
      <b/>
      <vertAlign val="subscript"/>
      <sz val="11"/>
      <color theme="0"/>
      <name val="Calibri"/>
      <family val="2"/>
      <scheme val="minor"/>
    </font>
    <font>
      <b/>
      <i/>
      <sz val="11"/>
      <color theme="1"/>
      <name val="Calibri"/>
      <family val="2"/>
      <scheme val="minor"/>
    </font>
    <font>
      <b/>
      <sz val="11"/>
      <color theme="7"/>
      <name val="Calibri"/>
      <family val="2"/>
      <scheme val="minor"/>
    </font>
    <font>
      <i/>
      <sz val="11"/>
      <color theme="7"/>
      <name val="Calibri"/>
      <family val="2"/>
      <scheme val="minor"/>
    </font>
    <font>
      <vertAlign val="subscript"/>
      <sz val="11"/>
      <color theme="7"/>
      <name val="Calibri"/>
      <family val="2"/>
      <scheme val="minor"/>
    </font>
    <font>
      <b/>
      <sz val="11"/>
      <color rgb="FFFFFFFF"/>
      <name val="Calibri"/>
      <family val="2"/>
      <scheme val="minor"/>
    </font>
    <font>
      <sz val="11"/>
      <color rgb="FF002060"/>
      <name val="Calibri"/>
      <family val="2"/>
    </font>
    <font>
      <vertAlign val="subscript"/>
      <sz val="11"/>
      <color rgb="FF003366"/>
      <name val="Calibri"/>
      <family val="2"/>
    </font>
    <font>
      <sz val="11"/>
      <color rgb="FF003366"/>
      <name val="Calibri"/>
      <family val="2"/>
    </font>
    <font>
      <sz val="11"/>
      <color rgb="FF6FC7B7"/>
      <name val="Calibri"/>
      <family val="2"/>
    </font>
    <font>
      <b/>
      <sz val="14"/>
      <color theme="0"/>
      <name val="Calibri"/>
      <family val="2"/>
      <scheme val="minor"/>
    </font>
    <font>
      <b/>
      <sz val="11"/>
      <color rgb="FF000000"/>
      <name val="Calibri"/>
      <family val="2"/>
      <scheme val="minor"/>
    </font>
    <font>
      <strike/>
      <sz val="11"/>
      <name val="Calibri"/>
      <family val="2"/>
      <scheme val="minor"/>
    </font>
    <font>
      <sz val="11"/>
      <color rgb="FF6FC7B7"/>
      <name val="Calibri"/>
      <family val="2"/>
      <scheme val="minor"/>
    </font>
    <font>
      <sz val="11"/>
      <color rgb="FFFFFFFF"/>
      <name val="Calibri"/>
      <family val="2"/>
      <scheme val="minor"/>
    </font>
    <font>
      <strike/>
      <sz val="11"/>
      <color rgb="FFFFFFFF"/>
      <name val="Calibri"/>
      <family val="2"/>
      <scheme val="minor"/>
    </font>
    <font>
      <b/>
      <sz val="11"/>
      <color rgb="FFFFFFFF"/>
      <name val="Arial"/>
      <family val="2"/>
    </font>
    <font>
      <sz val="11"/>
      <color rgb="FFFFFFFF"/>
      <name val="Arial"/>
      <family val="2"/>
    </font>
    <font>
      <sz val="11"/>
      <color rgb="FF000000"/>
      <name val="Arial"/>
      <family val="2"/>
    </font>
    <font>
      <sz val="11"/>
      <color rgb="FFFF0000"/>
      <name val="Arial"/>
      <family val="2"/>
    </font>
    <font>
      <b/>
      <sz val="11"/>
      <color rgb="FF002060"/>
      <name val="Calibri"/>
      <family val="2"/>
      <scheme val="minor"/>
    </font>
    <font>
      <sz val="11"/>
      <color theme="3"/>
      <name val="Calibri"/>
      <family val="2"/>
      <scheme val="minor"/>
    </font>
    <font>
      <sz val="11"/>
      <color theme="5"/>
      <name val="Calibri"/>
      <family val="2"/>
      <scheme val="minor"/>
    </font>
    <font>
      <sz val="11"/>
      <color theme="7"/>
      <name val="Calibri"/>
      <family val="2"/>
    </font>
    <font>
      <b/>
      <vertAlign val="subscript"/>
      <sz val="11"/>
      <color rgb="FF000000"/>
      <name val="Calibri"/>
      <family val="2"/>
      <scheme val="minor"/>
    </font>
    <font>
      <sz val="11"/>
      <color rgb="FF000000"/>
      <name val="Calibri"/>
      <family val="2"/>
    </font>
    <font>
      <b/>
      <sz val="11"/>
      <color rgb="FF6FC7B7"/>
      <name val="Calibri"/>
      <family val="2"/>
      <scheme val="minor"/>
    </font>
    <font>
      <b/>
      <sz val="16"/>
      <color theme="1"/>
      <name val="Calibri"/>
      <family val="2"/>
      <scheme val="minor"/>
    </font>
    <font>
      <b/>
      <sz val="16"/>
      <name val="Calibri"/>
      <family val="2"/>
      <scheme val="minor"/>
    </font>
    <font>
      <b/>
      <sz val="18"/>
      <name val="Calibri"/>
      <family val="2"/>
      <scheme val="minor"/>
    </font>
    <font>
      <b/>
      <sz val="24"/>
      <color rgb="FF1C556C"/>
      <name val="Calibri"/>
      <family val="2"/>
      <scheme val="minor"/>
    </font>
    <font>
      <b/>
      <sz val="18"/>
      <color rgb="FF1C556C"/>
      <name val="Calibri"/>
      <family val="2"/>
      <scheme val="minor"/>
    </font>
    <font>
      <b/>
      <u/>
      <sz val="11"/>
      <color rgb="FFFFFFFF"/>
      <name val="Calibri"/>
      <family val="2"/>
      <scheme val="minor"/>
    </font>
    <font>
      <b/>
      <sz val="16"/>
      <color rgb="FFFFFFFF"/>
      <name val="Calibri"/>
      <family val="2"/>
      <scheme val="minor"/>
    </font>
    <font>
      <i/>
      <sz val="11"/>
      <color rgb="FF000000"/>
      <name val="Calibri"/>
      <family val="2"/>
      <scheme val="minor"/>
    </font>
    <font>
      <u/>
      <sz val="11"/>
      <color rgb="FF32809C"/>
      <name val="Calibri"/>
      <family val="2"/>
      <scheme val="minor"/>
    </font>
    <font>
      <vertAlign val="superscript"/>
      <sz val="11"/>
      <color rgb="FF000000"/>
      <name val="Calibri"/>
      <family val="2"/>
      <scheme val="minor"/>
    </font>
    <font>
      <sz val="11"/>
      <color rgb="FF00B0F0"/>
      <name val="Calibri"/>
      <family val="2"/>
      <scheme val="minor"/>
    </font>
    <font>
      <b/>
      <sz val="11"/>
      <color rgb="FF808080"/>
      <name val="Calibri"/>
      <family val="2"/>
      <scheme val="minor"/>
    </font>
    <font>
      <sz val="11"/>
      <color rgb="FF808080"/>
      <name val="Calibri"/>
      <family val="2"/>
      <scheme val="minor"/>
    </font>
    <font>
      <b/>
      <sz val="11"/>
      <color rgb="FF0F7B7D"/>
      <name val="Calibri"/>
      <family val="2"/>
      <scheme val="minor"/>
    </font>
    <font>
      <b/>
      <sz val="22"/>
      <color theme="4"/>
      <name val="Calibri"/>
      <family val="2"/>
      <scheme val="minor"/>
    </font>
    <font>
      <sz val="22"/>
      <color theme="1"/>
      <name val="Calibri"/>
      <family val="2"/>
      <scheme val="minor"/>
    </font>
    <font>
      <b/>
      <sz val="9"/>
      <color theme="1"/>
      <name val="Calibri"/>
      <family val="2"/>
      <scheme val="minor"/>
    </font>
    <font>
      <sz val="9"/>
      <color rgb="FF000000"/>
      <name val="Calibri"/>
      <family val="2"/>
      <scheme val="minor"/>
    </font>
    <font>
      <b/>
      <sz val="8"/>
      <color rgb="FF0C3086"/>
      <name val="Arial"/>
      <family val="2"/>
    </font>
    <font>
      <sz val="8"/>
      <color rgb="FF000000"/>
      <name val="Calibri"/>
      <family val="2"/>
      <scheme val="minor"/>
    </font>
    <font>
      <vertAlign val="subscript"/>
      <sz val="9"/>
      <color rgb="FF000000"/>
      <name val="Arial"/>
      <family val="2"/>
    </font>
    <font>
      <strike/>
      <sz val="9"/>
      <name val="Calibri"/>
      <family val="2"/>
      <scheme val="minor"/>
    </font>
    <font>
      <sz val="9"/>
      <color theme="0" tint="-0.249977111117893"/>
      <name val="Calibri"/>
      <family val="2"/>
      <scheme val="minor"/>
    </font>
    <font>
      <b/>
      <sz val="9"/>
      <name val="Calibri"/>
      <family val="2"/>
      <scheme val="minor"/>
    </font>
    <font>
      <b/>
      <sz val="9"/>
      <color theme="0"/>
      <name val="Calibri"/>
      <family val="2"/>
      <scheme val="minor"/>
    </font>
    <font>
      <vertAlign val="subscript"/>
      <sz val="11"/>
      <color theme="0"/>
      <name val="Calibri"/>
      <family val="2"/>
      <scheme val="minor"/>
    </font>
    <font>
      <b/>
      <sz val="9"/>
      <color rgb="FF000000"/>
      <name val="Calibri"/>
      <family val="2"/>
      <scheme val="minor"/>
    </font>
    <font>
      <b/>
      <sz val="11"/>
      <color rgb="FFFFFFFF"/>
      <name val="Calibri"/>
      <family val="2"/>
    </font>
    <font>
      <sz val="14"/>
      <name val="Calibri"/>
      <family val="2"/>
      <scheme val="minor"/>
    </font>
    <font>
      <sz val="14"/>
      <color rgb="FFFF0000"/>
      <name val="Calibri"/>
      <family val="2"/>
      <scheme val="minor"/>
    </font>
    <font>
      <sz val="11"/>
      <color rgb="FF444444"/>
      <name val="Calibri"/>
      <family val="2"/>
      <scheme val="minor"/>
    </font>
  </fonts>
  <fills count="213">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00B0F0"/>
        <bgColor indexed="64"/>
      </patternFill>
    </fill>
    <fill>
      <patternFill patternType="solid">
        <fgColor rgb="FF00B05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4"/>
        <bgColor indexed="64"/>
      </patternFill>
    </fill>
    <fill>
      <patternFill patternType="solid">
        <fgColor rgb="FFFFCC99"/>
      </patternFill>
    </fill>
    <fill>
      <patternFill patternType="solid">
        <fgColor theme="0"/>
        <bgColor indexed="64"/>
      </patternFill>
    </fill>
    <fill>
      <patternFill patternType="solid">
        <fgColor rgb="FFD9D9D9"/>
        <bgColor indexed="64"/>
      </patternFill>
    </fill>
    <fill>
      <patternFill patternType="solid">
        <fgColor rgb="FF000000"/>
        <bgColor indexed="64"/>
      </patternFill>
    </fill>
    <fill>
      <patternFill patternType="solid">
        <fgColor rgb="FF92D050"/>
        <bgColor indexed="64"/>
      </patternFill>
    </fill>
    <fill>
      <patternFill patternType="solid">
        <fgColor indexed="22"/>
        <bgColor indexed="64"/>
      </patternFill>
    </fill>
    <fill>
      <patternFill patternType="solid">
        <fgColor indexed="9"/>
        <bgColor indexed="64"/>
      </patternFill>
    </fill>
    <fill>
      <patternFill patternType="solid">
        <fgColor rgb="FFF2F2F2"/>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55"/>
        <bgColor indexed="64"/>
      </patternFill>
    </fill>
    <fill>
      <patternFill patternType="solid">
        <fgColor indexed="47"/>
        <bgColor indexed="64"/>
      </patternFill>
    </fill>
    <fill>
      <patternFill patternType="solid">
        <fgColor indexed="23"/>
        <bgColor indexed="64"/>
      </patternFill>
    </fill>
    <fill>
      <patternFill patternType="solid">
        <fgColor indexed="2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solid">
        <fgColor rgb="FFFFFFFF"/>
      </patternFill>
    </fill>
    <fill>
      <patternFill patternType="solid">
        <fgColor rgb="FF969696"/>
      </patternFill>
    </fill>
    <fill>
      <patternFill patternType="solid">
        <fgColor theme="6" tint="0.59999389629810485"/>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lightGray">
        <fgColor indexed="9"/>
      </patternFill>
    </fill>
    <fill>
      <patternFill patternType="gray0625">
        <fgColor indexed="9"/>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FFFCC"/>
        <bgColor indexed="64"/>
      </patternFill>
    </fill>
    <fill>
      <patternFill patternType="solid">
        <fgColor rgb="FFFFFFCC"/>
      </patternFill>
    </fill>
    <fill>
      <patternFill patternType="solid">
        <fgColor indexed="18"/>
      </patternFill>
    </fill>
    <fill>
      <patternFill patternType="solid">
        <fgColor indexed="14"/>
      </patternFill>
    </fill>
    <fill>
      <patternFill patternType="solid">
        <fgColor indexed="13"/>
      </patternFill>
    </fill>
    <fill>
      <patternFill patternType="solid">
        <fgColor indexed="8"/>
      </patternFill>
    </fill>
    <fill>
      <patternFill patternType="solid">
        <fgColor indexed="15"/>
      </patternFill>
    </fill>
    <fill>
      <patternFill patternType="solid">
        <fgColor indexed="24"/>
      </patternFill>
    </fill>
    <fill>
      <patternFill patternType="gray0625">
        <bgColor indexed="22"/>
      </patternFill>
    </fill>
    <fill>
      <patternFill patternType="solid">
        <fgColor indexed="56"/>
        <bgColor indexed="64"/>
      </patternFill>
    </fill>
    <fill>
      <patternFill patternType="mediumGray">
        <fgColor indexed="13"/>
      </patternFill>
    </fill>
    <fill>
      <patternFill patternType="solid">
        <fgColor indexed="37"/>
        <bgColor indexed="64"/>
      </patternFill>
    </fill>
    <fill>
      <patternFill patternType="solid">
        <fgColor indexed="32"/>
        <bgColor indexed="64"/>
      </patternFill>
    </fill>
    <fill>
      <patternFill patternType="mediumGray">
        <fgColor indexed="22"/>
      </patternFill>
    </fill>
    <fill>
      <patternFill patternType="solid">
        <fgColor indexed="31"/>
        <bgColor indexed="8"/>
      </patternFill>
    </fill>
    <fill>
      <patternFill patternType="solid">
        <fgColor indexed="43"/>
        <bgColor indexed="8"/>
      </patternFill>
    </fill>
    <fill>
      <patternFill patternType="solid">
        <fgColor indexed="17"/>
        <bgColor indexed="64"/>
      </patternFill>
    </fill>
    <fill>
      <patternFill patternType="solid">
        <fgColor indexed="18"/>
        <bgColor indexed="64"/>
      </patternFill>
    </fill>
    <fill>
      <patternFill patternType="solid">
        <fgColor indexed="8"/>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6"/>
        <bgColor indexed="64"/>
      </patternFill>
    </fill>
    <fill>
      <patternFill patternType="solid">
        <fgColor theme="6" tint="-9.9978637043366805E-2"/>
        <bgColor indexed="64"/>
      </patternFill>
    </fill>
    <fill>
      <patternFill patternType="solid">
        <fgColor theme="6" tint="-0.249977111117893"/>
        <bgColor indexed="64"/>
      </patternFill>
    </fill>
    <fill>
      <patternFill patternType="solid">
        <fgColor theme="9"/>
        <bgColor indexed="64"/>
      </patternFill>
    </fill>
    <fill>
      <patternFill patternType="solid">
        <fgColor theme="6" tint="-0.499984740745262"/>
        <bgColor indexed="64"/>
      </patternFill>
    </fill>
    <fill>
      <patternFill patternType="solid">
        <fgColor theme="9" tint="0.39997558519241921"/>
        <bgColor indexed="64"/>
      </patternFill>
    </fill>
    <fill>
      <patternFill patternType="solid">
        <fgColor rgb="FF1C556C"/>
        <bgColor indexed="64"/>
      </patternFill>
    </fill>
    <fill>
      <patternFill patternType="solid">
        <fgColor theme="5"/>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41"/>
        <bgColor indexed="26"/>
      </patternFill>
    </fill>
    <fill>
      <patternFill patternType="solid">
        <fgColor indexed="45"/>
        <bgColor indexed="48"/>
      </patternFill>
    </fill>
    <fill>
      <patternFill patternType="solid">
        <fgColor indexed="35"/>
        <bgColor indexed="26"/>
      </patternFill>
    </fill>
    <fill>
      <patternFill patternType="solid">
        <fgColor indexed="42"/>
        <bgColor indexed="27"/>
      </patternFill>
    </fill>
    <fill>
      <patternFill patternType="solid">
        <fgColor indexed="26"/>
        <bgColor indexed="35"/>
      </patternFill>
    </fill>
    <fill>
      <patternFill patternType="solid">
        <fgColor indexed="46"/>
        <bgColor indexed="45"/>
      </patternFill>
    </fill>
    <fill>
      <patternFill patternType="solid">
        <fgColor indexed="9"/>
        <bgColor indexed="26"/>
      </patternFill>
    </fill>
    <fill>
      <patternFill patternType="solid">
        <fgColor indexed="47"/>
        <bgColor indexed="34"/>
      </patternFill>
    </fill>
    <fill>
      <patternFill patternType="solid">
        <fgColor indexed="44"/>
        <bgColor indexed="40"/>
      </patternFill>
    </fill>
    <fill>
      <patternFill patternType="solid">
        <fgColor indexed="31"/>
        <bgColor indexed="15"/>
      </patternFill>
    </fill>
    <fill>
      <patternFill patternType="solid">
        <fgColor indexed="29"/>
        <bgColor indexed="45"/>
      </patternFill>
    </fill>
    <fill>
      <patternFill patternType="solid">
        <fgColor indexed="34"/>
        <bgColor indexed="47"/>
      </patternFill>
    </fill>
    <fill>
      <patternFill patternType="solid">
        <fgColor indexed="11"/>
        <bgColor indexed="49"/>
      </patternFill>
    </fill>
    <fill>
      <patternFill patternType="solid">
        <fgColor indexed="22"/>
        <bgColor indexed="31"/>
      </patternFill>
    </fill>
    <fill>
      <patternFill patternType="solid">
        <fgColor indexed="50"/>
        <bgColor indexed="40"/>
      </patternFill>
    </fill>
    <fill>
      <patternFill patternType="solid">
        <fgColor indexed="51"/>
        <bgColor indexed="13"/>
      </patternFill>
    </fill>
    <fill>
      <patternFill patternType="solid">
        <fgColor indexed="30"/>
        <bgColor indexed="21"/>
      </patternFill>
    </fill>
    <fill>
      <patternFill patternType="solid">
        <fgColor indexed="24"/>
        <bgColor indexed="22"/>
      </patternFill>
    </fill>
    <fill>
      <patternFill patternType="solid">
        <fgColor indexed="61"/>
        <bgColor indexed="48"/>
      </patternFill>
    </fill>
    <fill>
      <patternFill patternType="solid">
        <fgColor indexed="49"/>
        <bgColor indexed="57"/>
      </patternFill>
    </fill>
    <fill>
      <patternFill patternType="solid">
        <fgColor indexed="52"/>
        <bgColor indexed="51"/>
      </patternFill>
    </fill>
    <fill>
      <patternFill patternType="solid">
        <fgColor indexed="56"/>
      </patternFill>
    </fill>
    <fill>
      <patternFill patternType="solid">
        <fgColor indexed="62"/>
        <bgColor indexed="58"/>
      </patternFill>
    </fill>
    <fill>
      <patternFill patternType="solid">
        <fgColor indexed="10"/>
        <bgColor indexed="60"/>
      </patternFill>
    </fill>
    <fill>
      <patternFill patternType="solid">
        <fgColor indexed="19"/>
        <bgColor indexed="61"/>
      </patternFill>
    </fill>
    <fill>
      <patternFill patternType="solid">
        <fgColor indexed="57"/>
        <bgColor indexed="21"/>
      </patternFill>
    </fill>
    <fill>
      <patternFill patternType="solid">
        <fgColor indexed="54"/>
      </patternFill>
    </fill>
    <fill>
      <patternFill patternType="solid">
        <fgColor indexed="54"/>
        <bgColor indexed="23"/>
      </patternFill>
    </fill>
    <fill>
      <patternFill patternType="solid">
        <fgColor indexed="53"/>
        <bgColor indexed="52"/>
      </patternFill>
    </fill>
    <fill>
      <patternFill patternType="solid">
        <fgColor indexed="9"/>
      </patternFill>
    </fill>
    <fill>
      <patternFill patternType="solid">
        <fgColor indexed="55"/>
        <bgColor indexed="23"/>
      </patternFill>
    </fill>
    <fill>
      <patternFill patternType="solid">
        <fgColor indexed="27"/>
        <bgColor indexed="42"/>
      </patternFill>
    </fill>
    <fill>
      <patternFill patternType="solid">
        <fgColor indexed="56"/>
        <bgColor indexed="58"/>
      </patternFill>
    </fill>
    <fill>
      <patternFill patternType="solid">
        <fgColor indexed="48"/>
        <bgColor indexed="61"/>
      </patternFill>
    </fill>
    <fill>
      <patternFill patternType="solid">
        <fgColor indexed="43"/>
        <bgColor indexed="26"/>
      </patternFill>
    </fill>
    <fill>
      <patternFill patternType="solid">
        <fgColor indexed="15"/>
        <bgColor indexed="41"/>
      </patternFill>
    </fill>
    <fill>
      <patternFill patternType="solid">
        <fgColor indexed="8"/>
        <bgColor indexed="18"/>
      </patternFill>
    </fill>
    <fill>
      <patternFill patternType="solid">
        <fgColor theme="4" tint="0.79998168889431442"/>
        <bgColor indexed="64"/>
      </patternFill>
    </fill>
    <fill>
      <patternFill patternType="solid">
        <fgColor theme="3" tint="0.59999389629810485"/>
        <bgColor indexed="64"/>
      </patternFill>
    </fill>
    <fill>
      <patternFill patternType="solid">
        <fgColor theme="7"/>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8EAAB7"/>
        <bgColor indexed="64"/>
      </patternFill>
    </fill>
    <fill>
      <patternFill patternType="solid">
        <fgColor theme="5" tint="0.39997558519241921"/>
        <bgColor indexed="64"/>
      </patternFill>
    </fill>
    <fill>
      <patternFill patternType="solid">
        <fgColor rgb="FFCC99FF"/>
        <bgColor indexed="64"/>
      </patternFill>
    </fill>
    <fill>
      <patternFill patternType="solid">
        <fgColor theme="7" tint="0.39997558519241921"/>
        <bgColor rgb="FF000000"/>
      </patternFill>
    </fill>
    <fill>
      <patternFill patternType="solid">
        <fgColor rgb="FFFFFF99"/>
        <bgColor indexed="64"/>
      </patternFill>
    </fill>
    <fill>
      <patternFill patternType="solid">
        <fgColor rgb="FFFFFF99"/>
        <bgColor rgb="FF000000"/>
      </patternFill>
    </fill>
    <fill>
      <patternFill patternType="solid">
        <fgColor rgb="FF002060"/>
        <bgColor indexed="64"/>
      </patternFill>
    </fill>
    <fill>
      <patternFill patternType="solid">
        <fgColor theme="4" tint="0.79998168889431442"/>
        <bgColor rgb="FF000000"/>
      </patternFill>
    </fill>
    <fill>
      <patternFill patternType="solid">
        <fgColor rgb="FFFF0000"/>
        <bgColor indexed="64"/>
      </patternFill>
    </fill>
    <fill>
      <patternFill patternType="solid">
        <fgColor theme="1" tint="0.499984740745262"/>
        <bgColor indexed="64"/>
      </patternFill>
    </fill>
    <fill>
      <patternFill patternType="gray125">
        <bgColor theme="0"/>
      </patternFill>
    </fill>
    <fill>
      <patternFill patternType="solid">
        <fgColor theme="7" tint="0.39997558519241921"/>
        <bgColor indexed="64"/>
      </patternFill>
    </fill>
    <fill>
      <patternFill patternType="solid">
        <fgColor rgb="FF6FC7B7"/>
        <bgColor indexed="64"/>
      </patternFill>
    </fill>
    <fill>
      <patternFill patternType="solid">
        <fgColor rgb="FFB4F0E5"/>
        <bgColor indexed="64"/>
      </patternFill>
    </fill>
    <fill>
      <patternFill patternType="solid">
        <fgColor rgb="FFFFFFFF"/>
        <bgColor rgb="FF000000"/>
      </patternFill>
    </fill>
    <fill>
      <patternFill patternType="solid">
        <fgColor rgb="FF2C9986"/>
        <bgColor rgb="FF000000"/>
      </patternFill>
    </fill>
    <fill>
      <patternFill patternType="solid">
        <fgColor rgb="FFFFFF00"/>
        <bgColor rgb="FF000000"/>
      </patternFill>
    </fill>
    <fill>
      <patternFill patternType="solid">
        <fgColor theme="0"/>
        <bgColor rgb="FF000000"/>
      </patternFill>
    </fill>
    <fill>
      <patternFill patternType="solid">
        <fgColor theme="8" tint="0.79998168889431442"/>
        <bgColor rgb="FF000000"/>
      </patternFill>
    </fill>
    <fill>
      <patternFill patternType="solid">
        <fgColor theme="3"/>
        <bgColor indexed="64"/>
      </patternFill>
    </fill>
    <fill>
      <patternFill patternType="solid">
        <fgColor rgb="FF1D1651"/>
        <bgColor rgb="FF000000"/>
      </patternFill>
    </fill>
    <fill>
      <patternFill patternType="solid">
        <fgColor rgb="FFD9D9D9"/>
        <bgColor rgb="FF000000"/>
      </patternFill>
    </fill>
    <fill>
      <patternFill patternType="solid">
        <fgColor rgb="FFF2F2F2"/>
        <bgColor rgb="FF000000"/>
      </patternFill>
    </fill>
    <fill>
      <patternFill patternType="solid">
        <fgColor rgb="FFF3F0F9"/>
        <bgColor rgb="FF000000"/>
      </patternFill>
    </fill>
    <fill>
      <patternFill patternType="solid">
        <fgColor rgb="FFDAD1ED"/>
        <bgColor rgb="FF000000"/>
      </patternFill>
    </fill>
    <fill>
      <patternFill patternType="solid">
        <fgColor rgb="FF00ACBB"/>
        <bgColor rgb="FF000000"/>
      </patternFill>
    </fill>
    <fill>
      <patternFill patternType="solid">
        <fgColor theme="9" tint="-0.249977111117893"/>
        <bgColor indexed="64"/>
      </patternFill>
    </fill>
    <fill>
      <patternFill patternType="solid">
        <fgColor rgb="FFA5A5A5"/>
        <bgColor rgb="FF000000"/>
      </patternFill>
    </fill>
    <fill>
      <patternFill patternType="solid">
        <fgColor rgb="FF1C556C"/>
        <bgColor rgb="FF000000"/>
      </patternFill>
    </fill>
    <fill>
      <patternFill patternType="solid">
        <fgColor rgb="FF8EAAB7"/>
        <bgColor rgb="FF000000"/>
      </patternFill>
    </fill>
    <fill>
      <patternFill patternType="solid">
        <fgColor rgb="FFB7C8D0"/>
        <bgColor rgb="FF000000"/>
      </patternFill>
    </fill>
    <fill>
      <patternFill patternType="solid">
        <fgColor rgb="FF6FC7B7"/>
        <bgColor rgb="FF000000"/>
      </patternFill>
    </fill>
    <fill>
      <patternFill patternType="solid">
        <fgColor rgb="FFFFFFCC"/>
        <bgColor rgb="FF000000"/>
      </patternFill>
    </fill>
    <fill>
      <patternFill patternType="solid">
        <fgColor rgb="FFBDE5DD"/>
        <bgColor indexed="64"/>
      </patternFill>
    </fill>
    <fill>
      <patternFill patternType="solid">
        <fgColor theme="0" tint="-0.34998626667073579"/>
        <bgColor indexed="64"/>
      </patternFill>
    </fill>
    <fill>
      <patternFill patternType="solid">
        <fgColor rgb="FFD2DDE2"/>
        <bgColor indexed="64"/>
      </patternFill>
    </fill>
    <fill>
      <patternFill patternType="solid">
        <fgColor rgb="FF557684"/>
        <bgColor indexed="64"/>
      </patternFill>
    </fill>
    <fill>
      <patternFill patternType="solid">
        <fgColor theme="9" tint="0.59999389629810485"/>
        <bgColor indexed="64"/>
      </patternFill>
    </fill>
  </fills>
  <borders count="436">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top/>
      <bottom/>
      <diagonal/>
    </border>
    <border>
      <left style="thin">
        <color indexed="64"/>
      </left>
      <right/>
      <top/>
      <bottom style="double">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12"/>
      </left>
      <right style="hair">
        <color indexed="12"/>
      </right>
      <top style="hair">
        <color indexed="12"/>
      </top>
      <bottom style="hair">
        <color indexed="12"/>
      </bottom>
      <diagonal/>
    </border>
    <border>
      <left style="thin">
        <color indexed="24"/>
      </left>
      <right style="thin">
        <color indexed="24"/>
      </right>
      <top style="thin">
        <color indexed="24"/>
      </top>
      <bottom style="thin">
        <color indexed="2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bottom style="thin">
        <color theme="4"/>
      </bottom>
      <diagonal/>
    </border>
    <border>
      <left/>
      <right/>
      <top style="thin">
        <color theme="4"/>
      </top>
      <bottom style="thin">
        <color theme="4"/>
      </bottom>
      <diagonal/>
    </border>
    <border>
      <left/>
      <right/>
      <top style="thin">
        <color theme="4"/>
      </top>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diagonal/>
    </border>
    <border>
      <left/>
      <right style="thin">
        <color theme="4"/>
      </right>
      <top/>
      <bottom/>
      <diagonal/>
    </border>
    <border>
      <left style="medium">
        <color theme="4"/>
      </left>
      <right style="medium">
        <color theme="4"/>
      </right>
      <top style="medium">
        <color theme="4"/>
      </top>
      <bottom style="medium">
        <color theme="4"/>
      </bottom>
      <diagonal/>
    </border>
    <border>
      <left/>
      <right style="thin">
        <color theme="4"/>
      </right>
      <top style="thin">
        <color theme="4"/>
      </top>
      <bottom style="thin">
        <color theme="4"/>
      </bottom>
      <diagonal/>
    </border>
    <border>
      <left style="thin">
        <color theme="4"/>
      </left>
      <right/>
      <top/>
      <bottom/>
      <diagonal/>
    </border>
    <border>
      <left style="thin">
        <color theme="4"/>
      </left>
      <right/>
      <top/>
      <bottom style="thin">
        <color theme="4"/>
      </bottom>
      <diagonal/>
    </border>
    <border>
      <left/>
      <right/>
      <top/>
      <bottom style="medium">
        <color theme="4"/>
      </bottom>
      <diagonal/>
    </border>
    <border>
      <left style="thin">
        <color theme="4"/>
      </left>
      <right style="thin">
        <color theme="4"/>
      </right>
      <top style="thin">
        <color theme="4"/>
      </top>
      <bottom/>
      <diagonal/>
    </border>
    <border>
      <left/>
      <right style="thin">
        <color theme="4"/>
      </right>
      <top/>
      <bottom style="thin">
        <color theme="4"/>
      </bottom>
      <diagonal/>
    </border>
    <border>
      <left style="thin">
        <color theme="4"/>
      </left>
      <right style="thin">
        <color theme="4"/>
      </right>
      <top/>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right/>
      <top style="medium">
        <color theme="4"/>
      </top>
      <bottom style="thin">
        <color theme="4"/>
      </bottom>
      <diagonal/>
    </border>
    <border>
      <left style="medium">
        <color theme="4"/>
      </left>
      <right/>
      <top/>
      <bottom style="thin">
        <color theme="4"/>
      </bottom>
      <diagonal/>
    </border>
    <border>
      <left style="thin">
        <color theme="4"/>
      </left>
      <right style="thin">
        <color theme="4"/>
      </right>
      <top/>
      <bottom style="thin">
        <color theme="4"/>
      </bottom>
      <diagonal/>
    </border>
    <border>
      <left style="thin">
        <color theme="4"/>
      </left>
      <right/>
      <top style="thin">
        <color theme="4"/>
      </top>
      <bottom/>
      <diagonal/>
    </border>
    <border>
      <left style="medium">
        <color theme="4"/>
      </left>
      <right style="medium">
        <color theme="4"/>
      </right>
      <top/>
      <bottom style="thin">
        <color theme="4"/>
      </bottom>
      <diagonal/>
    </border>
    <border>
      <left style="medium">
        <color theme="4"/>
      </left>
      <right style="medium">
        <color theme="4"/>
      </right>
      <top/>
      <bottom style="medium">
        <color theme="4"/>
      </bottom>
      <diagonal/>
    </border>
    <border>
      <left/>
      <right style="thin">
        <color indexed="64"/>
      </right>
      <top style="thin">
        <color theme="4"/>
      </top>
      <bottom/>
      <diagonal/>
    </border>
    <border>
      <left/>
      <right style="thin">
        <color indexed="64"/>
      </right>
      <top/>
      <bottom style="thin">
        <color theme="4"/>
      </bottom>
      <diagonal/>
    </border>
    <border>
      <left style="thin">
        <color indexed="64"/>
      </left>
      <right style="thin">
        <color theme="4"/>
      </right>
      <top/>
      <bottom style="thin">
        <color theme="4"/>
      </bottom>
      <diagonal/>
    </border>
    <border>
      <left style="thin">
        <color indexed="64"/>
      </left>
      <right/>
      <top style="thin">
        <color theme="4"/>
      </top>
      <bottom/>
      <diagonal/>
    </border>
    <border>
      <left style="thin">
        <color indexed="64"/>
      </left>
      <right style="thin">
        <color theme="4"/>
      </right>
      <top style="thin">
        <color theme="4"/>
      </top>
      <bottom style="thin">
        <color indexed="64"/>
      </bottom>
      <diagonal/>
    </border>
    <border>
      <left style="thin">
        <color theme="4"/>
      </left>
      <right style="thin">
        <color theme="4"/>
      </right>
      <top style="thin">
        <color theme="4"/>
      </top>
      <bottom style="thin">
        <color indexed="64"/>
      </bottom>
      <diagonal/>
    </border>
    <border>
      <left/>
      <right style="thin">
        <color theme="4"/>
      </right>
      <top/>
      <bottom style="thin">
        <color indexed="64"/>
      </bottom>
      <diagonal/>
    </border>
    <border>
      <left style="medium">
        <color theme="4"/>
      </left>
      <right style="medium">
        <color theme="4"/>
      </right>
      <top style="medium">
        <color theme="4"/>
      </top>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3"/>
      </left>
      <right style="thin">
        <color theme="3"/>
      </right>
      <top style="thin">
        <color theme="3"/>
      </top>
      <bottom style="thin">
        <color theme="3"/>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31"/>
      </bottom>
      <diagonal/>
    </border>
    <border>
      <left/>
      <right/>
      <top/>
      <bottom style="medium">
        <color indexed="27"/>
      </bottom>
      <diagonal/>
    </border>
    <border>
      <left/>
      <right/>
      <top/>
      <bottom style="medium">
        <color indexed="49"/>
      </bottom>
      <diagonal/>
    </border>
    <border>
      <left/>
      <right/>
      <top/>
      <bottom style="medium">
        <color indexed="2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9"/>
      </top>
      <bottom style="double">
        <color indexed="49"/>
      </bottom>
      <diagonal/>
    </border>
    <border>
      <left style="thin">
        <color indexed="41"/>
      </left>
      <right style="thin">
        <color indexed="41"/>
      </right>
      <top style="thin">
        <color indexed="41"/>
      </top>
      <bottom style="thin">
        <color indexed="41"/>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theme="3"/>
      </left>
      <right style="thin">
        <color theme="3"/>
      </right>
      <top/>
      <bottom style="thin">
        <color theme="3"/>
      </bottom>
      <diagonal/>
    </border>
    <border>
      <left style="thin">
        <color theme="4"/>
      </left>
      <right style="thin">
        <color theme="4"/>
      </right>
      <top style="thin">
        <color theme="4"/>
      </top>
      <bottom style="medium">
        <color indexed="64"/>
      </bottom>
      <diagonal/>
    </border>
    <border>
      <left style="thin">
        <color theme="4"/>
      </left>
      <right/>
      <top style="thin">
        <color theme="4"/>
      </top>
      <bottom style="medium">
        <color indexed="64"/>
      </bottom>
      <diagonal/>
    </border>
    <border>
      <left style="thin">
        <color theme="4"/>
      </left>
      <right/>
      <top/>
      <bottom style="medium">
        <color indexed="64"/>
      </bottom>
      <diagonal/>
    </border>
    <border>
      <left/>
      <right style="thin">
        <color theme="4"/>
      </right>
      <top/>
      <bottom style="medium">
        <color indexed="64"/>
      </bottom>
      <diagonal/>
    </border>
    <border>
      <left style="thin">
        <color theme="4"/>
      </left>
      <right style="thin">
        <color theme="4"/>
      </right>
      <top/>
      <bottom style="medium">
        <color indexed="64"/>
      </bottom>
      <diagonal/>
    </border>
    <border>
      <left style="thin">
        <color rgb="FF053D5F"/>
      </left>
      <right style="thin">
        <color rgb="FF053D5F"/>
      </right>
      <top style="thin">
        <color rgb="FF053D5F"/>
      </top>
      <bottom style="thin">
        <color rgb="FF053D5F"/>
      </bottom>
      <diagonal/>
    </border>
    <border>
      <left style="thin">
        <color rgb="FF053D5F"/>
      </left>
      <right/>
      <top style="thin">
        <color rgb="FF053D5F"/>
      </top>
      <bottom style="thin">
        <color rgb="FF053D5F"/>
      </bottom>
      <diagonal/>
    </border>
    <border>
      <left style="thin">
        <color indexed="64"/>
      </left>
      <right style="thin">
        <color rgb="FF053D5F"/>
      </right>
      <top style="thin">
        <color rgb="FF053D5F"/>
      </top>
      <bottom style="thin">
        <color rgb="FF053D5F"/>
      </bottom>
      <diagonal/>
    </border>
    <border>
      <left style="thin">
        <color rgb="FF053D5F"/>
      </left>
      <right style="medium">
        <color indexed="64"/>
      </right>
      <top style="thin">
        <color rgb="FF053D5F"/>
      </top>
      <bottom style="thin">
        <color rgb="FF053D5F"/>
      </bottom>
      <diagonal/>
    </border>
    <border>
      <left/>
      <right style="thin">
        <color rgb="FF053D5F"/>
      </right>
      <top style="thin">
        <color rgb="FF053D5F"/>
      </top>
      <bottom style="thin">
        <color rgb="FF053D5F"/>
      </bottom>
      <diagonal/>
    </border>
    <border>
      <left style="thin">
        <color rgb="FF053D5F"/>
      </left>
      <right style="thin">
        <color indexed="64"/>
      </right>
      <top style="thin">
        <color rgb="FF053D5F"/>
      </top>
      <bottom style="thin">
        <color rgb="FF053D5F"/>
      </bottom>
      <diagonal/>
    </border>
    <border>
      <left style="thin">
        <color rgb="FFFF0000"/>
      </left>
      <right style="thin">
        <color rgb="FFFF0000"/>
      </right>
      <top style="thin">
        <color rgb="FFFF0000"/>
      </top>
      <bottom style="thin">
        <color rgb="FFFF0000"/>
      </bottom>
      <diagonal/>
    </border>
    <border>
      <left/>
      <right style="thin">
        <color theme="5" tint="-0.499984740745262"/>
      </right>
      <top style="thin">
        <color theme="5" tint="-0.499984740745262"/>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4"/>
      </left>
      <right style="thin">
        <color indexed="64"/>
      </right>
      <top style="thin">
        <color theme="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diagonal/>
    </border>
    <border>
      <left style="thin">
        <color indexed="24"/>
      </left>
      <right style="thin">
        <color indexed="24"/>
      </right>
      <top style="thin">
        <color indexed="24"/>
      </top>
      <bottom style="thin">
        <color indexed="24"/>
      </bottom>
      <diagonal/>
    </border>
    <border>
      <left style="thin">
        <color indexed="31"/>
      </left>
      <right style="thin">
        <color indexed="31"/>
      </right>
      <top style="thin">
        <color indexed="31"/>
      </top>
      <bottom style="thin">
        <color indexed="31"/>
      </bottom>
      <diagonal/>
    </border>
    <border>
      <left style="thin">
        <color auto="1"/>
      </left>
      <right/>
      <top style="thin">
        <color theme="4"/>
      </top>
      <bottom style="thin">
        <color theme="4"/>
      </bottom>
      <diagonal/>
    </border>
    <border>
      <left/>
      <right style="thin">
        <color rgb="FFFF0000"/>
      </right>
      <top style="thin">
        <color rgb="FFFF0000"/>
      </top>
      <bottom style="thin">
        <color rgb="FFFF0000"/>
      </bottom>
      <diagonal/>
    </border>
    <border>
      <left/>
      <right/>
      <top style="thin">
        <color auto="1"/>
      </top>
      <bottom style="thin">
        <color auto="1"/>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24"/>
      </left>
      <right style="thin">
        <color indexed="24"/>
      </right>
      <top style="thin">
        <color indexed="24"/>
      </top>
      <bottom style="thin">
        <color indexed="24"/>
      </bottom>
      <diagonal/>
    </border>
    <border>
      <left style="thin">
        <color indexed="31"/>
      </left>
      <right style="thin">
        <color indexed="31"/>
      </right>
      <top style="thin">
        <color indexed="31"/>
      </top>
      <bottom style="thin">
        <color indexed="31"/>
      </bottom>
      <diagonal/>
    </border>
    <border>
      <left style="thin">
        <color theme="4"/>
      </left>
      <right style="medium">
        <color theme="3"/>
      </right>
      <top style="thin">
        <color theme="4"/>
      </top>
      <bottom style="thin">
        <color theme="4"/>
      </bottom>
      <diagonal/>
    </border>
    <border>
      <left style="thin">
        <color theme="4"/>
      </left>
      <right style="medium">
        <color theme="3"/>
      </right>
      <top style="thin">
        <color theme="4"/>
      </top>
      <bottom/>
      <diagonal/>
    </border>
    <border>
      <left style="thin">
        <color theme="4"/>
      </left>
      <right style="medium">
        <color theme="3"/>
      </right>
      <top/>
      <bottom/>
      <diagonal/>
    </border>
    <border>
      <left style="thin">
        <color theme="4"/>
      </left>
      <right style="medium">
        <color theme="3"/>
      </right>
      <top/>
      <bottom style="thin">
        <color theme="4"/>
      </bottom>
      <diagonal/>
    </border>
    <border>
      <left style="thin">
        <color theme="4"/>
      </left>
      <right style="medium">
        <color theme="3"/>
      </right>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4"/>
      </left>
      <right style="thin">
        <color indexed="24"/>
      </right>
      <top style="thin">
        <color indexed="24"/>
      </top>
      <bottom style="thin">
        <color indexed="24"/>
      </bottom>
      <diagonal/>
    </border>
    <border>
      <left style="thin">
        <color indexed="31"/>
      </left>
      <right style="thin">
        <color indexed="31"/>
      </right>
      <top style="thin">
        <color indexed="31"/>
      </top>
      <bottom style="thin">
        <color indexed="31"/>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4"/>
      </left>
      <right style="thin">
        <color indexed="24"/>
      </right>
      <top style="thin">
        <color indexed="24"/>
      </top>
      <bottom style="thin">
        <color indexed="24"/>
      </bottom>
      <diagonal/>
    </border>
    <border>
      <left style="thin">
        <color indexed="31"/>
      </left>
      <right style="thin">
        <color indexed="31"/>
      </right>
      <top style="thin">
        <color indexed="31"/>
      </top>
      <bottom style="thin">
        <color indexed="31"/>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4"/>
      </left>
      <right style="thin">
        <color indexed="24"/>
      </right>
      <top style="thin">
        <color indexed="24"/>
      </top>
      <bottom style="thin">
        <color indexed="24"/>
      </bottom>
      <diagonal/>
    </border>
    <border>
      <left style="thin">
        <color indexed="31"/>
      </left>
      <right style="thin">
        <color indexed="31"/>
      </right>
      <top style="thin">
        <color indexed="31"/>
      </top>
      <bottom style="thin">
        <color indexed="31"/>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4"/>
      </left>
      <right style="thin">
        <color indexed="24"/>
      </right>
      <top style="thin">
        <color indexed="24"/>
      </top>
      <bottom style="thin">
        <color indexed="24"/>
      </bottom>
      <diagonal/>
    </border>
    <border>
      <left style="thin">
        <color indexed="31"/>
      </left>
      <right style="thin">
        <color indexed="31"/>
      </right>
      <top style="thin">
        <color indexed="31"/>
      </top>
      <bottom style="thin">
        <color indexed="31"/>
      </bottom>
      <diagonal/>
    </border>
    <border>
      <left/>
      <right/>
      <top style="thin">
        <color indexed="64"/>
      </top>
      <bottom/>
      <diagonal/>
    </border>
    <border>
      <left style="thin">
        <color rgb="FF053D5F"/>
      </left>
      <right style="thin">
        <color rgb="FF053D5F"/>
      </right>
      <top style="thick">
        <color rgb="FF053D5F"/>
      </top>
      <bottom style="thin">
        <color rgb="FF053D5F"/>
      </bottom>
      <diagonal/>
    </border>
    <border>
      <left style="thick">
        <color rgb="FF053D5F"/>
      </left>
      <right style="thin">
        <color rgb="FF053D5F"/>
      </right>
      <top style="thick">
        <color rgb="FF053D5F"/>
      </top>
      <bottom style="thin">
        <color rgb="FF053D5F"/>
      </bottom>
      <diagonal/>
    </border>
    <border>
      <left style="thick">
        <color rgb="FF053D5F"/>
      </left>
      <right style="thin">
        <color rgb="FF053D5F"/>
      </right>
      <top style="thin">
        <color rgb="FF053D5F"/>
      </top>
      <bottom style="thin">
        <color rgb="FF053D5F"/>
      </bottom>
      <diagonal/>
    </border>
    <border>
      <left style="thick">
        <color theme="4"/>
      </left>
      <right style="thin">
        <color theme="4"/>
      </right>
      <top style="thin">
        <color theme="4"/>
      </top>
      <bottom style="thin">
        <color theme="4"/>
      </bottom>
      <diagonal/>
    </border>
    <border>
      <left style="thin">
        <color theme="4"/>
      </left>
      <right style="thick">
        <color theme="4"/>
      </right>
      <top style="thin">
        <color theme="4"/>
      </top>
      <bottom/>
      <diagonal/>
    </border>
    <border>
      <left style="thick">
        <color theme="4"/>
      </left>
      <right style="thin">
        <color theme="4"/>
      </right>
      <top style="thin">
        <color theme="4"/>
      </top>
      <bottom/>
      <diagonal/>
    </border>
    <border>
      <left/>
      <right style="thick">
        <color theme="4"/>
      </right>
      <top style="thin">
        <color theme="4"/>
      </top>
      <bottom/>
      <diagonal/>
    </border>
    <border>
      <left style="thick">
        <color theme="4"/>
      </left>
      <right style="thin">
        <color theme="4"/>
      </right>
      <top/>
      <bottom/>
      <diagonal/>
    </border>
    <border>
      <left style="thin">
        <color rgb="FF053D5F"/>
      </left>
      <right style="thick">
        <color theme="4"/>
      </right>
      <top style="thick">
        <color rgb="FF053D5F"/>
      </top>
      <bottom style="thin">
        <color rgb="FF053D5F"/>
      </bottom>
      <diagonal/>
    </border>
    <border>
      <left style="thin">
        <color rgb="FF053D5F"/>
      </left>
      <right style="thick">
        <color theme="4"/>
      </right>
      <top style="thin">
        <color rgb="FF053D5F"/>
      </top>
      <bottom style="thin">
        <color rgb="FF053D5F"/>
      </bottom>
      <diagonal/>
    </border>
    <border>
      <left style="thick">
        <color theme="4"/>
      </left>
      <right style="thin">
        <color theme="4"/>
      </right>
      <top/>
      <bottom style="thick">
        <color theme="4"/>
      </bottom>
      <diagonal/>
    </border>
    <border>
      <left style="thick">
        <color rgb="FF053D5F"/>
      </left>
      <right style="thin">
        <color rgb="FF053D5F"/>
      </right>
      <top style="thin">
        <color rgb="FF053D5F"/>
      </top>
      <bottom style="thick">
        <color theme="4"/>
      </bottom>
      <diagonal/>
    </border>
    <border>
      <left style="thin">
        <color rgb="FF053D5F"/>
      </left>
      <right style="thin">
        <color rgb="FF053D5F"/>
      </right>
      <top style="thin">
        <color rgb="FF053D5F"/>
      </top>
      <bottom style="thick">
        <color theme="4"/>
      </bottom>
      <diagonal/>
    </border>
    <border>
      <left style="thin">
        <color rgb="FF053D5F"/>
      </left>
      <right style="thick">
        <color theme="4"/>
      </right>
      <top style="thin">
        <color rgb="FF053D5F"/>
      </top>
      <bottom style="thick">
        <color theme="4"/>
      </bottom>
      <diagonal/>
    </border>
    <border>
      <left style="thin">
        <color theme="4"/>
      </left>
      <right style="thick">
        <color theme="4"/>
      </right>
      <top style="thin">
        <color theme="4"/>
      </top>
      <bottom style="thin">
        <color theme="4"/>
      </bottom>
      <diagonal/>
    </border>
    <border>
      <left style="thin">
        <color theme="4"/>
      </left>
      <right style="thin">
        <color theme="4"/>
      </right>
      <top style="thin">
        <color theme="4"/>
      </top>
      <bottom style="thick">
        <color theme="4"/>
      </bottom>
      <diagonal/>
    </border>
    <border>
      <left style="thin">
        <color theme="4"/>
      </left>
      <right/>
      <top style="thin">
        <color theme="4"/>
      </top>
      <bottom style="thick">
        <color theme="4"/>
      </bottom>
      <diagonal/>
    </border>
    <border>
      <left style="thin">
        <color theme="4"/>
      </left>
      <right style="thick">
        <color theme="4"/>
      </right>
      <top style="thin">
        <color theme="4"/>
      </top>
      <bottom style="thick">
        <color theme="4"/>
      </bottom>
      <diagonal/>
    </border>
    <border>
      <left/>
      <right style="medium">
        <color indexed="64"/>
      </right>
      <top style="thin">
        <color auto="1"/>
      </top>
      <bottom style="medium">
        <color indexed="64"/>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medium">
        <color indexed="64"/>
      </right>
      <top style="thin">
        <color indexed="64"/>
      </top>
      <bottom style="thin">
        <color rgb="FF053D5F"/>
      </bottom>
      <diagonal/>
    </border>
    <border>
      <left/>
      <right style="thin">
        <color rgb="FF053D5F"/>
      </right>
      <top style="thin">
        <color indexed="64"/>
      </top>
      <bottom style="thin">
        <color rgb="FF053D5F"/>
      </bottom>
      <diagonal/>
    </border>
    <border>
      <left style="thin">
        <color rgb="FF053D5F"/>
      </left>
      <right style="thin">
        <color indexed="64"/>
      </right>
      <top style="thin">
        <color indexed="64"/>
      </top>
      <bottom style="thin">
        <color rgb="FF053D5F"/>
      </bottom>
      <diagonal/>
    </border>
    <border>
      <left style="thin">
        <color rgb="FF053D5F"/>
      </left>
      <right/>
      <top style="thin">
        <color indexed="64"/>
      </top>
      <bottom style="thin">
        <color rgb="FF053D5F"/>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rgb="FF053D5F"/>
      </bottom>
      <diagonal/>
    </border>
    <border>
      <left/>
      <right/>
      <top style="thin">
        <color indexed="64"/>
      </top>
      <bottom style="thin">
        <color rgb="FF053D5F"/>
      </bottom>
      <diagonal/>
    </border>
    <border>
      <left/>
      <right style="medium">
        <color rgb="FF000000"/>
      </right>
      <top style="thin">
        <color indexed="64"/>
      </top>
      <bottom style="thin">
        <color rgb="FF053D5F"/>
      </bottom>
      <diagonal/>
    </border>
    <border>
      <left/>
      <right style="thin">
        <color rgb="FF000000"/>
      </right>
      <top style="thin">
        <color indexed="64"/>
      </top>
      <bottom style="thin">
        <color rgb="FF053D5F"/>
      </bottom>
      <diagonal/>
    </border>
    <border>
      <left style="thin">
        <color indexed="64"/>
      </left>
      <right style="thin">
        <color rgb="FF053D5F"/>
      </right>
      <top/>
      <bottom style="thin">
        <color rgb="FF053D5F"/>
      </bottom>
      <diagonal/>
    </border>
    <border>
      <left/>
      <right style="thin">
        <color rgb="FF053D5F"/>
      </right>
      <top/>
      <bottom style="thin">
        <color rgb="FF053D5F"/>
      </bottom>
      <diagonal/>
    </border>
    <border>
      <left/>
      <right style="medium">
        <color indexed="64"/>
      </right>
      <top/>
      <bottom style="thin">
        <color rgb="FF053D5F"/>
      </bottom>
      <diagonal/>
    </border>
    <border>
      <left/>
      <right style="thin">
        <color indexed="64"/>
      </right>
      <top/>
      <bottom style="thin">
        <color rgb="FF053D5F"/>
      </bottom>
      <diagonal/>
    </border>
    <border>
      <left style="thin">
        <color rgb="FF053D5F"/>
      </left>
      <right style="thin">
        <color rgb="FF053D5F"/>
      </right>
      <top style="thin">
        <color rgb="FF053D5F"/>
      </top>
      <bottom/>
      <diagonal/>
    </border>
    <border>
      <left style="thin">
        <color rgb="FF053D5F"/>
      </left>
      <right style="thin">
        <color rgb="FF053D5F"/>
      </right>
      <top/>
      <bottom/>
      <diagonal/>
    </border>
    <border>
      <left style="thin">
        <color rgb="FF053D5F"/>
      </left>
      <right style="thin">
        <color rgb="FF053D5F"/>
      </right>
      <top/>
      <bottom style="thin">
        <color rgb="FF053D5F"/>
      </bottom>
      <diagonal/>
    </border>
    <border>
      <left/>
      <right/>
      <top style="thin">
        <color rgb="FF053D5F"/>
      </top>
      <bottom style="thin">
        <color rgb="FF053D5F"/>
      </bottom>
      <diagonal/>
    </border>
    <border>
      <left style="thin">
        <color rgb="FF053D5F"/>
      </left>
      <right style="thin">
        <color rgb="FF053D5F"/>
      </right>
      <top/>
      <bottom style="thin">
        <color rgb="FF000000"/>
      </bottom>
      <diagonal/>
    </border>
    <border>
      <left/>
      <right/>
      <top/>
      <bottom style="thin">
        <color rgb="FF053D5F"/>
      </bottom>
      <diagonal/>
    </border>
    <border>
      <left style="thin">
        <color rgb="FF053D5F"/>
      </left>
      <right style="thin">
        <color indexed="64"/>
      </right>
      <top style="thin">
        <color indexed="64"/>
      </top>
      <bottom style="thin">
        <color indexed="64"/>
      </bottom>
      <diagonal/>
    </border>
    <border>
      <left style="thin">
        <color rgb="FF053D5F"/>
      </left>
      <right style="thin">
        <color rgb="FF053D5F"/>
      </right>
      <top style="thin">
        <color indexed="64"/>
      </top>
      <bottom style="thin">
        <color indexed="64"/>
      </bottom>
      <diagonal/>
    </border>
    <border>
      <left style="thin">
        <color theme="3"/>
      </left>
      <right style="thin">
        <color theme="3"/>
      </right>
      <top style="thin">
        <color theme="3"/>
      </top>
      <bottom style="thin">
        <color indexed="64"/>
      </bottom>
      <diagonal/>
    </border>
    <border>
      <left/>
      <right style="thin">
        <color indexed="64"/>
      </right>
      <top style="thin">
        <color theme="4"/>
      </top>
      <bottom style="thin">
        <color theme="4"/>
      </bottom>
      <diagonal/>
    </border>
    <border>
      <left style="thin">
        <color theme="4"/>
      </left>
      <right style="thin">
        <color indexed="64"/>
      </right>
      <top style="thin">
        <color theme="4"/>
      </top>
      <bottom style="thin">
        <color theme="4"/>
      </bottom>
      <diagonal/>
    </border>
    <border>
      <left/>
      <right style="thin">
        <color theme="4"/>
      </right>
      <top style="thin">
        <color theme="4"/>
      </top>
      <bottom style="thin">
        <color auto="1"/>
      </bottom>
      <diagonal/>
    </border>
    <border>
      <left style="thin">
        <color theme="4"/>
      </left>
      <right/>
      <top style="thin">
        <color theme="4"/>
      </top>
      <bottom style="thin">
        <color auto="1"/>
      </bottom>
      <diagonal/>
    </border>
    <border>
      <left/>
      <right/>
      <top/>
      <bottom style="thin">
        <color rgb="FF1C556C"/>
      </bottom>
      <diagonal/>
    </border>
    <border>
      <left/>
      <right/>
      <top style="thin">
        <color rgb="FF1C556C"/>
      </top>
      <bottom style="thin">
        <color rgb="FF1C556C"/>
      </bottom>
      <diagonal/>
    </border>
    <border>
      <left/>
      <right style="thin">
        <color rgb="FF1C556C"/>
      </right>
      <top style="thin">
        <color rgb="FF1C556C"/>
      </top>
      <bottom style="thin">
        <color rgb="FF1C556C"/>
      </bottom>
      <diagonal/>
    </border>
    <border>
      <left style="thin">
        <color rgb="FF1C556C"/>
      </left>
      <right style="thin">
        <color rgb="FF1C556C"/>
      </right>
      <top style="thin">
        <color rgb="FF1C556C"/>
      </top>
      <bottom style="thin">
        <color rgb="FF1C556C"/>
      </bottom>
      <diagonal/>
    </border>
    <border>
      <left style="thin">
        <color rgb="FF1C556C"/>
      </left>
      <right/>
      <top style="thin">
        <color rgb="FF1C556C"/>
      </top>
      <bottom style="thin">
        <color rgb="FF1C556C"/>
      </bottom>
      <diagonal/>
    </border>
    <border>
      <left/>
      <right style="thin">
        <color indexed="64"/>
      </right>
      <top style="thin">
        <color rgb="FF1C556C"/>
      </top>
      <bottom/>
      <diagonal/>
    </border>
    <border>
      <left style="thin">
        <color indexed="64"/>
      </left>
      <right style="thin">
        <color rgb="FF1C556C"/>
      </right>
      <top style="thin">
        <color rgb="FF1C556C"/>
      </top>
      <bottom/>
      <diagonal/>
    </border>
    <border>
      <left style="thin">
        <color indexed="64"/>
      </left>
      <right style="thin">
        <color rgb="FF1C556C"/>
      </right>
      <top/>
      <bottom style="thin">
        <color rgb="FF1C556C"/>
      </bottom>
      <diagonal/>
    </border>
    <border>
      <left/>
      <right style="thin">
        <color indexed="64"/>
      </right>
      <top/>
      <bottom style="thin">
        <color rgb="FF1C556C"/>
      </bottom>
      <diagonal/>
    </border>
    <border>
      <left style="thin">
        <color rgb="FF1F497D"/>
      </left>
      <right style="thin">
        <color rgb="FF1F497D"/>
      </right>
      <top style="thin">
        <color rgb="FF1F497D"/>
      </top>
      <bottom style="thin">
        <color rgb="FF1F497D"/>
      </bottom>
      <diagonal/>
    </border>
    <border>
      <left/>
      <right style="thin">
        <color indexed="64"/>
      </right>
      <top style="thin">
        <color rgb="FF1C556C"/>
      </top>
      <bottom style="thin">
        <color rgb="FF1C556C"/>
      </bottom>
      <diagonal/>
    </border>
    <border>
      <left style="thin">
        <color rgb="FF1C556C"/>
      </left>
      <right style="thin">
        <color indexed="64"/>
      </right>
      <top style="thin">
        <color rgb="FF1C556C"/>
      </top>
      <bottom style="thin">
        <color rgb="FF1C556C"/>
      </bottom>
      <diagonal/>
    </border>
    <border>
      <left style="thin">
        <color rgb="FF1C556C"/>
      </left>
      <right/>
      <top style="thin">
        <color rgb="FF1C556C"/>
      </top>
      <bottom/>
      <diagonal/>
    </border>
    <border>
      <left style="thin">
        <color rgb="FF1C556C"/>
      </left>
      <right style="thin">
        <color rgb="FF1C556C"/>
      </right>
      <top style="thin">
        <color rgb="FF1C556C"/>
      </top>
      <bottom/>
      <diagonal/>
    </border>
    <border>
      <left style="thin">
        <color indexed="64"/>
      </left>
      <right style="thin">
        <color rgb="FF1C556C"/>
      </right>
      <top/>
      <bottom/>
      <diagonal/>
    </border>
    <border>
      <left style="thin">
        <color rgb="FF1C556C"/>
      </left>
      <right style="thin">
        <color rgb="FF1C556C"/>
      </right>
      <top/>
      <bottom style="thin">
        <color rgb="FF1C556C"/>
      </bottom>
      <diagonal/>
    </border>
    <border>
      <left style="thin">
        <color rgb="FF1C556C"/>
      </left>
      <right/>
      <top/>
      <bottom style="thin">
        <color rgb="FF1C556C"/>
      </bottom>
      <diagonal/>
    </border>
    <border>
      <left style="thin">
        <color indexed="64"/>
      </left>
      <right style="thin">
        <color rgb="FF1C556C"/>
      </right>
      <top/>
      <bottom style="thin">
        <color indexed="64"/>
      </bottom>
      <diagonal/>
    </border>
    <border>
      <left style="thin">
        <color rgb="FF1C556C"/>
      </left>
      <right style="thin">
        <color rgb="FF1C556C"/>
      </right>
      <top/>
      <bottom style="thin">
        <color indexed="64"/>
      </bottom>
      <diagonal/>
    </border>
    <border>
      <left style="thin">
        <color indexed="64"/>
      </left>
      <right style="thin">
        <color indexed="64"/>
      </right>
      <top style="thin">
        <color rgb="FF1C556C"/>
      </top>
      <bottom/>
      <diagonal/>
    </border>
    <border>
      <left style="thin">
        <color indexed="64"/>
      </left>
      <right style="thin">
        <color indexed="64"/>
      </right>
      <top/>
      <bottom style="thin">
        <color rgb="FF1C556C"/>
      </bottom>
      <diagonal/>
    </border>
    <border>
      <left style="thin">
        <color indexed="64"/>
      </left>
      <right/>
      <top style="thin">
        <color rgb="FF1C556C"/>
      </top>
      <bottom/>
      <diagonal/>
    </border>
    <border>
      <left/>
      <right style="thin">
        <color rgb="FF1C556C"/>
      </right>
      <top style="thin">
        <color rgb="FF1C556C"/>
      </top>
      <bottom/>
      <diagonal/>
    </border>
    <border>
      <left/>
      <right style="thin">
        <color rgb="FF1C556C"/>
      </right>
      <top/>
      <bottom style="thin">
        <color indexed="64"/>
      </bottom>
      <diagonal/>
    </border>
    <border>
      <left style="medium">
        <color theme="4"/>
      </left>
      <right/>
      <top style="thin">
        <color theme="4"/>
      </top>
      <bottom style="thin">
        <color theme="4"/>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right style="medium">
        <color rgb="FF1C556C"/>
      </right>
      <top style="medium">
        <color rgb="FF1C556C"/>
      </top>
      <bottom/>
      <diagonal/>
    </border>
    <border>
      <left/>
      <right style="medium">
        <color rgb="FF1C556C"/>
      </right>
      <top/>
      <bottom/>
      <diagonal/>
    </border>
    <border>
      <left style="medium">
        <color rgb="FF1C556C"/>
      </left>
      <right style="medium">
        <color rgb="FF1C556C"/>
      </right>
      <top style="medium">
        <color rgb="FF1C556C"/>
      </top>
      <bottom/>
      <diagonal/>
    </border>
    <border>
      <left style="medium">
        <color rgb="FF1C556C"/>
      </left>
      <right/>
      <top style="medium">
        <color rgb="FF1C556C"/>
      </top>
      <bottom/>
      <diagonal/>
    </border>
    <border>
      <left style="medium">
        <color rgb="FF1C556C"/>
      </left>
      <right style="medium">
        <color rgb="FF1C556C"/>
      </right>
      <top/>
      <bottom/>
      <diagonal/>
    </border>
    <border>
      <left style="medium">
        <color rgb="FF1C556C"/>
      </left>
      <right/>
      <top/>
      <bottom/>
      <diagonal/>
    </border>
    <border>
      <left/>
      <right style="medium">
        <color theme="3"/>
      </right>
      <top/>
      <bottom style="thin">
        <color theme="4"/>
      </bottom>
      <diagonal/>
    </border>
    <border>
      <left style="medium">
        <color theme="4"/>
      </left>
      <right/>
      <top/>
      <bottom style="medium">
        <color theme="4"/>
      </bottom>
      <diagonal/>
    </border>
    <border>
      <left/>
      <right/>
      <top style="thin">
        <color theme="4"/>
      </top>
      <bottom style="thin">
        <color indexed="64"/>
      </bottom>
      <diagonal/>
    </border>
    <border>
      <left style="thin">
        <color theme="4"/>
      </left>
      <right style="thin">
        <color indexed="64"/>
      </right>
      <top style="thin">
        <color auto="1"/>
      </top>
      <bottom style="thin">
        <color theme="4"/>
      </bottom>
      <diagonal/>
    </border>
    <border>
      <left style="medium">
        <color theme="4"/>
      </left>
      <right style="medium">
        <color theme="4"/>
      </right>
      <top/>
      <bottom/>
      <diagonal/>
    </border>
    <border>
      <left style="thin">
        <color theme="4"/>
      </left>
      <right style="thin">
        <color indexed="64"/>
      </right>
      <top style="thin">
        <color theme="4"/>
      </top>
      <bottom/>
      <diagonal/>
    </border>
    <border>
      <left style="thin">
        <color indexed="64"/>
      </left>
      <right style="thin">
        <color theme="4"/>
      </right>
      <top style="thin">
        <color indexed="64"/>
      </top>
      <bottom style="thin">
        <color theme="4"/>
      </bottom>
      <diagonal/>
    </border>
    <border>
      <left style="thin">
        <color theme="4"/>
      </left>
      <right style="thin">
        <color theme="4"/>
      </right>
      <top style="thin">
        <color indexed="64"/>
      </top>
      <bottom style="thin">
        <color theme="4"/>
      </bottom>
      <diagonal/>
    </border>
    <border>
      <left style="thin">
        <color theme="4"/>
      </left>
      <right/>
      <top style="thin">
        <color indexed="64"/>
      </top>
      <bottom style="thin">
        <color theme="4"/>
      </bottom>
      <diagonal/>
    </border>
    <border>
      <left/>
      <right style="thin">
        <color indexed="64"/>
      </right>
      <top style="thin">
        <color indexed="64"/>
      </top>
      <bottom style="thin">
        <color theme="4"/>
      </bottom>
      <diagonal/>
    </border>
    <border>
      <left style="thin">
        <color indexed="64"/>
      </left>
      <right style="thin">
        <color theme="4"/>
      </right>
      <top style="thin">
        <color theme="4"/>
      </top>
      <bottom style="thin">
        <color theme="4"/>
      </bottom>
      <diagonal/>
    </border>
    <border>
      <left style="thin">
        <color indexed="64"/>
      </left>
      <right style="thin">
        <color theme="4"/>
      </right>
      <top style="thin">
        <color theme="4"/>
      </top>
      <bottom/>
      <diagonal/>
    </border>
    <border>
      <left style="thin">
        <color indexed="64"/>
      </left>
      <right style="thin">
        <color theme="4"/>
      </right>
      <top/>
      <bottom/>
      <diagonal/>
    </border>
    <border>
      <left style="medium">
        <color theme="4"/>
      </left>
      <right style="medium">
        <color theme="4"/>
      </right>
      <top style="medium">
        <color theme="4"/>
      </top>
      <bottom style="thin">
        <color indexed="64"/>
      </bottom>
      <diagonal/>
    </border>
    <border>
      <left/>
      <right style="thin">
        <color indexed="64"/>
      </right>
      <top style="thin">
        <color theme="4"/>
      </top>
      <bottom style="thin">
        <color indexed="64"/>
      </bottom>
      <diagonal/>
    </border>
    <border>
      <left/>
      <right style="medium">
        <color rgb="FF1C556C"/>
      </right>
      <top style="medium">
        <color rgb="FF1C556C"/>
      </top>
      <bottom style="medium">
        <color rgb="FF1C556C"/>
      </bottom>
      <diagonal/>
    </border>
    <border>
      <left/>
      <right/>
      <top style="medium">
        <color rgb="FF1C556C"/>
      </top>
      <bottom style="medium">
        <color rgb="FF1C556C"/>
      </bottom>
      <diagonal/>
    </border>
    <border>
      <left style="medium">
        <color rgb="FF0F7B7D"/>
      </left>
      <right style="medium">
        <color rgb="FF1C556C"/>
      </right>
      <top/>
      <bottom style="medium">
        <color rgb="FF0F7B7D"/>
      </bottom>
      <diagonal/>
    </border>
    <border>
      <left/>
      <right style="medium">
        <color rgb="FF1C556C"/>
      </right>
      <top/>
      <bottom style="medium">
        <color rgb="FF0F7B7D"/>
      </bottom>
      <diagonal/>
    </border>
    <border>
      <left/>
      <right style="medium">
        <color rgb="FF0F7B7D"/>
      </right>
      <top/>
      <bottom style="medium">
        <color rgb="FF0F7B7D"/>
      </bottom>
      <diagonal/>
    </border>
    <border>
      <left/>
      <right style="medium">
        <color rgb="FF1C556C"/>
      </right>
      <top/>
      <bottom style="medium">
        <color rgb="FF1C556C"/>
      </bottom>
      <diagonal/>
    </border>
    <border>
      <left/>
      <right/>
      <top/>
      <bottom style="medium">
        <color rgb="FF1C556C"/>
      </bottom>
      <diagonal/>
    </border>
    <border>
      <left/>
      <right style="medium">
        <color rgb="FF1C556C"/>
      </right>
      <top style="medium">
        <color rgb="FF1C556C"/>
      </top>
      <bottom style="medium">
        <color rgb="FF0F7B7D"/>
      </bottom>
      <diagonal/>
    </border>
    <border>
      <left/>
      <right/>
      <top style="medium">
        <color rgb="FF1C556C"/>
      </top>
      <bottom style="medium">
        <color rgb="FF0F7B7D"/>
      </bottom>
      <diagonal/>
    </border>
    <border>
      <left/>
      <right/>
      <top/>
      <bottom style="medium">
        <color rgb="FF0F7B7D"/>
      </bottom>
      <diagonal/>
    </border>
    <border>
      <left style="thin">
        <color indexed="64"/>
      </left>
      <right style="thin">
        <color indexed="64"/>
      </right>
      <top style="thin">
        <color indexed="64"/>
      </top>
      <bottom style="thin">
        <color theme="4"/>
      </bottom>
      <diagonal/>
    </border>
    <border>
      <left style="thin">
        <color indexed="64"/>
      </left>
      <right style="thin">
        <color indexed="64"/>
      </right>
      <top style="thin">
        <color theme="4"/>
      </top>
      <bottom style="thin">
        <color theme="4"/>
      </bottom>
      <diagonal/>
    </border>
    <border>
      <left style="medium">
        <color theme="4"/>
      </left>
      <right style="medium">
        <color theme="4"/>
      </right>
      <top style="thin">
        <color theme="4"/>
      </top>
      <bottom/>
      <diagonal/>
    </border>
    <border>
      <left style="thin">
        <color indexed="64"/>
      </left>
      <right style="thin">
        <color indexed="64"/>
      </right>
      <top style="thin">
        <color theme="5" tint="-0.499984740745262"/>
      </top>
      <bottom style="thin">
        <color theme="5" tint="-0.499984740745262"/>
      </bottom>
      <diagonal/>
    </border>
    <border>
      <left style="thin">
        <color indexed="64"/>
      </left>
      <right style="thin">
        <color indexed="64"/>
      </right>
      <top style="thin">
        <color theme="5" tint="-0.499984740745262"/>
      </top>
      <bottom style="thin">
        <color indexed="64"/>
      </bottom>
      <diagonal/>
    </border>
    <border>
      <left style="thin">
        <color indexed="64"/>
      </left>
      <right style="thin">
        <color indexed="64"/>
      </right>
      <top/>
      <bottom style="thin">
        <color theme="4"/>
      </bottom>
      <diagonal/>
    </border>
    <border>
      <left style="thin">
        <color indexed="64"/>
      </left>
      <right style="thin">
        <color theme="4"/>
      </right>
      <top style="thin">
        <color indexed="64"/>
      </top>
      <bottom style="thin">
        <color indexed="64"/>
      </bottom>
      <diagonal/>
    </border>
    <border>
      <left style="thin">
        <color theme="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medium">
        <color theme="4"/>
      </left>
      <right style="medium">
        <color theme="4"/>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style="thin">
        <color theme="4"/>
      </right>
      <top style="thin">
        <color indexed="64"/>
      </top>
      <bottom/>
      <diagonal/>
    </border>
  </borders>
  <cellStyleXfs count="19910">
    <xf numFmtId="0" fontId="0" fillId="0" borderId="0"/>
    <xf numFmtId="9" fontId="1" fillId="0" borderId="0" applyFont="0" applyFill="0" applyBorder="0" applyAlignment="0" applyProtection="0"/>
    <xf numFmtId="0" fontId="9" fillId="0" borderId="0" applyNumberFormat="0" applyFill="0" applyBorder="0" applyAlignment="0" applyProtection="0"/>
    <xf numFmtId="0" fontId="19" fillId="0" borderId="0"/>
    <xf numFmtId="0" fontId="19" fillId="0" borderId="0"/>
    <xf numFmtId="0" fontId="19" fillId="0" borderId="0"/>
    <xf numFmtId="174" fontId="19" fillId="0" borderId="0" applyFont="0" applyFill="0" applyBorder="0" applyAlignment="0" applyProtection="0"/>
    <xf numFmtId="0" fontId="23" fillId="10" borderId="10" applyNumberFormat="0" applyAlignment="0" applyProtection="0"/>
    <xf numFmtId="174" fontId="19" fillId="0" borderId="0" applyFont="0" applyFill="0" applyBorder="0" applyAlignment="0" applyProtection="0"/>
    <xf numFmtId="174" fontId="22" fillId="0" borderId="0" applyFont="0" applyFill="0" applyBorder="0" applyAlignment="0" applyProtection="0"/>
    <xf numFmtId="43" fontId="1" fillId="0" borderId="0" applyFont="0" applyFill="0" applyBorder="0" applyAlignment="0" applyProtection="0"/>
    <xf numFmtId="49" fontId="33" fillId="0" borderId="55" applyNumberFormat="0" applyFont="0" applyFill="0" applyBorder="0" applyProtection="0">
      <alignment horizontal="left" vertical="center" indent="5"/>
    </xf>
    <xf numFmtId="0" fontId="24" fillId="10" borderId="10" applyNumberFormat="0" applyAlignment="0" applyProtection="0"/>
    <xf numFmtId="0" fontId="30" fillId="0" borderId="0" applyNumberFormat="0" applyFill="0" applyBorder="0" applyAlignment="0" applyProtection="0"/>
    <xf numFmtId="0" fontId="31" fillId="0" borderId="0" applyNumberFormat="0">
      <alignment horizontal="right"/>
    </xf>
    <xf numFmtId="0" fontId="32" fillId="0" borderId="0" applyNumberFormat="0" applyFill="0" applyBorder="0" applyProtection="0">
      <alignment horizontal="left" vertical="center"/>
    </xf>
    <xf numFmtId="0" fontId="33" fillId="36" borderId="0" applyBorder="0">
      <alignment horizontal="right" vertical="center"/>
    </xf>
    <xf numFmtId="0" fontId="33" fillId="36" borderId="25">
      <alignment horizontal="right" vertical="center"/>
    </xf>
    <xf numFmtId="0" fontId="19" fillId="0" borderId="0" applyNumberFormat="0" applyFont="0" applyFill="0" applyBorder="0" applyProtection="0">
      <alignment horizontal="left" vertical="center" indent="2"/>
    </xf>
    <xf numFmtId="0" fontId="33" fillId="36" borderId="0" applyBorder="0">
      <alignment horizontal="right" vertical="center"/>
    </xf>
    <xf numFmtId="0" fontId="33" fillId="0" borderId="0" applyBorder="0">
      <alignment horizontal="right" vertical="center"/>
    </xf>
    <xf numFmtId="0" fontId="33" fillId="0" borderId="0"/>
    <xf numFmtId="0" fontId="19" fillId="37" borderId="0" applyNumberFormat="0" applyFont="0" applyBorder="0" applyAlignment="0" applyProtection="0"/>
    <xf numFmtId="0" fontId="19" fillId="0" borderId="0" applyNumberFormat="0" applyFont="0" applyFill="0" applyBorder="0" applyProtection="0">
      <alignment horizontal="left" vertical="center" indent="5"/>
    </xf>
    <xf numFmtId="0" fontId="33" fillId="0" borderId="2" applyNumberFormat="0" applyFill="0" applyAlignment="0" applyProtection="0"/>
    <xf numFmtId="0" fontId="31" fillId="0" borderId="32">
      <alignment horizontal="left" vertical="top" wrapText="1"/>
    </xf>
    <xf numFmtId="0" fontId="31" fillId="38" borderId="2">
      <alignment horizontal="right" vertical="center"/>
    </xf>
    <xf numFmtId="0" fontId="31" fillId="38" borderId="2">
      <alignment horizontal="right" vertical="center"/>
    </xf>
    <xf numFmtId="0" fontId="33" fillId="0" borderId="35">
      <alignment horizontal="left" vertical="center" wrapText="1" indent="2"/>
    </xf>
    <xf numFmtId="0" fontId="31" fillId="38" borderId="27">
      <alignment horizontal="right" vertical="center"/>
    </xf>
    <xf numFmtId="0" fontId="33" fillId="0" borderId="2">
      <alignment horizontal="right" vertical="center"/>
    </xf>
    <xf numFmtId="0" fontId="19" fillId="0" borderId="21"/>
    <xf numFmtId="0" fontId="35" fillId="36" borderId="2">
      <alignment horizontal="right" vertical="center"/>
    </xf>
    <xf numFmtId="0" fontId="33" fillId="37" borderId="2"/>
    <xf numFmtId="0" fontId="31" fillId="36" borderId="2">
      <alignment horizontal="right" vertical="center"/>
    </xf>
    <xf numFmtId="0" fontId="31" fillId="36" borderId="29">
      <alignment horizontal="right" vertical="center"/>
    </xf>
    <xf numFmtId="0" fontId="33" fillId="0" borderId="29">
      <alignment horizontal="right" vertical="center"/>
    </xf>
    <xf numFmtId="4" fontId="19" fillId="0" borderId="0"/>
    <xf numFmtId="0" fontId="31" fillId="38" borderId="28">
      <alignment horizontal="right" vertical="center"/>
    </xf>
    <xf numFmtId="0" fontId="31" fillId="38" borderId="29">
      <alignment horizontal="right" vertical="center"/>
    </xf>
    <xf numFmtId="0" fontId="31" fillId="38" borderId="26">
      <alignment horizontal="right" vertical="center"/>
    </xf>
    <xf numFmtId="4" fontId="31" fillId="38" borderId="27">
      <alignment horizontal="right" vertical="center"/>
    </xf>
    <xf numFmtId="0" fontId="33" fillId="0" borderId="0"/>
    <xf numFmtId="0" fontId="33" fillId="40" borderId="2">
      <alignment horizontal="right" vertical="center"/>
    </xf>
    <xf numFmtId="0" fontId="33" fillId="40" borderId="0" applyBorder="0">
      <alignment horizontal="right" vertical="center"/>
    </xf>
    <xf numFmtId="0" fontId="19" fillId="0" borderId="0"/>
    <xf numFmtId="0" fontId="19" fillId="39" borderId="2"/>
    <xf numFmtId="4" fontId="19" fillId="0" borderId="0"/>
    <xf numFmtId="4" fontId="33" fillId="0" borderId="2" applyFill="0" applyBorder="0" applyProtection="0">
      <alignment horizontal="right" vertical="center"/>
    </xf>
    <xf numFmtId="0" fontId="37" fillId="0" borderId="0" applyNumberFormat="0" applyFill="0" applyBorder="0" applyAlignment="0" applyProtection="0"/>
    <xf numFmtId="0" fontId="33" fillId="0" borderId="0"/>
    <xf numFmtId="4" fontId="19" fillId="0" borderId="0"/>
    <xf numFmtId="4" fontId="19" fillId="0" borderId="0"/>
    <xf numFmtId="0" fontId="1" fillId="0" borderId="0"/>
    <xf numFmtId="0" fontId="33" fillId="37" borderId="2"/>
    <xf numFmtId="0" fontId="31" fillId="38" borderId="27">
      <alignment horizontal="right" vertical="center"/>
    </xf>
    <xf numFmtId="0" fontId="41" fillId="59" borderId="58" applyNumberFormat="0" applyAlignment="0" applyProtection="0"/>
    <xf numFmtId="0" fontId="33" fillId="37" borderId="54"/>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33" fillId="0" borderId="2" applyNumberFormat="0" applyFill="0" applyAlignment="0" applyProtection="0"/>
    <xf numFmtId="0" fontId="31" fillId="38" borderId="2">
      <alignment horizontal="right" vertical="center"/>
    </xf>
    <xf numFmtId="0" fontId="31" fillId="38" borderId="2">
      <alignment horizontal="right" vertical="center"/>
    </xf>
    <xf numFmtId="0" fontId="33" fillId="0" borderId="35">
      <alignment horizontal="left" vertical="center" wrapText="1" indent="2"/>
    </xf>
    <xf numFmtId="0" fontId="31" fillId="38" borderId="27">
      <alignment horizontal="right" vertical="center"/>
    </xf>
    <xf numFmtId="0" fontId="33" fillId="0" borderId="2">
      <alignment horizontal="right" vertical="center"/>
    </xf>
    <xf numFmtId="0" fontId="35" fillId="36" borderId="2">
      <alignment horizontal="right" vertical="center"/>
    </xf>
    <xf numFmtId="0" fontId="33" fillId="37" borderId="2"/>
    <xf numFmtId="0" fontId="31" fillId="36" borderId="2">
      <alignment horizontal="right" vertical="center"/>
    </xf>
    <xf numFmtId="0" fontId="31" fillId="38" borderId="26">
      <alignment horizontal="right" vertical="center"/>
    </xf>
    <xf numFmtId="0" fontId="17" fillId="0" borderId="0" applyNumberFormat="0" applyFill="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49" fontId="33" fillId="0" borderId="2" applyNumberFormat="0" applyFont="0" applyFill="0" applyBorder="0" applyProtection="0">
      <alignment horizontal="left" vertical="center" indent="2"/>
    </xf>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50" borderId="0" applyNumberFormat="0" applyBorder="0" applyAlignment="0" applyProtection="0"/>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49" fontId="33" fillId="0" borderId="26" applyNumberFormat="0" applyFont="0" applyFill="0" applyBorder="0" applyProtection="0">
      <alignment horizontal="left" vertical="center" indent="5"/>
    </xf>
    <xf numFmtId="0" fontId="40" fillId="51" borderId="0" applyNumberFormat="0" applyBorder="0" applyAlignment="0" applyProtection="0"/>
    <xf numFmtId="0" fontId="40" fillId="48" borderId="0" applyNumberFormat="0" applyBorder="0" applyAlignment="0" applyProtection="0"/>
    <xf numFmtId="0" fontId="40" fillId="49"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8" borderId="0" applyNumberFormat="0" applyBorder="0" applyAlignment="0" applyProtection="0"/>
    <xf numFmtId="0" fontId="32" fillId="40" borderId="0" applyBorder="0" applyAlignment="0"/>
    <xf numFmtId="4" fontId="32" fillId="40" borderId="0" applyBorder="0" applyAlignment="0"/>
    <xf numFmtId="4" fontId="33" fillId="40" borderId="0" applyBorder="0">
      <alignment horizontal="right" vertical="center"/>
    </xf>
    <xf numFmtId="4" fontId="33" fillId="36" borderId="0" applyBorder="0">
      <alignment horizontal="right" vertical="center"/>
    </xf>
    <xf numFmtId="4" fontId="33" fillId="36" borderId="0" applyBorder="0">
      <alignment horizontal="right" vertical="center"/>
    </xf>
    <xf numFmtId="4" fontId="31" fillId="36" borderId="2">
      <alignment horizontal="right" vertical="center"/>
    </xf>
    <xf numFmtId="4" fontId="35" fillId="36" borderId="2">
      <alignment horizontal="right" vertical="center"/>
    </xf>
    <xf numFmtId="4" fontId="31" fillId="38" borderId="2">
      <alignment horizontal="right" vertical="center"/>
    </xf>
    <xf numFmtId="4" fontId="31" fillId="38" borderId="2">
      <alignment horizontal="right" vertical="center"/>
    </xf>
    <xf numFmtId="4" fontId="31" fillId="38" borderId="26">
      <alignment horizontal="right" vertical="center"/>
    </xf>
    <xf numFmtId="4" fontId="31" fillId="38" borderId="27">
      <alignment horizontal="right" vertical="center"/>
    </xf>
    <xf numFmtId="0" fontId="39" fillId="55"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9" fillId="58" borderId="0" applyNumberFormat="0" applyBorder="0" applyAlignment="0" applyProtection="0"/>
    <xf numFmtId="0" fontId="42" fillId="42" borderId="0" applyNumberFormat="0" applyBorder="0" applyAlignment="0" applyProtection="0"/>
    <xf numFmtId="4" fontId="32" fillId="0" borderId="4" applyFill="0" applyBorder="0" applyProtection="0">
      <alignment horizontal="right" vertical="center"/>
    </xf>
    <xf numFmtId="0" fontId="44" fillId="59" borderId="39" applyNumberFormat="0" applyAlignment="0" applyProtection="0"/>
    <xf numFmtId="0" fontId="45" fillId="60" borderId="40" applyNumberFormat="0" applyAlignment="0" applyProtection="0"/>
    <xf numFmtId="43" fontId="36" fillId="0" borderId="0" applyFont="0" applyFill="0" applyBorder="0" applyAlignment="0" applyProtection="0"/>
    <xf numFmtId="176" fontId="46" fillId="0" borderId="0" applyFont="0" applyFill="0" applyBorder="0" applyAlignment="0" applyProtection="0"/>
    <xf numFmtId="43" fontId="36" fillId="0" borderId="0" applyFont="0" applyFill="0" applyBorder="0" applyAlignment="0" applyProtection="0"/>
    <xf numFmtId="0" fontId="33" fillId="38" borderId="35">
      <alignment horizontal="left" vertical="center" wrapText="1" indent="2"/>
    </xf>
    <xf numFmtId="0" fontId="33" fillId="36" borderId="26">
      <alignment horizontal="left" vertical="center"/>
    </xf>
    <xf numFmtId="0" fontId="50" fillId="0" borderId="0" applyNumberFormat="0" applyFill="0" applyBorder="0" applyAlignment="0" applyProtection="0"/>
    <xf numFmtId="0" fontId="51" fillId="43" borderId="0" applyNumberFormat="0" applyBorder="0" applyAlignment="0" applyProtection="0"/>
    <xf numFmtId="0" fontId="52" fillId="43" borderId="0" applyNumberFormat="0" applyBorder="0" applyAlignment="0" applyProtection="0"/>
    <xf numFmtId="0" fontId="53" fillId="0" borderId="42" applyNumberFormat="0" applyFill="0" applyAlignment="0" applyProtection="0"/>
    <xf numFmtId="0" fontId="54" fillId="0" borderId="43" applyNumberFormat="0" applyFill="0" applyAlignment="0" applyProtection="0"/>
    <xf numFmtId="0" fontId="55" fillId="0" borderId="44" applyNumberFormat="0" applyFill="0" applyAlignment="0" applyProtection="0"/>
    <xf numFmtId="0" fontId="55" fillId="0" borderId="0" applyNumberFormat="0" applyFill="0" applyBorder="0" applyAlignment="0" applyProtection="0"/>
    <xf numFmtId="0" fontId="56" fillId="46" borderId="39" applyNumberFormat="0" applyAlignment="0" applyProtection="0"/>
    <xf numFmtId="4" fontId="33" fillId="0" borderId="0" applyBorder="0">
      <alignment horizontal="right" vertical="center"/>
    </xf>
    <xf numFmtId="0" fontId="33" fillId="0" borderId="5">
      <alignment horizontal="right" vertical="center"/>
    </xf>
    <xf numFmtId="4" fontId="33" fillId="0" borderId="2">
      <alignment horizontal="right" vertical="center"/>
    </xf>
    <xf numFmtId="1" fontId="34" fillId="36" borderId="0" applyBorder="0">
      <alignment horizontal="right" vertical="center"/>
    </xf>
    <xf numFmtId="0" fontId="57" fillId="0" borderId="45" applyNumberFormat="0" applyFill="0" applyAlignment="0" applyProtection="0"/>
    <xf numFmtId="0" fontId="58" fillId="61" borderId="0" applyNumberFormat="0" applyBorder="0" applyAlignment="0" applyProtection="0"/>
    <xf numFmtId="0" fontId="19" fillId="0" borderId="0"/>
    <xf numFmtId="0" fontId="19" fillId="0" borderId="0"/>
    <xf numFmtId="0" fontId="31" fillId="38" borderId="54">
      <alignment horizontal="right" vertical="center"/>
    </xf>
    <xf numFmtId="0" fontId="19" fillId="0" borderId="0"/>
    <xf numFmtId="0" fontId="46" fillId="0" borderId="0"/>
    <xf numFmtId="4" fontId="59" fillId="0" borderId="0"/>
    <xf numFmtId="0" fontId="19" fillId="0" borderId="0"/>
    <xf numFmtId="0" fontId="19" fillId="0" borderId="0"/>
    <xf numFmtId="0" fontId="19" fillId="0" borderId="0"/>
    <xf numFmtId="0" fontId="19" fillId="0" borderId="0"/>
    <xf numFmtId="0" fontId="1" fillId="0" borderId="0"/>
    <xf numFmtId="4" fontId="33" fillId="0" borderId="0" applyFill="0" applyBorder="0" applyProtection="0">
      <alignment horizontal="right" vertical="center"/>
    </xf>
    <xf numFmtId="4" fontId="33" fillId="0" borderId="0" applyFill="0" applyBorder="0" applyProtection="0">
      <alignment horizontal="right" vertical="center"/>
    </xf>
    <xf numFmtId="4" fontId="33" fillId="0" borderId="2" applyFill="0" applyBorder="0" applyProtection="0">
      <alignment horizontal="right" vertical="center"/>
    </xf>
    <xf numFmtId="0" fontId="32" fillId="0" borderId="0" applyNumberFormat="0" applyFill="0" applyBorder="0" applyProtection="0">
      <alignment horizontal="left" vertical="center"/>
    </xf>
    <xf numFmtId="49" fontId="32" fillId="0" borderId="2" applyNumberFormat="0" applyFill="0" applyBorder="0" applyProtection="0">
      <alignment horizontal="left" vertical="center"/>
    </xf>
    <xf numFmtId="0" fontId="19" fillId="37" borderId="0" applyNumberFormat="0" applyFont="0" applyBorder="0" applyAlignment="0" applyProtection="0"/>
    <xf numFmtId="4" fontId="19" fillId="37" borderId="0" applyNumberFormat="0" applyFont="0" applyBorder="0" applyAlignment="0" applyProtection="0"/>
    <xf numFmtId="4" fontId="19" fillId="37" borderId="0" applyNumberFormat="0" applyFont="0" applyBorder="0" applyAlignment="0" applyProtection="0"/>
    <xf numFmtId="0" fontId="19" fillId="37" borderId="0" applyNumberFormat="0" applyFont="0" applyBorder="0" applyAlignment="0" applyProtection="0"/>
    <xf numFmtId="0" fontId="19" fillId="37" borderId="0" applyNumberFormat="0" applyFont="0" applyBorder="0" applyAlignment="0" applyProtection="0"/>
    <xf numFmtId="0" fontId="46" fillId="15" borderId="0" applyNumberFormat="0" applyFont="0" applyBorder="0" applyAlignment="0" applyProtection="0"/>
    <xf numFmtId="0" fontId="38" fillId="62" borderId="46" applyNumberFormat="0" applyFont="0" applyAlignment="0" applyProtection="0"/>
    <xf numFmtId="0" fontId="19" fillId="62" borderId="46" applyNumberFormat="0" applyFont="0" applyAlignment="0" applyProtection="0"/>
    <xf numFmtId="0" fontId="60" fillId="59" borderId="38" applyNumberFormat="0" applyAlignment="0" applyProtection="0"/>
    <xf numFmtId="177" fontId="33" fillId="63" borderId="2" applyNumberFormat="0" applyFont="0" applyBorder="0" applyAlignment="0" applyProtection="0">
      <alignment horizontal="right" vertical="center"/>
    </xf>
    <xf numFmtId="9" fontId="46" fillId="0" borderId="0" applyFont="0" applyFill="0" applyBorder="0" applyAlignment="0" applyProtection="0"/>
    <xf numFmtId="0" fontId="61" fillId="42" borderId="0" applyNumberFormat="0" applyBorder="0" applyAlignment="0" applyProtection="0"/>
    <xf numFmtId="4" fontId="33" fillId="37" borderId="2"/>
    <xf numFmtId="0" fontId="33" fillId="37" borderId="29"/>
    <xf numFmtId="0" fontId="62" fillId="0" borderId="0" applyNumberFormat="0" applyFill="0" applyBorder="0" applyAlignment="0" applyProtection="0"/>
    <xf numFmtId="0" fontId="63" fillId="0" borderId="41" applyNumberFormat="0" applyFill="0" applyAlignment="0" applyProtection="0"/>
    <xf numFmtId="0" fontId="64" fillId="0" borderId="0" applyNumberFormat="0" applyFill="0" applyBorder="0" applyAlignment="0" applyProtection="0"/>
    <xf numFmtId="0" fontId="65" fillId="0" borderId="42" applyNumberFormat="0" applyFill="0" applyAlignment="0" applyProtection="0"/>
    <xf numFmtId="0" fontId="66" fillId="0" borderId="43" applyNumberFormat="0" applyFill="0" applyAlignment="0" applyProtection="0"/>
    <xf numFmtId="0" fontId="67" fillId="0" borderId="44" applyNumberFormat="0" applyFill="0" applyAlignment="0" applyProtection="0"/>
    <xf numFmtId="0" fontId="67" fillId="0" borderId="0" applyNumberFormat="0" applyFill="0" applyBorder="0" applyAlignment="0" applyProtection="0"/>
    <xf numFmtId="0" fontId="68" fillId="0" borderId="45" applyNumberFormat="0" applyFill="0" applyAlignment="0" applyProtection="0"/>
    <xf numFmtId="0" fontId="70" fillId="0" borderId="0" applyNumberFormat="0" applyFill="0" applyBorder="0" applyAlignment="0" applyProtection="0"/>
    <xf numFmtId="0" fontId="71" fillId="60" borderId="40" applyNumberFormat="0" applyAlignment="0" applyProtection="0"/>
    <xf numFmtId="0" fontId="37" fillId="0" borderId="0" applyNumberFormat="0" applyFill="0" applyBorder="0" applyAlignment="0" applyProtection="0"/>
    <xf numFmtId="0" fontId="72" fillId="0" borderId="0" applyNumberFormat="0" applyFill="0" applyBorder="0" applyAlignment="0" applyProtection="0"/>
    <xf numFmtId="0" fontId="19" fillId="0" borderId="0" applyNumberFormat="0" applyFont="0" applyFill="0" applyBorder="0" applyProtection="0">
      <alignment horizontal="left" vertical="center"/>
    </xf>
    <xf numFmtId="0" fontId="33" fillId="36" borderId="0" applyBorder="0">
      <alignment horizontal="right" vertical="center"/>
    </xf>
    <xf numFmtId="0" fontId="33" fillId="36" borderId="0" applyBorder="0">
      <alignment horizontal="right" vertical="center"/>
    </xf>
    <xf numFmtId="0" fontId="33" fillId="0" borderId="0" applyBorder="0">
      <alignment horizontal="right" vertical="center"/>
    </xf>
    <xf numFmtId="4" fontId="19" fillId="0" borderId="0"/>
    <xf numFmtId="0" fontId="73" fillId="0" borderId="0"/>
    <xf numFmtId="0" fontId="19" fillId="37" borderId="0" applyNumberFormat="0" applyFont="0" applyBorder="0" applyAlignment="0" applyProtection="0"/>
    <xf numFmtId="0" fontId="37" fillId="0" borderId="0" applyNumberFormat="0" applyFill="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50" borderId="0" applyNumberFormat="0" applyBorder="0" applyAlignment="0" applyProtection="0"/>
    <xf numFmtId="0" fontId="40" fillId="51" borderId="0" applyNumberFormat="0" applyBorder="0" applyAlignment="0" applyProtection="0"/>
    <xf numFmtId="0" fontId="40" fillId="48" borderId="0" applyNumberFormat="0" applyBorder="0" applyAlignment="0" applyProtection="0"/>
    <xf numFmtId="0" fontId="40" fillId="49"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8" borderId="0" applyNumberFormat="0" applyBorder="0" applyAlignment="0" applyProtection="0"/>
    <xf numFmtId="0" fontId="42" fillId="42" borderId="0" applyNumberFormat="0" applyBorder="0" applyAlignment="0" applyProtection="0"/>
    <xf numFmtId="0" fontId="44" fillId="59" borderId="39" applyNumberFormat="0" applyAlignment="0" applyProtection="0"/>
    <xf numFmtId="0" fontId="45" fillId="60" borderId="40" applyNumberFormat="0" applyAlignment="0" applyProtection="0"/>
    <xf numFmtId="0" fontId="50" fillId="0" borderId="0" applyNumberFormat="0" applyFill="0" applyBorder="0" applyAlignment="0" applyProtection="0"/>
    <xf numFmtId="0" fontId="51" fillId="43" borderId="0" applyNumberFormat="0" applyBorder="0" applyAlignment="0" applyProtection="0"/>
    <xf numFmtId="0" fontId="53" fillId="0" borderId="42" applyNumberFormat="0" applyFill="0" applyAlignment="0" applyProtection="0"/>
    <xf numFmtId="0" fontId="54" fillId="0" borderId="43" applyNumberFormat="0" applyFill="0" applyAlignment="0" applyProtection="0"/>
    <xf numFmtId="0" fontId="55" fillId="0" borderId="44" applyNumberFormat="0" applyFill="0" applyAlignment="0" applyProtection="0"/>
    <xf numFmtId="0" fontId="55" fillId="0" borderId="0" applyNumberFormat="0" applyFill="0" applyBorder="0" applyAlignment="0" applyProtection="0"/>
    <xf numFmtId="0" fontId="56" fillId="46" borderId="39" applyNumberFormat="0" applyAlignment="0" applyProtection="0"/>
    <xf numFmtId="0" fontId="57" fillId="0" borderId="45" applyNumberFormat="0" applyFill="0" applyAlignment="0" applyProtection="0"/>
    <xf numFmtId="0" fontId="58" fillId="61" borderId="0" applyNumberFormat="0" applyBorder="0" applyAlignment="0" applyProtection="0"/>
    <xf numFmtId="0" fontId="19" fillId="0" borderId="0"/>
    <xf numFmtId="0" fontId="38" fillId="62" borderId="46" applyNumberFormat="0" applyFont="0" applyAlignment="0" applyProtection="0"/>
    <xf numFmtId="0" fontId="60" fillId="59" borderId="38" applyNumberFormat="0" applyAlignment="0" applyProtection="0"/>
    <xf numFmtId="0" fontId="62" fillId="0" borderId="0" applyNumberFormat="0" applyFill="0" applyBorder="0" applyAlignment="0" applyProtection="0"/>
    <xf numFmtId="0" fontId="63" fillId="0" borderId="41" applyNumberFormat="0" applyFill="0" applyAlignment="0" applyProtection="0"/>
    <xf numFmtId="0" fontId="70" fillId="0" borderId="0" applyNumberFormat="0" applyFill="0" applyBorder="0" applyAlignment="0" applyProtection="0"/>
    <xf numFmtId="0" fontId="74" fillId="0" borderId="0">
      <alignment horizontal="left" vertical="center" indent="1"/>
    </xf>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50" borderId="0" applyNumberFormat="0" applyBorder="0" applyAlignment="0" applyProtection="0"/>
    <xf numFmtId="0" fontId="40" fillId="51" borderId="0" applyNumberFormat="0" applyBorder="0" applyAlignment="0" applyProtection="0"/>
    <xf numFmtId="0" fontId="40" fillId="48" borderId="0" applyNumberFormat="0" applyBorder="0" applyAlignment="0" applyProtection="0"/>
    <xf numFmtId="0" fontId="40" fillId="49"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31" fillId="36" borderId="47">
      <alignment horizontal="right" vertical="center"/>
    </xf>
    <xf numFmtId="4" fontId="31" fillId="36" borderId="47">
      <alignment horizontal="right" vertical="center"/>
    </xf>
    <xf numFmtId="0" fontId="35" fillId="36" borderId="47">
      <alignment horizontal="right" vertical="center"/>
    </xf>
    <xf numFmtId="4" fontId="35" fillId="36" borderId="47">
      <alignment horizontal="right" vertical="center"/>
    </xf>
    <xf numFmtId="0" fontId="31" fillId="38" borderId="47">
      <alignment horizontal="right" vertical="center"/>
    </xf>
    <xf numFmtId="4" fontId="31" fillId="38" borderId="47">
      <alignment horizontal="right" vertical="center"/>
    </xf>
    <xf numFmtId="0" fontId="31" fillId="38" borderId="47">
      <alignment horizontal="right" vertical="center"/>
    </xf>
    <xf numFmtId="4" fontId="31" fillId="38" borderId="47">
      <alignment horizontal="right" vertical="center"/>
    </xf>
    <xf numFmtId="0" fontId="31" fillId="38" borderId="48">
      <alignment horizontal="right" vertical="center"/>
    </xf>
    <xf numFmtId="4" fontId="31" fillId="38" borderId="48">
      <alignment horizontal="right" vertical="center"/>
    </xf>
    <xf numFmtId="0" fontId="31" fillId="38" borderId="49">
      <alignment horizontal="right" vertical="center"/>
    </xf>
    <xf numFmtId="4" fontId="31" fillId="38" borderId="49">
      <alignment horizontal="right" vertical="center"/>
    </xf>
    <xf numFmtId="0" fontId="44" fillId="59" borderId="39" applyNumberFormat="0" applyAlignment="0" applyProtection="0"/>
    <xf numFmtId="0" fontId="33" fillId="38" borderId="50">
      <alignment horizontal="left" vertical="center" wrapText="1" indent="2"/>
    </xf>
    <xf numFmtId="0" fontId="33" fillId="0" borderId="50">
      <alignment horizontal="left" vertical="center" wrapText="1" indent="2"/>
    </xf>
    <xf numFmtId="0" fontId="33" fillId="36" borderId="48">
      <alignment horizontal="left" vertical="center"/>
    </xf>
    <xf numFmtId="0" fontId="50" fillId="0" borderId="0" applyNumberFormat="0" applyFill="0" applyBorder="0" applyAlignment="0" applyProtection="0"/>
    <xf numFmtId="0" fontId="56" fillId="46" borderId="39" applyNumberFormat="0" applyAlignment="0" applyProtection="0"/>
    <xf numFmtId="0" fontId="33" fillId="0" borderId="47">
      <alignment horizontal="right" vertical="center"/>
    </xf>
    <xf numFmtId="4" fontId="33" fillId="0" borderId="47">
      <alignment horizontal="right" vertical="center"/>
    </xf>
    <xf numFmtId="0" fontId="1" fillId="0" borderId="0"/>
    <xf numFmtId="0" fontId="33" fillId="0" borderId="47" applyNumberFormat="0" applyFill="0" applyAlignment="0" applyProtection="0"/>
    <xf numFmtId="0" fontId="60" fillId="59" borderId="38" applyNumberFormat="0" applyAlignment="0" applyProtection="0"/>
    <xf numFmtId="177" fontId="33" fillId="63" borderId="47" applyNumberFormat="0" applyFont="0" applyBorder="0" applyAlignment="0" applyProtection="0">
      <alignment horizontal="right" vertical="center"/>
    </xf>
    <xf numFmtId="0" fontId="33" fillId="37" borderId="47"/>
    <xf numFmtId="4" fontId="33" fillId="37" borderId="47"/>
    <xf numFmtId="0" fontId="63" fillId="0" borderId="41" applyNumberFormat="0" applyFill="0" applyAlignment="0" applyProtection="0"/>
    <xf numFmtId="0" fontId="7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10" borderId="10" applyNumberFormat="0" applyAlignment="0" applyProtection="0"/>
    <xf numFmtId="0" fontId="33" fillId="36" borderId="0" applyBorder="0">
      <alignment horizontal="right" vertical="center"/>
    </xf>
    <xf numFmtId="0" fontId="33" fillId="36" borderId="0" applyBorder="0">
      <alignment horizontal="right" vertical="center"/>
    </xf>
    <xf numFmtId="0" fontId="33" fillId="0" borderId="0" applyBorder="0">
      <alignment horizontal="right" vertical="center"/>
    </xf>
    <xf numFmtId="0" fontId="19" fillId="0" borderId="0"/>
    <xf numFmtId="49" fontId="33" fillId="0" borderId="47" applyNumberFormat="0" applyFont="0" applyFill="0" applyBorder="0" applyProtection="0">
      <alignment horizontal="left" vertical="center" indent="2"/>
    </xf>
    <xf numFmtId="49" fontId="33" fillId="0" borderId="48" applyNumberFormat="0" applyFont="0" applyFill="0" applyBorder="0" applyProtection="0">
      <alignment horizontal="left" vertical="center" indent="5"/>
    </xf>
    <xf numFmtId="0" fontId="39" fillId="55"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9" fillId="58" borderId="0" applyNumberFormat="0" applyBorder="0" applyAlignment="0" applyProtection="0"/>
    <xf numFmtId="0" fontId="52" fillId="43" borderId="0" applyNumberFormat="0" applyBorder="0" applyAlignment="0" applyProtection="0"/>
    <xf numFmtId="4" fontId="19" fillId="0" borderId="0"/>
    <xf numFmtId="0" fontId="19" fillId="0" borderId="0"/>
    <xf numFmtId="0" fontId="1" fillId="0" borderId="0"/>
    <xf numFmtId="4" fontId="33" fillId="0" borderId="47" applyFill="0" applyBorder="0" applyProtection="0">
      <alignment horizontal="right" vertical="center"/>
    </xf>
    <xf numFmtId="49" fontId="32" fillId="0" borderId="47" applyNumberFormat="0" applyFill="0" applyBorder="0" applyProtection="0">
      <alignment horizontal="left" vertical="center"/>
    </xf>
    <xf numFmtId="0" fontId="19" fillId="37" borderId="0" applyNumberFormat="0" applyFont="0" applyBorder="0" applyAlignment="0" applyProtection="0"/>
    <xf numFmtId="0" fontId="61" fillId="42" borderId="0" applyNumberFormat="0" applyBorder="0" applyAlignment="0" applyProtection="0"/>
    <xf numFmtId="0" fontId="65" fillId="0" borderId="42" applyNumberFormat="0" applyFill="0" applyAlignment="0" applyProtection="0"/>
    <xf numFmtId="0" fontId="66" fillId="0" borderId="43" applyNumberFormat="0" applyFill="0" applyAlignment="0" applyProtection="0"/>
    <xf numFmtId="0" fontId="67" fillId="0" borderId="44" applyNumberFormat="0" applyFill="0" applyAlignment="0" applyProtection="0"/>
    <xf numFmtId="0" fontId="67" fillId="0" borderId="0" applyNumberFormat="0" applyFill="0" applyBorder="0" applyAlignment="0" applyProtection="0"/>
    <xf numFmtId="0" fontId="68" fillId="0" borderId="45" applyNumberFormat="0" applyFill="0" applyAlignment="0" applyProtection="0"/>
    <xf numFmtId="0" fontId="71" fillId="60" borderId="40" applyNumberFormat="0" applyAlignment="0" applyProtection="0"/>
    <xf numFmtId="0" fontId="37" fillId="0" borderId="0" applyNumberFormat="0" applyFill="0" applyBorder="0" applyAlignment="0" applyProtection="0"/>
    <xf numFmtId="0" fontId="1" fillId="0" borderId="0"/>
    <xf numFmtId="0" fontId="24" fillId="10" borderId="10" applyNumberFormat="0" applyAlignment="0" applyProtection="0"/>
    <xf numFmtId="0" fontId="36" fillId="41"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50" borderId="0" applyNumberFormat="0" applyBorder="0" applyAlignment="0" applyProtection="0"/>
    <xf numFmtId="0" fontId="39" fillId="51"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41" fillId="59" borderId="38" applyNumberFormat="0" applyAlignment="0" applyProtection="0"/>
    <xf numFmtId="0" fontId="43" fillId="59" borderId="39" applyNumberFormat="0" applyAlignment="0" applyProtection="0"/>
    <xf numFmtId="0" fontId="48" fillId="0" borderId="41" applyNumberFormat="0" applyFill="0" applyAlignment="0" applyProtection="0"/>
    <xf numFmtId="0" fontId="49" fillId="0" borderId="0" applyNumberFormat="0" applyFill="0" applyBorder="0" applyAlignment="0" applyProtection="0"/>
    <xf numFmtId="0" fontId="1" fillId="0" borderId="0"/>
    <xf numFmtId="0" fontId="69" fillId="0" borderId="0" applyNumberFormat="0" applyFill="0" applyBorder="0" applyAlignment="0" applyProtection="0"/>
    <xf numFmtId="0" fontId="1" fillId="0" borderId="0"/>
    <xf numFmtId="0" fontId="1" fillId="0" borderId="0"/>
    <xf numFmtId="0" fontId="1" fillId="0" borderId="0"/>
    <xf numFmtId="49" fontId="33" fillId="0" borderId="2" applyNumberFormat="0" applyFont="0" applyFill="0" applyBorder="0" applyProtection="0">
      <alignment horizontal="left" vertical="center" indent="2"/>
    </xf>
    <xf numFmtId="49" fontId="33" fillId="0" borderId="26" applyNumberFormat="0" applyFont="0" applyFill="0" applyBorder="0" applyProtection="0">
      <alignment horizontal="left" vertical="center" indent="5"/>
    </xf>
    <xf numFmtId="0" fontId="31" fillId="36" borderId="2">
      <alignment horizontal="right" vertical="center"/>
    </xf>
    <xf numFmtId="4" fontId="31" fillId="36" borderId="2">
      <alignment horizontal="right" vertical="center"/>
    </xf>
    <xf numFmtId="0" fontId="35" fillId="36" borderId="2">
      <alignment horizontal="right" vertical="center"/>
    </xf>
    <xf numFmtId="4" fontId="35" fillId="36" borderId="2">
      <alignment horizontal="right" vertical="center"/>
    </xf>
    <xf numFmtId="0" fontId="31" fillId="38" borderId="2">
      <alignment horizontal="right" vertical="center"/>
    </xf>
    <xf numFmtId="4" fontId="31" fillId="38" borderId="2">
      <alignment horizontal="right" vertical="center"/>
    </xf>
    <xf numFmtId="0" fontId="31" fillId="38" borderId="2">
      <alignment horizontal="right" vertical="center"/>
    </xf>
    <xf numFmtId="4" fontId="31" fillId="38" borderId="2">
      <alignment horizontal="right" vertical="center"/>
    </xf>
    <xf numFmtId="0" fontId="31" fillId="38" borderId="26">
      <alignment horizontal="right" vertical="center"/>
    </xf>
    <xf numFmtId="4" fontId="31" fillId="38" borderId="26">
      <alignment horizontal="right" vertical="center"/>
    </xf>
    <xf numFmtId="0" fontId="31" fillId="38" borderId="27">
      <alignment horizontal="right" vertical="center"/>
    </xf>
    <xf numFmtId="4" fontId="31" fillId="38" borderId="27">
      <alignment horizontal="right" vertical="center"/>
    </xf>
    <xf numFmtId="176" fontId="75" fillId="0" borderId="0" applyFont="0" applyFill="0" applyBorder="0" applyAlignment="0" applyProtection="0"/>
    <xf numFmtId="0" fontId="33" fillId="38" borderId="35">
      <alignment horizontal="left" vertical="center" wrapText="1" indent="2"/>
    </xf>
    <xf numFmtId="0" fontId="33" fillId="0" borderId="35">
      <alignment horizontal="left" vertical="center" wrapText="1" indent="2"/>
    </xf>
    <xf numFmtId="0" fontId="33" fillId="36" borderId="26">
      <alignment horizontal="left" vertical="center"/>
    </xf>
    <xf numFmtId="0" fontId="47" fillId="46" borderId="39" applyNumberFormat="0" applyAlignment="0" applyProtection="0"/>
    <xf numFmtId="0" fontId="33" fillId="0" borderId="2">
      <alignment horizontal="right" vertical="center"/>
    </xf>
    <xf numFmtId="4" fontId="33" fillId="0" borderId="2">
      <alignment horizontal="right" vertical="center"/>
    </xf>
    <xf numFmtId="0" fontId="75" fillId="0" borderId="0"/>
    <xf numFmtId="0" fontId="73" fillId="0" borderId="0"/>
    <xf numFmtId="0" fontId="73" fillId="0" borderId="0"/>
    <xf numFmtId="0" fontId="1" fillId="0" borderId="0"/>
    <xf numFmtId="0" fontId="1" fillId="0" borderId="0"/>
    <xf numFmtId="0" fontId="1" fillId="0" borderId="0"/>
    <xf numFmtId="0" fontId="1" fillId="0" borderId="0"/>
    <xf numFmtId="0" fontId="73" fillId="0" borderId="0"/>
    <xf numFmtId="0" fontId="19" fillId="0" borderId="0"/>
    <xf numFmtId="4" fontId="33" fillId="0" borderId="2" applyFill="0" applyBorder="0" applyProtection="0">
      <alignment horizontal="right" vertical="center"/>
    </xf>
    <xf numFmtId="49" fontId="32" fillId="0" borderId="2" applyNumberFormat="0" applyFill="0" applyBorder="0" applyProtection="0">
      <alignment horizontal="left" vertical="center"/>
    </xf>
    <xf numFmtId="0" fontId="33" fillId="0" borderId="2" applyNumberFormat="0" applyFill="0" applyAlignment="0" applyProtection="0"/>
    <xf numFmtId="0" fontId="75" fillId="15" borderId="0" applyNumberFormat="0" applyFont="0" applyBorder="0" applyAlignment="0" applyProtection="0"/>
    <xf numFmtId="177" fontId="33" fillId="63" borderId="2" applyNumberFormat="0" applyFont="0" applyBorder="0" applyAlignment="0" applyProtection="0">
      <alignment horizontal="right" vertical="center"/>
    </xf>
    <xf numFmtId="9" fontId="75" fillId="0" borderId="0" applyFont="0" applyFill="0" applyBorder="0" applyAlignment="0" applyProtection="0"/>
    <xf numFmtId="0" fontId="33" fillId="37" borderId="2"/>
    <xf numFmtId="4" fontId="33" fillId="37" borderId="2"/>
    <xf numFmtId="0" fontId="33" fillId="38" borderId="50">
      <alignment horizontal="left" vertical="center" wrapText="1" indent="2"/>
    </xf>
    <xf numFmtId="0" fontId="33" fillId="0" borderId="50">
      <alignment horizontal="left" vertical="center"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38" borderId="35">
      <alignment horizontal="left" vertical="center" wrapText="1" indent="2"/>
    </xf>
    <xf numFmtId="0" fontId="33" fillId="0" borderId="35">
      <alignment horizontal="left" vertical="center" wrapText="1" indent="2"/>
    </xf>
    <xf numFmtId="0" fontId="19" fillId="0" borderId="0"/>
    <xf numFmtId="4" fontId="31" fillId="38" borderId="47">
      <alignment horizontal="right" vertical="center"/>
    </xf>
    <xf numFmtId="0" fontId="33" fillId="37" borderId="47"/>
    <xf numFmtId="0" fontId="43" fillId="59" borderId="39" applyNumberFormat="0" applyAlignment="0" applyProtection="0"/>
    <xf numFmtId="0" fontId="31" fillId="36" borderId="47">
      <alignment horizontal="right" vertical="center"/>
    </xf>
    <xf numFmtId="0" fontId="33" fillId="0" borderId="47">
      <alignment horizontal="right" vertical="center"/>
    </xf>
    <xf numFmtId="0" fontId="63" fillId="0" borderId="41" applyNumberFormat="0" applyFill="0" applyAlignment="0" applyProtection="0"/>
    <xf numFmtId="0" fontId="33" fillId="36" borderId="48">
      <alignment horizontal="left" vertical="center"/>
    </xf>
    <xf numFmtId="0" fontId="56" fillId="46" borderId="39" applyNumberFormat="0" applyAlignment="0" applyProtection="0"/>
    <xf numFmtId="177" fontId="33" fillId="63" borderId="47" applyNumberFormat="0" applyFont="0" applyBorder="0" applyAlignment="0" applyProtection="0">
      <alignment horizontal="right" vertical="center"/>
    </xf>
    <xf numFmtId="0" fontId="38" fillId="62" borderId="46" applyNumberFormat="0" applyFont="0" applyAlignment="0" applyProtection="0"/>
    <xf numFmtId="0" fontId="33" fillId="0" borderId="50">
      <alignment horizontal="left" vertical="center" wrapText="1" indent="2"/>
    </xf>
    <xf numFmtId="4" fontId="33" fillId="37" borderId="47"/>
    <xf numFmtId="49" fontId="32" fillId="0" borderId="47" applyNumberFormat="0" applyFill="0" applyBorder="0" applyProtection="0">
      <alignment horizontal="left" vertical="center"/>
    </xf>
    <xf numFmtId="0" fontId="33" fillId="0" borderId="47">
      <alignment horizontal="right" vertical="center"/>
    </xf>
    <xf numFmtId="4" fontId="31" fillId="38" borderId="49">
      <alignment horizontal="right" vertical="center"/>
    </xf>
    <xf numFmtId="4" fontId="31" fillId="38" borderId="47">
      <alignment horizontal="right" vertical="center"/>
    </xf>
    <xf numFmtId="4" fontId="31" fillId="38" borderId="47">
      <alignment horizontal="right" vertical="center"/>
    </xf>
    <xf numFmtId="0" fontId="35" fillId="36" borderId="47">
      <alignment horizontal="right" vertical="center"/>
    </xf>
    <xf numFmtId="0" fontId="31" fillId="36" borderId="47">
      <alignment horizontal="right" vertical="center"/>
    </xf>
    <xf numFmtId="49" fontId="33" fillId="0" borderId="47" applyNumberFormat="0" applyFont="0" applyFill="0" applyBorder="0" applyProtection="0">
      <alignment horizontal="left" vertical="center" indent="2"/>
    </xf>
    <xf numFmtId="0" fontId="56" fillId="46" borderId="39" applyNumberFormat="0" applyAlignment="0" applyProtection="0"/>
    <xf numFmtId="0" fontId="41" fillId="59" borderId="38" applyNumberFormat="0" applyAlignment="0" applyProtection="0"/>
    <xf numFmtId="49" fontId="33" fillId="0" borderId="47" applyNumberFormat="0" applyFont="0" applyFill="0" applyBorder="0" applyProtection="0">
      <alignment horizontal="left" vertical="center" indent="2"/>
    </xf>
    <xf numFmtId="0" fontId="47" fillId="46" borderId="39" applyNumberFormat="0" applyAlignment="0" applyProtection="0"/>
    <xf numFmtId="4" fontId="33" fillId="0" borderId="47" applyFill="0" applyBorder="0" applyProtection="0">
      <alignment horizontal="right" vertical="center"/>
    </xf>
    <xf numFmtId="0" fontId="44" fillId="59" borderId="39" applyNumberFormat="0" applyAlignment="0" applyProtection="0"/>
    <xf numFmtId="0" fontId="63" fillId="0" borderId="41" applyNumberFormat="0" applyFill="0" applyAlignment="0" applyProtection="0"/>
    <xf numFmtId="0" fontId="60" fillId="59" borderId="38" applyNumberFormat="0" applyAlignment="0" applyProtection="0"/>
    <xf numFmtId="0" fontId="33" fillId="0" borderId="47" applyNumberFormat="0" applyFill="0" applyAlignment="0" applyProtection="0"/>
    <xf numFmtId="4" fontId="33" fillId="0" borderId="47">
      <alignment horizontal="right" vertical="center"/>
    </xf>
    <xf numFmtId="0" fontId="33" fillId="0" borderId="47">
      <alignment horizontal="right" vertical="center"/>
    </xf>
    <xf numFmtId="0" fontId="56" fillId="46" borderId="39" applyNumberFormat="0" applyAlignment="0" applyProtection="0"/>
    <xf numFmtId="0" fontId="41" fillId="59" borderId="38" applyNumberFormat="0" applyAlignment="0" applyProtection="0"/>
    <xf numFmtId="0" fontId="43" fillId="59" borderId="39" applyNumberFormat="0" applyAlignment="0" applyProtection="0"/>
    <xf numFmtId="0" fontId="33" fillId="38" borderId="50">
      <alignment horizontal="left" vertical="center" wrapText="1" indent="2"/>
    </xf>
    <xf numFmtId="0" fontId="44" fillId="59" borderId="39" applyNumberFormat="0" applyAlignment="0" applyProtection="0"/>
    <xf numFmtId="0" fontId="44" fillId="59" borderId="39" applyNumberFormat="0" applyAlignment="0" applyProtection="0"/>
    <xf numFmtId="4" fontId="31" fillId="38" borderId="48">
      <alignment horizontal="right" vertical="center"/>
    </xf>
    <xf numFmtId="0" fontId="31" fillId="38" borderId="48">
      <alignment horizontal="right" vertical="center"/>
    </xf>
    <xf numFmtId="0" fontId="31" fillId="38" borderId="47">
      <alignment horizontal="right" vertical="center"/>
    </xf>
    <xf numFmtId="4" fontId="35" fillId="36" borderId="47">
      <alignment horizontal="right" vertical="center"/>
    </xf>
    <xf numFmtId="0" fontId="47" fillId="46" borderId="39" applyNumberFormat="0" applyAlignment="0" applyProtection="0"/>
    <xf numFmtId="0" fontId="48" fillId="0" borderId="41" applyNumberFormat="0" applyFill="0" applyAlignment="0" applyProtection="0"/>
    <xf numFmtId="0" fontId="63" fillId="0" borderId="41" applyNumberFormat="0" applyFill="0" applyAlignment="0" applyProtection="0"/>
    <xf numFmtId="0" fontId="38" fillId="62" borderId="46" applyNumberFormat="0" applyFont="0" applyAlignment="0" applyProtection="0"/>
    <xf numFmtId="0" fontId="56" fillId="46" borderId="39" applyNumberFormat="0" applyAlignment="0" applyProtection="0"/>
    <xf numFmtId="49" fontId="32" fillId="0" borderId="47" applyNumberFormat="0" applyFill="0" applyBorder="0" applyProtection="0">
      <alignment horizontal="left" vertical="center"/>
    </xf>
    <xf numFmtId="0" fontId="33" fillId="38" borderId="50">
      <alignment horizontal="left" vertical="center" wrapText="1" indent="2"/>
    </xf>
    <xf numFmtId="0" fontId="44" fillId="59" borderId="39" applyNumberFormat="0" applyAlignment="0" applyProtection="0"/>
    <xf numFmtId="0" fontId="33" fillId="0" borderId="50">
      <alignment horizontal="left" vertical="center" wrapText="1" indent="2"/>
    </xf>
    <xf numFmtId="0" fontId="38" fillId="62" borderId="46" applyNumberFormat="0" applyFont="0" applyAlignment="0" applyProtection="0"/>
    <xf numFmtId="0" fontId="19" fillId="62" borderId="46" applyNumberFormat="0" applyFont="0" applyAlignment="0" applyProtection="0"/>
    <xf numFmtId="0" fontId="60" fillId="59" borderId="38" applyNumberFormat="0" applyAlignment="0" applyProtection="0"/>
    <xf numFmtId="0" fontId="63" fillId="0" borderId="41" applyNumberFormat="0" applyFill="0" applyAlignment="0" applyProtection="0"/>
    <xf numFmtId="4" fontId="33" fillId="37" borderId="47"/>
    <xf numFmtId="0" fontId="31" fillId="38" borderId="47">
      <alignment horizontal="right" vertical="center"/>
    </xf>
    <xf numFmtId="0" fontId="63" fillId="0" borderId="41" applyNumberFormat="0" applyFill="0" applyAlignment="0" applyProtection="0"/>
    <xf numFmtId="4" fontId="31" fillId="38" borderId="49">
      <alignment horizontal="right" vertical="center"/>
    </xf>
    <xf numFmtId="0" fontId="43" fillId="59" borderId="39" applyNumberFormat="0" applyAlignment="0" applyProtection="0"/>
    <xf numFmtId="0" fontId="31" fillId="38" borderId="48">
      <alignment horizontal="right" vertical="center"/>
    </xf>
    <xf numFmtId="0" fontId="44" fillId="59" borderId="39" applyNumberFormat="0" applyAlignment="0" applyProtection="0"/>
    <xf numFmtId="0" fontId="48" fillId="0" borderId="41" applyNumberFormat="0" applyFill="0" applyAlignment="0" applyProtection="0"/>
    <xf numFmtId="0" fontId="38" fillId="62" borderId="46" applyNumberFormat="0" applyFont="0" applyAlignment="0" applyProtection="0"/>
    <xf numFmtId="4" fontId="31" fillId="38" borderId="48">
      <alignment horizontal="right" vertical="center"/>
    </xf>
    <xf numFmtId="0" fontId="33" fillId="38" borderId="50">
      <alignment horizontal="left" vertical="center" wrapText="1" indent="2"/>
    </xf>
    <xf numFmtId="0" fontId="33" fillId="37" borderId="47"/>
    <xf numFmtId="177" fontId="33" fillId="63" borderId="47" applyNumberFormat="0" applyFont="0" applyBorder="0" applyAlignment="0" applyProtection="0">
      <alignment horizontal="right" vertical="center"/>
    </xf>
    <xf numFmtId="0" fontId="33" fillId="0" borderId="47" applyNumberFormat="0" applyFill="0" applyAlignment="0" applyProtection="0"/>
    <xf numFmtId="4" fontId="33" fillId="0" borderId="47" applyFill="0" applyBorder="0" applyProtection="0">
      <alignment horizontal="right" vertical="center"/>
    </xf>
    <xf numFmtId="4" fontId="31" fillId="36" borderId="47">
      <alignment horizontal="right" vertical="center"/>
    </xf>
    <xf numFmtId="0" fontId="48" fillId="0" borderId="41" applyNumberFormat="0" applyFill="0" applyAlignment="0" applyProtection="0"/>
    <xf numFmtId="49" fontId="32" fillId="0" borderId="47" applyNumberFormat="0" applyFill="0" applyBorder="0" applyProtection="0">
      <alignment horizontal="left" vertical="center"/>
    </xf>
    <xf numFmtId="49" fontId="33" fillId="0" borderId="48" applyNumberFormat="0" applyFont="0" applyFill="0" applyBorder="0" applyProtection="0">
      <alignment horizontal="left" vertical="center" indent="5"/>
    </xf>
    <xf numFmtId="0" fontId="33" fillId="36" borderId="48">
      <alignment horizontal="left" vertical="center"/>
    </xf>
    <xf numFmtId="0" fontId="44" fillId="59" borderId="39" applyNumberFormat="0" applyAlignment="0" applyProtection="0"/>
    <xf numFmtId="4" fontId="31" fillId="38" borderId="49">
      <alignment horizontal="right" vertical="center"/>
    </xf>
    <xf numFmtId="0" fontId="56" fillId="46" borderId="39" applyNumberFormat="0" applyAlignment="0" applyProtection="0"/>
    <xf numFmtId="0" fontId="56" fillId="46" borderId="39" applyNumberFormat="0" applyAlignment="0" applyProtection="0"/>
    <xf numFmtId="0" fontId="38" fillId="62" borderId="46" applyNumberFormat="0" applyFont="0" applyAlignment="0" applyProtection="0"/>
    <xf numFmtId="0" fontId="60" fillId="59" borderId="38" applyNumberFormat="0" applyAlignment="0" applyProtection="0"/>
    <xf numFmtId="0" fontId="63" fillId="0" borderId="41" applyNumberFormat="0" applyFill="0" applyAlignment="0" applyProtection="0"/>
    <xf numFmtId="0" fontId="31" fillId="38" borderId="47">
      <alignment horizontal="right" vertical="center"/>
    </xf>
    <xf numFmtId="0" fontId="19" fillId="62" borderId="46" applyNumberFormat="0" applyFont="0" applyAlignment="0" applyProtection="0"/>
    <xf numFmtId="4" fontId="33" fillId="0" borderId="47">
      <alignment horizontal="right" vertical="center"/>
    </xf>
    <xf numFmtId="0" fontId="63" fillId="0" borderId="41" applyNumberFormat="0" applyFill="0" applyAlignment="0" applyProtection="0"/>
    <xf numFmtId="0" fontId="31" fillId="38" borderId="47">
      <alignment horizontal="right" vertical="center"/>
    </xf>
    <xf numFmtId="0" fontId="31" fillId="38" borderId="47">
      <alignment horizontal="right" vertical="center"/>
    </xf>
    <xf numFmtId="4" fontId="35" fillId="36" borderId="47">
      <alignment horizontal="right" vertical="center"/>
    </xf>
    <xf numFmtId="0" fontId="31" fillId="36" borderId="47">
      <alignment horizontal="right" vertical="center"/>
    </xf>
    <xf numFmtId="4" fontId="31" fillId="36" borderId="47">
      <alignment horizontal="right" vertical="center"/>
    </xf>
    <xf numFmtId="0" fontId="35" fillId="36" borderId="47">
      <alignment horizontal="right" vertical="center"/>
    </xf>
    <xf numFmtId="4" fontId="35" fillId="36" borderId="47">
      <alignment horizontal="right" vertical="center"/>
    </xf>
    <xf numFmtId="0" fontId="31" fillId="38" borderId="47">
      <alignment horizontal="right" vertical="center"/>
    </xf>
    <xf numFmtId="4" fontId="31" fillId="38" borderId="47">
      <alignment horizontal="right" vertical="center"/>
    </xf>
    <xf numFmtId="0" fontId="31" fillId="38" borderId="47">
      <alignment horizontal="right" vertical="center"/>
    </xf>
    <xf numFmtId="4" fontId="31" fillId="38" borderId="47">
      <alignment horizontal="right" vertical="center"/>
    </xf>
    <xf numFmtId="0" fontId="31" fillId="38" borderId="48">
      <alignment horizontal="right" vertical="center"/>
    </xf>
    <xf numFmtId="4" fontId="31" fillId="38" borderId="48">
      <alignment horizontal="right" vertical="center"/>
    </xf>
    <xf numFmtId="0" fontId="31" fillId="38" borderId="49">
      <alignment horizontal="right" vertical="center"/>
    </xf>
    <xf numFmtId="4" fontId="31" fillId="38" borderId="49">
      <alignment horizontal="right" vertical="center"/>
    </xf>
    <xf numFmtId="0" fontId="44" fillId="59" borderId="39" applyNumberFormat="0" applyAlignment="0" applyProtection="0"/>
    <xf numFmtId="0" fontId="33" fillId="38" borderId="50">
      <alignment horizontal="left" vertical="center" wrapText="1" indent="2"/>
    </xf>
    <xf numFmtId="0" fontId="33" fillId="0" borderId="50">
      <alignment horizontal="left" vertical="center" wrapText="1" indent="2"/>
    </xf>
    <xf numFmtId="0" fontId="33" fillId="36" borderId="48">
      <alignment horizontal="left" vertical="center"/>
    </xf>
    <xf numFmtId="0" fontId="56" fillId="46" borderId="39" applyNumberFormat="0" applyAlignment="0" applyProtection="0"/>
    <xf numFmtId="0" fontId="33" fillId="0" borderId="47">
      <alignment horizontal="right" vertical="center"/>
    </xf>
    <xf numFmtId="4" fontId="33" fillId="0" borderId="47">
      <alignment horizontal="right" vertical="center"/>
    </xf>
    <xf numFmtId="0" fontId="33" fillId="0" borderId="47" applyNumberFormat="0" applyFill="0" applyAlignment="0" applyProtection="0"/>
    <xf numFmtId="0" fontId="60" fillId="59" borderId="38" applyNumberFormat="0" applyAlignment="0" applyProtection="0"/>
    <xf numFmtId="177" fontId="33" fillId="63" borderId="47" applyNumberFormat="0" applyFont="0" applyBorder="0" applyAlignment="0" applyProtection="0">
      <alignment horizontal="right" vertical="center"/>
    </xf>
    <xf numFmtId="0" fontId="33" fillId="37" borderId="47"/>
    <xf numFmtId="4" fontId="33" fillId="37" borderId="47"/>
    <xf numFmtId="0" fontId="63" fillId="0" borderId="41" applyNumberFormat="0" applyFill="0" applyAlignment="0" applyProtection="0"/>
    <xf numFmtId="0" fontId="19" fillId="62" borderId="46" applyNumberFormat="0" applyFont="0" applyAlignment="0" applyProtection="0"/>
    <xf numFmtId="0" fontId="38" fillId="62" borderId="46" applyNumberFormat="0" applyFont="0" applyAlignment="0" applyProtection="0"/>
    <xf numFmtId="0" fontId="33" fillId="0" borderId="47" applyNumberFormat="0" applyFill="0" applyAlignment="0" applyProtection="0"/>
    <xf numFmtId="0" fontId="48" fillId="0" borderId="41" applyNumberFormat="0" applyFill="0" applyAlignment="0" applyProtection="0"/>
    <xf numFmtId="0" fontId="63" fillId="0" borderId="41" applyNumberFormat="0" applyFill="0" applyAlignment="0" applyProtection="0"/>
    <xf numFmtId="0" fontId="47" fillId="46" borderId="39" applyNumberFormat="0" applyAlignment="0" applyProtection="0"/>
    <xf numFmtId="0" fontId="44" fillId="59" borderId="39" applyNumberFormat="0" applyAlignment="0" applyProtection="0"/>
    <xf numFmtId="4" fontId="35" fillId="36" borderId="47">
      <alignment horizontal="right" vertical="center"/>
    </xf>
    <xf numFmtId="0" fontId="31" fillId="36" borderId="47">
      <alignment horizontal="right" vertical="center"/>
    </xf>
    <xf numFmtId="177" fontId="33" fillId="63" borderId="47" applyNumberFormat="0" applyFont="0" applyBorder="0" applyAlignment="0" applyProtection="0">
      <alignment horizontal="right" vertical="center"/>
    </xf>
    <xf numFmtId="0" fontId="48" fillId="0" borderId="41" applyNumberFormat="0" applyFill="0" applyAlignment="0" applyProtection="0"/>
    <xf numFmtId="49" fontId="33" fillId="0" borderId="47" applyNumberFormat="0" applyFont="0" applyFill="0" applyBorder="0" applyProtection="0">
      <alignment horizontal="left" vertical="center" indent="2"/>
    </xf>
    <xf numFmtId="49" fontId="33" fillId="0" borderId="48" applyNumberFormat="0" applyFont="0" applyFill="0" applyBorder="0" applyProtection="0">
      <alignment horizontal="left" vertical="center" indent="5"/>
    </xf>
    <xf numFmtId="49" fontId="33" fillId="0" borderId="47" applyNumberFormat="0" applyFont="0" applyFill="0" applyBorder="0" applyProtection="0">
      <alignment horizontal="left" vertical="center" indent="2"/>
    </xf>
    <xf numFmtId="4" fontId="33" fillId="0" borderId="47" applyFill="0" applyBorder="0" applyProtection="0">
      <alignment horizontal="right" vertical="center"/>
    </xf>
    <xf numFmtId="49" fontId="32" fillId="0" borderId="47" applyNumberFormat="0" applyFill="0" applyBorder="0" applyProtection="0">
      <alignment horizontal="left" vertical="center"/>
    </xf>
    <xf numFmtId="0" fontId="33" fillId="0" borderId="50">
      <alignment horizontal="left" vertical="center" wrapText="1" indent="2"/>
    </xf>
    <xf numFmtId="0" fontId="60" fillId="59" borderId="38" applyNumberFormat="0" applyAlignment="0" applyProtection="0"/>
    <xf numFmtId="0" fontId="31" fillId="38" borderId="49">
      <alignment horizontal="right" vertical="center"/>
    </xf>
    <xf numFmtId="0" fontId="47" fillId="46" borderId="39" applyNumberFormat="0" applyAlignment="0" applyProtection="0"/>
    <xf numFmtId="0" fontId="31" fillId="38" borderId="49">
      <alignment horizontal="right" vertical="center"/>
    </xf>
    <xf numFmtId="4" fontId="31" fillId="38" borderId="47">
      <alignment horizontal="right" vertical="center"/>
    </xf>
    <xf numFmtId="0" fontId="31" fillId="38" borderId="47">
      <alignment horizontal="right" vertical="center"/>
    </xf>
    <xf numFmtId="0" fontId="41" fillId="59" borderId="38" applyNumberFormat="0" applyAlignment="0" applyProtection="0"/>
    <xf numFmtId="0" fontId="43" fillId="59" borderId="39" applyNumberFormat="0" applyAlignment="0" applyProtection="0"/>
    <xf numFmtId="0" fontId="48" fillId="0" borderId="41" applyNumberFormat="0" applyFill="0" applyAlignment="0" applyProtection="0"/>
    <xf numFmtId="0" fontId="33" fillId="37" borderId="47"/>
    <xf numFmtId="4" fontId="33" fillId="37" borderId="47"/>
    <xf numFmtId="4" fontId="31" fillId="38" borderId="47">
      <alignment horizontal="right" vertical="center"/>
    </xf>
    <xf numFmtId="0" fontId="35" fillId="36" borderId="47">
      <alignment horizontal="right" vertical="center"/>
    </xf>
    <xf numFmtId="0" fontId="47" fillId="46" borderId="39" applyNumberFormat="0" applyAlignment="0" applyProtection="0"/>
    <xf numFmtId="0" fontId="44" fillId="59" borderId="39" applyNumberFormat="0" applyAlignment="0" applyProtection="0"/>
    <xf numFmtId="4" fontId="33" fillId="0" borderId="47">
      <alignment horizontal="right" vertical="center"/>
    </xf>
    <xf numFmtId="0" fontId="33" fillId="38" borderId="50">
      <alignment horizontal="left" vertical="center" wrapText="1" indent="2"/>
    </xf>
    <xf numFmtId="0" fontId="33" fillId="0" borderId="50">
      <alignment horizontal="left" vertical="center" wrapText="1" indent="2"/>
    </xf>
    <xf numFmtId="0" fontId="60" fillId="59" borderId="38" applyNumberFormat="0" applyAlignment="0" applyProtection="0"/>
    <xf numFmtId="0" fontId="56" fillId="46" borderId="39" applyNumberFormat="0" applyAlignment="0" applyProtection="0"/>
    <xf numFmtId="0" fontId="43" fillId="59" borderId="39" applyNumberFormat="0" applyAlignment="0" applyProtection="0"/>
    <xf numFmtId="0" fontId="41" fillId="59" borderId="38" applyNumberFormat="0" applyAlignment="0" applyProtection="0"/>
    <xf numFmtId="0" fontId="31" fillId="38" borderId="49">
      <alignment horizontal="right" vertical="center"/>
    </xf>
    <xf numFmtId="0" fontId="35" fillId="36" borderId="47">
      <alignment horizontal="right" vertical="center"/>
    </xf>
    <xf numFmtId="4" fontId="31" fillId="36" borderId="47">
      <alignment horizontal="right" vertical="center"/>
    </xf>
    <xf numFmtId="4" fontId="31" fillId="38" borderId="47">
      <alignment horizontal="right" vertical="center"/>
    </xf>
    <xf numFmtId="49" fontId="33" fillId="0" borderId="48" applyNumberFormat="0" applyFont="0" applyFill="0" applyBorder="0" applyProtection="0">
      <alignment horizontal="left" vertical="center" indent="5"/>
    </xf>
    <xf numFmtId="4" fontId="33" fillId="0" borderId="47" applyFill="0" applyBorder="0" applyProtection="0">
      <alignment horizontal="right" vertical="center"/>
    </xf>
    <xf numFmtId="4" fontId="31" fillId="36" borderId="47">
      <alignment horizontal="right" vertical="center"/>
    </xf>
    <xf numFmtId="0" fontId="19" fillId="0" borderId="0"/>
    <xf numFmtId="0" fontId="56" fillId="46" borderId="39" applyNumberFormat="0" applyAlignment="0" applyProtection="0"/>
    <xf numFmtId="0" fontId="47" fillId="46" borderId="39" applyNumberFormat="0" applyAlignment="0" applyProtection="0"/>
    <xf numFmtId="0" fontId="43" fillId="59" borderId="39" applyNumberFormat="0" applyAlignment="0" applyProtection="0"/>
    <xf numFmtId="0" fontId="33" fillId="38" borderId="50">
      <alignment horizontal="left" vertical="center" wrapText="1" indent="2"/>
    </xf>
    <xf numFmtId="0" fontId="33" fillId="0" borderId="50">
      <alignment horizontal="left" vertical="center" wrapText="1" indent="2"/>
    </xf>
    <xf numFmtId="0" fontId="33" fillId="38" borderId="50">
      <alignment horizontal="left" vertical="center" wrapText="1" indent="2"/>
    </xf>
    <xf numFmtId="0" fontId="33" fillId="0" borderId="50">
      <alignment horizontal="left" vertical="center" wrapText="1" indent="2"/>
    </xf>
    <xf numFmtId="0" fontId="41" fillId="59" borderId="38" applyNumberFormat="0" applyAlignment="0" applyProtection="0"/>
    <xf numFmtId="0" fontId="43" fillId="59" borderId="39" applyNumberFormat="0" applyAlignment="0" applyProtection="0"/>
    <xf numFmtId="0" fontId="44" fillId="59" borderId="39" applyNumberFormat="0" applyAlignment="0" applyProtection="0"/>
    <xf numFmtId="0" fontId="47" fillId="46" borderId="39" applyNumberFormat="0" applyAlignment="0" applyProtection="0"/>
    <xf numFmtId="0" fontId="48" fillId="0" borderId="41" applyNumberFormat="0" applyFill="0" applyAlignment="0" applyProtection="0"/>
    <xf numFmtId="0" fontId="56" fillId="46" borderId="39" applyNumberFormat="0" applyAlignment="0" applyProtection="0"/>
    <xf numFmtId="0" fontId="38" fillId="62" borderId="46" applyNumberFormat="0" applyFont="0" applyAlignment="0" applyProtection="0"/>
    <xf numFmtId="0" fontId="19" fillId="62" borderId="46" applyNumberFormat="0" applyFont="0" applyAlignment="0" applyProtection="0"/>
    <xf numFmtId="0" fontId="60" fillId="59" borderId="38" applyNumberFormat="0" applyAlignment="0" applyProtection="0"/>
    <xf numFmtId="0" fontId="63" fillId="0" borderId="41" applyNumberFormat="0" applyFill="0" applyAlignment="0" applyProtection="0"/>
    <xf numFmtId="0" fontId="44" fillId="59" borderId="39" applyNumberFormat="0" applyAlignment="0" applyProtection="0"/>
    <xf numFmtId="0" fontId="56" fillId="46" borderId="39" applyNumberFormat="0" applyAlignment="0" applyProtection="0"/>
    <xf numFmtId="0" fontId="38" fillId="62" borderId="46" applyNumberFormat="0" applyFont="0" applyAlignment="0" applyProtection="0"/>
    <xf numFmtId="0" fontId="60" fillId="59" borderId="38" applyNumberFormat="0" applyAlignment="0" applyProtection="0"/>
    <xf numFmtId="0" fontId="63" fillId="0" borderId="41" applyNumberFormat="0" applyFill="0" applyAlignment="0" applyProtection="0"/>
    <xf numFmtId="0" fontId="31" fillId="38" borderId="26">
      <alignment horizontal="right" vertical="center"/>
    </xf>
    <xf numFmtId="4" fontId="31" fillId="38" borderId="26">
      <alignment horizontal="right" vertical="center"/>
    </xf>
    <xf numFmtId="0" fontId="31" fillId="38" borderId="27">
      <alignment horizontal="right" vertical="center"/>
    </xf>
    <xf numFmtId="4" fontId="31" fillId="38" borderId="27">
      <alignment horizontal="right" vertical="center"/>
    </xf>
    <xf numFmtId="0" fontId="44" fillId="59" borderId="39" applyNumberFormat="0" applyAlignment="0" applyProtection="0"/>
    <xf numFmtId="0" fontId="33" fillId="38" borderId="35">
      <alignment horizontal="left" vertical="center" wrapText="1" indent="2"/>
    </xf>
    <xf numFmtId="0" fontId="33" fillId="0" borderId="35">
      <alignment horizontal="left" vertical="center" wrapText="1" indent="2"/>
    </xf>
    <xf numFmtId="0" fontId="33" fillId="36" borderId="26">
      <alignment horizontal="left" vertical="center"/>
    </xf>
    <xf numFmtId="0" fontId="56" fillId="46" borderId="39" applyNumberFormat="0" applyAlignment="0" applyProtection="0"/>
    <xf numFmtId="0" fontId="60" fillId="59" borderId="38" applyNumberFormat="0" applyAlignment="0" applyProtection="0"/>
    <xf numFmtId="0" fontId="63" fillId="0" borderId="41" applyNumberFormat="0" applyFill="0" applyAlignment="0" applyProtection="0"/>
    <xf numFmtId="49" fontId="33" fillId="0" borderId="26" applyNumberFormat="0" applyFont="0" applyFill="0" applyBorder="0" applyProtection="0">
      <alignment horizontal="left" vertical="center" indent="5"/>
    </xf>
    <xf numFmtId="0" fontId="41" fillId="59" borderId="38" applyNumberFormat="0" applyAlignment="0" applyProtection="0"/>
    <xf numFmtId="0" fontId="43" fillId="59" borderId="39" applyNumberFormat="0" applyAlignment="0" applyProtection="0"/>
    <xf numFmtId="0" fontId="48" fillId="0" borderId="41" applyNumberFormat="0" applyFill="0" applyAlignment="0" applyProtection="0"/>
    <xf numFmtId="49" fontId="33" fillId="0" borderId="47" applyNumberFormat="0" applyFont="0" applyFill="0" applyBorder="0" applyProtection="0">
      <alignment horizontal="left" vertical="center" indent="2"/>
    </xf>
    <xf numFmtId="0" fontId="31" fillId="36" borderId="47">
      <alignment horizontal="right" vertical="center"/>
    </xf>
    <xf numFmtId="4" fontId="31" fillId="36" borderId="47">
      <alignment horizontal="right" vertical="center"/>
    </xf>
    <xf numFmtId="0" fontId="35" fillId="36" borderId="47">
      <alignment horizontal="right" vertical="center"/>
    </xf>
    <xf numFmtId="4" fontId="35" fillId="36" borderId="47">
      <alignment horizontal="right" vertical="center"/>
    </xf>
    <xf numFmtId="0" fontId="31" fillId="38" borderId="47">
      <alignment horizontal="right" vertical="center"/>
    </xf>
    <xf numFmtId="4" fontId="31" fillId="38" borderId="47">
      <alignment horizontal="right" vertical="center"/>
    </xf>
    <xf numFmtId="0" fontId="31" fillId="38" borderId="47">
      <alignment horizontal="right" vertical="center"/>
    </xf>
    <xf numFmtId="4" fontId="31" fillId="38" borderId="47">
      <alignment horizontal="right" vertical="center"/>
    </xf>
    <xf numFmtId="0" fontId="47" fillId="46" borderId="39" applyNumberFormat="0" applyAlignment="0" applyProtection="0"/>
    <xf numFmtId="0" fontId="33" fillId="0" borderId="47">
      <alignment horizontal="right" vertical="center"/>
    </xf>
    <xf numFmtId="4" fontId="33" fillId="0" borderId="47">
      <alignment horizontal="right" vertical="center"/>
    </xf>
    <xf numFmtId="4" fontId="33" fillId="0" borderId="47" applyFill="0" applyBorder="0" applyProtection="0">
      <alignment horizontal="right" vertical="center"/>
    </xf>
    <xf numFmtId="49" fontId="32" fillId="0" borderId="47" applyNumberFormat="0" applyFill="0" applyBorder="0" applyProtection="0">
      <alignment horizontal="left" vertical="center"/>
    </xf>
    <xf numFmtId="0" fontId="33" fillId="0" borderId="47" applyNumberFormat="0" applyFill="0" applyAlignment="0" applyProtection="0"/>
    <xf numFmtId="177" fontId="33" fillId="63" borderId="47" applyNumberFormat="0" applyFont="0" applyBorder="0" applyAlignment="0" applyProtection="0">
      <alignment horizontal="right" vertical="center"/>
    </xf>
    <xf numFmtId="0" fontId="33" fillId="37" borderId="47"/>
    <xf numFmtId="4" fontId="33" fillId="37" borderId="47"/>
    <xf numFmtId="4" fontId="31" fillId="38" borderId="47">
      <alignment horizontal="right" vertical="center"/>
    </xf>
    <xf numFmtId="0" fontId="33" fillId="37" borderId="47"/>
    <xf numFmtId="0" fontId="43" fillId="59" borderId="39" applyNumberFormat="0" applyAlignment="0" applyProtection="0"/>
    <xf numFmtId="0" fontId="31" fillId="36" borderId="47">
      <alignment horizontal="right" vertical="center"/>
    </xf>
    <xf numFmtId="0" fontId="33" fillId="0" borderId="47">
      <alignment horizontal="right" vertical="center"/>
    </xf>
    <xf numFmtId="0" fontId="63" fillId="0" borderId="41" applyNumberFormat="0" applyFill="0" applyAlignment="0" applyProtection="0"/>
    <xf numFmtId="0" fontId="33" fillId="36" borderId="48">
      <alignment horizontal="left" vertical="center"/>
    </xf>
    <xf numFmtId="0" fontId="56" fillId="46" borderId="39" applyNumberFormat="0" applyAlignment="0" applyProtection="0"/>
    <xf numFmtId="177" fontId="33" fillId="63" borderId="47" applyNumberFormat="0" applyFont="0" applyBorder="0" applyAlignment="0" applyProtection="0">
      <alignment horizontal="right" vertical="center"/>
    </xf>
    <xf numFmtId="0" fontId="38" fillId="62" borderId="46" applyNumberFormat="0" applyFont="0" applyAlignment="0" applyProtection="0"/>
    <xf numFmtId="0" fontId="33" fillId="0" borderId="50">
      <alignment horizontal="left" vertical="center" wrapText="1" indent="2"/>
    </xf>
    <xf numFmtId="4" fontId="33" fillId="37" borderId="47"/>
    <xf numFmtId="49" fontId="32" fillId="0" borderId="47" applyNumberFormat="0" applyFill="0" applyBorder="0" applyProtection="0">
      <alignment horizontal="left" vertical="center"/>
    </xf>
    <xf numFmtId="0" fontId="33" fillId="0" borderId="47">
      <alignment horizontal="right" vertical="center"/>
    </xf>
    <xf numFmtId="4" fontId="31" fillId="38" borderId="49">
      <alignment horizontal="right" vertical="center"/>
    </xf>
    <xf numFmtId="4" fontId="31" fillId="38" borderId="47">
      <alignment horizontal="right" vertical="center"/>
    </xf>
    <xf numFmtId="4" fontId="31" fillId="38" borderId="47">
      <alignment horizontal="right" vertical="center"/>
    </xf>
    <xf numFmtId="0" fontId="35" fillId="36" borderId="47">
      <alignment horizontal="right" vertical="center"/>
    </xf>
    <xf numFmtId="0" fontId="31" fillId="36" borderId="47">
      <alignment horizontal="right" vertical="center"/>
    </xf>
    <xf numFmtId="49" fontId="33" fillId="0" borderId="47" applyNumberFormat="0" applyFont="0" applyFill="0" applyBorder="0" applyProtection="0">
      <alignment horizontal="left" vertical="center" indent="2"/>
    </xf>
    <xf numFmtId="0" fontId="56" fillId="46" borderId="39" applyNumberFormat="0" applyAlignment="0" applyProtection="0"/>
    <xf numFmtId="0" fontId="41" fillId="59" borderId="38" applyNumberFormat="0" applyAlignment="0" applyProtection="0"/>
    <xf numFmtId="49" fontId="33" fillId="0" borderId="47" applyNumberFormat="0" applyFont="0" applyFill="0" applyBorder="0" applyProtection="0">
      <alignment horizontal="left" vertical="center" indent="2"/>
    </xf>
    <xf numFmtId="0" fontId="47" fillId="46" borderId="39" applyNumberFormat="0" applyAlignment="0" applyProtection="0"/>
    <xf numFmtId="4" fontId="33" fillId="0" borderId="47" applyFill="0" applyBorder="0" applyProtection="0">
      <alignment horizontal="right" vertical="center"/>
    </xf>
    <xf numFmtId="0" fontId="44" fillId="59" borderId="39" applyNumberFormat="0" applyAlignment="0" applyProtection="0"/>
    <xf numFmtId="0" fontId="63" fillId="0" borderId="41" applyNumberFormat="0" applyFill="0" applyAlignment="0" applyProtection="0"/>
    <xf numFmtId="0" fontId="60" fillId="59" borderId="38" applyNumberFormat="0" applyAlignment="0" applyProtection="0"/>
    <xf numFmtId="0" fontId="33" fillId="0" borderId="47" applyNumberFormat="0" applyFill="0" applyAlignment="0" applyProtection="0"/>
    <xf numFmtId="4" fontId="33" fillId="0" borderId="47">
      <alignment horizontal="right" vertical="center"/>
    </xf>
    <xf numFmtId="0" fontId="33" fillId="0" borderId="47">
      <alignment horizontal="right" vertical="center"/>
    </xf>
    <xf numFmtId="0" fontId="56" fillId="46" borderId="39" applyNumberFormat="0" applyAlignment="0" applyProtection="0"/>
    <xf numFmtId="0" fontId="41" fillId="59" borderId="38" applyNumberFormat="0" applyAlignment="0" applyProtection="0"/>
    <xf numFmtId="0" fontId="43" fillId="59" borderId="39" applyNumberFormat="0" applyAlignment="0" applyProtection="0"/>
    <xf numFmtId="0" fontId="33" fillId="38" borderId="50">
      <alignment horizontal="left" vertical="center" wrapText="1" indent="2"/>
    </xf>
    <xf numFmtId="0" fontId="44" fillId="59" borderId="39" applyNumberFormat="0" applyAlignment="0" applyProtection="0"/>
    <xf numFmtId="0" fontId="44" fillId="59" borderId="39" applyNumberFormat="0" applyAlignment="0" applyProtection="0"/>
    <xf numFmtId="4" fontId="31" fillId="38" borderId="48">
      <alignment horizontal="right" vertical="center"/>
    </xf>
    <xf numFmtId="0" fontId="31" fillId="38" borderId="48">
      <alignment horizontal="right" vertical="center"/>
    </xf>
    <xf numFmtId="0" fontId="31" fillId="38" borderId="47">
      <alignment horizontal="right" vertical="center"/>
    </xf>
    <xf numFmtId="4" fontId="35" fillId="36" borderId="47">
      <alignment horizontal="right" vertical="center"/>
    </xf>
    <xf numFmtId="0" fontId="47" fillId="46" borderId="39" applyNumberFormat="0" applyAlignment="0" applyProtection="0"/>
    <xf numFmtId="0" fontId="48" fillId="0" borderId="41" applyNumberFormat="0" applyFill="0" applyAlignment="0" applyProtection="0"/>
    <xf numFmtId="0" fontId="63" fillId="0" borderId="41" applyNumberFormat="0" applyFill="0" applyAlignment="0" applyProtection="0"/>
    <xf numFmtId="0" fontId="38" fillId="62" borderId="46" applyNumberFormat="0" applyFont="0" applyAlignment="0" applyProtection="0"/>
    <xf numFmtId="0" fontId="56" fillId="46" borderId="39" applyNumberFormat="0" applyAlignment="0" applyProtection="0"/>
    <xf numFmtId="49" fontId="32" fillId="0" borderId="47" applyNumberFormat="0" applyFill="0" applyBorder="0" applyProtection="0">
      <alignment horizontal="left" vertical="center"/>
    </xf>
    <xf numFmtId="0" fontId="33" fillId="38" borderId="50">
      <alignment horizontal="left" vertical="center" wrapText="1" indent="2"/>
    </xf>
    <xf numFmtId="0" fontId="44" fillId="59" borderId="39" applyNumberFormat="0" applyAlignment="0" applyProtection="0"/>
    <xf numFmtId="0" fontId="33" fillId="0" borderId="50">
      <alignment horizontal="left" vertical="center" wrapText="1" indent="2"/>
    </xf>
    <xf numFmtId="0" fontId="38" fillId="62" borderId="46" applyNumberFormat="0" applyFont="0" applyAlignment="0" applyProtection="0"/>
    <xf numFmtId="0" fontId="19" fillId="62" borderId="46" applyNumberFormat="0" applyFont="0" applyAlignment="0" applyProtection="0"/>
    <xf numFmtId="0" fontId="60" fillId="59" borderId="38" applyNumberFormat="0" applyAlignment="0" applyProtection="0"/>
    <xf numFmtId="0" fontId="63" fillId="0" borderId="41" applyNumberFormat="0" applyFill="0" applyAlignment="0" applyProtection="0"/>
    <xf numFmtId="4" fontId="33" fillId="37" borderId="47"/>
    <xf numFmtId="0" fontId="31" fillId="38" borderId="47">
      <alignment horizontal="right" vertical="center"/>
    </xf>
    <xf numFmtId="0" fontId="63" fillId="0" borderId="41" applyNumberFormat="0" applyFill="0" applyAlignment="0" applyProtection="0"/>
    <xf numFmtId="4" fontId="31" fillId="38" borderId="49">
      <alignment horizontal="right" vertical="center"/>
    </xf>
    <xf numFmtId="0" fontId="43" fillId="59" borderId="39" applyNumberFormat="0" applyAlignment="0" applyProtection="0"/>
    <xf numFmtId="0" fontId="31" fillId="38" borderId="48">
      <alignment horizontal="right" vertical="center"/>
    </xf>
    <xf numFmtId="0" fontId="44" fillId="59" borderId="39" applyNumberFormat="0" applyAlignment="0" applyProtection="0"/>
    <xf numFmtId="0" fontId="48" fillId="0" borderId="41" applyNumberFormat="0" applyFill="0" applyAlignment="0" applyProtection="0"/>
    <xf numFmtId="0" fontId="38" fillId="62" borderId="46" applyNumberFormat="0" applyFont="0" applyAlignment="0" applyProtection="0"/>
    <xf numFmtId="4" fontId="31" fillId="38" borderId="48">
      <alignment horizontal="right" vertical="center"/>
    </xf>
    <xf numFmtId="0" fontId="33" fillId="38" borderId="50">
      <alignment horizontal="left" vertical="center" wrapText="1" indent="2"/>
    </xf>
    <xf numFmtId="0" fontId="33" fillId="37" borderId="47"/>
    <xf numFmtId="177" fontId="33" fillId="63" borderId="47" applyNumberFormat="0" applyFont="0" applyBorder="0" applyAlignment="0" applyProtection="0">
      <alignment horizontal="right" vertical="center"/>
    </xf>
    <xf numFmtId="0" fontId="33" fillId="0" borderId="47" applyNumberFormat="0" applyFill="0" applyAlignment="0" applyProtection="0"/>
    <xf numFmtId="4" fontId="33" fillId="0" borderId="47" applyFill="0" applyBorder="0" applyProtection="0">
      <alignment horizontal="right" vertical="center"/>
    </xf>
    <xf numFmtId="4" fontId="31" fillId="36" borderId="47">
      <alignment horizontal="right" vertical="center"/>
    </xf>
    <xf numFmtId="0" fontId="48" fillId="0" borderId="41" applyNumberFormat="0" applyFill="0" applyAlignment="0" applyProtection="0"/>
    <xf numFmtId="49" fontId="32" fillId="0" borderId="47" applyNumberFormat="0" applyFill="0" applyBorder="0" applyProtection="0">
      <alignment horizontal="left" vertical="center"/>
    </xf>
    <xf numFmtId="49" fontId="33" fillId="0" borderId="48" applyNumberFormat="0" applyFont="0" applyFill="0" applyBorder="0" applyProtection="0">
      <alignment horizontal="left" vertical="center" indent="5"/>
    </xf>
    <xf numFmtId="0" fontId="33" fillId="36" borderId="48">
      <alignment horizontal="left" vertical="center"/>
    </xf>
    <xf numFmtId="0" fontId="44" fillId="59" borderId="39" applyNumberFormat="0" applyAlignment="0" applyProtection="0"/>
    <xf numFmtId="4" fontId="31" fillId="38" borderId="49">
      <alignment horizontal="right" vertical="center"/>
    </xf>
    <xf numFmtId="0" fontId="56" fillId="46" borderId="39" applyNumberFormat="0" applyAlignment="0" applyProtection="0"/>
    <xf numFmtId="0" fontId="56" fillId="46" borderId="39" applyNumberFormat="0" applyAlignment="0" applyProtection="0"/>
    <xf numFmtId="0" fontId="38" fillId="62" borderId="46" applyNumberFormat="0" applyFont="0" applyAlignment="0" applyProtection="0"/>
    <xf numFmtId="0" fontId="60" fillId="59" borderId="38" applyNumberFormat="0" applyAlignment="0" applyProtection="0"/>
    <xf numFmtId="0" fontId="63" fillId="0" borderId="41" applyNumberFormat="0" applyFill="0" applyAlignment="0" applyProtection="0"/>
    <xf numFmtId="0" fontId="31" fillId="38" borderId="47">
      <alignment horizontal="right" vertical="center"/>
    </xf>
    <xf numFmtId="0" fontId="19" fillId="62" borderId="46" applyNumberFormat="0" applyFont="0" applyAlignment="0" applyProtection="0"/>
    <xf numFmtId="4" fontId="33" fillId="0" borderId="47">
      <alignment horizontal="right" vertical="center"/>
    </xf>
    <xf numFmtId="0" fontId="63" fillId="0" borderId="41" applyNumberFormat="0" applyFill="0" applyAlignment="0" applyProtection="0"/>
    <xf numFmtId="0" fontId="31" fillId="38" borderId="47">
      <alignment horizontal="right" vertical="center"/>
    </xf>
    <xf numFmtId="0" fontId="31" fillId="38" borderId="47">
      <alignment horizontal="right" vertical="center"/>
    </xf>
    <xf numFmtId="4" fontId="35" fillId="36" borderId="47">
      <alignment horizontal="right" vertical="center"/>
    </xf>
    <xf numFmtId="0" fontId="31" fillId="36" borderId="47">
      <alignment horizontal="right" vertical="center"/>
    </xf>
    <xf numFmtId="4" fontId="31" fillId="36" borderId="47">
      <alignment horizontal="right" vertical="center"/>
    </xf>
    <xf numFmtId="0" fontId="35" fillId="36" borderId="47">
      <alignment horizontal="right" vertical="center"/>
    </xf>
    <xf numFmtId="4" fontId="35" fillId="36" borderId="47">
      <alignment horizontal="right" vertical="center"/>
    </xf>
    <xf numFmtId="0" fontId="31" fillId="38" borderId="47">
      <alignment horizontal="right" vertical="center"/>
    </xf>
    <xf numFmtId="4" fontId="31" fillId="38" borderId="47">
      <alignment horizontal="right" vertical="center"/>
    </xf>
    <xf numFmtId="0" fontId="31" fillId="38" borderId="47">
      <alignment horizontal="right" vertical="center"/>
    </xf>
    <xf numFmtId="4" fontId="31" fillId="38" borderId="47">
      <alignment horizontal="right" vertical="center"/>
    </xf>
    <xf numFmtId="0" fontId="31" fillId="38" borderId="48">
      <alignment horizontal="right" vertical="center"/>
    </xf>
    <xf numFmtId="4" fontId="31" fillId="38" borderId="48">
      <alignment horizontal="right" vertical="center"/>
    </xf>
    <xf numFmtId="0" fontId="31" fillId="38" borderId="49">
      <alignment horizontal="right" vertical="center"/>
    </xf>
    <xf numFmtId="4" fontId="31" fillId="38" borderId="49">
      <alignment horizontal="right" vertical="center"/>
    </xf>
    <xf numFmtId="0" fontId="44" fillId="59" borderId="39" applyNumberFormat="0" applyAlignment="0" applyProtection="0"/>
    <xf numFmtId="0" fontId="33" fillId="38" borderId="50">
      <alignment horizontal="left" vertical="center" wrapText="1" indent="2"/>
    </xf>
    <xf numFmtId="0" fontId="33" fillId="0" borderId="50">
      <alignment horizontal="left" vertical="center" wrapText="1" indent="2"/>
    </xf>
    <xf numFmtId="0" fontId="33" fillId="36" borderId="48">
      <alignment horizontal="left" vertical="center"/>
    </xf>
    <xf numFmtId="0" fontId="56" fillId="46" borderId="39" applyNumberFormat="0" applyAlignment="0" applyProtection="0"/>
    <xf numFmtId="0" fontId="33" fillId="0" borderId="47">
      <alignment horizontal="right" vertical="center"/>
    </xf>
    <xf numFmtId="4" fontId="33" fillId="0" borderId="47">
      <alignment horizontal="right" vertical="center"/>
    </xf>
    <xf numFmtId="0" fontId="33" fillId="0" borderId="47" applyNumberFormat="0" applyFill="0" applyAlignment="0" applyProtection="0"/>
    <xf numFmtId="0" fontId="60" fillId="59" borderId="38" applyNumberFormat="0" applyAlignment="0" applyProtection="0"/>
    <xf numFmtId="177" fontId="33" fillId="63" borderId="47" applyNumberFormat="0" applyFont="0" applyBorder="0" applyAlignment="0" applyProtection="0">
      <alignment horizontal="right" vertical="center"/>
    </xf>
    <xf numFmtId="0" fontId="33" fillId="37" borderId="47"/>
    <xf numFmtId="4" fontId="33" fillId="37" borderId="47"/>
    <xf numFmtId="0" fontId="63" fillId="0" borderId="41" applyNumberFormat="0" applyFill="0" applyAlignment="0" applyProtection="0"/>
    <xf numFmtId="0" fontId="19" fillId="62" borderId="46" applyNumberFormat="0" applyFont="0" applyAlignment="0" applyProtection="0"/>
    <xf numFmtId="0" fontId="38" fillId="62" borderId="46" applyNumberFormat="0" applyFont="0" applyAlignment="0" applyProtection="0"/>
    <xf numFmtId="0" fontId="33" fillId="0" borderId="47" applyNumberFormat="0" applyFill="0" applyAlignment="0" applyProtection="0"/>
    <xf numFmtId="0" fontId="48" fillId="0" borderId="41" applyNumberFormat="0" applyFill="0" applyAlignment="0" applyProtection="0"/>
    <xf numFmtId="0" fontId="63" fillId="0" borderId="41" applyNumberFormat="0" applyFill="0" applyAlignment="0" applyProtection="0"/>
    <xf numFmtId="0" fontId="47" fillId="46" borderId="39" applyNumberFormat="0" applyAlignment="0" applyProtection="0"/>
    <xf numFmtId="0" fontId="44" fillId="59" borderId="39" applyNumberFormat="0" applyAlignment="0" applyProtection="0"/>
    <xf numFmtId="4" fontId="35" fillId="36" borderId="47">
      <alignment horizontal="right" vertical="center"/>
    </xf>
    <xf numFmtId="0" fontId="31" fillId="36" borderId="47">
      <alignment horizontal="right" vertical="center"/>
    </xf>
    <xf numFmtId="177" fontId="33" fillId="63" borderId="47" applyNumberFormat="0" applyFont="0" applyBorder="0" applyAlignment="0" applyProtection="0">
      <alignment horizontal="right" vertical="center"/>
    </xf>
    <xf numFmtId="0" fontId="48" fillId="0" borderId="41" applyNumberFormat="0" applyFill="0" applyAlignment="0" applyProtection="0"/>
    <xf numFmtId="49" fontId="33" fillId="0" borderId="47" applyNumberFormat="0" applyFont="0" applyFill="0" applyBorder="0" applyProtection="0">
      <alignment horizontal="left" vertical="center" indent="2"/>
    </xf>
    <xf numFmtId="49" fontId="33" fillId="0" borderId="48" applyNumberFormat="0" applyFont="0" applyFill="0" applyBorder="0" applyProtection="0">
      <alignment horizontal="left" vertical="center" indent="5"/>
    </xf>
    <xf numFmtId="49" fontId="33" fillId="0" borderId="47" applyNumberFormat="0" applyFont="0" applyFill="0" applyBorder="0" applyProtection="0">
      <alignment horizontal="left" vertical="center" indent="2"/>
    </xf>
    <xf numFmtId="4" fontId="33" fillId="0" borderId="47" applyFill="0" applyBorder="0" applyProtection="0">
      <alignment horizontal="right" vertical="center"/>
    </xf>
    <xf numFmtId="49" fontId="32" fillId="0" borderId="47" applyNumberFormat="0" applyFill="0" applyBorder="0" applyProtection="0">
      <alignment horizontal="left" vertical="center"/>
    </xf>
    <xf numFmtId="0" fontId="33" fillId="0" borderId="50">
      <alignment horizontal="left" vertical="center" wrapText="1" indent="2"/>
    </xf>
    <xf numFmtId="0" fontId="60" fillId="59" borderId="38" applyNumberFormat="0" applyAlignment="0" applyProtection="0"/>
    <xf numFmtId="0" fontId="31" fillId="38" borderId="49">
      <alignment horizontal="right" vertical="center"/>
    </xf>
    <xf numFmtId="0" fontId="47" fillId="46" borderId="39" applyNumberFormat="0" applyAlignment="0" applyProtection="0"/>
    <xf numFmtId="0" fontId="31" fillId="38" borderId="49">
      <alignment horizontal="right" vertical="center"/>
    </xf>
    <xf numFmtId="4" fontId="31" fillId="38" borderId="47">
      <alignment horizontal="right" vertical="center"/>
    </xf>
    <xf numFmtId="0" fontId="31" fillId="38" borderId="47">
      <alignment horizontal="right" vertical="center"/>
    </xf>
    <xf numFmtId="0" fontId="41" fillId="59" borderId="38" applyNumberFormat="0" applyAlignment="0" applyProtection="0"/>
    <xf numFmtId="0" fontId="43" fillId="59" borderId="39" applyNumberFormat="0" applyAlignment="0" applyProtection="0"/>
    <xf numFmtId="0" fontId="48" fillId="0" borderId="41" applyNumberFormat="0" applyFill="0" applyAlignment="0" applyProtection="0"/>
    <xf numFmtId="0" fontId="33" fillId="37" borderId="47"/>
    <xf numFmtId="4" fontId="33" fillId="37" borderId="47"/>
    <xf numFmtId="4" fontId="31" fillId="38" borderId="47">
      <alignment horizontal="right" vertical="center"/>
    </xf>
    <xf numFmtId="0" fontId="35" fillId="36" borderId="47">
      <alignment horizontal="right" vertical="center"/>
    </xf>
    <xf numFmtId="0" fontId="47" fillId="46" borderId="39" applyNumberFormat="0" applyAlignment="0" applyProtection="0"/>
    <xf numFmtId="0" fontId="44" fillId="59" borderId="39" applyNumberFormat="0" applyAlignment="0" applyProtection="0"/>
    <xf numFmtId="4" fontId="33" fillId="0" borderId="47">
      <alignment horizontal="right" vertical="center"/>
    </xf>
    <xf numFmtId="0" fontId="33" fillId="38" borderId="50">
      <alignment horizontal="left" vertical="center" wrapText="1" indent="2"/>
    </xf>
    <xf numFmtId="0" fontId="33" fillId="0" borderId="50">
      <alignment horizontal="left" vertical="center" wrapText="1" indent="2"/>
    </xf>
    <xf numFmtId="0" fontId="60" fillId="59" borderId="38" applyNumberFormat="0" applyAlignment="0" applyProtection="0"/>
    <xf numFmtId="0" fontId="56" fillId="46" borderId="39" applyNumberFormat="0" applyAlignment="0" applyProtection="0"/>
    <xf numFmtId="0" fontId="43" fillId="59" borderId="39" applyNumberFormat="0" applyAlignment="0" applyProtection="0"/>
    <xf numFmtId="0" fontId="41" fillId="59" borderId="38" applyNumberFormat="0" applyAlignment="0" applyProtection="0"/>
    <xf numFmtId="0" fontId="31" fillId="38" borderId="49">
      <alignment horizontal="right" vertical="center"/>
    </xf>
    <xf numFmtId="0" fontId="35" fillId="36" borderId="47">
      <alignment horizontal="right" vertical="center"/>
    </xf>
    <xf numFmtId="4" fontId="31" fillId="36" borderId="47">
      <alignment horizontal="right" vertical="center"/>
    </xf>
    <xf numFmtId="4" fontId="31" fillId="38" borderId="47">
      <alignment horizontal="right" vertical="center"/>
    </xf>
    <xf numFmtId="49" fontId="33" fillId="0" borderId="48" applyNumberFormat="0" applyFont="0" applyFill="0" applyBorder="0" applyProtection="0">
      <alignment horizontal="left" vertical="center" indent="5"/>
    </xf>
    <xf numFmtId="4" fontId="33" fillId="0" borderId="47" applyFill="0" applyBorder="0" applyProtection="0">
      <alignment horizontal="right" vertical="center"/>
    </xf>
    <xf numFmtId="4" fontId="31" fillId="36" borderId="47">
      <alignment horizontal="right" vertical="center"/>
    </xf>
    <xf numFmtId="0" fontId="56" fillId="46" borderId="39" applyNumberFormat="0" applyAlignment="0" applyProtection="0"/>
    <xf numFmtId="0" fontId="47" fillId="46" borderId="39" applyNumberFormat="0" applyAlignment="0" applyProtection="0"/>
    <xf numFmtId="0" fontId="43" fillId="59" borderId="39" applyNumberFormat="0" applyAlignment="0" applyProtection="0"/>
    <xf numFmtId="0" fontId="33" fillId="38" borderId="50">
      <alignment horizontal="left" vertical="center" wrapText="1" indent="2"/>
    </xf>
    <xf numFmtId="0" fontId="33" fillId="0" borderId="50">
      <alignment horizontal="left" vertical="center" wrapText="1" indent="2"/>
    </xf>
    <xf numFmtId="0" fontId="33" fillId="38" borderId="50">
      <alignment horizontal="left" vertical="center" wrapText="1" indent="2"/>
    </xf>
    <xf numFmtId="0" fontId="1" fillId="0" borderId="0"/>
    <xf numFmtId="0" fontId="33" fillId="0" borderId="54">
      <alignment horizontal="right" vertical="center"/>
    </xf>
    <xf numFmtId="4" fontId="31" fillId="38" borderId="56">
      <alignment horizontal="right" vertical="center"/>
    </xf>
    <xf numFmtId="0" fontId="33" fillId="0" borderId="54" applyNumberFormat="0" applyFill="0" applyAlignment="0" applyProtection="0"/>
    <xf numFmtId="0" fontId="31" fillId="38" borderId="54">
      <alignment horizontal="right" vertical="center"/>
    </xf>
    <xf numFmtId="4" fontId="31" fillId="38" borderId="56">
      <alignment horizontal="right" vertical="center"/>
    </xf>
    <xf numFmtId="0" fontId="33" fillId="37" borderId="54"/>
    <xf numFmtId="0" fontId="38" fillId="62" borderId="53" applyNumberFormat="0" applyFont="0" applyAlignment="0" applyProtection="0"/>
    <xf numFmtId="0" fontId="33" fillId="38" borderId="57">
      <alignment horizontal="left" vertical="center" wrapText="1" indent="2"/>
    </xf>
    <xf numFmtId="0" fontId="33" fillId="37" borderId="54"/>
    <xf numFmtId="0" fontId="26" fillId="17" borderId="10" applyNumberFormat="0" applyAlignment="0" applyProtection="0"/>
    <xf numFmtId="0" fontId="43" fillId="59" borderId="51" applyNumberFormat="0" applyAlignment="0" applyProtection="0"/>
    <xf numFmtId="0" fontId="41" fillId="59" borderId="58" applyNumberFormat="0" applyAlignment="0" applyProtection="0"/>
    <xf numFmtId="0" fontId="19" fillId="62" borderId="53" applyNumberFormat="0" applyFont="0" applyAlignment="0" applyProtection="0"/>
    <xf numFmtId="4" fontId="33" fillId="0" borderId="54">
      <alignment horizontal="right" vertical="center"/>
    </xf>
    <xf numFmtId="0" fontId="63" fillId="0" borderId="52" applyNumberFormat="0" applyFill="0" applyAlignment="0" applyProtection="0"/>
    <xf numFmtId="0" fontId="33" fillId="38" borderId="57">
      <alignment horizontal="left" vertical="center" wrapText="1" indent="2"/>
    </xf>
    <xf numFmtId="0" fontId="56" fillId="46" borderId="51" applyNumberFormat="0" applyAlignment="0" applyProtection="0"/>
    <xf numFmtId="0" fontId="31" fillId="38" borderId="54">
      <alignment horizontal="right" vertical="center"/>
    </xf>
    <xf numFmtId="0" fontId="63" fillId="0" borderId="52" applyNumberFormat="0" applyFill="0" applyAlignment="0" applyProtection="0"/>
    <xf numFmtId="0" fontId="47" fillId="46" borderId="51" applyNumberFormat="0" applyAlignment="0" applyProtection="0"/>
    <xf numFmtId="4" fontId="33" fillId="0" borderId="54" applyFill="0" applyBorder="0" applyProtection="0">
      <alignment horizontal="right" vertical="center"/>
    </xf>
    <xf numFmtId="0" fontId="44" fillId="59" borderId="51" applyNumberFormat="0" applyAlignment="0" applyProtection="0"/>
    <xf numFmtId="0" fontId="56" fillId="46" borderId="51" applyNumberFormat="0" applyAlignment="0" applyProtection="0"/>
    <xf numFmtId="0" fontId="33" fillId="0" borderId="57">
      <alignment horizontal="left" vertical="center" wrapText="1" indent="2"/>
    </xf>
    <xf numFmtId="4" fontId="31" fillId="36" borderId="54">
      <alignment horizontal="right" vertical="center"/>
    </xf>
    <xf numFmtId="0" fontId="56" fillId="46" borderId="51" applyNumberFormat="0" applyAlignment="0" applyProtection="0"/>
    <xf numFmtId="0" fontId="33" fillId="37" borderId="54"/>
    <xf numFmtId="0" fontId="33" fillId="0" borderId="57">
      <alignment horizontal="left" vertical="center" wrapText="1" indent="2"/>
    </xf>
    <xf numFmtId="49" fontId="33" fillId="0" borderId="55" applyNumberFormat="0" applyFont="0" applyFill="0" applyBorder="0" applyProtection="0">
      <alignment horizontal="left" vertical="center" indent="5"/>
    </xf>
    <xf numFmtId="0" fontId="38" fillId="62" borderId="53" applyNumberFormat="0" applyFont="0" applyAlignment="0" applyProtection="0"/>
    <xf numFmtId="0" fontId="35" fillId="36" borderId="54">
      <alignment horizontal="right" vertical="center"/>
    </xf>
    <xf numFmtId="4" fontId="31" fillId="38" borderId="56">
      <alignment horizontal="right" vertical="center"/>
    </xf>
    <xf numFmtId="0" fontId="56" fillId="46" borderId="51" applyNumberFormat="0" applyAlignment="0" applyProtection="0"/>
    <xf numFmtId="49" fontId="33" fillId="0" borderId="54" applyNumberFormat="0" applyFont="0" applyFill="0" applyBorder="0" applyProtection="0">
      <alignment horizontal="left" vertical="center" indent="2"/>
    </xf>
    <xf numFmtId="0" fontId="33" fillId="0" borderId="57">
      <alignment horizontal="left" vertical="center" wrapText="1" indent="2"/>
    </xf>
    <xf numFmtId="4" fontId="33" fillId="0" borderId="54">
      <alignment horizontal="right" vertical="center"/>
    </xf>
    <xf numFmtId="4" fontId="31" fillId="36" borderId="54">
      <alignment horizontal="right" vertical="center"/>
    </xf>
    <xf numFmtId="4" fontId="33" fillId="0" borderId="54">
      <alignment horizontal="right" vertical="center"/>
    </xf>
    <xf numFmtId="0" fontId="19" fillId="62" borderId="53" applyNumberFormat="0" applyFont="0" applyAlignment="0" applyProtection="0"/>
    <xf numFmtId="0" fontId="31" fillId="38" borderId="54">
      <alignment horizontal="right" vertical="center"/>
    </xf>
    <xf numFmtId="0" fontId="44" fillId="59" borderId="51" applyNumberFormat="0" applyAlignment="0" applyProtection="0"/>
    <xf numFmtId="0" fontId="60" fillId="59" borderId="58" applyNumberFormat="0" applyAlignment="0" applyProtection="0"/>
    <xf numFmtId="0" fontId="48" fillId="0" borderId="52" applyNumberFormat="0" applyFill="0" applyAlignment="0" applyProtection="0"/>
    <xf numFmtId="0" fontId="31" fillId="38" borderId="54">
      <alignment horizontal="right" vertical="center"/>
    </xf>
    <xf numFmtId="0" fontId="56" fillId="46" borderId="51" applyNumberFormat="0" applyAlignment="0" applyProtection="0"/>
    <xf numFmtId="0" fontId="33" fillId="0" borderId="57">
      <alignment horizontal="left" vertical="center" wrapText="1" indent="2"/>
    </xf>
    <xf numFmtId="0" fontId="48" fillId="0" borderId="52" applyNumberFormat="0" applyFill="0" applyAlignment="0" applyProtection="0"/>
    <xf numFmtId="0" fontId="25" fillId="17" borderId="22" applyNumberFormat="0" applyAlignment="0" applyProtection="0"/>
    <xf numFmtId="0" fontId="26" fillId="17" borderId="10" applyNumberFormat="0" applyAlignment="0" applyProtection="0"/>
    <xf numFmtId="0" fontId="33" fillId="36" borderId="55">
      <alignment horizontal="left" vertical="center"/>
    </xf>
    <xf numFmtId="0" fontId="27" fillId="0" borderId="0" applyNumberFormat="0" applyFill="0" applyBorder="0" applyAlignment="0" applyProtection="0"/>
    <xf numFmtId="4" fontId="31" fillId="38" borderId="56">
      <alignment horizontal="right" vertical="center"/>
    </xf>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38" fillId="62" borderId="53" applyNumberFormat="0" applyFont="0" applyAlignment="0" applyProtection="0"/>
    <xf numFmtId="0" fontId="63" fillId="0" borderId="52" applyNumberFormat="0" applyFill="0" applyAlignment="0" applyProtection="0"/>
    <xf numFmtId="0" fontId="60" fillId="59" borderId="58" applyNumberFormat="0" applyAlignment="0" applyProtection="0"/>
    <xf numFmtId="0" fontId="56" fillId="46" borderId="51" applyNumberFormat="0" applyAlignment="0" applyProtection="0"/>
    <xf numFmtId="4" fontId="33" fillId="0" borderId="54">
      <alignment horizontal="right" vertical="center"/>
    </xf>
    <xf numFmtId="0" fontId="28" fillId="0" borderId="0" applyNumberFormat="0" applyFill="0" applyBorder="0" applyAlignment="0" applyProtection="0"/>
    <xf numFmtId="0" fontId="63" fillId="0" borderId="52" applyNumberFormat="0" applyFill="0" applyAlignment="0" applyProtection="0"/>
    <xf numFmtId="177" fontId="33" fillId="63" borderId="54" applyNumberFormat="0" applyFont="0" applyBorder="0" applyAlignment="0" applyProtection="0">
      <alignment horizontal="right" vertical="center"/>
    </xf>
    <xf numFmtId="0" fontId="19" fillId="62" borderId="53" applyNumberFormat="0" applyFont="0" applyAlignment="0" applyProtection="0"/>
    <xf numFmtId="0" fontId="33" fillId="0" borderId="57">
      <alignment horizontal="left" vertical="center" wrapText="1" indent="2"/>
    </xf>
    <xf numFmtId="0" fontId="1" fillId="27" borderId="0" applyNumberFormat="0" applyBorder="0" applyAlignment="0" applyProtection="0"/>
    <xf numFmtId="49" fontId="32" fillId="0" borderId="54" applyNumberFormat="0" applyFill="0" applyBorder="0" applyProtection="0">
      <alignment horizontal="left" vertical="center"/>
    </xf>
    <xf numFmtId="0" fontId="63" fillId="0" borderId="52" applyNumberFormat="0" applyFill="0" applyAlignment="0" applyProtection="0"/>
    <xf numFmtId="0" fontId="43" fillId="59" borderId="51" applyNumberFormat="0" applyAlignment="0" applyProtection="0"/>
    <xf numFmtId="0" fontId="33" fillId="0" borderId="54" applyNumberFormat="0" applyFill="0" applyAlignment="0" applyProtection="0"/>
    <xf numFmtId="4" fontId="33" fillId="0" borderId="54" applyFill="0" applyBorder="0" applyProtection="0">
      <alignment horizontal="right" vertical="center"/>
    </xf>
    <xf numFmtId="49" fontId="33" fillId="0" borderId="54" applyNumberFormat="0" applyFont="0" applyFill="0" applyBorder="0" applyProtection="0">
      <alignment horizontal="left" vertical="center" indent="2"/>
    </xf>
    <xf numFmtId="49" fontId="32" fillId="0" borderId="54" applyNumberFormat="0" applyFill="0" applyBorder="0" applyProtection="0">
      <alignment horizontal="left" vertical="center"/>
    </xf>
    <xf numFmtId="0" fontId="60" fillId="59" borderId="58" applyNumberFormat="0" applyAlignment="0" applyProtection="0"/>
    <xf numFmtId="4" fontId="31" fillId="38" borderId="54">
      <alignment horizontal="right" vertical="center"/>
    </xf>
    <xf numFmtId="4" fontId="35" fillId="36" borderId="54">
      <alignment horizontal="right" vertical="center"/>
    </xf>
    <xf numFmtId="4" fontId="31" fillId="36" borderId="54">
      <alignment horizontal="right" vertical="center"/>
    </xf>
    <xf numFmtId="0" fontId="4" fillId="20" borderId="0" applyNumberFormat="0" applyBorder="0" applyAlignment="0" applyProtection="0"/>
    <xf numFmtId="0" fontId="31" fillId="38" borderId="54">
      <alignment horizontal="right" vertical="center"/>
    </xf>
    <xf numFmtId="0" fontId="33" fillId="37" borderId="54"/>
    <xf numFmtId="4" fontId="31" fillId="38" borderId="54">
      <alignment horizontal="right" vertical="center"/>
    </xf>
    <xf numFmtId="0" fontId="56" fillId="46" borderId="51" applyNumberFormat="0" applyAlignment="0" applyProtection="0"/>
    <xf numFmtId="0" fontId="60" fillId="59" borderId="58" applyNumberFormat="0" applyAlignment="0" applyProtection="0"/>
    <xf numFmtId="0" fontId="48" fillId="0" borderId="52" applyNumberFormat="0" applyFill="0" applyAlignment="0" applyProtection="0"/>
    <xf numFmtId="0" fontId="31" fillId="36" borderId="54">
      <alignment horizontal="right" vertical="center"/>
    </xf>
    <xf numFmtId="0" fontId="47" fillId="46" borderId="51" applyNumberFormat="0" applyAlignment="0" applyProtection="0"/>
    <xf numFmtId="0" fontId="63" fillId="0" borderId="52" applyNumberFormat="0" applyFill="0" applyAlignment="0" applyProtection="0"/>
    <xf numFmtId="4" fontId="31" fillId="38" borderId="56">
      <alignment horizontal="right" vertical="center"/>
    </xf>
    <xf numFmtId="0" fontId="31" fillId="38" borderId="55">
      <alignment horizontal="right" vertical="center"/>
    </xf>
    <xf numFmtId="4" fontId="35" fillId="36" borderId="54">
      <alignment horizontal="right" vertical="center"/>
    </xf>
    <xf numFmtId="4" fontId="31" fillId="38" borderId="55">
      <alignment horizontal="right" vertical="center"/>
    </xf>
    <xf numFmtId="0" fontId="60" fillId="59" borderId="58" applyNumberFormat="0" applyAlignment="0" applyProtection="0"/>
    <xf numFmtId="4" fontId="33" fillId="37" borderId="54"/>
    <xf numFmtId="49" fontId="33" fillId="0" borderId="54" applyNumberFormat="0" applyFont="0" applyFill="0" applyBorder="0" applyProtection="0">
      <alignment horizontal="left" vertical="center" indent="2"/>
    </xf>
    <xf numFmtId="0" fontId="56" fillId="46" borderId="51" applyNumberFormat="0" applyAlignment="0" applyProtection="0"/>
    <xf numFmtId="4" fontId="31" fillId="38" borderId="55">
      <alignment horizontal="right" vertical="center"/>
    </xf>
    <xf numFmtId="0" fontId="31" fillId="38" borderId="55">
      <alignment horizontal="right" vertical="center"/>
    </xf>
    <xf numFmtId="4" fontId="33" fillId="37" borderId="54"/>
    <xf numFmtId="0" fontId="33" fillId="36" borderId="55">
      <alignment horizontal="left" vertical="center"/>
    </xf>
    <xf numFmtId="4" fontId="31" fillId="38" borderId="55">
      <alignment horizontal="right" vertical="center"/>
    </xf>
    <xf numFmtId="0" fontId="31" fillId="38" borderId="56">
      <alignment horizontal="right" vertical="center"/>
    </xf>
    <xf numFmtId="0" fontId="1" fillId="22" borderId="0" applyNumberFormat="0" applyBorder="0" applyAlignment="0" applyProtection="0"/>
    <xf numFmtId="0" fontId="35" fillId="36" borderId="54">
      <alignment horizontal="right" vertical="center"/>
    </xf>
    <xf numFmtId="0" fontId="31" fillId="36" borderId="54">
      <alignment horizontal="right" vertical="center"/>
    </xf>
    <xf numFmtId="0" fontId="56" fillId="46" borderId="51" applyNumberFormat="0" applyAlignment="0" applyProtection="0"/>
    <xf numFmtId="0" fontId="41" fillId="59" borderId="58" applyNumberFormat="0" applyAlignment="0" applyProtection="0"/>
    <xf numFmtId="0" fontId="33" fillId="0" borderId="54">
      <alignment horizontal="right" vertical="center"/>
    </xf>
    <xf numFmtId="0" fontId="43" fillId="59" borderId="51" applyNumberFormat="0" applyAlignment="0" applyProtection="0"/>
    <xf numFmtId="0" fontId="44" fillId="59" borderId="51" applyNumberFormat="0" applyAlignment="0" applyProtection="0"/>
    <xf numFmtId="4" fontId="35" fillId="36" borderId="54">
      <alignment horizontal="right" vertical="center"/>
    </xf>
    <xf numFmtId="0" fontId="1" fillId="33" borderId="0" applyNumberFormat="0" applyBorder="0" applyAlignment="0" applyProtection="0"/>
    <xf numFmtId="0" fontId="1" fillId="24" borderId="0" applyNumberFormat="0" applyBorder="0" applyAlignment="0" applyProtection="0"/>
    <xf numFmtId="0" fontId="25" fillId="17" borderId="22" applyNumberFormat="0" applyAlignment="0" applyProtection="0"/>
    <xf numFmtId="4" fontId="31" fillId="38" borderId="54">
      <alignment horizontal="right" vertical="center"/>
    </xf>
    <xf numFmtId="49" fontId="33" fillId="0" borderId="54" applyNumberFormat="0" applyFont="0" applyFill="0" applyBorder="0" applyProtection="0">
      <alignment horizontal="left" vertical="center" indent="2"/>
    </xf>
    <xf numFmtId="0" fontId="43" fillId="59" borderId="51" applyNumberFormat="0" applyAlignment="0" applyProtection="0"/>
    <xf numFmtId="0" fontId="63" fillId="0" borderId="52" applyNumberFormat="0" applyFill="0" applyAlignment="0" applyProtection="0"/>
    <xf numFmtId="0" fontId="41" fillId="59" borderId="58" applyNumberFormat="0" applyAlignment="0" applyProtection="0"/>
    <xf numFmtId="0" fontId="4" fillId="35" borderId="0" applyNumberFormat="0" applyBorder="0" applyAlignment="0" applyProtection="0"/>
    <xf numFmtId="0" fontId="44" fillId="59" borderId="51" applyNumberFormat="0" applyAlignment="0" applyProtection="0"/>
    <xf numFmtId="4" fontId="33" fillId="0" borderId="54" applyFill="0" applyBorder="0" applyProtection="0">
      <alignment horizontal="right" vertical="center"/>
    </xf>
    <xf numFmtId="0" fontId="48" fillId="0" borderId="52" applyNumberFormat="0" applyFill="0" applyAlignment="0" applyProtection="0"/>
    <xf numFmtId="49" fontId="33" fillId="0" borderId="54" applyNumberFormat="0" applyFont="0" applyFill="0" applyBorder="0" applyProtection="0">
      <alignment horizontal="left" vertical="center" indent="2"/>
    </xf>
    <xf numFmtId="177" fontId="33" fillId="63" borderId="54" applyNumberFormat="0" applyFont="0" applyBorder="0" applyAlignment="0" applyProtection="0">
      <alignment horizontal="right" vertical="center"/>
    </xf>
    <xf numFmtId="4" fontId="35" fillId="36" borderId="54">
      <alignment horizontal="right" vertical="center"/>
    </xf>
    <xf numFmtId="0" fontId="31" fillId="36" borderId="54">
      <alignment horizontal="right" vertical="center"/>
    </xf>
    <xf numFmtId="0" fontId="4" fillId="35" borderId="0" applyNumberFormat="0" applyBorder="0" applyAlignment="0" applyProtection="0"/>
    <xf numFmtId="49" fontId="33" fillId="0" borderId="54" applyNumberFormat="0" applyFont="0" applyFill="0" applyBorder="0" applyProtection="0">
      <alignment horizontal="left" vertical="center" indent="2"/>
    </xf>
    <xf numFmtId="0" fontId="31" fillId="38" borderId="54">
      <alignment horizontal="right" vertical="center"/>
    </xf>
    <xf numFmtId="0" fontId="33" fillId="0" borderId="57">
      <alignment horizontal="left" vertical="center" wrapText="1" indent="2"/>
    </xf>
    <xf numFmtId="0" fontId="63" fillId="0" borderId="52" applyNumberFormat="0" applyFill="0" applyAlignment="0" applyProtection="0"/>
    <xf numFmtId="0" fontId="1" fillId="27" borderId="0" applyNumberFormat="0" applyBorder="0" applyAlignment="0" applyProtection="0"/>
    <xf numFmtId="0" fontId="33" fillId="38" borderId="57">
      <alignment horizontal="left" vertical="center" wrapText="1" indent="2"/>
    </xf>
    <xf numFmtId="4" fontId="31" fillId="38" borderId="54">
      <alignment horizontal="right" vertical="center"/>
    </xf>
    <xf numFmtId="0" fontId="44" fillId="59" borderId="51" applyNumberFormat="0" applyAlignment="0" applyProtection="0"/>
    <xf numFmtId="0" fontId="63" fillId="0" borderId="52" applyNumberFormat="0" applyFill="0" applyAlignment="0" applyProtection="0"/>
    <xf numFmtId="0" fontId="48" fillId="0" borderId="52" applyNumberFormat="0" applyFill="0" applyAlignment="0" applyProtection="0"/>
    <xf numFmtId="4" fontId="31" fillId="38" borderId="54">
      <alignment horizontal="right" vertical="center"/>
    </xf>
    <xf numFmtId="4" fontId="31" fillId="38" borderId="56">
      <alignment horizontal="right" vertical="center"/>
    </xf>
    <xf numFmtId="0" fontId="47" fillId="46" borderId="51" applyNumberFormat="0" applyAlignment="0" applyProtection="0"/>
    <xf numFmtId="4" fontId="31" fillId="38" borderId="54">
      <alignment horizontal="right" vertical="center"/>
    </xf>
    <xf numFmtId="49" fontId="33" fillId="0" borderId="54" applyNumberFormat="0" applyFont="0" applyFill="0" applyBorder="0" applyProtection="0">
      <alignment horizontal="left" vertical="center" indent="2"/>
    </xf>
    <xf numFmtId="0" fontId="4" fillId="29" borderId="0" applyNumberFormat="0" applyBorder="0" applyAlignment="0" applyProtection="0"/>
    <xf numFmtId="0" fontId="33" fillId="37" borderId="54"/>
    <xf numFmtId="0" fontId="26" fillId="17" borderId="10" applyNumberFormat="0" applyAlignment="0" applyProtection="0"/>
    <xf numFmtId="0" fontId="19" fillId="62" borderId="53" applyNumberFormat="0" applyFont="0" applyAlignment="0" applyProtection="0"/>
    <xf numFmtId="0" fontId="33" fillId="38" borderId="57">
      <alignment horizontal="left" vertical="center" wrapText="1" indent="2"/>
    </xf>
    <xf numFmtId="0" fontId="35" fillId="36" borderId="54">
      <alignment horizontal="right" vertical="center"/>
    </xf>
    <xf numFmtId="0" fontId="33" fillId="36" borderId="55">
      <alignment horizontal="left" vertical="center"/>
    </xf>
    <xf numFmtId="4" fontId="33" fillId="0" borderId="54" applyFill="0" applyBorder="0" applyProtection="0">
      <alignment horizontal="right" vertical="center"/>
    </xf>
    <xf numFmtId="0" fontId="63" fillId="0" borderId="52" applyNumberFormat="0" applyFill="0" applyAlignment="0" applyProtection="0"/>
    <xf numFmtId="0" fontId="48" fillId="0" borderId="52" applyNumberFormat="0" applyFill="0" applyAlignment="0" applyProtection="0"/>
    <xf numFmtId="0" fontId="31" fillId="38" borderId="55">
      <alignment horizontal="right" vertical="center"/>
    </xf>
    <xf numFmtId="0" fontId="63" fillId="0" borderId="52" applyNumberFormat="0" applyFill="0" applyAlignment="0" applyProtection="0"/>
    <xf numFmtId="0" fontId="56" fillId="46" borderId="51" applyNumberFormat="0" applyAlignment="0" applyProtection="0"/>
    <xf numFmtId="0" fontId="19" fillId="62" borderId="53" applyNumberFormat="0" applyFont="0" applyAlignment="0" applyProtection="0"/>
    <xf numFmtId="4" fontId="31" fillId="38" borderId="54">
      <alignment horizontal="right" vertical="center"/>
    </xf>
    <xf numFmtId="0" fontId="33" fillId="0" borderId="54">
      <alignment horizontal="right" vertical="center"/>
    </xf>
    <xf numFmtId="0" fontId="4" fillId="32" borderId="0" applyNumberFormat="0" applyBorder="0" applyAlignment="0" applyProtection="0"/>
    <xf numFmtId="0" fontId="33" fillId="38" borderId="57">
      <alignment horizontal="left" vertical="center" wrapText="1" indent="2"/>
    </xf>
    <xf numFmtId="0" fontId="48" fillId="0" borderId="52" applyNumberFormat="0" applyFill="0" applyAlignment="0" applyProtection="0"/>
    <xf numFmtId="4" fontId="31" fillId="38" borderId="54">
      <alignment horizontal="right" vertical="center"/>
    </xf>
    <xf numFmtId="0" fontId="38" fillId="62" borderId="53" applyNumberFormat="0" applyFont="0" applyAlignment="0" applyProtection="0"/>
    <xf numFmtId="49" fontId="32" fillId="0" borderId="54" applyNumberFormat="0" applyFill="0" applyBorder="0" applyProtection="0">
      <alignment horizontal="left" vertical="center"/>
    </xf>
    <xf numFmtId="4" fontId="31" fillId="36" borderId="54">
      <alignment horizontal="right" vertical="center"/>
    </xf>
    <xf numFmtId="0" fontId="31" fillId="38" borderId="54">
      <alignment horizontal="right" vertical="center"/>
    </xf>
    <xf numFmtId="0" fontId="26" fillId="17" borderId="10" applyNumberFormat="0" applyAlignment="0" applyProtection="0"/>
    <xf numFmtId="0" fontId="56" fillId="46" borderId="51" applyNumberFormat="0" applyAlignment="0" applyProtection="0"/>
    <xf numFmtId="0" fontId="38" fillId="62" borderId="53" applyNumberFormat="0" applyFont="0" applyAlignment="0" applyProtection="0"/>
    <xf numFmtId="0" fontId="38" fillId="62" borderId="53" applyNumberFormat="0" applyFont="0" applyAlignment="0" applyProtection="0"/>
    <xf numFmtId="4" fontId="31" fillId="38" borderId="56">
      <alignment horizontal="right" vertical="center"/>
    </xf>
    <xf numFmtId="0" fontId="31" fillId="38" borderId="56">
      <alignment horizontal="right" vertical="center"/>
    </xf>
    <xf numFmtId="49" fontId="33" fillId="0" borderId="55" applyNumberFormat="0" applyFont="0" applyFill="0" applyBorder="0" applyProtection="0">
      <alignment horizontal="left" vertical="center" indent="5"/>
    </xf>
    <xf numFmtId="0" fontId="48" fillId="0" borderId="52" applyNumberFormat="0" applyFill="0" applyAlignment="0" applyProtection="0"/>
    <xf numFmtId="0" fontId="44" fillId="59" borderId="51" applyNumberFormat="0" applyAlignment="0" applyProtection="0"/>
    <xf numFmtId="177" fontId="33" fillId="63" borderId="54" applyNumberFormat="0" applyFont="0" applyBorder="0" applyAlignment="0" applyProtection="0">
      <alignment horizontal="right" vertical="center"/>
    </xf>
    <xf numFmtId="0" fontId="63" fillId="0" borderId="52" applyNumberFormat="0" applyFill="0" applyAlignment="0" applyProtection="0"/>
    <xf numFmtId="0" fontId="33" fillId="0" borderId="54" applyNumberFormat="0" applyFill="0" applyAlignment="0" applyProtection="0"/>
    <xf numFmtId="0" fontId="63" fillId="0" borderId="52" applyNumberFormat="0" applyFill="0" applyAlignment="0" applyProtection="0"/>
    <xf numFmtId="0" fontId="33" fillId="0" borderId="57">
      <alignment horizontal="left" vertical="center" wrapText="1" indent="2"/>
    </xf>
    <xf numFmtId="0" fontId="47" fillId="46" borderId="51" applyNumberFormat="0" applyAlignment="0" applyProtection="0"/>
    <xf numFmtId="0" fontId="38" fillId="62" borderId="53" applyNumberFormat="0" applyFont="0" applyAlignment="0" applyProtection="0"/>
    <xf numFmtId="49" fontId="32" fillId="0" borderId="54" applyNumberFormat="0" applyFill="0" applyBorder="0" applyProtection="0">
      <alignment horizontal="left" vertical="center"/>
    </xf>
    <xf numFmtId="4" fontId="33" fillId="37" borderId="54"/>
    <xf numFmtId="0" fontId="38" fillId="62" borderId="53" applyNumberFormat="0" applyFont="0" applyAlignment="0" applyProtection="0"/>
    <xf numFmtId="0" fontId="1" fillId="25" borderId="0" applyNumberFormat="0" applyBorder="0" applyAlignment="0" applyProtection="0"/>
    <xf numFmtId="0" fontId="43" fillId="59" borderId="51" applyNumberFormat="0" applyAlignment="0" applyProtection="0"/>
    <xf numFmtId="0" fontId="31" fillId="38" borderId="56">
      <alignment horizontal="right" vertical="center"/>
    </xf>
    <xf numFmtId="4" fontId="33" fillId="37" borderId="54"/>
    <xf numFmtId="0" fontId="44" fillId="59" borderId="51" applyNumberFormat="0" applyAlignment="0" applyProtection="0"/>
    <xf numFmtId="0" fontId="43" fillId="59" borderId="51" applyNumberFormat="0" applyAlignment="0" applyProtection="0"/>
    <xf numFmtId="0" fontId="31" fillId="38" borderId="56">
      <alignment horizontal="right" vertical="center"/>
    </xf>
    <xf numFmtId="0" fontId="44" fillId="59" borderId="51" applyNumberFormat="0" applyAlignment="0" applyProtection="0"/>
    <xf numFmtId="0" fontId="63" fillId="0" borderId="52" applyNumberFormat="0" applyFill="0" applyAlignment="0" applyProtection="0"/>
    <xf numFmtId="0" fontId="38" fillId="62" borderId="53" applyNumberFormat="0" applyFont="0" applyAlignment="0" applyProtection="0"/>
    <xf numFmtId="49" fontId="32" fillId="0" borderId="54" applyNumberFormat="0" applyFill="0" applyBorder="0" applyProtection="0">
      <alignment horizontal="left" vertical="center"/>
    </xf>
    <xf numFmtId="0" fontId="31" fillId="38" borderId="54">
      <alignment horizontal="right" vertical="center"/>
    </xf>
    <xf numFmtId="0" fontId="33" fillId="38" borderId="57">
      <alignment horizontal="left" vertical="center" wrapText="1" indent="2"/>
    </xf>
    <xf numFmtId="0" fontId="1" fillId="24" borderId="0" applyNumberFormat="0" applyBorder="0" applyAlignment="0" applyProtection="0"/>
    <xf numFmtId="0" fontId="33" fillId="0" borderId="54" applyNumberFormat="0" applyFill="0" applyAlignment="0" applyProtection="0"/>
    <xf numFmtId="0" fontId="44" fillId="59" borderId="51" applyNumberFormat="0" applyAlignment="0" applyProtection="0"/>
    <xf numFmtId="4" fontId="33" fillId="0" borderId="54" applyFill="0" applyBorder="0" applyProtection="0">
      <alignment horizontal="right" vertical="center"/>
    </xf>
    <xf numFmtId="0" fontId="33" fillId="36" borderId="55">
      <alignment horizontal="left" vertical="center"/>
    </xf>
    <xf numFmtId="0" fontId="33" fillId="36" borderId="55">
      <alignment horizontal="left" vertical="center"/>
    </xf>
    <xf numFmtId="0" fontId="33" fillId="0" borderId="57">
      <alignment horizontal="left" vertical="center" wrapText="1" indent="2"/>
    </xf>
    <xf numFmtId="0" fontId="31" fillId="38" borderId="54">
      <alignment horizontal="right" vertical="center"/>
    </xf>
    <xf numFmtId="0" fontId="43" fillId="59" borderId="51" applyNumberFormat="0" applyAlignment="0" applyProtection="0"/>
    <xf numFmtId="0" fontId="48" fillId="0" borderId="52" applyNumberFormat="0" applyFill="0" applyAlignment="0" applyProtection="0"/>
    <xf numFmtId="0" fontId="60" fillId="59" borderId="58" applyNumberFormat="0" applyAlignment="0" applyProtection="0"/>
    <xf numFmtId="0" fontId="56" fillId="46" borderId="51" applyNumberFormat="0" applyAlignment="0" applyProtection="0"/>
    <xf numFmtId="4" fontId="31" fillId="38" borderId="55">
      <alignment horizontal="right" vertical="center"/>
    </xf>
    <xf numFmtId="4" fontId="31" fillId="38" borderId="54">
      <alignment horizontal="right" vertical="center"/>
    </xf>
    <xf numFmtId="0" fontId="33" fillId="38" borderId="57">
      <alignment horizontal="left" vertical="center" wrapText="1" indent="2"/>
    </xf>
    <xf numFmtId="4" fontId="31" fillId="38" borderId="54">
      <alignment horizontal="right" vertical="center"/>
    </xf>
    <xf numFmtId="0" fontId="33" fillId="0" borderId="54">
      <alignment horizontal="right" vertical="center"/>
    </xf>
    <xf numFmtId="0" fontId="35" fillId="36" borderId="54">
      <alignment horizontal="right" vertical="center"/>
    </xf>
    <xf numFmtId="177" fontId="33" fillId="63" borderId="54" applyNumberFormat="0" applyFont="0" applyBorder="0" applyAlignment="0" applyProtection="0">
      <alignment horizontal="right" vertical="center"/>
    </xf>
    <xf numFmtId="4" fontId="33" fillId="37" borderId="54"/>
    <xf numFmtId="0" fontId="47" fillId="46" borderId="51" applyNumberFormat="0" applyAlignment="0" applyProtection="0"/>
    <xf numFmtId="0" fontId="4" fillId="26" borderId="0" applyNumberFormat="0" applyBorder="0" applyAlignment="0" applyProtection="0"/>
    <xf numFmtId="0" fontId="19" fillId="62" borderId="53" applyNumberFormat="0" applyFont="0" applyAlignment="0" applyProtection="0"/>
    <xf numFmtId="0" fontId="33" fillId="0" borderId="54">
      <alignment horizontal="right" vertical="center"/>
    </xf>
    <xf numFmtId="49" fontId="32" fillId="0" borderId="54" applyNumberFormat="0" applyFill="0" applyBorder="0" applyProtection="0">
      <alignment horizontal="left" vertical="center"/>
    </xf>
    <xf numFmtId="0" fontId="56" fillId="46" borderId="51" applyNumberFormat="0" applyAlignment="0" applyProtection="0"/>
    <xf numFmtId="0" fontId="33" fillId="38" borderId="57">
      <alignment horizontal="left" vertical="center" wrapText="1" indent="2"/>
    </xf>
    <xf numFmtId="0" fontId="31" fillId="38" borderId="54">
      <alignment horizontal="right" vertical="center"/>
    </xf>
    <xf numFmtId="0" fontId="38" fillId="62" borderId="53" applyNumberFormat="0" applyFont="0" applyAlignment="0" applyProtection="0"/>
    <xf numFmtId="4" fontId="33" fillId="0" borderId="54">
      <alignment horizontal="right" vertical="center"/>
    </xf>
    <xf numFmtId="0" fontId="44" fillId="59" borderId="51" applyNumberFormat="0" applyAlignment="0" applyProtection="0"/>
    <xf numFmtId="4" fontId="33" fillId="0" borderId="54" applyFill="0" applyBorder="0" applyProtection="0">
      <alignment horizontal="right" vertical="center"/>
    </xf>
    <xf numFmtId="4" fontId="33" fillId="37" borderId="54"/>
    <xf numFmtId="4" fontId="31" fillId="36" borderId="54">
      <alignment horizontal="right" vertical="center"/>
    </xf>
    <xf numFmtId="0" fontId="1" fillId="25" borderId="0" applyNumberFormat="0" applyBorder="0" applyAlignment="0" applyProtection="0"/>
    <xf numFmtId="0" fontId="56" fillId="46" borderId="51" applyNumberFormat="0" applyAlignment="0" applyProtection="0"/>
    <xf numFmtId="49" fontId="33" fillId="0" borderId="55" applyNumberFormat="0" applyFont="0" applyFill="0" applyBorder="0" applyProtection="0">
      <alignment horizontal="left" vertical="center" indent="5"/>
    </xf>
    <xf numFmtId="0" fontId="31" fillId="38" borderId="56">
      <alignment horizontal="right" vertical="center"/>
    </xf>
    <xf numFmtId="4" fontId="33" fillId="0" borderId="54">
      <alignment horizontal="right" vertical="center"/>
    </xf>
    <xf numFmtId="0" fontId="33" fillId="0" borderId="57">
      <alignment horizontal="left" vertical="center" wrapText="1" indent="2"/>
    </xf>
    <xf numFmtId="0" fontId="56" fillId="46" borderId="51" applyNumberFormat="0" applyAlignment="0" applyProtection="0"/>
    <xf numFmtId="49" fontId="33" fillId="0" borderId="55" applyNumberFormat="0" applyFont="0" applyFill="0" applyBorder="0" applyProtection="0">
      <alignment horizontal="left" vertical="center" indent="5"/>
    </xf>
    <xf numFmtId="0" fontId="63" fillId="0" borderId="52" applyNumberFormat="0" applyFill="0" applyAlignment="0" applyProtection="0"/>
    <xf numFmtId="0" fontId="31" fillId="38" borderId="54">
      <alignment horizontal="right" vertical="center"/>
    </xf>
    <xf numFmtId="0" fontId="43" fillId="59" borderId="51" applyNumberFormat="0" applyAlignment="0" applyProtection="0"/>
    <xf numFmtId="0" fontId="31" fillId="38" borderId="54">
      <alignment horizontal="right" vertical="center"/>
    </xf>
    <xf numFmtId="0" fontId="27" fillId="0" borderId="0" applyNumberFormat="0" applyFill="0" applyBorder="0" applyAlignment="0" applyProtection="0"/>
    <xf numFmtId="0" fontId="63" fillId="0" borderId="52" applyNumberFormat="0" applyFill="0" applyAlignment="0" applyProtection="0"/>
    <xf numFmtId="0" fontId="44" fillId="59" borderId="51" applyNumberFormat="0" applyAlignment="0" applyProtection="0"/>
    <xf numFmtId="0" fontId="63" fillId="0" borderId="52" applyNumberFormat="0" applyFill="0" applyAlignment="0" applyProtection="0"/>
    <xf numFmtId="0" fontId="33" fillId="0" borderId="54" applyNumberFormat="0" applyFill="0" applyAlignment="0" applyProtection="0"/>
    <xf numFmtId="0" fontId="44" fillId="59" borderId="51" applyNumberFormat="0" applyAlignment="0" applyProtection="0"/>
    <xf numFmtId="0" fontId="60" fillId="59" borderId="58" applyNumberFormat="0" applyAlignment="0" applyProtection="0"/>
    <xf numFmtId="0" fontId="41" fillId="59" borderId="58" applyNumberFormat="0" applyAlignment="0" applyProtection="0"/>
    <xf numFmtId="0" fontId="60" fillId="59" borderId="58" applyNumberFormat="0" applyAlignment="0" applyProtection="0"/>
    <xf numFmtId="4" fontId="31" fillId="38" borderId="54">
      <alignment horizontal="right" vertical="center"/>
    </xf>
    <xf numFmtId="0" fontId="63" fillId="0" borderId="52" applyNumberFormat="0" applyFill="0" applyAlignment="0" applyProtection="0"/>
    <xf numFmtId="0" fontId="31" fillId="38" borderId="55">
      <alignment horizontal="right" vertical="center"/>
    </xf>
    <xf numFmtId="0" fontId="31" fillId="38" borderId="54">
      <alignment horizontal="right" vertical="center"/>
    </xf>
    <xf numFmtId="0" fontId="1" fillId="31" borderId="0" applyNumberFormat="0" applyBorder="0" applyAlignment="0" applyProtection="0"/>
    <xf numFmtId="0" fontId="31" fillId="38" borderId="54">
      <alignment horizontal="right" vertical="center"/>
    </xf>
    <xf numFmtId="0" fontId="31" fillId="38" borderId="56">
      <alignment horizontal="right" vertical="center"/>
    </xf>
    <xf numFmtId="0" fontId="33" fillId="37" borderId="54"/>
    <xf numFmtId="0" fontId="4" fillId="29" borderId="0" applyNumberFormat="0" applyBorder="0" applyAlignment="0" applyProtection="0"/>
    <xf numFmtId="4" fontId="35" fillId="36" borderId="54">
      <alignment horizontal="right" vertical="center"/>
    </xf>
    <xf numFmtId="0" fontId="31" fillId="38" borderId="55">
      <alignment horizontal="right" vertical="center"/>
    </xf>
    <xf numFmtId="0" fontId="43" fillId="59" borderId="51" applyNumberFormat="0" applyAlignment="0" applyProtection="0"/>
    <xf numFmtId="0" fontId="33" fillId="0" borderId="54">
      <alignment horizontal="right" vertical="center"/>
    </xf>
    <xf numFmtId="0" fontId="41" fillId="59" borderId="58" applyNumberFormat="0" applyAlignment="0" applyProtection="0"/>
    <xf numFmtId="4" fontId="33" fillId="0" borderId="54">
      <alignment horizontal="right" vertical="center"/>
    </xf>
    <xf numFmtId="0" fontId="31" fillId="38" borderId="55">
      <alignment horizontal="right" vertical="center"/>
    </xf>
    <xf numFmtId="0" fontId="19" fillId="62" borderId="53" applyNumberFormat="0" applyFont="0" applyAlignment="0" applyProtection="0"/>
    <xf numFmtId="0" fontId="38" fillId="62" borderId="53" applyNumberFormat="0" applyFont="0" applyAlignment="0" applyProtection="0"/>
    <xf numFmtId="0" fontId="44" fillId="59" borderId="51" applyNumberFormat="0" applyAlignment="0" applyProtection="0"/>
    <xf numFmtId="0" fontId="63" fillId="0" borderId="52" applyNumberFormat="0" applyFill="0" applyAlignment="0" applyProtection="0"/>
    <xf numFmtId="0" fontId="63" fillId="0" borderId="52" applyNumberFormat="0" applyFill="0" applyAlignment="0" applyProtection="0"/>
    <xf numFmtId="0" fontId="31" fillId="36" borderId="54">
      <alignment horizontal="right" vertical="center"/>
    </xf>
    <xf numFmtId="0" fontId="31" fillId="36" borderId="54">
      <alignment horizontal="right" vertical="center"/>
    </xf>
    <xf numFmtId="49" fontId="33" fillId="0" borderId="55" applyNumberFormat="0" applyFont="0" applyFill="0" applyBorder="0" applyProtection="0">
      <alignment horizontal="left" vertical="center" indent="5"/>
    </xf>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4" fontId="31" fillId="38" borderId="54">
      <alignment horizontal="right" vertical="center"/>
    </xf>
    <xf numFmtId="4" fontId="31" fillId="38" borderId="54">
      <alignment horizontal="right" vertical="center"/>
    </xf>
    <xf numFmtId="0" fontId="56" fillId="46" borderId="51" applyNumberFormat="0" applyAlignment="0" applyProtection="0"/>
    <xf numFmtId="0" fontId="44" fillId="59" borderId="51" applyNumberFormat="0" applyAlignment="0" applyProtection="0"/>
    <xf numFmtId="0" fontId="43" fillId="59" borderId="51" applyNumberFormat="0" applyAlignment="0" applyProtection="0"/>
    <xf numFmtId="0" fontId="33" fillId="0" borderId="57">
      <alignment horizontal="left" vertical="center" wrapText="1" indent="2"/>
    </xf>
    <xf numFmtId="0" fontId="1" fillId="18" borderId="0" applyNumberFormat="0" applyBorder="0" applyAlignment="0" applyProtection="0"/>
    <xf numFmtId="0" fontId="47" fillId="46" borderId="51" applyNumberFormat="0" applyAlignment="0" applyProtection="0"/>
    <xf numFmtId="0" fontId="48" fillId="0" borderId="52" applyNumberFormat="0" applyFill="0" applyAlignment="0" applyProtection="0"/>
    <xf numFmtId="177" fontId="33" fillId="63" borderId="54" applyNumberFormat="0" applyFont="0" applyBorder="0" applyAlignment="0" applyProtection="0">
      <alignment horizontal="right" vertical="center"/>
    </xf>
    <xf numFmtId="0" fontId="56" fillId="46" borderId="51" applyNumberFormat="0" applyAlignment="0" applyProtection="0"/>
    <xf numFmtId="0" fontId="4" fillId="23" borderId="0" applyNumberFormat="0" applyBorder="0" applyAlignment="0" applyProtection="0"/>
    <xf numFmtId="0" fontId="25" fillId="17" borderId="22" applyNumberFormat="0" applyAlignment="0" applyProtection="0"/>
    <xf numFmtId="0" fontId="33" fillId="0" borderId="57">
      <alignment horizontal="left" vertical="center" wrapText="1" indent="2"/>
    </xf>
    <xf numFmtId="0" fontId="31" fillId="38" borderId="54">
      <alignment horizontal="right" vertical="center"/>
    </xf>
    <xf numFmtId="4" fontId="33" fillId="0" borderId="54" applyFill="0" applyBorder="0" applyProtection="0">
      <alignment horizontal="right" vertical="center"/>
    </xf>
    <xf numFmtId="0" fontId="56" fillId="46" borderId="51" applyNumberFormat="0" applyAlignment="0" applyProtection="0"/>
    <xf numFmtId="0" fontId="33" fillId="0" borderId="57">
      <alignment horizontal="left" vertical="center" wrapText="1" indent="2"/>
    </xf>
    <xf numFmtId="0" fontId="33" fillId="37" borderId="54"/>
    <xf numFmtId="0" fontId="33" fillId="0" borderId="54">
      <alignment horizontal="right" vertical="center"/>
    </xf>
    <xf numFmtId="0" fontId="33" fillId="37" borderId="54"/>
    <xf numFmtId="0" fontId="33" fillId="0" borderId="54">
      <alignment horizontal="right" vertical="center"/>
    </xf>
    <xf numFmtId="0" fontId="33" fillId="0" borderId="57">
      <alignment horizontal="left" vertical="center" wrapText="1" indent="2"/>
    </xf>
    <xf numFmtId="0" fontId="56" fillId="46" borderId="51" applyNumberFormat="0" applyAlignment="0" applyProtection="0"/>
    <xf numFmtId="4" fontId="31" fillId="36" borderId="54">
      <alignment horizontal="right" vertical="center"/>
    </xf>
    <xf numFmtId="0" fontId="33" fillId="38" borderId="57">
      <alignment horizontal="left" vertical="center" wrapText="1" indent="2"/>
    </xf>
    <xf numFmtId="0" fontId="60" fillId="59" borderId="58" applyNumberFormat="0" applyAlignment="0" applyProtection="0"/>
    <xf numFmtId="0" fontId="35" fillId="36" borderId="54">
      <alignment horizontal="right" vertical="center"/>
    </xf>
    <xf numFmtId="0" fontId="1" fillId="28" borderId="0" applyNumberFormat="0" applyBorder="0" applyAlignment="0" applyProtection="0"/>
    <xf numFmtId="0" fontId="47" fillId="46" borderId="51" applyNumberFormat="0" applyAlignment="0" applyProtection="0"/>
    <xf numFmtId="4" fontId="35" fillId="36" borderId="54">
      <alignment horizontal="right" vertical="center"/>
    </xf>
    <xf numFmtId="0" fontId="48" fillId="0" borderId="52" applyNumberFormat="0" applyFill="0" applyAlignment="0" applyProtection="0"/>
    <xf numFmtId="0" fontId="4" fillId="23" borderId="0" applyNumberFormat="0" applyBorder="0" applyAlignment="0" applyProtection="0"/>
    <xf numFmtId="0" fontId="31" fillId="38" borderId="55">
      <alignment horizontal="right" vertical="center"/>
    </xf>
    <xf numFmtId="0" fontId="41" fillId="59" borderId="58" applyNumberFormat="0" applyAlignment="0" applyProtection="0"/>
    <xf numFmtId="0" fontId="33" fillId="37" borderId="54"/>
    <xf numFmtId="4" fontId="35" fillId="36" borderId="54">
      <alignment horizontal="right" vertical="center"/>
    </xf>
    <xf numFmtId="0" fontId="35" fillId="36" borderId="54">
      <alignment horizontal="right" vertical="center"/>
    </xf>
    <xf numFmtId="0" fontId="60" fillId="59" borderId="58" applyNumberFormat="0" applyAlignment="0" applyProtection="0"/>
    <xf numFmtId="49" fontId="33" fillId="0" borderId="54" applyNumberFormat="0" applyFont="0" applyFill="0" applyBorder="0" applyProtection="0">
      <alignment horizontal="left" vertical="center" indent="2"/>
    </xf>
    <xf numFmtId="0" fontId="1" fillId="28" borderId="0" applyNumberFormat="0" applyBorder="0" applyAlignment="0" applyProtection="0"/>
    <xf numFmtId="0" fontId="48" fillId="0" borderId="52" applyNumberFormat="0" applyFill="0" applyAlignment="0" applyProtection="0"/>
    <xf numFmtId="0" fontId="1" fillId="31" borderId="0" applyNumberFormat="0" applyBorder="0" applyAlignment="0" applyProtection="0"/>
    <xf numFmtId="0" fontId="60" fillId="59" borderId="58" applyNumberFormat="0" applyAlignment="0" applyProtection="0"/>
    <xf numFmtId="4" fontId="33" fillId="37" borderId="54"/>
    <xf numFmtId="0" fontId="3" fillId="0" borderId="23" applyNumberFormat="0" applyFill="0" applyAlignment="0" applyProtection="0"/>
    <xf numFmtId="0" fontId="31" fillId="38" borderId="56">
      <alignment horizontal="right" vertical="center"/>
    </xf>
    <xf numFmtId="0" fontId="41" fillId="59" borderId="58" applyNumberFormat="0" applyAlignment="0" applyProtection="0"/>
    <xf numFmtId="0" fontId="31" fillId="36" borderId="54">
      <alignment horizontal="right" vertical="center"/>
    </xf>
    <xf numFmtId="4" fontId="33" fillId="0" borderId="54">
      <alignment horizontal="right" vertical="center"/>
    </xf>
    <xf numFmtId="49" fontId="33" fillId="0" borderId="54" applyNumberFormat="0" applyFont="0" applyFill="0" applyBorder="0" applyProtection="0">
      <alignment horizontal="left" vertical="center" indent="2"/>
    </xf>
    <xf numFmtId="0" fontId="33" fillId="38" borderId="57">
      <alignment horizontal="left" vertical="center" wrapText="1" indent="2"/>
    </xf>
    <xf numFmtId="4" fontId="31" fillId="38" borderId="54">
      <alignment horizontal="right" vertical="center"/>
    </xf>
    <xf numFmtId="0" fontId="27" fillId="0" borderId="0" applyNumberFormat="0" applyFill="0" applyBorder="0" applyAlignment="0" applyProtection="0"/>
    <xf numFmtId="4" fontId="33" fillId="37" borderId="54"/>
    <xf numFmtId="0" fontId="31" fillId="36" borderId="54">
      <alignment horizontal="right" vertical="center"/>
    </xf>
    <xf numFmtId="0" fontId="4" fillId="20" borderId="0" applyNumberFormat="0" applyBorder="0" applyAlignment="0" applyProtection="0"/>
    <xf numFmtId="4" fontId="31" fillId="38" borderId="54">
      <alignment horizontal="right" vertical="center"/>
    </xf>
    <xf numFmtId="0" fontId="44" fillId="59" borderId="51" applyNumberFormat="0" applyAlignment="0" applyProtection="0"/>
    <xf numFmtId="0" fontId="38" fillId="62" borderId="53" applyNumberFormat="0" applyFont="0" applyAlignment="0" applyProtection="0"/>
    <xf numFmtId="0" fontId="63" fillId="0" borderId="52" applyNumberFormat="0" applyFill="0" applyAlignment="0" applyProtection="0"/>
    <xf numFmtId="0" fontId="63" fillId="0" borderId="52" applyNumberFormat="0" applyFill="0" applyAlignment="0" applyProtection="0"/>
    <xf numFmtId="4" fontId="31" fillId="38" borderId="55">
      <alignment horizontal="right" vertical="center"/>
    </xf>
    <xf numFmtId="4" fontId="35" fillId="36" borderId="54">
      <alignment horizontal="right" vertical="center"/>
    </xf>
    <xf numFmtId="0" fontId="31" fillId="38" borderId="54">
      <alignment horizontal="right" vertical="center"/>
    </xf>
    <xf numFmtId="0" fontId="3" fillId="0" borderId="23" applyNumberFormat="0" applyFill="0" applyAlignment="0" applyProtection="0"/>
    <xf numFmtId="0" fontId="44" fillId="59" borderId="51" applyNumberFormat="0" applyAlignment="0" applyProtection="0"/>
    <xf numFmtId="0" fontId="43" fillId="59" borderId="51" applyNumberFormat="0" applyAlignment="0" applyProtection="0"/>
    <xf numFmtId="0" fontId="31" fillId="36" borderId="54">
      <alignment horizontal="right" vertical="center"/>
    </xf>
    <xf numFmtId="0" fontId="44" fillId="59" borderId="51" applyNumberFormat="0" applyAlignment="0" applyProtection="0"/>
    <xf numFmtId="4" fontId="33" fillId="0" borderId="54" applyFill="0" applyBorder="0" applyProtection="0">
      <alignment horizontal="right" vertical="center"/>
    </xf>
    <xf numFmtId="0" fontId="33" fillId="38" borderId="57">
      <alignment horizontal="left" vertical="center" wrapText="1" indent="2"/>
    </xf>
    <xf numFmtId="4" fontId="33" fillId="37" borderId="54"/>
    <xf numFmtId="4" fontId="31" fillId="38" borderId="56">
      <alignment horizontal="right" vertical="center"/>
    </xf>
    <xf numFmtId="0" fontId="1" fillId="31" borderId="0" applyNumberFormat="0" applyBorder="0" applyAlignment="0" applyProtection="0"/>
    <xf numFmtId="0" fontId="47" fillId="46" borderId="51" applyNumberFormat="0" applyAlignment="0" applyProtection="0"/>
    <xf numFmtId="49" fontId="32" fillId="0" borderId="54" applyNumberFormat="0" applyFill="0" applyBorder="0" applyProtection="0">
      <alignment horizontal="left" vertical="center"/>
    </xf>
    <xf numFmtId="0" fontId="33" fillId="38" borderId="57">
      <alignment horizontal="left" vertical="center" wrapText="1" indent="2"/>
    </xf>
    <xf numFmtId="0" fontId="33" fillId="38" borderId="57">
      <alignment horizontal="left" vertical="center" wrapText="1" indent="2"/>
    </xf>
    <xf numFmtId="0" fontId="44" fillId="59" borderId="51" applyNumberFormat="0" applyAlignment="0" applyProtection="0"/>
    <xf numFmtId="0" fontId="3" fillId="0" borderId="23" applyNumberFormat="0" applyFill="0" applyAlignment="0" applyProtection="0"/>
    <xf numFmtId="0" fontId="1" fillId="21" borderId="0" applyNumberFormat="0" applyBorder="0" applyAlignment="0" applyProtection="0"/>
    <xf numFmtId="0" fontId="31" fillId="38" borderId="54">
      <alignment horizontal="right" vertical="center"/>
    </xf>
    <xf numFmtId="177" fontId="33" fillId="63" borderId="54" applyNumberFormat="0" applyFont="0" applyBorder="0" applyAlignment="0" applyProtection="0">
      <alignment horizontal="right" vertical="center"/>
    </xf>
    <xf numFmtId="0" fontId="1" fillId="34" borderId="0" applyNumberFormat="0" applyBorder="0" applyAlignment="0" applyProtection="0"/>
    <xf numFmtId="0" fontId="44" fillId="59" borderId="51" applyNumberFormat="0" applyAlignment="0" applyProtection="0"/>
    <xf numFmtId="0" fontId="1" fillId="25" borderId="0" applyNumberFormat="0" applyBorder="0" applyAlignment="0" applyProtection="0"/>
    <xf numFmtId="0" fontId="44" fillId="59" borderId="51" applyNumberFormat="0" applyAlignment="0" applyProtection="0"/>
    <xf numFmtId="0" fontId="60" fillId="59" borderId="58" applyNumberFormat="0" applyAlignment="0" applyProtection="0"/>
    <xf numFmtId="0" fontId="63" fillId="0" borderId="52" applyNumberFormat="0" applyFill="0" applyAlignment="0" applyProtection="0"/>
    <xf numFmtId="0" fontId="31" fillId="36" borderId="54">
      <alignment horizontal="right" vertical="center"/>
    </xf>
    <xf numFmtId="0" fontId="1" fillId="19" borderId="0" applyNumberFormat="0" applyBorder="0" applyAlignment="0" applyProtection="0"/>
    <xf numFmtId="0" fontId="60" fillId="59" borderId="58" applyNumberFormat="0" applyAlignment="0" applyProtection="0"/>
    <xf numFmtId="0" fontId="1" fillId="19" borderId="0" applyNumberFormat="0" applyBorder="0" applyAlignment="0" applyProtection="0"/>
    <xf numFmtId="4" fontId="35" fillId="36" borderId="54">
      <alignment horizontal="right" vertical="center"/>
    </xf>
    <xf numFmtId="4" fontId="31" fillId="36" borderId="54">
      <alignment horizontal="right" vertical="center"/>
    </xf>
    <xf numFmtId="0" fontId="33" fillId="0" borderId="54" applyNumberFormat="0" applyFill="0" applyAlignment="0" applyProtection="0"/>
    <xf numFmtId="4" fontId="31" fillId="36" borderId="54">
      <alignment horizontal="right" vertical="center"/>
    </xf>
    <xf numFmtId="0" fontId="4" fillId="29" borderId="0" applyNumberFormat="0" applyBorder="0" applyAlignment="0" applyProtection="0"/>
    <xf numFmtId="0" fontId="48" fillId="0" borderId="52" applyNumberFormat="0" applyFill="0" applyAlignment="0" applyProtection="0"/>
    <xf numFmtId="0" fontId="1" fillId="21" borderId="0" applyNumberFormat="0" applyBorder="0" applyAlignment="0" applyProtection="0"/>
    <xf numFmtId="0" fontId="33" fillId="0" borderId="54" applyNumberFormat="0" applyFill="0" applyAlignment="0" applyProtection="0"/>
    <xf numFmtId="0" fontId="35" fillId="36" borderId="54">
      <alignment horizontal="right" vertical="center"/>
    </xf>
    <xf numFmtId="0" fontId="38" fillId="62" borderId="53" applyNumberFormat="0" applyFont="0" applyAlignment="0" applyProtection="0"/>
    <xf numFmtId="4" fontId="31" fillId="38" borderId="54">
      <alignment horizontal="right" vertical="center"/>
    </xf>
    <xf numFmtId="4" fontId="31" fillId="38" borderId="54">
      <alignment horizontal="right" vertical="center"/>
    </xf>
    <xf numFmtId="0" fontId="56" fillId="46" borderId="51" applyNumberFormat="0" applyAlignment="0" applyProtection="0"/>
    <xf numFmtId="4" fontId="35" fillId="36" borderId="54">
      <alignment horizontal="right" vertical="center"/>
    </xf>
    <xf numFmtId="0" fontId="38" fillId="62" borderId="53" applyNumberFormat="0" applyFont="0" applyAlignment="0" applyProtection="0"/>
    <xf numFmtId="0" fontId="33" fillId="0" borderId="54" applyNumberFormat="0" applyFill="0" applyAlignment="0" applyProtection="0"/>
    <xf numFmtId="0" fontId="31" fillId="38" borderId="56">
      <alignment horizontal="right" vertical="center"/>
    </xf>
    <xf numFmtId="4" fontId="31" fillId="38" borderId="54">
      <alignment horizontal="right" vertical="center"/>
    </xf>
    <xf numFmtId="0" fontId="41" fillId="59" borderId="58" applyNumberFormat="0" applyAlignment="0" applyProtection="0"/>
    <xf numFmtId="4" fontId="33" fillId="37" borderId="54"/>
    <xf numFmtId="0" fontId="47" fillId="46" borderId="51" applyNumberFormat="0" applyAlignment="0" applyProtection="0"/>
    <xf numFmtId="0" fontId="44" fillId="59" borderId="51" applyNumberFormat="0" applyAlignment="0" applyProtection="0"/>
    <xf numFmtId="0" fontId="33" fillId="36" borderId="55">
      <alignment horizontal="left" vertical="center"/>
    </xf>
    <xf numFmtId="0" fontId="47" fillId="46" borderId="51" applyNumberFormat="0" applyAlignment="0" applyProtection="0"/>
    <xf numFmtId="0" fontId="35" fillId="36" borderId="54">
      <alignment horizontal="right" vertical="center"/>
    </xf>
    <xf numFmtId="0" fontId="31" fillId="38" borderId="54">
      <alignment horizontal="right" vertical="center"/>
    </xf>
    <xf numFmtId="0" fontId="33" fillId="36" borderId="55">
      <alignment horizontal="left" vertical="center"/>
    </xf>
    <xf numFmtId="0" fontId="19" fillId="62" borderId="53" applyNumberFormat="0" applyFont="0" applyAlignment="0" applyProtection="0"/>
    <xf numFmtId="0" fontId="4" fillId="32" borderId="0" applyNumberFormat="0" applyBorder="0" applyAlignment="0" applyProtection="0"/>
    <xf numFmtId="0" fontId="60" fillId="59" borderId="58" applyNumberFormat="0" applyAlignment="0" applyProtection="0"/>
    <xf numFmtId="0" fontId="43" fillId="59" borderId="51" applyNumberFormat="0" applyAlignment="0" applyProtection="0"/>
    <xf numFmtId="0" fontId="56" fillId="46" borderId="51" applyNumberFormat="0" applyAlignment="0" applyProtection="0"/>
    <xf numFmtId="0" fontId="1" fillId="22" borderId="0" applyNumberFormat="0" applyBorder="0" applyAlignment="0" applyProtection="0"/>
    <xf numFmtId="0" fontId="44" fillId="59" borderId="51" applyNumberFormat="0" applyAlignment="0" applyProtection="0"/>
    <xf numFmtId="0" fontId="4" fillId="26" borderId="0" applyNumberFormat="0" applyBorder="0" applyAlignment="0" applyProtection="0"/>
    <xf numFmtId="49" fontId="32" fillId="0" borderId="54" applyNumberFormat="0" applyFill="0" applyBorder="0" applyProtection="0">
      <alignment horizontal="left" vertical="center"/>
    </xf>
    <xf numFmtId="0" fontId="44" fillId="59" borderId="51" applyNumberFormat="0" applyAlignment="0" applyProtection="0"/>
    <xf numFmtId="0" fontId="43" fillId="59" borderId="51" applyNumberFormat="0" applyAlignment="0" applyProtection="0"/>
    <xf numFmtId="4" fontId="31" fillId="38" borderId="55">
      <alignment horizontal="right" vertical="center"/>
    </xf>
    <xf numFmtId="49" fontId="32" fillId="0" borderId="54" applyNumberFormat="0" applyFill="0" applyBorder="0" applyProtection="0">
      <alignment horizontal="left" vertical="center"/>
    </xf>
    <xf numFmtId="0" fontId="1" fillId="27" borderId="0" applyNumberFormat="0" applyBorder="0" applyAlignment="0" applyProtection="0"/>
    <xf numFmtId="0" fontId="4" fillId="35" borderId="0" applyNumberFormat="0" applyBorder="0" applyAlignment="0" applyProtection="0"/>
    <xf numFmtId="0" fontId="27" fillId="0" borderId="0" applyNumberFormat="0" applyFill="0" applyBorder="0" applyAlignment="0" applyProtection="0"/>
    <xf numFmtId="0" fontId="31" fillId="36" borderId="54">
      <alignment horizontal="right" vertical="center"/>
    </xf>
    <xf numFmtId="0" fontId="1" fillId="21" borderId="0" applyNumberFormat="0" applyBorder="0" applyAlignment="0" applyProtection="0"/>
    <xf numFmtId="0" fontId="1" fillId="34" borderId="0" applyNumberFormat="0" applyBorder="0" applyAlignment="0" applyProtection="0"/>
    <xf numFmtId="0" fontId="56" fillId="46" borderId="51" applyNumberFormat="0" applyAlignment="0" applyProtection="0"/>
    <xf numFmtId="4" fontId="31" fillId="38" borderId="55">
      <alignment horizontal="right" vertical="center"/>
    </xf>
    <xf numFmtId="0" fontId="31" fillId="38" borderId="54">
      <alignment horizontal="right" vertical="center"/>
    </xf>
    <xf numFmtId="177" fontId="33" fillId="63" borderId="54" applyNumberFormat="0" applyFont="0" applyBorder="0" applyAlignment="0" applyProtection="0">
      <alignment horizontal="right" vertical="center"/>
    </xf>
    <xf numFmtId="0" fontId="47" fillId="46" borderId="51" applyNumberFormat="0" applyAlignment="0" applyProtection="0"/>
    <xf numFmtId="0" fontId="1" fillId="19" borderId="0" applyNumberFormat="0" applyBorder="0" applyAlignment="0" applyProtection="0"/>
    <xf numFmtId="0" fontId="48" fillId="0" borderId="52" applyNumberFormat="0" applyFill="0" applyAlignment="0" applyProtection="0"/>
    <xf numFmtId="0" fontId="63" fillId="0" borderId="52" applyNumberFormat="0" applyFill="0" applyAlignment="0" applyProtection="0"/>
    <xf numFmtId="0" fontId="33" fillId="0" borderId="54" applyNumberFormat="0" applyFill="0" applyAlignment="0" applyProtection="0"/>
    <xf numFmtId="0" fontId="33" fillId="0" borderId="54">
      <alignment horizontal="right" vertical="center"/>
    </xf>
    <xf numFmtId="0" fontId="1" fillId="28" borderId="0" applyNumberFormat="0" applyBorder="0" applyAlignment="0" applyProtection="0"/>
    <xf numFmtId="0" fontId="1" fillId="18" borderId="0" applyNumberFormat="0" applyBorder="0" applyAlignment="0" applyProtection="0"/>
    <xf numFmtId="177" fontId="33" fillId="63" borderId="54" applyNumberFormat="0" applyFont="0" applyBorder="0" applyAlignment="0" applyProtection="0">
      <alignment horizontal="right" vertical="center"/>
    </xf>
    <xf numFmtId="0" fontId="28" fillId="0" borderId="0" applyNumberFormat="0" applyFill="0" applyBorder="0" applyAlignment="0" applyProtection="0"/>
    <xf numFmtId="0" fontId="1" fillId="24" borderId="0" applyNumberFormat="0" applyBorder="0" applyAlignment="0" applyProtection="0"/>
    <xf numFmtId="0" fontId="4" fillId="26" borderId="0" applyNumberFormat="0" applyBorder="0" applyAlignment="0" applyProtection="0"/>
    <xf numFmtId="0" fontId="48" fillId="0" borderId="52" applyNumberFormat="0" applyFill="0" applyAlignment="0" applyProtection="0"/>
    <xf numFmtId="4" fontId="31" fillId="38" borderId="56">
      <alignment horizontal="right" vertical="center"/>
    </xf>
    <xf numFmtId="0" fontId="33" fillId="0" borderId="54">
      <alignment horizontal="right" vertical="center"/>
    </xf>
    <xf numFmtId="0" fontId="38" fillId="62" borderId="53"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38" fillId="62" borderId="53" applyNumberFormat="0" applyFont="0" applyAlignment="0" applyProtection="0"/>
    <xf numFmtId="0" fontId="4" fillId="20" borderId="0" applyNumberFormat="0" applyBorder="0" applyAlignment="0" applyProtection="0"/>
    <xf numFmtId="0" fontId="4" fillId="23" borderId="0" applyNumberFormat="0" applyBorder="0" applyAlignment="0" applyProtection="0"/>
    <xf numFmtId="0" fontId="33" fillId="0" borderId="54" applyNumberFormat="0" applyFill="0" applyAlignment="0" applyProtection="0"/>
    <xf numFmtId="0" fontId="1" fillId="22" borderId="0" applyNumberFormat="0" applyBorder="0" applyAlignment="0" applyProtection="0"/>
    <xf numFmtId="4" fontId="33" fillId="0" borderId="54" applyFill="0" applyBorder="0" applyProtection="0">
      <alignment horizontal="right" vertical="center"/>
    </xf>
    <xf numFmtId="0" fontId="1" fillId="30" borderId="0" applyNumberFormat="0" applyBorder="0" applyAlignment="0" applyProtection="0"/>
    <xf numFmtId="0" fontId="1" fillId="30" borderId="0" applyNumberFormat="0" applyBorder="0" applyAlignment="0" applyProtection="0"/>
    <xf numFmtId="0" fontId="35" fillId="36" borderId="54">
      <alignment horizontal="right" vertical="center"/>
    </xf>
    <xf numFmtId="0" fontId="47" fillId="46" borderId="51" applyNumberFormat="0" applyAlignment="0" applyProtection="0"/>
    <xf numFmtId="177" fontId="33" fillId="63" borderId="54" applyNumberFormat="0" applyFont="0" applyBorder="0" applyAlignment="0" applyProtection="0">
      <alignment horizontal="right" vertical="center"/>
    </xf>
    <xf numFmtId="0" fontId="47" fillId="46" borderId="51" applyNumberFormat="0" applyAlignment="0" applyProtection="0"/>
    <xf numFmtId="4" fontId="33" fillId="0" borderId="54">
      <alignment horizontal="right" vertical="center"/>
    </xf>
    <xf numFmtId="49" fontId="33" fillId="0" borderId="54" applyNumberFormat="0" applyFont="0" applyFill="0" applyBorder="0" applyProtection="0">
      <alignment horizontal="left" vertical="center" indent="2"/>
    </xf>
    <xf numFmtId="177" fontId="33" fillId="63" borderId="54" applyNumberFormat="0" applyFont="0" applyBorder="0" applyAlignment="0" applyProtection="0">
      <alignment horizontal="right" vertical="center"/>
    </xf>
    <xf numFmtId="49" fontId="32" fillId="0" borderId="54" applyNumberFormat="0" applyFill="0" applyBorder="0" applyProtection="0">
      <alignment horizontal="left" vertical="center"/>
    </xf>
    <xf numFmtId="4" fontId="31" fillId="38" borderId="54">
      <alignment horizontal="right" vertical="center"/>
    </xf>
    <xf numFmtId="0" fontId="47" fillId="46" borderId="51" applyNumberFormat="0" applyAlignment="0" applyProtection="0"/>
    <xf numFmtId="0" fontId="44" fillId="59" borderId="51" applyNumberFormat="0" applyAlignment="0" applyProtection="0"/>
    <xf numFmtId="4" fontId="33" fillId="0" borderId="54">
      <alignment horizontal="right" vertical="center"/>
    </xf>
    <xf numFmtId="0" fontId="33" fillId="38" borderId="57">
      <alignment horizontal="left" vertical="center" wrapText="1" indent="2"/>
    </xf>
    <xf numFmtId="0" fontId="33" fillId="0" borderId="57">
      <alignment horizontal="left" vertical="center" wrapText="1" indent="2"/>
    </xf>
    <xf numFmtId="0" fontId="60" fillId="59" borderId="58" applyNumberFormat="0" applyAlignment="0" applyProtection="0"/>
    <xf numFmtId="0" fontId="56" fillId="46" borderId="51" applyNumberFormat="0" applyAlignment="0" applyProtection="0"/>
    <xf numFmtId="0" fontId="43" fillId="59" borderId="51" applyNumberFormat="0" applyAlignment="0" applyProtection="0"/>
    <xf numFmtId="0" fontId="41" fillId="59" borderId="58" applyNumberFormat="0" applyAlignment="0" applyProtection="0"/>
    <xf numFmtId="0" fontId="31" fillId="38" borderId="56">
      <alignment horizontal="right" vertical="center"/>
    </xf>
    <xf numFmtId="0" fontId="35" fillId="36" borderId="54">
      <alignment horizontal="right" vertical="center"/>
    </xf>
    <xf numFmtId="4" fontId="31" fillId="36" borderId="54">
      <alignment horizontal="right" vertical="center"/>
    </xf>
    <xf numFmtId="4" fontId="31" fillId="38" borderId="54">
      <alignment horizontal="right" vertical="center"/>
    </xf>
    <xf numFmtId="49" fontId="33" fillId="0" borderId="55" applyNumberFormat="0" applyFont="0" applyFill="0" applyBorder="0" applyProtection="0">
      <alignment horizontal="left" vertical="center" indent="5"/>
    </xf>
    <xf numFmtId="4" fontId="33" fillId="0" borderId="54" applyFill="0" applyBorder="0" applyProtection="0">
      <alignment horizontal="right" vertical="center"/>
    </xf>
    <xf numFmtId="4" fontId="31" fillId="36" borderId="54">
      <alignment horizontal="right" vertical="center"/>
    </xf>
    <xf numFmtId="0" fontId="56" fillId="46" borderId="51" applyNumberFormat="0" applyAlignment="0" applyProtection="0"/>
    <xf numFmtId="0" fontId="47" fillId="46" borderId="51" applyNumberFormat="0" applyAlignment="0" applyProtection="0"/>
    <xf numFmtId="0" fontId="43" fillId="59" borderId="51" applyNumberFormat="0" applyAlignment="0" applyProtection="0"/>
    <xf numFmtId="0" fontId="33" fillId="38" borderId="57">
      <alignment horizontal="left" vertical="center" wrapText="1" indent="2"/>
    </xf>
    <xf numFmtId="0" fontId="33" fillId="0" borderId="57">
      <alignment horizontal="left" vertical="center" wrapText="1" indent="2"/>
    </xf>
    <xf numFmtId="0" fontId="33" fillId="38" borderId="57">
      <alignment horizontal="left" vertical="center" wrapText="1" indent="2"/>
    </xf>
    <xf numFmtId="0" fontId="19" fillId="0" borderId="0"/>
    <xf numFmtId="0" fontId="19" fillId="0" borderId="0"/>
    <xf numFmtId="9" fontId="1" fillId="0" borderId="0" applyFont="0" applyFill="0" applyBorder="0" applyAlignment="0" applyProtection="0"/>
    <xf numFmtId="9" fontId="19" fillId="0" borderId="0" applyFont="0" applyFill="0" applyBorder="0" applyAlignment="0" applyProtection="0"/>
    <xf numFmtId="174" fontId="19" fillId="0" borderId="0" applyFont="0" applyFill="0" applyBorder="0" applyAlignment="0" applyProtection="0"/>
    <xf numFmtId="178" fontId="19" fillId="0" borderId="0"/>
    <xf numFmtId="0" fontId="19" fillId="0" borderId="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41"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42"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43"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44"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76" fillId="45"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46"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76" fillId="47"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48"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49"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44"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76" fillId="47"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50"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5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48"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49"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52"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53"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54"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55"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56"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57"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52"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53"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5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42" borderId="0" applyNumberFormat="0" applyBorder="0" applyAlignment="0" applyProtection="0"/>
    <xf numFmtId="0" fontId="79" fillId="15" borderId="51" applyNumberFormat="0" applyAlignment="0" applyProtection="0"/>
    <xf numFmtId="0" fontId="79" fillId="15" borderId="51" applyNumberFormat="0" applyAlignment="0" applyProtection="0"/>
    <xf numFmtId="0" fontId="80" fillId="0" borderId="0">
      <protection locked="0"/>
    </xf>
    <xf numFmtId="0" fontId="81" fillId="37" borderId="40" applyNumberFormat="0" applyAlignment="0" applyProtection="0"/>
    <xf numFmtId="0" fontId="81" fillId="37" borderId="40" applyNumberFormat="0" applyAlignment="0" applyProtection="0"/>
    <xf numFmtId="0" fontId="81" fillId="37" borderId="40" applyNumberFormat="0" applyAlignment="0" applyProtection="0"/>
    <xf numFmtId="0" fontId="81" fillId="60" borderId="40" applyNumberFormat="0" applyAlignment="0" applyProtection="0"/>
    <xf numFmtId="0" fontId="82" fillId="0" borderId="0" applyNumberFormat="0" applyFont="0" applyFill="0" applyBorder="0" applyProtection="0">
      <alignment horizontal="right"/>
    </xf>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9"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74" fontId="19" fillId="0" borderId="0" applyFont="0" applyFill="0" applyBorder="0" applyAlignment="0" applyProtection="0"/>
    <xf numFmtId="174" fontId="36" fillId="0" borderId="0" applyFont="0" applyFill="0" applyBorder="0" applyAlignment="0" applyProtection="0"/>
    <xf numFmtId="43"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36" fillId="0" borderId="0" applyFont="0" applyFill="0" applyBorder="0" applyAlignment="0" applyProtection="0"/>
    <xf numFmtId="43" fontId="19" fillId="0" borderId="0" applyFont="0" applyFill="0" applyBorder="0" applyAlignment="0" applyProtection="0"/>
    <xf numFmtId="174" fontId="36" fillId="0" borderId="0" applyFont="0" applyFill="0" applyBorder="0" applyAlignment="0" applyProtection="0"/>
    <xf numFmtId="174" fontId="1" fillId="0" borderId="0" applyFont="0" applyFill="0" applyBorder="0" applyAlignment="0" applyProtection="0"/>
    <xf numFmtId="174" fontId="36" fillId="0" borderId="0" applyFont="0" applyFill="0" applyBorder="0" applyAlignment="0" applyProtection="0"/>
    <xf numFmtId="174" fontId="36" fillId="0" borderId="0" applyFont="0" applyFill="0" applyBorder="0" applyAlignment="0" applyProtection="0"/>
    <xf numFmtId="174" fontId="36" fillId="0" borderId="0" applyFont="0" applyFill="0" applyBorder="0" applyAlignment="0" applyProtection="0"/>
    <xf numFmtId="174" fontId="36"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174" fontId="19" fillId="0" borderId="0" applyFont="0" applyFill="0" applyBorder="0" applyAlignment="0" applyProtection="0"/>
    <xf numFmtId="174" fontId="2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3" fontId="83" fillId="0" borderId="0" applyFont="0" applyFill="0" applyBorder="0" applyAlignment="0" applyProtection="0"/>
    <xf numFmtId="3" fontId="19" fillId="0" borderId="0" applyFont="0" applyFill="0" applyBorder="0" applyAlignment="0" applyProtection="0"/>
    <xf numFmtId="4" fontId="84" fillId="0" borderId="0" applyFont="0" applyFill="0" applyBorder="0" applyAlignment="0" applyProtection="0"/>
    <xf numFmtId="0" fontId="19" fillId="82" borderId="0" applyNumberFormat="0" applyFont="0" applyBorder="0" applyAlignment="0"/>
    <xf numFmtId="179" fontId="19" fillId="0" borderId="0" applyFont="0" applyFill="0" applyBorder="0" applyAlignment="0" applyProtection="0"/>
    <xf numFmtId="180" fontId="83" fillId="0" borderId="0" applyFont="0" applyFill="0" applyBorder="0" applyAlignment="0" applyProtection="0"/>
    <xf numFmtId="181" fontId="85" fillId="0" borderId="0" applyFont="0" applyFill="0" applyBorder="0" applyAlignment="0" applyProtection="0"/>
    <xf numFmtId="15" fontId="85" fillId="0" borderId="0" applyFont="0" applyFill="0" applyBorder="0" applyProtection="0">
      <alignment horizontal="right"/>
    </xf>
    <xf numFmtId="182" fontId="19" fillId="0" borderId="0" applyFont="0" applyFill="0" applyBorder="0" applyAlignment="0" applyProtection="0">
      <alignment wrapText="1"/>
    </xf>
    <xf numFmtId="174" fontId="19" fillId="0" borderId="0" applyFont="0" applyFill="0" applyBorder="0" applyAlignment="0" applyProtection="0">
      <alignment wrapText="1"/>
    </xf>
    <xf numFmtId="183" fontId="19" fillId="0" borderId="0" applyFont="0" applyFill="0" applyBorder="0" applyAlignment="0" applyProtection="0"/>
    <xf numFmtId="183" fontId="19" fillId="0" borderId="0" applyFont="0" applyFill="0" applyBorder="0" applyAlignment="0" applyProtection="0"/>
    <xf numFmtId="0" fontId="86" fillId="0" borderId="0" applyNumberFormat="0" applyFill="0" applyBorder="0" applyAlignment="0" applyProtection="0"/>
    <xf numFmtId="2" fontId="83" fillId="0" borderId="0" applyFont="0" applyFill="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43" borderId="0" applyNumberFormat="0" applyBorder="0" applyAlignment="0" applyProtection="0"/>
    <xf numFmtId="184" fontId="88" fillId="0" borderId="0">
      <protection locked="0"/>
    </xf>
    <xf numFmtId="0" fontId="89" fillId="0" borderId="0" applyNumberFormat="0" applyFill="0" applyBorder="0" applyAlignment="0" applyProtection="0"/>
    <xf numFmtId="185" fontId="90" fillId="0" borderId="0">
      <alignment horizontal="left" vertical="center"/>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 fillId="0" borderId="0" applyNumberFormat="0" applyFill="0" applyBorder="0" applyAlignment="0" applyProtection="0"/>
    <xf numFmtId="0" fontId="95"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 fillId="0" borderId="0" applyNumberFormat="0" applyFill="0" applyBorder="0" applyAlignment="0" applyProtection="0"/>
    <xf numFmtId="0" fontId="96" fillId="38" borderId="51" applyNumberFormat="0" applyAlignment="0" applyProtection="0"/>
    <xf numFmtId="0" fontId="96" fillId="38" borderId="51" applyNumberFormat="0" applyAlignment="0" applyProtection="0"/>
    <xf numFmtId="0" fontId="19" fillId="38" borderId="0" applyNumberFormat="0" applyFont="0" applyBorder="0" applyAlignment="0"/>
    <xf numFmtId="186" fontId="19" fillId="0" borderId="0" applyFont="0" applyFill="0" applyBorder="0" applyAlignment="0" applyProtection="0"/>
    <xf numFmtId="176" fontId="19" fillId="0" borderId="0" applyFont="0" applyFill="0" applyBorder="0" applyAlignment="0" applyProtection="0"/>
    <xf numFmtId="187" fontId="19" fillId="0" borderId="0" applyFont="0" applyFill="0" applyBorder="0" applyAlignment="0" applyProtection="0"/>
    <xf numFmtId="188" fontId="19" fillId="0" borderId="0" applyFont="0" applyFill="0" applyBorder="0" applyAlignment="0" applyProtection="0"/>
    <xf numFmtId="189" fontId="88" fillId="0" borderId="0">
      <protection locked="0"/>
    </xf>
    <xf numFmtId="0" fontId="97" fillId="82" borderId="0" applyNumberFormat="0" applyBorder="0" applyAlignment="0" applyProtection="0"/>
    <xf numFmtId="0" fontId="97" fillId="82" borderId="0" applyNumberFormat="0" applyBorder="0" applyAlignment="0" applyProtection="0"/>
    <xf numFmtId="0" fontId="97" fillId="82" borderId="0" applyNumberFormat="0" applyBorder="0" applyAlignment="0" applyProtection="0"/>
    <xf numFmtId="0" fontId="97"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64" fontId="36" fillId="0" borderId="0"/>
    <xf numFmtId="164" fontId="36" fillId="0" borderId="0"/>
    <xf numFmtId="0" fontId="19" fillId="0" borderId="0" applyBorder="0"/>
    <xf numFmtId="0" fontId="19" fillId="0" borderId="0"/>
    <xf numFmtId="164" fontId="36" fillId="0" borderId="0"/>
    <xf numFmtId="0" fontId="19" fillId="0" borderId="0"/>
    <xf numFmtId="0" fontId="19" fillId="0" borderId="0"/>
    <xf numFmtId="0" fontId="22" fillId="0" borderId="0"/>
    <xf numFmtId="0" fontId="22" fillId="0" borderId="0"/>
    <xf numFmtId="0" fontId="22"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9"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98"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64"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83" borderId="53" applyNumberFormat="0" applyFont="0" applyAlignment="0" applyProtection="0"/>
    <xf numFmtId="0" fontId="99" fillId="15" borderId="58" applyNumberFormat="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19" fillId="0" borderId="0" applyFont="0" applyFill="0" applyBorder="0" applyAlignment="0" applyProtection="0"/>
    <xf numFmtId="9" fontId="36"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6"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13" fontId="19" fillId="0" borderId="0" applyFont="0" applyFill="0" applyProtection="0"/>
    <xf numFmtId="9" fontId="22" fillId="0" borderId="0" applyFont="0" applyFill="0" applyBorder="0" applyAlignment="0" applyProtection="0"/>
    <xf numFmtId="10" fontId="85" fillId="0" borderId="0" applyFont="0" applyFill="0" applyBorder="0" applyAlignment="0" applyProtection="0"/>
    <xf numFmtId="185" fontId="101" fillId="0" borderId="0" applyFill="0" applyBorder="0" applyAlignment="0" applyProtection="0"/>
    <xf numFmtId="0" fontId="19" fillId="0" borderId="0"/>
    <xf numFmtId="0" fontId="19" fillId="0" borderId="0"/>
    <xf numFmtId="0" fontId="102" fillId="0" borderId="0"/>
    <xf numFmtId="0" fontId="88" fillId="0" borderId="0">
      <alignment horizontal="right"/>
    </xf>
    <xf numFmtId="0" fontId="88" fillId="0" borderId="0">
      <alignment horizontal="left"/>
    </xf>
    <xf numFmtId="0" fontId="18" fillId="0" borderId="0"/>
    <xf numFmtId="0" fontId="98" fillId="0" borderId="0">
      <alignment vertical="top"/>
    </xf>
    <xf numFmtId="174" fontId="98" fillId="0" borderId="63" applyFont="0" applyAlignment="0">
      <alignment vertical="top" wrapText="1"/>
    </xf>
    <xf numFmtId="190" fontId="19" fillId="0" borderId="0" applyFont="0" applyFill="0" applyBorder="0" applyAlignment="0" applyProtection="0">
      <alignment horizontal="left"/>
    </xf>
    <xf numFmtId="190" fontId="19" fillId="0" borderId="0" applyFont="0" applyFill="0" applyBorder="0" applyAlignment="0" applyProtection="0">
      <alignment horizontal="left"/>
    </xf>
    <xf numFmtId="166" fontId="19" fillId="0" borderId="0" applyFont="0" applyFill="0" applyBorder="0" applyAlignment="0" applyProtection="0">
      <alignment horizontal="left"/>
    </xf>
    <xf numFmtId="166" fontId="19" fillId="0" borderId="0" applyFont="0" applyFill="0" applyBorder="0" applyAlignment="0" applyProtection="0">
      <alignment horizontal="left"/>
    </xf>
    <xf numFmtId="191" fontId="19" fillId="0" borderId="0" applyFont="0" applyFill="0" applyBorder="0" applyAlignment="0" applyProtection="0">
      <alignment horizontal="left"/>
    </xf>
    <xf numFmtId="191" fontId="19" fillId="0" borderId="0" applyFont="0" applyFill="0" applyBorder="0" applyAlignment="0" applyProtection="0">
      <alignment horizontal="left"/>
    </xf>
    <xf numFmtId="49" fontId="19" fillId="0" borderId="0" applyFill="0" applyBorder="0" applyProtection="0">
      <alignment horizontal="left"/>
    </xf>
    <xf numFmtId="49" fontId="19" fillId="0" borderId="0" applyFill="0" applyBorder="0" applyProtection="0">
      <alignment horizontal="left"/>
    </xf>
    <xf numFmtId="190" fontId="19" fillId="0" borderId="0" applyFont="0" applyFill="0" applyBorder="0" applyAlignment="0" applyProtection="0">
      <alignment horizontal="left"/>
    </xf>
    <xf numFmtId="190" fontId="19" fillId="0" borderId="0" applyFont="0" applyFill="0" applyBorder="0" applyAlignment="0" applyProtection="0">
      <alignment horizontal="left"/>
    </xf>
    <xf numFmtId="166" fontId="19" fillId="0" borderId="0" applyFont="0" applyFill="0" applyBorder="0" applyAlignment="0" applyProtection="0">
      <alignment horizontal="left"/>
    </xf>
    <xf numFmtId="166" fontId="19" fillId="0" borderId="0" applyFont="0" applyFill="0" applyBorder="0" applyAlignment="0" applyProtection="0">
      <alignment horizontal="left"/>
    </xf>
    <xf numFmtId="191" fontId="19" fillId="0" borderId="0" applyFont="0" applyFill="0" applyBorder="0" applyAlignment="0" applyProtection="0">
      <alignment horizontal="left"/>
    </xf>
    <xf numFmtId="191" fontId="19" fillId="0" borderId="0" applyFont="0" applyFill="0" applyBorder="0" applyAlignment="0" applyProtection="0">
      <alignment horizontal="left"/>
    </xf>
    <xf numFmtId="49" fontId="19" fillId="0" borderId="0" applyFill="0" applyBorder="0" applyProtection="0">
      <alignment horizontal="left"/>
    </xf>
    <xf numFmtId="49" fontId="19" fillId="0" borderId="0" applyFill="0" applyBorder="0" applyProtection="0">
      <alignment horizontal="left"/>
    </xf>
    <xf numFmtId="4" fontId="82" fillId="0" borderId="64" applyNumberFormat="0" applyFont="0" applyFill="0" applyAlignment="0" applyProtection="0"/>
    <xf numFmtId="2" fontId="80" fillId="1" borderId="1" applyNumberFormat="0" applyBorder="0" applyProtection="0">
      <alignment horizontal="left"/>
    </xf>
    <xf numFmtId="0" fontId="103" fillId="0" borderId="0">
      <alignment horizontal="left" vertical="top"/>
    </xf>
    <xf numFmtId="0" fontId="104" fillId="0" borderId="0">
      <alignment horizontal="left"/>
    </xf>
    <xf numFmtId="192" fontId="105" fillId="84" borderId="0" applyNumberFormat="0" applyBorder="0">
      <protection locked="0"/>
    </xf>
    <xf numFmtId="192" fontId="106" fillId="85" borderId="0" applyNumberFormat="0" applyBorder="0">
      <protection locked="0"/>
    </xf>
    <xf numFmtId="182" fontId="19" fillId="0" borderId="0" applyFont="0" applyFill="0" applyBorder="0" applyAlignment="0" applyProtection="0"/>
    <xf numFmtId="174" fontId="19" fillId="0" borderId="0" applyFont="0" applyFill="0" applyBorder="0" applyAlignment="0" applyProtection="0"/>
    <xf numFmtId="193" fontId="101" fillId="0" borderId="0" applyFont="0" applyFill="0" applyBorder="0" applyAlignment="0" applyProtection="0"/>
    <xf numFmtId="194" fontId="101" fillId="0" borderId="0" applyFont="0" applyFill="0" applyBorder="0" applyAlignment="0" applyProtection="0"/>
    <xf numFmtId="195" fontId="85" fillId="0" borderId="0" applyFont="0" applyFill="0" applyBorder="0" applyAlignment="0" applyProtection="0"/>
    <xf numFmtId="0" fontId="107" fillId="82" borderId="0">
      <alignment horizontal="left" vertical="center" indent="1"/>
    </xf>
    <xf numFmtId="0" fontId="19" fillId="0" borderId="0">
      <alignment vertical="top"/>
    </xf>
    <xf numFmtId="4" fontId="82" fillId="0" borderId="66" applyNumberFormat="0" applyFont="0" applyFill="0" applyAlignment="0" applyProtection="0"/>
    <xf numFmtId="2" fontId="80" fillId="1" borderId="65" applyNumberFormat="0" applyBorder="0" applyProtection="0">
      <alignment horizontal="left"/>
    </xf>
    <xf numFmtId="0" fontId="109" fillId="0" borderId="0" applyNumberFormat="0" applyFill="0" applyBorder="0" applyAlignment="0" applyProtection="0"/>
    <xf numFmtId="0" fontId="110" fillId="0" borderId="0" applyNumberFormat="0" applyFill="0" applyBorder="0" applyAlignment="0" applyProtection="0"/>
    <xf numFmtId="0" fontId="19" fillId="0" borderId="0"/>
    <xf numFmtId="183" fontId="19" fillId="0" borderId="0" applyFont="0" applyFill="0" applyBorder="0" applyAlignment="0" applyProtection="0"/>
    <xf numFmtId="183"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183" fontId="91" fillId="0" borderId="0" applyNumberFormat="0" applyFill="0" applyBorder="0" applyAlignment="0" applyProtection="0">
      <alignment vertical="top"/>
      <protection locked="0"/>
    </xf>
    <xf numFmtId="183" fontId="98" fillId="0" borderId="0"/>
    <xf numFmtId="0" fontId="98" fillId="0" borderId="0"/>
    <xf numFmtId="183" fontId="98" fillId="0" borderId="0"/>
    <xf numFmtId="183" fontId="98" fillId="0" borderId="0"/>
    <xf numFmtId="0" fontId="98" fillId="0" borderId="0"/>
    <xf numFmtId="183" fontId="98" fillId="0" borderId="0"/>
    <xf numFmtId="183" fontId="98" fillId="0" borderId="0"/>
    <xf numFmtId="183" fontId="98" fillId="0" borderId="0"/>
    <xf numFmtId="183" fontId="98" fillId="0" borderId="0"/>
    <xf numFmtId="183" fontId="98" fillId="0" borderId="0"/>
    <xf numFmtId="183" fontId="98" fillId="0" borderId="0"/>
    <xf numFmtId="183" fontId="98" fillId="0" borderId="0"/>
    <xf numFmtId="183" fontId="98" fillId="0" borderId="0"/>
    <xf numFmtId="183" fontId="98" fillId="0" borderId="0"/>
    <xf numFmtId="183" fontId="98" fillId="0" borderId="0"/>
    <xf numFmtId="183" fontId="122" fillId="0" borderId="0">
      <alignment horizontal="left"/>
    </xf>
    <xf numFmtId="0" fontId="122" fillId="0" borderId="0">
      <alignment horizontal="left"/>
    </xf>
    <xf numFmtId="183" fontId="122" fillId="0" borderId="0">
      <alignment horizontal="left"/>
    </xf>
    <xf numFmtId="183" fontId="122" fillId="0" borderId="0">
      <alignment horizontal="left"/>
    </xf>
    <xf numFmtId="0" fontId="122" fillId="0" borderId="0">
      <alignment horizontal="left"/>
    </xf>
    <xf numFmtId="183" fontId="122" fillId="0" borderId="0">
      <alignment horizontal="left"/>
    </xf>
    <xf numFmtId="183" fontId="122" fillId="0" borderId="0">
      <alignment horizontal="left"/>
    </xf>
    <xf numFmtId="183" fontId="122" fillId="0" borderId="0">
      <alignment horizontal="left"/>
    </xf>
    <xf numFmtId="183" fontId="122" fillId="0" borderId="0">
      <alignment horizontal="left"/>
    </xf>
    <xf numFmtId="183" fontId="122" fillId="0" borderId="0">
      <alignment horizontal="left"/>
    </xf>
    <xf numFmtId="183" fontId="122" fillId="0" borderId="0">
      <alignment horizontal="left"/>
    </xf>
    <xf numFmtId="183" fontId="122" fillId="0" borderId="0">
      <alignment horizontal="left"/>
    </xf>
    <xf numFmtId="183" fontId="122" fillId="0" borderId="0">
      <alignment horizontal="left"/>
    </xf>
    <xf numFmtId="183" fontId="122" fillId="0" borderId="0">
      <alignment horizontal="left"/>
    </xf>
    <xf numFmtId="183" fontId="122" fillId="0" borderId="0">
      <alignment horizontal="left"/>
    </xf>
    <xf numFmtId="179" fontId="19" fillId="0" borderId="0" applyFont="0" applyFill="0" applyBorder="0" applyAlignment="0" applyProtection="0"/>
    <xf numFmtId="183"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183" fontId="91" fillId="0" borderId="0" applyNumberFormat="0" applyFill="0" applyBorder="0" applyAlignment="0" applyProtection="0">
      <alignment vertical="top"/>
      <protection locked="0"/>
    </xf>
    <xf numFmtId="183" fontId="91" fillId="0" borderId="0" applyNumberFormat="0" applyFill="0" applyBorder="0" applyAlignment="0" applyProtection="0">
      <alignment vertical="top"/>
      <protection locked="0"/>
    </xf>
    <xf numFmtId="183" fontId="91" fillId="0" borderId="0" applyNumberFormat="0" applyFill="0" applyBorder="0" applyAlignment="0" applyProtection="0">
      <alignment vertical="top"/>
      <protection locked="0"/>
    </xf>
    <xf numFmtId="183" fontId="91" fillId="0" borderId="0" applyNumberFormat="0" applyFill="0" applyBorder="0" applyAlignment="0" applyProtection="0">
      <alignment vertical="top"/>
      <protection locked="0"/>
    </xf>
    <xf numFmtId="183" fontId="91" fillId="0" borderId="0" applyNumberFormat="0" applyFill="0" applyBorder="0" applyAlignment="0" applyProtection="0">
      <alignment vertical="top"/>
      <protection locked="0"/>
    </xf>
    <xf numFmtId="183" fontId="91" fillId="0" borderId="0" applyNumberFormat="0" applyFill="0" applyBorder="0" applyAlignment="0" applyProtection="0">
      <alignment vertical="top"/>
      <protection locked="0"/>
    </xf>
    <xf numFmtId="183" fontId="91" fillId="0" borderId="0" applyNumberFormat="0" applyFill="0" applyBorder="0" applyAlignment="0" applyProtection="0">
      <alignment vertical="top"/>
      <protection locked="0"/>
    </xf>
    <xf numFmtId="183" fontId="91" fillId="0" borderId="0" applyNumberFormat="0" applyFill="0" applyBorder="0" applyAlignment="0" applyProtection="0">
      <alignment vertical="top"/>
      <protection locked="0"/>
    </xf>
    <xf numFmtId="183" fontId="91" fillId="0" borderId="0" applyNumberFormat="0" applyFill="0" applyBorder="0" applyAlignment="0" applyProtection="0">
      <alignment vertical="top"/>
      <protection locked="0"/>
    </xf>
    <xf numFmtId="183" fontId="91" fillId="0" borderId="0" applyNumberFormat="0" applyFill="0" applyBorder="0" applyAlignment="0" applyProtection="0">
      <alignment vertical="top"/>
      <protection locked="0"/>
    </xf>
    <xf numFmtId="183"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183" fontId="123" fillId="0" borderId="0" applyNumberFormat="0" applyFill="0" applyBorder="0" applyAlignment="0" applyProtection="0">
      <alignment vertical="top"/>
      <protection locked="0"/>
    </xf>
    <xf numFmtId="183"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183" fontId="123" fillId="0" borderId="0" applyNumberFormat="0" applyFill="0" applyBorder="0" applyAlignment="0" applyProtection="0">
      <alignment vertical="top"/>
      <protection locked="0"/>
    </xf>
    <xf numFmtId="183" fontId="123" fillId="0" borderId="0" applyNumberFormat="0" applyFill="0" applyBorder="0" applyAlignment="0" applyProtection="0">
      <alignment vertical="top"/>
      <protection locked="0"/>
    </xf>
    <xf numFmtId="183" fontId="123" fillId="0" borderId="0" applyNumberFormat="0" applyFill="0" applyBorder="0" applyAlignment="0" applyProtection="0">
      <alignment vertical="top"/>
      <protection locked="0"/>
    </xf>
    <xf numFmtId="183" fontId="123" fillId="0" borderId="0" applyNumberFormat="0" applyFill="0" applyBorder="0" applyAlignment="0" applyProtection="0">
      <alignment vertical="top"/>
      <protection locked="0"/>
    </xf>
    <xf numFmtId="183" fontId="123" fillId="0" borderId="0" applyNumberFormat="0" applyFill="0" applyBorder="0" applyAlignment="0" applyProtection="0">
      <alignment vertical="top"/>
      <protection locked="0"/>
    </xf>
    <xf numFmtId="183" fontId="123" fillId="0" borderId="0" applyNumberFormat="0" applyFill="0" applyBorder="0" applyAlignment="0" applyProtection="0">
      <alignment vertical="top"/>
      <protection locked="0"/>
    </xf>
    <xf numFmtId="183" fontId="123" fillId="0" borderId="0" applyNumberFormat="0" applyFill="0" applyBorder="0" applyAlignment="0" applyProtection="0">
      <alignment vertical="top"/>
      <protection locked="0"/>
    </xf>
    <xf numFmtId="183" fontId="123" fillId="0" borderId="0" applyNumberFormat="0" applyFill="0" applyBorder="0" applyAlignment="0" applyProtection="0">
      <alignment vertical="top"/>
      <protection locked="0"/>
    </xf>
    <xf numFmtId="183" fontId="123" fillId="0" borderId="0" applyNumberFormat="0" applyFill="0" applyBorder="0" applyAlignment="0" applyProtection="0">
      <alignment vertical="top"/>
      <protection locked="0"/>
    </xf>
    <xf numFmtId="183" fontId="123" fillId="0" borderId="0" applyNumberFormat="0" applyFill="0" applyBorder="0" applyAlignment="0" applyProtection="0">
      <alignment vertical="top"/>
      <protection locked="0"/>
    </xf>
    <xf numFmtId="15" fontId="18" fillId="0" borderId="0" applyNumberFormat="0" applyFont="0" applyFill="0" applyAlignment="0">
      <alignment horizontal="right" wrapText="1"/>
    </xf>
    <xf numFmtId="0" fontId="76" fillId="6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67" borderId="0" applyNumberFormat="0" applyBorder="0" applyAlignment="0" applyProtection="0"/>
    <xf numFmtId="0" fontId="36" fillId="41" borderId="0" applyNumberFormat="0" applyBorder="0" applyAlignment="0" applyProtection="0"/>
    <xf numFmtId="183" fontId="124" fillId="91" borderId="0" applyNumberFormat="0" applyBorder="0" applyAlignment="0" applyProtection="0"/>
    <xf numFmtId="0" fontId="1" fillId="18" borderId="0" applyNumberFormat="0" applyBorder="0" applyAlignment="0" applyProtection="0"/>
    <xf numFmtId="183" fontId="124" fillId="91" borderId="0" applyNumberFormat="0" applyBorder="0" applyAlignment="0" applyProtection="0"/>
    <xf numFmtId="183" fontId="124" fillId="9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6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68" borderId="0" applyNumberFormat="0" applyBorder="0" applyAlignment="0" applyProtection="0"/>
    <xf numFmtId="0" fontId="36" fillId="42" borderId="0" applyNumberFormat="0" applyBorder="0" applyAlignment="0" applyProtection="0"/>
    <xf numFmtId="183" fontId="124" fillId="92" borderId="0" applyNumberFormat="0" applyBorder="0" applyAlignment="0" applyProtection="0"/>
    <xf numFmtId="0" fontId="1" fillId="21" borderId="0" applyNumberFormat="0" applyBorder="0" applyAlignment="0" applyProtection="0"/>
    <xf numFmtId="183" fontId="124" fillId="92" borderId="0" applyNumberFormat="0" applyBorder="0" applyAlignment="0" applyProtection="0"/>
    <xf numFmtId="183" fontId="124" fillId="9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3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6"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6" fillId="36" borderId="0" applyNumberFormat="0" applyBorder="0" applyAlignment="0" applyProtection="0"/>
    <xf numFmtId="0" fontId="36" fillId="43" borderId="0" applyNumberFormat="0" applyBorder="0" applyAlignment="0" applyProtection="0"/>
    <xf numFmtId="183" fontId="124" fillId="93" borderId="0" applyNumberFormat="0" applyBorder="0" applyAlignment="0" applyProtection="0"/>
    <xf numFmtId="0" fontId="1" fillId="24" borderId="0" applyNumberFormat="0" applyBorder="0" applyAlignment="0" applyProtection="0"/>
    <xf numFmtId="183" fontId="124" fillId="93" borderId="0" applyNumberFormat="0" applyBorder="0" applyAlignment="0" applyProtection="0"/>
    <xf numFmtId="183" fontId="124" fillId="9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6" fillId="6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6"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6" fillId="69" borderId="0" applyNumberFormat="0" applyBorder="0" applyAlignment="0" applyProtection="0"/>
    <xf numFmtId="0" fontId="36" fillId="44" borderId="0" applyNumberFormat="0" applyBorder="0" applyAlignment="0" applyProtection="0"/>
    <xf numFmtId="183" fontId="124" fillId="94" borderId="0" applyNumberFormat="0" applyBorder="0" applyAlignment="0" applyProtection="0"/>
    <xf numFmtId="0" fontId="1" fillId="27" borderId="0" applyNumberFormat="0" applyBorder="0" applyAlignment="0" applyProtection="0"/>
    <xf numFmtId="183" fontId="124" fillId="94" borderId="0" applyNumberFormat="0" applyBorder="0" applyAlignment="0" applyProtection="0"/>
    <xf numFmtId="183" fontId="124" fillId="9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6"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40" borderId="0" applyNumberFormat="0" applyBorder="0" applyAlignment="0" applyProtection="0"/>
    <xf numFmtId="0" fontId="36" fillId="45" borderId="0" applyNumberFormat="0" applyBorder="0" applyAlignment="0" applyProtection="0"/>
    <xf numFmtId="183" fontId="124" fillId="91" borderId="0" applyNumberFormat="0" applyBorder="0" applyAlignment="0" applyProtection="0"/>
    <xf numFmtId="0" fontId="1" fillId="30" borderId="0" applyNumberFormat="0" applyBorder="0" applyAlignment="0" applyProtection="0"/>
    <xf numFmtId="183" fontId="124" fillId="91" borderId="0" applyNumberFormat="0" applyBorder="0" applyAlignment="0" applyProtection="0"/>
    <xf numFmtId="183" fontId="124" fillId="9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4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38" borderId="0" applyNumberFormat="0" applyBorder="0" applyAlignment="0" applyProtection="0"/>
    <xf numFmtId="0" fontId="36" fillId="46" borderId="0" applyNumberFormat="0" applyBorder="0" applyAlignment="0" applyProtection="0"/>
    <xf numFmtId="183" fontId="124" fillId="95" borderId="0" applyNumberFormat="0" applyBorder="0" applyAlignment="0" applyProtection="0"/>
    <xf numFmtId="0" fontId="1" fillId="33" borderId="0" applyNumberFormat="0" applyBorder="0" applyAlignment="0" applyProtection="0"/>
    <xf numFmtId="183" fontId="124" fillId="95" borderId="0" applyNumberFormat="0" applyBorder="0" applyAlignment="0" applyProtection="0"/>
    <xf numFmtId="183" fontId="124" fillId="9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7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6"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6" fillId="70" borderId="0" applyNumberFormat="0" applyBorder="0" applyAlignment="0" applyProtection="0"/>
    <xf numFmtId="0" fontId="36" fillId="47" borderId="0" applyNumberFormat="0" applyBorder="0" applyAlignment="0" applyProtection="0"/>
    <xf numFmtId="183" fontId="124" fillId="91" borderId="0" applyNumberFormat="0" applyBorder="0" applyAlignment="0" applyProtection="0"/>
    <xf numFmtId="0" fontId="1" fillId="19" borderId="0" applyNumberFormat="0" applyBorder="0" applyAlignment="0" applyProtection="0"/>
    <xf numFmtId="183" fontId="124" fillId="91" borderId="0" applyNumberFormat="0" applyBorder="0" applyAlignment="0" applyProtection="0"/>
    <xf numFmtId="183" fontId="124" fillId="9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6" fillId="7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4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71" borderId="0" applyNumberFormat="0" applyBorder="0" applyAlignment="0" applyProtection="0"/>
    <xf numFmtId="0" fontId="36" fillId="48" borderId="0" applyNumberFormat="0" applyBorder="0" applyAlignment="0" applyProtection="0"/>
    <xf numFmtId="183" fontId="124" fillId="92" borderId="0" applyNumberFormat="0" applyBorder="0" applyAlignment="0" applyProtection="0"/>
    <xf numFmtId="0" fontId="1" fillId="22" borderId="0" applyNumberFormat="0" applyBorder="0" applyAlignment="0" applyProtection="0"/>
    <xf numFmtId="183" fontId="124" fillId="92" borderId="0" applyNumberFormat="0" applyBorder="0" applyAlignment="0" applyProtection="0"/>
    <xf numFmtId="183" fontId="124" fillId="9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7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72" borderId="0" applyNumberFormat="0" applyBorder="0" applyAlignment="0" applyProtection="0"/>
    <xf numFmtId="0" fontId="36" fillId="49" borderId="0" applyNumberFormat="0" applyBorder="0" applyAlignment="0" applyProtection="0"/>
    <xf numFmtId="183" fontId="124" fillId="93" borderId="0" applyNumberFormat="0" applyBorder="0" applyAlignment="0" applyProtection="0"/>
    <xf numFmtId="0" fontId="1" fillId="25" borderId="0" applyNumberFormat="0" applyBorder="0" applyAlignment="0" applyProtection="0"/>
    <xf numFmtId="183" fontId="124" fillId="93" borderId="0" applyNumberFormat="0" applyBorder="0" applyAlignment="0" applyProtection="0"/>
    <xf numFmtId="183" fontId="124" fillId="9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6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6" fillId="4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6" fillId="69" borderId="0" applyNumberFormat="0" applyBorder="0" applyAlignment="0" applyProtection="0"/>
    <xf numFmtId="0" fontId="36" fillId="44" borderId="0" applyNumberFormat="0" applyBorder="0" applyAlignment="0" applyProtection="0"/>
    <xf numFmtId="183" fontId="124" fillId="96" borderId="0" applyNumberFormat="0" applyBorder="0" applyAlignment="0" applyProtection="0"/>
    <xf numFmtId="0" fontId="1" fillId="28" borderId="0" applyNumberFormat="0" applyBorder="0" applyAlignment="0" applyProtection="0"/>
    <xf numFmtId="183" fontId="124" fillId="96" borderId="0" applyNumberFormat="0" applyBorder="0" applyAlignment="0" applyProtection="0"/>
    <xf numFmtId="183" fontId="124" fillId="9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6" fillId="7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6"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6" fillId="70" borderId="0" applyNumberFormat="0" applyBorder="0" applyAlignment="0" applyProtection="0"/>
    <xf numFmtId="0" fontId="36" fillId="47" borderId="0" applyNumberFormat="0" applyBorder="0" applyAlignment="0" applyProtection="0"/>
    <xf numFmtId="183" fontId="124" fillId="91" borderId="0" applyNumberFormat="0" applyBorder="0" applyAlignment="0" applyProtection="0"/>
    <xf numFmtId="0" fontId="1" fillId="31" borderId="0" applyNumberFormat="0" applyBorder="0" applyAlignment="0" applyProtection="0"/>
    <xf numFmtId="183" fontId="124" fillId="91" borderId="0" applyNumberFormat="0" applyBorder="0" applyAlignment="0" applyProtection="0"/>
    <xf numFmtId="183" fontId="124" fillId="9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6" fillId="7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73" borderId="0" applyNumberFormat="0" applyBorder="0" applyAlignment="0" applyProtection="0"/>
    <xf numFmtId="0" fontId="36" fillId="50" borderId="0" applyNumberFormat="0" applyBorder="0" applyAlignment="0" applyProtection="0"/>
    <xf numFmtId="183" fontId="124" fillId="95" borderId="0" applyNumberFormat="0" applyBorder="0" applyAlignment="0" applyProtection="0"/>
    <xf numFmtId="0" fontId="1" fillId="34" borderId="0" applyNumberFormat="0" applyBorder="0" applyAlignment="0" applyProtection="0"/>
    <xf numFmtId="183" fontId="124" fillId="95" borderId="0" applyNumberFormat="0" applyBorder="0" applyAlignment="0" applyProtection="0"/>
    <xf numFmtId="183" fontId="124" fillId="9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1"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183" fontId="125" fillId="0" borderId="0"/>
    <xf numFmtId="0" fontId="125" fillId="0" borderId="0"/>
    <xf numFmtId="183" fontId="125" fillId="0" borderId="0"/>
    <xf numFmtId="3" fontId="126" fillId="82" borderId="47">
      <alignment horizontal="center"/>
      <protection locked="0"/>
    </xf>
    <xf numFmtId="3" fontId="126" fillId="82" borderId="0">
      <alignment horizontal="center"/>
      <protection locked="0"/>
    </xf>
    <xf numFmtId="17" fontId="127" fillId="82" borderId="47">
      <alignment horizontal="center"/>
      <protection locked="0"/>
    </xf>
    <xf numFmtId="0" fontId="78" fillId="68" borderId="0" applyNumberFormat="0" applyBorder="0" applyAlignment="0" applyProtection="0"/>
    <xf numFmtId="0" fontId="78" fillId="42" borderId="0" applyNumberFormat="0" applyBorder="0" applyAlignment="0" applyProtection="0"/>
    <xf numFmtId="0" fontId="78" fillId="68" borderId="0" applyNumberFormat="0" applyBorder="0" applyAlignment="0" applyProtection="0"/>
    <xf numFmtId="198" fontId="19" fillId="82" borderId="47">
      <alignment horizontal="right"/>
      <protection locked="0"/>
    </xf>
    <xf numFmtId="199" fontId="19" fillId="0" borderId="0"/>
    <xf numFmtId="200" fontId="19" fillId="0" borderId="0"/>
    <xf numFmtId="201" fontId="19" fillId="0" borderId="0"/>
    <xf numFmtId="202" fontId="19" fillId="0" borderId="0"/>
    <xf numFmtId="203" fontId="19" fillId="0" borderId="0"/>
    <xf numFmtId="204" fontId="19" fillId="0" borderId="0"/>
    <xf numFmtId="20" fontId="19" fillId="0" borderId="0"/>
    <xf numFmtId="0" fontId="81" fillId="37" borderId="40" applyNumberFormat="0" applyAlignment="0" applyProtection="0"/>
    <xf numFmtId="0" fontId="81" fillId="37" borderId="40" applyNumberFormat="0" applyAlignment="0" applyProtection="0"/>
    <xf numFmtId="0" fontId="81" fillId="60" borderId="40" applyNumberFormat="0" applyAlignment="0" applyProtection="0"/>
    <xf numFmtId="183" fontId="128" fillId="60" borderId="40" applyNumberFormat="0" applyAlignment="0" applyProtection="0"/>
    <xf numFmtId="183" fontId="128" fillId="60" borderId="40" applyNumberFormat="0" applyAlignment="0" applyProtection="0"/>
    <xf numFmtId="0" fontId="81" fillId="37" borderId="40" applyNumberFormat="0" applyAlignment="0" applyProtection="0"/>
    <xf numFmtId="174" fontId="1" fillId="0" borderId="0" applyFont="0" applyFill="0" applyBorder="0" applyAlignment="0" applyProtection="0"/>
    <xf numFmtId="174" fontId="1"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174" fontId="1"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174" fontId="1" fillId="0" borderId="0" applyFont="0" applyFill="0" applyBorder="0" applyAlignment="0" applyProtection="0"/>
    <xf numFmtId="43" fontId="130" fillId="0" borderId="0" applyFont="0" applyFill="0" applyBorder="0" applyAlignment="0" applyProtection="0"/>
    <xf numFmtId="43" fontId="98" fillId="0" borderId="0" applyFont="0" applyFill="0" applyBorder="0" applyAlignment="0" applyProtection="0">
      <alignment vertical="top"/>
    </xf>
    <xf numFmtId="174" fontId="19" fillId="0" borderId="0" applyFont="0" applyFill="0" applyBorder="0" applyAlignment="0" applyProtection="0"/>
    <xf numFmtId="43" fontId="130" fillId="0" borderId="0" applyFont="0" applyFill="0" applyBorder="0" applyAlignment="0" applyProtection="0"/>
    <xf numFmtId="43" fontId="131" fillId="0" borderId="0" applyFont="0" applyFill="0" applyBorder="0" applyAlignment="0" applyProtection="0"/>
    <xf numFmtId="174" fontId="1" fillId="0" borderId="0" applyFont="0" applyFill="0" applyBorder="0" applyAlignment="0" applyProtection="0"/>
    <xf numFmtId="43" fontId="132" fillId="0" borderId="0" applyFont="0" applyFill="0" applyBorder="0" applyAlignment="0" applyProtection="0"/>
    <xf numFmtId="205" fontId="98" fillId="0" borderId="0"/>
    <xf numFmtId="174" fontId="1" fillId="0" borderId="0" applyFont="0" applyFill="0" applyBorder="0" applyAlignment="0" applyProtection="0"/>
    <xf numFmtId="43" fontId="129"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43" fontId="129" fillId="0" borderId="0" applyFont="0" applyFill="0" applyBorder="0" applyAlignment="0" applyProtection="0"/>
    <xf numFmtId="43" fontId="1" fillId="0" borderId="0" applyFont="0" applyFill="0" applyBorder="0" applyAlignment="0" applyProtection="0"/>
    <xf numFmtId="174"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174" fontId="19" fillId="0" borderId="0" applyFont="0" applyFill="0" applyBorder="0" applyAlignment="0" applyProtection="0"/>
    <xf numFmtId="174" fontId="36" fillId="0" borderId="0" applyFont="0" applyFill="0" applyBorder="0" applyAlignment="0" applyProtection="0"/>
    <xf numFmtId="174" fontId="19" fillId="0" borderId="0" applyFont="0" applyFill="0" applyBorder="0" applyAlignment="0" applyProtection="0"/>
    <xf numFmtId="43" fontId="130" fillId="0" borderId="0" applyFont="0" applyFill="0" applyBorder="0" applyAlignment="0" applyProtection="0"/>
    <xf numFmtId="174" fontId="19" fillId="0" borderId="0" applyFont="0" applyFill="0" applyBorder="0" applyAlignment="0" applyProtection="0"/>
    <xf numFmtId="43" fontId="19" fillId="0" borderId="0" applyFont="0" applyFill="0" applyBorder="0" applyAlignment="0" applyProtection="0"/>
    <xf numFmtId="174" fontId="19" fillId="0" borderId="0" applyFont="0" applyFill="0" applyBorder="0" applyAlignment="0" applyProtection="0"/>
    <xf numFmtId="43" fontId="133" fillId="0" borderId="0" applyFont="0" applyFill="0" applyBorder="0" applyAlignment="0" applyProtection="0"/>
    <xf numFmtId="205" fontId="98" fillId="0" borderId="0"/>
    <xf numFmtId="174" fontId="19" fillId="0" borderId="0" applyFont="0" applyFill="0" applyBorder="0" applyAlignment="0" applyProtection="0"/>
    <xf numFmtId="174"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36"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74" fontId="36" fillId="0" borderId="0" applyFont="0" applyFill="0" applyBorder="0" applyAlignment="0" applyProtection="0"/>
    <xf numFmtId="174" fontId="1" fillId="0" borderId="0" applyFont="0" applyFill="0" applyBorder="0" applyAlignment="0" applyProtection="0"/>
    <xf numFmtId="43" fontId="13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36" fillId="0" borderId="0" applyFont="0" applyFill="0" applyBorder="0" applyAlignment="0" applyProtection="0"/>
    <xf numFmtId="174" fontId="36" fillId="0" borderId="0" applyFont="0" applyFill="0" applyBorder="0" applyAlignment="0" applyProtection="0"/>
    <xf numFmtId="174" fontId="1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4" fontId="19" fillId="0" borderId="0" applyFont="0" applyFill="0" applyBorder="0" applyAlignment="0" applyProtection="0"/>
    <xf numFmtId="174" fontId="22" fillId="0" borderId="0" applyFont="0" applyFill="0" applyBorder="0" applyAlignment="0" applyProtection="0"/>
    <xf numFmtId="43" fontId="19" fillId="0" borderId="0" applyFont="0" applyFill="0" applyBorder="0" applyAlignment="0" applyProtection="0"/>
    <xf numFmtId="43" fontId="130" fillId="0" borderId="0" applyFont="0" applyFill="0" applyBorder="0" applyAlignment="0" applyProtection="0"/>
    <xf numFmtId="43" fontId="18" fillId="0" borderId="0" applyFont="0" applyFill="0" applyBorder="0" applyAlignment="0" applyProtection="0"/>
    <xf numFmtId="43" fontId="130" fillId="0" borderId="0" applyFont="0" applyFill="0" applyBorder="0" applyAlignment="0" applyProtection="0"/>
    <xf numFmtId="43" fontId="19" fillId="0" borderId="0" applyFont="0" applyFill="0" applyBorder="0" applyAlignment="0" applyProtection="0"/>
    <xf numFmtId="174" fontId="134" fillId="0" borderId="0" applyFont="0" applyFill="0" applyBorder="0" applyAlignment="0" applyProtection="0"/>
    <xf numFmtId="43" fontId="19" fillId="0" borderId="0" applyFont="0" applyFill="0" applyBorder="0" applyAlignment="0" applyProtection="0"/>
    <xf numFmtId="174" fontId="22" fillId="0" borderId="0" applyFont="0" applyFill="0" applyBorder="0" applyAlignment="0" applyProtection="0"/>
    <xf numFmtId="174" fontId="134"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30" fillId="0" borderId="0" applyFont="0" applyFill="0" applyBorder="0" applyAlignment="0" applyProtection="0"/>
    <xf numFmtId="43" fontId="19"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9" fillId="0" borderId="0" applyFont="0" applyFill="0" applyBorder="0" applyAlignment="0" applyProtection="0"/>
    <xf numFmtId="206" fontId="135" fillId="0" borderId="0" applyFill="0" applyBorder="0" applyAlignment="0" applyProtection="0"/>
    <xf numFmtId="206" fontId="135" fillId="0" borderId="0" applyFill="0" applyBorder="0" applyAlignment="0" applyProtection="0"/>
    <xf numFmtId="43" fontId="19" fillId="0" borderId="0" applyFont="0" applyFill="0" applyBorder="0" applyAlignment="0" applyProtection="0"/>
    <xf numFmtId="174" fontId="1" fillId="0" borderId="0" applyFont="0" applyFill="0" applyBorder="0" applyAlignment="0" applyProtection="0"/>
    <xf numFmtId="43" fontId="124" fillId="0" borderId="0" applyFont="0" applyFill="0" applyBorder="0" applyAlignment="0" applyProtection="0"/>
    <xf numFmtId="43" fontId="1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174" fontId="1"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43" fontId="130" fillId="0" borderId="0" applyFont="0" applyFill="0" applyBorder="0" applyAlignment="0" applyProtection="0"/>
    <xf numFmtId="174" fontId="1" fillId="0" borderId="0" applyFont="0" applyFill="0" applyBorder="0" applyAlignment="0" applyProtection="0"/>
    <xf numFmtId="43" fontId="129" fillId="0" borderId="0" applyFont="0" applyFill="0" applyBorder="0" applyAlignment="0" applyProtection="0"/>
    <xf numFmtId="43" fontId="98" fillId="0" borderId="0">
      <alignment vertical="top"/>
    </xf>
    <xf numFmtId="43" fontId="130"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43" fontId="129" fillId="0" borderId="0" applyFont="0" applyFill="0" applyBorder="0" applyAlignment="0" applyProtection="0"/>
    <xf numFmtId="43" fontId="134" fillId="0" borderId="0" applyFont="0" applyFill="0" applyBorder="0" applyAlignment="0" applyProtection="0"/>
    <xf numFmtId="174" fontId="19"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174" fontId="19" fillId="0" borderId="0" applyFont="0" applyFill="0" applyBorder="0" applyAlignment="0" applyProtection="0"/>
    <xf numFmtId="43" fontId="129" fillId="0" borderId="0" applyFont="0" applyFill="0" applyBorder="0" applyAlignment="0" applyProtection="0"/>
    <xf numFmtId="3" fontId="83" fillId="0" borderId="0" applyFont="0" applyFill="0" applyBorder="0" applyAlignment="0" applyProtection="0"/>
    <xf numFmtId="207" fontId="19" fillId="0" borderId="0" applyBorder="0"/>
    <xf numFmtId="208" fontId="19" fillId="0" borderId="0" applyBorder="0"/>
    <xf numFmtId="209" fontId="19" fillId="0" borderId="0" applyBorder="0"/>
    <xf numFmtId="183" fontId="17" fillId="0" borderId="0"/>
    <xf numFmtId="183" fontId="17" fillId="0" borderId="0">
      <alignment horizontal="center"/>
    </xf>
    <xf numFmtId="183" fontId="136" fillId="0" borderId="0">
      <alignment horizontal="center"/>
    </xf>
    <xf numFmtId="183" fontId="19" fillId="0" borderId="0">
      <alignment horizontal="center"/>
    </xf>
    <xf numFmtId="183" fontId="19" fillId="0" borderId="0">
      <alignment vertical="top" wrapText="1"/>
    </xf>
    <xf numFmtId="183" fontId="108" fillId="0" borderId="0"/>
    <xf numFmtId="183" fontId="18" fillId="0" borderId="0"/>
    <xf numFmtId="183" fontId="20" fillId="0" borderId="0"/>
    <xf numFmtId="210" fontId="137" fillId="0" borderId="0" applyFill="0" applyBorder="0">
      <protection locked="0"/>
    </xf>
    <xf numFmtId="211" fontId="138" fillId="0" borderId="0" applyFill="0" applyBorder="0"/>
    <xf numFmtId="211" fontId="137" fillId="0" borderId="0" applyFill="0" applyBorder="0">
      <protection locked="0"/>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179" fontId="98" fillId="0" borderId="0"/>
    <xf numFmtId="44" fontId="130" fillId="0" borderId="0" applyFont="0" applyFill="0" applyBorder="0" applyAlignment="0" applyProtection="0"/>
    <xf numFmtId="179" fontId="19" fillId="0" borderId="0" applyFont="0" applyFill="0" applyBorder="0" applyAlignment="0" applyProtection="0"/>
    <xf numFmtId="44" fontId="98" fillId="0" borderId="0" applyFont="0" applyFill="0" applyBorder="0" applyAlignment="0" applyProtection="0">
      <alignment vertical="top"/>
    </xf>
    <xf numFmtId="44" fontId="130" fillId="0" borderId="0" applyFont="0" applyFill="0" applyBorder="0" applyAlignment="0" applyProtection="0"/>
    <xf numFmtId="44" fontId="130" fillId="0" borderId="0" applyFont="0" applyFill="0" applyBorder="0" applyAlignment="0" applyProtection="0"/>
    <xf numFmtId="44" fontId="98" fillId="0" borderId="0">
      <alignment vertical="top"/>
    </xf>
    <xf numFmtId="44" fontId="19" fillId="0" borderId="0" applyFont="0" applyFill="0" applyBorder="0" applyAlignment="0" applyProtection="0"/>
    <xf numFmtId="44" fontId="19" fillId="0" borderId="0" applyFont="0" applyFill="0" applyBorder="0" applyAlignment="0" applyProtection="0"/>
    <xf numFmtId="44" fontId="9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9" fontId="98" fillId="0" borderId="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180" fontId="83" fillId="0" borderId="0" applyFont="0" applyFill="0" applyBorder="0" applyAlignment="0" applyProtection="0"/>
    <xf numFmtId="198" fontId="19" fillId="82" borderId="47">
      <alignment horizontal="right"/>
      <protection locked="0"/>
    </xf>
    <xf numFmtId="0" fontId="19" fillId="0" borderId="0" applyFont="0" applyFill="0" applyBorder="0" applyAlignment="0" applyProtection="0"/>
    <xf numFmtId="183" fontId="19" fillId="0" borderId="0" applyFont="0" applyFill="0" applyBorder="0" applyAlignment="0" applyProtection="0"/>
    <xf numFmtId="15" fontId="85" fillId="0" borderId="0" applyFont="0" applyFill="0" applyBorder="0" applyProtection="0">
      <alignment horizontal="right"/>
    </xf>
    <xf numFmtId="15" fontId="137" fillId="0" borderId="0" applyFill="0" applyBorder="0">
      <protection locked="0"/>
    </xf>
    <xf numFmtId="212" fontId="138" fillId="0" borderId="0" applyFill="0" applyBorder="0"/>
    <xf numFmtId="1" fontId="138" fillId="0" borderId="0" applyFill="0" applyBorder="0">
      <alignment horizontal="right"/>
    </xf>
    <xf numFmtId="2" fontId="138" fillId="0" borderId="0" applyFill="0" applyBorder="0">
      <alignment horizontal="right"/>
    </xf>
    <xf numFmtId="2" fontId="137" fillId="0" borderId="0" applyFill="0" applyBorder="0">
      <protection locked="0"/>
    </xf>
    <xf numFmtId="165" fontId="138" fillId="0" borderId="0" applyFill="0" applyBorder="0">
      <alignment horizontal="right"/>
    </xf>
    <xf numFmtId="165" fontId="137" fillId="0" borderId="0" applyFill="0" applyBorder="0">
      <protection locked="0"/>
    </xf>
    <xf numFmtId="0" fontId="86" fillId="0" borderId="0" applyNumberFormat="0" applyFill="0" applyBorder="0" applyAlignment="0" applyProtection="0"/>
    <xf numFmtId="0" fontId="109" fillId="0" borderId="0" applyNumberFormat="0" applyFill="0" applyBorder="0" applyAlignment="0" applyProtection="0"/>
    <xf numFmtId="213" fontId="30" fillId="59" borderId="69" applyAlignment="0" applyProtection="0"/>
    <xf numFmtId="2" fontId="83" fillId="0" borderId="0" applyFont="0" applyFill="0" applyBorder="0" applyAlignment="0" applyProtection="0"/>
    <xf numFmtId="0" fontId="87" fillId="36" borderId="0" applyNumberFormat="0" applyBorder="0" applyAlignment="0" applyProtection="0"/>
    <xf numFmtId="0" fontId="87" fillId="43" borderId="0" applyNumberFormat="0" applyBorder="0" applyAlignment="0" applyProtection="0"/>
    <xf numFmtId="0" fontId="87" fillId="36" borderId="0" applyNumberFormat="0" applyBorder="0" applyAlignment="0" applyProtection="0"/>
    <xf numFmtId="38" fontId="18" fillId="15" borderId="0" applyNumberFormat="0" applyBorder="0" applyAlignment="0" applyProtection="0"/>
    <xf numFmtId="9" fontId="127" fillId="82" borderId="0">
      <alignment horizontal="right"/>
      <protection locked="0"/>
    </xf>
    <xf numFmtId="183" fontId="19" fillId="97" borderId="0"/>
    <xf numFmtId="0" fontId="19" fillId="97" borderId="0"/>
    <xf numFmtId="183" fontId="19" fillId="97" borderId="0"/>
    <xf numFmtId="183" fontId="139" fillId="0" borderId="76" applyNumberFormat="0" applyAlignment="0" applyProtection="0">
      <alignment horizontal="left" vertical="center"/>
    </xf>
    <xf numFmtId="0" fontId="139" fillId="0" borderId="76" applyNumberFormat="0" applyAlignment="0" applyProtection="0">
      <alignment horizontal="left" vertical="center"/>
    </xf>
    <xf numFmtId="183" fontId="139" fillId="0" borderId="76" applyNumberFormat="0" applyAlignment="0" applyProtection="0">
      <alignment horizontal="left" vertical="center"/>
    </xf>
    <xf numFmtId="183" fontId="139" fillId="0" borderId="69">
      <alignment horizontal="left" vertical="center"/>
    </xf>
    <xf numFmtId="0" fontId="139" fillId="0" borderId="69">
      <alignment horizontal="left" vertical="center"/>
    </xf>
    <xf numFmtId="183" fontId="139" fillId="0" borderId="69">
      <alignment horizontal="left" vertical="center"/>
    </xf>
    <xf numFmtId="0" fontId="116" fillId="0" borderId="70" applyNumberFormat="0" applyFill="0" applyAlignment="0" applyProtection="0"/>
    <xf numFmtId="0" fontId="140" fillId="0" borderId="42" applyNumberFormat="0" applyFill="0" applyAlignment="0" applyProtection="0"/>
    <xf numFmtId="0" fontId="65" fillId="0" borderId="42" applyNumberFormat="0" applyFill="0" applyAlignment="0" applyProtection="0"/>
    <xf numFmtId="0" fontId="116" fillId="0" borderId="70"/>
    <xf numFmtId="0" fontId="117" fillId="0" borderId="71" applyNumberFormat="0" applyFill="0" applyAlignment="0" applyProtection="0"/>
    <xf numFmtId="0" fontId="141" fillId="0" borderId="43" applyNumberFormat="0" applyFill="0" applyAlignment="0" applyProtection="0"/>
    <xf numFmtId="0" fontId="118" fillId="0" borderId="72" applyNumberFormat="0" applyFill="0" applyAlignment="0" applyProtection="0"/>
    <xf numFmtId="0" fontId="142" fillId="0" borderId="44" applyNumberFormat="0" applyFill="0" applyAlignment="0" applyProtection="0"/>
    <xf numFmtId="0" fontId="118" fillId="0" borderId="0" applyNumberFormat="0" applyFill="0" applyBorder="0" applyAlignment="0" applyProtection="0"/>
    <xf numFmtId="0" fontId="142" fillId="0" borderId="0" applyNumberFormat="0" applyFill="0" applyBorder="0" applyAlignment="0" applyProtection="0"/>
    <xf numFmtId="183" fontId="143" fillId="0" borderId="0" applyNumberFormat="0" applyFill="0" applyBorder="0" applyAlignment="0" applyProtection="0">
      <alignment vertical="top"/>
      <protection locked="0"/>
    </xf>
    <xf numFmtId="0" fontId="92" fillId="0" borderId="0" applyNumberFormat="0" applyFill="0" applyBorder="0" applyAlignment="0" applyProtection="0"/>
    <xf numFmtId="183" fontId="144" fillId="0" borderId="0" applyFill="0" applyBorder="0" applyAlignment="0">
      <protection locked="0"/>
    </xf>
    <xf numFmtId="0" fontId="144" fillId="0" borderId="0" applyFill="0" applyBorder="0" applyAlignment="0">
      <protection locked="0"/>
    </xf>
    <xf numFmtId="183" fontId="144" fillId="0" borderId="0" applyFill="0" applyBorder="0" applyAlignment="0">
      <protection locked="0"/>
    </xf>
    <xf numFmtId="199" fontId="127" fillId="98" borderId="0"/>
    <xf numFmtId="200" fontId="127" fillId="98" borderId="0"/>
    <xf numFmtId="201" fontId="127" fillId="98" borderId="0"/>
    <xf numFmtId="214" fontId="19" fillId="98" borderId="0">
      <protection locked="0"/>
    </xf>
    <xf numFmtId="44" fontId="19" fillId="98" borderId="0">
      <protection locked="0"/>
    </xf>
    <xf numFmtId="202" fontId="19" fillId="98" borderId="0">
      <protection locked="0"/>
    </xf>
    <xf numFmtId="203" fontId="19" fillId="98" borderId="0">
      <protection locked="0"/>
    </xf>
    <xf numFmtId="204" fontId="19" fillId="98" borderId="0">
      <protection locked="0"/>
    </xf>
    <xf numFmtId="20" fontId="19" fillId="98" borderId="0">
      <protection locked="0"/>
    </xf>
    <xf numFmtId="9" fontId="84" fillId="82" borderId="0" applyFont="0" applyBorder="0" applyAlignment="0">
      <alignment horizontal="right"/>
      <protection locked="0"/>
    </xf>
    <xf numFmtId="164" fontId="84" fillId="82" borderId="0" applyFont="0" applyBorder="0" applyAlignment="0">
      <alignment horizontal="right"/>
      <protection locked="0"/>
    </xf>
    <xf numFmtId="10" fontId="84" fillId="82" borderId="0" applyFont="0" applyBorder="0" applyAlignment="0">
      <alignment horizontal="right"/>
      <protection locked="0"/>
    </xf>
    <xf numFmtId="3" fontId="145" fillId="99" borderId="3" applyFont="0" applyBorder="0">
      <alignment horizontal="right"/>
      <protection locked="0"/>
    </xf>
    <xf numFmtId="173" fontId="18" fillId="99" borderId="0" applyFont="0" applyBorder="0">
      <alignment horizontal="right"/>
      <protection locked="0"/>
    </xf>
    <xf numFmtId="4" fontId="145" fillId="99" borderId="3" applyFont="0" applyBorder="0">
      <alignment horizontal="right"/>
      <protection locked="0"/>
    </xf>
    <xf numFmtId="15" fontId="126" fillId="38" borderId="77"/>
    <xf numFmtId="215" fontId="126" fillId="82" borderId="77"/>
    <xf numFmtId="10" fontId="18" fillId="83" borderId="47" applyNumberFormat="0" applyBorder="0" applyAlignment="0" applyProtection="0"/>
    <xf numFmtId="207" fontId="19" fillId="98" borderId="0">
      <protection locked="0"/>
    </xf>
    <xf numFmtId="208" fontId="19" fillId="98" borderId="0">
      <protection locked="0"/>
    </xf>
    <xf numFmtId="183" fontId="17" fillId="98" borderId="0">
      <protection locked="0"/>
    </xf>
    <xf numFmtId="183" fontId="19" fillId="98" borderId="0">
      <alignment horizontal="center"/>
      <protection locked="0"/>
    </xf>
    <xf numFmtId="183" fontId="19" fillId="98" borderId="0">
      <protection locked="0"/>
    </xf>
    <xf numFmtId="183" fontId="19" fillId="98" borderId="0"/>
    <xf numFmtId="183" fontId="19" fillId="98" borderId="0">
      <alignment vertical="top" wrapText="1"/>
      <protection locked="0"/>
    </xf>
    <xf numFmtId="183" fontId="108" fillId="98" borderId="0">
      <protection locked="0"/>
    </xf>
    <xf numFmtId="183" fontId="18" fillId="98" borderId="0">
      <protection locked="0"/>
    </xf>
    <xf numFmtId="183" fontId="20" fillId="98" borderId="0">
      <protection locked="0"/>
    </xf>
    <xf numFmtId="216" fontId="19" fillId="0" borderId="0" applyFont="0" applyFill="0" applyBorder="0" applyAlignment="0" applyProtection="0"/>
    <xf numFmtId="217" fontId="19" fillId="0" borderId="0" applyFont="0" applyFill="0" applyBorder="0" applyAlignment="0" applyProtection="0"/>
    <xf numFmtId="0" fontId="119" fillId="0" borderId="73" applyNumberFormat="0" applyFill="0" applyAlignment="0" applyProtection="0"/>
    <xf numFmtId="0" fontId="146" fillId="0" borderId="45" applyNumberFormat="0" applyFill="0" applyAlignment="0" applyProtection="0"/>
    <xf numFmtId="183" fontId="81" fillId="100" borderId="0"/>
    <xf numFmtId="0" fontId="81" fillId="100" borderId="0"/>
    <xf numFmtId="183" fontId="81" fillId="100" borderId="0"/>
    <xf numFmtId="218" fontId="19" fillId="0" borderId="0" applyFont="0" applyFill="0" applyBorder="0" applyAlignment="0" applyProtection="0"/>
    <xf numFmtId="219" fontId="19" fillId="0" borderId="0" applyFont="0" applyFill="0" applyBorder="0" applyAlignment="0" applyProtection="0"/>
    <xf numFmtId="183" fontId="147" fillId="101" borderId="0"/>
    <xf numFmtId="0" fontId="147" fillId="101" borderId="0"/>
    <xf numFmtId="183" fontId="147" fillId="101" borderId="0"/>
    <xf numFmtId="220" fontId="19" fillId="0" borderId="0" applyFont="0" applyFill="0" applyBorder="0" applyAlignment="0" applyProtection="0"/>
    <xf numFmtId="221" fontId="19" fillId="0" borderId="0" applyFont="0" applyFill="0" applyBorder="0" applyAlignment="0" applyProtection="0"/>
    <xf numFmtId="0" fontId="97" fillId="82" borderId="0" applyNumberFormat="0" applyBorder="0" applyAlignment="0" applyProtection="0"/>
    <xf numFmtId="0" fontId="97" fillId="61" borderId="0" applyNumberFormat="0" applyBorder="0" applyAlignment="0" applyProtection="0"/>
    <xf numFmtId="0" fontId="97" fillId="82" borderId="0" applyNumberFormat="0" applyBorder="0" applyAlignment="0" applyProtection="0"/>
    <xf numFmtId="199" fontId="18" fillId="0" borderId="0"/>
    <xf numFmtId="9" fontId="84" fillId="0" borderId="3" applyFont="0" applyBorder="0">
      <alignment horizontal="right"/>
    </xf>
    <xf numFmtId="164" fontId="84" fillId="0" borderId="3" applyFont="0" applyBorder="0">
      <alignment horizontal="right"/>
    </xf>
    <xf numFmtId="10" fontId="84" fillId="0" borderId="3" applyFont="0" applyBorder="0">
      <alignment horizontal="right"/>
    </xf>
    <xf numFmtId="3" fontId="84" fillId="0" borderId="3" applyFont="0" applyBorder="0">
      <alignment horizontal="right"/>
    </xf>
    <xf numFmtId="173" fontId="19" fillId="0" borderId="0" applyFont="0" applyBorder="0" applyAlignment="0">
      <alignment horizontal="right"/>
    </xf>
    <xf numFmtId="4" fontId="84" fillId="0" borderId="3" applyFont="0" applyBorder="0">
      <alignment horizontal="right"/>
    </xf>
    <xf numFmtId="222" fontId="148" fillId="0" borderId="0"/>
    <xf numFmtId="183" fontId="1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49" fillId="0" borderId="0"/>
    <xf numFmtId="0" fontId="149" fillId="0" borderId="0"/>
    <xf numFmtId="0" fontId="149" fillId="0" borderId="0"/>
    <xf numFmtId="0" fontId="149" fillId="0" borderId="0"/>
    <xf numFmtId="0" fontId="19" fillId="0" borderId="0">
      <alignment wrapText="1"/>
    </xf>
    <xf numFmtId="0" fontId="19" fillId="0" borderId="0">
      <alignment wrapText="1"/>
    </xf>
    <xf numFmtId="0" fontId="19" fillId="0" borderId="0">
      <alignment wrapText="1"/>
    </xf>
    <xf numFmtId="0" fontId="19" fillId="0" borderId="0">
      <alignment wrapText="1"/>
    </xf>
    <xf numFmtId="0" fontId="129" fillId="0" borderId="0"/>
    <xf numFmtId="183" fontId="129" fillId="0" borderId="0"/>
    <xf numFmtId="0" fontId="129" fillId="0" borderId="0"/>
    <xf numFmtId="183" fontId="129" fillId="0" borderId="0"/>
    <xf numFmtId="0" fontId="19" fillId="0" borderId="0"/>
    <xf numFmtId="0" fontId="129" fillId="0" borderId="0"/>
    <xf numFmtId="183" fontId="129" fillId="0" borderId="0"/>
    <xf numFmtId="0" fontId="1" fillId="0" borderId="0"/>
    <xf numFmtId="0" fontId="129" fillId="0" borderId="0"/>
    <xf numFmtId="0" fontId="134" fillId="0" borderId="0"/>
    <xf numFmtId="183" fontId="134" fillId="0" borderId="0"/>
    <xf numFmtId="0" fontId="1" fillId="0" borderId="0"/>
    <xf numFmtId="183" fontId="129" fillId="0" borderId="0"/>
    <xf numFmtId="0" fontId="19" fillId="0" borderId="0">
      <alignment wrapText="1"/>
    </xf>
    <xf numFmtId="0" fontId="19" fillId="0" borderId="0">
      <alignment wrapText="1"/>
    </xf>
    <xf numFmtId="0" fontId="19" fillId="0" borderId="0">
      <alignment wrapText="1"/>
    </xf>
    <xf numFmtId="0" fontId="1" fillId="0" borderId="0"/>
    <xf numFmtId="0" fontId="131" fillId="0" borderId="0"/>
    <xf numFmtId="0" fontId="150" fillId="0" borderId="0"/>
    <xf numFmtId="0" fontId="150" fillId="0" borderId="0"/>
    <xf numFmtId="0" fontId="150" fillId="0" borderId="0"/>
    <xf numFmtId="0" fontId="150" fillId="0" borderId="0"/>
    <xf numFmtId="0" fontId="131" fillId="0" borderId="0"/>
    <xf numFmtId="183" fontId="129" fillId="0" borderId="0"/>
    <xf numFmtId="0" fontId="129" fillId="0" borderId="0"/>
    <xf numFmtId="183" fontId="129" fillId="0" borderId="0"/>
    <xf numFmtId="0" fontId="129" fillId="0" borderId="0"/>
    <xf numFmtId="183" fontId="129" fillId="0" borderId="0"/>
    <xf numFmtId="0" fontId="19" fillId="0" borderId="0"/>
    <xf numFmtId="0" fontId="129" fillId="0" borderId="0"/>
    <xf numFmtId="183" fontId="129" fillId="0" borderId="0"/>
    <xf numFmtId="0" fontId="1" fillId="0" borderId="0"/>
    <xf numFmtId="0" fontId="129" fillId="0" borderId="0"/>
    <xf numFmtId="183" fontId="130" fillId="0" borderId="0"/>
    <xf numFmtId="0" fontId="1" fillId="0" borderId="0"/>
    <xf numFmtId="183" fontId="129" fillId="0" borderId="0"/>
    <xf numFmtId="0" fontId="98" fillId="0" borderId="0">
      <alignment vertical="top"/>
    </xf>
    <xf numFmtId="0" fontId="131" fillId="0" borderId="0"/>
    <xf numFmtId="0" fontId="150" fillId="0" borderId="0"/>
    <xf numFmtId="0" fontId="19" fillId="0" borderId="0"/>
    <xf numFmtId="183" fontId="129" fillId="0" borderId="0"/>
    <xf numFmtId="0" fontId="1" fillId="0" borderId="0"/>
    <xf numFmtId="0" fontId="1" fillId="0" borderId="0"/>
    <xf numFmtId="183" fontId="129" fillId="0" borderId="0"/>
    <xf numFmtId="0" fontId="1" fillId="0" borderId="0"/>
    <xf numFmtId="0" fontId="1" fillId="0" borderId="0"/>
    <xf numFmtId="0" fontId="1" fillId="0" borderId="0"/>
    <xf numFmtId="0" fontId="1" fillId="0" borderId="0"/>
    <xf numFmtId="0" fontId="1" fillId="0" borderId="0"/>
    <xf numFmtId="183" fontId="129" fillId="0" borderId="0"/>
    <xf numFmtId="0" fontId="19" fillId="0" borderId="0"/>
    <xf numFmtId="183" fontId="130" fillId="0" borderId="0"/>
    <xf numFmtId="0" fontId="19" fillId="0" borderId="0"/>
    <xf numFmtId="183" fontId="129" fillId="0" borderId="0"/>
    <xf numFmtId="0" fontId="131" fillId="0" borderId="0"/>
    <xf numFmtId="183" fontId="1" fillId="0" borderId="0"/>
    <xf numFmtId="183" fontId="1" fillId="0" borderId="0"/>
    <xf numFmtId="0" fontId="1" fillId="0" borderId="0"/>
    <xf numFmtId="183" fontId="1" fillId="0" borderId="0"/>
    <xf numFmtId="183" fontId="1" fillId="0" borderId="0"/>
    <xf numFmtId="183" fontId="1" fillId="0" borderId="0"/>
    <xf numFmtId="0" fontId="1" fillId="0" borderId="0"/>
    <xf numFmtId="0" fontId="1" fillId="0" borderId="0"/>
    <xf numFmtId="183" fontId="132" fillId="0" borderId="0"/>
    <xf numFmtId="183" fontId="1" fillId="0" borderId="0"/>
    <xf numFmtId="183" fontId="1" fillId="0" borderId="0"/>
    <xf numFmtId="0" fontId="1" fillId="0" borderId="0"/>
    <xf numFmtId="183" fontId="1" fillId="0" borderId="0"/>
    <xf numFmtId="183" fontId="1" fillId="0" borderId="0"/>
    <xf numFmtId="183" fontId="1" fillId="0" borderId="0"/>
    <xf numFmtId="0" fontId="1" fillId="0" borderId="0"/>
    <xf numFmtId="183" fontId="1" fillId="0" borderId="0"/>
    <xf numFmtId="183" fontId="1" fillId="0" borderId="0"/>
    <xf numFmtId="183" fontId="1" fillId="0" borderId="0"/>
    <xf numFmtId="183" fontId="1" fillId="0" borderId="0"/>
    <xf numFmtId="183" fontId="1" fillId="0" borderId="0"/>
    <xf numFmtId="0" fontId="1" fillId="0" borderId="0"/>
    <xf numFmtId="0" fontId="1" fillId="0" borderId="0"/>
    <xf numFmtId="183" fontId="132" fillId="0" borderId="0"/>
    <xf numFmtId="183" fontId="1" fillId="0" borderId="0"/>
    <xf numFmtId="183" fontId="1" fillId="0" borderId="0"/>
    <xf numFmtId="183" fontId="1" fillId="0" borderId="0"/>
    <xf numFmtId="183" fontId="1" fillId="0" borderId="0"/>
    <xf numFmtId="183" fontId="1" fillId="0" borderId="0"/>
    <xf numFmtId="183" fontId="1" fillId="0" borderId="0"/>
    <xf numFmtId="0" fontId="1" fillId="0" borderId="0"/>
    <xf numFmtId="0" fontId="1" fillId="0" borderId="0"/>
    <xf numFmtId="183" fontId="132" fillId="0" borderId="0"/>
    <xf numFmtId="0" fontId="151" fillId="0" borderId="0"/>
    <xf numFmtId="183" fontId="132" fillId="0" borderId="0"/>
    <xf numFmtId="0" fontId="1" fillId="0" borderId="0"/>
    <xf numFmtId="0" fontId="1" fillId="0" borderId="0"/>
    <xf numFmtId="183" fontId="132" fillId="0" borderId="0"/>
    <xf numFmtId="0" fontId="151" fillId="0" borderId="0"/>
    <xf numFmtId="183" fontId="132" fillId="0" borderId="0"/>
    <xf numFmtId="0" fontId="1" fillId="0" borderId="0"/>
    <xf numFmtId="0" fontId="1" fillId="0" borderId="0"/>
    <xf numFmtId="183" fontId="132" fillId="0" borderId="0"/>
    <xf numFmtId="0" fontId="129" fillId="0" borderId="0"/>
    <xf numFmtId="183" fontId="129" fillId="0" borderId="0"/>
    <xf numFmtId="0" fontId="1" fillId="0" borderId="0"/>
    <xf numFmtId="0" fontId="129" fillId="0" borderId="0"/>
    <xf numFmtId="183" fontId="129" fillId="0" borderId="0"/>
    <xf numFmtId="0" fontId="1" fillId="0" borderId="0"/>
    <xf numFmtId="183" fontId="129" fillId="0" borderId="0"/>
    <xf numFmtId="0" fontId="150" fillId="0" borderId="0"/>
    <xf numFmtId="0" fontId="19" fillId="0" borderId="0"/>
    <xf numFmtId="0" fontId="98" fillId="0" borderId="0"/>
    <xf numFmtId="0" fontId="133" fillId="0" borderId="0"/>
    <xf numFmtId="0" fontId="133" fillId="0" borderId="0"/>
    <xf numFmtId="0" fontId="133" fillId="0" borderId="0"/>
    <xf numFmtId="164" fontId="36" fillId="0" borderId="0"/>
    <xf numFmtId="0" fontId="22" fillId="0" borderId="0"/>
    <xf numFmtId="0" fontId="1" fillId="0" borderId="0"/>
    <xf numFmtId="164" fontId="36" fillId="0" borderId="0"/>
    <xf numFmtId="183" fontId="19" fillId="0" borderId="0"/>
    <xf numFmtId="164" fontId="36" fillId="0" borderId="0"/>
    <xf numFmtId="0" fontId="19" fillId="0" borderId="0"/>
    <xf numFmtId="0" fontId="1" fillId="0" borderId="0"/>
    <xf numFmtId="0" fontId="19" fillId="0" borderId="0"/>
    <xf numFmtId="183" fontId="19" fillId="0" borderId="0"/>
    <xf numFmtId="0" fontId="1" fillId="0" borderId="0"/>
    <xf numFmtId="0" fontId="22" fillId="0" borderId="0"/>
    <xf numFmtId="0" fontId="130" fillId="0" borderId="0"/>
    <xf numFmtId="0" fontId="1" fillId="0" borderId="0"/>
    <xf numFmtId="183" fontId="152" fillId="0" borderId="0"/>
    <xf numFmtId="183" fontId="152" fillId="0" borderId="0"/>
    <xf numFmtId="0" fontId="1" fillId="0" borderId="0"/>
    <xf numFmtId="0" fontId="19" fillId="0" borderId="0"/>
    <xf numFmtId="0" fontId="1" fillId="0" borderId="0"/>
    <xf numFmtId="0" fontId="19" fillId="0" borderId="0"/>
    <xf numFmtId="0" fontId="19" fillId="0" borderId="0"/>
    <xf numFmtId="0" fontId="1" fillId="0" borderId="0"/>
    <xf numFmtId="183" fontId="130"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22" fillId="0" borderId="0"/>
    <xf numFmtId="183" fontId="19" fillId="0" borderId="0"/>
    <xf numFmtId="0" fontId="1" fillId="0" borderId="0"/>
    <xf numFmtId="0" fontId="22" fillId="0" borderId="0"/>
    <xf numFmtId="0" fontId="151" fillId="0" borderId="0"/>
    <xf numFmtId="0" fontId="19" fillId="0" borderId="0"/>
    <xf numFmtId="183" fontId="19" fillId="0" borderId="0"/>
    <xf numFmtId="0" fontId="129" fillId="0" borderId="0"/>
    <xf numFmtId="183" fontId="129" fillId="0" borderId="0"/>
    <xf numFmtId="0" fontId="1" fillId="0" borderId="0"/>
    <xf numFmtId="0" fontId="129" fillId="0" borderId="0"/>
    <xf numFmtId="183" fontId="129" fillId="0" borderId="0"/>
    <xf numFmtId="0" fontId="1" fillId="0" borderId="0"/>
    <xf numFmtId="183" fontId="129" fillId="0" borderId="0"/>
    <xf numFmtId="183" fontId="129" fillId="0" borderId="0"/>
    <xf numFmtId="0" fontId="129" fillId="0" borderId="0"/>
    <xf numFmtId="183" fontId="129" fillId="0" borderId="0"/>
    <xf numFmtId="0" fontId="129" fillId="0" borderId="0"/>
    <xf numFmtId="183" fontId="129" fillId="0" borderId="0"/>
    <xf numFmtId="0" fontId="19" fillId="0" borderId="0"/>
    <xf numFmtId="183" fontId="129" fillId="0" borderId="0"/>
    <xf numFmtId="0" fontId="1" fillId="0" borderId="0"/>
    <xf numFmtId="0" fontId="129" fillId="0" borderId="0"/>
    <xf numFmtId="0" fontId="22" fillId="0" borderId="0"/>
    <xf numFmtId="0" fontId="1" fillId="0" borderId="0"/>
    <xf numFmtId="183" fontId="129" fillId="0" borderId="0"/>
    <xf numFmtId="0" fontId="129" fillId="0" borderId="0"/>
    <xf numFmtId="183" fontId="129" fillId="0" borderId="0"/>
    <xf numFmtId="0" fontId="1" fillId="0" borderId="0"/>
    <xf numFmtId="183" fontId="129" fillId="0" borderId="0"/>
    <xf numFmtId="0" fontId="151" fillId="0" borderId="0"/>
    <xf numFmtId="0" fontId="129" fillId="0" borderId="0"/>
    <xf numFmtId="183" fontId="129" fillId="0" borderId="0"/>
    <xf numFmtId="0" fontId="1" fillId="0" borderId="0"/>
    <xf numFmtId="183" fontId="129" fillId="0" borderId="0"/>
    <xf numFmtId="0" fontId="129" fillId="0" borderId="0"/>
    <xf numFmtId="183" fontId="129" fillId="0" borderId="0"/>
    <xf numFmtId="183" fontId="129" fillId="0" borderId="0"/>
    <xf numFmtId="0" fontId="1" fillId="0" borderId="0"/>
    <xf numFmtId="0" fontId="129" fillId="0" borderId="0"/>
    <xf numFmtId="183" fontId="129" fillId="0" borderId="0"/>
    <xf numFmtId="0" fontId="1" fillId="0" borderId="0"/>
    <xf numFmtId="0" fontId="132" fillId="0" borderId="0"/>
    <xf numFmtId="183" fontId="132" fillId="0" borderId="0"/>
    <xf numFmtId="0" fontId="1" fillId="0" borderId="0"/>
    <xf numFmtId="0" fontId="19" fillId="0" borderId="0"/>
    <xf numFmtId="183" fontId="129" fillId="0" borderId="0"/>
    <xf numFmtId="0" fontId="1" fillId="0" borderId="0"/>
    <xf numFmtId="0" fontId="19" fillId="0" borderId="0"/>
    <xf numFmtId="183" fontId="129" fillId="0" borderId="0"/>
    <xf numFmtId="0" fontId="1" fillId="0" borderId="0"/>
    <xf numFmtId="0" fontId="1" fillId="0" borderId="0"/>
    <xf numFmtId="183" fontId="19" fillId="0" borderId="0"/>
    <xf numFmtId="0" fontId="1" fillId="0" borderId="0"/>
    <xf numFmtId="0" fontId="1" fillId="0" borderId="0"/>
    <xf numFmtId="0" fontId="1" fillId="0" borderId="0"/>
    <xf numFmtId="0" fontId="1" fillId="0" borderId="0"/>
    <xf numFmtId="0" fontId="1" fillId="0" borderId="0"/>
    <xf numFmtId="0" fontId="1" fillId="0" borderId="0"/>
    <xf numFmtId="178" fontId="36" fillId="0" borderId="0"/>
    <xf numFmtId="0" fontId="135" fillId="0" borderId="0"/>
    <xf numFmtId="0" fontId="19" fillId="0" borderId="0"/>
    <xf numFmtId="183" fontId="19" fillId="0" borderId="0"/>
    <xf numFmtId="183" fontId="135" fillId="0" borderId="0"/>
    <xf numFmtId="0" fontId="22" fillId="0" borderId="0"/>
    <xf numFmtId="0" fontId="133" fillId="0" borderId="0"/>
    <xf numFmtId="0" fontId="22" fillId="0" borderId="0"/>
    <xf numFmtId="183" fontId="19" fillId="0" borderId="0"/>
    <xf numFmtId="0" fontId="19" fillId="0" borderId="0"/>
    <xf numFmtId="0" fontId="19" fillId="0" borderId="0"/>
    <xf numFmtId="0" fontId="19" fillId="0" borderId="0">
      <alignment vertical="top"/>
    </xf>
    <xf numFmtId="0" fontId="1" fillId="0" borderId="0"/>
    <xf numFmtId="0" fontId="98" fillId="0" borderId="0"/>
    <xf numFmtId="0" fontId="133" fillId="0" borderId="0"/>
    <xf numFmtId="0" fontId="19" fillId="0" borderId="0"/>
    <xf numFmtId="183" fontId="19" fillId="0" borderId="0"/>
    <xf numFmtId="0" fontId="36" fillId="0" borderId="0"/>
    <xf numFmtId="183" fontId="19" fillId="0" borderId="0"/>
    <xf numFmtId="0" fontId="19" fillId="0" borderId="0">
      <alignment vertical="top"/>
    </xf>
    <xf numFmtId="183" fontId="19" fillId="0" borderId="0"/>
    <xf numFmtId="0" fontId="130" fillId="0" borderId="0"/>
    <xf numFmtId="183" fontId="129" fillId="0" borderId="0"/>
    <xf numFmtId="0" fontId="1" fillId="0" borderId="0"/>
    <xf numFmtId="0" fontId="151" fillId="0" borderId="0"/>
    <xf numFmtId="0" fontId="129" fillId="0" borderId="0"/>
    <xf numFmtId="0" fontId="130" fillId="0" borderId="0"/>
    <xf numFmtId="183" fontId="129" fillId="0" borderId="0"/>
    <xf numFmtId="0" fontId="130" fillId="0" borderId="0"/>
    <xf numFmtId="0" fontId="1" fillId="0" borderId="0"/>
    <xf numFmtId="0" fontId="130" fillId="0" borderId="0"/>
    <xf numFmtId="183" fontId="130" fillId="0" borderId="0"/>
    <xf numFmtId="0" fontId="130" fillId="0" borderId="0"/>
    <xf numFmtId="0" fontId="1" fillId="0" borderId="0"/>
    <xf numFmtId="0" fontId="130" fillId="0" borderId="0"/>
    <xf numFmtId="183" fontId="129" fillId="0" borderId="0"/>
    <xf numFmtId="0" fontId="130" fillId="0" borderId="0"/>
    <xf numFmtId="0" fontId="1" fillId="0" borderId="0"/>
    <xf numFmtId="0" fontId="130" fillId="0" borderId="0"/>
    <xf numFmtId="183" fontId="130" fillId="0" borderId="0"/>
    <xf numFmtId="0" fontId="130" fillId="0" borderId="0"/>
    <xf numFmtId="0" fontId="1" fillId="0" borderId="0"/>
    <xf numFmtId="0" fontId="130" fillId="0" borderId="0"/>
    <xf numFmtId="183" fontId="129" fillId="0" borderId="0"/>
    <xf numFmtId="0" fontId="130" fillId="0" borderId="0"/>
    <xf numFmtId="0" fontId="1" fillId="0" borderId="0"/>
    <xf numFmtId="0" fontId="130" fillId="0" borderId="0"/>
    <xf numFmtId="183" fontId="130" fillId="0" borderId="0"/>
    <xf numFmtId="0" fontId="130" fillId="0" borderId="0"/>
    <xf numFmtId="0" fontId="1" fillId="0" borderId="0"/>
    <xf numFmtId="0" fontId="130" fillId="0" borderId="0"/>
    <xf numFmtId="183" fontId="129" fillId="0" borderId="0"/>
    <xf numFmtId="0" fontId="130" fillId="0" borderId="0"/>
    <xf numFmtId="0" fontId="1" fillId="0" borderId="0"/>
    <xf numFmtId="0" fontId="19" fillId="0" borderId="0"/>
    <xf numFmtId="183" fontId="129" fillId="0" borderId="0"/>
    <xf numFmtId="0" fontId="19" fillId="0" borderId="0"/>
    <xf numFmtId="0" fontId="1" fillId="0" borderId="0"/>
    <xf numFmtId="0" fontId="19" fillId="0" borderId="0"/>
    <xf numFmtId="183" fontId="130" fillId="0" borderId="0"/>
    <xf numFmtId="0" fontId="19" fillId="0" borderId="0"/>
    <xf numFmtId="0" fontId="1" fillId="0" borderId="0"/>
    <xf numFmtId="183" fontId="36" fillId="0" borderId="0"/>
    <xf numFmtId="178" fontId="98" fillId="0" borderId="0"/>
    <xf numFmtId="0" fontId="1" fillId="0" borderId="0"/>
    <xf numFmtId="0" fontId="1" fillId="0" borderId="0"/>
    <xf numFmtId="0" fontId="1" fillId="0" borderId="0"/>
    <xf numFmtId="0" fontId="98" fillId="0" borderId="0"/>
    <xf numFmtId="0" fontId="1" fillId="0" borderId="0"/>
    <xf numFmtId="0" fontId="1" fillId="0" borderId="0"/>
    <xf numFmtId="183"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64" fontId="36" fillId="0" borderId="0"/>
    <xf numFmtId="0" fontId="1" fillId="0" borderId="0"/>
    <xf numFmtId="0" fontId="1" fillId="0" borderId="0"/>
    <xf numFmtId="183" fontId="36" fillId="0" borderId="0"/>
    <xf numFmtId="0" fontId="19" fillId="0" borderId="0"/>
    <xf numFmtId="183" fontId="130" fillId="0" borderId="0"/>
    <xf numFmtId="0" fontId="19" fillId="0" borderId="0"/>
    <xf numFmtId="0" fontId="1" fillId="0" borderId="0"/>
    <xf numFmtId="0" fontId="19" fillId="0" borderId="0"/>
    <xf numFmtId="183" fontId="132" fillId="0" borderId="0"/>
    <xf numFmtId="183" fontId="130" fillId="0" borderId="0"/>
    <xf numFmtId="0" fontId="19" fillId="0" borderId="0"/>
    <xf numFmtId="0" fontId="1" fillId="0" borderId="0"/>
    <xf numFmtId="0" fontId="19" fillId="0" borderId="0"/>
    <xf numFmtId="183" fontId="1" fillId="0" borderId="0"/>
    <xf numFmtId="183" fontId="1" fillId="0" borderId="0"/>
    <xf numFmtId="183" fontId="1" fillId="0" borderId="0"/>
    <xf numFmtId="183" fontId="1" fillId="0" borderId="0"/>
    <xf numFmtId="183" fontId="1" fillId="0" borderId="0"/>
    <xf numFmtId="183" fontId="1" fillId="0" borderId="0"/>
    <xf numFmtId="0" fontId="19" fillId="0" borderId="0"/>
    <xf numFmtId="0" fontId="1" fillId="0" borderId="0"/>
    <xf numFmtId="0" fontId="19" fillId="0" borderId="0"/>
    <xf numFmtId="0" fontId="130"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9" fillId="0" borderId="0"/>
    <xf numFmtId="183"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9" fillId="0" borderId="0"/>
    <xf numFmtId="183" fontId="19" fillId="0" borderId="0"/>
    <xf numFmtId="0" fontId="22" fillId="0" borderId="0"/>
    <xf numFmtId="0" fontId="130" fillId="0" borderId="0"/>
    <xf numFmtId="0" fontId="98" fillId="0" borderId="0"/>
    <xf numFmtId="0" fontId="1" fillId="0" borderId="0"/>
    <xf numFmtId="183" fontId="124" fillId="0" borderId="0"/>
    <xf numFmtId="183" fontId="19" fillId="0" borderId="0"/>
    <xf numFmtId="0" fontId="1" fillId="0" borderId="0"/>
    <xf numFmtId="0" fontId="22" fillId="0" borderId="0"/>
    <xf numFmtId="0" fontId="98" fillId="0" borderId="0">
      <alignment vertical="top"/>
    </xf>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183" fontId="130" fillId="0" borderId="0"/>
    <xf numFmtId="183" fontId="130" fillId="0" borderId="0"/>
    <xf numFmtId="183" fontId="130" fillId="0" borderId="0"/>
    <xf numFmtId="0" fontId="19" fillId="0" borderId="0"/>
    <xf numFmtId="0" fontId="1" fillId="0" borderId="0"/>
    <xf numFmtId="0" fontId="1" fillId="0" borderId="0"/>
    <xf numFmtId="0" fontId="149" fillId="0" borderId="0"/>
    <xf numFmtId="0" fontId="149" fillId="0" borderId="0"/>
    <xf numFmtId="0" fontId="19" fillId="0" borderId="0"/>
    <xf numFmtId="183" fontId="137" fillId="0" borderId="0" applyFill="0" applyBorder="0">
      <protection locked="0"/>
    </xf>
    <xf numFmtId="0" fontId="137" fillId="0" borderId="0" applyFill="0" applyBorder="0">
      <protection locked="0"/>
    </xf>
    <xf numFmtId="183" fontId="137" fillId="0" borderId="0" applyFill="0" applyBorder="0">
      <protection locked="0"/>
    </xf>
    <xf numFmtId="183" fontId="124" fillId="62" borderId="78" applyNumberFormat="0" applyFont="0" applyAlignment="0" applyProtection="0"/>
    <xf numFmtId="0" fontId="1" fillId="90" borderId="74" applyNumberFormat="0" applyFont="0" applyAlignment="0" applyProtection="0"/>
    <xf numFmtId="0" fontId="76" fillId="83" borderId="46" applyNumberFormat="0" applyFont="0" applyAlignment="0" applyProtection="0"/>
    <xf numFmtId="0" fontId="76" fillId="83" borderId="46" applyNumberFormat="0" applyFont="0" applyAlignment="0" applyProtection="0"/>
    <xf numFmtId="0" fontId="76" fillId="83" borderId="46" applyNumberFormat="0" applyFont="0" applyAlignment="0" applyProtection="0"/>
    <xf numFmtId="0" fontId="36" fillId="62" borderId="46" applyNumberFormat="0" applyFont="0" applyAlignment="0" applyProtection="0"/>
    <xf numFmtId="183" fontId="124" fillId="62" borderId="78" applyNumberFormat="0" applyFont="0" applyAlignment="0" applyProtection="0"/>
    <xf numFmtId="183" fontId="124" fillId="62" borderId="78" applyNumberFormat="0" applyFont="0" applyAlignment="0" applyProtection="0"/>
    <xf numFmtId="0" fontId="1" fillId="90" borderId="74" applyNumberFormat="0" applyFont="0" applyAlignment="0" applyProtection="0"/>
    <xf numFmtId="183" fontId="124" fillId="62" borderId="78" applyNumberFormat="0" applyFont="0" applyAlignment="0" applyProtection="0"/>
    <xf numFmtId="0" fontId="1" fillId="90" borderId="74" applyNumberFormat="0" applyFont="0" applyAlignment="0" applyProtection="0"/>
    <xf numFmtId="0" fontId="1" fillId="90" borderId="74" applyNumberFormat="0" applyFont="0" applyAlignment="0" applyProtection="0"/>
    <xf numFmtId="0" fontId="99" fillId="15" borderId="38" applyNumberFormat="0" applyAlignment="0" applyProtection="0"/>
    <xf numFmtId="10" fontId="19" fillId="0" borderId="0" applyFont="0" applyFill="0" applyBorder="0" applyAlignment="0" applyProtection="0"/>
    <xf numFmtId="223" fontId="137" fillId="0" borderId="0" applyFill="0" applyBorder="0">
      <protection locked="0"/>
    </xf>
    <xf numFmtId="223" fontId="138" fillId="0" borderId="0" applyFill="0" applyBorder="0"/>
    <xf numFmtId="9" fontId="19" fillId="0" borderId="0" applyFont="0" applyFill="0" applyBorder="0" applyAlignment="0" applyProtection="0"/>
    <xf numFmtId="9" fontId="12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53" fillId="0" borderId="0" applyFont="0" applyFill="0" applyBorder="0" applyAlignment="0" applyProtection="0"/>
    <xf numFmtId="9" fontId="3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36"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9"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124" fillId="0" borderId="0" applyFont="0" applyFill="0" applyBorder="0" applyAlignment="0" applyProtection="0"/>
    <xf numFmtId="9" fontId="19" fillId="0" borderId="0" applyFont="0" applyFill="0" applyBorder="0" applyAlignment="0" applyProtection="0"/>
    <xf numFmtId="9" fontId="129" fillId="0" borderId="0" applyFont="0" applyFill="0" applyBorder="0" applyAlignment="0" applyProtection="0"/>
    <xf numFmtId="9" fontId="100" fillId="0" borderId="0" applyFont="0" applyFill="0" applyBorder="0" applyAlignment="0" applyProtection="0"/>
    <xf numFmtId="9" fontId="129" fillId="0" borderId="0" applyFont="0" applyFill="0" applyBorder="0" applyAlignment="0" applyProtection="0"/>
    <xf numFmtId="9" fontId="19" fillId="0" borderId="0" applyFont="0" applyFill="0" applyBorder="0" applyAlignment="0" applyProtection="0"/>
    <xf numFmtId="9" fontId="10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9" fillId="0" borderId="0" applyFont="0" applyFill="0" applyBorder="0" applyAlignment="0" applyProtection="0"/>
    <xf numFmtId="9" fontId="1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9" fontId="12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29" fillId="0" borderId="0" applyFont="0" applyFill="0" applyBorder="0" applyAlignment="0" applyProtection="0"/>
    <xf numFmtId="9" fontId="19"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29" fillId="0" borderId="0" applyFont="0" applyFill="0" applyBorder="0" applyAlignment="0" applyProtection="0"/>
    <xf numFmtId="9" fontId="1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9" fillId="0" borderId="0" applyFont="0" applyFill="0" applyBorder="0" applyAlignment="0" applyProtection="0"/>
    <xf numFmtId="9" fontId="129" fillId="0" borderId="0" applyFont="0" applyFill="0" applyBorder="0" applyAlignment="0" applyProtection="0"/>
    <xf numFmtId="9" fontId="130" fillId="0" borderId="0" applyFont="0" applyFill="0" applyBorder="0" applyAlignment="0" applyProtection="0"/>
    <xf numFmtId="13" fontId="19" fillId="0" borderId="0" applyFont="0" applyFill="0" applyProtection="0"/>
    <xf numFmtId="9" fontId="12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129" fillId="0" borderId="0" applyFont="0" applyFill="0" applyBorder="0" applyAlignment="0" applyProtection="0"/>
    <xf numFmtId="9" fontId="19" fillId="0" borderId="0" applyFont="0" applyFill="0" applyBorder="0" applyAlignment="0" applyProtection="0"/>
    <xf numFmtId="183"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183" fontId="154" fillId="0" borderId="0" applyNumberFormat="0" applyFont="0" applyFill="0" applyBorder="0" applyAlignment="0" applyProtection="0">
      <alignment horizontal="left"/>
    </xf>
    <xf numFmtId="15" fontId="154" fillId="0" borderId="0" applyFont="0" applyFill="0" applyBorder="0" applyAlignment="0" applyProtection="0"/>
    <xf numFmtId="4" fontId="154" fillId="0" borderId="0" applyFont="0" applyFill="0" applyBorder="0" applyAlignment="0" applyProtection="0"/>
    <xf numFmtId="183" fontId="155" fillId="0" borderId="21">
      <alignment horizontal="center"/>
    </xf>
    <xf numFmtId="0" fontId="155" fillId="0" borderId="21">
      <alignment horizontal="center"/>
    </xf>
    <xf numFmtId="183" fontId="155" fillId="0" borderId="21">
      <alignment horizontal="center"/>
    </xf>
    <xf numFmtId="3" fontId="154" fillId="0" borderId="0" applyFont="0" applyFill="0" applyBorder="0" applyAlignment="0" applyProtection="0"/>
    <xf numFmtId="183" fontId="154" fillId="102" borderId="0" applyNumberFormat="0" applyFont="0" applyBorder="0" applyAlignment="0" applyProtection="0"/>
    <xf numFmtId="0" fontId="154" fillId="102" borderId="0" applyNumberFormat="0" applyFont="0" applyBorder="0" applyAlignment="0" applyProtection="0"/>
    <xf numFmtId="183" fontId="154" fillId="102" borderId="0" applyNumberFormat="0" applyFont="0" applyBorder="0" applyAlignment="0" applyProtection="0"/>
    <xf numFmtId="199" fontId="19" fillId="0" borderId="0"/>
    <xf numFmtId="199" fontId="19" fillId="0" borderId="0"/>
    <xf numFmtId="183" fontId="108" fillId="0" borderId="0" applyNumberFormat="0" applyFill="0" applyBorder="0" applyAlignment="0" applyProtection="0"/>
    <xf numFmtId="0"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0" fontId="108" fillId="0" borderId="0" applyNumberFormat="0" applyFill="0" applyBorder="0" applyAlignment="0" applyProtection="0"/>
    <xf numFmtId="183" fontId="108" fillId="0" borderId="0" applyNumberFormat="0" applyFill="0" applyBorder="0" applyAlignment="0" applyProtection="0"/>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0" fontId="156" fillId="103" borderId="0" applyNumberFormat="0" applyBorder="0">
      <alignment horizontal="left"/>
      <protection locked="0"/>
    </xf>
    <xf numFmtId="183" fontId="156" fillId="103" borderId="0" applyNumberFormat="0" applyBorder="0">
      <alignment horizontal="left"/>
      <protection locked="0"/>
    </xf>
    <xf numFmtId="183" fontId="19" fillId="104" borderId="0" applyNumberFormat="0" applyFont="0" applyBorder="0" applyAlignment="0">
      <protection locked="0"/>
    </xf>
    <xf numFmtId="0" fontId="19" fillId="104" borderId="0" applyNumberFormat="0" applyFont="0" applyBorder="0" applyAlignment="0">
      <protection locked="0"/>
    </xf>
    <xf numFmtId="183" fontId="19" fillId="104" borderId="0" applyNumberFormat="0" applyFont="0" applyBorder="0" applyAlignment="0">
      <protection locked="0"/>
    </xf>
    <xf numFmtId="224" fontId="127" fillId="0" borderId="2">
      <alignment horizontal="right"/>
    </xf>
    <xf numFmtId="183" fontId="84" fillId="0" borderId="0"/>
    <xf numFmtId="183" fontId="19" fillId="0" borderId="0" applyFont="0" applyFill="0" applyBorder="0" applyAlignment="0" applyProtection="0"/>
    <xf numFmtId="174" fontId="98" fillId="0" borderId="63" applyFont="0" applyAlignment="0">
      <alignment vertical="top" wrapText="1"/>
    </xf>
    <xf numFmtId="0" fontId="98" fillId="0" borderId="0">
      <alignment vertical="top"/>
    </xf>
    <xf numFmtId="183" fontId="147" fillId="105" borderId="0"/>
    <xf numFmtId="0" fontId="147" fillId="105" borderId="0"/>
    <xf numFmtId="183" fontId="147" fillId="105" borderId="0"/>
    <xf numFmtId="183" fontId="122" fillId="0" borderId="0">
      <alignment horizontal="left"/>
    </xf>
    <xf numFmtId="0" fontId="122" fillId="0" borderId="0">
      <alignment horizontal="left"/>
    </xf>
    <xf numFmtId="183" fontId="122" fillId="0" borderId="0">
      <alignment horizontal="left"/>
    </xf>
    <xf numFmtId="182" fontId="126" fillId="82" borderId="0">
      <alignment horizontal="center"/>
      <protection locked="0"/>
    </xf>
    <xf numFmtId="183" fontId="157" fillId="0" borderId="0" applyFill="0" applyBorder="0" applyAlignment="0"/>
    <xf numFmtId="2" fontId="80" fillId="1" borderId="1" applyNumberFormat="0" applyBorder="0" applyProtection="0">
      <alignment horizontal="left"/>
    </xf>
    <xf numFmtId="183" fontId="158" fillId="106" borderId="0"/>
    <xf numFmtId="0" fontId="158" fillId="106" borderId="0"/>
    <xf numFmtId="183" fontId="158" fillId="106" borderId="0"/>
    <xf numFmtId="210" fontId="159" fillId="0" borderId="9" applyFill="0"/>
    <xf numFmtId="210" fontId="138" fillId="0" borderId="6" applyFill="0"/>
    <xf numFmtId="41" fontId="19" fillId="0" borderId="0" applyFont="0" applyFill="0" applyBorder="0" applyAlignment="0" applyProtection="0"/>
    <xf numFmtId="43" fontId="19" fillId="0" borderId="0" applyFont="0" applyFill="0" applyBorder="0" applyAlignment="0" applyProtection="0"/>
    <xf numFmtId="224" fontId="127" fillId="36" borderId="2">
      <alignment horizontal="right"/>
    </xf>
    <xf numFmtId="183" fontId="160" fillId="0" borderId="0" applyNumberFormat="0" applyFont="0" applyFill="0" applyBorder="0" applyAlignment="0">
      <alignment horizontal="left"/>
      <protection locked="0"/>
    </xf>
    <xf numFmtId="0" fontId="160" fillId="0" borderId="0" applyNumberFormat="0" applyFont="0" applyFill="0" applyBorder="0" applyAlignment="0">
      <alignment horizontal="left"/>
      <protection locked="0"/>
    </xf>
    <xf numFmtId="183" fontId="160" fillId="0" borderId="0" applyNumberFormat="0" applyFont="0" applyFill="0" applyBorder="0" applyAlignment="0">
      <alignment horizontal="left"/>
      <protection locked="0"/>
    </xf>
    <xf numFmtId="224" fontId="127" fillId="0" borderId="2">
      <alignment horizontal="right"/>
    </xf>
    <xf numFmtId="42" fontId="19" fillId="0" borderId="0" applyFont="0" applyFill="0" applyBorder="0" applyAlignment="0" applyProtection="0"/>
    <xf numFmtId="225" fontId="19" fillId="0" borderId="0" applyFont="0" applyFill="0" applyBorder="0" applyAlignment="0" applyProtection="0"/>
    <xf numFmtId="226" fontId="19" fillId="0" borderId="0" applyFont="0" applyFill="0" applyBorder="0" applyAlignment="0" applyProtection="0"/>
    <xf numFmtId="183" fontId="161" fillId="0" borderId="0" applyNumberFormat="0" applyFill="0" applyBorder="0"/>
    <xf numFmtId="0" fontId="161" fillId="0" borderId="0" applyNumberFormat="0" applyFill="0" applyBorder="0"/>
    <xf numFmtId="183" fontId="161" fillId="0" borderId="0" applyNumberFormat="0" applyFill="0" applyBorder="0"/>
    <xf numFmtId="0" fontId="27" fillId="0" borderId="0" applyNumberFormat="0" applyFill="0" applyBorder="0" applyAlignment="0" applyProtection="0"/>
    <xf numFmtId="0" fontId="162" fillId="0" borderId="0" applyNumberFormat="0" applyFill="0" applyBorder="0" applyAlignment="0" applyProtection="0"/>
    <xf numFmtId="183" fontId="163" fillId="69" borderId="79">
      <alignment horizontal="center" wrapText="1"/>
    </xf>
    <xf numFmtId="183" fontId="163" fillId="69" borderId="79">
      <alignment horizontal="centerContinuous" wrapText="1"/>
    </xf>
    <xf numFmtId="183" fontId="163" fillId="69" borderId="79">
      <alignment horizontal="center" vertical="justify" textRotation="90"/>
    </xf>
    <xf numFmtId="183" fontId="164" fillId="0" borderId="0">
      <alignment horizontal="center"/>
    </xf>
    <xf numFmtId="183" fontId="165" fillId="16" borderId="0"/>
    <xf numFmtId="183" fontId="166" fillId="107" borderId="0"/>
    <xf numFmtId="183" fontId="165" fillId="16" borderId="0"/>
    <xf numFmtId="0" fontId="4" fillId="32"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4"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26" fillId="17" borderId="10" applyNumberFormat="0" applyAlignment="0" applyProtection="0"/>
    <xf numFmtId="0" fontId="1" fillId="21" borderId="0" applyNumberFormat="0" applyBorder="0" applyAlignment="0" applyProtection="0"/>
    <xf numFmtId="0" fontId="1" fillId="24" borderId="0" applyNumberFormat="0" applyBorder="0" applyAlignment="0" applyProtection="0"/>
    <xf numFmtId="0" fontId="3" fillId="0" borderId="23" applyNumberFormat="0" applyFill="0" applyAlignment="0" applyProtection="0"/>
    <xf numFmtId="0" fontId="4" fillId="29" borderId="0" applyNumberFormat="0" applyBorder="0" applyAlignment="0" applyProtection="0"/>
    <xf numFmtId="0" fontId="4" fillId="26" borderId="0" applyNumberFormat="0" applyBorder="0" applyAlignment="0" applyProtection="0"/>
    <xf numFmtId="0" fontId="4" fillId="20" borderId="0" applyNumberFormat="0" applyBorder="0" applyAlignment="0" applyProtection="0"/>
    <xf numFmtId="0" fontId="1" fillId="22" borderId="0" applyNumberFormat="0" applyBorder="0" applyAlignment="0" applyProtection="0"/>
    <xf numFmtId="0" fontId="25" fillId="17" borderId="22"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1" fillId="28" borderId="0" applyNumberFormat="0" applyBorder="0" applyAlignment="0" applyProtection="0"/>
    <xf numFmtId="0" fontId="4" fillId="20" borderId="0" applyNumberFormat="0" applyBorder="0" applyAlignment="0" applyProtection="0"/>
    <xf numFmtId="0" fontId="26" fillId="17" borderId="10" applyNumberFormat="0" applyAlignment="0" applyProtection="0"/>
    <xf numFmtId="0" fontId="4" fillId="35"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33" fillId="0" borderId="47" applyNumberFormat="0" applyFill="0" applyAlignment="0" applyProtection="0"/>
    <xf numFmtId="0" fontId="31" fillId="38" borderId="47">
      <alignment horizontal="right" vertical="center"/>
    </xf>
    <xf numFmtId="0" fontId="31" fillId="38" borderId="47">
      <alignment horizontal="right" vertical="center"/>
    </xf>
    <xf numFmtId="0" fontId="33" fillId="0" borderId="50">
      <alignment horizontal="left" vertical="center" wrapText="1" indent="2"/>
    </xf>
    <xf numFmtId="0" fontId="31" fillId="38" borderId="49">
      <alignment horizontal="right" vertical="center"/>
    </xf>
    <xf numFmtId="0" fontId="33" fillId="0" borderId="47">
      <alignment horizontal="right" vertical="center"/>
    </xf>
    <xf numFmtId="0" fontId="35" fillId="36" borderId="47">
      <alignment horizontal="right" vertical="center"/>
    </xf>
    <xf numFmtId="0" fontId="33" fillId="37" borderId="47"/>
    <xf numFmtId="0" fontId="31" fillId="36" borderId="47">
      <alignment horizontal="right" vertical="center"/>
    </xf>
    <xf numFmtId="4" fontId="33" fillId="0" borderId="47" applyFill="0" applyBorder="0" applyProtection="0">
      <alignment horizontal="right" vertical="center"/>
    </xf>
    <xf numFmtId="0" fontId="1" fillId="30" borderId="0" applyNumberFormat="0" applyBorder="0" applyAlignment="0" applyProtection="0"/>
    <xf numFmtId="0" fontId="1" fillId="21"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1" fillId="19" borderId="0" applyNumberFormat="0" applyBorder="0" applyAlignment="0" applyProtection="0"/>
    <xf numFmtId="0" fontId="4" fillId="26" borderId="0" applyNumberFormat="0" applyBorder="0" applyAlignment="0" applyProtection="0"/>
    <xf numFmtId="0" fontId="1" fillId="34" borderId="0" applyNumberFormat="0" applyBorder="0" applyAlignment="0" applyProtection="0"/>
    <xf numFmtId="0" fontId="27" fillId="0" borderId="0" applyNumberFormat="0" applyFill="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0" fontId="1" fillId="25" borderId="0" applyNumberFormat="0" applyBorder="0" applyAlignment="0" applyProtection="0"/>
    <xf numFmtId="0" fontId="4" fillId="32" borderId="0" applyNumberFormat="0" applyBorder="0" applyAlignment="0" applyProtection="0"/>
    <xf numFmtId="0" fontId="1" fillId="21" borderId="0" applyNumberFormat="0" applyBorder="0" applyAlignment="0" applyProtection="0"/>
    <xf numFmtId="0" fontId="25" fillId="17" borderId="22" applyNumberFormat="0" applyAlignment="0" applyProtection="0"/>
    <xf numFmtId="0" fontId="1" fillId="31" borderId="0" applyNumberFormat="0" applyBorder="0" applyAlignment="0" applyProtection="0"/>
    <xf numFmtId="0" fontId="4" fillId="20"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3" fillId="0" borderId="23" applyNumberFormat="0" applyFill="0" applyAlignment="0" applyProtection="0"/>
    <xf numFmtId="0" fontId="1" fillId="34" borderId="0" applyNumberFormat="0" applyBorder="0" applyAlignment="0" applyProtection="0"/>
    <xf numFmtId="0" fontId="1" fillId="2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31" fillId="38" borderId="49">
      <alignment horizontal="right" vertical="center"/>
    </xf>
    <xf numFmtId="4" fontId="31" fillId="38" borderId="49">
      <alignment horizontal="right" vertical="center"/>
    </xf>
    <xf numFmtId="0" fontId="33" fillId="38" borderId="50">
      <alignment horizontal="left" vertical="center" wrapText="1" indent="2"/>
    </xf>
    <xf numFmtId="0" fontId="33" fillId="0" borderId="50">
      <alignment horizontal="left" vertical="center" wrapText="1" indent="2"/>
    </xf>
    <xf numFmtId="0" fontId="1" fillId="18" borderId="0" applyNumberFormat="0" applyBorder="0" applyAlignment="0" applyProtection="0"/>
    <xf numFmtId="0" fontId="27" fillId="0" borderId="0" applyNumberFormat="0" applyFill="0" applyBorder="0" applyAlignment="0" applyProtection="0"/>
    <xf numFmtId="0" fontId="1" fillId="33"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4" fillId="23"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36" fillId="135" borderId="0" applyNumberFormat="0" applyBorder="0" applyAlignment="0" applyProtection="0"/>
    <xf numFmtId="0" fontId="36" fillId="46" borderId="0" applyNumberFormat="0" applyBorder="0" applyAlignment="0" applyProtection="0"/>
    <xf numFmtId="0" fontId="1" fillId="27" borderId="0" applyNumberFormat="0" applyBorder="0" applyAlignment="0" applyProtection="0"/>
    <xf numFmtId="0" fontId="36" fillId="4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3" fillId="0" borderId="23" applyNumberFormat="0" applyFill="0" applyAlignment="0" applyProtection="0"/>
    <xf numFmtId="0" fontId="56" fillId="46" borderId="119" applyNumberFormat="0" applyAlignment="0" applyProtection="0"/>
    <xf numFmtId="0" fontId="36" fillId="46" borderId="0" applyNumberFormat="0" applyBorder="0" applyAlignment="0" applyProtection="0"/>
    <xf numFmtId="0" fontId="1" fillId="18" borderId="0" applyNumberFormat="0" applyBorder="0" applyAlignment="0" applyProtection="0"/>
    <xf numFmtId="0" fontId="38" fillId="62" borderId="121" applyNumberFormat="0" applyFont="0" applyAlignment="0" applyProtection="0"/>
    <xf numFmtId="0" fontId="36" fillId="41" borderId="0" applyNumberFormat="0" applyBorder="0" applyAlignment="0" applyProtection="0"/>
    <xf numFmtId="183" fontId="36" fillId="48" borderId="0" applyNumberFormat="0" applyBorder="0" applyAlignment="0" applyProtection="0"/>
    <xf numFmtId="0" fontId="56" fillId="46" borderId="119" applyNumberFormat="0" applyAlignment="0" applyProtection="0"/>
    <xf numFmtId="0" fontId="48" fillId="0" borderId="120" applyNumberFormat="0" applyFill="0" applyAlignment="0" applyProtection="0"/>
    <xf numFmtId="0" fontId="36" fillId="47" borderId="0" applyNumberFormat="0" applyBorder="0" applyAlignment="0" applyProtection="0"/>
    <xf numFmtId="0" fontId="36" fillId="41" borderId="0" applyNumberFormat="0" applyBorder="0" applyAlignment="0" applyProtection="0"/>
    <xf numFmtId="0" fontId="31" fillId="38" borderId="122">
      <alignment horizontal="right" vertical="center"/>
    </xf>
    <xf numFmtId="0" fontId="36" fillId="47" borderId="0" applyNumberFormat="0" applyBorder="0" applyAlignment="0" applyProtection="0"/>
    <xf numFmtId="4" fontId="31" fillId="36" borderId="122">
      <alignment horizontal="right" vertical="center"/>
    </xf>
    <xf numFmtId="0" fontId="36" fillId="44" borderId="0" applyNumberFormat="0" applyBorder="0" applyAlignment="0" applyProtection="0"/>
    <xf numFmtId="4" fontId="31" fillId="38" borderId="124">
      <alignment horizontal="right" vertical="center"/>
    </xf>
    <xf numFmtId="0" fontId="44" fillId="59" borderId="119" applyNumberFormat="0" applyAlignment="0" applyProtection="0"/>
    <xf numFmtId="0" fontId="36" fillId="43" borderId="0" applyNumberFormat="0" applyBorder="0" applyAlignment="0" applyProtection="0"/>
    <xf numFmtId="49" fontId="32" fillId="0" borderId="122" applyNumberFormat="0" applyFill="0" applyBorder="0" applyProtection="0">
      <alignment horizontal="left" vertical="center"/>
    </xf>
    <xf numFmtId="0" fontId="1" fillId="30" borderId="0" applyNumberFormat="0" applyBorder="0" applyAlignment="0" applyProtection="0"/>
    <xf numFmtId="0" fontId="1" fillId="19" borderId="0" applyNumberFormat="0" applyBorder="0" applyAlignment="0" applyProtection="0"/>
    <xf numFmtId="4" fontId="31" fillId="36" borderId="122">
      <alignment horizontal="right" vertical="center"/>
    </xf>
    <xf numFmtId="0" fontId="36" fillId="43" borderId="0" applyNumberFormat="0" applyBorder="0" applyAlignment="0" applyProtection="0"/>
    <xf numFmtId="0" fontId="44" fillId="59" borderId="119" applyNumberFormat="0" applyAlignment="0" applyProtection="0"/>
    <xf numFmtId="0" fontId="33" fillId="0" borderId="122">
      <alignment horizontal="right" vertical="center"/>
    </xf>
    <xf numFmtId="183" fontId="36" fillId="45" borderId="0" applyNumberFormat="0" applyBorder="0" applyAlignment="0" applyProtection="0"/>
    <xf numFmtId="0" fontId="56" fillId="46" borderId="119" applyNumberFormat="0" applyAlignment="0" applyProtection="0"/>
    <xf numFmtId="0" fontId="44" fillId="59" borderId="119" applyNumberFormat="0" applyAlignment="0" applyProtection="0"/>
    <xf numFmtId="0" fontId="31" fillId="38" borderId="123">
      <alignment horizontal="right" vertical="center"/>
    </xf>
    <xf numFmtId="0" fontId="1" fillId="19"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4" fillId="35" borderId="0" applyNumberFormat="0" applyBorder="0" applyAlignment="0" applyProtection="0"/>
    <xf numFmtId="0" fontId="36" fillId="45" borderId="0" applyNumberFormat="0" applyBorder="0" applyAlignment="0" applyProtection="0"/>
    <xf numFmtId="0" fontId="47" fillId="46" borderId="119" applyNumberFormat="0" applyAlignment="0" applyProtection="0"/>
    <xf numFmtId="0" fontId="36" fillId="42" borderId="0" applyNumberFormat="0" applyBorder="0" applyAlignment="0" applyProtection="0"/>
    <xf numFmtId="4" fontId="35" fillId="36" borderId="122">
      <alignment horizontal="right" vertical="center"/>
    </xf>
    <xf numFmtId="0" fontId="1" fillId="18" borderId="0" applyNumberFormat="0" applyBorder="0" applyAlignment="0" applyProtection="0"/>
    <xf numFmtId="183" fontId="36" fillId="59" borderId="0" applyNumberFormat="0" applyBorder="0" applyAlignment="0" applyProtection="0"/>
    <xf numFmtId="0" fontId="44" fillId="59" borderId="119" applyNumberFormat="0" applyAlignment="0" applyProtection="0"/>
    <xf numFmtId="0" fontId="33" fillId="0" borderId="125">
      <alignment horizontal="left" vertical="center" wrapText="1" indent="2"/>
    </xf>
    <xf numFmtId="0" fontId="25" fillId="17" borderId="22" applyNumberFormat="0" applyAlignment="0" applyProtection="0"/>
    <xf numFmtId="0" fontId="26" fillId="17" borderId="10" applyNumberFormat="0" applyAlignment="0" applyProtection="0"/>
    <xf numFmtId="0" fontId="36" fillId="41" borderId="0" applyNumberFormat="0" applyBorder="0" applyAlignment="0" applyProtection="0"/>
    <xf numFmtId="0" fontId="33" fillId="0" borderId="122" applyNumberFormat="0" applyFill="0" applyAlignment="0" applyProtection="0"/>
    <xf numFmtId="0" fontId="27" fillId="0" borderId="0" applyNumberFormat="0" applyFill="0" applyBorder="0" applyAlignment="0" applyProtection="0"/>
    <xf numFmtId="0" fontId="33" fillId="0" borderId="125">
      <alignment horizontal="left" vertical="center" wrapText="1" indent="2"/>
    </xf>
    <xf numFmtId="0" fontId="28" fillId="0" borderId="0" applyNumberFormat="0" applyFill="0" applyBorder="0" applyAlignment="0" applyProtection="0"/>
    <xf numFmtId="0" fontId="3" fillId="0" borderId="23" applyNumberFormat="0" applyFill="0" applyAlignment="0" applyProtection="0"/>
    <xf numFmtId="0" fontId="56" fillId="46" borderId="119" applyNumberFormat="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44" fillId="59" borderId="119" applyNumberFormat="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36" fillId="4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41" fillId="59" borderId="126" applyNumberFormat="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63" fillId="0" borderId="120" applyNumberFormat="0" applyFill="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33" fillId="0" borderId="122">
      <alignment horizontal="right" vertical="center"/>
    </xf>
    <xf numFmtId="0" fontId="1" fillId="31" borderId="0" applyNumberFormat="0" applyBorder="0" applyAlignment="0" applyProtection="0"/>
    <xf numFmtId="0" fontId="36" fillId="47" borderId="0" applyNumberFormat="0" applyBorder="0" applyAlignment="0" applyProtection="0"/>
    <xf numFmtId="0" fontId="36" fillId="43" borderId="0" applyNumberFormat="0" applyBorder="0" applyAlignment="0" applyProtection="0"/>
    <xf numFmtId="0" fontId="31" fillId="38" borderId="122">
      <alignment horizontal="right" vertical="center"/>
    </xf>
    <xf numFmtId="4" fontId="31" fillId="38" borderId="122">
      <alignment horizontal="right" vertical="center"/>
    </xf>
    <xf numFmtId="0" fontId="1" fillId="21" borderId="0" applyNumberFormat="0" applyBorder="0" applyAlignment="0" applyProtection="0"/>
    <xf numFmtId="0" fontId="36" fillId="43" borderId="0" applyNumberFormat="0" applyBorder="0" applyAlignment="0" applyProtection="0"/>
    <xf numFmtId="0" fontId="33" fillId="36" borderId="123">
      <alignment horizontal="left" vertical="center"/>
    </xf>
    <xf numFmtId="0" fontId="25" fillId="17" borderId="22" applyNumberFormat="0" applyAlignment="0" applyProtection="0"/>
    <xf numFmtId="183" fontId="36" fillId="46" borderId="0" applyNumberFormat="0" applyBorder="0" applyAlignment="0" applyProtection="0"/>
    <xf numFmtId="4" fontId="31" fillId="36" borderId="122">
      <alignment horizontal="right" vertical="center"/>
    </xf>
    <xf numFmtId="4" fontId="31" fillId="38" borderId="122">
      <alignment horizontal="right" vertical="center"/>
    </xf>
    <xf numFmtId="0" fontId="1" fillId="24" borderId="0" applyNumberFormat="0" applyBorder="0" applyAlignment="0" applyProtection="0"/>
    <xf numFmtId="0" fontId="56" fillId="46" borderId="119" applyNumberFormat="0" applyAlignment="0" applyProtection="0"/>
    <xf numFmtId="0" fontId="36" fillId="46" borderId="0" applyNumberFormat="0" applyBorder="0" applyAlignment="0" applyProtection="0"/>
    <xf numFmtId="0" fontId="1" fillId="27" borderId="0" applyNumberFormat="0" applyBorder="0" applyAlignment="0" applyProtection="0"/>
    <xf numFmtId="4" fontId="31" fillId="38" borderId="122">
      <alignment horizontal="right" vertical="center"/>
    </xf>
    <xf numFmtId="0" fontId="36" fillId="47" borderId="0" applyNumberFormat="0" applyBorder="0" applyAlignment="0" applyProtection="0"/>
    <xf numFmtId="0" fontId="48" fillId="0" borderId="120" applyNumberFormat="0" applyFill="0" applyAlignment="0" applyProtection="0"/>
    <xf numFmtId="4" fontId="31" fillId="38" borderId="123">
      <alignment horizontal="right" vertical="center"/>
    </xf>
    <xf numFmtId="0" fontId="4" fillId="20" borderId="0" applyNumberFormat="0" applyBorder="0" applyAlignment="0" applyProtection="0"/>
    <xf numFmtId="43" fontId="36" fillId="0" borderId="0" applyFont="0" applyFill="0" applyBorder="0" applyAlignment="0" applyProtection="0"/>
    <xf numFmtId="0" fontId="1" fillId="19" borderId="0" applyNumberFormat="0" applyBorder="0" applyAlignment="0" applyProtection="0"/>
    <xf numFmtId="43" fontId="36" fillId="0" borderId="0" applyFont="0" applyFill="0" applyBorder="0" applyAlignment="0" applyProtection="0"/>
    <xf numFmtId="0" fontId="60" fillId="59" borderId="126" applyNumberFormat="0" applyAlignment="0" applyProtection="0"/>
    <xf numFmtId="0" fontId="33" fillId="37" borderId="122"/>
    <xf numFmtId="0" fontId="1" fillId="30" borderId="0" applyNumberFormat="0" applyBorder="0" applyAlignment="0" applyProtection="0"/>
    <xf numFmtId="0" fontId="33" fillId="0" borderId="122">
      <alignment horizontal="right" vertical="center"/>
    </xf>
    <xf numFmtId="0" fontId="33" fillId="0" borderId="125">
      <alignment horizontal="left" vertical="center" wrapText="1" indent="2"/>
    </xf>
    <xf numFmtId="0" fontId="1" fillId="24" borderId="0" applyNumberFormat="0" applyBorder="0" applyAlignment="0" applyProtection="0"/>
    <xf numFmtId="0" fontId="4" fillId="29" borderId="0" applyNumberFormat="0" applyBorder="0" applyAlignment="0" applyProtection="0"/>
    <xf numFmtId="0" fontId="35" fillId="36" borderId="122">
      <alignment horizontal="right" vertical="center"/>
    </xf>
    <xf numFmtId="4" fontId="33" fillId="37" borderId="122"/>
    <xf numFmtId="0" fontId="3" fillId="0" borderId="23" applyNumberFormat="0" applyFill="0" applyAlignment="0" applyProtection="0"/>
    <xf numFmtId="0" fontId="33" fillId="0" borderId="125">
      <alignment horizontal="left" vertical="center" wrapText="1" indent="2"/>
    </xf>
    <xf numFmtId="0" fontId="36" fillId="42" borderId="0" applyNumberFormat="0" applyBorder="0" applyAlignment="0" applyProtection="0"/>
    <xf numFmtId="0" fontId="36" fillId="4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63" fillId="0" borderId="120" applyNumberFormat="0" applyFill="0" applyAlignment="0" applyProtection="0"/>
    <xf numFmtId="4" fontId="33" fillId="37" borderId="122"/>
    <xf numFmtId="0" fontId="36" fillId="43" borderId="0" applyNumberFormat="0" applyBorder="0" applyAlignment="0" applyProtection="0"/>
    <xf numFmtId="0" fontId="36" fillId="46" borderId="0" applyNumberFormat="0" applyBorder="0" applyAlignment="0" applyProtection="0"/>
    <xf numFmtId="43" fontId="36" fillId="0" borderId="0" applyFont="0" applyFill="0" applyBorder="0" applyAlignment="0" applyProtection="0"/>
    <xf numFmtId="0" fontId="36" fillId="47" borderId="0" applyNumberFormat="0" applyBorder="0" applyAlignment="0" applyProtection="0"/>
    <xf numFmtId="4" fontId="31" fillId="38" borderId="124">
      <alignment horizontal="right" vertical="center"/>
    </xf>
    <xf numFmtId="0" fontId="38" fillId="62" borderId="121" applyNumberFormat="0" applyFont="0" applyAlignment="0" applyProtection="0"/>
    <xf numFmtId="0" fontId="60" fillId="59" borderId="126" applyNumberFormat="0" applyAlignment="0" applyProtection="0"/>
    <xf numFmtId="0" fontId="1" fillId="27" borderId="0" applyNumberFormat="0" applyBorder="0" applyAlignment="0" applyProtection="0"/>
    <xf numFmtId="0" fontId="36" fillId="42" borderId="0" applyNumberFormat="0" applyBorder="0" applyAlignment="0" applyProtection="0"/>
    <xf numFmtId="0" fontId="1" fillId="2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49" fontId="33" fillId="0" borderId="123" applyNumberFormat="0" applyFont="0" applyFill="0" applyBorder="0" applyProtection="0">
      <alignment horizontal="left" vertical="center" indent="5"/>
    </xf>
    <xf numFmtId="0" fontId="1" fillId="19" borderId="0" applyNumberFormat="0" applyBorder="0" applyAlignment="0" applyProtection="0"/>
    <xf numFmtId="43" fontId="19" fillId="0" borderId="0" applyFont="0" applyFill="0" applyBorder="0" applyAlignment="0" applyProtection="0"/>
    <xf numFmtId="0" fontId="1" fillId="19" borderId="0" applyNumberFormat="0" applyBorder="0" applyAlignment="0" applyProtection="0"/>
    <xf numFmtId="43" fontId="36" fillId="0" borderId="0" applyFont="0" applyFill="0" applyBorder="0" applyAlignment="0" applyProtection="0"/>
    <xf numFmtId="0" fontId="1" fillId="21" borderId="0" applyNumberFormat="0" applyBorder="0" applyAlignment="0" applyProtection="0"/>
    <xf numFmtId="43" fontId="36" fillId="0" borderId="0" applyFont="0" applyFill="0" applyBorder="0" applyAlignment="0" applyProtection="0"/>
    <xf numFmtId="0" fontId="33" fillId="36" borderId="123">
      <alignment horizontal="left" vertical="center"/>
    </xf>
    <xf numFmtId="0" fontId="36" fillId="47" borderId="0" applyNumberFormat="0" applyBorder="0" applyAlignment="0" applyProtection="0"/>
    <xf numFmtId="0" fontId="36" fillId="48" borderId="0" applyNumberFormat="0" applyBorder="0" applyAlignment="0" applyProtection="0"/>
    <xf numFmtId="0" fontId="1" fillId="24" borderId="0" applyNumberFormat="0" applyBorder="0" applyAlignment="0" applyProtection="0"/>
    <xf numFmtId="0" fontId="1" fillId="33" borderId="0" applyNumberFormat="0" applyBorder="0" applyAlignment="0" applyProtection="0"/>
    <xf numFmtId="0" fontId="1" fillId="24" borderId="0" applyNumberFormat="0" applyBorder="0" applyAlignment="0" applyProtection="0"/>
    <xf numFmtId="0" fontId="36" fillId="47" borderId="0" applyNumberFormat="0" applyBorder="0" applyAlignment="0" applyProtection="0"/>
    <xf numFmtId="0" fontId="47" fillId="46" borderId="119" applyNumberFormat="0" applyAlignment="0" applyProtection="0"/>
    <xf numFmtId="0" fontId="36" fillId="44" borderId="0" applyNumberFormat="0" applyBorder="0" applyAlignment="0" applyProtection="0"/>
    <xf numFmtId="0" fontId="26" fillId="17" borderId="10" applyNumberFormat="0" applyAlignment="0" applyProtection="0"/>
    <xf numFmtId="0" fontId="36" fillId="47" borderId="0" applyNumberFormat="0" applyBorder="0" applyAlignment="0" applyProtection="0"/>
    <xf numFmtId="0" fontId="36" fillId="42" borderId="0" applyNumberFormat="0" applyBorder="0" applyAlignment="0" applyProtection="0"/>
    <xf numFmtId="0" fontId="1" fillId="27" borderId="0" applyNumberFormat="0" applyBorder="0" applyAlignment="0" applyProtection="0"/>
    <xf numFmtId="0" fontId="44" fillId="59" borderId="119" applyNumberFormat="0" applyAlignment="0" applyProtection="0"/>
    <xf numFmtId="0" fontId="31" fillId="38" borderId="123">
      <alignment horizontal="right" vertical="center"/>
    </xf>
    <xf numFmtId="0" fontId="19" fillId="62" borderId="121" applyNumberFormat="0" applyFont="0" applyAlignment="0" applyProtection="0"/>
    <xf numFmtId="0" fontId="36" fillId="48" borderId="0" applyNumberFormat="0" applyBorder="0" applyAlignment="0" applyProtection="0"/>
    <xf numFmtId="0" fontId="63" fillId="0" borderId="120" applyNumberFormat="0" applyFill="0" applyAlignment="0" applyProtection="0"/>
    <xf numFmtId="43" fontId="19" fillId="0" borderId="0" applyFont="0" applyFill="0" applyBorder="0" applyAlignment="0" applyProtection="0"/>
    <xf numFmtId="0" fontId="56" fillId="46" borderId="119" applyNumberFormat="0" applyAlignment="0" applyProtection="0"/>
    <xf numFmtId="0" fontId="1" fillId="19" borderId="0" applyNumberFormat="0" applyBorder="0" applyAlignment="0" applyProtection="0"/>
    <xf numFmtId="0" fontId="43" fillId="59" borderId="119" applyNumberFormat="0" applyAlignment="0" applyProtection="0"/>
    <xf numFmtId="0" fontId="36" fillId="44" borderId="0" applyNumberFormat="0" applyBorder="0" applyAlignment="0" applyProtection="0"/>
    <xf numFmtId="0" fontId="36" fillId="47" borderId="0" applyNumberFormat="0" applyBorder="0" applyAlignment="0" applyProtection="0"/>
    <xf numFmtId="0" fontId="36" fillId="43" borderId="0" applyNumberFormat="0" applyBorder="0" applyAlignment="0" applyProtection="0"/>
    <xf numFmtId="0" fontId="36" fillId="46" borderId="0" applyNumberFormat="0" applyBorder="0" applyAlignment="0" applyProtection="0"/>
    <xf numFmtId="43" fontId="19" fillId="0" borderId="0" applyFont="0" applyFill="0" applyBorder="0" applyAlignment="0" applyProtection="0"/>
    <xf numFmtId="0" fontId="36" fillId="47" borderId="0" applyNumberFormat="0" applyBorder="0" applyAlignment="0" applyProtection="0"/>
    <xf numFmtId="0" fontId="44" fillId="59" borderId="119" applyNumberFormat="0" applyAlignment="0" applyProtection="0"/>
    <xf numFmtId="0" fontId="31" fillId="36" borderId="122">
      <alignment horizontal="right" vertical="center"/>
    </xf>
    <xf numFmtId="0" fontId="38" fillId="62" borderId="121" applyNumberFormat="0" applyFont="0" applyAlignment="0" applyProtection="0"/>
    <xf numFmtId="0" fontId="47" fillId="46" borderId="119" applyNumberFormat="0" applyAlignment="0" applyProtection="0"/>
    <xf numFmtId="0" fontId="36" fillId="43" borderId="0" applyNumberFormat="0" applyBorder="0" applyAlignment="0" applyProtection="0"/>
    <xf numFmtId="0" fontId="36" fillId="62" borderId="0" applyNumberFormat="0" applyBorder="0" applyAlignment="0" applyProtection="0"/>
    <xf numFmtId="0" fontId="1" fillId="30" borderId="0" applyNumberFormat="0" applyBorder="0" applyAlignment="0" applyProtection="0"/>
    <xf numFmtId="0" fontId="35" fillId="36" borderId="122">
      <alignment horizontal="right" vertical="center"/>
    </xf>
    <xf numFmtId="0" fontId="36" fillId="62" borderId="0" applyNumberFormat="0" applyBorder="0" applyAlignment="0" applyProtection="0"/>
    <xf numFmtId="4" fontId="31" fillId="38" borderId="124">
      <alignment horizontal="right" vertical="center"/>
    </xf>
    <xf numFmtId="0" fontId="56" fillId="46" borderId="119" applyNumberFormat="0" applyAlignment="0" applyProtection="0"/>
    <xf numFmtId="0" fontId="60" fillId="59" borderId="126" applyNumberFormat="0" applyAlignment="0" applyProtection="0"/>
    <xf numFmtId="0" fontId="1" fillId="3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38" fillId="62" borderId="121" applyNumberFormat="0" applyFont="0" applyAlignment="0" applyProtection="0"/>
    <xf numFmtId="0" fontId="36" fillId="47" borderId="0" applyNumberFormat="0" applyBorder="0" applyAlignment="0" applyProtection="0"/>
    <xf numFmtId="0" fontId="1" fillId="21" borderId="0" applyNumberFormat="0" applyBorder="0" applyAlignment="0" applyProtection="0"/>
    <xf numFmtId="0" fontId="36" fillId="47"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36"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4" fontId="31" fillId="38" borderId="124">
      <alignment horizontal="right" vertical="center"/>
    </xf>
    <xf numFmtId="4" fontId="31" fillId="38" borderId="124">
      <alignment horizontal="right" vertical="center"/>
    </xf>
    <xf numFmtId="0" fontId="36" fillId="47" borderId="0" applyNumberFormat="0" applyBorder="0" applyAlignment="0" applyProtection="0"/>
    <xf numFmtId="0" fontId="36" fillId="42" borderId="0" applyNumberFormat="0" applyBorder="0" applyAlignment="0" applyProtection="0"/>
    <xf numFmtId="0" fontId="36" fillId="47" borderId="0" applyNumberFormat="0" applyBorder="0" applyAlignment="0" applyProtection="0"/>
    <xf numFmtId="0" fontId="47" fillId="46" borderId="119" applyNumberFormat="0" applyAlignment="0" applyProtection="0"/>
    <xf numFmtId="4" fontId="31" fillId="38" borderId="122">
      <alignment horizontal="right" vertical="center"/>
    </xf>
    <xf numFmtId="0" fontId="63" fillId="0" borderId="120" applyNumberFormat="0" applyFill="0" applyAlignment="0" applyProtection="0"/>
    <xf numFmtId="0" fontId="1" fillId="18" borderId="0" applyNumberFormat="0" applyBorder="0" applyAlignment="0" applyProtection="0"/>
    <xf numFmtId="0" fontId="36" fillId="62" borderId="0" applyNumberFormat="0" applyBorder="0" applyAlignment="0" applyProtection="0"/>
    <xf numFmtId="183" fontId="36" fillId="59" borderId="0" applyNumberFormat="0" applyBorder="0" applyAlignment="0" applyProtection="0"/>
    <xf numFmtId="0" fontId="33" fillId="0" borderId="122" applyNumberFormat="0" applyFill="0" applyAlignment="0" applyProtection="0"/>
    <xf numFmtId="0" fontId="48" fillId="0" borderId="120" applyNumberFormat="0" applyFill="0" applyAlignment="0" applyProtection="0"/>
    <xf numFmtId="0" fontId="1" fillId="19" borderId="0" applyNumberFormat="0" applyBorder="0" applyAlignment="0" applyProtection="0"/>
    <xf numFmtId="0" fontId="4" fillId="32" borderId="0" applyNumberFormat="0" applyBorder="0" applyAlignment="0" applyProtection="0"/>
    <xf numFmtId="0" fontId="36" fillId="46" borderId="0" applyNumberFormat="0" applyBorder="0" applyAlignment="0" applyProtection="0"/>
    <xf numFmtId="0" fontId="31" fillId="38" borderId="122">
      <alignment horizontal="right" vertical="center"/>
    </xf>
    <xf numFmtId="0" fontId="1" fillId="24" borderId="0" applyNumberFormat="0" applyBorder="0" applyAlignment="0" applyProtection="0"/>
    <xf numFmtId="0" fontId="36" fillId="46" borderId="0" applyNumberFormat="0" applyBorder="0" applyAlignment="0" applyProtection="0"/>
    <xf numFmtId="0" fontId="1" fillId="21" borderId="0" applyNumberFormat="0" applyBorder="0" applyAlignment="0" applyProtection="0"/>
    <xf numFmtId="0" fontId="31" fillId="36" borderId="122">
      <alignment horizontal="right" vertical="center"/>
    </xf>
    <xf numFmtId="0" fontId="33" fillId="0" borderId="122" applyNumberFormat="0" applyFill="0" applyAlignment="0" applyProtection="0"/>
    <xf numFmtId="0" fontId="1" fillId="18"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1" fillId="24" borderId="0" applyNumberFormat="0" applyBorder="0" applyAlignment="0" applyProtection="0"/>
    <xf numFmtId="49" fontId="33" fillId="0" borderId="122" applyNumberFormat="0" applyFont="0" applyFill="0" applyBorder="0" applyProtection="0">
      <alignment horizontal="left" vertical="center" indent="2"/>
    </xf>
    <xf numFmtId="43" fontId="36" fillId="0" borderId="0" applyFont="0" applyFill="0" applyBorder="0" applyAlignment="0" applyProtection="0"/>
    <xf numFmtId="4" fontId="31" fillId="38" borderId="122">
      <alignment horizontal="right" vertical="center"/>
    </xf>
    <xf numFmtId="49" fontId="33" fillId="0" borderId="123" applyNumberFormat="0" applyFont="0" applyFill="0" applyBorder="0" applyProtection="0">
      <alignment horizontal="left" vertical="center" indent="5"/>
    </xf>
    <xf numFmtId="0" fontId="1" fillId="19" borderId="0" applyNumberFormat="0" applyBorder="0" applyAlignment="0" applyProtection="0"/>
    <xf numFmtId="0" fontId="36" fillId="47" borderId="0" applyNumberFormat="0" applyBorder="0" applyAlignment="0" applyProtection="0"/>
    <xf numFmtId="4" fontId="33" fillId="0" borderId="122">
      <alignment horizontal="right" vertical="center"/>
    </xf>
    <xf numFmtId="0" fontId="36" fillId="45" borderId="0" applyNumberFormat="0" applyBorder="0" applyAlignment="0" applyProtection="0"/>
    <xf numFmtId="49" fontId="33" fillId="0" borderId="122" applyNumberFormat="0" applyFont="0" applyFill="0" applyBorder="0" applyProtection="0">
      <alignment horizontal="left" vertical="center" indent="2"/>
    </xf>
    <xf numFmtId="0" fontId="36" fillId="44" borderId="0" applyNumberFormat="0" applyBorder="0" applyAlignment="0" applyProtection="0"/>
    <xf numFmtId="183" fontId="36" fillId="48" borderId="0" applyNumberFormat="0" applyBorder="0" applyAlignment="0" applyProtection="0"/>
    <xf numFmtId="0" fontId="43" fillId="59" borderId="119" applyNumberFormat="0" applyAlignment="0" applyProtection="0"/>
    <xf numFmtId="0" fontId="1" fillId="27" borderId="0" applyNumberFormat="0" applyBorder="0" applyAlignment="0" applyProtection="0"/>
    <xf numFmtId="0" fontId="1" fillId="30" borderId="0" applyNumberFormat="0" applyBorder="0" applyAlignment="0" applyProtection="0"/>
    <xf numFmtId="4" fontId="35" fillId="36" borderId="122">
      <alignment horizontal="right" vertical="center"/>
    </xf>
    <xf numFmtId="0" fontId="56" fillId="46" borderId="119" applyNumberFormat="0" applyAlignment="0" applyProtection="0"/>
    <xf numFmtId="183" fontId="36" fillId="42" borderId="0" applyNumberFormat="0" applyBorder="0" applyAlignment="0" applyProtection="0"/>
    <xf numFmtId="0" fontId="154" fillId="0" borderId="0"/>
    <xf numFmtId="43" fontId="98" fillId="0" borderId="63" applyFont="0" applyAlignment="0">
      <alignment vertical="top" wrapText="1"/>
    </xf>
    <xf numFmtId="0" fontId="36" fillId="44" borderId="0" applyNumberFormat="0" applyBorder="0" applyAlignment="0" applyProtection="0"/>
    <xf numFmtId="4" fontId="33" fillId="0" borderId="122">
      <alignment horizontal="right" vertical="center"/>
    </xf>
    <xf numFmtId="0" fontId="33" fillId="38" borderId="125">
      <alignment horizontal="left" vertical="center" wrapText="1" indent="2"/>
    </xf>
    <xf numFmtId="0" fontId="1" fillId="24" borderId="0" applyNumberFormat="0" applyBorder="0" applyAlignment="0" applyProtection="0"/>
    <xf numFmtId="0" fontId="1" fillId="19" borderId="0" applyNumberFormat="0" applyBorder="0" applyAlignment="0" applyProtection="0"/>
    <xf numFmtId="0" fontId="36" fillId="46" borderId="0" applyNumberFormat="0" applyBorder="0" applyAlignment="0" applyProtection="0"/>
    <xf numFmtId="0" fontId="4" fillId="23" borderId="0" applyNumberFormat="0" applyBorder="0" applyAlignment="0" applyProtection="0"/>
    <xf numFmtId="0" fontId="36" fillId="46" borderId="0" applyNumberFormat="0" applyBorder="0" applyAlignment="0" applyProtection="0"/>
    <xf numFmtId="0" fontId="36" fillId="42" borderId="0" applyNumberFormat="0" applyBorder="0" applyAlignment="0" applyProtection="0"/>
    <xf numFmtId="0" fontId="60" fillId="59" borderId="126" applyNumberFormat="0" applyAlignment="0" applyProtection="0"/>
    <xf numFmtId="0" fontId="60" fillId="59" borderId="126" applyNumberFormat="0" applyAlignment="0" applyProtection="0"/>
    <xf numFmtId="4" fontId="31" fillId="38" borderId="122">
      <alignment horizontal="right" vertical="center"/>
    </xf>
    <xf numFmtId="0" fontId="31" fillId="38" borderId="122">
      <alignment horizontal="right" vertical="center"/>
    </xf>
    <xf numFmtId="0" fontId="36" fillId="48" borderId="0" applyNumberFormat="0" applyBorder="0" applyAlignment="0" applyProtection="0"/>
    <xf numFmtId="0" fontId="1" fillId="33" borderId="0" applyNumberFormat="0" applyBorder="0" applyAlignment="0" applyProtection="0"/>
    <xf numFmtId="0" fontId="36" fillId="47" borderId="0" applyNumberFormat="0" applyBorder="0" applyAlignment="0" applyProtection="0"/>
    <xf numFmtId="4" fontId="33" fillId="0" borderId="122" applyFill="0" applyBorder="0" applyProtection="0">
      <alignment horizontal="right" vertical="center"/>
    </xf>
    <xf numFmtId="0" fontId="36" fillId="47" borderId="0" applyNumberFormat="0" applyBorder="0" applyAlignment="0" applyProtection="0"/>
    <xf numFmtId="0" fontId="33" fillId="0" borderId="122" applyNumberFormat="0" applyFill="0" applyAlignment="0" applyProtection="0"/>
    <xf numFmtId="183" fontId="36" fillId="62"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31" fillId="38" borderId="122">
      <alignment horizontal="right" vertical="center"/>
    </xf>
    <xf numFmtId="0" fontId="1" fillId="33" borderId="0" applyNumberFormat="0" applyBorder="0" applyAlignment="0" applyProtection="0"/>
    <xf numFmtId="0" fontId="36" fillId="44" borderId="0" applyNumberFormat="0" applyBorder="0" applyAlignment="0" applyProtection="0"/>
    <xf numFmtId="0" fontId="36" fillId="43" borderId="0" applyNumberFormat="0" applyBorder="0" applyAlignment="0" applyProtection="0"/>
    <xf numFmtId="49" fontId="33" fillId="0" borderId="123" applyNumberFormat="0" applyFont="0" applyFill="0" applyBorder="0" applyProtection="0">
      <alignment horizontal="left" vertical="center" indent="5"/>
    </xf>
    <xf numFmtId="0" fontId="43" fillId="59" borderId="119" applyNumberFormat="0" applyAlignment="0" applyProtection="0"/>
    <xf numFmtId="0" fontId="38" fillId="62" borderId="121" applyNumberFormat="0" applyFont="0" applyAlignment="0" applyProtection="0"/>
    <xf numFmtId="0" fontId="36" fillId="46"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0" fontId="31" fillId="38" borderId="122">
      <alignment horizontal="right" vertical="center"/>
    </xf>
    <xf numFmtId="4" fontId="35" fillId="36" borderId="122">
      <alignment horizontal="right" vertical="center"/>
    </xf>
    <xf numFmtId="0" fontId="36" fillId="46" borderId="0" applyNumberFormat="0" applyBorder="0" applyAlignment="0" applyProtection="0"/>
    <xf numFmtId="0" fontId="36" fillId="41" borderId="0" applyNumberFormat="0" applyBorder="0" applyAlignment="0" applyProtection="0"/>
    <xf numFmtId="183" fontId="36" fillId="46"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48" fillId="0" borderId="120" applyNumberFormat="0" applyFill="0" applyAlignment="0" applyProtection="0"/>
    <xf numFmtId="0" fontId="31" fillId="36" borderId="122">
      <alignment horizontal="right" vertical="center"/>
    </xf>
    <xf numFmtId="0" fontId="36" fillId="46" borderId="0" applyNumberFormat="0" applyBorder="0" applyAlignment="0" applyProtection="0"/>
    <xf numFmtId="0" fontId="63" fillId="0" borderId="120" applyNumberFormat="0" applyFill="0" applyAlignment="0" applyProtection="0"/>
    <xf numFmtId="0" fontId="36" fillId="43" borderId="0" applyNumberFormat="0" applyBorder="0" applyAlignment="0" applyProtection="0"/>
    <xf numFmtId="0" fontId="48" fillId="0" borderId="120" applyNumberFormat="0" applyFill="0" applyAlignment="0" applyProtection="0"/>
    <xf numFmtId="0" fontId="43" fillId="59" borderId="119" applyNumberFormat="0" applyAlignment="0" applyProtection="0"/>
    <xf numFmtId="49" fontId="33" fillId="0" borderId="122" applyNumberFormat="0" applyFont="0" applyFill="0" applyBorder="0" applyProtection="0">
      <alignment horizontal="left" vertical="center" indent="2"/>
    </xf>
    <xf numFmtId="0" fontId="27" fillId="0" borderId="0" applyNumberFormat="0" applyFill="0" applyBorder="0" applyAlignment="0" applyProtection="0"/>
    <xf numFmtId="0" fontId="36" fillId="47" borderId="0" applyNumberFormat="0" applyBorder="0" applyAlignment="0" applyProtection="0"/>
    <xf numFmtId="44" fontId="19" fillId="0" borderId="0" applyFont="0" applyFill="0" applyBorder="0" applyAlignment="0" applyProtection="0"/>
    <xf numFmtId="0" fontId="36" fillId="47" borderId="0" applyNumberFormat="0" applyBorder="0" applyAlignment="0" applyProtection="0"/>
    <xf numFmtId="4" fontId="31" fillId="38" borderId="122">
      <alignment horizontal="right" vertical="center"/>
    </xf>
    <xf numFmtId="0" fontId="36" fillId="46" borderId="0" applyNumberFormat="0" applyBorder="0" applyAlignment="0" applyProtection="0"/>
    <xf numFmtId="0" fontId="36" fillId="47" borderId="0" applyNumberFormat="0" applyBorder="0" applyAlignment="0" applyProtection="0"/>
    <xf numFmtId="0" fontId="36" fillId="46" borderId="0" applyNumberFormat="0" applyBorder="0" applyAlignment="0" applyProtection="0"/>
    <xf numFmtId="0" fontId="31" fillId="38" borderId="122">
      <alignment horizontal="right" vertical="center"/>
    </xf>
    <xf numFmtId="0" fontId="47" fillId="46" borderId="119" applyNumberFormat="0" applyAlignment="0" applyProtection="0"/>
    <xf numFmtId="0" fontId="36" fillId="48" borderId="0" applyNumberFormat="0" applyBorder="0" applyAlignment="0" applyProtection="0"/>
    <xf numFmtId="0" fontId="36" fillId="41" borderId="0" applyNumberFormat="0" applyBorder="0" applyAlignment="0" applyProtection="0"/>
    <xf numFmtId="0" fontId="36" fillId="59" borderId="0" applyNumberFormat="0" applyBorder="0" applyAlignment="0" applyProtection="0"/>
    <xf numFmtId="0" fontId="1" fillId="24" borderId="0" applyNumberFormat="0" applyBorder="0" applyAlignment="0" applyProtection="0"/>
    <xf numFmtId="0" fontId="36" fillId="46" borderId="0" applyNumberFormat="0" applyBorder="0" applyAlignment="0" applyProtection="0"/>
    <xf numFmtId="49" fontId="33" fillId="0" borderId="122" applyNumberFormat="0" applyFont="0" applyFill="0" applyBorder="0" applyProtection="0">
      <alignment horizontal="left" vertical="center" indent="2"/>
    </xf>
    <xf numFmtId="0" fontId="36" fillId="41" borderId="0" applyNumberFormat="0" applyBorder="0" applyAlignment="0" applyProtection="0"/>
    <xf numFmtId="0" fontId="1" fillId="22" borderId="0" applyNumberFormat="0" applyBorder="0" applyAlignment="0" applyProtection="0"/>
    <xf numFmtId="0" fontId="4" fillId="35" borderId="0" applyNumberFormat="0" applyBorder="0" applyAlignment="0" applyProtection="0"/>
    <xf numFmtId="0" fontId="36" fillId="44" borderId="0" applyNumberFormat="0" applyBorder="0" applyAlignment="0" applyProtection="0"/>
    <xf numFmtId="43" fontId="36" fillId="0" borderId="0" applyFont="0" applyFill="0" applyBorder="0" applyAlignment="0" applyProtection="0"/>
    <xf numFmtId="0" fontId="41" fillId="59" borderId="126" applyNumberFormat="0" applyAlignment="0" applyProtection="0"/>
    <xf numFmtId="0" fontId="36" fillId="41" borderId="0" applyNumberFormat="0" applyBorder="0" applyAlignment="0" applyProtection="0"/>
    <xf numFmtId="177" fontId="33" fillId="63" borderId="122" applyNumberFormat="0" applyFont="0" applyBorder="0" applyAlignment="0" applyProtection="0">
      <alignment horizontal="right" vertical="center"/>
    </xf>
    <xf numFmtId="0" fontId="36" fillId="46"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3" fillId="0" borderId="122">
      <alignment horizontal="right" vertical="center"/>
    </xf>
    <xf numFmtId="0" fontId="36" fillId="42" borderId="0" applyNumberFormat="0" applyBorder="0" applyAlignment="0" applyProtection="0"/>
    <xf numFmtId="0" fontId="63" fillId="0" borderId="120" applyNumberFormat="0" applyFill="0" applyAlignment="0" applyProtection="0"/>
    <xf numFmtId="183" fontId="36" fillId="62" borderId="0" applyNumberFormat="0" applyBorder="0" applyAlignment="0" applyProtection="0"/>
    <xf numFmtId="49" fontId="33" fillId="0" borderId="122" applyNumberFormat="0" applyFont="0" applyFill="0" applyBorder="0" applyProtection="0">
      <alignment horizontal="left" vertical="center" indent="2"/>
    </xf>
    <xf numFmtId="0" fontId="36" fillId="42" borderId="0" applyNumberFormat="0" applyBorder="0" applyAlignment="0" applyProtection="0"/>
    <xf numFmtId="0" fontId="44" fillId="59" borderId="119" applyNumberFormat="0" applyAlignment="0" applyProtection="0"/>
    <xf numFmtId="0" fontId="36" fillId="47" borderId="0" applyNumberFormat="0" applyBorder="0" applyAlignment="0" applyProtection="0"/>
    <xf numFmtId="0" fontId="36" fillId="59" borderId="0" applyNumberFormat="0" applyBorder="0" applyAlignment="0" applyProtection="0"/>
    <xf numFmtId="0" fontId="63" fillId="0" borderId="120" applyNumberFormat="0" applyFill="0" applyAlignment="0" applyProtection="0"/>
    <xf numFmtId="0" fontId="1" fillId="21" borderId="0" applyNumberFormat="0" applyBorder="0" applyAlignment="0" applyProtection="0"/>
    <xf numFmtId="0" fontId="63" fillId="0" borderId="120" applyNumberFormat="0" applyFill="0" applyAlignment="0" applyProtection="0"/>
    <xf numFmtId="0" fontId="33" fillId="37" borderId="122"/>
    <xf numFmtId="177" fontId="33" fillId="63" borderId="122" applyNumberFormat="0" applyFont="0" applyBorder="0" applyAlignment="0" applyProtection="0">
      <alignment horizontal="right" vertical="center"/>
    </xf>
    <xf numFmtId="0" fontId="48" fillId="0" borderId="120" applyNumberFormat="0" applyFill="0" applyAlignment="0" applyProtection="0"/>
    <xf numFmtId="183" fontId="36" fillId="46" borderId="0" applyNumberFormat="0" applyBorder="0" applyAlignment="0" applyProtection="0"/>
    <xf numFmtId="0" fontId="36" fillId="45" borderId="0" applyNumberFormat="0" applyBorder="0" applyAlignment="0" applyProtection="0"/>
    <xf numFmtId="0" fontId="47" fillId="46" borderId="119" applyNumberFormat="0" applyAlignment="0" applyProtection="0"/>
    <xf numFmtId="0" fontId="1" fillId="24" borderId="0" applyNumberFormat="0" applyBorder="0" applyAlignment="0" applyProtection="0"/>
    <xf numFmtId="0" fontId="19" fillId="62" borderId="121" applyNumberFormat="0" applyFont="0" applyAlignment="0" applyProtection="0"/>
    <xf numFmtId="0" fontId="1" fillId="24" borderId="0" applyNumberFormat="0" applyBorder="0" applyAlignment="0" applyProtection="0"/>
    <xf numFmtId="4" fontId="33" fillId="37" borderId="122"/>
    <xf numFmtId="0" fontId="36" fillId="41" borderId="0" applyNumberFormat="0" applyBorder="0" applyAlignment="0" applyProtection="0"/>
    <xf numFmtId="0" fontId="1" fillId="21" borderId="0" applyNumberFormat="0" applyBorder="0" applyAlignment="0" applyProtection="0"/>
    <xf numFmtId="0" fontId="1" fillId="28" borderId="0" applyNumberFormat="0" applyBorder="0" applyAlignment="0" applyProtection="0"/>
    <xf numFmtId="0" fontId="31" fillId="38" borderId="124">
      <alignment horizontal="right" vertical="center"/>
    </xf>
    <xf numFmtId="0" fontId="1" fillId="19" borderId="0" applyNumberFormat="0" applyBorder="0" applyAlignment="0" applyProtection="0"/>
    <xf numFmtId="0" fontId="63" fillId="0" borderId="120" applyNumberFormat="0" applyFill="0" applyAlignment="0" applyProtection="0"/>
    <xf numFmtId="0" fontId="31" fillId="38" borderId="122">
      <alignment horizontal="right" vertical="center"/>
    </xf>
    <xf numFmtId="0" fontId="36" fillId="43" borderId="0" applyNumberFormat="0" applyBorder="0" applyAlignment="0" applyProtection="0"/>
    <xf numFmtId="49" fontId="33" fillId="0" borderId="123" applyNumberFormat="0" applyFont="0" applyFill="0" applyBorder="0" applyProtection="0">
      <alignment horizontal="left" vertical="center" indent="5"/>
    </xf>
    <xf numFmtId="0" fontId="1" fillId="30" borderId="0" applyNumberFormat="0" applyBorder="0" applyAlignment="0" applyProtection="0"/>
    <xf numFmtId="0" fontId="33" fillId="0" borderId="122">
      <alignment horizontal="right" vertical="center"/>
    </xf>
    <xf numFmtId="0" fontId="36" fillId="43" borderId="0" applyNumberFormat="0" applyBorder="0" applyAlignment="0" applyProtection="0"/>
    <xf numFmtId="0" fontId="36" fillId="42" borderId="0" applyNumberFormat="0" applyBorder="0" applyAlignment="0" applyProtection="0"/>
    <xf numFmtId="0" fontId="56" fillId="46" borderId="119" applyNumberFormat="0" applyAlignment="0" applyProtection="0"/>
    <xf numFmtId="0" fontId="36" fillId="42" borderId="0" applyNumberFormat="0" applyBorder="0" applyAlignment="0" applyProtection="0"/>
    <xf numFmtId="0" fontId="56" fillId="46" borderId="119" applyNumberFormat="0" applyAlignment="0" applyProtection="0"/>
    <xf numFmtId="0" fontId="1" fillId="34" borderId="0" applyNumberFormat="0" applyBorder="0" applyAlignment="0" applyProtection="0"/>
    <xf numFmtId="4" fontId="31" fillId="38" borderId="124">
      <alignment horizontal="right" vertical="center"/>
    </xf>
    <xf numFmtId="0" fontId="63" fillId="0" borderId="120" applyNumberFormat="0" applyFill="0" applyAlignment="0" applyProtection="0"/>
    <xf numFmtId="0" fontId="31" fillId="38" borderId="124">
      <alignment horizontal="right" vertical="center"/>
    </xf>
    <xf numFmtId="183" fontId="36" fillId="131" borderId="0" applyNumberFormat="0" applyBorder="0" applyAlignment="0" applyProtection="0"/>
    <xf numFmtId="0" fontId="36" fillId="46" borderId="0" applyNumberFormat="0" applyBorder="0" applyAlignment="0" applyProtection="0"/>
    <xf numFmtId="0" fontId="43" fillId="59" borderId="119" applyNumberFormat="0" applyAlignment="0" applyProtection="0"/>
    <xf numFmtId="0" fontId="31" fillId="38" borderId="123">
      <alignment horizontal="right" vertical="center"/>
    </xf>
    <xf numFmtId="4" fontId="35" fillId="36" borderId="122">
      <alignment horizontal="right" vertical="center"/>
    </xf>
    <xf numFmtId="4" fontId="31" fillId="38" borderId="123">
      <alignment horizontal="right" vertical="center"/>
    </xf>
    <xf numFmtId="0" fontId="36" fillId="47" borderId="0" applyNumberFormat="0" applyBorder="0" applyAlignment="0" applyProtection="0"/>
    <xf numFmtId="0" fontId="56" fillId="46" borderId="119" applyNumberFormat="0" applyAlignment="0" applyProtection="0"/>
    <xf numFmtId="0" fontId="36" fillId="62" borderId="0" applyNumberFormat="0" applyBorder="0" applyAlignment="0" applyProtection="0"/>
    <xf numFmtId="0" fontId="33" fillId="0" borderId="122" applyNumberFormat="0" applyFill="0" applyAlignment="0" applyProtection="0"/>
    <xf numFmtId="0" fontId="33" fillId="38" borderId="125">
      <alignment horizontal="left" vertical="center" wrapText="1" indent="2"/>
    </xf>
    <xf numFmtId="0" fontId="33" fillId="37" borderId="122"/>
    <xf numFmtId="0" fontId="36" fillId="46" borderId="0" applyNumberFormat="0" applyBorder="0" applyAlignment="0" applyProtection="0"/>
    <xf numFmtId="0" fontId="31" fillId="38" borderId="122">
      <alignment horizontal="right" vertical="center"/>
    </xf>
    <xf numFmtId="0" fontId="36" fillId="47" borderId="0" applyNumberFormat="0" applyBorder="0" applyAlignment="0" applyProtection="0"/>
    <xf numFmtId="0" fontId="1" fillId="21" borderId="0" applyNumberFormat="0" applyBorder="0" applyAlignment="0" applyProtection="0"/>
    <xf numFmtId="177" fontId="33" fillId="63" borderId="122" applyNumberFormat="0" applyFont="0" applyBorder="0" applyAlignment="0" applyProtection="0">
      <alignment horizontal="right" vertical="center"/>
    </xf>
    <xf numFmtId="0" fontId="33" fillId="38" borderId="125">
      <alignment horizontal="left" vertical="center" wrapText="1" indent="2"/>
    </xf>
    <xf numFmtId="0" fontId="1" fillId="18" borderId="0" applyNumberFormat="0" applyBorder="0" applyAlignment="0" applyProtection="0"/>
    <xf numFmtId="0" fontId="1" fillId="28" borderId="0" applyNumberFormat="0" applyBorder="0" applyAlignment="0" applyProtection="0"/>
    <xf numFmtId="0" fontId="1" fillId="21" borderId="0" applyNumberFormat="0" applyBorder="0" applyAlignment="0" applyProtection="0"/>
    <xf numFmtId="0" fontId="44" fillId="59" borderId="119" applyNumberFormat="0" applyAlignment="0" applyProtection="0"/>
    <xf numFmtId="0" fontId="36" fillId="42" borderId="0" applyNumberFormat="0" applyBorder="0" applyAlignment="0" applyProtection="0"/>
    <xf numFmtId="0" fontId="36" fillId="46" borderId="0" applyNumberFormat="0" applyBorder="0" applyAlignment="0" applyProtection="0"/>
    <xf numFmtId="0" fontId="36" fillId="43" borderId="0" applyNumberFormat="0" applyBorder="0" applyAlignment="0" applyProtection="0"/>
    <xf numFmtId="183" fontId="36" fillId="47" borderId="0" applyNumberFormat="0" applyBorder="0" applyAlignment="0" applyProtection="0"/>
    <xf numFmtId="0" fontId="38" fillId="62" borderId="121" applyNumberFormat="0" applyFont="0" applyAlignment="0" applyProtection="0"/>
    <xf numFmtId="4" fontId="33" fillId="37" borderId="122"/>
    <xf numFmtId="0" fontId="1" fillId="19" borderId="0" applyNumberFormat="0" applyBorder="0" applyAlignment="0" applyProtection="0"/>
    <xf numFmtId="0" fontId="36" fillId="47" borderId="0" applyNumberFormat="0" applyBorder="0" applyAlignment="0" applyProtection="0"/>
    <xf numFmtId="0" fontId="36" fillId="41" borderId="0" applyNumberFormat="0" applyBorder="0" applyAlignment="0" applyProtection="0"/>
    <xf numFmtId="0" fontId="4" fillId="26" borderId="0" applyNumberFormat="0" applyBorder="0" applyAlignment="0" applyProtection="0"/>
    <xf numFmtId="4" fontId="35" fillId="36" borderId="122">
      <alignment horizontal="right" vertical="center"/>
    </xf>
    <xf numFmtId="0" fontId="35" fillId="36" borderId="122">
      <alignment horizontal="right" vertical="center"/>
    </xf>
    <xf numFmtId="0" fontId="33" fillId="37" borderId="122"/>
    <xf numFmtId="43" fontId="19" fillId="0" borderId="0" applyFont="0" applyFill="0" applyBorder="0" applyAlignment="0" applyProtection="0"/>
    <xf numFmtId="4" fontId="35" fillId="36" borderId="122">
      <alignment horizontal="right" vertical="center"/>
    </xf>
    <xf numFmtId="0" fontId="1" fillId="27" borderId="0" applyNumberFormat="0" applyBorder="0" applyAlignment="0" applyProtection="0"/>
    <xf numFmtId="0" fontId="56" fillId="46" borderId="119" applyNumberFormat="0" applyAlignment="0" applyProtection="0"/>
    <xf numFmtId="4" fontId="31" fillId="38" borderId="124">
      <alignment horizontal="right" vertical="center"/>
    </xf>
    <xf numFmtId="0" fontId="27" fillId="0" borderId="0" applyNumberFormat="0" applyFill="0" applyBorder="0" applyAlignment="0" applyProtection="0"/>
    <xf numFmtId="0" fontId="36" fillId="46" borderId="0" applyNumberFormat="0" applyBorder="0" applyAlignment="0" applyProtection="0"/>
    <xf numFmtId="0" fontId="1" fillId="18" borderId="0" applyNumberFormat="0" applyBorder="0" applyAlignment="0" applyProtection="0"/>
    <xf numFmtId="0" fontId="36" fillId="41" borderId="0" applyNumberFormat="0" applyBorder="0" applyAlignment="0" applyProtection="0"/>
    <xf numFmtId="0" fontId="1" fillId="33" borderId="0" applyNumberFormat="0" applyBorder="0" applyAlignment="0" applyProtection="0"/>
    <xf numFmtId="0" fontId="63" fillId="0" borderId="120" applyNumberFormat="0" applyFill="0" applyAlignment="0" applyProtection="0"/>
    <xf numFmtId="0" fontId="4" fillId="32" borderId="0" applyNumberFormat="0" applyBorder="0" applyAlignment="0" applyProtection="0"/>
    <xf numFmtId="0" fontId="36" fillId="46" borderId="0" applyNumberFormat="0" applyBorder="0" applyAlignment="0" applyProtection="0"/>
    <xf numFmtId="0" fontId="1" fillId="18" borderId="0" applyNumberFormat="0" applyBorder="0" applyAlignment="0" applyProtection="0"/>
    <xf numFmtId="0" fontId="44" fillId="59" borderId="119" applyNumberFormat="0" applyAlignment="0" applyProtection="0"/>
    <xf numFmtId="0" fontId="1" fillId="19" borderId="0" applyNumberFormat="0" applyBorder="0" applyAlignment="0" applyProtection="0"/>
    <xf numFmtId="0" fontId="36" fillId="46" borderId="0" applyNumberFormat="0" applyBorder="0" applyAlignment="0" applyProtection="0"/>
    <xf numFmtId="0" fontId="36" fillId="43" borderId="0" applyNumberFormat="0" applyBorder="0" applyAlignment="0" applyProtection="0"/>
    <xf numFmtId="0" fontId="28" fillId="0" borderId="0" applyNumberFormat="0" applyFill="0" applyBorder="0" applyAlignment="0" applyProtection="0"/>
    <xf numFmtId="0" fontId="56" fillId="46" borderId="119" applyNumberFormat="0" applyAlignment="0" applyProtection="0"/>
    <xf numFmtId="0" fontId="48" fillId="0" borderId="120" applyNumberFormat="0" applyFill="0" applyAlignment="0" applyProtection="0"/>
    <xf numFmtId="0" fontId="1" fillId="19" borderId="0" applyNumberFormat="0" applyBorder="0" applyAlignment="0" applyProtection="0"/>
    <xf numFmtId="0" fontId="36" fillId="43" borderId="0" applyNumberFormat="0" applyBorder="0" applyAlignment="0" applyProtection="0"/>
    <xf numFmtId="0" fontId="33" fillId="0" borderId="125">
      <alignment horizontal="left" vertical="center" wrapText="1" indent="2"/>
    </xf>
    <xf numFmtId="0" fontId="4" fillId="20" borderId="0" applyNumberFormat="0" applyBorder="0" applyAlignment="0" applyProtection="0"/>
    <xf numFmtId="0" fontId="1" fillId="21" borderId="0" applyNumberFormat="0" applyBorder="0" applyAlignment="0" applyProtection="0"/>
    <xf numFmtId="0" fontId="26" fillId="17" borderId="10" applyNumberFormat="0" applyAlignment="0" applyProtection="0"/>
    <xf numFmtId="0" fontId="36" fillId="44" borderId="0" applyNumberFormat="0" applyBorder="0" applyAlignment="0" applyProtection="0"/>
    <xf numFmtId="0" fontId="1" fillId="30" borderId="0" applyNumberFormat="0" applyBorder="0" applyAlignment="0" applyProtection="0"/>
    <xf numFmtId="0" fontId="36" fillId="47" borderId="0" applyNumberFormat="0" applyBorder="0" applyAlignment="0" applyProtection="0"/>
    <xf numFmtId="0" fontId="1" fillId="21" borderId="0" applyNumberFormat="0" applyBorder="0" applyAlignment="0" applyProtection="0"/>
    <xf numFmtId="0" fontId="38" fillId="62" borderId="121" applyNumberFormat="0" applyFont="0" applyAlignment="0" applyProtection="0"/>
    <xf numFmtId="0" fontId="1" fillId="25" borderId="0" applyNumberFormat="0" applyBorder="0" applyAlignment="0" applyProtection="0"/>
    <xf numFmtId="0" fontId="36" fillId="47" borderId="0" applyNumberFormat="0" applyBorder="0" applyAlignment="0" applyProtection="0"/>
    <xf numFmtId="0" fontId="33" fillId="37" borderId="122"/>
    <xf numFmtId="0" fontId="36" fillId="47" borderId="0" applyNumberFormat="0" applyBorder="0" applyAlignment="0" applyProtection="0"/>
    <xf numFmtId="4" fontId="33" fillId="0" borderId="122" applyFill="0" applyBorder="0" applyProtection="0">
      <alignment horizontal="right" vertical="center"/>
    </xf>
    <xf numFmtId="43" fontId="19" fillId="0" borderId="0" applyFont="0" applyFill="0" applyBorder="0" applyAlignment="0" applyProtection="0"/>
    <xf numFmtId="0" fontId="33" fillId="37" borderId="122"/>
    <xf numFmtId="0" fontId="36" fillId="42" borderId="0" applyNumberFormat="0" applyBorder="0" applyAlignment="0" applyProtection="0"/>
    <xf numFmtId="0" fontId="47" fillId="46" borderId="119" applyNumberFormat="0" applyAlignment="0" applyProtection="0"/>
    <xf numFmtId="0" fontId="36" fillId="59" borderId="0" applyNumberFormat="0" applyBorder="0" applyAlignment="0" applyProtection="0"/>
    <xf numFmtId="0" fontId="36" fillId="62" borderId="0" applyNumberFormat="0" applyBorder="0" applyAlignment="0" applyProtection="0"/>
    <xf numFmtId="4" fontId="31" fillId="38" borderId="122">
      <alignment horizontal="right" vertical="center"/>
    </xf>
    <xf numFmtId="0" fontId="36" fillId="42"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4" fontId="33" fillId="0" borderId="122">
      <alignment horizontal="right" vertical="center"/>
    </xf>
    <xf numFmtId="0" fontId="36" fillId="41" borderId="0" applyNumberFormat="0" applyBorder="0" applyAlignment="0" applyProtection="0"/>
    <xf numFmtId="0" fontId="36" fillId="41" borderId="0" applyNumberFormat="0" applyBorder="0" applyAlignment="0" applyProtection="0"/>
    <xf numFmtId="0" fontId="1" fillId="19" borderId="0" applyNumberFormat="0" applyBorder="0" applyAlignment="0" applyProtection="0"/>
    <xf numFmtId="0" fontId="36" fillId="44" borderId="0" applyNumberFormat="0" applyBorder="0" applyAlignment="0" applyProtection="0"/>
    <xf numFmtId="0" fontId="63" fillId="0" borderId="120" applyNumberFormat="0" applyFill="0" applyAlignment="0" applyProtection="0"/>
    <xf numFmtId="0" fontId="36" fillId="48" borderId="0" applyNumberFormat="0" applyBorder="0" applyAlignment="0" applyProtection="0"/>
    <xf numFmtId="0" fontId="36" fillId="43" borderId="0" applyNumberFormat="0" applyBorder="0" applyAlignment="0" applyProtection="0"/>
    <xf numFmtId="0" fontId="63" fillId="0" borderId="120" applyNumberFormat="0" applyFill="0" applyAlignment="0" applyProtection="0"/>
    <xf numFmtId="0" fontId="33" fillId="0" borderId="122" applyNumberFormat="0" applyFill="0" applyAlignment="0" applyProtection="0"/>
    <xf numFmtId="0" fontId="36" fillId="43" borderId="0" applyNumberFormat="0" applyBorder="0" applyAlignment="0" applyProtection="0"/>
    <xf numFmtId="0" fontId="36" fillId="43" borderId="0" applyNumberFormat="0" applyBorder="0" applyAlignment="0" applyProtection="0"/>
    <xf numFmtId="0" fontId="36" fillId="41" borderId="0" applyNumberFormat="0" applyBorder="0" applyAlignment="0" applyProtection="0"/>
    <xf numFmtId="4" fontId="31" fillId="36" borderId="122">
      <alignment horizontal="right" vertical="center"/>
    </xf>
    <xf numFmtId="0" fontId="1" fillId="19" borderId="0" applyNumberFormat="0" applyBorder="0" applyAlignment="0" applyProtection="0"/>
    <xf numFmtId="0" fontId="33" fillId="36" borderId="123">
      <alignment horizontal="left" vertical="center"/>
    </xf>
    <xf numFmtId="0" fontId="33" fillId="37" borderId="122"/>
    <xf numFmtId="49" fontId="32" fillId="0" borderId="122" applyNumberFormat="0" applyFill="0" applyBorder="0" applyProtection="0">
      <alignment horizontal="left" vertical="center"/>
    </xf>
    <xf numFmtId="0" fontId="48" fillId="0" borderId="120" applyNumberFormat="0" applyFill="0" applyAlignment="0" applyProtection="0"/>
    <xf numFmtId="0" fontId="36" fillId="43" borderId="0" applyNumberFormat="0" applyBorder="0" applyAlignment="0" applyProtection="0"/>
    <xf numFmtId="0" fontId="36" fillId="41" borderId="0" applyNumberFormat="0" applyBorder="0" applyAlignment="0" applyProtection="0"/>
    <xf numFmtId="0" fontId="36" fillId="62" borderId="0" applyNumberFormat="0" applyBorder="0" applyAlignment="0" applyProtection="0"/>
    <xf numFmtId="0" fontId="1" fillId="19" borderId="0" applyNumberFormat="0" applyBorder="0" applyAlignment="0" applyProtection="0"/>
    <xf numFmtId="0" fontId="47" fillId="46" borderId="119" applyNumberFormat="0" applyAlignment="0" applyProtection="0"/>
    <xf numFmtId="177" fontId="33" fillId="63" borderId="122" applyNumberFormat="0" applyFont="0" applyBorder="0" applyAlignment="0" applyProtection="0">
      <alignment horizontal="right" vertical="center"/>
    </xf>
    <xf numFmtId="0" fontId="36" fillId="42" borderId="0" applyNumberFormat="0" applyBorder="0" applyAlignment="0" applyProtection="0"/>
    <xf numFmtId="0" fontId="31" fillId="36" borderId="122">
      <alignment horizontal="right" vertical="center"/>
    </xf>
    <xf numFmtId="0" fontId="33" fillId="38" borderId="125">
      <alignment horizontal="left" vertical="center" wrapText="1" indent="2"/>
    </xf>
    <xf numFmtId="0" fontId="1" fillId="33" borderId="0" applyNumberFormat="0" applyBorder="0" applyAlignment="0" applyProtection="0"/>
    <xf numFmtId="0" fontId="36" fillId="47"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9" fillId="62" borderId="121" applyNumberFormat="0" applyFont="0" applyAlignment="0" applyProtection="0"/>
    <xf numFmtId="4" fontId="35" fillId="36" borderId="122">
      <alignment horizontal="right" vertical="center"/>
    </xf>
    <xf numFmtId="4" fontId="33" fillId="37" borderId="122"/>
    <xf numFmtId="0" fontId="43" fillId="59" borderId="119" applyNumberFormat="0" applyAlignment="0" applyProtection="0"/>
    <xf numFmtId="0" fontId="1" fillId="24" borderId="0" applyNumberFormat="0" applyBorder="0" applyAlignment="0" applyProtection="0"/>
    <xf numFmtId="0" fontId="33" fillId="0" borderId="122">
      <alignment horizontal="right" vertical="center"/>
    </xf>
    <xf numFmtId="0" fontId="56" fillId="46" borderId="119" applyNumberFormat="0" applyAlignment="0" applyProtection="0"/>
    <xf numFmtId="0" fontId="19" fillId="62" borderId="121" applyNumberFormat="0" applyFont="0" applyAlignment="0" applyProtection="0"/>
    <xf numFmtId="0" fontId="1" fillId="18" borderId="0" applyNumberFormat="0" applyBorder="0" applyAlignment="0" applyProtection="0"/>
    <xf numFmtId="0" fontId="36" fillId="42" borderId="0" applyNumberFormat="0" applyBorder="0" applyAlignment="0" applyProtection="0"/>
    <xf numFmtId="0" fontId="31" fillId="38" borderId="123">
      <alignment horizontal="right" vertical="center"/>
    </xf>
    <xf numFmtId="0" fontId="36" fillId="47" borderId="0" applyNumberFormat="0" applyBorder="0" applyAlignment="0" applyProtection="0"/>
    <xf numFmtId="0" fontId="1" fillId="30" borderId="0" applyNumberFormat="0" applyBorder="0" applyAlignment="0" applyProtection="0"/>
    <xf numFmtId="0" fontId="48" fillId="0" borderId="120" applyNumberFormat="0" applyFill="0" applyAlignment="0" applyProtection="0"/>
    <xf numFmtId="0" fontId="31" fillId="38" borderId="122">
      <alignment horizontal="right" vertical="center"/>
    </xf>
    <xf numFmtId="0" fontId="33" fillId="0" borderId="125">
      <alignment horizontal="left" vertical="center" wrapText="1" indent="2"/>
    </xf>
    <xf numFmtId="0" fontId="36" fillId="46" borderId="0" applyNumberFormat="0" applyBorder="0" applyAlignment="0" applyProtection="0"/>
    <xf numFmtId="0" fontId="33" fillId="0" borderId="125">
      <alignment horizontal="left" vertical="center" wrapText="1" indent="2"/>
    </xf>
    <xf numFmtId="0" fontId="1" fillId="27" borderId="0" applyNumberFormat="0" applyBorder="0" applyAlignment="0" applyProtection="0"/>
    <xf numFmtId="0" fontId="36" fillId="45" borderId="0" applyNumberFormat="0" applyBorder="0" applyAlignment="0" applyProtection="0"/>
    <xf numFmtId="183" fontId="36" fillId="46"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60" fillId="59" borderId="126" applyNumberFormat="0" applyAlignment="0" applyProtection="0"/>
    <xf numFmtId="0" fontId="28" fillId="0" borderId="0" applyNumberFormat="0" applyFill="0" applyBorder="0" applyAlignment="0" applyProtection="0"/>
    <xf numFmtId="4" fontId="33" fillId="0" borderId="122" applyFill="0" applyBorder="0" applyProtection="0">
      <alignment horizontal="right" vertical="center"/>
    </xf>
    <xf numFmtId="0" fontId="31" fillId="36" borderId="122">
      <alignment horizontal="right" vertical="center"/>
    </xf>
    <xf numFmtId="4" fontId="31" fillId="38" borderId="122">
      <alignment horizontal="right" vertical="center"/>
    </xf>
    <xf numFmtId="0" fontId="44" fillId="59" borderId="119" applyNumberFormat="0" applyAlignment="0" applyProtection="0"/>
    <xf numFmtId="0" fontId="1" fillId="21" borderId="0" applyNumberFormat="0" applyBorder="0" applyAlignment="0" applyProtection="0"/>
    <xf numFmtId="0" fontId="43" fillId="59" borderId="119" applyNumberFormat="0" applyAlignment="0" applyProtection="0"/>
    <xf numFmtId="0" fontId="1" fillId="25" borderId="0" applyNumberFormat="0" applyBorder="0" applyAlignment="0" applyProtection="0"/>
    <xf numFmtId="0" fontId="1" fillId="21" borderId="0" applyNumberFormat="0" applyBorder="0" applyAlignment="0" applyProtection="0"/>
    <xf numFmtId="0" fontId="25" fillId="17" borderId="22" applyNumberFormat="0" applyAlignment="0" applyProtection="0"/>
    <xf numFmtId="0" fontId="1" fillId="24"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1" fillId="30" borderId="0" applyNumberFormat="0" applyBorder="0" applyAlignment="0" applyProtection="0"/>
    <xf numFmtId="0" fontId="4" fillId="20" borderId="0" applyNumberFormat="0" applyBorder="0" applyAlignment="0" applyProtection="0"/>
    <xf numFmtId="0" fontId="1" fillId="30" borderId="0" applyNumberFormat="0" applyBorder="0" applyAlignment="0" applyProtection="0"/>
    <xf numFmtId="0" fontId="35" fillId="36" borderId="122">
      <alignment horizontal="right" vertical="center"/>
    </xf>
    <xf numFmtId="0" fontId="44" fillId="59" borderId="119" applyNumberFormat="0" applyAlignment="0" applyProtection="0"/>
    <xf numFmtId="0" fontId="63" fillId="0" borderId="120" applyNumberFormat="0" applyFill="0" applyAlignment="0" applyProtection="0"/>
    <xf numFmtId="49" fontId="32" fillId="0" borderId="122" applyNumberFormat="0" applyFill="0" applyBorder="0" applyProtection="0">
      <alignment horizontal="left" vertical="center"/>
    </xf>
    <xf numFmtId="0" fontId="36" fillId="41" borderId="0" applyNumberFormat="0" applyBorder="0" applyAlignment="0" applyProtection="0"/>
    <xf numFmtId="0" fontId="1" fillId="31" borderId="0" applyNumberFormat="0" applyBorder="0" applyAlignment="0" applyProtection="0"/>
    <xf numFmtId="0" fontId="4" fillId="29" borderId="0" applyNumberFormat="0" applyBorder="0" applyAlignment="0" applyProtection="0"/>
    <xf numFmtId="0" fontId="36" fillId="46" borderId="0" applyNumberFormat="0" applyBorder="0" applyAlignment="0" applyProtection="0"/>
    <xf numFmtId="0" fontId="44" fillId="59" borderId="119" applyNumberFormat="0" applyAlignment="0" applyProtection="0"/>
    <xf numFmtId="0" fontId="36" fillId="42" borderId="0" applyNumberFormat="0" applyBorder="0" applyAlignment="0" applyProtection="0"/>
    <xf numFmtId="0" fontId="36" fillId="42" borderId="0" applyNumberFormat="0" applyBorder="0" applyAlignment="0" applyProtection="0"/>
    <xf numFmtId="0" fontId="33" fillId="0" borderId="125">
      <alignment horizontal="left" vertical="center" wrapText="1" indent="2"/>
    </xf>
    <xf numFmtId="0" fontId="56" fillId="46" borderId="119" applyNumberFormat="0" applyAlignment="0" applyProtection="0"/>
    <xf numFmtId="0" fontId="33" fillId="36" borderId="123">
      <alignment horizontal="left" vertical="center"/>
    </xf>
    <xf numFmtId="4" fontId="31" fillId="38" borderId="124">
      <alignment horizontal="right" vertical="center"/>
    </xf>
    <xf numFmtId="0" fontId="48" fillId="0" borderId="120" applyNumberFormat="0" applyFill="0" applyAlignment="0" applyProtection="0"/>
    <xf numFmtId="4" fontId="33" fillId="37" borderId="122"/>
    <xf numFmtId="0" fontId="36" fillId="43" borderId="0" applyNumberFormat="0" applyBorder="0" applyAlignment="0" applyProtection="0"/>
    <xf numFmtId="0" fontId="1" fillId="30" borderId="0" applyNumberFormat="0" applyBorder="0" applyAlignment="0" applyProtection="0"/>
    <xf numFmtId="0" fontId="47" fillId="46" borderId="119" applyNumberFormat="0" applyAlignment="0" applyProtection="0"/>
    <xf numFmtId="0" fontId="1" fillId="19" borderId="0" applyNumberFormat="0" applyBorder="0" applyAlignment="0" applyProtection="0"/>
    <xf numFmtId="0" fontId="31" fillId="38" borderId="124">
      <alignment horizontal="right" vertical="center"/>
    </xf>
    <xf numFmtId="0" fontId="1" fillId="33" borderId="0" applyNumberFormat="0" applyBorder="0" applyAlignment="0" applyProtection="0"/>
    <xf numFmtId="0" fontId="36" fillId="42" borderId="0" applyNumberFormat="0" applyBorder="0" applyAlignment="0" applyProtection="0"/>
    <xf numFmtId="0" fontId="35" fillId="36" borderId="122">
      <alignment horizontal="right" vertical="center"/>
    </xf>
    <xf numFmtId="0" fontId="1" fillId="30" borderId="0" applyNumberFormat="0" applyBorder="0" applyAlignment="0" applyProtection="0"/>
    <xf numFmtId="0" fontId="33" fillId="38" borderId="125">
      <alignment horizontal="left" vertical="center" wrapText="1" indent="2"/>
    </xf>
    <xf numFmtId="0" fontId="38" fillId="62" borderId="121" applyNumberFormat="0" applyFont="0" applyAlignment="0" applyProtection="0"/>
    <xf numFmtId="0" fontId="47" fillId="46" borderId="119" applyNumberFormat="0" applyAlignment="0" applyProtection="0"/>
    <xf numFmtId="0" fontId="41" fillId="59" borderId="126" applyNumberFormat="0" applyAlignment="0" applyProtection="0"/>
    <xf numFmtId="0" fontId="1" fillId="27" borderId="0" applyNumberFormat="0" applyBorder="0" applyAlignment="0" applyProtection="0"/>
    <xf numFmtId="0" fontId="36" fillId="47" borderId="0" applyNumberFormat="0" applyBorder="0" applyAlignment="0" applyProtection="0"/>
    <xf numFmtId="4" fontId="31" fillId="38" borderId="123">
      <alignment horizontal="right" vertical="center"/>
    </xf>
    <xf numFmtId="0" fontId="36" fillId="42" borderId="0" applyNumberFormat="0" applyBorder="0" applyAlignment="0" applyProtection="0"/>
    <xf numFmtId="0" fontId="1" fillId="24" borderId="0" applyNumberFormat="0" applyBorder="0" applyAlignment="0" applyProtection="0"/>
    <xf numFmtId="4" fontId="31" fillId="38" borderId="122">
      <alignment horizontal="right" vertical="center"/>
    </xf>
    <xf numFmtId="0" fontId="1" fillId="21" borderId="0" applyNumberFormat="0" applyBorder="0" applyAlignment="0" applyProtection="0"/>
    <xf numFmtId="0" fontId="38" fillId="62" borderId="121" applyNumberFormat="0" applyFont="0" applyAlignment="0" applyProtection="0"/>
    <xf numFmtId="0" fontId="36" fillId="44" borderId="0" applyNumberFormat="0" applyBorder="0" applyAlignment="0" applyProtection="0"/>
    <xf numFmtId="49" fontId="33" fillId="0" borderId="123" applyNumberFormat="0" applyFont="0" applyFill="0" applyBorder="0" applyProtection="0">
      <alignment horizontal="left" vertical="center" indent="5"/>
    </xf>
    <xf numFmtId="0" fontId="4" fillId="23" borderId="0" applyNumberFormat="0" applyBorder="0" applyAlignment="0" applyProtection="0"/>
    <xf numFmtId="0" fontId="1" fillId="30" borderId="0" applyNumberFormat="0" applyBorder="0" applyAlignment="0" applyProtection="0"/>
    <xf numFmtId="49" fontId="32" fillId="0" borderId="122" applyNumberFormat="0" applyFill="0" applyBorder="0" applyProtection="0">
      <alignment horizontal="left" vertical="center"/>
    </xf>
    <xf numFmtId="0" fontId="60" fillId="59" borderId="126" applyNumberFormat="0" applyAlignment="0" applyProtection="0"/>
    <xf numFmtId="0" fontId="36" fillId="41" borderId="0" applyNumberFormat="0" applyBorder="0" applyAlignment="0" applyProtection="0"/>
    <xf numFmtId="4" fontId="33" fillId="37" borderId="122"/>
    <xf numFmtId="0" fontId="1" fillId="24" borderId="0" applyNumberFormat="0" applyBorder="0" applyAlignment="0" applyProtection="0"/>
    <xf numFmtId="0" fontId="44" fillId="59" borderId="119" applyNumberFormat="0" applyAlignment="0" applyProtection="0"/>
    <xf numFmtId="0" fontId="36" fillId="42" borderId="0" applyNumberFormat="0" applyBorder="0" applyAlignment="0" applyProtection="0"/>
    <xf numFmtId="0" fontId="31" fillId="38" borderId="122">
      <alignment horizontal="right" vertical="center"/>
    </xf>
    <xf numFmtId="0" fontId="1" fillId="21" borderId="0" applyNumberFormat="0" applyBorder="0" applyAlignment="0" applyProtection="0"/>
    <xf numFmtId="0" fontId="4" fillId="26" borderId="0" applyNumberFormat="0" applyBorder="0" applyAlignment="0" applyProtection="0"/>
    <xf numFmtId="0" fontId="56" fillId="46" borderId="119" applyNumberFormat="0" applyAlignment="0" applyProtection="0"/>
    <xf numFmtId="4" fontId="31" fillId="38" borderId="122">
      <alignment horizontal="right" vertical="center"/>
    </xf>
    <xf numFmtId="0" fontId="1" fillId="33" borderId="0" applyNumberFormat="0" applyBorder="0" applyAlignment="0" applyProtection="0"/>
    <xf numFmtId="0" fontId="33" fillId="0" borderId="122" applyNumberFormat="0" applyFill="0" applyAlignment="0" applyProtection="0"/>
    <xf numFmtId="0" fontId="35" fillId="36" borderId="122">
      <alignment horizontal="right" vertical="center"/>
    </xf>
    <xf numFmtId="4" fontId="35" fillId="36" borderId="122">
      <alignment horizontal="right" vertical="center"/>
    </xf>
    <xf numFmtId="0" fontId="1" fillId="19" borderId="0" applyNumberFormat="0" applyBorder="0" applyAlignment="0" applyProtection="0"/>
    <xf numFmtId="0" fontId="38" fillId="62" borderId="121" applyNumberFormat="0" applyFont="0" applyAlignment="0" applyProtection="0"/>
    <xf numFmtId="0" fontId="1" fillId="24" borderId="0" applyNumberFormat="0" applyBorder="0" applyAlignment="0" applyProtection="0"/>
    <xf numFmtId="0" fontId="1" fillId="18" borderId="0" applyNumberFormat="0" applyBorder="0" applyAlignment="0" applyProtection="0"/>
    <xf numFmtId="0" fontId="36" fillId="43" borderId="0" applyNumberFormat="0" applyBorder="0" applyAlignment="0" applyProtection="0"/>
    <xf numFmtId="0" fontId="36" fillId="46" borderId="0" applyNumberFormat="0" applyBorder="0" applyAlignment="0" applyProtection="0"/>
    <xf numFmtId="4" fontId="33" fillId="0" borderId="122" applyFill="0" applyBorder="0" applyProtection="0">
      <alignment horizontal="right" vertical="center"/>
    </xf>
    <xf numFmtId="0" fontId="1" fillId="27" borderId="0" applyNumberFormat="0" applyBorder="0" applyAlignment="0" applyProtection="0"/>
    <xf numFmtId="0" fontId="48" fillId="0" borderId="120" applyNumberFormat="0" applyFill="0" applyAlignment="0" applyProtection="0"/>
    <xf numFmtId="0" fontId="36" fillId="47" borderId="0" applyNumberFormat="0" applyBorder="0" applyAlignment="0" applyProtection="0"/>
    <xf numFmtId="0" fontId="1" fillId="19" borderId="0" applyNumberFormat="0" applyBorder="0" applyAlignment="0" applyProtection="0"/>
    <xf numFmtId="4" fontId="31" fillId="38" borderId="122">
      <alignment horizontal="right" vertical="center"/>
    </xf>
    <xf numFmtId="0" fontId="36" fillId="46" borderId="0" applyNumberFormat="0" applyBorder="0" applyAlignment="0" applyProtection="0"/>
    <xf numFmtId="4" fontId="33" fillId="0" borderId="122" applyFill="0" applyBorder="0" applyProtection="0">
      <alignment horizontal="right" vertical="center"/>
    </xf>
    <xf numFmtId="0" fontId="63" fillId="0" borderId="120" applyNumberFormat="0" applyFill="0" applyAlignment="0" applyProtection="0"/>
    <xf numFmtId="49" fontId="33" fillId="0" borderId="122" applyNumberFormat="0" applyFont="0" applyFill="0" applyBorder="0" applyProtection="0">
      <alignment horizontal="left" vertical="center" indent="2"/>
    </xf>
    <xf numFmtId="0" fontId="1" fillId="33" borderId="0" applyNumberFormat="0" applyBorder="0" applyAlignment="0" applyProtection="0"/>
    <xf numFmtId="0" fontId="1" fillId="24" borderId="0" applyNumberFormat="0" applyBorder="0" applyAlignment="0" applyProtection="0"/>
    <xf numFmtId="0" fontId="41" fillId="59" borderId="126" applyNumberFormat="0" applyAlignment="0" applyProtection="0"/>
    <xf numFmtId="0" fontId="36" fillId="45" borderId="0" applyNumberFormat="0" applyBorder="0" applyAlignment="0" applyProtection="0"/>
    <xf numFmtId="4" fontId="35" fillId="36" borderId="122">
      <alignment horizontal="right" vertical="center"/>
    </xf>
    <xf numFmtId="0" fontId="41" fillId="59" borderId="126" applyNumberFormat="0" applyAlignment="0" applyProtection="0"/>
    <xf numFmtId="0" fontId="36" fillId="42" borderId="0" applyNumberFormat="0" applyBorder="0" applyAlignment="0" applyProtection="0"/>
    <xf numFmtId="0" fontId="4" fillId="35" borderId="0" applyNumberFormat="0" applyBorder="0" applyAlignment="0" applyProtection="0"/>
    <xf numFmtId="0" fontId="31" fillId="38" borderId="122">
      <alignment horizontal="right" vertical="center"/>
    </xf>
    <xf numFmtId="0" fontId="38" fillId="62" borderId="121" applyNumberFormat="0" applyFont="0" applyAlignment="0" applyProtection="0"/>
    <xf numFmtId="0" fontId="36" fillId="42" borderId="0" applyNumberFormat="0" applyBorder="0" applyAlignment="0" applyProtection="0"/>
    <xf numFmtId="0" fontId="36" fillId="42" borderId="0" applyNumberFormat="0" applyBorder="0" applyAlignment="0" applyProtection="0"/>
    <xf numFmtId="0" fontId="31" fillId="38" borderId="123">
      <alignment horizontal="right" vertical="center"/>
    </xf>
    <xf numFmtId="0" fontId="36" fillId="44" borderId="0" applyNumberFormat="0" applyBorder="0" applyAlignment="0" applyProtection="0"/>
    <xf numFmtId="0" fontId="36" fillId="43" borderId="0" applyNumberFormat="0" applyBorder="0" applyAlignment="0" applyProtection="0"/>
    <xf numFmtId="0" fontId="33" fillId="38" borderId="125">
      <alignment horizontal="left" vertical="center" wrapText="1" indent="2"/>
    </xf>
    <xf numFmtId="0" fontId="27" fillId="0" borderId="0" applyNumberFormat="0" applyFill="0" applyBorder="0" applyAlignment="0" applyProtection="0"/>
    <xf numFmtId="49" fontId="32" fillId="0" borderId="122" applyNumberFormat="0" applyFill="0" applyBorder="0" applyProtection="0">
      <alignment horizontal="left" vertical="center"/>
    </xf>
    <xf numFmtId="0" fontId="36" fillId="46" borderId="0" applyNumberFormat="0" applyBorder="0" applyAlignment="0" applyProtection="0"/>
    <xf numFmtId="0" fontId="1" fillId="24" borderId="0" applyNumberFormat="0" applyBorder="0" applyAlignment="0" applyProtection="0"/>
    <xf numFmtId="0" fontId="33" fillId="38" borderId="125">
      <alignment horizontal="left" vertical="center" wrapText="1" indent="2"/>
    </xf>
    <xf numFmtId="0" fontId="36" fillId="43" borderId="0" applyNumberFormat="0" applyBorder="0" applyAlignment="0" applyProtection="0"/>
    <xf numFmtId="0" fontId="1" fillId="24" borderId="0" applyNumberFormat="0" applyBorder="0" applyAlignment="0" applyProtection="0"/>
    <xf numFmtId="4" fontId="33" fillId="0" borderId="122">
      <alignment horizontal="right" vertical="center"/>
    </xf>
    <xf numFmtId="0" fontId="36" fillId="43" borderId="0" applyNumberFormat="0" applyBorder="0" applyAlignment="0" applyProtection="0"/>
    <xf numFmtId="0" fontId="36" fillId="47" borderId="0" applyNumberFormat="0" applyBorder="0" applyAlignment="0" applyProtection="0"/>
    <xf numFmtId="0" fontId="36" fillId="43" borderId="0" applyNumberFormat="0" applyBorder="0" applyAlignment="0" applyProtection="0"/>
    <xf numFmtId="0" fontId="1" fillId="21" borderId="0" applyNumberFormat="0" applyBorder="0" applyAlignment="0" applyProtection="0"/>
    <xf numFmtId="0" fontId="36" fillId="43" borderId="0" applyNumberFormat="0" applyBorder="0" applyAlignment="0" applyProtection="0"/>
    <xf numFmtId="4" fontId="31" fillId="38" borderId="122">
      <alignment horizontal="right" vertical="center"/>
    </xf>
    <xf numFmtId="0" fontId="4" fillId="32" borderId="0" applyNumberFormat="0" applyBorder="0" applyAlignment="0" applyProtection="0"/>
    <xf numFmtId="0" fontId="1" fillId="18" borderId="0" applyNumberFormat="0" applyBorder="0" applyAlignment="0" applyProtection="0"/>
    <xf numFmtId="0" fontId="44" fillId="59" borderId="119" applyNumberFormat="0" applyAlignment="0" applyProtection="0"/>
    <xf numFmtId="0" fontId="1" fillId="19" borderId="0" applyNumberFormat="0" applyBorder="0" applyAlignment="0" applyProtection="0"/>
    <xf numFmtId="0" fontId="31" fillId="38" borderId="123">
      <alignment horizontal="right" vertical="center"/>
    </xf>
    <xf numFmtId="0" fontId="1" fillId="19" borderId="0" applyNumberFormat="0" applyBorder="0" applyAlignment="0" applyProtection="0"/>
    <xf numFmtId="0" fontId="1" fillId="27" borderId="0" applyNumberFormat="0" applyBorder="0" applyAlignment="0" applyProtection="0"/>
    <xf numFmtId="49" fontId="33" fillId="0" borderId="123" applyNumberFormat="0" applyFont="0" applyFill="0" applyBorder="0" applyProtection="0">
      <alignment horizontal="left" vertical="center" indent="5"/>
    </xf>
    <xf numFmtId="0" fontId="31" fillId="38" borderId="124">
      <alignment horizontal="right" vertical="center"/>
    </xf>
    <xf numFmtId="0" fontId="4" fillId="29" borderId="0" applyNumberFormat="0" applyBorder="0" applyAlignment="0" applyProtection="0"/>
    <xf numFmtId="0" fontId="1" fillId="30" borderId="0" applyNumberFormat="0" applyBorder="0" applyAlignment="0" applyProtection="0"/>
    <xf numFmtId="0" fontId="63" fillId="0" borderId="120" applyNumberFormat="0" applyFill="0" applyAlignment="0" applyProtection="0"/>
    <xf numFmtId="0" fontId="36" fillId="46" borderId="0" applyNumberFormat="0" applyBorder="0" applyAlignment="0" applyProtection="0"/>
    <xf numFmtId="0" fontId="36" fillId="41" borderId="0" applyNumberFormat="0" applyBorder="0" applyAlignment="0" applyProtection="0"/>
    <xf numFmtId="0" fontId="1" fillId="24" borderId="0" applyNumberFormat="0" applyBorder="0" applyAlignment="0" applyProtection="0"/>
    <xf numFmtId="0" fontId="36" fillId="43" borderId="0" applyNumberFormat="0" applyBorder="0" applyAlignment="0" applyProtection="0"/>
    <xf numFmtId="0" fontId="38" fillId="62" borderId="121" applyNumberFormat="0" applyFont="0" applyAlignment="0" applyProtection="0"/>
    <xf numFmtId="0" fontId="1" fillId="33" borderId="0" applyNumberFormat="0" applyBorder="0" applyAlignment="0" applyProtection="0"/>
    <xf numFmtId="0" fontId="19" fillId="62" borderId="121" applyNumberFormat="0" applyFont="0" applyAlignment="0" applyProtection="0"/>
    <xf numFmtId="0" fontId="56" fillId="46" borderId="119" applyNumberFormat="0" applyAlignment="0" applyProtection="0"/>
    <xf numFmtId="0" fontId="33" fillId="0" borderId="125">
      <alignment horizontal="left" vertical="center" wrapText="1" indent="2"/>
    </xf>
    <xf numFmtId="0" fontId="36" fillId="45" borderId="0" applyNumberFormat="0" applyBorder="0" applyAlignment="0" applyProtection="0"/>
    <xf numFmtId="0" fontId="63" fillId="0" borderId="120" applyNumberFormat="0" applyFill="0" applyAlignment="0" applyProtection="0"/>
    <xf numFmtId="0" fontId="43" fillId="59" borderId="119" applyNumberFormat="0" applyAlignment="0" applyProtection="0"/>
    <xf numFmtId="0" fontId="48" fillId="0" borderId="120" applyNumberFormat="0" applyFill="0" applyAlignment="0" applyProtection="0"/>
    <xf numFmtId="4" fontId="33" fillId="37" borderId="122"/>
    <xf numFmtId="0" fontId="48" fillId="0" borderId="120" applyNumberFormat="0" applyFill="0" applyAlignment="0" applyProtection="0"/>
    <xf numFmtId="183" fontId="36" fillId="133" borderId="0" applyNumberFormat="0" applyBorder="0" applyAlignment="0" applyProtection="0"/>
    <xf numFmtId="183" fontId="36" fillId="43" borderId="0" applyNumberFormat="0" applyBorder="0" applyAlignment="0" applyProtection="0"/>
    <xf numFmtId="49" fontId="32" fillId="0" borderId="122" applyNumberFormat="0" applyFill="0" applyBorder="0" applyProtection="0">
      <alignment horizontal="left" vertical="center"/>
    </xf>
    <xf numFmtId="0" fontId="36" fillId="45" borderId="0" applyNumberFormat="0" applyBorder="0" applyAlignment="0" applyProtection="0"/>
    <xf numFmtId="0" fontId="4" fillId="32" borderId="0" applyNumberFormat="0" applyBorder="0" applyAlignment="0" applyProtection="0"/>
    <xf numFmtId="0" fontId="1" fillId="27" borderId="0" applyNumberFormat="0" applyBorder="0" applyAlignment="0" applyProtection="0"/>
    <xf numFmtId="0" fontId="31" fillId="36" borderId="122">
      <alignment horizontal="right" vertical="center"/>
    </xf>
    <xf numFmtId="0" fontId="25" fillId="17" borderId="22" applyNumberFormat="0" applyAlignment="0" applyProtection="0"/>
    <xf numFmtId="0" fontId="36" fillId="42"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33" fillId="37" borderId="122"/>
    <xf numFmtId="0" fontId="56" fillId="46" borderId="119" applyNumberFormat="0" applyAlignment="0" applyProtection="0"/>
    <xf numFmtId="0" fontId="36" fillId="46" borderId="0" applyNumberFormat="0" applyBorder="0" applyAlignment="0" applyProtection="0"/>
    <xf numFmtId="0" fontId="56" fillId="46" borderId="119" applyNumberFormat="0" applyAlignment="0" applyProtection="0"/>
    <xf numFmtId="4" fontId="31" fillId="38" borderId="122">
      <alignment horizontal="right" vertical="center"/>
    </xf>
    <xf numFmtId="0" fontId="31" fillId="38" borderId="124">
      <alignment horizontal="right" vertical="center"/>
    </xf>
    <xf numFmtId="0" fontId="36" fillId="41" borderId="0" applyNumberFormat="0" applyBorder="0" applyAlignment="0" applyProtection="0"/>
    <xf numFmtId="0" fontId="44" fillId="59" borderId="119" applyNumberFormat="0" applyAlignment="0" applyProtection="0"/>
    <xf numFmtId="0" fontId="36" fillId="43" borderId="0" applyNumberFormat="0" applyBorder="0" applyAlignment="0" applyProtection="0"/>
    <xf numFmtId="0" fontId="31" fillId="38" borderId="122">
      <alignment horizontal="right" vertical="center"/>
    </xf>
    <xf numFmtId="0" fontId="4" fillId="26" borderId="0" applyNumberFormat="0" applyBorder="0" applyAlignment="0" applyProtection="0"/>
    <xf numFmtId="0" fontId="36" fillId="41" borderId="0" applyNumberFormat="0" applyBorder="0" applyAlignment="0" applyProtection="0"/>
    <xf numFmtId="0" fontId="31" fillId="36" borderId="122">
      <alignment horizontal="right" vertical="center"/>
    </xf>
    <xf numFmtId="0" fontId="56" fillId="46" borderId="119" applyNumberFormat="0" applyAlignment="0" applyProtection="0"/>
    <xf numFmtId="0" fontId="56" fillId="46" borderId="119" applyNumberFormat="0" applyAlignment="0" applyProtection="0"/>
    <xf numFmtId="0" fontId="1" fillId="33" borderId="0" applyNumberFormat="0" applyBorder="0" applyAlignment="0" applyProtection="0"/>
    <xf numFmtId="0" fontId="36" fillId="47" borderId="0" applyNumberFormat="0" applyBorder="0" applyAlignment="0" applyProtection="0"/>
    <xf numFmtId="0" fontId="1" fillId="28" borderId="0" applyNumberFormat="0" applyBorder="0" applyAlignment="0" applyProtection="0"/>
    <xf numFmtId="183" fontId="36" fillId="45" borderId="0" applyNumberFormat="0" applyBorder="0" applyAlignment="0" applyProtection="0"/>
    <xf numFmtId="0" fontId="33" fillId="0" borderId="125">
      <alignment horizontal="left" vertical="center" wrapText="1" indent="2"/>
    </xf>
    <xf numFmtId="0" fontId="36" fillId="47" borderId="0" applyNumberFormat="0" applyBorder="0" applyAlignment="0" applyProtection="0"/>
    <xf numFmtId="0" fontId="36" fillId="46" borderId="0" applyNumberFormat="0" applyBorder="0" applyAlignment="0" applyProtection="0"/>
    <xf numFmtId="0" fontId="1" fillId="24" borderId="0" applyNumberFormat="0" applyBorder="0" applyAlignment="0" applyProtection="0"/>
    <xf numFmtId="0" fontId="36" fillId="42" borderId="0" applyNumberFormat="0" applyBorder="0" applyAlignment="0" applyProtection="0"/>
    <xf numFmtId="0" fontId="33" fillId="36" borderId="123">
      <alignment horizontal="left" vertical="center"/>
    </xf>
    <xf numFmtId="0" fontId="31" fillId="38" borderId="122">
      <alignment horizontal="right" vertical="center"/>
    </xf>
    <xf numFmtId="0" fontId="60" fillId="59" borderId="126" applyNumberFormat="0" applyAlignment="0" applyProtection="0"/>
    <xf numFmtId="0" fontId="36" fillId="43" borderId="0" applyNumberFormat="0" applyBorder="0" applyAlignment="0" applyProtection="0"/>
    <xf numFmtId="0" fontId="1" fillId="19" borderId="0" applyNumberFormat="0" applyBorder="0" applyAlignment="0" applyProtection="0"/>
    <xf numFmtId="0" fontId="63" fillId="0" borderId="120" applyNumberFormat="0" applyFill="0" applyAlignment="0" applyProtection="0"/>
    <xf numFmtId="0" fontId="36" fillId="4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44" fillId="59" borderId="119" applyNumberFormat="0" applyAlignment="0" applyProtection="0"/>
    <xf numFmtId="0" fontId="43" fillId="59" borderId="119" applyNumberFormat="0" applyAlignment="0" applyProtection="0"/>
    <xf numFmtId="183" fontId="36" fillId="137" borderId="0" applyNumberFormat="0" applyBorder="0" applyAlignment="0" applyProtection="0"/>
    <xf numFmtId="0" fontId="36" fillId="41" borderId="0" applyNumberFormat="0" applyBorder="0" applyAlignment="0" applyProtection="0"/>
    <xf numFmtId="0" fontId="1" fillId="21" borderId="0" applyNumberFormat="0" applyBorder="0" applyAlignment="0" applyProtection="0"/>
    <xf numFmtId="0" fontId="36" fillId="42" borderId="0" applyNumberFormat="0" applyBorder="0" applyAlignment="0" applyProtection="0"/>
    <xf numFmtId="0" fontId="1" fillId="33" borderId="0" applyNumberFormat="0" applyBorder="0" applyAlignment="0" applyProtection="0"/>
    <xf numFmtId="0" fontId="36" fillId="46" borderId="0" applyNumberFormat="0" applyBorder="0" applyAlignment="0" applyProtection="0"/>
    <xf numFmtId="0" fontId="1" fillId="30" borderId="0" applyNumberFormat="0" applyBorder="0" applyAlignment="0" applyProtection="0"/>
    <xf numFmtId="0" fontId="35" fillId="36" borderId="122">
      <alignment horizontal="right" vertical="center"/>
    </xf>
    <xf numFmtId="0" fontId="1" fillId="19" borderId="0" applyNumberFormat="0" applyBorder="0" applyAlignment="0" applyProtection="0"/>
    <xf numFmtId="177" fontId="33" fillId="63" borderId="122" applyNumberFormat="0" applyFont="0" applyBorder="0" applyAlignment="0" applyProtection="0">
      <alignment horizontal="right" vertical="center"/>
    </xf>
    <xf numFmtId="0" fontId="63" fillId="0" borderId="120" applyNumberFormat="0" applyFill="0" applyAlignment="0" applyProtection="0"/>
    <xf numFmtId="4" fontId="33" fillId="0" borderId="122">
      <alignment horizontal="right" vertical="center"/>
    </xf>
    <xf numFmtId="0" fontId="1" fillId="18" borderId="0" applyNumberFormat="0" applyBorder="0" applyAlignment="0" applyProtection="0"/>
    <xf numFmtId="0" fontId="1" fillId="19" borderId="0" applyNumberFormat="0" applyBorder="0" applyAlignment="0" applyProtection="0"/>
    <xf numFmtId="0" fontId="28" fillId="0" borderId="0" applyNumberFormat="0" applyFill="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7" borderId="0" applyNumberFormat="0" applyBorder="0" applyAlignment="0" applyProtection="0"/>
    <xf numFmtId="0" fontId="31" fillId="38" borderId="122">
      <alignment horizontal="right" vertical="center"/>
    </xf>
    <xf numFmtId="0" fontId="1" fillId="30" borderId="0" applyNumberFormat="0" applyBorder="0" applyAlignment="0" applyProtection="0"/>
    <xf numFmtId="0" fontId="36" fillId="41" borderId="0" applyNumberFormat="0" applyBorder="0" applyAlignment="0" applyProtection="0"/>
    <xf numFmtId="0" fontId="1" fillId="24" borderId="0" applyNumberFormat="0" applyBorder="0" applyAlignment="0" applyProtection="0"/>
    <xf numFmtId="177" fontId="33" fillId="63" borderId="122" applyNumberFormat="0" applyFont="0" applyBorder="0" applyAlignment="0" applyProtection="0">
      <alignment horizontal="right" vertical="center"/>
    </xf>
    <xf numFmtId="183" fontId="36" fillId="41" borderId="0" applyNumberFormat="0" applyBorder="0" applyAlignment="0" applyProtection="0"/>
    <xf numFmtId="0" fontId="60" fillId="59" borderId="126" applyNumberFormat="0" applyAlignment="0" applyProtection="0"/>
    <xf numFmtId="0" fontId="36" fillId="46" borderId="0" applyNumberFormat="0" applyBorder="0" applyAlignment="0" applyProtection="0"/>
    <xf numFmtId="0" fontId="1" fillId="19" borderId="0" applyNumberFormat="0" applyBorder="0" applyAlignment="0" applyProtection="0"/>
    <xf numFmtId="0" fontId="31" fillId="36" borderId="122">
      <alignment horizontal="right" vertical="center"/>
    </xf>
    <xf numFmtId="0" fontId="63" fillId="0" borderId="120" applyNumberFormat="0" applyFill="0" applyAlignment="0" applyProtection="0"/>
    <xf numFmtId="49" fontId="33" fillId="0" borderId="122" applyNumberFormat="0" applyFont="0" applyFill="0" applyBorder="0" applyProtection="0">
      <alignment horizontal="left" vertical="center" indent="2"/>
    </xf>
    <xf numFmtId="0" fontId="36" fillId="46" borderId="0" applyNumberFormat="0" applyBorder="0" applyAlignment="0" applyProtection="0"/>
    <xf numFmtId="4" fontId="33" fillId="37" borderId="122"/>
    <xf numFmtId="4" fontId="31" fillId="38" borderId="124">
      <alignment horizontal="right" vertical="center"/>
    </xf>
    <xf numFmtId="0" fontId="36" fillId="47" borderId="0" applyNumberFormat="0" applyBorder="0" applyAlignment="0" applyProtection="0"/>
    <xf numFmtId="0" fontId="33" fillId="0" borderId="122" applyNumberFormat="0" applyFill="0" applyAlignment="0" applyProtection="0"/>
    <xf numFmtId="0" fontId="36" fillId="43" borderId="0" applyNumberFormat="0" applyBorder="0" applyAlignment="0" applyProtection="0"/>
    <xf numFmtId="0" fontId="36" fillId="59" borderId="0" applyNumberFormat="0" applyBorder="0" applyAlignment="0" applyProtection="0"/>
    <xf numFmtId="0" fontId="36" fillId="45" borderId="0" applyNumberFormat="0" applyBorder="0" applyAlignment="0" applyProtection="0"/>
    <xf numFmtId="0" fontId="28" fillId="0" borderId="0" applyNumberFormat="0" applyFill="0" applyBorder="0" applyAlignment="0" applyProtection="0"/>
    <xf numFmtId="183" fontId="36" fillId="59" borderId="0" applyNumberFormat="0" applyBorder="0" applyAlignment="0" applyProtection="0"/>
    <xf numFmtId="4" fontId="31" fillId="36" borderId="122">
      <alignment horizontal="right" vertical="center"/>
    </xf>
    <xf numFmtId="0" fontId="33" fillId="0" borderId="122" applyNumberFormat="0" applyFill="0" applyAlignment="0" applyProtection="0"/>
    <xf numFmtId="0" fontId="31" fillId="38" borderId="122">
      <alignment horizontal="right" vertical="center"/>
    </xf>
    <xf numFmtId="0" fontId="19" fillId="62" borderId="121" applyNumberFormat="0" applyFont="0" applyAlignment="0" applyProtection="0"/>
    <xf numFmtId="0" fontId="1" fillId="34" borderId="0" applyNumberFormat="0" applyBorder="0" applyAlignment="0" applyProtection="0"/>
    <xf numFmtId="0" fontId="31" fillId="38" borderId="122">
      <alignment horizontal="right" vertical="center"/>
    </xf>
    <xf numFmtId="0" fontId="36" fillId="43" borderId="0" applyNumberFormat="0" applyBorder="0" applyAlignment="0" applyProtection="0"/>
    <xf numFmtId="0" fontId="33" fillId="0" borderId="125">
      <alignment horizontal="left" vertical="center" wrapText="1" indent="2"/>
    </xf>
    <xf numFmtId="4" fontId="31" fillId="38" borderId="123">
      <alignment horizontal="right" vertical="center"/>
    </xf>
    <xf numFmtId="0" fontId="1" fillId="19" borderId="0" applyNumberFormat="0" applyBorder="0" applyAlignment="0" applyProtection="0"/>
    <xf numFmtId="0" fontId="48" fillId="0" borderId="120" applyNumberFormat="0" applyFill="0" applyAlignment="0" applyProtection="0"/>
    <xf numFmtId="0" fontId="1" fillId="21" borderId="0" applyNumberFormat="0" applyBorder="0" applyAlignment="0" applyProtection="0"/>
    <xf numFmtId="0" fontId="19" fillId="62" borderId="121" applyNumberFormat="0" applyFont="0" applyAlignment="0" applyProtection="0"/>
    <xf numFmtId="0" fontId="44" fillId="59" borderId="119" applyNumberFormat="0" applyAlignment="0" applyProtection="0"/>
    <xf numFmtId="183" fontId="36" fillId="44" borderId="0" applyNumberFormat="0" applyBorder="0" applyAlignment="0" applyProtection="0"/>
    <xf numFmtId="0" fontId="4" fillId="20" borderId="0" applyNumberFormat="0" applyBorder="0" applyAlignment="0" applyProtection="0"/>
    <xf numFmtId="49" fontId="33" fillId="0" borderId="122" applyNumberFormat="0" applyFont="0" applyFill="0" applyBorder="0" applyProtection="0">
      <alignment horizontal="left" vertical="center" indent="2"/>
    </xf>
    <xf numFmtId="0" fontId="1" fillId="21" borderId="0" applyNumberFormat="0" applyBorder="0" applyAlignment="0" applyProtection="0"/>
    <xf numFmtId="0" fontId="60" fillId="59" borderId="126" applyNumberFormat="0" applyAlignment="0" applyProtection="0"/>
    <xf numFmtId="0" fontId="1" fillId="19" borderId="0" applyNumberFormat="0" applyBorder="0" applyAlignment="0" applyProtection="0"/>
    <xf numFmtId="4" fontId="33" fillId="37" borderId="122"/>
    <xf numFmtId="0" fontId="1" fillId="18" borderId="0" applyNumberFormat="0" applyBorder="0" applyAlignment="0" applyProtection="0"/>
    <xf numFmtId="0" fontId="1" fillId="27" borderId="0" applyNumberFormat="0" applyBorder="0" applyAlignment="0" applyProtection="0"/>
    <xf numFmtId="0" fontId="43" fillId="59" borderId="119" applyNumberFormat="0" applyAlignment="0" applyProtection="0"/>
    <xf numFmtId="0" fontId="1" fillId="24" borderId="0" applyNumberFormat="0" applyBorder="0" applyAlignment="0" applyProtection="0"/>
    <xf numFmtId="0" fontId="1" fillId="25" borderId="0" applyNumberFormat="0" applyBorder="0" applyAlignment="0" applyProtection="0"/>
    <xf numFmtId="0" fontId="1" fillId="19" borderId="0" applyNumberFormat="0" applyBorder="0" applyAlignment="0" applyProtection="0"/>
    <xf numFmtId="0" fontId="36" fillId="47" borderId="0" applyNumberFormat="0" applyBorder="0" applyAlignment="0" applyProtection="0"/>
    <xf numFmtId="0" fontId="31" fillId="36" borderId="122">
      <alignment horizontal="right" vertical="center"/>
    </xf>
    <xf numFmtId="0" fontId="36" fillId="41" borderId="0" applyNumberFormat="0" applyBorder="0" applyAlignment="0" applyProtection="0"/>
    <xf numFmtId="0" fontId="1" fillId="34" borderId="0" applyNumberFormat="0" applyBorder="0" applyAlignment="0" applyProtection="0"/>
    <xf numFmtId="0" fontId="1" fillId="19" borderId="0" applyNumberFormat="0" applyBorder="0" applyAlignment="0" applyProtection="0"/>
    <xf numFmtId="164" fontId="36" fillId="0" borderId="0"/>
    <xf numFmtId="0" fontId="1" fillId="19" borderId="0" applyNumberFormat="0" applyBorder="0" applyAlignment="0" applyProtection="0"/>
    <xf numFmtId="0" fontId="36" fillId="41" borderId="0" applyNumberFormat="0" applyBorder="0" applyAlignment="0" applyProtection="0"/>
    <xf numFmtId="0" fontId="1" fillId="19" borderId="0" applyNumberFormat="0" applyBorder="0" applyAlignment="0" applyProtection="0"/>
    <xf numFmtId="0" fontId="36" fillId="41" borderId="0" applyNumberFormat="0" applyBorder="0" applyAlignment="0" applyProtection="0"/>
    <xf numFmtId="0" fontId="43" fillId="59" borderId="119" applyNumberFormat="0" applyAlignment="0" applyProtection="0"/>
    <xf numFmtId="4" fontId="33" fillId="0" borderId="122">
      <alignment horizontal="right" vertical="center"/>
    </xf>
    <xf numFmtId="0" fontId="1" fillId="30" borderId="0" applyNumberFormat="0" applyBorder="0" applyAlignment="0" applyProtection="0"/>
    <xf numFmtId="0" fontId="33" fillId="0" borderId="122">
      <alignment horizontal="right" vertical="center"/>
    </xf>
    <xf numFmtId="4" fontId="31" fillId="38" borderId="123">
      <alignment horizontal="right" vertical="center"/>
    </xf>
    <xf numFmtId="0" fontId="3" fillId="0" borderId="23" applyNumberFormat="0" applyFill="0" applyAlignment="0" applyProtection="0"/>
    <xf numFmtId="0" fontId="36" fillId="42" borderId="0" applyNumberFormat="0" applyBorder="0" applyAlignment="0" applyProtection="0"/>
    <xf numFmtId="0" fontId="60" fillId="59" borderId="126" applyNumberFormat="0" applyAlignment="0" applyProtection="0"/>
    <xf numFmtId="4" fontId="33" fillId="0" borderId="122" applyFill="0" applyBorder="0" applyProtection="0">
      <alignment horizontal="right" vertical="center"/>
    </xf>
    <xf numFmtId="0" fontId="63" fillId="0" borderId="120" applyNumberFormat="0" applyFill="0" applyAlignment="0" applyProtection="0"/>
    <xf numFmtId="0" fontId="44" fillId="59" borderId="119" applyNumberFormat="0" applyAlignment="0" applyProtection="0"/>
    <xf numFmtId="183" fontId="36" fillId="134" borderId="0" applyNumberFormat="0" applyBorder="0" applyAlignment="0" applyProtection="0"/>
    <xf numFmtId="0" fontId="33" fillId="0" borderId="122">
      <alignment horizontal="right" vertical="center"/>
    </xf>
    <xf numFmtId="4" fontId="31" fillId="36" borderId="122">
      <alignment horizontal="right" vertical="center"/>
    </xf>
    <xf numFmtId="0" fontId="63" fillId="0" borderId="120" applyNumberFormat="0" applyFill="0" applyAlignment="0" applyProtection="0"/>
    <xf numFmtId="0" fontId="3" fillId="0" borderId="23" applyNumberFormat="0" applyFill="0" applyAlignment="0" applyProtection="0"/>
    <xf numFmtId="0" fontId="1" fillId="21" borderId="0" applyNumberFormat="0" applyBorder="0" applyAlignment="0" applyProtection="0"/>
    <xf numFmtId="0" fontId="41" fillId="59" borderId="126" applyNumberFormat="0" applyAlignment="0" applyProtection="0"/>
    <xf numFmtId="0" fontId="25" fillId="17" borderId="22" applyNumberFormat="0" applyAlignment="0" applyProtection="0"/>
    <xf numFmtId="0" fontId="1" fillId="34" borderId="0" applyNumberFormat="0" applyBorder="0" applyAlignment="0" applyProtection="0"/>
    <xf numFmtId="4" fontId="33" fillId="0" borderId="122" applyFill="0" applyBorder="0" applyProtection="0">
      <alignment horizontal="right" vertical="center"/>
    </xf>
    <xf numFmtId="0" fontId="36" fillId="45" borderId="0" applyNumberFormat="0" applyBorder="0" applyAlignment="0" applyProtection="0"/>
    <xf numFmtId="0" fontId="38" fillId="62" borderId="121" applyNumberFormat="0" applyFont="0" applyAlignment="0" applyProtection="0"/>
    <xf numFmtId="0" fontId="26" fillId="17" borderId="10" applyNumberFormat="0" applyAlignment="0" applyProtection="0"/>
    <xf numFmtId="0" fontId="33" fillId="37" borderId="122"/>
    <xf numFmtId="0" fontId="31" fillId="38" borderId="122">
      <alignment horizontal="right" vertical="center"/>
    </xf>
    <xf numFmtId="0" fontId="33" fillId="0" borderId="122">
      <alignment horizontal="right" vertical="center"/>
    </xf>
    <xf numFmtId="0" fontId="36" fillId="45" borderId="0" applyNumberFormat="0" applyBorder="0" applyAlignment="0" applyProtection="0"/>
    <xf numFmtId="4" fontId="33" fillId="0" borderId="122" applyFill="0" applyBorder="0" applyProtection="0">
      <alignment horizontal="right" vertical="center"/>
    </xf>
    <xf numFmtId="0" fontId="19" fillId="62" borderId="121" applyNumberFormat="0" applyFont="0" applyAlignment="0" applyProtection="0"/>
    <xf numFmtId="49" fontId="32" fillId="0" borderId="122" applyNumberFormat="0" applyFill="0" applyBorder="0" applyProtection="0">
      <alignment horizontal="left" vertical="center"/>
    </xf>
    <xf numFmtId="0" fontId="1" fillId="25" borderId="0" applyNumberFormat="0" applyBorder="0" applyAlignment="0" applyProtection="0"/>
    <xf numFmtId="0" fontId="1" fillId="19" borderId="0" applyNumberFormat="0" applyBorder="0" applyAlignment="0" applyProtection="0"/>
    <xf numFmtId="0" fontId="63" fillId="0" borderId="120" applyNumberFormat="0" applyFill="0" applyAlignment="0" applyProtection="0"/>
    <xf numFmtId="0" fontId="41" fillId="59" borderId="126" applyNumberFormat="0" applyAlignment="0" applyProtection="0"/>
    <xf numFmtId="0" fontId="47" fillId="46" borderId="119" applyNumberFormat="0" applyAlignment="0" applyProtection="0"/>
    <xf numFmtId="0" fontId="36" fillId="41" borderId="0" applyNumberFormat="0" applyBorder="0" applyAlignment="0" applyProtection="0"/>
    <xf numFmtId="0" fontId="36" fillId="47" borderId="0" applyNumberFormat="0" applyBorder="0" applyAlignment="0" applyProtection="0"/>
    <xf numFmtId="0" fontId="36" fillId="43" borderId="0" applyNumberFormat="0" applyBorder="0" applyAlignment="0" applyProtection="0"/>
    <xf numFmtId="0" fontId="33" fillId="37" borderId="122"/>
    <xf numFmtId="0" fontId="36" fillId="46" borderId="0" applyNumberFormat="0" applyBorder="0" applyAlignment="0" applyProtection="0"/>
    <xf numFmtId="0" fontId="36" fillId="59" borderId="0" applyNumberFormat="0" applyBorder="0" applyAlignment="0" applyProtection="0"/>
    <xf numFmtId="0" fontId="36" fillId="47" borderId="0" applyNumberFormat="0" applyBorder="0" applyAlignment="0" applyProtection="0"/>
    <xf numFmtId="0" fontId="4" fillId="23" borderId="0" applyNumberFormat="0" applyBorder="0" applyAlignment="0" applyProtection="0"/>
    <xf numFmtId="0" fontId="31" fillId="38" borderId="124">
      <alignment horizontal="right" vertical="center"/>
    </xf>
    <xf numFmtId="0" fontId="33" fillId="0" borderId="125">
      <alignment horizontal="left" vertical="center" wrapText="1" indent="2"/>
    </xf>
    <xf numFmtId="0" fontId="31" fillId="38" borderId="122">
      <alignment horizontal="right" vertical="center"/>
    </xf>
    <xf numFmtId="0" fontId="1" fillId="28" borderId="0" applyNumberFormat="0" applyBorder="0" applyAlignment="0" applyProtection="0"/>
    <xf numFmtId="0" fontId="1" fillId="21" borderId="0" applyNumberFormat="0" applyBorder="0" applyAlignment="0" applyProtection="0"/>
    <xf numFmtId="0" fontId="4" fillId="26" borderId="0" applyNumberFormat="0" applyBorder="0" applyAlignment="0" applyProtection="0"/>
    <xf numFmtId="4" fontId="31" fillId="36" borderId="122">
      <alignment horizontal="right" vertical="center"/>
    </xf>
    <xf numFmtId="49" fontId="32" fillId="0" borderId="122" applyNumberFormat="0" applyFill="0" applyBorder="0" applyProtection="0">
      <alignment horizontal="left" vertical="center"/>
    </xf>
    <xf numFmtId="0" fontId="35" fillId="36" borderId="122">
      <alignment horizontal="right" vertical="center"/>
    </xf>
    <xf numFmtId="0" fontId="36" fillId="41" borderId="0" applyNumberFormat="0" applyBorder="0" applyAlignment="0" applyProtection="0"/>
    <xf numFmtId="0" fontId="31" fillId="36" borderId="122">
      <alignment horizontal="right" vertical="center"/>
    </xf>
    <xf numFmtId="177" fontId="33" fillId="63" borderId="122" applyNumberFormat="0" applyFont="0" applyBorder="0" applyAlignment="0" applyProtection="0">
      <alignment horizontal="right" vertical="center"/>
    </xf>
    <xf numFmtId="4" fontId="31" fillId="38" borderId="122">
      <alignment horizontal="right" vertical="center"/>
    </xf>
    <xf numFmtId="0" fontId="1" fillId="22" borderId="0" applyNumberFormat="0" applyBorder="0" applyAlignment="0" applyProtection="0"/>
    <xf numFmtId="0" fontId="1" fillId="24" borderId="0" applyNumberFormat="0" applyBorder="0" applyAlignment="0" applyProtection="0"/>
    <xf numFmtId="0" fontId="31" fillId="38" borderId="124">
      <alignment horizontal="right" vertical="center"/>
    </xf>
    <xf numFmtId="0" fontId="36" fillId="41" borderId="0" applyNumberFormat="0" applyBorder="0" applyAlignment="0" applyProtection="0"/>
    <xf numFmtId="0" fontId="44" fillId="59" borderId="119" applyNumberFormat="0" applyAlignment="0" applyProtection="0"/>
    <xf numFmtId="183" fontId="36" fillId="46" borderId="0" applyNumberFormat="0" applyBorder="0" applyAlignment="0" applyProtection="0"/>
    <xf numFmtId="0" fontId="38" fillId="62" borderId="121" applyNumberFormat="0" applyFont="0" applyAlignment="0" applyProtection="0"/>
    <xf numFmtId="4" fontId="35" fillId="36" borderId="122">
      <alignment horizontal="right" vertical="center"/>
    </xf>
    <xf numFmtId="0" fontId="60" fillId="59" borderId="126" applyNumberFormat="0" applyAlignment="0" applyProtection="0"/>
    <xf numFmtId="0" fontId="1" fillId="21" borderId="0" applyNumberFormat="0" applyBorder="0" applyAlignment="0" applyProtection="0"/>
    <xf numFmtId="4" fontId="31" fillId="36" borderId="122">
      <alignment horizontal="right" vertical="center"/>
    </xf>
    <xf numFmtId="0" fontId="1" fillId="18" borderId="0" applyNumberFormat="0" applyBorder="0" applyAlignment="0" applyProtection="0"/>
    <xf numFmtId="0" fontId="1" fillId="30" borderId="0" applyNumberFormat="0" applyBorder="0" applyAlignment="0" applyProtection="0"/>
    <xf numFmtId="4" fontId="33" fillId="0" borderId="122">
      <alignment horizontal="right" vertical="center"/>
    </xf>
    <xf numFmtId="4" fontId="31" fillId="38" borderId="122">
      <alignment horizontal="right" vertical="center"/>
    </xf>
    <xf numFmtId="49" fontId="32" fillId="0" borderId="122" applyNumberFormat="0" applyFill="0" applyBorder="0" applyProtection="0">
      <alignment horizontal="left" vertical="center"/>
    </xf>
    <xf numFmtId="0" fontId="1" fillId="33" borderId="0" applyNumberFormat="0" applyBorder="0" applyAlignment="0" applyProtection="0"/>
    <xf numFmtId="0" fontId="36" fillId="43" borderId="0" applyNumberFormat="0" applyBorder="0" applyAlignment="0" applyProtection="0"/>
    <xf numFmtId="0" fontId="1" fillId="33" borderId="0" applyNumberFormat="0" applyBorder="0" applyAlignment="0" applyProtection="0"/>
    <xf numFmtId="0" fontId="48" fillId="0" borderId="120" applyNumberFormat="0" applyFill="0" applyAlignment="0" applyProtection="0"/>
    <xf numFmtId="0" fontId="1" fillId="33" borderId="0" applyNumberFormat="0" applyBorder="0" applyAlignment="0" applyProtection="0"/>
    <xf numFmtId="0" fontId="36" fillId="42" borderId="0" applyNumberFormat="0" applyBorder="0" applyAlignment="0" applyProtection="0"/>
    <xf numFmtId="0" fontId="1" fillId="21" borderId="0" applyNumberFormat="0" applyBorder="0" applyAlignment="0" applyProtection="0"/>
    <xf numFmtId="0" fontId="31" fillId="38" borderId="123">
      <alignment horizontal="right" vertical="center"/>
    </xf>
    <xf numFmtId="0" fontId="33" fillId="0" borderId="122" applyNumberFormat="0" applyFill="0" applyAlignment="0" applyProtection="0"/>
    <xf numFmtId="0" fontId="4" fillId="35" borderId="0" applyNumberFormat="0" applyBorder="0" applyAlignment="0" applyProtection="0"/>
    <xf numFmtId="0" fontId="36" fillId="42" borderId="0" applyNumberFormat="0" applyBorder="0" applyAlignment="0" applyProtection="0"/>
    <xf numFmtId="0" fontId="36" fillId="47" borderId="0" applyNumberFormat="0" applyBorder="0" applyAlignment="0" applyProtection="0"/>
    <xf numFmtId="0" fontId="36" fillId="43" borderId="0" applyNumberFormat="0" applyBorder="0" applyAlignment="0" applyProtection="0"/>
    <xf numFmtId="0" fontId="33" fillId="38" borderId="125">
      <alignment horizontal="left" vertical="center" wrapText="1" indent="2"/>
    </xf>
    <xf numFmtId="0" fontId="36" fillId="46" borderId="0" applyNumberFormat="0" applyBorder="0" applyAlignment="0" applyProtection="0"/>
    <xf numFmtId="0" fontId="36" fillId="46" borderId="0" applyNumberFormat="0" applyBorder="0" applyAlignment="0" applyProtection="0"/>
    <xf numFmtId="0" fontId="1" fillId="30" borderId="0" applyNumberFormat="0" applyBorder="0" applyAlignment="0" applyProtection="0"/>
    <xf numFmtId="0" fontId="33" fillId="38" borderId="125">
      <alignment horizontal="left" vertical="center" wrapText="1" indent="2"/>
    </xf>
    <xf numFmtId="177" fontId="33" fillId="63" borderId="122" applyNumberFormat="0" applyFont="0" applyBorder="0" applyAlignment="0" applyProtection="0">
      <alignment horizontal="right" vertical="center"/>
    </xf>
    <xf numFmtId="4" fontId="31" fillId="38" borderId="122">
      <alignment horizontal="right" vertical="center"/>
    </xf>
    <xf numFmtId="0" fontId="36" fillId="44" borderId="0" applyNumberFormat="0" applyBorder="0" applyAlignment="0" applyProtection="0"/>
    <xf numFmtId="0" fontId="36" fillId="43" borderId="0" applyNumberFormat="0" applyBorder="0" applyAlignment="0" applyProtection="0"/>
    <xf numFmtId="0" fontId="36" fillId="46" borderId="0" applyNumberFormat="0" applyBorder="0" applyAlignment="0" applyProtection="0"/>
    <xf numFmtId="0" fontId="33" fillId="38" borderId="125">
      <alignment horizontal="left" vertical="center" wrapText="1" indent="2"/>
    </xf>
    <xf numFmtId="0" fontId="38" fillId="62" borderId="121" applyNumberFormat="0" applyFont="0" applyAlignment="0" applyProtection="0"/>
    <xf numFmtId="4" fontId="33" fillId="0" borderId="122">
      <alignment horizontal="right" vertical="center"/>
    </xf>
    <xf numFmtId="0" fontId="26" fillId="17" borderId="10" applyNumberFormat="0" applyAlignment="0" applyProtection="0"/>
    <xf numFmtId="0" fontId="63" fillId="0" borderId="120" applyNumberFormat="0" applyFill="0" applyAlignment="0" applyProtection="0"/>
    <xf numFmtId="0" fontId="22" fillId="0" borderId="0"/>
    <xf numFmtId="0" fontId="44" fillId="59" borderId="119" applyNumberFormat="0" applyAlignment="0" applyProtection="0"/>
    <xf numFmtId="0" fontId="36" fillId="43" borderId="0" applyNumberFormat="0" applyBorder="0" applyAlignment="0" applyProtection="0"/>
    <xf numFmtId="0" fontId="1" fillId="27" borderId="0" applyNumberFormat="0" applyBorder="0" applyAlignment="0" applyProtection="0"/>
    <xf numFmtId="4" fontId="31" fillId="38" borderId="123">
      <alignment horizontal="right" vertical="center"/>
    </xf>
    <xf numFmtId="0" fontId="44" fillId="59" borderId="119" applyNumberFormat="0" applyAlignment="0" applyProtection="0"/>
    <xf numFmtId="0" fontId="36" fillId="43" borderId="0" applyNumberFormat="0" applyBorder="0" applyAlignment="0" applyProtection="0"/>
    <xf numFmtId="0" fontId="31" fillId="38" borderId="124">
      <alignment horizontal="right" vertical="center"/>
    </xf>
    <xf numFmtId="49" fontId="33" fillId="0" borderId="122" applyNumberFormat="0" applyFont="0" applyFill="0" applyBorder="0" applyProtection="0">
      <alignment horizontal="left" vertical="center" indent="2"/>
    </xf>
    <xf numFmtId="0" fontId="1" fillId="21" borderId="0" applyNumberFormat="0" applyBorder="0" applyAlignment="0" applyProtection="0"/>
    <xf numFmtId="0" fontId="36" fillId="46" borderId="0" applyNumberFormat="0" applyBorder="0" applyAlignment="0" applyProtection="0"/>
    <xf numFmtId="0" fontId="36" fillId="43" borderId="0" applyNumberFormat="0" applyBorder="0" applyAlignment="0" applyProtection="0"/>
    <xf numFmtId="0" fontId="33" fillId="36" borderId="123">
      <alignment horizontal="left" vertical="center"/>
    </xf>
    <xf numFmtId="0" fontId="36" fillId="43" borderId="0" applyNumberFormat="0" applyBorder="0" applyAlignment="0" applyProtection="0"/>
    <xf numFmtId="4" fontId="31" fillId="38" borderId="123">
      <alignment horizontal="right" vertical="center"/>
    </xf>
    <xf numFmtId="0" fontId="33" fillId="36" borderId="123">
      <alignment horizontal="left" vertical="center"/>
    </xf>
    <xf numFmtId="0" fontId="38" fillId="62" borderId="121" applyNumberFormat="0" applyFont="0" applyAlignment="0" applyProtection="0"/>
    <xf numFmtId="0" fontId="43" fillId="59" borderId="119" applyNumberFormat="0" applyAlignment="0" applyProtection="0"/>
    <xf numFmtId="0" fontId="27" fillId="0" borderId="0" applyNumberFormat="0" applyFill="0" applyBorder="0" applyAlignment="0" applyProtection="0"/>
    <xf numFmtId="0" fontId="36" fillId="47" borderId="0" applyNumberFormat="0" applyBorder="0" applyAlignment="0" applyProtection="0"/>
    <xf numFmtId="0" fontId="56" fillId="46" borderId="119" applyNumberFormat="0" applyAlignment="0" applyProtection="0"/>
    <xf numFmtId="4" fontId="33" fillId="0" borderId="122" applyFill="0" applyBorder="0" applyProtection="0">
      <alignment horizontal="right" vertical="center"/>
    </xf>
    <xf numFmtId="0" fontId="33" fillId="0" borderId="125">
      <alignment horizontal="left" vertical="center" wrapText="1" indent="2"/>
    </xf>
    <xf numFmtId="0" fontId="36" fillId="46" borderId="0" applyNumberFormat="0" applyBorder="0" applyAlignment="0" applyProtection="0"/>
    <xf numFmtId="0" fontId="44" fillId="59" borderId="119" applyNumberFormat="0" applyAlignment="0" applyProtection="0"/>
    <xf numFmtId="0" fontId="36" fillId="43" borderId="0" applyNumberFormat="0" applyBorder="0" applyAlignment="0" applyProtection="0"/>
    <xf numFmtId="0" fontId="1" fillId="24" borderId="0" applyNumberFormat="0" applyBorder="0" applyAlignment="0" applyProtection="0"/>
    <xf numFmtId="177" fontId="33" fillId="63" borderId="122" applyNumberFormat="0" applyFont="0" applyBorder="0" applyAlignment="0" applyProtection="0">
      <alignment horizontal="right" vertical="center"/>
    </xf>
    <xf numFmtId="0" fontId="33" fillId="38" borderId="125">
      <alignment horizontal="left" vertical="center" wrapText="1" indent="2"/>
    </xf>
    <xf numFmtId="49" fontId="32" fillId="0" borderId="122" applyNumberFormat="0" applyFill="0" applyBorder="0" applyProtection="0">
      <alignment horizontal="left" vertical="center"/>
    </xf>
    <xf numFmtId="0" fontId="60" fillId="59" borderId="126" applyNumberFormat="0" applyAlignment="0" applyProtection="0"/>
    <xf numFmtId="0" fontId="41" fillId="59" borderId="126" applyNumberFormat="0" applyAlignment="0" applyProtection="0"/>
    <xf numFmtId="0" fontId="60" fillId="59" borderId="126" applyNumberFormat="0" applyAlignment="0" applyProtection="0"/>
    <xf numFmtId="0" fontId="41" fillId="59" borderId="126" applyNumberFormat="0" applyAlignment="0" applyProtection="0"/>
    <xf numFmtId="0" fontId="36" fillId="46" borderId="0" applyNumberFormat="0" applyBorder="0" applyAlignment="0" applyProtection="0"/>
    <xf numFmtId="0" fontId="36" fillId="43" borderId="0" applyNumberFormat="0" applyBorder="0" applyAlignment="0" applyProtection="0"/>
    <xf numFmtId="0" fontId="1" fillId="30" borderId="0" applyNumberFormat="0" applyBorder="0" applyAlignment="0" applyProtection="0"/>
    <xf numFmtId="49" fontId="33" fillId="0" borderId="122" applyNumberFormat="0" applyFont="0" applyFill="0" applyBorder="0" applyProtection="0">
      <alignment horizontal="left" vertical="center" indent="2"/>
    </xf>
    <xf numFmtId="0" fontId="47" fillId="46" borderId="119" applyNumberFormat="0" applyAlignment="0" applyProtection="0"/>
    <xf numFmtId="0" fontId="1" fillId="24" borderId="0" applyNumberFormat="0" applyBorder="0" applyAlignment="0" applyProtection="0"/>
    <xf numFmtId="0" fontId="36" fillId="41"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36" fillId="45" borderId="0" applyNumberFormat="0" applyBorder="0" applyAlignment="0" applyProtection="0"/>
    <xf numFmtId="0" fontId="4" fillId="29" borderId="0" applyNumberFormat="0" applyBorder="0" applyAlignment="0" applyProtection="0"/>
    <xf numFmtId="0" fontId="36" fillId="44" borderId="0" applyNumberFormat="0" applyBorder="0" applyAlignment="0" applyProtection="0"/>
    <xf numFmtId="4" fontId="31" fillId="38" borderId="122">
      <alignment horizontal="right" vertical="center"/>
    </xf>
    <xf numFmtId="0" fontId="31" fillId="38" borderId="122">
      <alignment horizontal="right" vertical="center"/>
    </xf>
    <xf numFmtId="0" fontId="33" fillId="38" borderId="125">
      <alignment horizontal="left" vertical="center" wrapText="1" indent="2"/>
    </xf>
    <xf numFmtId="0" fontId="43" fillId="59" borderId="119" applyNumberFormat="0" applyAlignment="0" applyProtection="0"/>
    <xf numFmtId="0" fontId="47" fillId="46" borderId="119" applyNumberFormat="0" applyAlignment="0" applyProtection="0"/>
    <xf numFmtId="177" fontId="33" fillId="63" borderId="122" applyNumberFormat="0" applyFont="0" applyBorder="0" applyAlignment="0" applyProtection="0">
      <alignment horizontal="right" vertical="center"/>
    </xf>
    <xf numFmtId="0" fontId="33" fillId="38" borderId="125">
      <alignment horizontal="left" vertical="center" wrapText="1" indent="2"/>
    </xf>
    <xf numFmtId="4" fontId="33" fillId="0" borderId="122">
      <alignment horizontal="right" vertical="center"/>
    </xf>
    <xf numFmtId="0" fontId="36" fillId="43" borderId="0" applyNumberFormat="0" applyBorder="0" applyAlignment="0" applyProtection="0"/>
    <xf numFmtId="0" fontId="33" fillId="0" borderId="122">
      <alignment horizontal="right" vertical="center"/>
    </xf>
    <xf numFmtId="0" fontId="1" fillId="33" borderId="0" applyNumberFormat="0" applyBorder="0" applyAlignment="0" applyProtection="0"/>
    <xf numFmtId="183" fontId="36" fillId="138" borderId="0" applyNumberFormat="0" applyBorder="0" applyAlignment="0" applyProtection="0"/>
    <xf numFmtId="0" fontId="36" fillId="47" borderId="0" applyNumberFormat="0" applyBorder="0" applyAlignment="0" applyProtection="0"/>
    <xf numFmtId="0" fontId="36" fillId="44" borderId="0" applyNumberFormat="0" applyBorder="0" applyAlignment="0" applyProtection="0"/>
    <xf numFmtId="4" fontId="31" fillId="38" borderId="122">
      <alignment horizontal="right" vertical="center"/>
    </xf>
    <xf numFmtId="0" fontId="35" fillId="36" borderId="122">
      <alignment horizontal="right" vertical="center"/>
    </xf>
    <xf numFmtId="0" fontId="47" fillId="46" borderId="119" applyNumberFormat="0" applyAlignment="0" applyProtection="0"/>
    <xf numFmtId="0" fontId="44" fillId="59" borderId="119" applyNumberFormat="0" applyAlignment="0" applyProtection="0"/>
    <xf numFmtId="4" fontId="33" fillId="0" borderId="122">
      <alignment horizontal="right" vertical="center"/>
    </xf>
    <xf numFmtId="0" fontId="33" fillId="38" borderId="125">
      <alignment horizontal="left" vertical="center" wrapText="1" indent="2"/>
    </xf>
    <xf numFmtId="0" fontId="33" fillId="0" borderId="125">
      <alignment horizontal="left" vertical="center" wrapText="1" indent="2"/>
    </xf>
    <xf numFmtId="0" fontId="60" fillId="59" borderId="126" applyNumberFormat="0" applyAlignment="0" applyProtection="0"/>
    <xf numFmtId="0" fontId="56" fillId="46" borderId="119" applyNumberFormat="0" applyAlignment="0" applyProtection="0"/>
    <xf numFmtId="0" fontId="43" fillId="59" borderId="119" applyNumberFormat="0" applyAlignment="0" applyProtection="0"/>
    <xf numFmtId="0" fontId="41" fillId="59" borderId="126" applyNumberFormat="0" applyAlignment="0" applyProtection="0"/>
    <xf numFmtId="0" fontId="31" fillId="38" borderId="124">
      <alignment horizontal="right" vertical="center"/>
    </xf>
    <xf numFmtId="0" fontId="35" fillId="36" borderId="122">
      <alignment horizontal="right" vertical="center"/>
    </xf>
    <xf numFmtId="4" fontId="31" fillId="36" borderId="122">
      <alignment horizontal="right" vertical="center"/>
    </xf>
    <xf numFmtId="4" fontId="31" fillId="38" borderId="122">
      <alignment horizontal="right" vertical="center"/>
    </xf>
    <xf numFmtId="49" fontId="33" fillId="0" borderId="123" applyNumberFormat="0" applyFont="0" applyFill="0" applyBorder="0" applyProtection="0">
      <alignment horizontal="left" vertical="center" indent="5"/>
    </xf>
    <xf numFmtId="4" fontId="33" fillId="0" borderId="122" applyFill="0" applyBorder="0" applyProtection="0">
      <alignment horizontal="right" vertical="center"/>
    </xf>
    <xf numFmtId="4" fontId="31" fillId="36" borderId="122">
      <alignment horizontal="right" vertical="center"/>
    </xf>
    <xf numFmtId="0" fontId="56" fillId="46" borderId="119" applyNumberFormat="0" applyAlignment="0" applyProtection="0"/>
    <xf numFmtId="0" fontId="47" fillId="46" borderId="119" applyNumberFormat="0" applyAlignment="0" applyProtection="0"/>
    <xf numFmtId="0" fontId="43" fillId="59" borderId="119" applyNumberFormat="0" applyAlignment="0" applyProtection="0"/>
    <xf numFmtId="0" fontId="33" fillId="38" borderId="125">
      <alignment horizontal="left" vertical="center" wrapText="1" indent="2"/>
    </xf>
    <xf numFmtId="0" fontId="33" fillId="0" borderId="125">
      <alignment horizontal="left" vertical="center" wrapText="1" indent="2"/>
    </xf>
    <xf numFmtId="0" fontId="33" fillId="38" borderId="125">
      <alignment horizontal="left" vertical="center" wrapText="1" indent="2"/>
    </xf>
    <xf numFmtId="0" fontId="1" fillId="19" borderId="0" applyNumberFormat="0" applyBorder="0" applyAlignment="0" applyProtection="0"/>
    <xf numFmtId="0" fontId="36" fillId="43"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183" fontId="36" fillId="48"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8" borderId="0" applyNumberFormat="0" applyBorder="0" applyAlignment="0" applyProtection="0"/>
    <xf numFmtId="0" fontId="36"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83" fontId="36" fillId="13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1" fillId="21" borderId="0" applyNumberFormat="0" applyBorder="0" applyAlignment="0" applyProtection="0"/>
    <xf numFmtId="0" fontId="36" fillId="42" borderId="0" applyNumberFormat="0" applyBorder="0" applyAlignment="0" applyProtection="0"/>
    <xf numFmtId="183" fontId="201" fillId="0" borderId="0"/>
    <xf numFmtId="0" fontId="36" fillId="44" borderId="0" applyNumberFormat="0" applyBorder="0" applyAlignment="0" applyProtection="0"/>
    <xf numFmtId="0" fontId="36" fillId="46" borderId="0" applyNumberFormat="0" applyBorder="0" applyAlignment="0" applyProtection="0"/>
    <xf numFmtId="0" fontId="1" fillId="24" borderId="0" applyNumberFormat="0" applyBorder="0" applyAlignment="0" applyProtection="0"/>
    <xf numFmtId="0" fontId="1" fillId="33" borderId="0" applyNumberFormat="0" applyBorder="0" applyAlignment="0" applyProtection="0"/>
    <xf numFmtId="0" fontId="36" fillId="41" borderId="0" applyNumberFormat="0" applyBorder="0" applyAlignment="0" applyProtection="0"/>
    <xf numFmtId="183" fontId="36" fillId="133" borderId="0" applyNumberFormat="0" applyBorder="0" applyAlignment="0" applyProtection="0"/>
    <xf numFmtId="0" fontId="36" fillId="46"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36" fillId="41" borderId="0" applyNumberFormat="0" applyBorder="0" applyAlignment="0" applyProtection="0"/>
    <xf numFmtId="0" fontId="1" fillId="24" borderId="0" applyNumberFormat="0" applyBorder="0" applyAlignment="0" applyProtection="0"/>
    <xf numFmtId="0" fontId="36" fillId="4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6" borderId="0" applyNumberFormat="0" applyBorder="0" applyAlignment="0" applyProtection="0"/>
    <xf numFmtId="0" fontId="1" fillId="19" borderId="0" applyNumberFormat="0" applyBorder="0" applyAlignment="0" applyProtection="0"/>
    <xf numFmtId="0" fontId="36" fillId="43" borderId="0" applyNumberFormat="0" applyBorder="0" applyAlignment="0" applyProtection="0"/>
    <xf numFmtId="0" fontId="1" fillId="19" borderId="0" applyNumberFormat="0" applyBorder="0" applyAlignment="0" applyProtection="0"/>
    <xf numFmtId="0" fontId="36" fillId="42"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30" borderId="0" applyNumberFormat="0" applyBorder="0" applyAlignment="0" applyProtection="0"/>
    <xf numFmtId="0" fontId="3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36" fillId="45" borderId="0" applyNumberFormat="0" applyBorder="0" applyAlignment="0" applyProtection="0"/>
    <xf numFmtId="0" fontId="1" fillId="27" borderId="0" applyNumberFormat="0" applyBorder="0" applyAlignment="0" applyProtection="0"/>
    <xf numFmtId="0" fontId="36" fillId="44"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27"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3" borderId="0" applyNumberFormat="0" applyBorder="0" applyAlignment="0" applyProtection="0"/>
    <xf numFmtId="0" fontId="36" fillId="41" borderId="0" applyNumberFormat="0" applyBorder="0" applyAlignment="0" applyProtection="0"/>
    <xf numFmtId="183" fontId="36" fillId="4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3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1" borderId="0" applyNumberFormat="0" applyBorder="0" applyAlignment="0" applyProtection="0"/>
    <xf numFmtId="0" fontId="36" fillId="46"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183" fontId="36" fillId="45" borderId="0" applyNumberFormat="0" applyBorder="0" applyAlignment="0" applyProtection="0"/>
    <xf numFmtId="0" fontId="36" fillId="44" borderId="0" applyNumberFormat="0" applyBorder="0" applyAlignment="0" applyProtection="0"/>
    <xf numFmtId="0" fontId="36" fillId="41" borderId="0" applyNumberFormat="0" applyBorder="0" applyAlignment="0" applyProtection="0"/>
    <xf numFmtId="0" fontId="1" fillId="18"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6" borderId="0" applyNumberFormat="0" applyBorder="0" applyAlignment="0" applyProtection="0"/>
    <xf numFmtId="0" fontId="36" fillId="44" borderId="0" applyNumberFormat="0" applyBorder="0" applyAlignment="0" applyProtection="0"/>
    <xf numFmtId="0" fontId="36" fillId="4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36" fillId="44" borderId="0" applyNumberFormat="0" applyBorder="0" applyAlignment="0" applyProtection="0"/>
    <xf numFmtId="0" fontId="1" fillId="30"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54" fillId="0" borderId="0"/>
    <xf numFmtId="0" fontId="1" fillId="33" borderId="0" applyNumberFormat="0" applyBorder="0" applyAlignment="0" applyProtection="0"/>
    <xf numFmtId="0" fontId="1" fillId="18" borderId="0" applyNumberFormat="0" applyBorder="0" applyAlignment="0" applyProtection="0"/>
    <xf numFmtId="0" fontId="36" fillId="43" borderId="0" applyNumberFormat="0" applyBorder="0" applyAlignment="0" applyProtection="0"/>
    <xf numFmtId="0" fontId="19" fillId="0" borderId="0" applyBorder="0"/>
    <xf numFmtId="0" fontId="1" fillId="30" borderId="0" applyNumberFormat="0" applyBorder="0" applyAlignment="0" applyProtection="0"/>
    <xf numFmtId="0" fontId="36" fillId="45" borderId="0" applyNumberFormat="0" applyBorder="0" applyAlignment="0" applyProtection="0"/>
    <xf numFmtId="0" fontId="1" fillId="33"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36" fillId="6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36" fillId="41" borderId="0" applyNumberFormat="0" applyBorder="0" applyAlignment="0" applyProtection="0"/>
    <xf numFmtId="0" fontId="36" fillId="46" borderId="0" applyNumberFormat="0" applyBorder="0" applyAlignment="0" applyProtection="0"/>
    <xf numFmtId="0" fontId="36" fillId="44"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36" fillId="62"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42" borderId="0" applyNumberFormat="0" applyBorder="0" applyAlignment="0" applyProtection="0"/>
    <xf numFmtId="0" fontId="36" fillId="4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183" fontId="36" fillId="45"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6"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6" borderId="0" applyNumberFormat="0" applyBorder="0" applyAlignment="0" applyProtection="0"/>
    <xf numFmtId="0" fontId="1" fillId="33" borderId="0" applyNumberFormat="0" applyBorder="0" applyAlignment="0" applyProtection="0"/>
    <xf numFmtId="0" fontId="1" fillId="27" borderId="0" applyNumberFormat="0" applyBorder="0" applyAlignment="0" applyProtection="0"/>
    <xf numFmtId="0" fontId="36" fillId="44" borderId="0" applyNumberFormat="0" applyBorder="0" applyAlignment="0" applyProtection="0"/>
    <xf numFmtId="0" fontId="1" fillId="24" borderId="0" applyNumberFormat="0" applyBorder="0" applyAlignment="0" applyProtection="0"/>
    <xf numFmtId="0" fontId="36" fillId="44" borderId="0" applyNumberFormat="0" applyBorder="0" applyAlignment="0" applyProtection="0"/>
    <xf numFmtId="0" fontId="1" fillId="27"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6" borderId="0" applyNumberFormat="0" applyBorder="0" applyAlignment="0" applyProtection="0"/>
    <xf numFmtId="0" fontId="1" fillId="19" borderId="0" applyNumberFormat="0" applyBorder="0" applyAlignment="0" applyProtection="0"/>
    <xf numFmtId="0" fontId="36" fillId="42" borderId="0" applyNumberFormat="0" applyBorder="0" applyAlignment="0" applyProtection="0"/>
    <xf numFmtId="0" fontId="36" fillId="46" borderId="0" applyNumberFormat="0" applyBorder="0" applyAlignment="0" applyProtection="0"/>
    <xf numFmtId="0" fontId="1" fillId="24" borderId="0" applyNumberFormat="0" applyBorder="0" applyAlignment="0" applyProtection="0"/>
    <xf numFmtId="0" fontId="36" fillId="43" borderId="0" applyNumberFormat="0" applyBorder="0" applyAlignment="0" applyProtection="0"/>
    <xf numFmtId="0" fontId="1" fillId="27"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6" borderId="0" applyNumberFormat="0" applyBorder="0" applyAlignment="0" applyProtection="0"/>
    <xf numFmtId="0" fontId="36" fillId="4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27" borderId="0" applyNumberFormat="0" applyBorder="0" applyAlignment="0" applyProtection="0"/>
    <xf numFmtId="0" fontId="36" fillId="44" borderId="0" applyNumberFormat="0" applyBorder="0" applyAlignment="0" applyProtection="0"/>
    <xf numFmtId="0" fontId="36"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36" fillId="4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1" fillId="27" borderId="0" applyNumberFormat="0" applyBorder="0" applyAlignment="0" applyProtection="0"/>
    <xf numFmtId="183" fontId="36" fillId="136"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1" fillId="19" borderId="0" applyNumberFormat="0" applyBorder="0" applyAlignment="0" applyProtection="0"/>
    <xf numFmtId="0" fontId="36" fillId="62" borderId="0" applyNumberFormat="0" applyBorder="0" applyAlignment="0" applyProtection="0"/>
    <xf numFmtId="183" fontId="36" fillId="6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6" borderId="0" applyNumberFormat="0" applyBorder="0" applyAlignment="0" applyProtection="0"/>
    <xf numFmtId="0" fontId="1" fillId="33" borderId="0" applyNumberFormat="0" applyBorder="0" applyAlignment="0" applyProtection="0"/>
    <xf numFmtId="183" fontId="36" fillId="131" borderId="0" applyNumberFormat="0" applyBorder="0" applyAlignment="0" applyProtection="0"/>
    <xf numFmtId="0" fontId="36" fillId="46"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36" fillId="43" borderId="0" applyNumberFormat="0" applyBorder="0" applyAlignment="0" applyProtection="0"/>
    <xf numFmtId="0" fontId="36" fillId="42"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18"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1" fillId="33" borderId="0" applyNumberFormat="0" applyBorder="0" applyAlignment="0" applyProtection="0"/>
    <xf numFmtId="0" fontId="36" fillId="41" borderId="0" applyNumberFormat="0" applyBorder="0" applyAlignment="0" applyProtection="0"/>
    <xf numFmtId="0" fontId="1" fillId="30" borderId="0" applyNumberFormat="0" applyBorder="0" applyAlignment="0" applyProtection="0"/>
    <xf numFmtId="0" fontId="36" fillId="62"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36" fillId="41" borderId="0" applyNumberFormat="0" applyBorder="0" applyAlignment="0" applyProtection="0"/>
    <xf numFmtId="0" fontId="36" fillId="45" borderId="0" applyNumberFormat="0" applyBorder="0" applyAlignment="0" applyProtection="0"/>
    <xf numFmtId="183" fontId="36" fillId="1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83" fontId="36" fillId="62" borderId="0" applyNumberFormat="0" applyBorder="0" applyAlignment="0" applyProtection="0"/>
    <xf numFmtId="0" fontId="1" fillId="19" borderId="0" applyNumberFormat="0" applyBorder="0" applyAlignment="0" applyProtection="0"/>
    <xf numFmtId="0" fontId="36" fillId="4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36" fillId="42"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30" borderId="0" applyNumberFormat="0" applyBorder="0" applyAlignment="0" applyProtection="0"/>
    <xf numFmtId="0" fontId="3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1" fillId="3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178" fontId="19" fillId="0" borderId="0" applyBorder="0"/>
    <xf numFmtId="0" fontId="1" fillId="18" borderId="0" applyNumberFormat="0" applyBorder="0" applyAlignment="0" applyProtection="0"/>
    <xf numFmtId="0" fontId="36" fillId="43" borderId="0" applyNumberFormat="0" applyBorder="0" applyAlignment="0" applyProtection="0"/>
    <xf numFmtId="0" fontId="36" fillId="41" borderId="0" applyNumberFormat="0" applyBorder="0" applyAlignment="0" applyProtection="0"/>
    <xf numFmtId="0" fontId="36" fillId="46" borderId="0" applyNumberFormat="0" applyBorder="0" applyAlignment="0" applyProtection="0"/>
    <xf numFmtId="0" fontId="1" fillId="27" borderId="0" applyNumberFormat="0" applyBorder="0" applyAlignment="0" applyProtection="0"/>
    <xf numFmtId="0" fontId="3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62"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36" fillId="41" borderId="0" applyNumberFormat="0" applyBorder="0" applyAlignment="0" applyProtection="0"/>
    <xf numFmtId="0" fontId="1" fillId="18"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6" borderId="0" applyNumberFormat="0" applyBorder="0" applyAlignment="0" applyProtection="0"/>
    <xf numFmtId="0" fontId="36" fillId="44" borderId="0" applyNumberFormat="0" applyBorder="0" applyAlignment="0" applyProtection="0"/>
    <xf numFmtId="0" fontId="36" fillId="41" borderId="0" applyNumberFormat="0" applyBorder="0" applyAlignment="0" applyProtection="0"/>
    <xf numFmtId="183" fontId="36" fillId="139" borderId="0" applyNumberFormat="0" applyBorder="0" applyAlignment="0" applyProtection="0"/>
    <xf numFmtId="0" fontId="1" fillId="27"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183" fontId="36" fillId="62" borderId="0" applyNumberFormat="0" applyBorder="0" applyAlignment="0" applyProtection="0"/>
    <xf numFmtId="0" fontId="36" fillId="43" borderId="0" applyNumberFormat="0" applyBorder="0" applyAlignment="0" applyProtection="0"/>
    <xf numFmtId="0" fontId="1" fillId="18" borderId="0" applyNumberFormat="0" applyBorder="0" applyAlignment="0" applyProtection="0"/>
    <xf numFmtId="178" fontId="19" fillId="0" borderId="0"/>
    <xf numFmtId="0" fontId="1" fillId="33" borderId="0" applyNumberFormat="0" applyBorder="0" applyAlignment="0" applyProtection="0"/>
    <xf numFmtId="0" fontId="1" fillId="18" borderId="0" applyNumberFormat="0" applyBorder="0" applyAlignment="0" applyProtection="0"/>
    <xf numFmtId="0" fontId="36" fillId="43" borderId="0" applyNumberFormat="0" applyBorder="0" applyAlignment="0" applyProtection="0"/>
    <xf numFmtId="164" fontId="36" fillId="0" borderId="0"/>
    <xf numFmtId="0" fontId="36" fillId="45" borderId="0" applyNumberFormat="0" applyBorder="0" applyAlignment="0" applyProtection="0"/>
    <xf numFmtId="0" fontId="36" fillId="45" borderId="0" applyNumberFormat="0" applyBorder="0" applyAlignment="0" applyProtection="0"/>
    <xf numFmtId="0" fontId="1" fillId="33"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1" fillId="30"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6" fillId="4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4" borderId="0" applyNumberFormat="0" applyBorder="0" applyAlignment="0" applyProtection="0"/>
    <xf numFmtId="0" fontId="1" fillId="18" borderId="0" applyNumberFormat="0" applyBorder="0" applyAlignment="0" applyProtection="0"/>
    <xf numFmtId="0" fontId="36" fillId="46" borderId="0" applyNumberFormat="0" applyBorder="0" applyAlignment="0" applyProtection="0"/>
    <xf numFmtId="0" fontId="36" fillId="41"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33" borderId="0" applyNumberFormat="0" applyBorder="0" applyAlignment="0" applyProtection="0"/>
    <xf numFmtId="0" fontId="36" fillId="62" borderId="0" applyNumberFormat="0" applyBorder="0" applyAlignment="0" applyProtection="0"/>
    <xf numFmtId="183" fontId="36" fillId="131" borderId="0" applyNumberFormat="0" applyBorder="0" applyAlignment="0" applyProtection="0"/>
    <xf numFmtId="0" fontId="36"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42" borderId="0" applyNumberFormat="0" applyBorder="0" applyAlignment="0" applyProtection="0"/>
    <xf numFmtId="0" fontId="36" fillId="4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6"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6" borderId="0" applyNumberFormat="0" applyBorder="0" applyAlignment="0" applyProtection="0"/>
    <xf numFmtId="0" fontId="1" fillId="3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183" fontId="36" fillId="46" borderId="0" applyNumberFormat="0" applyBorder="0" applyAlignment="0" applyProtection="0"/>
    <xf numFmtId="0" fontId="1" fillId="27" borderId="0" applyNumberFormat="0" applyBorder="0" applyAlignment="0" applyProtection="0"/>
    <xf numFmtId="0" fontId="36" fillId="43" borderId="0" applyNumberFormat="0" applyBorder="0" applyAlignment="0" applyProtection="0"/>
    <xf numFmtId="0" fontId="36" fillId="45"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6" fillId="42" borderId="0" applyNumberFormat="0" applyBorder="0" applyAlignment="0" applyProtection="0"/>
    <xf numFmtId="0" fontId="1" fillId="33" borderId="0" applyNumberFormat="0" applyBorder="0" applyAlignment="0" applyProtection="0"/>
    <xf numFmtId="183" fontId="36" fillId="62" borderId="0" applyNumberFormat="0" applyBorder="0" applyAlignment="0" applyProtection="0"/>
    <xf numFmtId="0" fontId="1" fillId="27" borderId="0" applyNumberFormat="0" applyBorder="0" applyAlignment="0" applyProtection="0"/>
    <xf numFmtId="0" fontId="36" fillId="45" borderId="0" applyNumberFormat="0" applyBorder="0" applyAlignment="0" applyProtection="0"/>
    <xf numFmtId="0" fontId="36" fillId="44" borderId="0" applyNumberFormat="0" applyBorder="0" applyAlignment="0" applyProtection="0"/>
    <xf numFmtId="0" fontId="1" fillId="27" borderId="0" applyNumberFormat="0" applyBorder="0" applyAlignment="0" applyProtection="0"/>
    <xf numFmtId="0" fontId="36" fillId="44" borderId="0" applyNumberFormat="0" applyBorder="0" applyAlignment="0" applyProtection="0"/>
    <xf numFmtId="0" fontId="1" fillId="2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19"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183" fontId="36" fillId="140"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1" fillId="22" borderId="0" applyNumberFormat="0" applyBorder="0" applyAlignment="0" applyProtection="0"/>
    <xf numFmtId="0" fontId="36" fillId="4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1" fillId="22" borderId="0" applyNumberFormat="0" applyBorder="0" applyAlignment="0" applyProtection="0"/>
    <xf numFmtId="183" fontId="36" fillId="1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3" fontId="36" fillId="48" borderId="0" applyNumberFormat="0" applyBorder="0" applyAlignment="0" applyProtection="0"/>
    <xf numFmtId="0" fontId="36" fillId="4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183"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183"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183"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1" fillId="22"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183" fontId="36" fillId="142"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1" fillId="25" borderId="0" applyNumberFormat="0" applyBorder="0" applyAlignment="0" applyProtection="0"/>
    <xf numFmtId="0" fontId="3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25" borderId="0" applyNumberFormat="0" applyBorder="0" applyAlignment="0" applyProtection="0"/>
    <xf numFmtId="183" fontId="36" fillId="1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61" borderId="0" applyNumberFormat="0" applyBorder="0" applyAlignment="0" applyProtection="0"/>
    <xf numFmtId="183" fontId="36" fillId="61" borderId="0" applyNumberFormat="0" applyBorder="0" applyAlignment="0" applyProtection="0"/>
    <xf numFmtId="0" fontId="3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183" fontId="36" fillId="61"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183" fontId="36" fillId="61"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183"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1"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183" fontId="36" fillId="142"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42" borderId="0" applyNumberFormat="0" applyBorder="0" applyAlignment="0" applyProtection="0"/>
    <xf numFmtId="0" fontId="1" fillId="28" borderId="0" applyNumberFormat="0" applyBorder="0" applyAlignment="0" applyProtection="0"/>
    <xf numFmtId="0" fontId="36" fillId="4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28" borderId="0" applyNumberFormat="0" applyBorder="0" applyAlignment="0" applyProtection="0"/>
    <xf numFmtId="183" fontId="36" fillId="1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6" fillId="59" borderId="0" applyNumberFormat="0" applyBorder="0" applyAlignment="0" applyProtection="0"/>
    <xf numFmtId="0" fontId="36" fillId="59"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59" borderId="0" applyNumberFormat="0" applyBorder="0" applyAlignment="0" applyProtection="0"/>
    <xf numFmtId="183" fontId="36" fillId="59" borderId="0" applyNumberFormat="0" applyBorder="0" applyAlignment="0" applyProtection="0"/>
    <xf numFmtId="0" fontId="36" fillId="4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183" fontId="36" fillId="59"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183" fontId="36" fillId="59"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183"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1" fillId="28"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183" fontId="36" fillId="1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5" borderId="0" applyNumberFormat="0" applyBorder="0" applyAlignment="0" applyProtection="0"/>
    <xf numFmtId="0" fontId="1" fillId="31" borderId="0" applyNumberFormat="0" applyBorder="0" applyAlignment="0" applyProtection="0"/>
    <xf numFmtId="0" fontId="36"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1" borderId="0" applyNumberFormat="0" applyBorder="0" applyAlignment="0" applyProtection="0"/>
    <xf numFmtId="183" fontId="36" fillId="1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3" fontId="36" fillId="47" borderId="0" applyNumberFormat="0" applyBorder="0" applyAlignment="0" applyProtection="0"/>
    <xf numFmtId="0" fontId="36"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183"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183"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183"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1" fillId="31"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183" fontId="36" fillId="145"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2" borderId="0" applyNumberFormat="0" applyBorder="0" applyAlignment="0" applyProtection="0"/>
    <xf numFmtId="0" fontId="1" fillId="34" borderId="0" applyNumberFormat="0" applyBorder="0" applyAlignment="0" applyProtection="0"/>
    <xf numFmtId="0" fontId="36" fillId="5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34" borderId="0" applyNumberFormat="0" applyBorder="0" applyAlignment="0" applyProtection="0"/>
    <xf numFmtId="183" fontId="36" fillId="1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61" borderId="0" applyNumberFormat="0" applyBorder="0" applyAlignment="0" applyProtection="0"/>
    <xf numFmtId="183" fontId="36" fillId="61" borderId="0" applyNumberFormat="0" applyBorder="0" applyAlignment="0" applyProtection="0"/>
    <xf numFmtId="0" fontId="36" fillId="5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183" fontId="36" fillId="6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183" fontId="36" fillId="6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183"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1" fillId="3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183" fontId="36" fillId="13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4" fillId="20" borderId="0" applyNumberFormat="0" applyBorder="0" applyAlignment="0" applyProtection="0"/>
    <xf numFmtId="183" fontId="39" fillId="147" borderId="0" applyNumberFormat="0" applyBorder="0" applyAlignment="0" applyProtection="0"/>
    <xf numFmtId="0" fontId="39" fillId="51"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3" borderId="0" applyNumberFormat="0" applyBorder="0" applyAlignment="0" applyProtection="0"/>
    <xf numFmtId="183" fontId="39" fillId="5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9" fillId="51" borderId="0" applyNumberFormat="0" applyBorder="0" applyAlignment="0" applyProtection="0"/>
    <xf numFmtId="183" fontId="39" fillId="53" borderId="0" applyNumberFormat="0" applyBorder="0" applyAlignment="0" applyProtection="0"/>
    <xf numFmtId="0" fontId="39" fillId="51" borderId="0" applyNumberFormat="0" applyBorder="0" applyAlignment="0" applyProtection="0"/>
    <xf numFmtId="183" fontId="39" fillId="53" borderId="0" applyNumberFormat="0" applyBorder="0" applyAlignment="0" applyProtection="0"/>
    <xf numFmtId="0" fontId="39" fillId="51" borderId="0" applyNumberFormat="0" applyBorder="0" applyAlignment="0" applyProtection="0"/>
    <xf numFmtId="183" fontId="39" fillId="51" borderId="0" applyNumberFormat="0" applyBorder="0" applyAlignment="0" applyProtection="0"/>
    <xf numFmtId="0" fontId="39" fillId="51" borderId="0" applyNumberFormat="0" applyBorder="0" applyAlignment="0" applyProtection="0"/>
    <xf numFmtId="0" fontId="4" fillId="20" borderId="0" applyNumberFormat="0" applyBorder="0" applyAlignment="0" applyProtection="0"/>
    <xf numFmtId="0" fontId="39" fillId="51" borderId="0" applyNumberFormat="0" applyBorder="0" applyAlignment="0" applyProtection="0"/>
    <xf numFmtId="183" fontId="39" fillId="148"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58"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4" fillId="23" borderId="0" applyNumberFormat="0" applyBorder="0" applyAlignment="0" applyProtection="0"/>
    <xf numFmtId="183" fontId="39" fillId="141" borderId="0" applyNumberFormat="0" applyBorder="0" applyAlignment="0" applyProtection="0"/>
    <xf numFmtId="0" fontId="39" fillId="48"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183"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4" fillId="23" borderId="0" applyNumberFormat="0" applyBorder="0" applyAlignment="0" applyProtection="0"/>
    <xf numFmtId="183" fontId="39" fillId="48" borderId="0" applyNumberFormat="0" applyBorder="0" applyAlignment="0" applyProtection="0"/>
    <xf numFmtId="0" fontId="39" fillId="48" borderId="0" applyNumberFormat="0" applyBorder="0" applyAlignment="0" applyProtection="0"/>
    <xf numFmtId="183" fontId="39" fillId="48" borderId="0" applyNumberFormat="0" applyBorder="0" applyAlignment="0" applyProtection="0"/>
    <xf numFmtId="0" fontId="39" fillId="48" borderId="0" applyNumberFormat="0" applyBorder="0" applyAlignment="0" applyProtection="0"/>
    <xf numFmtId="183" fontId="39" fillId="48" borderId="0" applyNumberFormat="0" applyBorder="0" applyAlignment="0" applyProtection="0"/>
    <xf numFmtId="0" fontId="39" fillId="48" borderId="0" applyNumberFormat="0" applyBorder="0" applyAlignment="0" applyProtection="0"/>
    <xf numFmtId="0" fontId="4" fillId="23" borderId="0" applyNumberFormat="0" applyBorder="0" applyAlignment="0" applyProtection="0"/>
    <xf numFmtId="0" fontId="39" fillId="48" borderId="0" applyNumberFormat="0" applyBorder="0" applyAlignment="0" applyProtection="0"/>
    <xf numFmtId="183" fontId="39" fillId="149"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 fillId="26" borderId="0" applyNumberFormat="0" applyBorder="0" applyAlignment="0" applyProtection="0"/>
    <xf numFmtId="183" fontId="39" fillId="143" borderId="0" applyNumberFormat="0" applyBorder="0" applyAlignment="0" applyProtection="0"/>
    <xf numFmtId="0" fontId="39" fillId="4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61" borderId="0" applyNumberFormat="0" applyBorder="0" applyAlignment="0" applyProtection="0"/>
    <xf numFmtId="183" fontId="39" fillId="61"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39" fillId="49" borderId="0" applyNumberFormat="0" applyBorder="0" applyAlignment="0" applyProtection="0"/>
    <xf numFmtId="183" fontId="39" fillId="61" borderId="0" applyNumberFormat="0" applyBorder="0" applyAlignment="0" applyProtection="0"/>
    <xf numFmtId="0" fontId="39" fillId="49" borderId="0" applyNumberFormat="0" applyBorder="0" applyAlignment="0" applyProtection="0"/>
    <xf numFmtId="183" fontId="39" fillId="61" borderId="0" applyNumberFormat="0" applyBorder="0" applyAlignment="0" applyProtection="0"/>
    <xf numFmtId="0" fontId="39" fillId="49" borderId="0" applyNumberFormat="0" applyBorder="0" applyAlignment="0" applyProtection="0"/>
    <xf numFmtId="183" fontId="39" fillId="49" borderId="0" applyNumberFormat="0" applyBorder="0" applyAlignment="0" applyProtection="0"/>
    <xf numFmtId="0" fontId="39" fillId="49" borderId="0" applyNumberFormat="0" applyBorder="0" applyAlignment="0" applyProtection="0"/>
    <xf numFmtId="0" fontId="4" fillId="26" borderId="0" applyNumberFormat="0" applyBorder="0" applyAlignment="0" applyProtection="0"/>
    <xf numFmtId="0" fontId="39" fillId="49" borderId="0" applyNumberFormat="0" applyBorder="0" applyAlignment="0" applyProtection="0"/>
    <xf numFmtId="183" fontId="39" fillId="1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4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4" fillId="29" borderId="0" applyNumberFormat="0" applyBorder="0" applyAlignment="0" applyProtection="0"/>
    <xf numFmtId="183" fontId="39" fillId="140" borderId="0" applyNumberFormat="0" applyBorder="0" applyAlignment="0" applyProtection="0"/>
    <xf numFmtId="0" fontId="39" fillId="5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9" borderId="0" applyNumberFormat="0" applyBorder="0" applyAlignment="0" applyProtection="0"/>
    <xf numFmtId="183" fontId="39" fillId="5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52" borderId="0" applyNumberFormat="0" applyBorder="0" applyAlignment="0" applyProtection="0"/>
    <xf numFmtId="183" fontId="39" fillId="59" borderId="0" applyNumberFormat="0" applyBorder="0" applyAlignment="0" applyProtection="0"/>
    <xf numFmtId="0" fontId="39" fillId="52" borderId="0" applyNumberFormat="0" applyBorder="0" applyAlignment="0" applyProtection="0"/>
    <xf numFmtId="183" fontId="39" fillId="59" borderId="0" applyNumberFormat="0" applyBorder="0" applyAlignment="0" applyProtection="0"/>
    <xf numFmtId="0" fontId="39" fillId="52" borderId="0" applyNumberFormat="0" applyBorder="0" applyAlignment="0" applyProtection="0"/>
    <xf numFmtId="183" fontId="39" fillId="52" borderId="0" applyNumberFormat="0" applyBorder="0" applyAlignment="0" applyProtection="0"/>
    <xf numFmtId="0" fontId="39" fillId="52" borderId="0" applyNumberFormat="0" applyBorder="0" applyAlignment="0" applyProtection="0"/>
    <xf numFmtId="0" fontId="4" fillId="29" borderId="0" applyNumberFormat="0" applyBorder="0" applyAlignment="0" applyProtection="0"/>
    <xf numFmtId="0" fontId="39" fillId="52" borderId="0" applyNumberFormat="0" applyBorder="0" applyAlignment="0" applyProtection="0"/>
    <xf numFmtId="183" fontId="39" fillId="144"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 fillId="32" borderId="0" applyNumberFormat="0" applyBorder="0" applyAlignment="0" applyProtection="0"/>
    <xf numFmtId="183" fontId="39" fillId="150" borderId="0" applyNumberFormat="0" applyBorder="0" applyAlignment="0" applyProtection="0"/>
    <xf numFmtId="0" fontId="39" fillId="5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83"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 fillId="32" borderId="0" applyNumberFormat="0" applyBorder="0" applyAlignment="0" applyProtection="0"/>
    <xf numFmtId="183" fontId="39" fillId="53" borderId="0" applyNumberFormat="0" applyBorder="0" applyAlignment="0" applyProtection="0"/>
    <xf numFmtId="0" fontId="39" fillId="53" borderId="0" applyNumberFormat="0" applyBorder="0" applyAlignment="0" applyProtection="0"/>
    <xf numFmtId="183" fontId="39" fillId="53" borderId="0" applyNumberFormat="0" applyBorder="0" applyAlignment="0" applyProtection="0"/>
    <xf numFmtId="0" fontId="39" fillId="53" borderId="0" applyNumberFormat="0" applyBorder="0" applyAlignment="0" applyProtection="0"/>
    <xf numFmtId="183" fontId="39" fillId="53" borderId="0" applyNumberFormat="0" applyBorder="0" applyAlignment="0" applyProtection="0"/>
    <xf numFmtId="0" fontId="39" fillId="53" borderId="0" applyNumberFormat="0" applyBorder="0" applyAlignment="0" applyProtection="0"/>
    <xf numFmtId="0" fontId="4" fillId="32" borderId="0" applyNumberFormat="0" applyBorder="0" applyAlignment="0" applyProtection="0"/>
    <xf numFmtId="0" fontId="39" fillId="53" borderId="0" applyNumberFormat="0" applyBorder="0" applyAlignment="0" applyProtection="0"/>
    <xf numFmtId="183" fontId="39" fillId="145"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48"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 fillId="35" borderId="0" applyNumberFormat="0" applyBorder="0" applyAlignment="0" applyProtection="0"/>
    <xf numFmtId="183" fontId="39" fillId="151" borderId="0" applyNumberFormat="0" applyBorder="0" applyAlignment="0" applyProtection="0"/>
    <xf numFmtId="0" fontId="39" fillId="5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48" borderId="0" applyNumberFormat="0" applyBorder="0" applyAlignment="0" applyProtection="0"/>
    <xf numFmtId="183" fontId="39" fillId="48"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9" fillId="54" borderId="0" applyNumberFormat="0" applyBorder="0" applyAlignment="0" applyProtection="0"/>
    <xf numFmtId="183" fontId="39" fillId="48" borderId="0" applyNumberFormat="0" applyBorder="0" applyAlignment="0" applyProtection="0"/>
    <xf numFmtId="0" fontId="39" fillId="54" borderId="0" applyNumberFormat="0" applyBorder="0" applyAlignment="0" applyProtection="0"/>
    <xf numFmtId="183" fontId="39" fillId="48" borderId="0" applyNumberFormat="0" applyBorder="0" applyAlignment="0" applyProtection="0"/>
    <xf numFmtId="0" fontId="39" fillId="54" borderId="0" applyNumberFormat="0" applyBorder="0" applyAlignment="0" applyProtection="0"/>
    <xf numFmtId="183" fontId="39" fillId="54" borderId="0" applyNumberFormat="0" applyBorder="0" applyAlignment="0" applyProtection="0"/>
    <xf numFmtId="0" fontId="39" fillId="54" borderId="0" applyNumberFormat="0" applyBorder="0" applyAlignment="0" applyProtection="0"/>
    <xf numFmtId="0" fontId="4" fillId="35" borderId="0" applyNumberFormat="0" applyBorder="0" applyAlignment="0" applyProtection="0"/>
    <xf numFmtId="0" fontId="39" fillId="54" borderId="0" applyNumberFormat="0" applyBorder="0" applyAlignment="0" applyProtection="0"/>
    <xf numFmtId="183" fontId="39" fillId="138"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152" borderId="0" applyNumberFormat="0" applyBorder="0" applyAlignment="0" applyProtection="0"/>
    <xf numFmtId="0" fontId="4" fillId="125" borderId="0" applyNumberFormat="0" applyBorder="0" applyAlignment="0" applyProtection="0"/>
    <xf numFmtId="0" fontId="4" fillId="12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4" fillId="125" borderId="0" applyNumberFormat="0" applyBorder="0" applyAlignment="0" applyProtection="0"/>
    <xf numFmtId="183" fontId="39" fillId="153" borderId="0" applyNumberFormat="0" applyBorder="0" applyAlignment="0" applyProtection="0"/>
    <xf numFmtId="0" fontId="39" fillId="55" borderId="0" applyNumberFormat="0" applyBorder="0" applyAlignment="0" applyProtection="0"/>
    <xf numFmtId="0" fontId="4" fillId="125" borderId="0" applyNumberFormat="0" applyBorder="0" applyAlignment="0" applyProtection="0"/>
    <xf numFmtId="0" fontId="4" fillId="125" borderId="0" applyNumberFormat="0" applyBorder="0" applyAlignment="0" applyProtection="0"/>
    <xf numFmtId="0" fontId="4" fillId="125" borderId="0" applyNumberFormat="0" applyBorder="0" applyAlignment="0" applyProtection="0"/>
    <xf numFmtId="0" fontId="4" fillId="125" borderId="0" applyNumberFormat="0" applyBorder="0" applyAlignment="0" applyProtection="0"/>
    <xf numFmtId="0" fontId="4" fillId="125" borderId="0" applyNumberFormat="0" applyBorder="0" applyAlignment="0" applyProtection="0"/>
    <xf numFmtId="0" fontId="4" fillId="125" borderId="0" applyNumberFormat="0" applyBorder="0" applyAlignment="0" applyProtection="0"/>
    <xf numFmtId="0" fontId="4" fillId="125" borderId="0" applyNumberFormat="0" applyBorder="0" applyAlignment="0" applyProtection="0"/>
    <xf numFmtId="0" fontId="4" fillId="125" borderId="0" applyNumberFormat="0" applyBorder="0" applyAlignment="0" applyProtection="0"/>
    <xf numFmtId="0" fontId="4" fillId="125" borderId="0" applyNumberFormat="0" applyBorder="0" applyAlignment="0" applyProtection="0"/>
    <xf numFmtId="0" fontId="4" fillId="125" borderId="0" applyNumberFormat="0" applyBorder="0" applyAlignment="0" applyProtection="0"/>
    <xf numFmtId="0" fontId="4" fillId="12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3" borderId="0" applyNumberFormat="0" applyBorder="0" applyAlignment="0" applyProtection="0"/>
    <xf numFmtId="183" fontId="39" fillId="53" borderId="0" applyNumberFormat="0" applyBorder="0" applyAlignment="0" applyProtection="0"/>
    <xf numFmtId="0" fontId="4" fillId="125" borderId="0" applyNumberFormat="0" applyBorder="0" applyAlignment="0" applyProtection="0"/>
    <xf numFmtId="0" fontId="4" fillId="125" borderId="0" applyNumberFormat="0" applyBorder="0" applyAlignment="0" applyProtection="0"/>
    <xf numFmtId="0" fontId="4" fillId="125" borderId="0" applyNumberFormat="0" applyBorder="0" applyAlignment="0" applyProtection="0"/>
    <xf numFmtId="0" fontId="4" fillId="125" borderId="0" applyNumberFormat="0" applyBorder="0" applyAlignment="0" applyProtection="0"/>
    <xf numFmtId="0" fontId="39" fillId="55" borderId="0" applyNumberFormat="0" applyBorder="0" applyAlignment="0" applyProtection="0"/>
    <xf numFmtId="183" fontId="39" fillId="53" borderId="0" applyNumberFormat="0" applyBorder="0" applyAlignment="0" applyProtection="0"/>
    <xf numFmtId="0" fontId="39" fillId="55" borderId="0" applyNumberFormat="0" applyBorder="0" applyAlignment="0" applyProtection="0"/>
    <xf numFmtId="183" fontId="39" fillId="53" borderId="0" applyNumberFormat="0" applyBorder="0" applyAlignment="0" applyProtection="0"/>
    <xf numFmtId="0" fontId="39" fillId="55" borderId="0" applyNumberFormat="0" applyBorder="0" applyAlignment="0" applyProtection="0"/>
    <xf numFmtId="183" fontId="39" fillId="55" borderId="0" applyNumberFormat="0" applyBorder="0" applyAlignment="0" applyProtection="0"/>
    <xf numFmtId="0" fontId="39" fillId="55" borderId="0" applyNumberFormat="0" applyBorder="0" applyAlignment="0" applyProtection="0"/>
    <xf numFmtId="0" fontId="4" fillId="125" borderId="0" applyNumberFormat="0" applyBorder="0" applyAlignment="0" applyProtection="0"/>
    <xf numFmtId="0" fontId="39" fillId="55" borderId="0" applyNumberFormat="0" applyBorder="0" applyAlignment="0" applyProtection="0"/>
    <xf numFmtId="183" fontId="39" fillId="150"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8" borderId="0" applyNumberFormat="0" applyBorder="0" applyAlignment="0" applyProtection="0"/>
    <xf numFmtId="0" fontId="4" fillId="126" borderId="0" applyNumberFormat="0" applyBorder="0" applyAlignment="0" applyProtection="0"/>
    <xf numFmtId="0" fontId="4" fillId="12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4" fillId="126" borderId="0" applyNumberFormat="0" applyBorder="0" applyAlignment="0" applyProtection="0"/>
    <xf numFmtId="183" fontId="39" fillId="154" borderId="0" applyNumberFormat="0" applyBorder="0" applyAlignment="0" applyProtection="0"/>
    <xf numFmtId="0" fontId="39" fillId="56" borderId="0" applyNumberFormat="0" applyBorder="0" applyAlignment="0" applyProtection="0"/>
    <xf numFmtId="0" fontId="4" fillId="126" borderId="0" applyNumberFormat="0" applyBorder="0" applyAlignment="0" applyProtection="0"/>
    <xf numFmtId="0" fontId="4" fillId="126" borderId="0" applyNumberFormat="0" applyBorder="0" applyAlignment="0" applyProtection="0"/>
    <xf numFmtId="0" fontId="4" fillId="126" borderId="0" applyNumberFormat="0" applyBorder="0" applyAlignment="0" applyProtection="0"/>
    <xf numFmtId="0" fontId="4" fillId="126" borderId="0" applyNumberFormat="0" applyBorder="0" applyAlignment="0" applyProtection="0"/>
    <xf numFmtId="0" fontId="4" fillId="126" borderId="0" applyNumberFormat="0" applyBorder="0" applyAlignment="0" applyProtection="0"/>
    <xf numFmtId="0" fontId="4" fillId="126" borderId="0" applyNumberFormat="0" applyBorder="0" applyAlignment="0" applyProtection="0"/>
    <xf numFmtId="0" fontId="4" fillId="126" borderId="0" applyNumberFormat="0" applyBorder="0" applyAlignment="0" applyProtection="0"/>
    <xf numFmtId="0" fontId="4" fillId="126" borderId="0" applyNumberFormat="0" applyBorder="0" applyAlignment="0" applyProtection="0"/>
    <xf numFmtId="0" fontId="4" fillId="126" borderId="0" applyNumberFormat="0" applyBorder="0" applyAlignment="0" applyProtection="0"/>
    <xf numFmtId="0" fontId="4" fillId="126" borderId="0" applyNumberFormat="0" applyBorder="0" applyAlignment="0" applyProtection="0"/>
    <xf numFmtId="0" fontId="4" fillId="126" borderId="0" applyNumberFormat="0" applyBorder="0" applyAlignment="0" applyProtection="0"/>
    <xf numFmtId="183"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4" fillId="126" borderId="0" applyNumberFormat="0" applyBorder="0" applyAlignment="0" applyProtection="0"/>
    <xf numFmtId="183" fontId="39" fillId="56" borderId="0" applyNumberFormat="0" applyBorder="0" applyAlignment="0" applyProtection="0"/>
    <xf numFmtId="0" fontId="39" fillId="56" borderId="0" applyNumberFormat="0" applyBorder="0" applyAlignment="0" applyProtection="0"/>
    <xf numFmtId="183" fontId="39" fillId="56" borderId="0" applyNumberFormat="0" applyBorder="0" applyAlignment="0" applyProtection="0"/>
    <xf numFmtId="0" fontId="39" fillId="56" borderId="0" applyNumberFormat="0" applyBorder="0" applyAlignment="0" applyProtection="0"/>
    <xf numFmtId="183" fontId="39" fillId="56" borderId="0" applyNumberFormat="0" applyBorder="0" applyAlignment="0" applyProtection="0"/>
    <xf numFmtId="0" fontId="39" fillId="56" borderId="0" applyNumberFormat="0" applyBorder="0" applyAlignment="0" applyProtection="0"/>
    <xf numFmtId="0" fontId="4" fillId="126" borderId="0" applyNumberFormat="0" applyBorder="0" applyAlignment="0" applyProtection="0"/>
    <xf numFmtId="0" fontId="39" fillId="56" borderId="0" applyNumberFormat="0" applyBorder="0" applyAlignment="0" applyProtection="0"/>
    <xf numFmtId="183" fontId="39" fillId="155"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0" borderId="0" applyNumberFormat="0" applyBorder="0" applyAlignment="0" applyProtection="0"/>
    <xf numFmtId="0" fontId="4" fillId="127" borderId="0" applyNumberFormat="0" applyBorder="0" applyAlignment="0" applyProtection="0"/>
    <xf numFmtId="0" fontId="4" fillId="12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4" fillId="127" borderId="0" applyNumberFormat="0" applyBorder="0" applyAlignment="0" applyProtection="0"/>
    <xf numFmtId="183" fontId="39" fillId="156" borderId="0" applyNumberFormat="0" applyBorder="0" applyAlignment="0" applyProtection="0"/>
    <xf numFmtId="0" fontId="39" fillId="57" borderId="0" applyNumberFormat="0" applyBorder="0" applyAlignment="0" applyProtection="0"/>
    <xf numFmtId="0" fontId="4" fillId="127" borderId="0" applyNumberFormat="0" applyBorder="0" applyAlignment="0" applyProtection="0"/>
    <xf numFmtId="0" fontId="4" fillId="127" borderId="0" applyNumberFormat="0" applyBorder="0" applyAlignment="0" applyProtection="0"/>
    <xf numFmtId="0" fontId="4" fillId="127" borderId="0" applyNumberFormat="0" applyBorder="0" applyAlignment="0" applyProtection="0"/>
    <xf numFmtId="0" fontId="4" fillId="127" borderId="0" applyNumberFormat="0" applyBorder="0" applyAlignment="0" applyProtection="0"/>
    <xf numFmtId="0" fontId="4" fillId="127" borderId="0" applyNumberFormat="0" applyBorder="0" applyAlignment="0" applyProtection="0"/>
    <xf numFmtId="0" fontId="4" fillId="127" borderId="0" applyNumberFormat="0" applyBorder="0" applyAlignment="0" applyProtection="0"/>
    <xf numFmtId="0" fontId="4" fillId="127" borderId="0" applyNumberFormat="0" applyBorder="0" applyAlignment="0" applyProtection="0"/>
    <xf numFmtId="0" fontId="4" fillId="127" borderId="0" applyNumberFormat="0" applyBorder="0" applyAlignment="0" applyProtection="0"/>
    <xf numFmtId="0" fontId="4" fillId="127" borderId="0" applyNumberFormat="0" applyBorder="0" applyAlignment="0" applyProtection="0"/>
    <xf numFmtId="0" fontId="4" fillId="127" borderId="0" applyNumberFormat="0" applyBorder="0" applyAlignment="0" applyProtection="0"/>
    <xf numFmtId="0" fontId="4" fillId="127" borderId="0" applyNumberFormat="0" applyBorder="0" applyAlignment="0" applyProtection="0"/>
    <xf numFmtId="183"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4" fillId="127" borderId="0" applyNumberFormat="0" applyBorder="0" applyAlignment="0" applyProtection="0"/>
    <xf numFmtId="183" fontId="39" fillId="57" borderId="0" applyNumberFormat="0" applyBorder="0" applyAlignment="0" applyProtection="0"/>
    <xf numFmtId="0" fontId="39" fillId="57" borderId="0" applyNumberFormat="0" applyBorder="0" applyAlignment="0" applyProtection="0"/>
    <xf numFmtId="183" fontId="39" fillId="57" borderId="0" applyNumberFormat="0" applyBorder="0" applyAlignment="0" applyProtection="0"/>
    <xf numFmtId="0" fontId="39" fillId="57" borderId="0" applyNumberFormat="0" applyBorder="0" applyAlignment="0" applyProtection="0"/>
    <xf numFmtId="183" fontId="39" fillId="57" borderId="0" applyNumberFormat="0" applyBorder="0" applyAlignment="0" applyProtection="0"/>
    <xf numFmtId="0" fontId="39" fillId="57" borderId="0" applyNumberFormat="0" applyBorder="0" applyAlignment="0" applyProtection="0"/>
    <xf numFmtId="0" fontId="4" fillId="127" borderId="0" applyNumberFormat="0" applyBorder="0" applyAlignment="0" applyProtection="0"/>
    <xf numFmtId="0" fontId="39" fillId="57" borderId="0" applyNumberFormat="0" applyBorder="0" applyAlignment="0" applyProtection="0"/>
    <xf numFmtId="183" fontId="39" fillId="155"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157" borderId="0" applyNumberFormat="0" applyBorder="0" applyAlignment="0" applyProtection="0"/>
    <xf numFmtId="0" fontId="4" fillId="128" borderId="0" applyNumberFormat="0" applyBorder="0" applyAlignment="0" applyProtection="0"/>
    <xf numFmtId="0" fontId="4" fillId="128"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4" fillId="128" borderId="0" applyNumberFormat="0" applyBorder="0" applyAlignment="0" applyProtection="0"/>
    <xf numFmtId="183" fontId="39" fillId="140" borderId="0" applyNumberFormat="0" applyBorder="0" applyAlignment="0" applyProtection="0"/>
    <xf numFmtId="0" fontId="39" fillId="52" borderId="0" applyNumberFormat="0" applyBorder="0" applyAlignment="0" applyProtection="0"/>
    <xf numFmtId="0" fontId="4" fillId="128" borderId="0" applyNumberFormat="0" applyBorder="0" applyAlignment="0" applyProtection="0"/>
    <xf numFmtId="0" fontId="4" fillId="128" borderId="0" applyNumberFormat="0" applyBorder="0" applyAlignment="0" applyProtection="0"/>
    <xf numFmtId="0" fontId="4" fillId="128" borderId="0" applyNumberFormat="0" applyBorder="0" applyAlignment="0" applyProtection="0"/>
    <xf numFmtId="0" fontId="4" fillId="128" borderId="0" applyNumberFormat="0" applyBorder="0" applyAlignment="0" applyProtection="0"/>
    <xf numFmtId="0" fontId="4" fillId="128" borderId="0" applyNumberFormat="0" applyBorder="0" applyAlignment="0" applyProtection="0"/>
    <xf numFmtId="0" fontId="4" fillId="128" borderId="0" applyNumberFormat="0" applyBorder="0" applyAlignment="0" applyProtection="0"/>
    <xf numFmtId="0" fontId="4" fillId="128" borderId="0" applyNumberFormat="0" applyBorder="0" applyAlignment="0" applyProtection="0"/>
    <xf numFmtId="0" fontId="4" fillId="128" borderId="0" applyNumberFormat="0" applyBorder="0" applyAlignment="0" applyProtection="0"/>
    <xf numFmtId="0" fontId="4" fillId="128" borderId="0" applyNumberFormat="0" applyBorder="0" applyAlignment="0" applyProtection="0"/>
    <xf numFmtId="0" fontId="4" fillId="128" borderId="0" applyNumberFormat="0" applyBorder="0" applyAlignment="0" applyProtection="0"/>
    <xf numFmtId="0" fontId="4" fillId="128"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157" borderId="0" applyNumberFormat="0" applyBorder="0" applyAlignment="0" applyProtection="0"/>
    <xf numFmtId="183" fontId="39" fillId="157" borderId="0" applyNumberFormat="0" applyBorder="0" applyAlignment="0" applyProtection="0"/>
    <xf numFmtId="0" fontId="4" fillId="128" borderId="0" applyNumberFormat="0" applyBorder="0" applyAlignment="0" applyProtection="0"/>
    <xf numFmtId="0" fontId="4" fillId="128" borderId="0" applyNumberFormat="0" applyBorder="0" applyAlignment="0" applyProtection="0"/>
    <xf numFmtId="0" fontId="4" fillId="128" borderId="0" applyNumberFormat="0" applyBorder="0" applyAlignment="0" applyProtection="0"/>
    <xf numFmtId="0" fontId="4" fillId="128" borderId="0" applyNumberFormat="0" applyBorder="0" applyAlignment="0" applyProtection="0"/>
    <xf numFmtId="0" fontId="39" fillId="52" borderId="0" applyNumberFormat="0" applyBorder="0" applyAlignment="0" applyProtection="0"/>
    <xf numFmtId="183" fontId="39" fillId="157" borderId="0" applyNumberFormat="0" applyBorder="0" applyAlignment="0" applyProtection="0"/>
    <xf numFmtId="0" fontId="39" fillId="52" borderId="0" applyNumberFormat="0" applyBorder="0" applyAlignment="0" applyProtection="0"/>
    <xf numFmtId="183" fontId="39" fillId="157" borderId="0" applyNumberFormat="0" applyBorder="0" applyAlignment="0" applyProtection="0"/>
    <xf numFmtId="0" fontId="39" fillId="52" borderId="0" applyNumberFormat="0" applyBorder="0" applyAlignment="0" applyProtection="0"/>
    <xf numFmtId="183" fontId="39" fillId="52" borderId="0" applyNumberFormat="0" applyBorder="0" applyAlignment="0" applyProtection="0"/>
    <xf numFmtId="0" fontId="39" fillId="52" borderId="0" applyNumberFormat="0" applyBorder="0" applyAlignment="0" applyProtection="0"/>
    <xf numFmtId="0" fontId="4" fillId="128" borderId="0" applyNumberFormat="0" applyBorder="0" applyAlignment="0" applyProtection="0"/>
    <xf numFmtId="0" fontId="39" fillId="52" borderId="0" applyNumberFormat="0" applyBorder="0" applyAlignment="0" applyProtection="0"/>
    <xf numFmtId="183" fontId="39" fillId="158"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 fillId="129" borderId="0" applyNumberFormat="0" applyBorder="0" applyAlignment="0" applyProtection="0"/>
    <xf numFmtId="183" fontId="39" fillId="150" borderId="0" applyNumberFormat="0" applyBorder="0" applyAlignment="0" applyProtection="0"/>
    <xf numFmtId="0" fontId="39" fillId="53"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183" fontId="39" fillId="53" borderId="0" applyNumberFormat="0" applyBorder="0" applyAlignment="0" applyProtection="0"/>
    <xf numFmtId="0" fontId="4" fillId="129" borderId="0" applyNumberFormat="0" applyBorder="0" applyAlignment="0" applyProtection="0"/>
    <xf numFmtId="0" fontId="39" fillId="53"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183" fontId="39" fillId="53"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4" fillId="129" borderId="0" applyNumberFormat="0" applyBorder="0" applyAlignment="0" applyProtection="0"/>
    <xf numFmtId="0" fontId="39" fillId="53" borderId="0" applyNumberFormat="0" applyBorder="0" applyAlignment="0" applyProtection="0"/>
    <xf numFmtId="183" fontId="39" fillId="53" borderId="0" applyNumberFormat="0" applyBorder="0" applyAlignment="0" applyProtection="0"/>
    <xf numFmtId="0" fontId="39" fillId="53" borderId="0" applyNumberFormat="0" applyBorder="0" applyAlignment="0" applyProtection="0"/>
    <xf numFmtId="183" fontId="39" fillId="53" borderId="0" applyNumberFormat="0" applyBorder="0" applyAlignment="0" applyProtection="0"/>
    <xf numFmtId="0" fontId="39" fillId="53" borderId="0" applyNumberFormat="0" applyBorder="0" applyAlignment="0" applyProtection="0"/>
    <xf numFmtId="0" fontId="4" fillId="129" borderId="0" applyNumberFormat="0" applyBorder="0" applyAlignment="0" applyProtection="0"/>
    <xf numFmtId="0" fontId="39" fillId="53" borderId="0" applyNumberFormat="0" applyBorder="0" applyAlignment="0" applyProtection="0"/>
    <xf numFmtId="183" fontId="39" fillId="150"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4" fillId="13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6" borderId="0" applyNumberFormat="0" applyBorder="0" applyAlignment="0" applyProtection="0"/>
    <xf numFmtId="0" fontId="4" fillId="130" borderId="0" applyNumberFormat="0" applyBorder="0" applyAlignment="0" applyProtection="0"/>
    <xf numFmtId="0" fontId="4" fillId="13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4" fillId="130" borderId="0" applyNumberFormat="0" applyBorder="0" applyAlignment="0" applyProtection="0"/>
    <xf numFmtId="183" fontId="39" fillId="159" borderId="0" applyNumberFormat="0" applyBorder="0" applyAlignment="0" applyProtection="0"/>
    <xf numFmtId="0" fontId="39" fillId="58" borderId="0" applyNumberFormat="0" applyBorder="0" applyAlignment="0" applyProtection="0"/>
    <xf numFmtId="0" fontId="4" fillId="130" borderId="0" applyNumberFormat="0" applyBorder="0" applyAlignment="0" applyProtection="0"/>
    <xf numFmtId="0" fontId="4" fillId="130" borderId="0" applyNumberFormat="0" applyBorder="0" applyAlignment="0" applyProtection="0"/>
    <xf numFmtId="0" fontId="4" fillId="130" borderId="0" applyNumberFormat="0" applyBorder="0" applyAlignment="0" applyProtection="0"/>
    <xf numFmtId="0" fontId="4" fillId="130" borderId="0" applyNumberFormat="0" applyBorder="0" applyAlignment="0" applyProtection="0"/>
    <xf numFmtId="0" fontId="4" fillId="130" borderId="0" applyNumberFormat="0" applyBorder="0" applyAlignment="0" applyProtection="0"/>
    <xf numFmtId="0" fontId="4" fillId="130" borderId="0" applyNumberFormat="0" applyBorder="0" applyAlignment="0" applyProtection="0"/>
    <xf numFmtId="0" fontId="4" fillId="130" borderId="0" applyNumberFormat="0" applyBorder="0" applyAlignment="0" applyProtection="0"/>
    <xf numFmtId="0" fontId="4" fillId="130" borderId="0" applyNumberFormat="0" applyBorder="0" applyAlignment="0" applyProtection="0"/>
    <xf numFmtId="0" fontId="4" fillId="130" borderId="0" applyNumberFormat="0" applyBorder="0" applyAlignment="0" applyProtection="0"/>
    <xf numFmtId="0" fontId="4" fillId="130" borderId="0" applyNumberFormat="0" applyBorder="0" applyAlignment="0" applyProtection="0"/>
    <xf numFmtId="0" fontId="4" fillId="130"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4" borderId="0" applyNumberFormat="0" applyBorder="0" applyAlignment="0" applyProtection="0"/>
    <xf numFmtId="183" fontId="39" fillId="54" borderId="0" applyNumberFormat="0" applyBorder="0" applyAlignment="0" applyProtection="0"/>
    <xf numFmtId="0" fontId="4" fillId="130" borderId="0" applyNumberFormat="0" applyBorder="0" applyAlignment="0" applyProtection="0"/>
    <xf numFmtId="0" fontId="4" fillId="130" borderId="0" applyNumberFormat="0" applyBorder="0" applyAlignment="0" applyProtection="0"/>
    <xf numFmtId="0" fontId="4" fillId="130" borderId="0" applyNumberFormat="0" applyBorder="0" applyAlignment="0" applyProtection="0"/>
    <xf numFmtId="0" fontId="4" fillId="130" borderId="0" applyNumberFormat="0" applyBorder="0" applyAlignment="0" applyProtection="0"/>
    <xf numFmtId="0" fontId="39" fillId="58" borderId="0" applyNumberFormat="0" applyBorder="0" applyAlignment="0" applyProtection="0"/>
    <xf numFmtId="183" fontId="39" fillId="54" borderId="0" applyNumberFormat="0" applyBorder="0" applyAlignment="0" applyProtection="0"/>
    <xf numFmtId="0" fontId="39" fillId="58" borderId="0" applyNumberFormat="0" applyBorder="0" applyAlignment="0" applyProtection="0"/>
    <xf numFmtId="183" fontId="39" fillId="54" borderId="0" applyNumberFormat="0" applyBorder="0" applyAlignment="0" applyProtection="0"/>
    <xf numFmtId="0" fontId="39" fillId="58" borderId="0" applyNumberFormat="0" applyBorder="0" applyAlignment="0" applyProtection="0"/>
    <xf numFmtId="183" fontId="39" fillId="58" borderId="0" applyNumberFormat="0" applyBorder="0" applyAlignment="0" applyProtection="0"/>
    <xf numFmtId="0" fontId="39" fillId="58" borderId="0" applyNumberFormat="0" applyBorder="0" applyAlignment="0" applyProtection="0"/>
    <xf numFmtId="0" fontId="4" fillId="130" borderId="0" applyNumberFormat="0" applyBorder="0" applyAlignment="0" applyProtection="0"/>
    <xf numFmtId="0" fontId="39" fillId="58" borderId="0" applyNumberFormat="0" applyBorder="0" applyAlignment="0" applyProtection="0"/>
    <xf numFmtId="183" fontId="39" fillId="159"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183" fontId="202" fillId="0" borderId="0"/>
    <xf numFmtId="183" fontId="136" fillId="0" borderId="0" applyNumberFormat="0" applyFill="0" applyBorder="0" applyAlignment="0" applyProtection="0"/>
    <xf numFmtId="183" fontId="18" fillId="0" borderId="0" applyNumberFormat="0" applyFill="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4" borderId="0" applyNumberFormat="0" applyBorder="0" applyAlignment="0" applyProtection="0"/>
    <xf numFmtId="0" fontId="195" fillId="122" borderId="0" applyNumberFormat="0" applyBorder="0" applyAlignment="0" applyProtection="0"/>
    <xf numFmtId="0" fontId="195" fillId="12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95" fillId="122" borderId="0" applyNumberFormat="0" applyBorder="0" applyAlignment="0" applyProtection="0"/>
    <xf numFmtId="183" fontId="61" fillId="132" borderId="0" applyNumberFormat="0" applyBorder="0" applyAlignment="0" applyProtection="0"/>
    <xf numFmtId="0" fontId="61" fillId="42" borderId="0" applyNumberFormat="0" applyBorder="0" applyAlignment="0" applyProtection="0"/>
    <xf numFmtId="0" fontId="195" fillId="122" borderId="0" applyNumberFormat="0" applyBorder="0" applyAlignment="0" applyProtection="0"/>
    <xf numFmtId="0" fontId="195" fillId="122" borderId="0" applyNumberFormat="0" applyBorder="0" applyAlignment="0" applyProtection="0"/>
    <xf numFmtId="0" fontId="195" fillId="122" borderId="0" applyNumberFormat="0" applyBorder="0" applyAlignment="0" applyProtection="0"/>
    <xf numFmtId="0" fontId="195" fillId="122" borderId="0" applyNumberFormat="0" applyBorder="0" applyAlignment="0" applyProtection="0"/>
    <xf numFmtId="0" fontId="195" fillId="122" borderId="0" applyNumberFormat="0" applyBorder="0" applyAlignment="0" applyProtection="0"/>
    <xf numFmtId="0" fontId="195" fillId="122" borderId="0" applyNumberFormat="0" applyBorder="0" applyAlignment="0" applyProtection="0"/>
    <xf numFmtId="0" fontId="195" fillId="122" borderId="0" applyNumberFormat="0" applyBorder="0" applyAlignment="0" applyProtection="0"/>
    <xf numFmtId="0" fontId="195" fillId="122" borderId="0" applyNumberFormat="0" applyBorder="0" applyAlignment="0" applyProtection="0"/>
    <xf numFmtId="0" fontId="195" fillId="122" borderId="0" applyNumberFormat="0" applyBorder="0" applyAlignment="0" applyProtection="0"/>
    <xf numFmtId="0" fontId="195" fillId="122" borderId="0" applyNumberFormat="0" applyBorder="0" applyAlignment="0" applyProtection="0"/>
    <xf numFmtId="0" fontId="195" fillId="122" borderId="0" applyNumberFormat="0" applyBorder="0" applyAlignment="0" applyProtection="0"/>
    <xf numFmtId="183"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195" fillId="122" borderId="0" applyNumberFormat="0" applyBorder="0" applyAlignment="0" applyProtection="0"/>
    <xf numFmtId="183" fontId="61" fillId="42" borderId="0" applyNumberFormat="0" applyBorder="0" applyAlignment="0" applyProtection="0"/>
    <xf numFmtId="0" fontId="61" fillId="42" borderId="0" applyNumberFormat="0" applyBorder="0" applyAlignment="0" applyProtection="0"/>
    <xf numFmtId="183" fontId="61" fillId="42" borderId="0" applyNumberFormat="0" applyBorder="0" applyAlignment="0" applyProtection="0"/>
    <xf numFmtId="0" fontId="61" fillId="42" borderId="0" applyNumberFormat="0" applyBorder="0" applyAlignment="0" applyProtection="0"/>
    <xf numFmtId="183" fontId="61" fillId="42" borderId="0" applyNumberFormat="0" applyBorder="0" applyAlignment="0" applyProtection="0"/>
    <xf numFmtId="0" fontId="61" fillId="42" borderId="0" applyNumberFormat="0" applyBorder="0" applyAlignment="0" applyProtection="0"/>
    <xf numFmtId="0" fontId="195" fillId="122" borderId="0" applyNumberFormat="0" applyBorder="0" applyAlignment="0" applyProtection="0"/>
    <xf numFmtId="0" fontId="61" fillId="42" borderId="0" applyNumberFormat="0" applyBorder="0" applyAlignment="0" applyProtection="0"/>
    <xf numFmtId="183" fontId="61" fillId="13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43" fillId="59" borderId="127" applyNumberFormat="0" applyAlignment="0" applyProtection="0"/>
    <xf numFmtId="0" fontId="43" fillId="59" borderId="127" applyNumberFormat="0" applyAlignment="0" applyProtection="0"/>
    <xf numFmtId="0" fontId="43" fillId="59" borderId="127" applyNumberFormat="0" applyAlignment="0" applyProtection="0"/>
    <xf numFmtId="0" fontId="43" fillId="59" borderId="127" applyNumberFormat="0" applyAlignment="0" applyProtection="0"/>
    <xf numFmtId="0" fontId="43" fillId="59" borderId="127" applyNumberFormat="0" applyAlignment="0" applyProtection="0"/>
    <xf numFmtId="0" fontId="43" fillId="59" borderId="127" applyNumberFormat="0" applyAlignment="0" applyProtection="0"/>
    <xf numFmtId="0" fontId="43" fillId="59" borderId="127" applyNumberFormat="0" applyAlignment="0" applyProtection="0"/>
    <xf numFmtId="0" fontId="43" fillId="59" borderId="127" applyNumberFormat="0" applyAlignment="0" applyProtection="0"/>
    <xf numFmtId="0" fontId="43" fillId="59" borderId="127" applyNumberFormat="0" applyAlignment="0" applyProtection="0"/>
    <xf numFmtId="0" fontId="43" fillId="59" borderId="127" applyNumberFormat="0" applyAlignment="0" applyProtection="0"/>
    <xf numFmtId="0" fontId="203" fillId="160" borderId="127" applyNumberFormat="0" applyAlignment="0" applyProtection="0"/>
    <xf numFmtId="0" fontId="26" fillId="17" borderId="10" applyNumberFormat="0" applyAlignment="0" applyProtection="0"/>
    <xf numFmtId="0" fontId="26" fillId="17" borderId="10" applyNumberFormat="0" applyAlignment="0" applyProtection="0"/>
    <xf numFmtId="0" fontId="43" fillId="59" borderId="127" applyNumberFormat="0" applyAlignment="0" applyProtection="0"/>
    <xf numFmtId="0" fontId="43" fillId="59" borderId="127" applyNumberFormat="0" applyAlignment="0" applyProtection="0"/>
    <xf numFmtId="0" fontId="43" fillId="59" borderId="127" applyNumberFormat="0" applyAlignment="0" applyProtection="0"/>
    <xf numFmtId="0" fontId="26" fillId="17" borderId="10" applyNumberFormat="0" applyAlignment="0" applyProtection="0"/>
    <xf numFmtId="234" fontId="204" fillId="139" borderId="128">
      <alignment horizontal="center" vertical="center"/>
    </xf>
    <xf numFmtId="234" fontId="204" fillId="139" borderId="128">
      <alignment horizontal="center" vertical="center"/>
    </xf>
    <xf numFmtId="234" fontId="204" fillId="139" borderId="128">
      <alignment horizontal="center" vertical="center"/>
    </xf>
    <xf numFmtId="0" fontId="43" fillId="59" borderId="127" applyNumberFormat="0" applyAlignment="0" applyProtection="0"/>
    <xf numFmtId="0" fontId="26" fillId="17" borderId="10" applyNumberFormat="0" applyAlignment="0" applyProtection="0"/>
    <xf numFmtId="0" fontId="26" fillId="17" borderId="10" applyNumberFormat="0" applyAlignment="0" applyProtection="0"/>
    <xf numFmtId="0" fontId="26" fillId="17" borderId="10" applyNumberFormat="0" applyAlignment="0" applyProtection="0"/>
    <xf numFmtId="0" fontId="26" fillId="17" borderId="10" applyNumberFormat="0" applyAlignment="0" applyProtection="0"/>
    <xf numFmtId="0" fontId="26" fillId="17" borderId="10" applyNumberFormat="0" applyAlignment="0" applyProtection="0"/>
    <xf numFmtId="0" fontId="26" fillId="17" borderId="10" applyNumberFormat="0" applyAlignment="0" applyProtection="0"/>
    <xf numFmtId="0" fontId="26" fillId="17" borderId="10" applyNumberFormat="0" applyAlignment="0" applyProtection="0"/>
    <xf numFmtId="0" fontId="26" fillId="17" borderId="10" applyNumberFormat="0" applyAlignment="0" applyProtection="0"/>
    <xf numFmtId="0" fontId="26" fillId="17" borderId="10" applyNumberFormat="0" applyAlignment="0" applyProtection="0"/>
    <xf numFmtId="0" fontId="26" fillId="17" borderId="10" applyNumberFormat="0" applyAlignment="0" applyProtection="0"/>
    <xf numFmtId="0" fontId="26" fillId="17" borderId="10" applyNumberFormat="0" applyAlignment="0" applyProtection="0"/>
    <xf numFmtId="0" fontId="43" fillId="59" borderId="127" applyNumberFormat="0" applyAlignment="0" applyProtection="0"/>
    <xf numFmtId="0" fontId="43" fillId="59" borderId="127" applyNumberFormat="0" applyAlignment="0" applyProtection="0"/>
    <xf numFmtId="0" fontId="43" fillId="160" borderId="127" applyNumberFormat="0" applyAlignment="0" applyProtection="0"/>
    <xf numFmtId="234" fontId="204" fillId="139" borderId="128">
      <alignment horizontal="center" vertical="center"/>
    </xf>
    <xf numFmtId="234" fontId="204" fillId="139" borderId="128">
      <alignment horizontal="center" vertical="center"/>
    </xf>
    <xf numFmtId="183" fontId="43" fillId="160" borderId="127" applyNumberFormat="0" applyAlignment="0" applyProtection="0"/>
    <xf numFmtId="0" fontId="26" fillId="17" borderId="10" applyNumberFormat="0" applyAlignment="0" applyProtection="0"/>
    <xf numFmtId="0" fontId="26" fillId="17" borderId="10" applyNumberFormat="0" applyAlignment="0" applyProtection="0"/>
    <xf numFmtId="0" fontId="26" fillId="17" borderId="10" applyNumberFormat="0" applyAlignment="0" applyProtection="0"/>
    <xf numFmtId="0" fontId="26" fillId="17" borderId="10" applyNumberFormat="0" applyAlignment="0" applyProtection="0"/>
    <xf numFmtId="0" fontId="43" fillId="59" borderId="127" applyNumberFormat="0" applyAlignment="0" applyProtection="0"/>
    <xf numFmtId="183" fontId="43" fillId="160" borderId="127" applyNumberFormat="0" applyAlignment="0" applyProtection="0"/>
    <xf numFmtId="183" fontId="43" fillId="160" borderId="127" applyNumberFormat="0" applyAlignment="0" applyProtection="0"/>
    <xf numFmtId="183" fontId="43" fillId="160" borderId="127" applyNumberFormat="0" applyAlignment="0" applyProtection="0"/>
    <xf numFmtId="0" fontId="43" fillId="59" borderId="127" applyNumberFormat="0" applyAlignment="0" applyProtection="0"/>
    <xf numFmtId="183" fontId="43" fillId="160" borderId="127" applyNumberFormat="0" applyAlignment="0" applyProtection="0"/>
    <xf numFmtId="183" fontId="43" fillId="160" borderId="127" applyNumberFormat="0" applyAlignment="0" applyProtection="0"/>
    <xf numFmtId="183" fontId="43" fillId="160" borderId="127" applyNumberFormat="0" applyAlignment="0" applyProtection="0"/>
    <xf numFmtId="0" fontId="43" fillId="59" borderId="127" applyNumberFormat="0" applyAlignment="0" applyProtection="0"/>
    <xf numFmtId="183" fontId="43" fillId="160" borderId="127" applyNumberFormat="0" applyAlignment="0" applyProtection="0"/>
    <xf numFmtId="183" fontId="43" fillId="160" borderId="127" applyNumberFormat="0" applyAlignment="0" applyProtection="0"/>
    <xf numFmtId="183" fontId="43" fillId="59" borderId="127" applyNumberFormat="0" applyAlignment="0" applyProtection="0"/>
    <xf numFmtId="0" fontId="43" fillId="59" borderId="127" applyNumberFormat="0" applyAlignment="0" applyProtection="0"/>
    <xf numFmtId="183" fontId="43" fillId="59" borderId="127" applyNumberFormat="0" applyAlignment="0" applyProtection="0"/>
    <xf numFmtId="0" fontId="26" fillId="17" borderId="10" applyNumberFormat="0" applyAlignment="0" applyProtection="0"/>
    <xf numFmtId="0" fontId="43" fillId="59" borderId="127" applyNumberFormat="0" applyAlignment="0" applyProtection="0"/>
    <xf numFmtId="234" fontId="204" fillId="139" borderId="128">
      <alignment horizontal="center" vertical="center"/>
    </xf>
    <xf numFmtId="0" fontId="43" fillId="59" borderId="127" applyNumberFormat="0" applyAlignment="0" applyProtection="0"/>
    <xf numFmtId="0" fontId="43" fillId="59" borderId="127" applyNumberFormat="0" applyAlignment="0" applyProtection="0"/>
    <xf numFmtId="0" fontId="71" fillId="60" borderId="40" applyNumberFormat="0" applyAlignment="0" applyProtection="0"/>
    <xf numFmtId="0" fontId="71" fillId="60" borderId="40" applyNumberFormat="0" applyAlignment="0" applyProtection="0"/>
    <xf numFmtId="0" fontId="71" fillId="60" borderId="40" applyNumberFormat="0" applyAlignment="0" applyProtection="0"/>
    <xf numFmtId="0" fontId="71" fillId="60" borderId="40" applyNumberFormat="0" applyAlignment="0" applyProtection="0"/>
    <xf numFmtId="0" fontId="71" fillId="60" borderId="40" applyNumberFormat="0" applyAlignment="0" applyProtection="0"/>
    <xf numFmtId="0" fontId="120" fillId="124" borderId="118" applyNumberFormat="0" applyAlignment="0" applyProtection="0"/>
    <xf numFmtId="0" fontId="120" fillId="124" borderId="118" applyNumberFormat="0" applyAlignment="0" applyProtection="0"/>
    <xf numFmtId="0" fontId="71" fillId="60" borderId="40" applyNumberFormat="0" applyAlignment="0" applyProtection="0"/>
    <xf numFmtId="0" fontId="71" fillId="60" borderId="40" applyNumberFormat="0" applyAlignment="0" applyProtection="0"/>
    <xf numFmtId="0" fontId="71" fillId="60" borderId="40" applyNumberFormat="0" applyAlignment="0" applyProtection="0"/>
    <xf numFmtId="0" fontId="120" fillId="124" borderId="118" applyNumberFormat="0" applyAlignment="0" applyProtection="0"/>
    <xf numFmtId="183" fontId="71" fillId="161" borderId="40" applyNumberFormat="0" applyAlignment="0" applyProtection="0"/>
    <xf numFmtId="0" fontId="71" fillId="60" borderId="40"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183" fontId="71" fillId="60" borderId="40" applyNumberFormat="0" applyAlignment="0" applyProtection="0"/>
    <xf numFmtId="0" fontId="120" fillId="124" borderId="118" applyNumberFormat="0" applyAlignment="0" applyProtection="0"/>
    <xf numFmtId="0" fontId="71" fillId="60" borderId="40"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71" fillId="60" borderId="40" applyNumberFormat="0" applyAlignment="0" applyProtection="0"/>
    <xf numFmtId="0" fontId="71" fillId="60" borderId="40" applyNumberFormat="0" applyAlignment="0" applyProtection="0"/>
    <xf numFmtId="0" fontId="71" fillId="60" borderId="40" applyNumberFormat="0" applyAlignment="0" applyProtection="0"/>
    <xf numFmtId="183" fontId="71" fillId="60" borderId="40"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120" fillId="124" borderId="118" applyNumberFormat="0" applyAlignment="0" applyProtection="0"/>
    <xf numFmtId="0" fontId="71" fillId="60" borderId="40" applyNumberFormat="0" applyAlignment="0" applyProtection="0"/>
    <xf numFmtId="183" fontId="71" fillId="60" borderId="40" applyNumberFormat="0" applyAlignment="0" applyProtection="0"/>
    <xf numFmtId="0" fontId="71" fillId="60" borderId="40" applyNumberFormat="0" applyAlignment="0" applyProtection="0"/>
    <xf numFmtId="183" fontId="71" fillId="60" borderId="40" applyNumberFormat="0" applyAlignment="0" applyProtection="0"/>
    <xf numFmtId="0" fontId="71" fillId="60" borderId="40" applyNumberFormat="0" applyAlignment="0" applyProtection="0"/>
    <xf numFmtId="0" fontId="120" fillId="124" borderId="118" applyNumberFormat="0" applyAlignment="0" applyProtection="0"/>
    <xf numFmtId="0" fontId="71" fillId="60" borderId="40" applyNumberFormat="0" applyAlignment="0" applyProtection="0"/>
    <xf numFmtId="183" fontId="71" fillId="161" borderId="40" applyNumberFormat="0" applyAlignment="0" applyProtection="0"/>
    <xf numFmtId="0" fontId="71" fillId="60" borderId="40" applyNumberFormat="0" applyAlignment="0" applyProtection="0"/>
    <xf numFmtId="0" fontId="71" fillId="60" borderId="40" applyNumberFormat="0" applyAlignment="0" applyProtection="0"/>
    <xf numFmtId="43" fontId="36" fillId="0" borderId="0" applyFont="0" applyFill="0" applyBorder="0" applyAlignment="0" applyProtection="0"/>
    <xf numFmtId="43" fontId="19" fillId="0" borderId="0" applyFont="0" applyFill="0" applyBorder="0" applyAlignment="0" applyProtection="0"/>
    <xf numFmtId="43" fontId="98"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100"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98" fillId="0" borderId="0" applyFont="0" applyFill="0" applyBorder="0" applyAlignment="0" applyProtection="0"/>
    <xf numFmtId="183" fontId="19" fillId="0" borderId="0" applyBorder="0"/>
    <xf numFmtId="183" fontId="19" fillId="0" borderId="0" applyBorder="0"/>
    <xf numFmtId="183" fontId="19" fillId="0" borderId="0" applyBorder="0"/>
    <xf numFmtId="183" fontId="136" fillId="0" borderId="0">
      <alignment horizontal="center"/>
    </xf>
    <xf numFmtId="183" fontId="136" fillId="0" borderId="0">
      <alignment horizontal="center"/>
    </xf>
    <xf numFmtId="183" fontId="136" fillId="0" borderId="0">
      <alignment horizontal="center"/>
    </xf>
    <xf numFmtId="183" fontId="19" fillId="0" borderId="0">
      <alignment wrapText="1"/>
    </xf>
    <xf numFmtId="183" fontId="18" fillId="0" borderId="0"/>
    <xf numFmtId="183" fontId="18" fillId="0" borderId="0"/>
    <xf numFmtId="183" fontId="18" fillId="0" borderId="0"/>
    <xf numFmtId="44" fontId="98" fillId="0" borderId="0" applyFont="0" applyFill="0" applyBorder="0" applyAlignment="0" applyProtection="0"/>
    <xf numFmtId="44" fontId="36" fillId="0" borderId="0" applyFont="0" applyFill="0" applyBorder="0" applyAlignment="0" applyProtection="0"/>
    <xf numFmtId="44" fontId="19" fillId="0" borderId="0" applyFont="0" applyFill="0" applyBorder="0" applyAlignment="0" applyProtection="0"/>
    <xf numFmtId="44" fontId="10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235" fontId="138"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6"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183" fontId="19" fillId="0" borderId="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8" fillId="0" borderId="0" applyNumberFormat="0" applyFill="0" applyBorder="0" applyAlignment="0" applyProtection="0"/>
    <xf numFmtId="183" fontId="49" fillId="0" borderId="0" applyNumberFormat="0" applyFill="0" applyBorder="0" applyAlignment="0" applyProtection="0"/>
    <xf numFmtId="0" fontId="4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3" fontId="49" fillId="0" borderId="0" applyNumberFormat="0" applyFill="0" applyBorder="0" applyAlignment="0" applyProtection="0"/>
    <xf numFmtId="0" fontId="28" fillId="0" borderId="0" applyNumberFormat="0" applyFill="0" applyBorder="0" applyAlignment="0" applyProtection="0"/>
    <xf numFmtId="0" fontId="4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83" fontId="207" fillId="0" borderId="0"/>
    <xf numFmtId="183" fontId="208" fillId="0" borderId="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5" borderId="0" applyNumberFormat="0" applyBorder="0" applyAlignment="0" applyProtection="0"/>
    <xf numFmtId="0" fontId="194" fillId="121" borderId="0" applyNumberFormat="0" applyBorder="0" applyAlignment="0" applyProtection="0"/>
    <xf numFmtId="0" fontId="194" fillId="121"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194" fillId="121" borderId="0" applyNumberFormat="0" applyBorder="0" applyAlignment="0" applyProtection="0"/>
    <xf numFmtId="183" fontId="52" fillId="134" borderId="0" applyNumberFormat="0" applyBorder="0" applyAlignment="0" applyProtection="0"/>
    <xf numFmtId="0" fontId="52" fillId="43" borderId="0" applyNumberFormat="0" applyBorder="0" applyAlignment="0" applyProtection="0"/>
    <xf numFmtId="0" fontId="194" fillId="121" borderId="0" applyNumberFormat="0" applyBorder="0" applyAlignment="0" applyProtection="0"/>
    <xf numFmtId="0" fontId="194" fillId="121" borderId="0" applyNumberFormat="0" applyBorder="0" applyAlignment="0" applyProtection="0"/>
    <xf numFmtId="0" fontId="194" fillId="121" borderId="0" applyNumberFormat="0" applyBorder="0" applyAlignment="0" applyProtection="0"/>
    <xf numFmtId="0" fontId="194" fillId="121" borderId="0" applyNumberFormat="0" applyBorder="0" applyAlignment="0" applyProtection="0"/>
    <xf numFmtId="0" fontId="194" fillId="121" borderId="0" applyNumberFormat="0" applyBorder="0" applyAlignment="0" applyProtection="0"/>
    <xf numFmtId="0" fontId="194" fillId="121" borderId="0" applyNumberFormat="0" applyBorder="0" applyAlignment="0" applyProtection="0"/>
    <xf numFmtId="0" fontId="194" fillId="121" borderId="0" applyNumberFormat="0" applyBorder="0" applyAlignment="0" applyProtection="0"/>
    <xf numFmtId="0" fontId="194" fillId="121" borderId="0" applyNumberFormat="0" applyBorder="0" applyAlignment="0" applyProtection="0"/>
    <xf numFmtId="0" fontId="194" fillId="121" borderId="0" applyNumberFormat="0" applyBorder="0" applyAlignment="0" applyProtection="0"/>
    <xf numFmtId="0" fontId="194" fillId="121" borderId="0" applyNumberFormat="0" applyBorder="0" applyAlignment="0" applyProtection="0"/>
    <xf numFmtId="0" fontId="194" fillId="121" borderId="0" applyNumberFormat="0" applyBorder="0" applyAlignment="0" applyProtection="0"/>
    <xf numFmtId="183"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194" fillId="121" borderId="0" applyNumberFormat="0" applyBorder="0" applyAlignment="0" applyProtection="0"/>
    <xf numFmtId="183" fontId="52" fillId="43" borderId="0" applyNumberFormat="0" applyBorder="0" applyAlignment="0" applyProtection="0"/>
    <xf numFmtId="0" fontId="52" fillId="43" borderId="0" applyNumberFormat="0" applyBorder="0" applyAlignment="0" applyProtection="0"/>
    <xf numFmtId="183" fontId="52" fillId="43" borderId="0" applyNumberFormat="0" applyBorder="0" applyAlignment="0" applyProtection="0"/>
    <xf numFmtId="0" fontId="52" fillId="43" borderId="0" applyNumberFormat="0" applyBorder="0" applyAlignment="0" applyProtection="0"/>
    <xf numFmtId="183" fontId="52" fillId="43" borderId="0" applyNumberFormat="0" applyBorder="0" applyAlignment="0" applyProtection="0"/>
    <xf numFmtId="0" fontId="52" fillId="43" borderId="0" applyNumberFormat="0" applyBorder="0" applyAlignment="0" applyProtection="0"/>
    <xf numFmtId="0" fontId="194" fillId="121" borderId="0" applyNumberFormat="0" applyBorder="0" applyAlignment="0" applyProtection="0"/>
    <xf numFmtId="0" fontId="52" fillId="43" borderId="0" applyNumberFormat="0" applyBorder="0" applyAlignment="0" applyProtection="0"/>
    <xf numFmtId="183" fontId="52" fillId="162"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209" fillId="0" borderId="129" applyNumberFormat="0" applyFill="0" applyAlignment="0" applyProtection="0"/>
    <xf numFmtId="0" fontId="116" fillId="0" borderId="70" applyNumberFormat="0" applyFill="0" applyAlignment="0" applyProtection="0"/>
    <xf numFmtId="0" fontId="116" fillId="0" borderId="70"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116" fillId="0" borderId="70" applyNumberFormat="0" applyFill="0" applyAlignment="0" applyProtection="0"/>
    <xf numFmtId="183" fontId="65" fillId="0" borderId="42" applyNumberFormat="0" applyFill="0" applyAlignment="0" applyProtection="0"/>
    <xf numFmtId="0" fontId="65" fillId="0" borderId="42" applyNumberFormat="0" applyFill="0" applyAlignment="0" applyProtection="0"/>
    <xf numFmtId="0" fontId="116" fillId="0" borderId="70" applyNumberFormat="0" applyFill="0" applyAlignment="0" applyProtection="0"/>
    <xf numFmtId="0" fontId="116" fillId="0" borderId="70" applyNumberFormat="0" applyFill="0" applyAlignment="0" applyProtection="0"/>
    <xf numFmtId="0" fontId="116" fillId="0" borderId="70" applyNumberFormat="0" applyFill="0" applyAlignment="0" applyProtection="0"/>
    <xf numFmtId="0" fontId="116" fillId="0" borderId="70" applyNumberFormat="0" applyFill="0" applyAlignment="0" applyProtection="0"/>
    <xf numFmtId="0" fontId="116" fillId="0" borderId="70" applyNumberFormat="0" applyFill="0" applyAlignment="0" applyProtection="0"/>
    <xf numFmtId="0" fontId="116" fillId="0" borderId="70" applyNumberFormat="0" applyFill="0" applyAlignment="0" applyProtection="0"/>
    <xf numFmtId="0" fontId="116" fillId="0" borderId="70" applyNumberFormat="0" applyFill="0" applyAlignment="0" applyProtection="0"/>
    <xf numFmtId="0" fontId="116" fillId="0" borderId="70" applyNumberFormat="0" applyFill="0" applyAlignment="0" applyProtection="0"/>
    <xf numFmtId="0" fontId="116" fillId="0" borderId="70" applyNumberFormat="0" applyFill="0" applyAlignment="0" applyProtection="0"/>
    <xf numFmtId="0" fontId="116" fillId="0" borderId="70" applyNumberFormat="0" applyFill="0" applyAlignment="0" applyProtection="0"/>
    <xf numFmtId="0" fontId="116" fillId="0" borderId="70"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209" fillId="0" borderId="130" applyNumberFormat="0" applyFill="0" applyAlignment="0" applyProtection="0"/>
    <xf numFmtId="183" fontId="65" fillId="0" borderId="42" applyNumberFormat="0" applyFill="0" applyAlignment="0" applyProtection="0"/>
    <xf numFmtId="0" fontId="116" fillId="0" borderId="70" applyNumberFormat="0" applyFill="0" applyAlignment="0" applyProtection="0"/>
    <xf numFmtId="0" fontId="116" fillId="0" borderId="70" applyNumberFormat="0" applyFill="0" applyAlignment="0" applyProtection="0"/>
    <xf numFmtId="0" fontId="116" fillId="0" borderId="70" applyNumberFormat="0" applyFill="0" applyAlignment="0" applyProtection="0"/>
    <xf numFmtId="0" fontId="116" fillId="0" borderId="70" applyNumberFormat="0" applyFill="0" applyAlignment="0" applyProtection="0"/>
    <xf numFmtId="0" fontId="65" fillId="0" borderId="42" applyNumberFormat="0" applyFill="0" applyAlignment="0" applyProtection="0"/>
    <xf numFmtId="0" fontId="116" fillId="0" borderId="70" applyNumberFormat="0" applyFill="0" applyAlignment="0" applyProtection="0"/>
    <xf numFmtId="0" fontId="65" fillId="0" borderId="42" applyNumberFormat="0" applyFill="0" applyAlignment="0" applyProtection="0"/>
    <xf numFmtId="183" fontId="209" fillId="0" borderId="130"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6" fillId="0" borderId="43" applyNumberFormat="0" applyFill="0" applyAlignment="0" applyProtection="0"/>
    <xf numFmtId="0" fontId="66" fillId="0" borderId="43" applyNumberFormat="0" applyFill="0" applyAlignment="0" applyProtection="0"/>
    <xf numFmtId="0" fontId="66" fillId="0" borderId="43" applyNumberFormat="0" applyFill="0" applyAlignment="0" applyProtection="0"/>
    <xf numFmtId="0" fontId="66" fillId="0" borderId="43" applyNumberFormat="0" applyFill="0" applyAlignment="0" applyProtection="0"/>
    <xf numFmtId="0" fontId="66" fillId="0" borderId="43" applyNumberFormat="0" applyFill="0" applyAlignment="0" applyProtection="0"/>
    <xf numFmtId="0" fontId="66" fillId="0" borderId="43" applyNumberFormat="0" applyFill="0" applyAlignment="0" applyProtection="0"/>
    <xf numFmtId="0" fontId="66" fillId="0" borderId="43" applyNumberFormat="0" applyFill="0" applyAlignment="0" applyProtection="0"/>
    <xf numFmtId="0" fontId="66" fillId="0" borderId="43" applyNumberFormat="0" applyFill="0" applyAlignment="0" applyProtection="0"/>
    <xf numFmtId="0" fontId="66" fillId="0" borderId="43" applyNumberFormat="0" applyFill="0" applyAlignment="0" applyProtection="0"/>
    <xf numFmtId="0" fontId="66" fillId="0" borderId="43" applyNumberFormat="0" applyFill="0" applyAlignment="0" applyProtection="0"/>
    <xf numFmtId="0" fontId="210" fillId="0" borderId="131" applyNumberFormat="0" applyFill="0" applyAlignment="0" applyProtection="0"/>
    <xf numFmtId="0" fontId="117" fillId="0" borderId="71" applyNumberFormat="0" applyFill="0" applyAlignment="0" applyProtection="0"/>
    <xf numFmtId="0" fontId="117" fillId="0" borderId="71" applyNumberFormat="0" applyFill="0" applyAlignment="0" applyProtection="0"/>
    <xf numFmtId="0" fontId="66" fillId="0" borderId="43" applyNumberFormat="0" applyFill="0" applyAlignment="0" applyProtection="0"/>
    <xf numFmtId="0" fontId="66" fillId="0" borderId="43" applyNumberFormat="0" applyFill="0" applyAlignment="0" applyProtection="0"/>
    <xf numFmtId="0" fontId="66" fillId="0" borderId="43" applyNumberFormat="0" applyFill="0" applyAlignment="0" applyProtection="0"/>
    <xf numFmtId="0" fontId="117" fillId="0" borderId="71" applyNumberFormat="0" applyFill="0" applyAlignment="0" applyProtection="0"/>
    <xf numFmtId="183" fontId="66" fillId="0" borderId="43" applyNumberFormat="0" applyFill="0" applyAlignment="0" applyProtection="0"/>
    <xf numFmtId="0" fontId="66" fillId="0" borderId="43" applyNumberFormat="0" applyFill="0" applyAlignment="0" applyProtection="0"/>
    <xf numFmtId="0" fontId="117" fillId="0" borderId="71" applyNumberFormat="0" applyFill="0" applyAlignment="0" applyProtection="0"/>
    <xf numFmtId="0" fontId="117" fillId="0" borderId="71" applyNumberFormat="0" applyFill="0" applyAlignment="0" applyProtection="0"/>
    <xf numFmtId="0" fontId="117" fillId="0" borderId="71" applyNumberFormat="0" applyFill="0" applyAlignment="0" applyProtection="0"/>
    <xf numFmtId="0" fontId="117" fillId="0" borderId="71" applyNumberFormat="0" applyFill="0" applyAlignment="0" applyProtection="0"/>
    <xf numFmtId="0" fontId="117" fillId="0" borderId="71" applyNumberFormat="0" applyFill="0" applyAlignment="0" applyProtection="0"/>
    <xf numFmtId="0" fontId="117" fillId="0" borderId="71" applyNumberFormat="0" applyFill="0" applyAlignment="0" applyProtection="0"/>
    <xf numFmtId="0" fontId="117" fillId="0" borderId="71" applyNumberFormat="0" applyFill="0" applyAlignment="0" applyProtection="0"/>
    <xf numFmtId="0" fontId="117" fillId="0" borderId="71" applyNumberFormat="0" applyFill="0" applyAlignment="0" applyProtection="0"/>
    <xf numFmtId="0" fontId="117" fillId="0" borderId="71" applyNumberFormat="0" applyFill="0" applyAlignment="0" applyProtection="0"/>
    <xf numFmtId="0" fontId="117" fillId="0" borderId="71" applyNumberFormat="0" applyFill="0" applyAlignment="0" applyProtection="0"/>
    <xf numFmtId="0" fontId="117" fillId="0" borderId="71" applyNumberFormat="0" applyFill="0" applyAlignment="0" applyProtection="0"/>
    <xf numFmtId="0" fontId="66" fillId="0" borderId="43" applyNumberFormat="0" applyFill="0" applyAlignment="0" applyProtection="0"/>
    <xf numFmtId="0" fontId="66" fillId="0" borderId="43" applyNumberFormat="0" applyFill="0" applyAlignment="0" applyProtection="0"/>
    <xf numFmtId="0" fontId="210" fillId="0" borderId="43" applyNumberFormat="0" applyFill="0" applyAlignment="0" applyProtection="0"/>
    <xf numFmtId="183" fontId="210" fillId="0" borderId="43" applyNumberFormat="0" applyFill="0" applyAlignment="0" applyProtection="0"/>
    <xf numFmtId="0" fontId="117" fillId="0" borderId="71" applyNumberFormat="0" applyFill="0" applyAlignment="0" applyProtection="0"/>
    <xf numFmtId="0" fontId="117" fillId="0" borderId="71" applyNumberFormat="0" applyFill="0" applyAlignment="0" applyProtection="0"/>
    <xf numFmtId="0" fontId="117" fillId="0" borderId="71" applyNumberFormat="0" applyFill="0" applyAlignment="0" applyProtection="0"/>
    <xf numFmtId="0" fontId="117" fillId="0" borderId="71" applyNumberFormat="0" applyFill="0" applyAlignment="0" applyProtection="0"/>
    <xf numFmtId="0" fontId="66" fillId="0" borderId="43" applyNumberFormat="0" applyFill="0" applyAlignment="0" applyProtection="0"/>
    <xf numFmtId="183" fontId="210" fillId="0" borderId="43" applyNumberFormat="0" applyFill="0" applyAlignment="0" applyProtection="0"/>
    <xf numFmtId="0" fontId="66" fillId="0" borderId="43" applyNumberFormat="0" applyFill="0" applyAlignment="0" applyProtection="0"/>
    <xf numFmtId="183" fontId="210" fillId="0" borderId="43" applyNumberFormat="0" applyFill="0" applyAlignment="0" applyProtection="0"/>
    <xf numFmtId="0" fontId="66" fillId="0" borderId="43" applyNumberFormat="0" applyFill="0" applyAlignment="0" applyProtection="0"/>
    <xf numFmtId="183" fontId="66" fillId="0" borderId="43" applyNumberFormat="0" applyFill="0" applyAlignment="0" applyProtection="0"/>
    <xf numFmtId="0" fontId="66" fillId="0" borderId="43" applyNumberFormat="0" applyFill="0" applyAlignment="0" applyProtection="0"/>
    <xf numFmtId="0" fontId="117" fillId="0" borderId="71" applyNumberFormat="0" applyFill="0" applyAlignment="0" applyProtection="0"/>
    <xf numFmtId="0" fontId="66" fillId="0" borderId="43" applyNumberFormat="0" applyFill="0" applyAlignment="0" applyProtection="0"/>
    <xf numFmtId="183" fontId="210" fillId="0" borderId="132" applyNumberFormat="0" applyFill="0" applyAlignment="0" applyProtection="0"/>
    <xf numFmtId="0" fontId="66" fillId="0" borderId="43" applyNumberFormat="0" applyFill="0" applyAlignment="0" applyProtection="0"/>
    <xf numFmtId="0" fontId="66" fillId="0" borderId="43" applyNumberFormat="0" applyFill="0" applyAlignment="0" applyProtection="0"/>
    <xf numFmtId="0" fontId="67" fillId="0" borderId="44" applyNumberFormat="0" applyFill="0" applyAlignment="0" applyProtection="0"/>
    <xf numFmtId="0" fontId="67" fillId="0" borderId="44" applyNumberFormat="0" applyFill="0" applyAlignment="0" applyProtection="0"/>
    <xf numFmtId="0" fontId="67" fillId="0" borderId="44" applyNumberFormat="0" applyFill="0" applyAlignment="0" applyProtection="0"/>
    <xf numFmtId="0" fontId="67" fillId="0" borderId="44" applyNumberFormat="0" applyFill="0" applyAlignment="0" applyProtection="0"/>
    <xf numFmtId="0" fontId="67" fillId="0" borderId="44" applyNumberFormat="0" applyFill="0" applyAlignment="0" applyProtection="0"/>
    <xf numFmtId="0" fontId="67" fillId="0" borderId="44" applyNumberFormat="0" applyFill="0" applyAlignment="0" applyProtection="0"/>
    <xf numFmtId="0" fontId="67" fillId="0" borderId="44" applyNumberFormat="0" applyFill="0" applyAlignment="0" applyProtection="0"/>
    <xf numFmtId="0" fontId="67" fillId="0" borderId="44" applyNumberFormat="0" applyFill="0" applyAlignment="0" applyProtection="0"/>
    <xf numFmtId="0" fontId="67" fillId="0" borderId="44" applyNumberFormat="0" applyFill="0" applyAlignment="0" applyProtection="0"/>
    <xf numFmtId="0" fontId="67" fillId="0" borderId="44" applyNumberFormat="0" applyFill="0" applyAlignment="0" applyProtection="0"/>
    <xf numFmtId="0" fontId="211" fillId="0" borderId="133" applyNumberFormat="0" applyFill="0" applyAlignment="0" applyProtection="0"/>
    <xf numFmtId="0" fontId="118" fillId="0" borderId="72" applyNumberFormat="0" applyFill="0" applyAlignment="0" applyProtection="0"/>
    <xf numFmtId="0" fontId="118" fillId="0" borderId="72" applyNumberFormat="0" applyFill="0" applyAlignment="0" applyProtection="0"/>
    <xf numFmtId="0" fontId="67" fillId="0" borderId="44" applyNumberFormat="0" applyFill="0" applyAlignment="0" applyProtection="0"/>
    <xf numFmtId="0" fontId="67" fillId="0" borderId="44" applyNumberFormat="0" applyFill="0" applyAlignment="0" applyProtection="0"/>
    <xf numFmtId="0" fontId="67" fillId="0" borderId="44" applyNumberFormat="0" applyFill="0" applyAlignment="0" applyProtection="0"/>
    <xf numFmtId="0" fontId="118" fillId="0" borderId="72" applyNumberFormat="0" applyFill="0" applyAlignment="0" applyProtection="0"/>
    <xf numFmtId="183" fontId="67" fillId="0" borderId="44" applyNumberFormat="0" applyFill="0" applyAlignment="0" applyProtection="0"/>
    <xf numFmtId="0" fontId="67" fillId="0" borderId="44" applyNumberFormat="0" applyFill="0" applyAlignment="0" applyProtection="0"/>
    <xf numFmtId="0" fontId="118" fillId="0" borderId="72" applyNumberFormat="0" applyFill="0" applyAlignment="0" applyProtection="0"/>
    <xf numFmtId="0" fontId="118" fillId="0" borderId="72" applyNumberFormat="0" applyFill="0" applyAlignment="0" applyProtection="0"/>
    <xf numFmtId="0" fontId="118" fillId="0" borderId="72" applyNumberFormat="0" applyFill="0" applyAlignment="0" applyProtection="0"/>
    <xf numFmtId="0" fontId="118" fillId="0" borderId="72" applyNumberFormat="0" applyFill="0" applyAlignment="0" applyProtection="0"/>
    <xf numFmtId="0" fontId="118" fillId="0" borderId="72" applyNumberFormat="0" applyFill="0" applyAlignment="0" applyProtection="0"/>
    <xf numFmtId="0" fontId="118" fillId="0" borderId="72" applyNumberFormat="0" applyFill="0" applyAlignment="0" applyProtection="0"/>
    <xf numFmtId="0" fontId="118" fillId="0" borderId="72" applyNumberFormat="0" applyFill="0" applyAlignment="0" applyProtection="0"/>
    <xf numFmtId="0" fontId="118" fillId="0" borderId="72" applyNumberFormat="0" applyFill="0" applyAlignment="0" applyProtection="0"/>
    <xf numFmtId="0" fontId="118" fillId="0" borderId="72" applyNumberFormat="0" applyFill="0" applyAlignment="0" applyProtection="0"/>
    <xf numFmtId="0" fontId="118" fillId="0" borderId="72" applyNumberFormat="0" applyFill="0" applyAlignment="0" applyProtection="0"/>
    <xf numFmtId="0" fontId="118" fillId="0" borderId="72" applyNumberFormat="0" applyFill="0" applyAlignment="0" applyProtection="0"/>
    <xf numFmtId="0" fontId="67" fillId="0" borderId="44" applyNumberFormat="0" applyFill="0" applyAlignment="0" applyProtection="0"/>
    <xf numFmtId="0" fontId="67" fillId="0" borderId="44" applyNumberFormat="0" applyFill="0" applyAlignment="0" applyProtection="0"/>
    <xf numFmtId="0" fontId="211" fillId="0" borderId="134" applyNumberFormat="0" applyFill="0" applyAlignment="0" applyProtection="0"/>
    <xf numFmtId="183" fontId="211" fillId="0" borderId="134" applyNumberFormat="0" applyFill="0" applyAlignment="0" applyProtection="0"/>
    <xf numFmtId="0" fontId="118" fillId="0" borderId="72" applyNumberFormat="0" applyFill="0" applyAlignment="0" applyProtection="0"/>
    <xf numFmtId="0" fontId="118" fillId="0" borderId="72" applyNumberFormat="0" applyFill="0" applyAlignment="0" applyProtection="0"/>
    <xf numFmtId="0" fontId="118" fillId="0" borderId="72" applyNumberFormat="0" applyFill="0" applyAlignment="0" applyProtection="0"/>
    <xf numFmtId="0" fontId="118" fillId="0" borderId="72" applyNumberFormat="0" applyFill="0" applyAlignment="0" applyProtection="0"/>
    <xf numFmtId="0" fontId="67" fillId="0" borderId="44" applyNumberFormat="0" applyFill="0" applyAlignment="0" applyProtection="0"/>
    <xf numFmtId="183" fontId="211" fillId="0" borderId="134" applyNumberFormat="0" applyFill="0" applyAlignment="0" applyProtection="0"/>
    <xf numFmtId="0" fontId="67" fillId="0" borderId="44" applyNumberFormat="0" applyFill="0" applyAlignment="0" applyProtection="0"/>
    <xf numFmtId="183" fontId="211" fillId="0" borderId="134" applyNumberFormat="0" applyFill="0" applyAlignment="0" applyProtection="0"/>
    <xf numFmtId="0" fontId="67" fillId="0" borderId="44" applyNumberFormat="0" applyFill="0" applyAlignment="0" applyProtection="0"/>
    <xf numFmtId="183" fontId="67" fillId="0" borderId="44" applyNumberFormat="0" applyFill="0" applyAlignment="0" applyProtection="0"/>
    <xf numFmtId="0" fontId="67" fillId="0" borderId="44" applyNumberFormat="0" applyFill="0" applyAlignment="0" applyProtection="0"/>
    <xf numFmtId="0" fontId="118" fillId="0" borderId="72" applyNumberFormat="0" applyFill="0" applyAlignment="0" applyProtection="0"/>
    <xf numFmtId="0" fontId="67" fillId="0" borderId="44" applyNumberFormat="0" applyFill="0" applyAlignment="0" applyProtection="0"/>
    <xf numFmtId="183" fontId="211" fillId="0" borderId="135" applyNumberFormat="0" applyFill="0" applyAlignment="0" applyProtection="0"/>
    <xf numFmtId="0" fontId="67" fillId="0" borderId="44" applyNumberFormat="0" applyFill="0" applyAlignment="0" applyProtection="0"/>
    <xf numFmtId="0" fontId="67" fillId="0" borderId="44"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18" fillId="0" borderId="0" applyNumberFormat="0" applyFill="0" applyBorder="0" applyAlignment="0" applyProtection="0"/>
    <xf numFmtId="183" fontId="67" fillId="0" borderId="0" applyNumberFormat="0" applyFill="0" applyBorder="0" applyAlignment="0" applyProtection="0"/>
    <xf numFmtId="0" fontId="67"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11" fillId="0" borderId="0" applyNumberFormat="0" applyFill="0" applyBorder="0" applyAlignment="0" applyProtection="0"/>
    <xf numFmtId="183" fontId="67"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7" fillId="0" borderId="0" applyNumberFormat="0" applyFill="0" applyBorder="0" applyAlignment="0" applyProtection="0"/>
    <xf numFmtId="0" fontId="118" fillId="0" borderId="0" applyNumberFormat="0" applyFill="0" applyBorder="0" applyAlignment="0" applyProtection="0"/>
    <xf numFmtId="0" fontId="67" fillId="0" borderId="0" applyNumberFormat="0" applyFill="0" applyBorder="0" applyAlignment="0" applyProtection="0"/>
    <xf numFmtId="183" fontId="211"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91" fillId="0" borderId="0" applyNumberFormat="0" applyFill="0" applyBorder="0" applyAlignment="0" applyProtection="0">
      <alignment vertical="top"/>
      <protection locked="0"/>
    </xf>
    <xf numFmtId="199" fontId="127" fillId="163" borderId="0"/>
    <xf numFmtId="200" fontId="127" fillId="163" borderId="0"/>
    <xf numFmtId="201" fontId="127" fillId="163" borderId="0"/>
    <xf numFmtId="183" fontId="19" fillId="163" borderId="0">
      <protection locked="0"/>
    </xf>
    <xf numFmtId="235" fontId="19" fillId="163" borderId="0">
      <protection locked="0"/>
    </xf>
    <xf numFmtId="202" fontId="19" fillId="163" borderId="0">
      <protection locked="0"/>
    </xf>
    <xf numFmtId="203" fontId="19" fillId="163" borderId="0">
      <protection locked="0"/>
    </xf>
    <xf numFmtId="204" fontId="19" fillId="163" borderId="0">
      <protection locked="0"/>
    </xf>
    <xf numFmtId="20" fontId="19" fillId="163" borderId="0">
      <protection locked="0"/>
    </xf>
    <xf numFmtId="0" fontId="47" fillId="46" borderId="127" applyNumberFormat="0" applyAlignment="0" applyProtection="0"/>
    <xf numFmtId="0" fontId="47" fillId="46" borderId="127" applyNumberFormat="0" applyAlignment="0" applyProtection="0"/>
    <xf numFmtId="0" fontId="47" fillId="46" borderId="127" applyNumberFormat="0" applyAlignment="0" applyProtection="0"/>
    <xf numFmtId="0" fontId="47" fillId="46" borderId="127" applyNumberFormat="0" applyAlignment="0" applyProtection="0"/>
    <xf numFmtId="0" fontId="24" fillId="10" borderId="10" applyNumberFormat="0" applyAlignment="0" applyProtection="0"/>
    <xf numFmtId="0" fontId="47" fillId="46" borderId="127" applyNumberFormat="0" applyAlignment="0" applyProtection="0"/>
    <xf numFmtId="0" fontId="47" fillId="46" borderId="127" applyNumberFormat="0" applyAlignment="0" applyProtection="0"/>
    <xf numFmtId="0" fontId="47" fillId="46" borderId="127" applyNumberFormat="0" applyAlignment="0" applyProtection="0"/>
    <xf numFmtId="0" fontId="47" fillId="46" borderId="127" applyNumberFormat="0" applyAlignment="0" applyProtection="0"/>
    <xf numFmtId="0" fontId="47" fillId="46" borderId="127" applyNumberFormat="0" applyAlignment="0" applyProtection="0"/>
    <xf numFmtId="0" fontId="47" fillId="61" borderId="127" applyNumberFormat="0" applyAlignment="0" applyProtection="0"/>
    <xf numFmtId="0" fontId="24" fillId="10" borderId="10" applyNumberFormat="0" applyAlignment="0" applyProtection="0"/>
    <xf numFmtId="0" fontId="24" fillId="10" borderId="10" applyNumberFormat="0" applyAlignment="0" applyProtection="0"/>
    <xf numFmtId="0" fontId="47" fillId="46" borderId="127" applyNumberFormat="0" applyAlignment="0" applyProtection="0"/>
    <xf numFmtId="0" fontId="47" fillId="46" borderId="127" applyNumberFormat="0" applyAlignment="0" applyProtection="0"/>
    <xf numFmtId="0" fontId="47" fillId="46" borderId="127" applyNumberFormat="0" applyAlignment="0" applyProtection="0"/>
    <xf numFmtId="0" fontId="24" fillId="10" borderId="10" applyNumberFormat="0" applyAlignment="0" applyProtection="0"/>
    <xf numFmtId="183" fontId="204" fillId="164" borderId="128" applyNumberFormat="0">
      <alignment horizontal="center" vertical="center"/>
      <protection locked="0"/>
    </xf>
    <xf numFmtId="183" fontId="204" fillId="164" borderId="128" applyNumberFormat="0">
      <alignment horizontal="center" vertical="center"/>
      <protection locked="0"/>
    </xf>
    <xf numFmtId="183" fontId="204" fillId="164" borderId="128" applyNumberFormat="0">
      <alignment horizontal="center" vertical="center"/>
      <protection locked="0"/>
    </xf>
    <xf numFmtId="0" fontId="47" fillId="46" borderId="127" applyNumberFormat="0" applyAlignment="0" applyProtection="0"/>
    <xf numFmtId="0" fontId="24" fillId="10" borderId="10" applyNumberFormat="0" applyAlignment="0" applyProtection="0"/>
    <xf numFmtId="0" fontId="24" fillId="10" borderId="10" applyNumberFormat="0" applyAlignment="0" applyProtection="0"/>
    <xf numFmtId="0" fontId="24" fillId="10" borderId="10" applyNumberFormat="0" applyAlignment="0" applyProtection="0"/>
    <xf numFmtId="0" fontId="24" fillId="10" borderId="10" applyNumberFormat="0" applyAlignment="0" applyProtection="0"/>
    <xf numFmtId="0" fontId="24" fillId="10" borderId="10" applyNumberFormat="0" applyAlignment="0" applyProtection="0"/>
    <xf numFmtId="0" fontId="24" fillId="10" borderId="10" applyNumberFormat="0" applyAlignment="0" applyProtection="0"/>
    <xf numFmtId="0" fontId="24" fillId="10" borderId="10" applyNumberFormat="0" applyAlignment="0" applyProtection="0"/>
    <xf numFmtId="0" fontId="24" fillId="10" borderId="10" applyNumberFormat="0" applyAlignment="0" applyProtection="0"/>
    <xf numFmtId="0" fontId="24" fillId="10" borderId="10" applyNumberFormat="0" applyAlignment="0" applyProtection="0"/>
    <xf numFmtId="0" fontId="24" fillId="10" borderId="10" applyNumberFormat="0" applyAlignment="0" applyProtection="0"/>
    <xf numFmtId="0" fontId="24" fillId="10" borderId="10" applyNumberFormat="0" applyAlignment="0" applyProtection="0"/>
    <xf numFmtId="0" fontId="47" fillId="46" borderId="127" applyNumberFormat="0" applyAlignment="0" applyProtection="0"/>
    <xf numFmtId="0" fontId="47" fillId="46" borderId="127" applyNumberFormat="0" applyAlignment="0" applyProtection="0"/>
    <xf numFmtId="0" fontId="47" fillId="46" borderId="127" applyNumberFormat="0" applyAlignment="0" applyProtection="0"/>
    <xf numFmtId="0" fontId="47" fillId="61" borderId="127" applyNumberFormat="0" applyAlignment="0" applyProtection="0"/>
    <xf numFmtId="183" fontId="204" fillId="164" borderId="128" applyNumberFormat="0">
      <alignment horizontal="center" vertical="center"/>
      <protection locked="0"/>
    </xf>
    <xf numFmtId="183" fontId="204" fillId="164" borderId="128" applyNumberFormat="0">
      <alignment horizontal="center" vertical="center"/>
      <protection locked="0"/>
    </xf>
    <xf numFmtId="183" fontId="47" fillId="61" borderId="127" applyNumberFormat="0" applyAlignment="0" applyProtection="0"/>
    <xf numFmtId="0" fontId="24" fillId="10" borderId="10" applyNumberFormat="0" applyAlignment="0" applyProtection="0"/>
    <xf numFmtId="0" fontId="24" fillId="10" borderId="10" applyNumberFormat="0" applyAlignment="0" applyProtection="0"/>
    <xf numFmtId="0" fontId="24" fillId="10" borderId="10" applyNumberFormat="0" applyAlignment="0" applyProtection="0"/>
    <xf numFmtId="0" fontId="24" fillId="10" borderId="10" applyNumberFormat="0" applyAlignment="0" applyProtection="0"/>
    <xf numFmtId="0" fontId="47" fillId="46" borderId="127" applyNumberFormat="0" applyAlignment="0" applyProtection="0"/>
    <xf numFmtId="183" fontId="47" fillId="61" borderId="127" applyNumberFormat="0" applyAlignment="0" applyProtection="0"/>
    <xf numFmtId="183" fontId="47" fillId="61" borderId="127" applyNumberFormat="0" applyAlignment="0" applyProtection="0"/>
    <xf numFmtId="183" fontId="47" fillId="61" borderId="127" applyNumberFormat="0" applyAlignment="0" applyProtection="0"/>
    <xf numFmtId="0" fontId="47" fillId="46" borderId="127" applyNumberFormat="0" applyAlignment="0" applyProtection="0"/>
    <xf numFmtId="183" fontId="47" fillId="61" borderId="127" applyNumberFormat="0" applyAlignment="0" applyProtection="0"/>
    <xf numFmtId="183" fontId="47" fillId="61" borderId="127" applyNumberFormat="0" applyAlignment="0" applyProtection="0"/>
    <xf numFmtId="183" fontId="47" fillId="61" borderId="127" applyNumberFormat="0" applyAlignment="0" applyProtection="0"/>
    <xf numFmtId="0" fontId="47" fillId="46" borderId="127" applyNumberFormat="0" applyAlignment="0" applyProtection="0"/>
    <xf numFmtId="183" fontId="47" fillId="61" borderId="127" applyNumberFormat="0" applyAlignment="0" applyProtection="0"/>
    <xf numFmtId="183" fontId="47" fillId="61" borderId="127" applyNumberFormat="0" applyAlignment="0" applyProtection="0"/>
    <xf numFmtId="183" fontId="47" fillId="46" borderId="127" applyNumberFormat="0" applyAlignment="0" applyProtection="0"/>
    <xf numFmtId="0" fontId="47" fillId="46" borderId="127" applyNumberFormat="0" applyAlignment="0" applyProtection="0"/>
    <xf numFmtId="183" fontId="47" fillId="46" borderId="127" applyNumberFormat="0" applyAlignment="0" applyProtection="0"/>
    <xf numFmtId="0" fontId="24" fillId="10" borderId="10" applyNumberFormat="0" applyAlignment="0" applyProtection="0"/>
    <xf numFmtId="0" fontId="47" fillId="46" borderId="127" applyNumberFormat="0" applyAlignment="0" applyProtection="0"/>
    <xf numFmtId="183" fontId="204" fillId="164" borderId="128" applyNumberFormat="0">
      <alignment horizontal="center" vertical="center"/>
      <protection locked="0"/>
    </xf>
    <xf numFmtId="0" fontId="47" fillId="46" borderId="127" applyNumberFormat="0" applyAlignment="0" applyProtection="0"/>
    <xf numFmtId="0" fontId="47" fillId="46" borderId="127" applyNumberFormat="0" applyAlignment="0" applyProtection="0"/>
    <xf numFmtId="183" fontId="19" fillId="163" borderId="0">
      <protection locked="0"/>
    </xf>
    <xf numFmtId="183" fontId="19" fillId="163" borderId="0">
      <protection locked="0"/>
    </xf>
    <xf numFmtId="183" fontId="17" fillId="163" borderId="0">
      <protection locked="0"/>
    </xf>
    <xf numFmtId="183" fontId="19" fillId="163" borderId="0">
      <alignment horizontal="center"/>
      <protection locked="0"/>
    </xf>
    <xf numFmtId="183" fontId="19" fillId="163" borderId="0">
      <protection locked="0"/>
    </xf>
    <xf numFmtId="183" fontId="19" fillId="163" borderId="0"/>
    <xf numFmtId="183" fontId="19" fillId="163" borderId="0">
      <alignment wrapText="1"/>
      <protection locked="0"/>
    </xf>
    <xf numFmtId="183" fontId="108" fillId="163" borderId="0">
      <protection locked="0"/>
    </xf>
    <xf numFmtId="183" fontId="18" fillId="163" borderId="0">
      <protection locked="0"/>
    </xf>
    <xf numFmtId="183" fontId="18" fillId="163" borderId="0">
      <protection locked="0"/>
    </xf>
    <xf numFmtId="183" fontId="18" fillId="163" borderId="0">
      <protection locked="0"/>
    </xf>
    <xf numFmtId="183" fontId="18" fillId="163" borderId="0">
      <protection locked="0"/>
    </xf>
    <xf numFmtId="183" fontId="20" fillId="163" borderId="0">
      <protection locked="0"/>
    </xf>
    <xf numFmtId="0" fontId="68" fillId="0" borderId="45" applyNumberFormat="0" applyFill="0" applyAlignment="0" applyProtection="0"/>
    <xf numFmtId="0" fontId="68" fillId="0" borderId="45" applyNumberFormat="0" applyFill="0" applyAlignment="0" applyProtection="0"/>
    <xf numFmtId="0" fontId="68" fillId="0" borderId="45" applyNumberFormat="0" applyFill="0" applyAlignment="0" applyProtection="0"/>
    <xf numFmtId="0" fontId="68" fillId="0" borderId="45" applyNumberFormat="0" applyFill="0" applyAlignment="0" applyProtection="0"/>
    <xf numFmtId="0" fontId="69" fillId="0" borderId="136" applyNumberFormat="0" applyFill="0" applyAlignment="0" applyProtection="0"/>
    <xf numFmtId="0" fontId="119" fillId="0" borderId="73" applyNumberFormat="0" applyFill="0" applyAlignment="0" applyProtection="0"/>
    <xf numFmtId="0" fontId="119" fillId="0" borderId="73" applyNumberFormat="0" applyFill="0" applyAlignment="0" applyProtection="0"/>
    <xf numFmtId="0" fontId="68" fillId="0" borderId="45" applyNumberFormat="0" applyFill="0" applyAlignment="0" applyProtection="0"/>
    <xf numFmtId="0" fontId="68" fillId="0" borderId="45" applyNumberFormat="0" applyFill="0" applyAlignment="0" applyProtection="0"/>
    <xf numFmtId="0" fontId="68" fillId="0" borderId="45" applyNumberFormat="0" applyFill="0" applyAlignment="0" applyProtection="0"/>
    <xf numFmtId="0" fontId="119" fillId="0" borderId="73" applyNumberFormat="0" applyFill="0" applyAlignment="0" applyProtection="0"/>
    <xf numFmtId="183" fontId="68" fillId="0" borderId="45" applyNumberFormat="0" applyFill="0" applyAlignment="0" applyProtection="0"/>
    <xf numFmtId="0" fontId="68" fillId="0" borderId="45" applyNumberFormat="0" applyFill="0" applyAlignment="0" applyProtection="0"/>
    <xf numFmtId="0" fontId="119" fillId="0" borderId="73" applyNumberFormat="0" applyFill="0" applyAlignment="0" applyProtection="0"/>
    <xf numFmtId="0" fontId="119" fillId="0" borderId="73" applyNumberFormat="0" applyFill="0" applyAlignment="0" applyProtection="0"/>
    <xf numFmtId="0" fontId="119" fillId="0" borderId="73" applyNumberFormat="0" applyFill="0" applyAlignment="0" applyProtection="0"/>
    <xf numFmtId="0" fontId="119" fillId="0" borderId="73" applyNumberFormat="0" applyFill="0" applyAlignment="0" applyProtection="0"/>
    <xf numFmtId="0" fontId="119" fillId="0" borderId="73" applyNumberFormat="0" applyFill="0" applyAlignment="0" applyProtection="0"/>
    <xf numFmtId="0" fontId="119" fillId="0" borderId="73" applyNumberFormat="0" applyFill="0" applyAlignment="0" applyProtection="0"/>
    <xf numFmtId="0" fontId="119" fillId="0" borderId="73" applyNumberFormat="0" applyFill="0" applyAlignment="0" applyProtection="0"/>
    <xf numFmtId="0" fontId="119" fillId="0" borderId="73" applyNumberFormat="0" applyFill="0" applyAlignment="0" applyProtection="0"/>
    <xf numFmtId="0" fontId="119" fillId="0" borderId="73" applyNumberFormat="0" applyFill="0" applyAlignment="0" applyProtection="0"/>
    <xf numFmtId="0" fontId="119" fillId="0" borderId="73" applyNumberFormat="0" applyFill="0" applyAlignment="0" applyProtection="0"/>
    <xf numFmtId="0" fontId="119" fillId="0" borderId="73" applyNumberFormat="0" applyFill="0" applyAlignment="0" applyProtection="0"/>
    <xf numFmtId="183" fontId="68" fillId="0" borderId="45" applyNumberFormat="0" applyFill="0" applyAlignment="0" applyProtection="0"/>
    <xf numFmtId="0" fontId="68" fillId="0" borderId="45" applyNumberFormat="0" applyFill="0" applyAlignment="0" applyProtection="0"/>
    <xf numFmtId="0" fontId="68" fillId="0" borderId="45" applyNumberFormat="0" applyFill="0" applyAlignment="0" applyProtection="0"/>
    <xf numFmtId="0" fontId="68" fillId="0" borderId="45" applyNumberFormat="0" applyFill="0" applyAlignment="0" applyProtection="0"/>
    <xf numFmtId="0" fontId="68" fillId="0" borderId="45" applyNumberFormat="0" applyFill="0" applyAlignment="0" applyProtection="0"/>
    <xf numFmtId="0" fontId="119" fillId="0" borderId="73" applyNumberFormat="0" applyFill="0" applyAlignment="0" applyProtection="0"/>
    <xf numFmtId="0" fontId="119" fillId="0" borderId="73" applyNumberFormat="0" applyFill="0" applyAlignment="0" applyProtection="0"/>
    <xf numFmtId="0" fontId="68" fillId="0" borderId="45" applyNumberFormat="0" applyFill="0" applyAlignment="0" applyProtection="0"/>
    <xf numFmtId="183" fontId="68" fillId="0" borderId="45" applyNumberFormat="0" applyFill="0" applyAlignment="0" applyProtection="0"/>
    <xf numFmtId="0" fontId="68" fillId="0" borderId="45" applyNumberFormat="0" applyFill="0" applyAlignment="0" applyProtection="0"/>
    <xf numFmtId="0" fontId="68" fillId="0" borderId="45" applyNumberFormat="0" applyFill="0" applyAlignment="0" applyProtection="0"/>
    <xf numFmtId="0" fontId="68" fillId="0" borderId="45" applyNumberFormat="0" applyFill="0" applyAlignment="0" applyProtection="0"/>
    <xf numFmtId="0" fontId="68" fillId="0" borderId="45" applyNumberFormat="0" applyFill="0" applyAlignment="0" applyProtection="0"/>
    <xf numFmtId="0" fontId="68" fillId="0" borderId="45" applyNumberFormat="0" applyFill="0" applyAlignment="0" applyProtection="0"/>
    <xf numFmtId="0" fontId="212" fillId="61"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213" fillId="61" borderId="0" applyNumberFormat="0" applyBorder="0" applyAlignment="0" applyProtection="0"/>
    <xf numFmtId="0" fontId="199" fillId="123" borderId="0" applyNumberFormat="0" applyBorder="0" applyAlignment="0" applyProtection="0"/>
    <xf numFmtId="0" fontId="199" fillId="123"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199" fillId="123" borderId="0" applyNumberFormat="0" applyBorder="0" applyAlignment="0" applyProtection="0"/>
    <xf numFmtId="183" fontId="212" fillId="165" borderId="0" applyNumberFormat="0" applyBorder="0" applyAlignment="0" applyProtection="0"/>
    <xf numFmtId="0" fontId="212" fillId="61" borderId="0" applyNumberFormat="0" applyBorder="0" applyAlignment="0" applyProtection="0"/>
    <xf numFmtId="0" fontId="199" fillId="123" borderId="0" applyNumberFormat="0" applyBorder="0" applyAlignment="0" applyProtection="0"/>
    <xf numFmtId="0" fontId="199" fillId="123" borderId="0" applyNumberFormat="0" applyBorder="0" applyAlignment="0" applyProtection="0"/>
    <xf numFmtId="0" fontId="199" fillId="123" borderId="0" applyNumberFormat="0" applyBorder="0" applyAlignment="0" applyProtection="0"/>
    <xf numFmtId="0" fontId="199" fillId="123" borderId="0" applyNumberFormat="0" applyBorder="0" applyAlignment="0" applyProtection="0"/>
    <xf numFmtId="0" fontId="199" fillId="123" borderId="0" applyNumberFormat="0" applyBorder="0" applyAlignment="0" applyProtection="0"/>
    <xf numFmtId="0" fontId="199" fillId="123" borderId="0" applyNumberFormat="0" applyBorder="0" applyAlignment="0" applyProtection="0"/>
    <xf numFmtId="0" fontId="199" fillId="123" borderId="0" applyNumberFormat="0" applyBorder="0" applyAlignment="0" applyProtection="0"/>
    <xf numFmtId="0" fontId="199" fillId="123" borderId="0" applyNumberFormat="0" applyBorder="0" applyAlignment="0" applyProtection="0"/>
    <xf numFmtId="0" fontId="199" fillId="123" borderId="0" applyNumberFormat="0" applyBorder="0" applyAlignment="0" applyProtection="0"/>
    <xf numFmtId="0" fontId="199" fillId="123" borderId="0" applyNumberFormat="0" applyBorder="0" applyAlignment="0" applyProtection="0"/>
    <xf numFmtId="0" fontId="199" fillId="123" borderId="0" applyNumberFormat="0" applyBorder="0" applyAlignment="0" applyProtection="0"/>
    <xf numFmtId="183" fontId="212" fillId="61"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199" fillId="123" borderId="0" applyNumberFormat="0" applyBorder="0" applyAlignment="0" applyProtection="0"/>
    <xf numFmtId="183" fontId="212" fillId="61" borderId="0" applyNumberFormat="0" applyBorder="0" applyAlignment="0" applyProtection="0"/>
    <xf numFmtId="0" fontId="212" fillId="61" borderId="0" applyNumberFormat="0" applyBorder="0" applyAlignment="0" applyProtection="0"/>
    <xf numFmtId="183" fontId="212" fillId="61" borderId="0" applyNumberFormat="0" applyBorder="0" applyAlignment="0" applyProtection="0"/>
    <xf numFmtId="0" fontId="212" fillId="61" borderId="0" applyNumberFormat="0" applyBorder="0" applyAlignment="0" applyProtection="0"/>
    <xf numFmtId="183" fontId="212" fillId="61" borderId="0" applyNumberFormat="0" applyBorder="0" applyAlignment="0" applyProtection="0"/>
    <xf numFmtId="0" fontId="212" fillId="61" borderId="0" applyNumberFormat="0" applyBorder="0" applyAlignment="0" applyProtection="0"/>
    <xf numFmtId="0" fontId="199" fillId="123" borderId="0" applyNumberFormat="0" applyBorder="0" applyAlignment="0" applyProtection="0"/>
    <xf numFmtId="0" fontId="212" fillId="61" borderId="0" applyNumberFormat="0" applyBorder="0" applyAlignment="0" applyProtection="0"/>
    <xf numFmtId="183" fontId="212" fillId="165"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183" fontId="1" fillId="0" borderId="0"/>
    <xf numFmtId="183" fontId="1" fillId="0" borderId="0"/>
    <xf numFmtId="183" fontId="1" fillId="0" borderId="0"/>
    <xf numFmtId="183" fontId="19" fillId="0" borderId="0"/>
    <xf numFmtId="183" fontId="19" fillId="0" borderId="0"/>
    <xf numFmtId="0" fontId="98" fillId="0" borderId="0"/>
    <xf numFmtId="0" fontId="19" fillId="0" borderId="0"/>
    <xf numFmtId="0" fontId="1" fillId="0" borderId="0"/>
    <xf numFmtId="0" fontId="19" fillId="0" borderId="0"/>
    <xf numFmtId="0" fontId="19" fillId="0" borderId="0"/>
    <xf numFmtId="0" fontId="19" fillId="0" borderId="0"/>
    <xf numFmtId="183" fontId="19" fillId="0" borderId="0"/>
    <xf numFmtId="0" fontId="20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0" fontId="19" fillId="0" borderId="0"/>
    <xf numFmtId="0" fontId="19" fillId="0" borderId="0"/>
    <xf numFmtId="0" fontId="19" fillId="0" borderId="0"/>
    <xf numFmtId="183" fontId="154"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98" fillId="0" borderId="0"/>
    <xf numFmtId="0" fontId="19" fillId="0" borderId="0"/>
    <xf numFmtId="0" fontId="19" fillId="62" borderId="137"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19"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19"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200" fillId="62" borderId="137"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19" fillId="62" borderId="137"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36" fillId="62" borderId="137" applyNumberFormat="0" applyFont="0" applyAlignment="0" applyProtection="0"/>
    <xf numFmtId="0" fontId="19" fillId="62" borderId="137"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19" fillId="62" borderId="137" applyNumberFormat="0" applyFont="0" applyAlignment="0" applyProtection="0"/>
    <xf numFmtId="183" fontId="138" fillId="164" borderId="137" applyNumberFormat="0" applyAlignment="0" applyProtection="0"/>
    <xf numFmtId="183" fontId="138" fillId="164" borderId="137" applyNumberFormat="0" applyAlignment="0" applyProtection="0"/>
    <xf numFmtId="183" fontId="138" fillId="164" borderId="137" applyNumberFormat="0" applyAlignment="0" applyProtection="0"/>
    <xf numFmtId="0" fontId="19" fillId="62" borderId="137"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19" fillId="62" borderId="137"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19" fillId="62" borderId="137"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19" fillId="62" borderId="137"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19" fillId="62" borderId="137"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19" fillId="62" borderId="137"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19" fillId="62" borderId="137"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183"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19" fillId="62" borderId="137" applyNumberFormat="0" applyFont="0" applyAlignment="0" applyProtection="0"/>
    <xf numFmtId="183" fontId="19" fillId="62" borderId="137" applyNumberFormat="0" applyFont="0" applyAlignment="0" applyProtection="0"/>
    <xf numFmtId="0" fontId="19" fillId="62" borderId="137" applyNumberFormat="0" applyFont="0" applyAlignment="0" applyProtection="0"/>
    <xf numFmtId="183"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19" fillId="62" borderId="137" applyNumberFormat="0" applyFont="0" applyAlignment="0" applyProtection="0"/>
    <xf numFmtId="183" fontId="138" fillId="165" borderId="137" applyNumberFormat="0" applyAlignment="0" applyProtection="0"/>
    <xf numFmtId="183" fontId="138" fillId="165" borderId="137" applyNumberFormat="0" applyAlignment="0" applyProtection="0"/>
    <xf numFmtId="183"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19" fillId="62" borderId="137" applyNumberFormat="0" applyFont="0" applyAlignment="0" applyProtection="0"/>
    <xf numFmtId="183" fontId="19" fillId="62" borderId="137" applyNumberFormat="0" applyFont="0" applyAlignment="0" applyProtection="0"/>
    <xf numFmtId="0" fontId="19" fillId="62" borderId="137" applyNumberFormat="0" applyFont="0" applyAlignment="0" applyProtection="0"/>
    <xf numFmtId="183"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183"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19" fillId="62" borderId="137" applyNumberFormat="0" applyFont="0" applyAlignment="0" applyProtection="0"/>
    <xf numFmtId="183" fontId="19" fillId="62" borderId="137" applyNumberFormat="0" applyFont="0" applyAlignment="0" applyProtection="0"/>
    <xf numFmtId="0" fontId="19" fillId="62" borderId="137" applyNumberFormat="0" applyFont="0" applyAlignment="0" applyProtection="0"/>
    <xf numFmtId="183"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183"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19" fillId="62" borderId="137" applyNumberFormat="0" applyFont="0" applyAlignment="0" applyProtection="0"/>
    <xf numFmtId="183"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36" fillId="90" borderId="74"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183" fontId="138" fillId="165" borderId="137" applyNumberForma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19" fillId="62" borderId="137" applyNumberFormat="0" applyFont="0" applyAlignment="0" applyProtection="0"/>
    <xf numFmtId="0" fontId="36" fillId="90" borderId="74"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62" borderId="137"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0" fontId="36" fillId="90" borderId="74" applyNumberFormat="0" applyFont="0" applyAlignment="0" applyProtection="0"/>
    <xf numFmtId="236" fontId="101" fillId="0" borderId="0" applyProtection="0"/>
    <xf numFmtId="0" fontId="41" fillId="59" borderId="138" applyNumberFormat="0" applyAlignment="0" applyProtection="0"/>
    <xf numFmtId="0" fontId="41" fillId="59" borderId="138" applyNumberFormat="0" applyAlignment="0" applyProtection="0"/>
    <xf numFmtId="0" fontId="41" fillId="59" borderId="138" applyNumberFormat="0" applyAlignment="0" applyProtection="0"/>
    <xf numFmtId="0" fontId="41" fillId="59" borderId="138" applyNumberFormat="0" applyAlignment="0" applyProtection="0"/>
    <xf numFmtId="0" fontId="41" fillId="59" borderId="138" applyNumberFormat="0" applyAlignment="0" applyProtection="0"/>
    <xf numFmtId="0" fontId="41" fillId="59" borderId="138" applyNumberFormat="0" applyAlignment="0" applyProtection="0"/>
    <xf numFmtId="0" fontId="41" fillId="59" borderId="138" applyNumberFormat="0" applyAlignment="0" applyProtection="0"/>
    <xf numFmtId="0" fontId="41" fillId="59" borderId="138" applyNumberFormat="0" applyAlignment="0" applyProtection="0"/>
    <xf numFmtId="0" fontId="41" fillId="59" borderId="138" applyNumberFormat="0" applyAlignment="0" applyProtection="0"/>
    <xf numFmtId="0" fontId="41" fillId="59" borderId="138" applyNumberFormat="0" applyAlignment="0" applyProtection="0"/>
    <xf numFmtId="0" fontId="41" fillId="160" borderId="138" applyNumberFormat="0" applyAlignment="0" applyProtection="0"/>
    <xf numFmtId="0" fontId="25" fillId="17" borderId="22" applyNumberFormat="0" applyAlignment="0" applyProtection="0"/>
    <xf numFmtId="0" fontId="25" fillId="17" borderId="22" applyNumberFormat="0" applyAlignment="0" applyProtection="0"/>
    <xf numFmtId="0" fontId="41" fillId="59" borderId="138" applyNumberFormat="0" applyAlignment="0" applyProtection="0"/>
    <xf numFmtId="0" fontId="41" fillId="59" borderId="138" applyNumberFormat="0" applyAlignment="0" applyProtection="0"/>
    <xf numFmtId="0" fontId="41" fillId="59" borderId="138" applyNumberFormat="0" applyAlignment="0" applyProtection="0"/>
    <xf numFmtId="0" fontId="25" fillId="17" borderId="22" applyNumberFormat="0" applyAlignment="0" applyProtection="0"/>
    <xf numFmtId="183" fontId="41" fillId="144" borderId="138" applyNumberFormat="0" applyAlignment="0" applyProtection="0"/>
    <xf numFmtId="183" fontId="41" fillId="144" borderId="138" applyNumberFormat="0" applyAlignment="0" applyProtection="0"/>
    <xf numFmtId="183" fontId="41" fillId="144" borderId="138" applyNumberFormat="0" applyAlignment="0" applyProtection="0"/>
    <xf numFmtId="0" fontId="41" fillId="59" borderId="138" applyNumberFormat="0" applyAlignment="0" applyProtection="0"/>
    <xf numFmtId="0" fontId="25" fillId="17" borderId="22" applyNumberFormat="0" applyAlignment="0" applyProtection="0"/>
    <xf numFmtId="0" fontId="25" fillId="17" borderId="22" applyNumberFormat="0" applyAlignment="0" applyProtection="0"/>
    <xf numFmtId="0" fontId="25" fillId="17" borderId="22" applyNumberFormat="0" applyAlignment="0" applyProtection="0"/>
    <xf numFmtId="0" fontId="25" fillId="17" borderId="22" applyNumberFormat="0" applyAlignment="0" applyProtection="0"/>
    <xf numFmtId="0" fontId="25" fillId="17" borderId="22" applyNumberFormat="0" applyAlignment="0" applyProtection="0"/>
    <xf numFmtId="0" fontId="25" fillId="17" borderId="22" applyNumberFormat="0" applyAlignment="0" applyProtection="0"/>
    <xf numFmtId="0" fontId="25" fillId="17" borderId="22" applyNumberFormat="0" applyAlignment="0" applyProtection="0"/>
    <xf numFmtId="0" fontId="25" fillId="17" borderId="22" applyNumberFormat="0" applyAlignment="0" applyProtection="0"/>
    <xf numFmtId="0" fontId="25" fillId="17" borderId="22" applyNumberFormat="0" applyAlignment="0" applyProtection="0"/>
    <xf numFmtId="0" fontId="25" fillId="17" borderId="22" applyNumberFormat="0" applyAlignment="0" applyProtection="0"/>
    <xf numFmtId="0" fontId="25" fillId="17" borderId="22" applyNumberFormat="0" applyAlignment="0" applyProtection="0"/>
    <xf numFmtId="0" fontId="41" fillId="59" borderId="138" applyNumberFormat="0" applyAlignment="0" applyProtection="0"/>
    <xf numFmtId="0" fontId="41" fillId="59" borderId="138" applyNumberFormat="0" applyAlignment="0" applyProtection="0"/>
    <xf numFmtId="0" fontId="41" fillId="160" borderId="138" applyNumberFormat="0" applyAlignment="0" applyProtection="0"/>
    <xf numFmtId="183" fontId="41" fillId="131" borderId="138" applyNumberFormat="0" applyAlignment="0" applyProtection="0"/>
    <xf numFmtId="183" fontId="41" fillId="131" borderId="138" applyNumberFormat="0" applyAlignment="0" applyProtection="0"/>
    <xf numFmtId="183" fontId="41" fillId="160" borderId="138" applyNumberFormat="0" applyAlignment="0" applyProtection="0"/>
    <xf numFmtId="0" fontId="25" fillId="17" borderId="22" applyNumberFormat="0" applyAlignment="0" applyProtection="0"/>
    <xf numFmtId="0" fontId="25" fillId="17" borderId="22" applyNumberFormat="0" applyAlignment="0" applyProtection="0"/>
    <xf numFmtId="0" fontId="25" fillId="17" borderId="22" applyNumberFormat="0" applyAlignment="0" applyProtection="0"/>
    <xf numFmtId="0" fontId="25" fillId="17" borderId="22" applyNumberFormat="0" applyAlignment="0" applyProtection="0"/>
    <xf numFmtId="0" fontId="41" fillId="59" borderId="138" applyNumberFormat="0" applyAlignment="0" applyProtection="0"/>
    <xf numFmtId="183" fontId="41" fillId="160" borderId="138" applyNumberFormat="0" applyAlignment="0" applyProtection="0"/>
    <xf numFmtId="183" fontId="41" fillId="160" borderId="138" applyNumberFormat="0" applyAlignment="0" applyProtection="0"/>
    <xf numFmtId="183" fontId="41" fillId="160" borderId="138" applyNumberFormat="0" applyAlignment="0" applyProtection="0"/>
    <xf numFmtId="0" fontId="41" fillId="59" borderId="138" applyNumberFormat="0" applyAlignment="0" applyProtection="0"/>
    <xf numFmtId="183" fontId="41" fillId="160" borderId="138" applyNumberFormat="0" applyAlignment="0" applyProtection="0"/>
    <xf numFmtId="183" fontId="41" fillId="160" borderId="138" applyNumberFormat="0" applyAlignment="0" applyProtection="0"/>
    <xf numFmtId="183" fontId="41" fillId="160" borderId="138" applyNumberFormat="0" applyAlignment="0" applyProtection="0"/>
    <xf numFmtId="0" fontId="41" fillId="59" borderId="138" applyNumberFormat="0" applyAlignment="0" applyProtection="0"/>
    <xf numFmtId="183" fontId="41" fillId="160" borderId="138" applyNumberFormat="0" applyAlignment="0" applyProtection="0"/>
    <xf numFmtId="183" fontId="41" fillId="160" borderId="138" applyNumberFormat="0" applyAlignment="0" applyProtection="0"/>
    <xf numFmtId="183" fontId="41" fillId="59" borderId="138" applyNumberFormat="0" applyAlignment="0" applyProtection="0"/>
    <xf numFmtId="0" fontId="41" fillId="59" borderId="138" applyNumberFormat="0" applyAlignment="0" applyProtection="0"/>
    <xf numFmtId="183" fontId="41" fillId="59" borderId="138" applyNumberFormat="0" applyAlignment="0" applyProtection="0"/>
    <xf numFmtId="0" fontId="25" fillId="17" borderId="22" applyNumberFormat="0" applyAlignment="0" applyProtection="0"/>
    <xf numFmtId="0" fontId="41" fillId="59" borderId="138" applyNumberFormat="0" applyAlignment="0" applyProtection="0"/>
    <xf numFmtId="183" fontId="41" fillId="131" borderId="138" applyNumberFormat="0" applyAlignment="0" applyProtection="0"/>
    <xf numFmtId="0" fontId="41" fillId="59" borderId="138" applyNumberFormat="0" applyAlignment="0" applyProtection="0"/>
    <xf numFmtId="0" fontId="41" fillId="59" borderId="138" applyNumberFormat="0" applyAlignment="0" applyProtection="0"/>
    <xf numFmtId="9" fontId="138"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98" fillId="0" borderId="0" applyFont="0" applyFill="0" applyBorder="0" applyAlignment="0" applyProtection="0"/>
    <xf numFmtId="9" fontId="1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98" fillId="0" borderId="0" applyFont="0" applyFill="0" applyBorder="0" applyAlignment="0" applyProtection="0"/>
    <xf numFmtId="0"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183" fontId="138" fillId="0" borderId="0" applyNumberFormat="0" applyFill="0" applyBorder="0" applyAlignment="0" applyProtection="0"/>
    <xf numFmtId="0"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183" fontId="154" fillId="0" borderId="0" applyNumberFormat="0" applyFont="0" applyFill="0" applyBorder="0" applyAlignment="0" applyProtection="0">
      <alignment horizontal="left"/>
    </xf>
    <xf numFmtId="15" fontId="154" fillId="0" borderId="0" applyFont="0" applyFill="0" applyBorder="0" applyAlignment="0" applyProtection="0"/>
    <xf numFmtId="15" fontId="138" fillId="0" borderId="0" applyFill="0" applyBorder="0" applyAlignment="0" applyProtection="0"/>
    <xf numFmtId="15" fontId="154" fillId="0" borderId="0" applyFont="0" applyFill="0" applyBorder="0" applyAlignment="0" applyProtection="0"/>
    <xf numFmtId="15" fontId="154" fillId="0" borderId="0" applyFont="0" applyFill="0" applyBorder="0" applyAlignment="0" applyProtection="0"/>
    <xf numFmtId="15" fontId="154" fillId="0" borderId="0" applyFont="0" applyFill="0" applyBorder="0" applyAlignment="0" applyProtection="0"/>
    <xf numFmtId="15" fontId="154" fillId="0" borderId="0" applyFont="0" applyFill="0" applyBorder="0" applyAlignment="0" applyProtection="0"/>
    <xf numFmtId="15" fontId="154" fillId="0" borderId="0" applyFont="0" applyFill="0" applyBorder="0" applyAlignment="0" applyProtection="0"/>
    <xf numFmtId="15" fontId="154" fillId="0" borderId="0" applyFont="0" applyFill="0" applyBorder="0" applyAlignment="0" applyProtection="0"/>
    <xf numFmtId="15" fontId="154" fillId="0" borderId="0" applyFont="0" applyFill="0" applyBorder="0" applyAlignment="0" applyProtection="0"/>
    <xf numFmtId="15" fontId="154" fillId="0" borderId="0" applyFont="0" applyFill="0" applyBorder="0" applyAlignment="0" applyProtection="0"/>
    <xf numFmtId="15" fontId="154" fillId="0" borderId="0" applyFont="0" applyFill="0" applyBorder="0" applyAlignment="0" applyProtection="0"/>
    <xf numFmtId="15" fontId="154" fillId="0" borderId="0" applyFont="0" applyFill="0" applyBorder="0" applyAlignment="0" applyProtection="0"/>
    <xf numFmtId="15" fontId="154" fillId="0" borderId="0" applyFont="0" applyFill="0" applyBorder="0" applyAlignment="0" applyProtection="0"/>
    <xf numFmtId="15" fontId="154" fillId="0" borderId="0" applyFont="0" applyFill="0" applyBorder="0" applyAlignment="0" applyProtection="0"/>
    <xf numFmtId="15" fontId="154" fillId="0" borderId="0" applyFont="0" applyFill="0" applyBorder="0" applyAlignment="0" applyProtection="0"/>
    <xf numFmtId="15" fontId="154" fillId="0" borderId="0" applyFont="0" applyFill="0" applyBorder="0" applyAlignment="0" applyProtection="0"/>
    <xf numFmtId="15" fontId="154" fillId="0" borderId="0" applyFont="0" applyFill="0" applyBorder="0" applyAlignment="0" applyProtection="0"/>
    <xf numFmtId="15" fontId="154" fillId="0" borderId="0" applyFont="0" applyFill="0" applyBorder="0" applyAlignment="0" applyProtection="0"/>
    <xf numFmtId="15" fontId="154" fillId="0" borderId="0" applyFont="0" applyFill="0" applyBorder="0" applyAlignment="0" applyProtection="0"/>
    <xf numFmtId="4" fontId="154" fillId="0" borderId="0" applyFont="0" applyFill="0" applyBorder="0" applyAlignment="0" applyProtection="0"/>
    <xf numFmtId="4" fontId="138" fillId="0" borderId="0" applyFill="0" applyBorder="0" applyAlignment="0" applyProtection="0"/>
    <xf numFmtId="4" fontId="154" fillId="0" borderId="0" applyFont="0" applyFill="0" applyBorder="0" applyAlignment="0" applyProtection="0"/>
    <xf numFmtId="4" fontId="154" fillId="0" borderId="0" applyFont="0" applyFill="0" applyBorder="0" applyAlignment="0" applyProtection="0"/>
    <xf numFmtId="4" fontId="154" fillId="0" borderId="0" applyFont="0" applyFill="0" applyBorder="0" applyAlignment="0" applyProtection="0"/>
    <xf numFmtId="4" fontId="154" fillId="0" borderId="0" applyFont="0" applyFill="0" applyBorder="0" applyAlignment="0" applyProtection="0"/>
    <xf numFmtId="4" fontId="154" fillId="0" borderId="0" applyFont="0" applyFill="0" applyBorder="0" applyAlignment="0" applyProtection="0"/>
    <xf numFmtId="4" fontId="154" fillId="0" borderId="0" applyFont="0" applyFill="0" applyBorder="0" applyAlignment="0" applyProtection="0"/>
    <xf numFmtId="4" fontId="154" fillId="0" borderId="0" applyFont="0" applyFill="0" applyBorder="0" applyAlignment="0" applyProtection="0"/>
    <xf numFmtId="4" fontId="154" fillId="0" borderId="0" applyFont="0" applyFill="0" applyBorder="0" applyAlignment="0" applyProtection="0"/>
    <xf numFmtId="4" fontId="154" fillId="0" borderId="0" applyFont="0" applyFill="0" applyBorder="0" applyAlignment="0" applyProtection="0"/>
    <xf numFmtId="4" fontId="154" fillId="0" borderId="0" applyFont="0" applyFill="0" applyBorder="0" applyAlignment="0" applyProtection="0"/>
    <xf numFmtId="4" fontId="154" fillId="0" borderId="0" applyFont="0" applyFill="0" applyBorder="0" applyAlignment="0" applyProtection="0"/>
    <xf numFmtId="4" fontId="154" fillId="0" borderId="0" applyFont="0" applyFill="0" applyBorder="0" applyAlignment="0" applyProtection="0"/>
    <xf numFmtId="4" fontId="154" fillId="0" borderId="0" applyFont="0" applyFill="0" applyBorder="0" applyAlignment="0" applyProtection="0"/>
    <xf numFmtId="4" fontId="154" fillId="0" borderId="0" applyFont="0" applyFill="0" applyBorder="0" applyAlignment="0" applyProtection="0"/>
    <xf numFmtId="4" fontId="154" fillId="0" borderId="0" applyFont="0" applyFill="0" applyBorder="0" applyAlignment="0" applyProtection="0"/>
    <xf numFmtId="4" fontId="154" fillId="0" borderId="0" applyFont="0" applyFill="0" applyBorder="0" applyAlignment="0" applyProtection="0"/>
    <xf numFmtId="4" fontId="154" fillId="0" borderId="0" applyFont="0" applyFill="0" applyBorder="0" applyAlignment="0" applyProtection="0"/>
    <xf numFmtId="0" fontId="155" fillId="0" borderId="21">
      <alignment horizontal="center"/>
    </xf>
    <xf numFmtId="0" fontId="155" fillId="0" borderId="21">
      <alignment horizontal="center"/>
    </xf>
    <xf numFmtId="183" fontId="155" fillId="0" borderId="139">
      <alignment horizontal="center"/>
    </xf>
    <xf numFmtId="183" fontId="155" fillId="0" borderId="139">
      <alignment horizontal="center"/>
    </xf>
    <xf numFmtId="0" fontId="155" fillId="0" borderId="21">
      <alignment horizontal="center"/>
    </xf>
    <xf numFmtId="183" fontId="155" fillId="0" borderId="139">
      <alignment horizontal="center"/>
    </xf>
    <xf numFmtId="0" fontId="155" fillId="0" borderId="21">
      <alignment horizontal="center"/>
    </xf>
    <xf numFmtId="0" fontId="155" fillId="0" borderId="21">
      <alignment horizontal="center"/>
    </xf>
    <xf numFmtId="0" fontId="155" fillId="0" borderId="21">
      <alignment horizontal="center"/>
    </xf>
    <xf numFmtId="0" fontId="155" fillId="0" borderId="21">
      <alignment horizontal="center"/>
    </xf>
    <xf numFmtId="183" fontId="155" fillId="0" borderId="139">
      <alignment horizontal="center"/>
    </xf>
    <xf numFmtId="0" fontId="155" fillId="0" borderId="21">
      <alignment horizontal="center"/>
    </xf>
    <xf numFmtId="0" fontId="155" fillId="0" borderId="21">
      <alignment horizontal="center"/>
    </xf>
    <xf numFmtId="0" fontId="155" fillId="0" borderId="21">
      <alignment horizontal="center"/>
    </xf>
    <xf numFmtId="0" fontId="155" fillId="0" borderId="21">
      <alignment horizontal="center"/>
    </xf>
    <xf numFmtId="0" fontId="155" fillId="0" borderId="21">
      <alignment horizontal="center"/>
    </xf>
    <xf numFmtId="0" fontId="155" fillId="0" borderId="21">
      <alignment horizontal="center"/>
    </xf>
    <xf numFmtId="0" fontId="155" fillId="0" borderId="21">
      <alignment horizontal="center"/>
    </xf>
    <xf numFmtId="0" fontId="155" fillId="0" borderId="21">
      <alignment horizontal="center"/>
    </xf>
    <xf numFmtId="0" fontId="155" fillId="0" borderId="21">
      <alignment horizontal="center"/>
    </xf>
    <xf numFmtId="0" fontId="155" fillId="0" borderId="21">
      <alignment horizontal="center"/>
    </xf>
    <xf numFmtId="0" fontId="155" fillId="0" borderId="21">
      <alignment horizontal="center"/>
    </xf>
    <xf numFmtId="183" fontId="155" fillId="0" borderId="21">
      <alignment horizontal="center"/>
    </xf>
    <xf numFmtId="3" fontId="154" fillId="0" borderId="0" applyFont="0" applyFill="0" applyBorder="0" applyAlignment="0" applyProtection="0"/>
    <xf numFmtId="3" fontId="138" fillId="0" borderId="0" applyFill="0" applyBorder="0" applyAlignment="0" applyProtection="0"/>
    <xf numFmtId="3" fontId="154" fillId="0" borderId="0" applyFont="0" applyFill="0" applyBorder="0" applyAlignment="0" applyProtection="0"/>
    <xf numFmtId="3" fontId="154" fillId="0" borderId="0" applyFont="0" applyFill="0" applyBorder="0" applyAlignment="0" applyProtection="0"/>
    <xf numFmtId="3" fontId="154" fillId="0" borderId="0" applyFont="0" applyFill="0" applyBorder="0" applyAlignment="0" applyProtection="0"/>
    <xf numFmtId="3" fontId="154" fillId="0" borderId="0" applyFont="0" applyFill="0" applyBorder="0" applyAlignment="0" applyProtection="0"/>
    <xf numFmtId="3" fontId="154" fillId="0" borderId="0" applyFont="0" applyFill="0" applyBorder="0" applyAlignment="0" applyProtection="0"/>
    <xf numFmtId="3" fontId="154" fillId="0" borderId="0" applyFont="0" applyFill="0" applyBorder="0" applyAlignment="0" applyProtection="0"/>
    <xf numFmtId="3" fontId="154" fillId="0" borderId="0" applyFont="0" applyFill="0" applyBorder="0" applyAlignment="0" applyProtection="0"/>
    <xf numFmtId="3" fontId="154" fillId="0" borderId="0" applyFont="0" applyFill="0" applyBorder="0" applyAlignment="0" applyProtection="0"/>
    <xf numFmtId="3" fontId="154" fillId="0" borderId="0" applyFont="0" applyFill="0" applyBorder="0" applyAlignment="0" applyProtection="0"/>
    <xf numFmtId="3" fontId="154" fillId="0" borderId="0" applyFont="0" applyFill="0" applyBorder="0" applyAlignment="0" applyProtection="0"/>
    <xf numFmtId="3" fontId="154" fillId="0" borderId="0" applyFont="0" applyFill="0" applyBorder="0" applyAlignment="0" applyProtection="0"/>
    <xf numFmtId="3" fontId="154" fillId="0" borderId="0" applyFont="0" applyFill="0" applyBorder="0" applyAlignment="0" applyProtection="0"/>
    <xf numFmtId="3" fontId="154" fillId="0" borderId="0" applyFont="0" applyFill="0" applyBorder="0" applyAlignment="0" applyProtection="0"/>
    <xf numFmtId="3" fontId="154" fillId="0" borderId="0" applyFont="0" applyFill="0" applyBorder="0" applyAlignment="0" applyProtection="0"/>
    <xf numFmtId="3" fontId="154" fillId="0" borderId="0" applyFont="0" applyFill="0" applyBorder="0" applyAlignment="0" applyProtection="0"/>
    <xf numFmtId="3" fontId="154" fillId="0" borderId="0" applyFont="0" applyFill="0" applyBorder="0" applyAlignment="0" applyProtection="0"/>
    <xf numFmtId="3" fontId="154" fillId="0" borderId="0" applyFont="0" applyFill="0" applyBorder="0" applyAlignment="0" applyProtection="0"/>
    <xf numFmtId="0" fontId="154" fillId="102" borderId="0" applyNumberFormat="0" applyFont="0" applyBorder="0" applyAlignment="0" applyProtection="0"/>
    <xf numFmtId="0" fontId="154" fillId="102" borderId="0" applyNumberFormat="0" applyFont="0" applyBorder="0" applyAlignment="0" applyProtection="0"/>
    <xf numFmtId="183" fontId="138" fillId="166" borderId="0" applyNumberFormat="0" applyBorder="0" applyAlignment="0" applyProtection="0"/>
    <xf numFmtId="0" fontId="154" fillId="102" borderId="0" applyNumberFormat="0" applyFont="0" applyBorder="0" applyAlignment="0" applyProtection="0"/>
    <xf numFmtId="0" fontId="154" fillId="102" borderId="0" applyNumberFormat="0" applyFont="0" applyBorder="0" applyAlignment="0" applyProtection="0"/>
    <xf numFmtId="0" fontId="154" fillId="102" borderId="0" applyNumberFormat="0" applyFont="0" applyBorder="0" applyAlignment="0" applyProtection="0"/>
    <xf numFmtId="0" fontId="154" fillId="102" borderId="0" applyNumberFormat="0" applyFont="0" applyBorder="0" applyAlignment="0" applyProtection="0"/>
    <xf numFmtId="0" fontId="154" fillId="102" borderId="0" applyNumberFormat="0" applyFont="0" applyBorder="0" applyAlignment="0" applyProtection="0"/>
    <xf numFmtId="0" fontId="154" fillId="102" borderId="0" applyNumberFormat="0" applyFont="0" applyBorder="0" applyAlignment="0" applyProtection="0"/>
    <xf numFmtId="0" fontId="154" fillId="102" borderId="0" applyNumberFormat="0" applyFont="0" applyBorder="0" applyAlignment="0" applyProtection="0"/>
    <xf numFmtId="0" fontId="154" fillId="102" borderId="0" applyNumberFormat="0" applyFont="0" applyBorder="0" applyAlignment="0" applyProtection="0"/>
    <xf numFmtId="0" fontId="154" fillId="102" borderId="0" applyNumberFormat="0" applyFont="0" applyBorder="0" applyAlignment="0" applyProtection="0"/>
    <xf numFmtId="0" fontId="154" fillId="102" borderId="0" applyNumberFormat="0" applyFont="0" applyBorder="0" applyAlignment="0" applyProtection="0"/>
    <xf numFmtId="0" fontId="154" fillId="102" borderId="0" applyNumberFormat="0" applyFont="0" applyBorder="0" applyAlignment="0" applyProtection="0"/>
    <xf numFmtId="0" fontId="154" fillId="102" borderId="0" applyNumberFormat="0" applyFont="0" applyBorder="0" applyAlignment="0" applyProtection="0"/>
    <xf numFmtId="0" fontId="154" fillId="102" borderId="0" applyNumberFormat="0" applyFont="0" applyBorder="0" applyAlignment="0" applyProtection="0"/>
    <xf numFmtId="0" fontId="154" fillId="102" borderId="0" applyNumberFormat="0" applyFont="0" applyBorder="0" applyAlignment="0" applyProtection="0"/>
    <xf numFmtId="0" fontId="154" fillId="102" borderId="0" applyNumberFormat="0" applyFont="0" applyBorder="0" applyAlignment="0" applyProtection="0"/>
    <xf numFmtId="0" fontId="154" fillId="102" borderId="0" applyNumberFormat="0" applyFont="0" applyBorder="0" applyAlignment="0" applyProtection="0"/>
    <xf numFmtId="183" fontId="154" fillId="102" borderId="0" applyNumberFormat="0" applyFont="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108" fillId="0" borderId="0" applyNumberFormat="0" applyFill="0" applyBorder="0" applyAlignment="0" applyProtection="0"/>
    <xf numFmtId="183" fontId="214" fillId="131" borderId="0" applyNumberFormat="0" applyBorder="0">
      <alignment horizontal="left"/>
      <protection locked="0"/>
    </xf>
    <xf numFmtId="183" fontId="214" fillId="131"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214" fillId="131"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156" fillId="103"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156" fillId="103"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214" fillId="131"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56" fillId="103" borderId="0" applyNumberFormat="0" applyBorder="0">
      <alignment horizontal="left"/>
      <protection locked="0"/>
    </xf>
    <xf numFmtId="183" fontId="138" fillId="165" borderId="0" applyNumberFormat="0" applyBorder="0" applyAlignment="0">
      <protection locked="0"/>
    </xf>
    <xf numFmtId="183" fontId="138" fillId="165" borderId="0" applyNumberForma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38" fillId="165" borderId="0" applyNumberForma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38" fillId="165" borderId="0" applyNumberFormat="0" applyBorder="0" applyAlignment="0">
      <protection locked="0"/>
    </xf>
    <xf numFmtId="183" fontId="138" fillId="165" borderId="0" applyNumberFormat="0" applyBorder="0" applyAlignment="0">
      <protection locked="0"/>
    </xf>
    <xf numFmtId="183" fontId="138" fillId="165" borderId="0" applyNumberForma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38" fillId="165" borderId="0" applyNumberFormat="0" applyBorder="0" applyAlignment="0">
      <protection locked="0"/>
    </xf>
    <xf numFmtId="183" fontId="138" fillId="165" borderId="0" applyNumberFormat="0" applyBorder="0" applyAlignment="0">
      <protection locked="0"/>
    </xf>
    <xf numFmtId="183" fontId="19" fillId="104" borderId="0" applyNumberFormat="0" applyFont="0" applyBorder="0" applyAlignment="0">
      <protection locked="0"/>
    </xf>
    <xf numFmtId="183" fontId="138" fillId="165" borderId="0" applyNumberFormat="0" applyBorder="0" applyAlignment="0">
      <protection locked="0"/>
    </xf>
    <xf numFmtId="183" fontId="138" fillId="165" borderId="0" applyNumberFormat="0" applyBorder="0" applyAlignment="0">
      <protection locked="0"/>
    </xf>
    <xf numFmtId="183" fontId="138" fillId="165" borderId="0" applyNumberFormat="0" applyBorder="0" applyAlignment="0">
      <protection locked="0"/>
    </xf>
    <xf numFmtId="183" fontId="138" fillId="165" borderId="0" applyNumberFormat="0" applyBorder="0" applyAlignment="0">
      <protection locked="0"/>
    </xf>
    <xf numFmtId="183" fontId="138" fillId="165" borderId="0" applyNumberForma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104" borderId="0" applyNumberFormat="0" applyFont="0" applyBorder="0" applyAlignment="0">
      <protection locked="0"/>
    </xf>
    <xf numFmtId="183" fontId="19"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15"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 fillId="0" borderId="0" applyNumberFormat="0" applyFill="0" applyBorder="0" applyAlignment="0" applyProtection="0"/>
    <xf numFmtId="183" fontId="64" fillId="0" borderId="0" applyNumberFormat="0" applyFill="0" applyBorder="0" applyAlignment="0" applyProtection="0"/>
    <xf numFmtId="0" fontId="64"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15" fillId="0" borderId="0" applyNumberFormat="0" applyFill="0" applyBorder="0" applyAlignment="0" applyProtection="0"/>
    <xf numFmtId="183" fontId="64"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4" fillId="0" borderId="0" applyNumberFormat="0" applyFill="0" applyBorder="0" applyAlignment="0" applyProtection="0"/>
    <xf numFmtId="0" fontId="2" fillId="0" borderId="0" applyNumberFormat="0" applyFill="0" applyBorder="0" applyAlignment="0" applyProtection="0"/>
    <xf numFmtId="0" fontId="64" fillId="0" borderId="0" applyNumberFormat="0" applyFill="0" applyBorder="0" applyAlignment="0" applyProtection="0"/>
    <xf numFmtId="183" fontId="21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234" fontId="216" fillId="136" borderId="128" applyProtection="0">
      <alignment horizontal="center" vertical="center"/>
    </xf>
    <xf numFmtId="0" fontId="48" fillId="0" borderId="140" applyNumberFormat="0" applyFill="0" applyAlignment="0" applyProtection="0"/>
    <xf numFmtId="0" fontId="48" fillId="0" borderId="140" applyNumberFormat="0" applyFill="0" applyAlignment="0" applyProtection="0"/>
    <xf numFmtId="0" fontId="48" fillId="0" borderId="140" applyNumberFormat="0" applyFill="0" applyAlignment="0" applyProtection="0"/>
    <xf numFmtId="0" fontId="48" fillId="0" borderId="140" applyNumberFormat="0" applyFill="0" applyAlignment="0" applyProtection="0"/>
    <xf numFmtId="0" fontId="48" fillId="0" borderId="140" applyNumberFormat="0" applyFill="0" applyAlignment="0" applyProtection="0"/>
    <xf numFmtId="0" fontId="48" fillId="0" borderId="140" applyNumberFormat="0" applyFill="0" applyAlignment="0" applyProtection="0"/>
    <xf numFmtId="0" fontId="48" fillId="0" borderId="140" applyNumberFormat="0" applyFill="0" applyAlignment="0" applyProtection="0"/>
    <xf numFmtId="0" fontId="48" fillId="0" borderId="140" applyNumberFormat="0" applyFill="0" applyAlignment="0" applyProtection="0"/>
    <xf numFmtId="0" fontId="48" fillId="0" borderId="140" applyNumberFormat="0" applyFill="0" applyAlignment="0" applyProtection="0"/>
    <xf numFmtId="0" fontId="48" fillId="0" borderId="140" applyNumberFormat="0" applyFill="0" applyAlignment="0" applyProtection="0"/>
    <xf numFmtId="0" fontId="48" fillId="0" borderId="141" applyNumberFormat="0" applyFill="0" applyAlignment="0" applyProtection="0"/>
    <xf numFmtId="0" fontId="3" fillId="0" borderId="23" applyNumberFormat="0" applyFill="0" applyAlignment="0" applyProtection="0"/>
    <xf numFmtId="0" fontId="3" fillId="0" borderId="23" applyNumberFormat="0" applyFill="0" applyAlignment="0" applyProtection="0"/>
    <xf numFmtId="0" fontId="48" fillId="0" borderId="140" applyNumberFormat="0" applyFill="0" applyAlignment="0" applyProtection="0"/>
    <xf numFmtId="0" fontId="48" fillId="0" borderId="140" applyNumberFormat="0" applyFill="0" applyAlignment="0" applyProtection="0"/>
    <xf numFmtId="0" fontId="48" fillId="0" borderId="140" applyNumberFormat="0" applyFill="0" applyAlignment="0" applyProtection="0"/>
    <xf numFmtId="0" fontId="3" fillId="0" borderId="23" applyNumberFormat="0" applyFill="0" applyAlignment="0" applyProtection="0"/>
    <xf numFmtId="183" fontId="48" fillId="0" borderId="140" applyNumberFormat="0" applyFill="0" applyAlignment="0" applyProtection="0"/>
    <xf numFmtId="183" fontId="48" fillId="0" borderId="140" applyNumberFormat="0" applyFill="0" applyAlignment="0" applyProtection="0"/>
    <xf numFmtId="183" fontId="48" fillId="0" borderId="140" applyNumberFormat="0" applyFill="0" applyAlignment="0" applyProtection="0"/>
    <xf numFmtId="0" fontId="48" fillId="0" borderId="140" applyNumberFormat="0" applyFill="0" applyAlignment="0" applyProtection="0"/>
    <xf numFmtId="0" fontId="3" fillId="0" borderId="23" applyNumberFormat="0" applyFill="0" applyAlignment="0" applyProtection="0"/>
    <xf numFmtId="0" fontId="3" fillId="0" borderId="23" applyNumberFormat="0" applyFill="0" applyAlignment="0" applyProtection="0"/>
    <xf numFmtId="0" fontId="3" fillId="0" borderId="23" applyNumberFormat="0" applyFill="0" applyAlignment="0" applyProtection="0"/>
    <xf numFmtId="0" fontId="3" fillId="0" borderId="23" applyNumberFormat="0" applyFill="0" applyAlignment="0" applyProtection="0"/>
    <xf numFmtId="0" fontId="3" fillId="0" borderId="23" applyNumberFormat="0" applyFill="0" applyAlignment="0" applyProtection="0"/>
    <xf numFmtId="0" fontId="3" fillId="0" borderId="23" applyNumberFormat="0" applyFill="0" applyAlignment="0" applyProtection="0"/>
    <xf numFmtId="0" fontId="3" fillId="0" borderId="23" applyNumberFormat="0" applyFill="0" applyAlignment="0" applyProtection="0"/>
    <xf numFmtId="0" fontId="3" fillId="0" borderId="23" applyNumberFormat="0" applyFill="0" applyAlignment="0" applyProtection="0"/>
    <xf numFmtId="0" fontId="3" fillId="0" borderId="23" applyNumberFormat="0" applyFill="0" applyAlignment="0" applyProtection="0"/>
    <xf numFmtId="0" fontId="3" fillId="0" borderId="23" applyNumberFormat="0" applyFill="0" applyAlignment="0" applyProtection="0"/>
    <xf numFmtId="0" fontId="3" fillId="0" borderId="23" applyNumberFormat="0" applyFill="0" applyAlignment="0" applyProtection="0"/>
    <xf numFmtId="0" fontId="48" fillId="0" borderId="140" applyNumberFormat="0" applyFill="0" applyAlignment="0" applyProtection="0"/>
    <xf numFmtId="0" fontId="48" fillId="0" borderId="140" applyNumberFormat="0" applyFill="0" applyAlignment="0" applyProtection="0"/>
    <xf numFmtId="0" fontId="48" fillId="0" borderId="142" applyNumberFormat="0" applyFill="0" applyAlignment="0" applyProtection="0"/>
    <xf numFmtId="183" fontId="48" fillId="0" borderId="142" applyNumberFormat="0" applyFill="0" applyAlignment="0" applyProtection="0"/>
    <xf numFmtId="183" fontId="48" fillId="0" borderId="142" applyNumberFormat="0" applyFill="0" applyAlignment="0" applyProtection="0"/>
    <xf numFmtId="183" fontId="48" fillId="0" borderId="140" applyNumberFormat="0" applyFill="0" applyAlignment="0" applyProtection="0"/>
    <xf numFmtId="0" fontId="3" fillId="0" borderId="23" applyNumberFormat="0" applyFill="0" applyAlignment="0" applyProtection="0"/>
    <xf numFmtId="0" fontId="3" fillId="0" borderId="23" applyNumberFormat="0" applyFill="0" applyAlignment="0" applyProtection="0"/>
    <xf numFmtId="0" fontId="3" fillId="0" borderId="23" applyNumberFormat="0" applyFill="0" applyAlignment="0" applyProtection="0"/>
    <xf numFmtId="0" fontId="3" fillId="0" borderId="23" applyNumberFormat="0" applyFill="0" applyAlignment="0" applyProtection="0"/>
    <xf numFmtId="0" fontId="48" fillId="0" borderId="140" applyNumberFormat="0" applyFill="0" applyAlignment="0" applyProtection="0"/>
    <xf numFmtId="183" fontId="48" fillId="0" borderId="140" applyNumberFormat="0" applyFill="0" applyAlignment="0" applyProtection="0"/>
    <xf numFmtId="0" fontId="3" fillId="0" borderId="23" applyNumberFormat="0" applyFill="0" applyAlignment="0" applyProtection="0"/>
    <xf numFmtId="0" fontId="48" fillId="0" borderId="140" applyNumberFormat="0" applyFill="0" applyAlignment="0" applyProtection="0"/>
    <xf numFmtId="183" fontId="48" fillId="0" borderId="142" applyNumberFormat="0" applyFill="0" applyAlignment="0" applyProtection="0"/>
    <xf numFmtId="0" fontId="48" fillId="0" borderId="140" applyNumberFormat="0" applyFill="0" applyAlignment="0" applyProtection="0"/>
    <xf numFmtId="0" fontId="48" fillId="0" borderId="140" applyNumberFormat="0" applyFill="0" applyAlignment="0" applyProtection="0"/>
    <xf numFmtId="0" fontId="48" fillId="0" borderId="140" applyNumberFormat="0" applyFill="0" applyAlignment="0" applyProtection="0"/>
    <xf numFmtId="0" fontId="48" fillId="0" borderId="140" applyNumberFormat="0" applyFill="0" applyAlignment="0" applyProtection="0"/>
    <xf numFmtId="0" fontId="48" fillId="0" borderId="140"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27" fillId="0" borderId="0" applyNumberFormat="0" applyFill="0" applyBorder="0" applyAlignment="0" applyProtection="0"/>
    <xf numFmtId="183" fontId="69" fillId="0" borderId="0" applyNumberFormat="0" applyFill="0" applyBorder="0" applyAlignment="0" applyProtection="0"/>
    <xf numFmtId="0" fontId="69"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83" fontId="69" fillId="0" borderId="0" applyNumberFormat="0" applyFill="0" applyBorder="0" applyAlignment="0" applyProtection="0"/>
    <xf numFmtId="0" fontId="27" fillId="0" borderId="0" applyNumberFormat="0" applyFill="0" applyBorder="0" applyAlignment="0" applyProtection="0"/>
    <xf numFmtId="0" fontId="69"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69" fillId="0" borderId="0" applyNumberFormat="0" applyFill="0" applyBorder="0" applyAlignment="0" applyProtection="0"/>
    <xf numFmtId="183"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183" fontId="217" fillId="136" borderId="143">
      <alignment horizontal="center" wrapText="1"/>
    </xf>
    <xf numFmtId="183" fontId="217" fillId="136" borderId="143">
      <alignment horizontal="center" wrapText="1"/>
    </xf>
    <xf numFmtId="183" fontId="217" fillId="136" borderId="143">
      <alignment horizontal="center" wrapText="1"/>
    </xf>
    <xf numFmtId="183" fontId="217" fillId="136" borderId="143">
      <alignment horizontal="center" wrapText="1"/>
    </xf>
    <xf numFmtId="183" fontId="217" fillId="136" borderId="143">
      <alignment horizontal="center" wrapText="1"/>
    </xf>
    <xf numFmtId="183" fontId="217" fillId="136" borderId="143">
      <alignment horizontal="center" wrapText="1"/>
    </xf>
    <xf numFmtId="183" fontId="217" fillId="136" borderId="143">
      <alignment horizontal="center" vertical="top" textRotation="90" wrapText="1"/>
    </xf>
    <xf numFmtId="183" fontId="217" fillId="136" borderId="143">
      <alignment horizontal="center" vertical="top" textRotation="90" wrapText="1"/>
    </xf>
    <xf numFmtId="183" fontId="217" fillId="136" borderId="143">
      <alignment horizontal="center" vertical="top" textRotation="90" wrapText="1"/>
    </xf>
    <xf numFmtId="0" fontId="22" fillId="0" borderId="0"/>
    <xf numFmtId="183" fontId="165" fillId="137" borderId="0"/>
    <xf numFmtId="183" fontId="218" fillId="167" borderId="0"/>
    <xf numFmtId="183" fontId="165" fillId="137" borderId="0"/>
    <xf numFmtId="183" fontId="165" fillId="16" borderId="0"/>
    <xf numFmtId="183" fontId="219" fillId="137" borderId="128">
      <alignment horizontal="center" vertical="center"/>
    </xf>
    <xf numFmtId="183" fontId="219" fillId="137" borderId="128">
      <alignment horizontal="center" vertical="center"/>
    </xf>
    <xf numFmtId="183" fontId="219" fillId="137" borderId="128">
      <alignment horizontal="center" vertical="center"/>
    </xf>
    <xf numFmtId="43" fontId="1" fillId="0" borderId="0" applyFont="0" applyFill="0" applyBorder="0" applyAlignment="0" applyProtection="0"/>
    <xf numFmtId="9" fontId="22"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83" fontId="1" fillId="0" borderId="0"/>
    <xf numFmtId="183" fontId="1" fillId="0" borderId="0"/>
    <xf numFmtId="18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3" fontId="1" fillId="0" borderId="0"/>
    <xf numFmtId="0" fontId="1" fillId="0" borderId="0"/>
    <xf numFmtId="43" fontId="1"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4" fillId="29" borderId="0" applyNumberFormat="0" applyBorder="0" applyAlignment="0" applyProtection="0"/>
    <xf numFmtId="0" fontId="4" fillId="32" borderId="0" applyNumberFormat="0" applyBorder="0" applyAlignment="0" applyProtection="0"/>
    <xf numFmtId="0" fontId="25" fillId="17" borderId="22" applyNumberFormat="0" applyAlignment="0" applyProtection="0"/>
    <xf numFmtId="0" fontId="1" fillId="28" borderId="0" applyNumberFormat="0" applyBorder="0" applyAlignment="0" applyProtection="0"/>
    <xf numFmtId="0" fontId="1" fillId="21" borderId="0" applyNumberFormat="0" applyBorder="0" applyAlignment="0" applyProtection="0"/>
    <xf numFmtId="0" fontId="3" fillId="0" borderId="23" applyNumberFormat="0" applyFill="0" applyAlignment="0" applyProtection="0"/>
    <xf numFmtId="0" fontId="25" fillId="17" borderId="22" applyNumberFormat="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26" fillId="17" borderId="10" applyNumberFormat="0" applyAlignment="0" applyProtection="0"/>
    <xf numFmtId="0" fontId="1" fillId="28" borderId="0" applyNumberFormat="0" applyBorder="0" applyAlignment="0" applyProtection="0"/>
    <xf numFmtId="0" fontId="4" fillId="35" borderId="0" applyNumberFormat="0" applyBorder="0" applyAlignment="0" applyProtection="0"/>
    <xf numFmtId="0" fontId="44" fillId="59" borderId="127" applyNumberFormat="0" applyAlignment="0" applyProtection="0"/>
    <xf numFmtId="43" fontId="36" fillId="0" borderId="0" applyFont="0" applyFill="0" applyBorder="0" applyAlignment="0" applyProtection="0"/>
    <xf numFmtId="43" fontId="36" fillId="0" borderId="0" applyFont="0" applyFill="0" applyBorder="0" applyAlignment="0" applyProtection="0"/>
    <xf numFmtId="0" fontId="56" fillId="46" borderId="127" applyNumberFormat="0" applyAlignment="0" applyProtection="0"/>
    <xf numFmtId="0" fontId="25" fillId="17" borderId="22" applyNumberFormat="0" applyAlignment="0" applyProtection="0"/>
    <xf numFmtId="0" fontId="1" fillId="31"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38" fillId="62" borderId="137" applyNumberFormat="0" applyFont="0" applyAlignment="0" applyProtection="0"/>
    <xf numFmtId="0" fontId="19" fillId="62" borderId="137" applyNumberFormat="0" applyFont="0" applyAlignment="0" applyProtection="0"/>
    <xf numFmtId="0" fontId="60" fillId="59" borderId="138" applyNumberFormat="0" applyAlignment="0" applyProtection="0"/>
    <xf numFmtId="0" fontId="4" fillId="32" borderId="0" applyNumberFormat="0" applyBorder="0" applyAlignment="0" applyProtection="0"/>
    <xf numFmtId="0" fontId="63" fillId="0" borderId="140" applyNumberFormat="0" applyFill="0" applyAlignment="0" applyProtection="0"/>
    <xf numFmtId="0" fontId="4" fillId="23" borderId="0" applyNumberFormat="0" applyBorder="0" applyAlignment="0" applyProtection="0"/>
    <xf numFmtId="0" fontId="1" fillId="25" borderId="0" applyNumberFormat="0" applyBorder="0" applyAlignment="0" applyProtection="0"/>
    <xf numFmtId="0" fontId="3" fillId="0" borderId="23" applyNumberFormat="0" applyFill="0" applyAlignment="0" applyProtection="0"/>
    <xf numFmtId="0" fontId="44" fillId="59" borderId="127" applyNumberFormat="0" applyAlignment="0" applyProtection="0"/>
    <xf numFmtId="0" fontId="56" fillId="46" borderId="127" applyNumberFormat="0" applyAlignment="0" applyProtection="0"/>
    <xf numFmtId="0" fontId="38" fillId="62" borderId="137" applyNumberFormat="0" applyFont="0" applyAlignment="0" applyProtection="0"/>
    <xf numFmtId="0" fontId="60" fillId="59" borderId="138" applyNumberFormat="0" applyAlignment="0" applyProtection="0"/>
    <xf numFmtId="0" fontId="63" fillId="0" borderId="140" applyNumberFormat="0" applyFill="0" applyAlignment="0" applyProtection="0"/>
    <xf numFmtId="0" fontId="1" fillId="24" borderId="0" applyNumberFormat="0" applyBorder="0" applyAlignment="0" applyProtection="0"/>
    <xf numFmtId="0" fontId="44" fillId="59" borderId="127" applyNumberFormat="0" applyAlignment="0" applyProtection="0"/>
    <xf numFmtId="0" fontId="56" fillId="46" borderId="127" applyNumberFormat="0" applyAlignment="0" applyProtection="0"/>
    <xf numFmtId="0" fontId="60" fillId="59" borderId="138" applyNumberFormat="0" applyAlignment="0" applyProtection="0"/>
    <xf numFmtId="0" fontId="63" fillId="0" borderId="140" applyNumberFormat="0" applyFill="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43" fontId="36" fillId="0" borderId="0" applyFont="0" applyFill="0" applyBorder="0" applyAlignment="0" applyProtection="0"/>
    <xf numFmtId="0" fontId="4" fillId="26" borderId="0" applyNumberFormat="0" applyBorder="0" applyAlignment="0" applyProtection="0"/>
    <xf numFmtId="0" fontId="1" fillId="27" borderId="0" applyNumberFormat="0" applyBorder="0" applyAlignment="0" applyProtection="0"/>
    <xf numFmtId="0" fontId="41" fillId="59" borderId="138" applyNumberFormat="0" applyAlignment="0" applyProtection="0"/>
    <xf numFmtId="0" fontId="43" fillId="59" borderId="127" applyNumberFormat="0" applyAlignment="0" applyProtection="0"/>
    <xf numFmtId="0" fontId="48" fillId="0" borderId="140" applyNumberFormat="0" applyFill="0" applyAlignment="0" applyProtection="0"/>
    <xf numFmtId="0" fontId="1" fillId="18" borderId="0" applyNumberFormat="0" applyBorder="0" applyAlignment="0" applyProtection="0"/>
    <xf numFmtId="0" fontId="47" fillId="46" borderId="127" applyNumberFormat="0" applyAlignment="0" applyProtection="0"/>
    <xf numFmtId="0" fontId="1" fillId="22"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4" fillId="23" borderId="0" applyNumberFormat="0" applyBorder="0" applyAlignment="0" applyProtection="0"/>
    <xf numFmtId="0" fontId="4" fillId="35" borderId="0" applyNumberFormat="0" applyBorder="0" applyAlignment="0" applyProtection="0"/>
    <xf numFmtId="0" fontId="26" fillId="17" borderId="10" applyNumberFormat="0" applyAlignment="0" applyProtection="0"/>
    <xf numFmtId="0" fontId="43" fillId="59" borderId="127" applyNumberFormat="0" applyAlignment="0" applyProtection="0"/>
    <xf numFmtId="0" fontId="63" fillId="0" borderId="140" applyNumberFormat="0" applyFill="0" applyAlignment="0" applyProtection="0"/>
    <xf numFmtId="0" fontId="56" fillId="46" borderId="127" applyNumberFormat="0" applyAlignment="0" applyProtection="0"/>
    <xf numFmtId="0" fontId="38" fillId="62" borderId="137" applyNumberFormat="0" applyFont="0" applyAlignment="0" applyProtection="0"/>
    <xf numFmtId="0" fontId="4" fillId="29" borderId="0" applyNumberFormat="0" applyBorder="0" applyAlignment="0" applyProtection="0"/>
    <xf numFmtId="0" fontId="56" fillId="46" borderId="127" applyNumberFormat="0" applyAlignment="0" applyProtection="0"/>
    <xf numFmtId="0" fontId="41" fillId="59" borderId="138" applyNumberFormat="0" applyAlignment="0" applyProtection="0"/>
    <xf numFmtId="0" fontId="47" fillId="46" borderId="127" applyNumberFormat="0" applyAlignment="0" applyProtection="0"/>
    <xf numFmtId="0" fontId="44" fillId="59" borderId="127" applyNumberFormat="0" applyAlignment="0" applyProtection="0"/>
    <xf numFmtId="0" fontId="63" fillId="0" borderId="140" applyNumberFormat="0" applyFill="0" applyAlignment="0" applyProtection="0"/>
    <xf numFmtId="0" fontId="60" fillId="59" borderId="138" applyNumberFormat="0" applyAlignment="0" applyProtection="0"/>
    <xf numFmtId="0" fontId="56" fillId="46" borderId="127" applyNumberFormat="0" applyAlignment="0" applyProtection="0"/>
    <xf numFmtId="0" fontId="41" fillId="59" borderId="138" applyNumberFormat="0" applyAlignment="0" applyProtection="0"/>
    <xf numFmtId="0" fontId="43" fillId="59" borderId="127" applyNumberFormat="0" applyAlignment="0" applyProtection="0"/>
    <xf numFmtId="0" fontId="44" fillId="59" borderId="127" applyNumberFormat="0" applyAlignment="0" applyProtection="0"/>
    <xf numFmtId="0" fontId="44" fillId="59" borderId="127" applyNumberFormat="0" applyAlignment="0" applyProtection="0"/>
    <xf numFmtId="0" fontId="47" fillId="46" borderId="127" applyNumberFormat="0" applyAlignment="0" applyProtection="0"/>
    <xf numFmtId="0" fontId="48" fillId="0" borderId="140" applyNumberFormat="0" applyFill="0" applyAlignment="0" applyProtection="0"/>
    <xf numFmtId="0" fontId="63" fillId="0" borderId="140" applyNumberFormat="0" applyFill="0" applyAlignment="0" applyProtection="0"/>
    <xf numFmtId="0" fontId="38" fillId="62" borderId="137" applyNumberFormat="0" applyFont="0" applyAlignment="0" applyProtection="0"/>
    <xf numFmtId="0" fontId="56" fillId="46" borderId="127" applyNumberFormat="0" applyAlignment="0" applyProtection="0"/>
    <xf numFmtId="0" fontId="4" fillId="23" borderId="0" applyNumberFormat="0" applyBorder="0" applyAlignment="0" applyProtection="0"/>
    <xf numFmtId="0" fontId="44" fillId="59" borderId="127" applyNumberFormat="0" applyAlignment="0" applyProtection="0"/>
    <xf numFmtId="0" fontId="38" fillId="62" borderId="137" applyNumberFormat="0" applyFont="0" applyAlignment="0" applyProtection="0"/>
    <xf numFmtId="0" fontId="19" fillId="62" borderId="137" applyNumberFormat="0" applyFont="0" applyAlignment="0" applyProtection="0"/>
    <xf numFmtId="0" fontId="60" fillId="59" borderId="138" applyNumberFormat="0" applyAlignment="0" applyProtection="0"/>
    <xf numFmtId="0" fontId="63" fillId="0" borderId="140" applyNumberFormat="0" applyFill="0" applyAlignment="0" applyProtection="0"/>
    <xf numFmtId="0" fontId="63" fillId="0" borderId="140" applyNumberFormat="0" applyFill="0" applyAlignment="0" applyProtection="0"/>
    <xf numFmtId="0" fontId="43" fillId="59" borderId="127" applyNumberFormat="0" applyAlignment="0" applyProtection="0"/>
    <xf numFmtId="0" fontId="44" fillId="59" borderId="127" applyNumberFormat="0" applyAlignment="0" applyProtection="0"/>
    <xf numFmtId="0" fontId="48" fillId="0" borderId="140" applyNumberFormat="0" applyFill="0" applyAlignment="0" applyProtection="0"/>
    <xf numFmtId="0" fontId="38" fillId="62" borderId="137" applyNumberFormat="0" applyFont="0" applyAlignment="0" applyProtection="0"/>
    <xf numFmtId="0" fontId="4" fillId="20" borderId="0" applyNumberFormat="0" applyBorder="0" applyAlignment="0" applyProtection="0"/>
    <xf numFmtId="0" fontId="48" fillId="0" borderId="140" applyNumberFormat="0" applyFill="0" applyAlignment="0" applyProtection="0"/>
    <xf numFmtId="0" fontId="1" fillId="24" borderId="0" applyNumberFormat="0" applyBorder="0" applyAlignment="0" applyProtection="0"/>
    <xf numFmtId="0" fontId="44" fillId="59" borderId="127" applyNumberFormat="0" applyAlignment="0" applyProtection="0"/>
    <xf numFmtId="0" fontId="56" fillId="46" borderId="127" applyNumberFormat="0" applyAlignment="0" applyProtection="0"/>
    <xf numFmtId="0" fontId="56" fillId="46" borderId="127" applyNumberFormat="0" applyAlignment="0" applyProtection="0"/>
    <xf numFmtId="0" fontId="38" fillId="62" borderId="137" applyNumberFormat="0" applyFont="0" applyAlignment="0" applyProtection="0"/>
    <xf numFmtId="0" fontId="60" fillId="59" borderId="138" applyNumberFormat="0" applyAlignment="0" applyProtection="0"/>
    <xf numFmtId="0" fontId="63" fillId="0" borderId="140" applyNumberFormat="0" applyFill="0" applyAlignment="0" applyProtection="0"/>
    <xf numFmtId="0" fontId="19" fillId="62" borderId="137" applyNumberFormat="0" applyFont="0" applyAlignment="0" applyProtection="0"/>
    <xf numFmtId="0" fontId="63" fillId="0" borderId="140" applyNumberFormat="0" applyFill="0" applyAlignment="0" applyProtection="0"/>
    <xf numFmtId="0" fontId="1" fillId="34" borderId="0" applyNumberFormat="0" applyBorder="0" applyAlignment="0" applyProtection="0"/>
    <xf numFmtId="0" fontId="28" fillId="0" borderId="0" applyNumberFormat="0" applyFill="0" applyBorder="0" applyAlignment="0" applyProtection="0"/>
    <xf numFmtId="0" fontId="44" fillId="59" borderId="127" applyNumberFormat="0" applyAlignment="0" applyProtection="0"/>
    <xf numFmtId="0" fontId="56" fillId="46" borderId="127" applyNumberFormat="0" applyAlignment="0" applyProtection="0"/>
    <xf numFmtId="0" fontId="3" fillId="0" borderId="23" applyNumberFormat="0" applyFill="0" applyAlignment="0" applyProtection="0"/>
    <xf numFmtId="0" fontId="60" fillId="59" borderId="138" applyNumberFormat="0" applyAlignment="0" applyProtection="0"/>
    <xf numFmtId="0" fontId="63" fillId="0" borderId="140" applyNumberFormat="0" applyFill="0" applyAlignment="0" applyProtection="0"/>
    <xf numFmtId="0" fontId="19" fillId="62" borderId="137" applyNumberFormat="0" applyFont="0" applyAlignment="0" applyProtection="0"/>
    <xf numFmtId="0" fontId="38" fillId="62" borderId="137" applyNumberFormat="0" applyFont="0" applyAlignment="0" applyProtection="0"/>
    <xf numFmtId="0" fontId="48" fillId="0" borderId="140" applyNumberFormat="0" applyFill="0" applyAlignment="0" applyProtection="0"/>
    <xf numFmtId="0" fontId="63" fillId="0" borderId="140" applyNumberFormat="0" applyFill="0" applyAlignment="0" applyProtection="0"/>
    <xf numFmtId="0" fontId="47" fillId="46" borderId="127" applyNumberFormat="0" applyAlignment="0" applyProtection="0"/>
    <xf numFmtId="0" fontId="44" fillId="59" borderId="127" applyNumberFormat="0" applyAlignment="0" applyProtection="0"/>
    <xf numFmtId="0" fontId="1" fillId="30" borderId="0" applyNumberFormat="0" applyBorder="0" applyAlignment="0" applyProtection="0"/>
    <xf numFmtId="0" fontId="48" fillId="0" borderId="140" applyNumberFormat="0" applyFill="0" applyAlignment="0" applyProtection="0"/>
    <xf numFmtId="0" fontId="4" fillId="20" borderId="0" applyNumberFormat="0" applyBorder="0" applyAlignment="0" applyProtection="0"/>
    <xf numFmtId="0" fontId="4" fillId="26" borderId="0" applyNumberFormat="0" applyBorder="0" applyAlignment="0" applyProtection="0"/>
    <xf numFmtId="0" fontId="60" fillId="59" borderId="138" applyNumberFormat="0" applyAlignment="0" applyProtection="0"/>
    <xf numFmtId="0" fontId="47" fillId="46" borderId="127" applyNumberFormat="0" applyAlignment="0" applyProtection="0"/>
    <xf numFmtId="0" fontId="41" fillId="59" borderId="138" applyNumberFormat="0" applyAlignment="0" applyProtection="0"/>
    <xf numFmtId="0" fontId="43" fillId="59" borderId="127" applyNumberFormat="0" applyAlignment="0" applyProtection="0"/>
    <xf numFmtId="0" fontId="48" fillId="0" borderId="140" applyNumberFormat="0" applyFill="0" applyAlignment="0" applyProtection="0"/>
    <xf numFmtId="0" fontId="27" fillId="0" borderId="0" applyNumberFormat="0" applyFill="0" applyBorder="0" applyAlignment="0" applyProtection="0"/>
    <xf numFmtId="0" fontId="47" fillId="46" borderId="127" applyNumberFormat="0" applyAlignment="0" applyProtection="0"/>
    <xf numFmtId="0" fontId="44" fillId="59" borderId="127" applyNumberFormat="0" applyAlignment="0" applyProtection="0"/>
    <xf numFmtId="0" fontId="60" fillId="59" borderId="138" applyNumberFormat="0" applyAlignment="0" applyProtection="0"/>
    <xf numFmtId="0" fontId="56" fillId="46" borderId="127" applyNumberFormat="0" applyAlignment="0" applyProtection="0"/>
    <xf numFmtId="0" fontId="43" fillId="59" borderId="127" applyNumberFormat="0" applyAlignment="0" applyProtection="0"/>
    <xf numFmtId="0" fontId="41" fillId="59" borderId="138" applyNumberFormat="0" applyAlignment="0" applyProtection="0"/>
    <xf numFmtId="0" fontId="1" fillId="34" borderId="0" applyNumberFormat="0" applyBorder="0" applyAlignment="0" applyProtection="0"/>
    <xf numFmtId="43" fontId="36" fillId="0" borderId="0" applyFont="0" applyFill="0" applyBorder="0" applyAlignment="0" applyProtection="0"/>
    <xf numFmtId="0" fontId="56" fillId="46" borderId="127" applyNumberFormat="0" applyAlignment="0" applyProtection="0"/>
    <xf numFmtId="0" fontId="47" fillId="46" borderId="127" applyNumberFormat="0" applyAlignment="0" applyProtection="0"/>
    <xf numFmtId="0" fontId="43" fillId="59" borderId="127" applyNumberFormat="0" applyAlignment="0" applyProtection="0"/>
    <xf numFmtId="0" fontId="41" fillId="59" borderId="138" applyNumberFormat="0" applyAlignment="0" applyProtection="0"/>
    <xf numFmtId="0" fontId="43" fillId="59" borderId="127" applyNumberFormat="0" applyAlignment="0" applyProtection="0"/>
    <xf numFmtId="0" fontId="44" fillId="59" borderId="127" applyNumberFormat="0" applyAlignment="0" applyProtection="0"/>
    <xf numFmtId="0" fontId="47" fillId="46" borderId="127" applyNumberFormat="0" applyAlignment="0" applyProtection="0"/>
    <xf numFmtId="0" fontId="48" fillId="0" borderId="140" applyNumberFormat="0" applyFill="0" applyAlignment="0" applyProtection="0"/>
    <xf numFmtId="0" fontId="56" fillId="46" borderId="127" applyNumberFormat="0" applyAlignment="0" applyProtection="0"/>
    <xf numFmtId="0" fontId="38" fillId="62" borderId="137" applyNumberFormat="0" applyFont="0" applyAlignment="0" applyProtection="0"/>
    <xf numFmtId="0" fontId="19" fillId="62" borderId="137" applyNumberFormat="0" applyFont="0" applyAlignment="0" applyProtection="0"/>
    <xf numFmtId="0" fontId="60" fillId="59" borderId="138" applyNumberFormat="0" applyAlignment="0" applyProtection="0"/>
    <xf numFmtId="0" fontId="63" fillId="0" borderId="140" applyNumberFormat="0" applyFill="0" applyAlignment="0" applyProtection="0"/>
    <xf numFmtId="0" fontId="44" fillId="59" borderId="127" applyNumberFormat="0" applyAlignment="0" applyProtection="0"/>
    <xf numFmtId="0" fontId="56" fillId="46" borderId="127" applyNumberFormat="0" applyAlignment="0" applyProtection="0"/>
    <xf numFmtId="0" fontId="38" fillId="62" borderId="137" applyNumberFormat="0" applyFont="0" applyAlignment="0" applyProtection="0"/>
    <xf numFmtId="0" fontId="60" fillId="59" borderId="138" applyNumberFormat="0" applyAlignment="0" applyProtection="0"/>
    <xf numFmtId="0" fontId="63" fillId="0" borderId="140" applyNumberFormat="0" applyFill="0" applyAlignment="0" applyProtection="0"/>
    <xf numFmtId="0" fontId="4" fillId="32" borderId="0" applyNumberFormat="0" applyBorder="0" applyAlignment="0" applyProtection="0"/>
    <xf numFmtId="0" fontId="44" fillId="59" borderId="127" applyNumberFormat="0" applyAlignment="0" applyProtection="0"/>
    <xf numFmtId="0" fontId="56" fillId="46" borderId="127" applyNumberFormat="0" applyAlignment="0" applyProtection="0"/>
    <xf numFmtId="0" fontId="60" fillId="59" borderId="138" applyNumberFormat="0" applyAlignment="0" applyProtection="0"/>
    <xf numFmtId="0" fontId="63" fillId="0" borderId="140" applyNumberFormat="0" applyFill="0" applyAlignment="0" applyProtection="0"/>
    <xf numFmtId="0" fontId="41" fillId="59" borderId="138" applyNumberFormat="0" applyAlignment="0" applyProtection="0"/>
    <xf numFmtId="0" fontId="43" fillId="59" borderId="127" applyNumberFormat="0" applyAlignment="0" applyProtection="0"/>
    <xf numFmtId="0" fontId="48" fillId="0" borderId="140" applyNumberFormat="0" applyFill="0" applyAlignment="0" applyProtection="0"/>
    <xf numFmtId="0" fontId="47" fillId="46" borderId="127" applyNumberFormat="0" applyAlignment="0" applyProtection="0"/>
    <xf numFmtId="0" fontId="1" fillId="2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43" fillId="59" borderId="127" applyNumberFormat="0" applyAlignment="0" applyProtection="0"/>
    <xf numFmtId="0" fontId="1" fillId="24" borderId="0" applyNumberFormat="0" applyBorder="0" applyAlignment="0" applyProtection="0"/>
    <xf numFmtId="0" fontId="63" fillId="0" borderId="140" applyNumberFormat="0" applyFill="0" applyAlignment="0" applyProtection="0"/>
    <xf numFmtId="0" fontId="56" fillId="46" borderId="127" applyNumberFormat="0" applyAlignment="0" applyProtection="0"/>
    <xf numFmtId="0" fontId="38" fillId="62" borderId="137" applyNumberFormat="0" applyFont="0" applyAlignment="0" applyProtection="0"/>
    <xf numFmtId="0" fontId="27" fillId="0" borderId="0" applyNumberFormat="0" applyFill="0" applyBorder="0" applyAlignment="0" applyProtection="0"/>
    <xf numFmtId="0" fontId="1" fillId="28" borderId="0" applyNumberFormat="0" applyBorder="0" applyAlignment="0" applyProtection="0"/>
    <xf numFmtId="0" fontId="4" fillId="20" borderId="0" applyNumberFormat="0" applyBorder="0" applyAlignment="0" applyProtection="0"/>
    <xf numFmtId="0" fontId="56" fillId="46" borderId="127" applyNumberFormat="0" applyAlignment="0" applyProtection="0"/>
    <xf numFmtId="0" fontId="41" fillId="59" borderId="138" applyNumberFormat="0" applyAlignment="0" applyProtection="0"/>
    <xf numFmtId="0" fontId="47" fillId="46" borderId="127" applyNumberFormat="0" applyAlignment="0" applyProtection="0"/>
    <xf numFmtId="0" fontId="4" fillId="35" borderId="0" applyNumberFormat="0" applyBorder="0" applyAlignment="0" applyProtection="0"/>
    <xf numFmtId="0" fontId="44" fillId="59" borderId="127" applyNumberFormat="0" applyAlignment="0" applyProtection="0"/>
    <xf numFmtId="0" fontId="63" fillId="0" borderId="140" applyNumberFormat="0" applyFill="0" applyAlignment="0" applyProtection="0"/>
    <xf numFmtId="0" fontId="60" fillId="59" borderId="138" applyNumberFormat="0" applyAlignment="0" applyProtection="0"/>
    <xf numFmtId="0" fontId="27" fillId="0" borderId="0" applyNumberFormat="0" applyFill="0" applyBorder="0" applyAlignment="0" applyProtection="0"/>
    <xf numFmtId="0" fontId="56" fillId="46" borderId="127" applyNumberFormat="0" applyAlignment="0" applyProtection="0"/>
    <xf numFmtId="0" fontId="41" fillId="59" borderId="138" applyNumberFormat="0" applyAlignment="0" applyProtection="0"/>
    <xf numFmtId="0" fontId="43" fillId="59" borderId="127" applyNumberFormat="0" applyAlignment="0" applyProtection="0"/>
    <xf numFmtId="0" fontId="44" fillId="59" borderId="127" applyNumberFormat="0" applyAlignment="0" applyProtection="0"/>
    <xf numFmtId="0" fontId="44" fillId="59" borderId="127" applyNumberFormat="0" applyAlignment="0" applyProtection="0"/>
    <xf numFmtId="0" fontId="4" fillId="29" borderId="0" applyNumberFormat="0" applyBorder="0" applyAlignment="0" applyProtection="0"/>
    <xf numFmtId="0" fontId="47" fillId="46" borderId="127" applyNumberFormat="0" applyAlignment="0" applyProtection="0"/>
    <xf numFmtId="0" fontId="48" fillId="0" borderId="140" applyNumberFormat="0" applyFill="0" applyAlignment="0" applyProtection="0"/>
    <xf numFmtId="0" fontId="63" fillId="0" borderId="140" applyNumberFormat="0" applyFill="0" applyAlignment="0" applyProtection="0"/>
    <xf numFmtId="0" fontId="38" fillId="62" borderId="137" applyNumberFormat="0" applyFont="0" applyAlignment="0" applyProtection="0"/>
    <xf numFmtId="0" fontId="56" fillId="46" borderId="127" applyNumberFormat="0" applyAlignment="0" applyProtection="0"/>
    <xf numFmtId="0" fontId="1" fillId="22" borderId="0" applyNumberFormat="0" applyBorder="0" applyAlignment="0" applyProtection="0"/>
    <xf numFmtId="0" fontId="44" fillId="59" borderId="127" applyNumberFormat="0" applyAlignment="0" applyProtection="0"/>
    <xf numFmtId="0" fontId="38" fillId="62" borderId="137" applyNumberFormat="0" applyFont="0" applyAlignment="0" applyProtection="0"/>
    <xf numFmtId="0" fontId="19" fillId="62" borderId="137" applyNumberFormat="0" applyFont="0" applyAlignment="0" applyProtection="0"/>
    <xf numFmtId="0" fontId="60" fillId="59" borderId="138" applyNumberFormat="0" applyAlignment="0" applyProtection="0"/>
    <xf numFmtId="0" fontId="63" fillId="0" borderId="140" applyNumberFormat="0" applyFill="0" applyAlignment="0" applyProtection="0"/>
    <xf numFmtId="0" fontId="63" fillId="0" borderId="140" applyNumberFormat="0" applyFill="0" applyAlignment="0" applyProtection="0"/>
    <xf numFmtId="0" fontId="43" fillId="59" borderId="127" applyNumberFormat="0" applyAlignment="0" applyProtection="0"/>
    <xf numFmtId="0" fontId="44" fillId="59" borderId="127" applyNumberFormat="0" applyAlignment="0" applyProtection="0"/>
    <xf numFmtId="0" fontId="48" fillId="0" borderId="140" applyNumberFormat="0" applyFill="0" applyAlignment="0" applyProtection="0"/>
    <xf numFmtId="0" fontId="38" fillId="62" borderId="137" applyNumberFormat="0" applyFont="0" applyAlignment="0" applyProtection="0"/>
    <xf numFmtId="0" fontId="1" fillId="19" borderId="0" applyNumberFormat="0" applyBorder="0" applyAlignment="0" applyProtection="0"/>
    <xf numFmtId="0" fontId="48" fillId="0" borderId="140" applyNumberFormat="0" applyFill="0" applyAlignment="0" applyProtection="0"/>
    <xf numFmtId="0" fontId="44" fillId="59" borderId="127" applyNumberFormat="0" applyAlignment="0" applyProtection="0"/>
    <xf numFmtId="0" fontId="56" fillId="46" borderId="127" applyNumberFormat="0" applyAlignment="0" applyProtection="0"/>
    <xf numFmtId="0" fontId="56" fillId="46" borderId="127" applyNumberFormat="0" applyAlignment="0" applyProtection="0"/>
    <xf numFmtId="0" fontId="38" fillId="62" borderId="137" applyNumberFormat="0" applyFont="0" applyAlignment="0" applyProtection="0"/>
    <xf numFmtId="0" fontId="60" fillId="59" borderId="138" applyNumberFormat="0" applyAlignment="0" applyProtection="0"/>
    <xf numFmtId="0" fontId="63" fillId="0" borderId="140" applyNumberFormat="0" applyFill="0" applyAlignment="0" applyProtection="0"/>
    <xf numFmtId="0" fontId="19" fillId="62" borderId="137" applyNumberFormat="0" applyFont="0" applyAlignment="0" applyProtection="0"/>
    <xf numFmtId="0" fontId="63" fillId="0" borderId="140" applyNumberFormat="0" applyFill="0" applyAlignment="0" applyProtection="0"/>
    <xf numFmtId="0" fontId="1" fillId="27" borderId="0" applyNumberFormat="0" applyBorder="0" applyAlignment="0" applyProtection="0"/>
    <xf numFmtId="0" fontId="1" fillId="31"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4" fillId="59" borderId="127" applyNumberFormat="0" applyAlignment="0" applyProtection="0"/>
    <xf numFmtId="0" fontId="56" fillId="46" borderId="127" applyNumberFormat="0" applyAlignment="0" applyProtection="0"/>
    <xf numFmtId="0" fontId="1" fillId="18" borderId="0" applyNumberFormat="0" applyBorder="0" applyAlignment="0" applyProtection="0"/>
    <xf numFmtId="0" fontId="28" fillId="0" borderId="0" applyNumberFormat="0" applyFill="0" applyBorder="0" applyAlignment="0" applyProtection="0"/>
    <xf numFmtId="0" fontId="60" fillId="59" borderId="138" applyNumberFormat="0" applyAlignment="0" applyProtection="0"/>
    <xf numFmtId="0" fontId="63" fillId="0" borderId="140" applyNumberFormat="0" applyFill="0" applyAlignment="0" applyProtection="0"/>
    <xf numFmtId="0" fontId="19" fillId="62" borderId="137" applyNumberFormat="0" applyFont="0" applyAlignment="0" applyProtection="0"/>
    <xf numFmtId="0" fontId="38" fillId="62" borderId="137" applyNumberFormat="0" applyFont="0" applyAlignment="0" applyProtection="0"/>
    <xf numFmtId="0" fontId="48" fillId="0" borderId="140" applyNumberFormat="0" applyFill="0" applyAlignment="0" applyProtection="0"/>
    <xf numFmtId="0" fontId="63" fillId="0" borderId="140" applyNumberFormat="0" applyFill="0" applyAlignment="0" applyProtection="0"/>
    <xf numFmtId="0" fontId="47" fillId="46" borderId="127" applyNumberFormat="0" applyAlignment="0" applyProtection="0"/>
    <xf numFmtId="0" fontId="44" fillId="59" borderId="127" applyNumberFormat="0" applyAlignment="0" applyProtection="0"/>
    <xf numFmtId="0" fontId="48" fillId="0" borderId="140" applyNumberFormat="0" applyFill="0" applyAlignment="0" applyProtection="0"/>
    <xf numFmtId="0" fontId="1" fillId="25" borderId="0" applyNumberFormat="0" applyBorder="0" applyAlignment="0" applyProtection="0"/>
    <xf numFmtId="0" fontId="60" fillId="59" borderId="138" applyNumberFormat="0" applyAlignment="0" applyProtection="0"/>
    <xf numFmtId="0" fontId="47" fillId="46" borderId="127" applyNumberFormat="0" applyAlignment="0" applyProtection="0"/>
    <xf numFmtId="0" fontId="1" fillId="33" borderId="0" applyNumberFormat="0" applyBorder="0" applyAlignment="0" applyProtection="0"/>
    <xf numFmtId="0" fontId="41" fillId="59" borderId="138" applyNumberFormat="0" applyAlignment="0" applyProtection="0"/>
    <xf numFmtId="0" fontId="43" fillId="59" borderId="127" applyNumberFormat="0" applyAlignment="0" applyProtection="0"/>
    <xf numFmtId="0" fontId="48" fillId="0" borderId="140" applyNumberFormat="0" applyFill="0" applyAlignment="0" applyProtection="0"/>
    <xf numFmtId="0" fontId="47" fillId="46" borderId="127" applyNumberFormat="0" applyAlignment="0" applyProtection="0"/>
    <xf numFmtId="0" fontId="44" fillId="59" borderId="127" applyNumberFormat="0" applyAlignment="0" applyProtection="0"/>
    <xf numFmtId="0" fontId="4" fillId="29" borderId="0" applyNumberFormat="0" applyBorder="0" applyAlignment="0" applyProtection="0"/>
    <xf numFmtId="0" fontId="60" fillId="59" borderId="138" applyNumberFormat="0" applyAlignment="0" applyProtection="0"/>
    <xf numFmtId="0" fontId="56" fillId="46" borderId="127" applyNumberFormat="0" applyAlignment="0" applyProtection="0"/>
    <xf numFmtId="0" fontId="43" fillId="59" borderId="127" applyNumberFormat="0" applyAlignment="0" applyProtection="0"/>
    <xf numFmtId="0" fontId="41" fillId="59" borderId="138" applyNumberFormat="0" applyAlignment="0" applyProtection="0"/>
    <xf numFmtId="0" fontId="1" fillId="33" borderId="0" applyNumberFormat="0" applyBorder="0" applyAlignment="0" applyProtection="0"/>
    <xf numFmtId="0" fontId="56" fillId="46" borderId="127" applyNumberFormat="0" applyAlignment="0" applyProtection="0"/>
    <xf numFmtId="0" fontId="47" fillId="46" borderId="127" applyNumberFormat="0" applyAlignment="0" applyProtection="0"/>
    <xf numFmtId="0" fontId="43" fillId="59" borderId="127" applyNumberFormat="0" applyAlignment="0" applyProtection="0"/>
    <xf numFmtId="0" fontId="1" fillId="31" borderId="0" applyNumberFormat="0" applyBorder="0" applyAlignment="0" applyProtection="0"/>
    <xf numFmtId="0" fontId="1" fillId="19"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43" fontId="36" fillId="0" borderId="0" applyFont="0" applyFill="0" applyBorder="0" applyAlignment="0" applyProtection="0"/>
    <xf numFmtId="0" fontId="26" fillId="17" borderId="10" applyNumberFormat="0" applyAlignment="0" applyProtection="0"/>
    <xf numFmtId="0" fontId="1" fillId="31" borderId="0" applyNumberFormat="0" applyBorder="0" applyAlignment="0" applyProtection="0"/>
    <xf numFmtId="0" fontId="4" fillId="32"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1" fillId="22" borderId="0" applyNumberFormat="0" applyBorder="0" applyAlignment="0" applyProtection="0"/>
    <xf numFmtId="0" fontId="27" fillId="0" borderId="0" applyNumberFormat="0" applyFill="0" applyBorder="0" applyAlignment="0" applyProtection="0"/>
    <xf numFmtId="0" fontId="1" fillId="1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43" fontId="36" fillId="0" borderId="0" applyFont="0" applyFill="0" applyBorder="0" applyAlignment="0" applyProtection="0"/>
    <xf numFmtId="0" fontId="4" fillId="26" borderId="0" applyNumberFormat="0" applyBorder="0" applyAlignment="0" applyProtection="0"/>
    <xf numFmtId="0" fontId="25" fillId="17" borderId="22" applyNumberFormat="0" applyAlignment="0" applyProtection="0"/>
    <xf numFmtId="0" fontId="1" fillId="30" borderId="0" applyNumberFormat="0" applyBorder="0" applyAlignment="0" applyProtection="0"/>
    <xf numFmtId="0" fontId="1" fillId="21" borderId="0" applyNumberFormat="0" applyBorder="0" applyAlignment="0" applyProtection="0"/>
    <xf numFmtId="0" fontId="4" fillId="26" borderId="0" applyNumberFormat="0" applyBorder="0" applyAlignment="0" applyProtection="0"/>
    <xf numFmtId="0" fontId="1" fillId="30" borderId="0" applyNumberFormat="0" applyBorder="0" applyAlignment="0" applyProtection="0"/>
    <xf numFmtId="0" fontId="153" fillId="0" borderId="0"/>
    <xf numFmtId="43" fontId="1" fillId="0" borderId="0" applyFont="0" applyFill="0" applyBorder="0" applyAlignment="0" applyProtection="0"/>
    <xf numFmtId="0" fontId="1" fillId="28" borderId="0" applyNumberFormat="0" applyBorder="0" applyAlignment="0" applyProtection="0"/>
    <xf numFmtId="0" fontId="38" fillId="62" borderId="195" applyNumberFormat="0" applyFont="0" applyAlignment="0" applyProtection="0"/>
    <xf numFmtId="4" fontId="31" fillId="38" borderId="177">
      <alignment horizontal="right" vertical="center"/>
    </xf>
    <xf numFmtId="0" fontId="35" fillId="36" borderId="196">
      <alignment horizontal="right" vertical="center"/>
    </xf>
    <xf numFmtId="0" fontId="1" fillId="22" borderId="0" applyNumberFormat="0" applyBorder="0" applyAlignment="0" applyProtection="0"/>
    <xf numFmtId="4" fontId="33" fillId="0" borderId="172">
      <alignment horizontal="right" vertical="center"/>
    </xf>
    <xf numFmtId="0" fontId="31" fillId="36" borderId="164">
      <alignment horizontal="right" vertical="center"/>
    </xf>
    <xf numFmtId="0" fontId="56" fillId="46" borderId="161" applyNumberFormat="0" applyAlignment="0" applyProtection="0"/>
    <xf numFmtId="0" fontId="19" fillId="62" borderId="163" applyNumberFormat="0" applyFont="0" applyAlignment="0" applyProtection="0"/>
    <xf numFmtId="0" fontId="41" fillId="59" borderId="160" applyNumberFormat="0" applyAlignment="0" applyProtection="0"/>
    <xf numFmtId="0" fontId="56" fillId="46" borderId="200" applyNumberFormat="0" applyAlignment="0" applyProtection="0"/>
    <xf numFmtId="0" fontId="63" fillId="0" borderId="162" applyNumberFormat="0" applyFill="0" applyAlignment="0" applyProtection="0"/>
    <xf numFmtId="0" fontId="33" fillId="0" borderId="177">
      <alignment horizontal="right" vertical="center"/>
    </xf>
    <xf numFmtId="0" fontId="33" fillId="0" borderId="177" applyNumberFormat="0" applyFill="0" applyAlignment="0" applyProtection="0"/>
    <xf numFmtId="0" fontId="63" fillId="0" borderId="162" applyNumberFormat="0" applyFill="0" applyAlignment="0" applyProtection="0"/>
    <xf numFmtId="0" fontId="48" fillId="0" borderId="162" applyNumberFormat="0" applyFill="0" applyAlignment="0" applyProtection="0"/>
    <xf numFmtId="0" fontId="33" fillId="37" borderId="164"/>
    <xf numFmtId="0" fontId="43" fillId="59" borderId="193" applyNumberFormat="0" applyAlignment="0" applyProtection="0"/>
    <xf numFmtId="0" fontId="63" fillId="0" borderId="194" applyNumberFormat="0" applyFill="0" applyAlignment="0" applyProtection="0"/>
    <xf numFmtId="0" fontId="33" fillId="38" borderId="167">
      <alignment horizontal="left" vertical="center" wrapText="1" indent="2"/>
    </xf>
    <xf numFmtId="4" fontId="31" fillId="38" borderId="198">
      <alignment horizontal="right" vertical="center"/>
    </xf>
    <xf numFmtId="0" fontId="63" fillId="0" borderId="194" applyNumberFormat="0" applyFill="0" applyAlignment="0" applyProtection="0"/>
    <xf numFmtId="0" fontId="33" fillId="0" borderId="167">
      <alignment horizontal="left" vertical="center" wrapText="1" indent="2"/>
    </xf>
    <xf numFmtId="0" fontId="43" fillId="59" borderId="193" applyNumberFormat="0" applyAlignment="0" applyProtection="0"/>
    <xf numFmtId="4" fontId="35" fillId="36" borderId="164">
      <alignment horizontal="right" vertical="center"/>
    </xf>
    <xf numFmtId="0" fontId="19" fillId="62" borderId="163" applyNumberFormat="0" applyFont="0" applyAlignment="0" applyProtection="0"/>
    <xf numFmtId="0" fontId="31" fillId="38" borderId="164">
      <alignment horizontal="right" vertical="center"/>
    </xf>
    <xf numFmtId="4" fontId="33" fillId="37" borderId="188"/>
    <xf numFmtId="0" fontId="35" fillId="36" borderId="164">
      <alignment horizontal="right" vertical="center"/>
    </xf>
    <xf numFmtId="0" fontId="63" fillId="0" borderId="162" applyNumberFormat="0" applyFill="0" applyAlignment="0" applyProtection="0"/>
    <xf numFmtId="4" fontId="33" fillId="37" borderId="164"/>
    <xf numFmtId="0" fontId="60" fillId="59" borderId="160" applyNumberFormat="0" applyAlignment="0" applyProtection="0"/>
    <xf numFmtId="0" fontId="33" fillId="0" borderId="164" applyNumberFormat="0" applyFill="0" applyAlignment="0" applyProtection="0"/>
    <xf numFmtId="0" fontId="63" fillId="0" borderId="162" applyNumberFormat="0" applyFill="0" applyAlignment="0" applyProtection="0"/>
    <xf numFmtId="177" fontId="33" fillId="63" borderId="164" applyNumberFormat="0" applyFont="0" applyBorder="0" applyAlignment="0" applyProtection="0">
      <alignment horizontal="right" vertical="center"/>
    </xf>
    <xf numFmtId="0" fontId="4" fillId="29" borderId="0" applyNumberFormat="0" applyBorder="0" applyAlignment="0" applyProtection="0"/>
    <xf numFmtId="4" fontId="35" fillId="36" borderId="196">
      <alignment horizontal="right" vertical="center"/>
    </xf>
    <xf numFmtId="0" fontId="19" fillId="62" borderId="163" applyNumberFormat="0" applyFont="0" applyAlignment="0" applyProtection="0"/>
    <xf numFmtId="0" fontId="26" fillId="17" borderId="10" applyNumberFormat="0" applyAlignment="0" applyProtection="0"/>
    <xf numFmtId="4" fontId="31" fillId="38" borderId="188">
      <alignment horizontal="right" vertical="center"/>
    </xf>
    <xf numFmtId="0" fontId="35" fillId="36" borderId="177">
      <alignment horizontal="right" vertical="center"/>
    </xf>
    <xf numFmtId="0" fontId="44" fillId="59" borderId="169" applyNumberFormat="0" applyAlignment="0" applyProtection="0"/>
    <xf numFmtId="0" fontId="56" fillId="46" borderId="193" applyNumberFormat="0" applyAlignment="0" applyProtection="0"/>
    <xf numFmtId="0" fontId="25" fillId="17" borderId="22" applyNumberFormat="0" applyAlignment="0" applyProtection="0"/>
    <xf numFmtId="0" fontId="26" fillId="17" borderId="10" applyNumberFormat="0" applyAlignment="0" applyProtection="0"/>
    <xf numFmtId="0" fontId="33" fillId="36" borderId="189">
      <alignment horizontal="left" vertical="center"/>
    </xf>
    <xf numFmtId="49" fontId="32" fillId="0" borderId="188" applyNumberFormat="0" applyFill="0" applyBorder="0" applyProtection="0">
      <alignment horizontal="left" vertical="center"/>
    </xf>
    <xf numFmtId="0" fontId="27" fillId="0" borderId="0" applyNumberFormat="0" applyFill="0" applyBorder="0" applyAlignment="0" applyProtection="0"/>
    <xf numFmtId="49" fontId="32" fillId="0" borderId="203" applyNumberFormat="0" applyFill="0" applyBorder="0" applyProtection="0">
      <alignment horizontal="left" vertical="center"/>
    </xf>
    <xf numFmtId="0" fontId="28" fillId="0" borderId="0" applyNumberFormat="0" applyFill="0" applyBorder="0" applyAlignment="0" applyProtection="0"/>
    <xf numFmtId="0" fontId="3" fillId="0" borderId="23" applyNumberFormat="0" applyFill="0" applyAlignment="0" applyProtection="0"/>
    <xf numFmtId="0" fontId="26" fillId="17" borderId="10" applyNumberFormat="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63" fillId="0" borderId="194" applyNumberFormat="0" applyFill="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31" fillId="38" borderId="173">
      <alignment horizontal="right" vertical="center"/>
    </xf>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25" fillId="17" borderId="22" applyNumberFormat="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3" fillId="0" borderId="23" applyNumberFormat="0" applyFill="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60" fillId="59" borderId="184" applyNumberFormat="0" applyAlignment="0" applyProtection="0"/>
    <xf numFmtId="0" fontId="31" fillId="36" borderId="164">
      <alignment horizontal="right" vertical="center"/>
    </xf>
    <xf numFmtId="0" fontId="38" fillId="62" borderId="163" applyNumberFormat="0" applyFont="0" applyAlignment="0" applyProtection="0"/>
    <xf numFmtId="0" fontId="4" fillId="26" borderId="0" applyNumberFormat="0" applyBorder="0" applyAlignment="0" applyProtection="0"/>
    <xf numFmtId="4" fontId="35" fillId="36" borderId="164">
      <alignment horizontal="right" vertical="center"/>
    </xf>
    <xf numFmtId="0" fontId="33" fillId="37" borderId="164"/>
    <xf numFmtId="0" fontId="63" fillId="0" borderId="194" applyNumberFormat="0" applyFill="0" applyAlignment="0" applyProtection="0"/>
    <xf numFmtId="0" fontId="33" fillId="38" borderId="167">
      <alignment horizontal="left" vertical="center" wrapText="1" indent="2"/>
    </xf>
    <xf numFmtId="177" fontId="33" fillId="63" borderId="164" applyNumberFormat="0" applyFont="0" applyBorder="0" applyAlignment="0" applyProtection="0">
      <alignment horizontal="right" vertical="center"/>
    </xf>
    <xf numFmtId="0" fontId="25" fillId="17" borderId="22" applyNumberFormat="0" applyAlignment="0" applyProtection="0"/>
    <xf numFmtId="0" fontId="31" fillId="38" borderId="164">
      <alignment horizontal="right" vertical="center"/>
    </xf>
    <xf numFmtId="0" fontId="31" fillId="38" borderId="164">
      <alignment horizontal="right" vertical="center"/>
    </xf>
    <xf numFmtId="0" fontId="35" fillId="36" borderId="164">
      <alignment horizontal="right" vertical="center"/>
    </xf>
    <xf numFmtId="0" fontId="31" fillId="36" borderId="164">
      <alignment horizontal="right" vertical="center"/>
    </xf>
    <xf numFmtId="0" fontId="31" fillId="38" borderId="164">
      <alignment horizontal="right" vertical="center"/>
    </xf>
    <xf numFmtId="0" fontId="63" fillId="0" borderId="162" applyNumberFormat="0" applyFill="0" applyAlignment="0" applyProtection="0"/>
    <xf numFmtId="0" fontId="31" fillId="38" borderId="164">
      <alignment horizontal="right" vertical="center"/>
    </xf>
    <xf numFmtId="0" fontId="63" fillId="0" borderId="162" applyNumberFormat="0" applyFill="0" applyAlignment="0" applyProtection="0"/>
    <xf numFmtId="0" fontId="60" fillId="59" borderId="160" applyNumberFormat="0" applyAlignment="0" applyProtection="0"/>
    <xf numFmtId="0" fontId="31" fillId="38" borderId="164">
      <alignment horizontal="right" vertical="center"/>
    </xf>
    <xf numFmtId="0" fontId="63" fillId="0" borderId="162" applyNumberFormat="0" applyFill="0" applyAlignment="0" applyProtection="0"/>
    <xf numFmtId="0" fontId="19" fillId="62" borderId="163" applyNumberFormat="0" applyFont="0" applyAlignment="0" applyProtection="0"/>
    <xf numFmtId="0" fontId="33" fillId="0" borderId="167">
      <alignment horizontal="left" vertical="center" wrapText="1" indent="2"/>
    </xf>
    <xf numFmtId="0" fontId="33" fillId="38" borderId="167">
      <alignment horizontal="left" vertical="center" wrapText="1" indent="2"/>
    </xf>
    <xf numFmtId="0" fontId="56" fillId="46" borderId="161" applyNumberFormat="0" applyAlignment="0" applyProtection="0"/>
    <xf numFmtId="0" fontId="48" fillId="0" borderId="162" applyNumberFormat="0" applyFill="0" applyAlignment="0" applyProtection="0"/>
    <xf numFmtId="0" fontId="47" fillId="46" borderId="161" applyNumberFormat="0" applyAlignment="0" applyProtection="0"/>
    <xf numFmtId="4" fontId="35" fillId="36" borderId="164">
      <alignment horizontal="right" vertical="center"/>
    </xf>
    <xf numFmtId="0" fontId="35" fillId="36" borderId="164">
      <alignment horizontal="right" vertical="center"/>
    </xf>
    <xf numFmtId="4" fontId="31" fillId="38" borderId="164">
      <alignment horizontal="right" vertical="center"/>
    </xf>
    <xf numFmtId="0" fontId="33" fillId="0" borderId="164">
      <alignment horizontal="right" vertical="center"/>
    </xf>
    <xf numFmtId="4" fontId="33" fillId="37" borderId="164"/>
    <xf numFmtId="0" fontId="38" fillId="62" borderId="163" applyNumberFormat="0" applyFont="0" applyAlignment="0" applyProtection="0"/>
    <xf numFmtId="0" fontId="56" fillId="46" borderId="161" applyNumberFormat="0" applyAlignment="0" applyProtection="0"/>
    <xf numFmtId="0" fontId="63" fillId="0" borderId="162" applyNumberFormat="0" applyFill="0" applyAlignment="0" applyProtection="0"/>
    <xf numFmtId="0" fontId="43" fillId="59" borderId="161" applyNumberFormat="0" applyAlignment="0" applyProtection="0"/>
    <xf numFmtId="4" fontId="33" fillId="37" borderId="164"/>
    <xf numFmtId="0" fontId="33" fillId="0" borderId="164" applyNumberFormat="0" applyFill="0" applyAlignment="0" applyProtection="0"/>
    <xf numFmtId="4" fontId="33" fillId="0" borderId="164">
      <alignment horizontal="right" vertical="center"/>
    </xf>
    <xf numFmtId="4" fontId="31" fillId="38" borderId="164">
      <alignment horizontal="right" vertical="center"/>
    </xf>
    <xf numFmtId="0" fontId="31" fillId="38" borderId="164">
      <alignment horizontal="right" vertical="center"/>
    </xf>
    <xf numFmtId="4" fontId="35" fillId="36" borderId="164">
      <alignment horizontal="right" vertical="center"/>
    </xf>
    <xf numFmtId="4" fontId="31" fillId="36" borderId="164">
      <alignment horizontal="right" vertical="center"/>
    </xf>
    <xf numFmtId="49" fontId="33" fillId="0" borderId="164" applyNumberFormat="0" applyFont="0" applyFill="0" applyBorder="0" applyProtection="0">
      <alignment horizontal="left" vertical="center" indent="2"/>
    </xf>
    <xf numFmtId="0" fontId="43" fillId="59" borderId="161" applyNumberFormat="0" applyAlignment="0" applyProtection="0"/>
    <xf numFmtId="0" fontId="43" fillId="59" borderId="161" applyNumberFormat="0" applyAlignment="0" applyProtection="0"/>
    <xf numFmtId="4" fontId="33" fillId="37" borderId="164"/>
    <xf numFmtId="0" fontId="31" fillId="38" borderId="164">
      <alignment horizontal="right" vertical="center"/>
    </xf>
    <xf numFmtId="0" fontId="33" fillId="38" borderId="167">
      <alignment horizontal="left" vertical="center" wrapText="1" indent="2"/>
    </xf>
    <xf numFmtId="0" fontId="31" fillId="38" borderId="164">
      <alignment horizontal="right" vertical="center"/>
    </xf>
    <xf numFmtId="0" fontId="31" fillId="38" borderId="165">
      <alignment horizontal="right" vertical="center"/>
    </xf>
    <xf numFmtId="4" fontId="31" fillId="38" borderId="165">
      <alignment horizontal="right" vertical="center"/>
    </xf>
    <xf numFmtId="0" fontId="44" fillId="59" borderId="161" applyNumberFormat="0" applyAlignment="0" applyProtection="0"/>
    <xf numFmtId="0" fontId="44" fillId="59" borderId="161" applyNumberFormat="0" applyAlignment="0" applyProtection="0"/>
    <xf numFmtId="0" fontId="33" fillId="38" borderId="167">
      <alignment horizontal="left" vertical="center" wrapText="1" indent="2"/>
    </xf>
    <xf numFmtId="4" fontId="31" fillId="38" borderId="164">
      <alignment horizontal="right" vertical="center"/>
    </xf>
    <xf numFmtId="0" fontId="1" fillId="28" borderId="0" applyNumberFormat="0" applyBorder="0" applyAlignment="0" applyProtection="0"/>
    <xf numFmtId="0" fontId="1" fillId="30"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 fontId="31" fillId="38" borderId="197">
      <alignment horizontal="right" vertical="center"/>
    </xf>
    <xf numFmtId="0" fontId="38" fillId="62" borderId="195" applyNumberFormat="0" applyFont="0" applyAlignment="0" applyProtection="0"/>
    <xf numFmtId="0" fontId="38" fillId="62" borderId="176" applyNumberFormat="0" applyFont="0" applyAlignment="0" applyProtection="0"/>
    <xf numFmtId="4" fontId="31" fillId="38" borderId="174">
      <alignment horizontal="right" vertical="center"/>
    </xf>
    <xf numFmtId="0" fontId="60" fillId="59" borderId="208" applyNumberFormat="0" applyAlignment="0" applyProtection="0"/>
    <xf numFmtId="0" fontId="1" fillId="27" borderId="0" applyNumberFormat="0" applyBorder="0" applyAlignment="0" applyProtection="0"/>
    <xf numFmtId="0" fontId="1" fillId="34" borderId="0" applyNumberFormat="0" applyBorder="0" applyAlignment="0" applyProtection="0"/>
    <xf numFmtId="49" fontId="33" fillId="0" borderId="173" applyNumberFormat="0" applyFont="0" applyFill="0" applyBorder="0" applyProtection="0">
      <alignment horizontal="left" vertical="center" indent="5"/>
    </xf>
    <xf numFmtId="4" fontId="31" fillId="36" borderId="203">
      <alignment horizontal="right" vertical="center"/>
    </xf>
    <xf numFmtId="0" fontId="44" fillId="59" borderId="169" applyNumberFormat="0" applyAlignment="0" applyProtection="0"/>
    <xf numFmtId="0" fontId="31" fillId="38" borderId="196">
      <alignment horizontal="right" vertical="center"/>
    </xf>
    <xf numFmtId="0" fontId="4" fillId="26" borderId="0" applyNumberFormat="0" applyBorder="0" applyAlignment="0" applyProtection="0"/>
    <xf numFmtId="49" fontId="33" fillId="0" borderId="196" applyNumberFormat="0" applyFont="0" applyFill="0" applyBorder="0" applyProtection="0">
      <alignment horizontal="left" vertical="center" indent="2"/>
    </xf>
    <xf numFmtId="0" fontId="44" fillId="59" borderId="193" applyNumberFormat="0" applyAlignment="0" applyProtection="0"/>
    <xf numFmtId="0" fontId="33" fillId="37" borderId="164"/>
    <xf numFmtId="0" fontId="56" fillId="46" borderId="169" applyNumberFormat="0" applyAlignment="0" applyProtection="0"/>
    <xf numFmtId="4" fontId="33" fillId="0" borderId="164">
      <alignment horizontal="right" vertical="center"/>
    </xf>
    <xf numFmtId="0" fontId="33" fillId="0" borderId="164">
      <alignment horizontal="right" vertical="center"/>
    </xf>
    <xf numFmtId="0" fontId="33" fillId="0" borderId="167">
      <alignment horizontal="left" vertical="center" wrapText="1" indent="2"/>
    </xf>
    <xf numFmtId="4" fontId="33" fillId="37" borderId="196"/>
    <xf numFmtId="0" fontId="38" fillId="62" borderId="171" applyNumberFormat="0" applyFont="0" applyAlignment="0" applyProtection="0"/>
    <xf numFmtId="0" fontId="63" fillId="0" borderId="170" applyNumberFormat="0" applyFill="0" applyAlignment="0" applyProtection="0"/>
    <xf numFmtId="0" fontId="33" fillId="0" borderId="172">
      <alignment horizontal="right" vertical="center"/>
    </xf>
    <xf numFmtId="0" fontId="33" fillId="0" borderId="172" applyNumberFormat="0" applyFill="0" applyAlignment="0" applyProtection="0"/>
    <xf numFmtId="0" fontId="41" fillId="59" borderId="168" applyNumberFormat="0" applyAlignment="0" applyProtection="0"/>
    <xf numFmtId="0" fontId="43" fillId="59" borderId="169" applyNumberFormat="0" applyAlignment="0" applyProtection="0"/>
    <xf numFmtId="0" fontId="48" fillId="0" borderId="170" applyNumberFormat="0" applyFill="0" applyAlignment="0" applyProtection="0"/>
    <xf numFmtId="0" fontId="63" fillId="0" borderId="201" applyNumberFormat="0" applyFill="0" applyAlignment="0" applyProtection="0"/>
    <xf numFmtId="0" fontId="60" fillId="59" borderId="192" applyNumberFormat="0" applyAlignment="0" applyProtection="0"/>
    <xf numFmtId="0" fontId="4" fillId="32" borderId="0" applyNumberFormat="0" applyBorder="0" applyAlignment="0" applyProtection="0"/>
    <xf numFmtId="49" fontId="32" fillId="0" borderId="196" applyNumberFormat="0" applyFill="0" applyBorder="0" applyProtection="0">
      <alignment horizontal="left" vertical="center"/>
    </xf>
    <xf numFmtId="0" fontId="4" fillId="3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48" fillId="0" borderId="194" applyNumberFormat="0" applyFill="0" applyAlignment="0" applyProtection="0"/>
    <xf numFmtId="0" fontId="35" fillId="36" borderId="203">
      <alignment horizontal="right" vertical="center"/>
    </xf>
    <xf numFmtId="4" fontId="31" fillId="36" borderId="196">
      <alignment horizontal="right" vertical="center"/>
    </xf>
    <xf numFmtId="0" fontId="4" fillId="26" borderId="0" applyNumberFormat="0" applyBorder="0" applyAlignment="0" applyProtection="0"/>
    <xf numFmtId="0" fontId="33" fillId="37" borderId="172"/>
    <xf numFmtId="0" fontId="31" fillId="38" borderId="196">
      <alignment horizontal="right" vertical="center"/>
    </xf>
    <xf numFmtId="0" fontId="1" fillId="30" borderId="0" applyNumberFormat="0" applyBorder="0" applyAlignment="0" applyProtection="0"/>
    <xf numFmtId="0" fontId="33" fillId="0" borderId="196">
      <alignment horizontal="right" vertical="center"/>
    </xf>
    <xf numFmtId="43" fontId="36" fillId="0" borderId="0" applyFont="0" applyFill="0" applyBorder="0" applyAlignment="0" applyProtection="0"/>
    <xf numFmtId="43" fontId="36" fillId="0" borderId="0" applyFont="0" applyFill="0" applyBorder="0" applyAlignment="0" applyProtection="0"/>
    <xf numFmtId="4" fontId="35" fillId="36" borderId="196">
      <alignment horizontal="right" vertical="center"/>
    </xf>
    <xf numFmtId="0" fontId="33" fillId="0" borderId="196">
      <alignment horizontal="right" vertical="center"/>
    </xf>
    <xf numFmtId="0" fontId="33" fillId="0" borderId="164">
      <alignment horizontal="right" vertical="center"/>
    </xf>
    <xf numFmtId="0" fontId="48" fillId="0" borderId="162" applyNumberFormat="0" applyFill="0" applyAlignment="0" applyProtection="0"/>
    <xf numFmtId="0" fontId="63" fillId="0" borderId="162" applyNumberFormat="0" applyFill="0" applyAlignment="0" applyProtection="0"/>
    <xf numFmtId="0" fontId="38" fillId="62" borderId="187" applyNumberFormat="0" applyFont="0" applyAlignment="0" applyProtection="0"/>
    <xf numFmtId="0" fontId="60" fillId="59" borderId="160" applyNumberFormat="0" applyAlignment="0" applyProtection="0"/>
    <xf numFmtId="0" fontId="33" fillId="38" borderId="180">
      <alignment horizontal="left" vertical="center" wrapText="1" indent="2"/>
    </xf>
    <xf numFmtId="0" fontId="1" fillId="31" borderId="0" applyNumberFormat="0" applyBorder="0" applyAlignment="0" applyProtection="0"/>
    <xf numFmtId="0" fontId="35" fillId="36" borderId="172">
      <alignment horizontal="right" vertical="center"/>
    </xf>
    <xf numFmtId="4" fontId="31" fillId="38" borderId="164">
      <alignment horizontal="right" vertical="center"/>
    </xf>
    <xf numFmtId="4" fontId="35" fillId="36" borderId="164">
      <alignment horizontal="right" vertical="center"/>
    </xf>
    <xf numFmtId="4" fontId="31" fillId="36" borderId="164">
      <alignment horizontal="right" vertical="center"/>
    </xf>
    <xf numFmtId="4" fontId="35" fillId="36" borderId="164">
      <alignment horizontal="right" vertical="center"/>
    </xf>
    <xf numFmtId="0" fontId="31" fillId="38" borderId="164">
      <alignment horizontal="right" vertical="center"/>
    </xf>
    <xf numFmtId="4" fontId="33" fillId="0" borderId="164">
      <alignment horizontal="right" vertical="center"/>
    </xf>
    <xf numFmtId="4" fontId="33" fillId="37" borderId="164"/>
    <xf numFmtId="0" fontId="60" fillId="59" borderId="160" applyNumberFormat="0" applyAlignment="0" applyProtection="0"/>
    <xf numFmtId="0" fontId="38" fillId="62" borderId="163" applyNumberFormat="0" applyFont="0" applyAlignment="0" applyProtection="0"/>
    <xf numFmtId="0" fontId="44" fillId="59" borderId="161" applyNumberFormat="0" applyAlignment="0" applyProtection="0"/>
    <xf numFmtId="49" fontId="32" fillId="0" borderId="164" applyNumberFormat="0" applyFill="0" applyBorder="0" applyProtection="0">
      <alignment horizontal="left" vertical="center"/>
    </xf>
    <xf numFmtId="0" fontId="38" fillId="62" borderId="163" applyNumberFormat="0" applyFont="0" applyAlignment="0" applyProtection="0"/>
    <xf numFmtId="4" fontId="31" fillId="38" borderId="164">
      <alignment horizontal="right" vertical="center"/>
    </xf>
    <xf numFmtId="4" fontId="31" fillId="38" borderId="166">
      <alignment horizontal="right" vertical="center"/>
    </xf>
    <xf numFmtId="49" fontId="32" fillId="0" borderId="164" applyNumberFormat="0" applyFill="0" applyBorder="0" applyProtection="0">
      <alignment horizontal="left" vertical="center"/>
    </xf>
    <xf numFmtId="0" fontId="33" fillId="0" borderId="167">
      <alignment horizontal="left" vertical="center" wrapText="1" indent="2"/>
    </xf>
    <xf numFmtId="177" fontId="33" fillId="63" borderId="164" applyNumberFormat="0" applyFont="0" applyBorder="0" applyAlignment="0" applyProtection="0">
      <alignment horizontal="right" vertical="center"/>
    </xf>
    <xf numFmtId="0" fontId="33" fillId="36" borderId="165">
      <alignment horizontal="left" vertical="center"/>
    </xf>
    <xf numFmtId="0" fontId="33" fillId="0" borderId="164">
      <alignment horizontal="right" vertical="center"/>
    </xf>
    <xf numFmtId="0" fontId="33" fillId="37" borderId="164"/>
    <xf numFmtId="0" fontId="33" fillId="37" borderId="164"/>
    <xf numFmtId="49" fontId="32" fillId="0" borderId="164" applyNumberFormat="0" applyFill="0" applyBorder="0" applyProtection="0">
      <alignment horizontal="left" vertical="center"/>
    </xf>
    <xf numFmtId="0" fontId="33" fillId="0" borderId="164">
      <alignment horizontal="right" vertical="center"/>
    </xf>
    <xf numFmtId="0" fontId="31" fillId="38" borderId="164">
      <alignment horizontal="right" vertical="center"/>
    </xf>
    <xf numFmtId="4" fontId="31" fillId="38" borderId="164">
      <alignment horizontal="right" vertical="center"/>
    </xf>
    <xf numFmtId="0" fontId="33" fillId="0" borderId="199">
      <alignment horizontal="left" vertical="center" wrapText="1" indent="2"/>
    </xf>
    <xf numFmtId="0" fontId="25" fillId="17" borderId="22" applyNumberFormat="0" applyAlignment="0" applyProtection="0"/>
    <xf numFmtId="0" fontId="1" fillId="24" borderId="0" applyNumberFormat="0" applyBorder="0" applyAlignment="0" applyProtection="0"/>
    <xf numFmtId="0" fontId="60" fillId="59" borderId="168" applyNumberFormat="0" applyAlignment="0" applyProtection="0"/>
    <xf numFmtId="49" fontId="32" fillId="0" borderId="164" applyNumberFormat="0" applyFill="0" applyBorder="0" applyProtection="0">
      <alignment horizontal="left" vertical="center"/>
    </xf>
    <xf numFmtId="0" fontId="33" fillId="0" borderId="196" applyNumberFormat="0" applyFill="0" applyAlignment="0" applyProtection="0"/>
    <xf numFmtId="0" fontId="1" fillId="18" borderId="0" applyNumberFormat="0" applyBorder="0" applyAlignment="0" applyProtection="0"/>
    <xf numFmtId="0" fontId="3" fillId="0" borderId="23" applyNumberFormat="0" applyFill="0" applyAlignment="0" applyProtection="0"/>
    <xf numFmtId="0" fontId="4" fillId="29" borderId="0" applyNumberFormat="0" applyBorder="0" applyAlignment="0" applyProtection="0"/>
    <xf numFmtId="0" fontId="44" fillId="59" borderId="185" applyNumberFormat="0" applyAlignment="0" applyProtection="0"/>
    <xf numFmtId="0" fontId="31" fillId="38" borderId="198">
      <alignment horizontal="right" vertical="center"/>
    </xf>
    <xf numFmtId="0" fontId="33" fillId="0" borderId="164">
      <alignment horizontal="right" vertical="center"/>
    </xf>
    <xf numFmtId="0" fontId="33" fillId="36" borderId="165">
      <alignment horizontal="left" vertical="center"/>
    </xf>
    <xf numFmtId="0" fontId="33" fillId="38" borderId="167">
      <alignment horizontal="left" vertical="center" wrapText="1" indent="2"/>
    </xf>
    <xf numFmtId="4" fontId="31" fillId="38" borderId="166">
      <alignment horizontal="right" vertical="center"/>
    </xf>
    <xf numFmtId="4" fontId="31" fillId="38" borderId="165">
      <alignment horizontal="right" vertical="center"/>
    </xf>
    <xf numFmtId="4" fontId="31" fillId="38" borderId="164">
      <alignment horizontal="right" vertical="center"/>
    </xf>
    <xf numFmtId="177" fontId="33" fillId="63" borderId="164" applyNumberFormat="0" applyFont="0" applyBorder="0" applyAlignment="0" applyProtection="0">
      <alignment horizontal="right" vertical="center"/>
    </xf>
    <xf numFmtId="0" fontId="33" fillId="38" borderId="167">
      <alignment horizontal="left" vertical="center" wrapText="1" indent="2"/>
    </xf>
    <xf numFmtId="0" fontId="38" fillId="62" borderId="163" applyNumberFormat="0" applyFont="0" applyAlignment="0" applyProtection="0"/>
    <xf numFmtId="0" fontId="44" fillId="59" borderId="161" applyNumberFormat="0" applyAlignment="0" applyProtection="0"/>
    <xf numFmtId="0" fontId="43" fillId="59" borderId="161" applyNumberFormat="0" applyAlignment="0" applyProtection="0"/>
    <xf numFmtId="0" fontId="63" fillId="0" borderId="162" applyNumberFormat="0" applyFill="0" applyAlignment="0" applyProtection="0"/>
    <xf numFmtId="0" fontId="33" fillId="0" borderId="164" applyNumberFormat="0" applyFill="0" applyAlignment="0" applyProtection="0"/>
    <xf numFmtId="0" fontId="63" fillId="0" borderId="162" applyNumberFormat="0" applyFill="0" applyAlignment="0" applyProtection="0"/>
    <xf numFmtId="4" fontId="33" fillId="0" borderId="164" applyFill="0" applyBorder="0" applyProtection="0">
      <alignment horizontal="right" vertical="center"/>
    </xf>
    <xf numFmtId="49" fontId="33" fillId="0" borderId="164" applyNumberFormat="0" applyFont="0" applyFill="0" applyBorder="0" applyProtection="0">
      <alignment horizontal="left" vertical="center" indent="2"/>
    </xf>
    <xf numFmtId="0" fontId="56" fillId="46" borderId="161" applyNumberFormat="0" applyAlignment="0" applyProtection="0"/>
    <xf numFmtId="0" fontId="31" fillId="36" borderId="164">
      <alignment horizontal="right" vertical="center"/>
    </xf>
    <xf numFmtId="0" fontId="56" fillId="46" borderId="161" applyNumberFormat="0" applyAlignment="0" applyProtection="0"/>
    <xf numFmtId="0" fontId="33" fillId="38" borderId="167">
      <alignment horizontal="left" vertical="center" wrapText="1" indent="2"/>
    </xf>
    <xf numFmtId="4" fontId="33" fillId="0" borderId="164" applyFill="0" applyBorder="0" applyProtection="0">
      <alignment horizontal="right" vertical="center"/>
    </xf>
    <xf numFmtId="0" fontId="31" fillId="36" borderId="164">
      <alignment horizontal="right" vertical="center"/>
    </xf>
    <xf numFmtId="0" fontId="47" fillId="46" borderId="161" applyNumberFormat="0" applyAlignment="0" applyProtection="0"/>
    <xf numFmtId="4" fontId="31" fillId="38" borderId="164">
      <alignment horizontal="right" vertical="center"/>
    </xf>
    <xf numFmtId="4" fontId="33" fillId="0" borderId="164">
      <alignment horizontal="right" vertical="center"/>
    </xf>
    <xf numFmtId="0" fontId="44" fillId="59" borderId="161" applyNumberFormat="0" applyAlignment="0" applyProtection="0"/>
    <xf numFmtId="4" fontId="33" fillId="0" borderId="164">
      <alignment horizontal="right" vertical="center"/>
    </xf>
    <xf numFmtId="0" fontId="44" fillId="59" borderId="161" applyNumberFormat="0" applyAlignment="0" applyProtection="0"/>
    <xf numFmtId="0" fontId="44" fillId="59" borderId="161" applyNumberFormat="0" applyAlignment="0" applyProtection="0"/>
    <xf numFmtId="0" fontId="63" fillId="0" borderId="162" applyNumberFormat="0" applyFill="0" applyAlignment="0" applyProtection="0"/>
    <xf numFmtId="43" fontId="36" fillId="0" borderId="0" applyFont="0" applyFill="0" applyBorder="0" applyAlignment="0" applyProtection="0"/>
    <xf numFmtId="0" fontId="38" fillId="62" borderId="171" applyNumberFormat="0" applyFont="0" applyAlignment="0" applyProtection="0"/>
    <xf numFmtId="0" fontId="1" fillId="34" borderId="0" applyNumberFormat="0" applyBorder="0" applyAlignment="0" applyProtection="0"/>
    <xf numFmtId="4" fontId="31" fillId="38" borderId="172">
      <alignment horizontal="right" vertical="center"/>
    </xf>
    <xf numFmtId="0" fontId="25" fillId="17" borderId="22" applyNumberFormat="0" applyAlignment="0" applyProtection="0"/>
    <xf numFmtId="0" fontId="33" fillId="0" borderId="180">
      <alignment horizontal="left" vertical="center" wrapText="1" indent="2"/>
    </xf>
    <xf numFmtId="0" fontId="63" fillId="0" borderId="162" applyNumberFormat="0" applyFill="0" applyAlignment="0" applyProtection="0"/>
    <xf numFmtId="0" fontId="63" fillId="0" borderId="194" applyNumberFormat="0" applyFill="0" applyAlignment="0" applyProtection="0"/>
    <xf numFmtId="0" fontId="60" fillId="59" borderId="160" applyNumberFormat="0" applyAlignment="0" applyProtection="0"/>
    <xf numFmtId="0" fontId="1" fillId="18" borderId="0" applyNumberFormat="0" applyBorder="0" applyAlignment="0" applyProtection="0"/>
    <xf numFmtId="0" fontId="33" fillId="37" borderId="188"/>
    <xf numFmtId="0" fontId="41" fillId="59" borderId="160" applyNumberFormat="0" applyAlignment="0" applyProtection="0"/>
    <xf numFmtId="0" fontId="25" fillId="17" borderId="22" applyNumberFormat="0" applyAlignment="0" applyProtection="0"/>
    <xf numFmtId="0" fontId="4" fillId="23" borderId="0" applyNumberFormat="0" applyBorder="0" applyAlignment="0" applyProtection="0"/>
    <xf numFmtId="0" fontId="33" fillId="38" borderId="167">
      <alignment horizontal="left" vertical="center" wrapText="1" indent="2"/>
    </xf>
    <xf numFmtId="4" fontId="31" fillId="38" borderId="213">
      <alignment horizontal="right" vertical="center"/>
    </xf>
    <xf numFmtId="0" fontId="44" fillId="59" borderId="193" applyNumberFormat="0" applyAlignment="0" applyProtection="0"/>
    <xf numFmtId="0" fontId="31" fillId="36" borderId="196">
      <alignment horizontal="right" vertical="center"/>
    </xf>
    <xf numFmtId="43" fontId="36" fillId="0" borderId="0" applyFont="0" applyFill="0" applyBorder="0" applyAlignment="0" applyProtection="0"/>
    <xf numFmtId="49" fontId="32" fillId="0" borderId="196" applyNumberFormat="0" applyFill="0" applyBorder="0" applyProtection="0">
      <alignment horizontal="left" vertical="center"/>
    </xf>
    <xf numFmtId="4" fontId="31" fillId="38" borderId="197">
      <alignment horizontal="right" vertical="center"/>
    </xf>
    <xf numFmtId="0" fontId="44" fillId="59" borderId="161" applyNumberFormat="0" applyAlignment="0" applyProtection="0"/>
    <xf numFmtId="0" fontId="31" fillId="38" borderId="198">
      <alignment horizontal="right" vertical="center"/>
    </xf>
    <xf numFmtId="4" fontId="31" fillId="38" borderId="198">
      <alignment horizontal="right" vertical="center"/>
    </xf>
    <xf numFmtId="177" fontId="33" fillId="63" borderId="196" applyNumberFormat="0" applyFont="0" applyBorder="0" applyAlignment="0" applyProtection="0">
      <alignment horizontal="right" vertical="center"/>
    </xf>
    <xf numFmtId="0" fontId="31" fillId="38" borderId="164">
      <alignment horizontal="right" vertical="center"/>
    </xf>
    <xf numFmtId="4" fontId="31" fillId="38" borderId="166">
      <alignment horizontal="right" vertical="center"/>
    </xf>
    <xf numFmtId="0" fontId="38" fillId="62" borderId="195" applyNumberFormat="0" applyFont="0" applyAlignment="0" applyProtection="0"/>
    <xf numFmtId="0" fontId="44" fillId="59" borderId="169" applyNumberFormat="0" applyAlignment="0" applyProtection="0"/>
    <xf numFmtId="0" fontId="56" fillId="46" borderId="161" applyNumberFormat="0" applyAlignment="0" applyProtection="0"/>
    <xf numFmtId="0" fontId="48" fillId="0" borderId="186" applyNumberFormat="0" applyFill="0" applyAlignment="0" applyProtection="0"/>
    <xf numFmtId="0" fontId="33" fillId="0" borderId="206">
      <alignment horizontal="left" vertical="center" wrapText="1" indent="2"/>
    </xf>
    <xf numFmtId="0" fontId="4" fillId="35" borderId="0" applyNumberFormat="0" applyBorder="0" applyAlignment="0" applyProtection="0"/>
    <xf numFmtId="0" fontId="31" fillId="38" borderId="198">
      <alignment horizontal="right" vertical="center"/>
    </xf>
    <xf numFmtId="0" fontId="33" fillId="0" borderId="196">
      <alignment horizontal="right" vertical="center"/>
    </xf>
    <xf numFmtId="0" fontId="28" fillId="0" borderId="0" applyNumberFormat="0" applyFill="0" applyBorder="0" applyAlignment="0" applyProtection="0"/>
    <xf numFmtId="0" fontId="31" fillId="36" borderId="164">
      <alignment horizontal="right" vertical="center"/>
    </xf>
    <xf numFmtId="4" fontId="31" fillId="38" borderId="164">
      <alignment horizontal="right" vertical="center"/>
    </xf>
    <xf numFmtId="0" fontId="31" fillId="38" borderId="166">
      <alignment horizontal="right" vertical="center"/>
    </xf>
    <xf numFmtId="4" fontId="35" fillId="36" borderId="164">
      <alignment horizontal="right" vertical="center"/>
    </xf>
    <xf numFmtId="0" fontId="33" fillId="36" borderId="197">
      <alignment horizontal="left" vertical="center"/>
    </xf>
    <xf numFmtId="0" fontId="33" fillId="38" borderId="175">
      <alignment horizontal="left" vertical="center" wrapText="1" indent="2"/>
    </xf>
    <xf numFmtId="49" fontId="33" fillId="0" borderId="196" applyNumberFormat="0" applyFont="0" applyFill="0" applyBorder="0" applyProtection="0">
      <alignment horizontal="left" vertical="center" indent="2"/>
    </xf>
    <xf numFmtId="49" fontId="32" fillId="0" borderId="177" applyNumberFormat="0" applyFill="0" applyBorder="0" applyProtection="0">
      <alignment horizontal="left" vertical="center"/>
    </xf>
    <xf numFmtId="0" fontId="4" fillId="23" borderId="0" applyNumberFormat="0" applyBorder="0" applyAlignment="0" applyProtection="0"/>
    <xf numFmtId="0" fontId="44" fillId="59" borderId="161" applyNumberFormat="0" applyAlignment="0" applyProtection="0"/>
    <xf numFmtId="0" fontId="31" fillId="36" borderId="196">
      <alignment horizontal="right" vertical="center"/>
    </xf>
    <xf numFmtId="0" fontId="33" fillId="38" borderId="199">
      <alignment horizontal="left" vertical="center" wrapText="1" indent="2"/>
    </xf>
    <xf numFmtId="0" fontId="48" fillId="0" borderId="194" applyNumberFormat="0" applyFill="0" applyAlignment="0" applyProtection="0"/>
    <xf numFmtId="0" fontId="25" fillId="17" borderId="22" applyNumberFormat="0" applyAlignment="0" applyProtection="0"/>
    <xf numFmtId="0" fontId="60" fillId="59" borderId="160" applyNumberFormat="0" applyAlignment="0" applyProtection="0"/>
    <xf numFmtId="49" fontId="33" fillId="0" borderId="196" applyNumberFormat="0" applyFont="0" applyFill="0" applyBorder="0" applyProtection="0">
      <alignment horizontal="left" vertical="center" indent="2"/>
    </xf>
    <xf numFmtId="43" fontId="36" fillId="0" borderId="0" applyFont="0" applyFill="0" applyBorder="0" applyAlignment="0" applyProtection="0"/>
    <xf numFmtId="49" fontId="33" fillId="0" borderId="196" applyNumberFormat="0" applyFont="0" applyFill="0" applyBorder="0" applyProtection="0">
      <alignment horizontal="left" vertical="center" indent="2"/>
    </xf>
    <xf numFmtId="4" fontId="35" fillId="36" borderId="196">
      <alignment horizontal="right" vertical="center"/>
    </xf>
    <xf numFmtId="0" fontId="19" fillId="62" borderId="195" applyNumberFormat="0" applyFont="0" applyAlignment="0" applyProtection="0"/>
    <xf numFmtId="4" fontId="33" fillId="37" borderId="177"/>
    <xf numFmtId="0" fontId="43" fillId="59" borderId="161" applyNumberFormat="0" applyAlignment="0" applyProtection="0"/>
    <xf numFmtId="0" fontId="60" fillId="59" borderId="160" applyNumberFormat="0" applyAlignment="0" applyProtection="0"/>
    <xf numFmtId="0" fontId="44" fillId="59" borderId="161" applyNumberFormat="0" applyAlignment="0" applyProtection="0"/>
    <xf numFmtId="0" fontId="31" fillId="38" borderId="165">
      <alignment horizontal="right" vertical="center"/>
    </xf>
    <xf numFmtId="0" fontId="31" fillId="36" borderId="164">
      <alignment horizontal="right" vertical="center"/>
    </xf>
    <xf numFmtId="4" fontId="31" fillId="38" borderId="164">
      <alignment horizontal="right" vertical="center"/>
    </xf>
    <xf numFmtId="177" fontId="33" fillId="63" borderId="164" applyNumberFormat="0" applyFont="0" applyBorder="0" applyAlignment="0" applyProtection="0">
      <alignment horizontal="right" vertical="center"/>
    </xf>
    <xf numFmtId="4" fontId="33" fillId="0" borderId="164" applyFill="0" applyBorder="0" applyProtection="0">
      <alignment horizontal="right" vertical="center"/>
    </xf>
    <xf numFmtId="0" fontId="47" fillId="46" borderId="161" applyNumberFormat="0" applyAlignment="0" applyProtection="0"/>
    <xf numFmtId="4" fontId="31" fillId="38" borderId="164">
      <alignment horizontal="right" vertical="center"/>
    </xf>
    <xf numFmtId="0" fontId="4" fillId="29" borderId="0" applyNumberFormat="0" applyBorder="0" applyAlignment="0" applyProtection="0"/>
    <xf numFmtId="0" fontId="33" fillId="0" borderId="164" applyNumberFormat="0" applyFill="0" applyAlignment="0" applyProtection="0"/>
    <xf numFmtId="4" fontId="31" fillId="38" borderId="172">
      <alignment horizontal="right" vertical="center"/>
    </xf>
    <xf numFmtId="0" fontId="44" fillId="59" borderId="185" applyNumberFormat="0" applyAlignment="0" applyProtection="0"/>
    <xf numFmtId="43" fontId="36" fillId="0" borderId="0" applyFont="0" applyFill="0" applyBorder="0" applyAlignment="0" applyProtection="0"/>
    <xf numFmtId="0" fontId="44" fillId="59" borderId="193" applyNumberFormat="0" applyAlignment="0" applyProtection="0"/>
    <xf numFmtId="0" fontId="33" fillId="38" borderId="191">
      <alignment horizontal="left" vertical="center" wrapText="1" indent="2"/>
    </xf>
    <xf numFmtId="4" fontId="31" fillId="38" borderId="166">
      <alignment horizontal="right" vertical="center"/>
    </xf>
    <xf numFmtId="0" fontId="33" fillId="36" borderId="173">
      <alignment horizontal="left" vertical="center"/>
    </xf>
    <xf numFmtId="4" fontId="33" fillId="0" borderId="164" applyFill="0" applyBorder="0" applyProtection="0">
      <alignment horizontal="right" vertical="center"/>
    </xf>
    <xf numFmtId="0" fontId="4" fillId="29" borderId="0" applyNumberFormat="0" applyBorder="0" applyAlignment="0" applyProtection="0"/>
    <xf numFmtId="0" fontId="26" fillId="17" borderId="10" applyNumberFormat="0" applyAlignment="0" applyProtection="0"/>
    <xf numFmtId="43" fontId="36" fillId="0" borderId="0" applyFont="0" applyFill="0" applyBorder="0" applyAlignment="0" applyProtection="0"/>
    <xf numFmtId="4" fontId="33" fillId="0" borderId="164">
      <alignment horizontal="right" vertical="center"/>
    </xf>
    <xf numFmtId="0" fontId="56" fillId="46" borderId="161" applyNumberFormat="0" applyAlignment="0" applyProtection="0"/>
    <xf numFmtId="0" fontId="33" fillId="0" borderId="167">
      <alignment horizontal="left" vertical="center" wrapText="1" indent="2"/>
    </xf>
    <xf numFmtId="0" fontId="44" fillId="59" borderId="161" applyNumberFormat="0" applyAlignment="0" applyProtection="0"/>
    <xf numFmtId="0" fontId="31" fillId="38" borderId="166">
      <alignment horizontal="right" vertical="center"/>
    </xf>
    <xf numFmtId="0" fontId="31" fillId="38" borderId="165">
      <alignment horizontal="right" vertical="center"/>
    </xf>
    <xf numFmtId="0" fontId="33" fillId="0" borderId="164" applyNumberFormat="0" applyFill="0" applyAlignment="0" applyProtection="0"/>
    <xf numFmtId="0" fontId="33" fillId="37" borderId="164"/>
    <xf numFmtId="4" fontId="31" fillId="38" borderId="165">
      <alignment horizontal="right" vertical="center"/>
    </xf>
    <xf numFmtId="0" fontId="48" fillId="0" borderId="162" applyNumberFormat="0" applyFill="0" applyAlignment="0" applyProtection="0"/>
    <xf numFmtId="0" fontId="31" fillId="38" borderId="165">
      <alignment horizontal="right" vertical="center"/>
    </xf>
    <xf numFmtId="4" fontId="31" fillId="38" borderId="166">
      <alignment horizontal="right" vertical="center"/>
    </xf>
    <xf numFmtId="4" fontId="33" fillId="0" borderId="164">
      <alignment horizontal="right" vertical="center"/>
    </xf>
    <xf numFmtId="0" fontId="60" fillId="59" borderId="160" applyNumberFormat="0" applyAlignment="0" applyProtection="0"/>
    <xf numFmtId="0" fontId="44" fillId="59" borderId="161" applyNumberFormat="0" applyAlignment="0" applyProtection="0"/>
    <xf numFmtId="0" fontId="47" fillId="46" borderId="161" applyNumberFormat="0" applyAlignment="0" applyProtection="0"/>
    <xf numFmtId="0" fontId="41" fillId="59" borderId="160" applyNumberFormat="0" applyAlignment="0" applyProtection="0"/>
    <xf numFmtId="49" fontId="33" fillId="0" borderId="164" applyNumberFormat="0" applyFont="0" applyFill="0" applyBorder="0" applyProtection="0">
      <alignment horizontal="left" vertical="center" indent="2"/>
    </xf>
    <xf numFmtId="0" fontId="43" fillId="59" borderId="161" applyNumberFormat="0" applyAlignment="0" applyProtection="0"/>
    <xf numFmtId="0" fontId="33" fillId="0" borderId="164">
      <alignment horizontal="right" vertical="center"/>
    </xf>
    <xf numFmtId="0" fontId="33" fillId="37" borderId="177"/>
    <xf numFmtId="0" fontId="1" fillId="31" borderId="0" applyNumberFormat="0" applyBorder="0" applyAlignment="0" applyProtection="0"/>
    <xf numFmtId="0" fontId="38" fillId="62" borderId="195" applyNumberFormat="0" applyFont="0" applyAlignment="0" applyProtection="0"/>
    <xf numFmtId="177" fontId="33" fillId="63" borderId="196" applyNumberFormat="0" applyFont="0" applyBorder="0" applyAlignment="0" applyProtection="0">
      <alignment horizontal="right" vertical="center"/>
    </xf>
    <xf numFmtId="0" fontId="38" fillId="62" borderId="163" applyNumberFormat="0" applyFont="0" applyAlignment="0" applyProtection="0"/>
    <xf numFmtId="0" fontId="31" fillId="38" borderId="164">
      <alignment horizontal="right" vertical="center"/>
    </xf>
    <xf numFmtId="0" fontId="63" fillId="0" borderId="162" applyNumberFormat="0" applyFill="0" applyAlignment="0" applyProtection="0"/>
    <xf numFmtId="4" fontId="35" fillId="36" borderId="172">
      <alignment horizontal="right" vertical="center"/>
    </xf>
    <xf numFmtId="0" fontId="43" fillId="59" borderId="161" applyNumberFormat="0" applyAlignment="0" applyProtection="0"/>
    <xf numFmtId="0" fontId="47" fillId="46" borderId="161" applyNumberFormat="0" applyAlignment="0" applyProtection="0"/>
    <xf numFmtId="49" fontId="33" fillId="0" borderId="165" applyNumberFormat="0" applyFont="0" applyFill="0" applyBorder="0" applyProtection="0">
      <alignment horizontal="left" vertical="center" indent="5"/>
    </xf>
    <xf numFmtId="0" fontId="41" fillId="59" borderId="160" applyNumberFormat="0" applyAlignment="0" applyProtection="0"/>
    <xf numFmtId="4" fontId="31" fillId="38" borderId="166">
      <alignment horizontal="right" vertical="center"/>
    </xf>
    <xf numFmtId="0" fontId="33" fillId="37" borderId="164"/>
    <xf numFmtId="4" fontId="31" fillId="38" borderId="166">
      <alignment horizontal="right" vertical="center"/>
    </xf>
    <xf numFmtId="0" fontId="63" fillId="0" borderId="162" applyNumberFormat="0" applyFill="0" applyAlignment="0" applyProtection="0"/>
    <xf numFmtId="0" fontId="60" fillId="59" borderId="160" applyNumberFormat="0" applyAlignment="0" applyProtection="0"/>
    <xf numFmtId="4" fontId="31" fillId="38" borderId="165">
      <alignment horizontal="right" vertical="center"/>
    </xf>
    <xf numFmtId="0" fontId="33" fillId="0" borderId="188" applyNumberFormat="0" applyFill="0" applyAlignment="0" applyProtection="0"/>
    <xf numFmtId="49" fontId="33" fillId="0" borderId="177" applyNumberFormat="0" applyFont="0" applyFill="0" applyBorder="0" applyProtection="0">
      <alignment horizontal="left" vertical="center" indent="2"/>
    </xf>
    <xf numFmtId="4" fontId="31" fillId="38" borderId="196">
      <alignment horizontal="right" vertical="center"/>
    </xf>
    <xf numFmtId="0" fontId="44" fillId="59" borderId="193" applyNumberFormat="0" applyAlignment="0" applyProtection="0"/>
    <xf numFmtId="0" fontId="41" fillId="59" borderId="192" applyNumberFormat="0" applyAlignment="0" applyProtection="0"/>
    <xf numFmtId="0" fontId="4" fillId="20" borderId="0" applyNumberFormat="0" applyBorder="0" applyAlignment="0" applyProtection="0"/>
    <xf numFmtId="0" fontId="1" fillId="22" borderId="0" applyNumberFormat="0" applyBorder="0" applyAlignment="0" applyProtection="0"/>
    <xf numFmtId="0" fontId="56" fillId="46" borderId="161" applyNumberFormat="0" applyAlignment="0" applyProtection="0"/>
    <xf numFmtId="0" fontId="33" fillId="36" borderId="165">
      <alignment horizontal="left" vertical="center"/>
    </xf>
    <xf numFmtId="0" fontId="19" fillId="62" borderId="195" applyNumberFormat="0" applyFont="0" applyAlignment="0" applyProtection="0"/>
    <xf numFmtId="0" fontId="60" fillId="59" borderId="160" applyNumberFormat="0" applyAlignment="0" applyProtection="0"/>
    <xf numFmtId="0" fontId="56" fillId="46" borderId="185" applyNumberFormat="0" applyAlignment="0" applyProtection="0"/>
    <xf numFmtId="0" fontId="33" fillId="0" borderId="191">
      <alignment horizontal="left" vertical="center" wrapText="1" indent="2"/>
    </xf>
    <xf numFmtId="0" fontId="56" fillId="46" borderId="161" applyNumberFormat="0" applyAlignment="0" applyProtection="0"/>
    <xf numFmtId="0" fontId="31" fillId="38" borderId="196">
      <alignment horizontal="right" vertical="center"/>
    </xf>
    <xf numFmtId="0" fontId="19" fillId="62" borderId="187" applyNumberFormat="0" applyFont="0" applyAlignment="0" applyProtection="0"/>
    <xf numFmtId="0" fontId="60" fillId="59" borderId="168" applyNumberFormat="0" applyAlignment="0" applyProtection="0"/>
    <xf numFmtId="0" fontId="33" fillId="38" borderId="199">
      <alignment horizontal="left" vertical="center" wrapText="1" indent="2"/>
    </xf>
    <xf numFmtId="4" fontId="33" fillId="0" borderId="196" applyFill="0" applyBorder="0" applyProtection="0">
      <alignment horizontal="right" vertical="center"/>
    </xf>
    <xf numFmtId="0" fontId="1" fillId="21" borderId="0" applyNumberFormat="0" applyBorder="0" applyAlignment="0" applyProtection="0"/>
    <xf numFmtId="0" fontId="26" fillId="17" borderId="10" applyNumberFormat="0" applyAlignment="0" applyProtection="0"/>
    <xf numFmtId="4" fontId="33" fillId="37" borderId="212"/>
    <xf numFmtId="0" fontId="31" fillId="38" borderId="196">
      <alignment horizontal="right" vertical="center"/>
    </xf>
    <xf numFmtId="0" fontId="1" fillId="33" borderId="0" applyNumberFormat="0" applyBorder="0" applyAlignment="0" applyProtection="0"/>
    <xf numFmtId="4" fontId="31" fillId="38" borderId="164">
      <alignment horizontal="right" vertical="center"/>
    </xf>
    <xf numFmtId="0" fontId="31" fillId="38" borderId="165">
      <alignment horizontal="right" vertical="center"/>
    </xf>
    <xf numFmtId="4" fontId="31" fillId="38" borderId="165">
      <alignment horizontal="right" vertical="center"/>
    </xf>
    <xf numFmtId="0" fontId="31" fillId="38" borderId="164">
      <alignment horizontal="right" vertical="center"/>
    </xf>
    <xf numFmtId="4" fontId="31" fillId="36" borderId="164">
      <alignment horizontal="right" vertical="center"/>
    </xf>
    <xf numFmtId="0" fontId="35" fillId="36" borderId="164">
      <alignment horizontal="right" vertical="center"/>
    </xf>
    <xf numFmtId="4" fontId="31" fillId="38" borderId="190">
      <alignment horizontal="right" vertical="center"/>
    </xf>
    <xf numFmtId="0" fontId="33" fillId="0" borderId="196">
      <alignment horizontal="right" vertical="center"/>
    </xf>
    <xf numFmtId="4" fontId="31" fillId="38" borderId="198">
      <alignment horizontal="right" vertical="center"/>
    </xf>
    <xf numFmtId="4" fontId="31" fillId="38" borderId="177">
      <alignment horizontal="right" vertical="center"/>
    </xf>
    <xf numFmtId="177" fontId="33" fillId="63" borderId="196" applyNumberFormat="0" applyFont="0" applyBorder="0" applyAlignment="0" applyProtection="0">
      <alignment horizontal="right" vertical="center"/>
    </xf>
    <xf numFmtId="0" fontId="19" fillId="62" borderId="176" applyNumberFormat="0" applyFont="0" applyAlignment="0" applyProtection="0"/>
    <xf numFmtId="0" fontId="4" fillId="20" borderId="0" applyNumberFormat="0" applyBorder="0" applyAlignment="0" applyProtection="0"/>
    <xf numFmtId="0" fontId="38" fillId="62" borderId="163" applyNumberFormat="0" applyFont="0" applyAlignment="0" applyProtection="0"/>
    <xf numFmtId="0" fontId="56" fillId="46" borderId="185" applyNumberFormat="0" applyAlignment="0" applyProtection="0"/>
    <xf numFmtId="0" fontId="44" fillId="59" borderId="193" applyNumberFormat="0" applyAlignment="0" applyProtection="0"/>
    <xf numFmtId="0" fontId="4" fillId="20" borderId="0" applyNumberFormat="0" applyBorder="0" applyAlignment="0" applyProtection="0"/>
    <xf numFmtId="0" fontId="56" fillId="46" borderId="169" applyNumberFormat="0" applyAlignment="0" applyProtection="0"/>
    <xf numFmtId="0" fontId="1" fillId="22" borderId="0" applyNumberFormat="0" applyBorder="0" applyAlignment="0" applyProtection="0"/>
    <xf numFmtId="4" fontId="33" fillId="0" borderId="217" applyFill="0" applyBorder="0" applyProtection="0">
      <alignment horizontal="right" vertical="center"/>
    </xf>
    <xf numFmtId="0" fontId="33" fillId="38" borderId="199">
      <alignment horizontal="left" vertical="center" wrapText="1" indent="2"/>
    </xf>
    <xf numFmtId="0" fontId="38" fillId="62" borderId="195" applyNumberFormat="0" applyFont="0" applyAlignment="0" applyProtection="0"/>
    <xf numFmtId="0" fontId="63" fillId="0" borderId="194" applyNumberFormat="0" applyFill="0" applyAlignment="0" applyProtection="0"/>
    <xf numFmtId="0" fontId="63" fillId="0" borderId="194" applyNumberFormat="0" applyFill="0" applyAlignment="0" applyProtection="0"/>
    <xf numFmtId="0" fontId="33" fillId="0" borderId="196">
      <alignment horizontal="right" vertical="center"/>
    </xf>
    <xf numFmtId="0" fontId="1" fillId="18" borderId="0" applyNumberFormat="0" applyBorder="0" applyAlignment="0" applyProtection="0"/>
    <xf numFmtId="49" fontId="32" fillId="0" borderId="196" applyNumberFormat="0" applyFill="0" applyBorder="0" applyProtection="0">
      <alignment horizontal="left" vertical="center"/>
    </xf>
    <xf numFmtId="0" fontId="1" fillId="18" borderId="0" applyNumberFormat="0" applyBorder="0" applyAlignment="0" applyProtection="0"/>
    <xf numFmtId="4" fontId="33" fillId="0" borderId="196">
      <alignment horizontal="right" vertical="center"/>
    </xf>
    <xf numFmtId="0" fontId="3" fillId="0" borderId="23" applyNumberFormat="0" applyFill="0" applyAlignment="0" applyProtection="0"/>
    <xf numFmtId="0" fontId="56" fillId="46" borderId="200" applyNumberFormat="0" applyAlignment="0" applyProtection="0"/>
    <xf numFmtId="0" fontId="1" fillId="25" borderId="0" applyNumberFormat="0" applyBorder="0" applyAlignment="0" applyProtection="0"/>
    <xf numFmtId="0" fontId="3" fillId="0" borderId="23" applyNumberFormat="0" applyFill="0" applyAlignment="0" applyProtection="0"/>
    <xf numFmtId="0" fontId="60" fillId="59" borderId="192" applyNumberFormat="0" applyAlignment="0" applyProtection="0"/>
    <xf numFmtId="4" fontId="33" fillId="0" borderId="196">
      <alignment horizontal="right" vertical="center"/>
    </xf>
    <xf numFmtId="0" fontId="48" fillId="0" borderId="194" applyNumberFormat="0" applyFill="0" applyAlignment="0" applyProtection="0"/>
    <xf numFmtId="0" fontId="60" fillId="59" borderId="208" applyNumberFormat="0" applyAlignment="0" applyProtection="0"/>
    <xf numFmtId="4" fontId="31" fillId="36" borderId="188">
      <alignment horizontal="right" vertical="center"/>
    </xf>
    <xf numFmtId="0" fontId="4" fillId="20" borderId="0" applyNumberFormat="0" applyBorder="0" applyAlignment="0" applyProtection="0"/>
    <xf numFmtId="0" fontId="38" fillId="62" borderId="163" applyNumberFormat="0" applyFont="0" applyAlignment="0" applyProtection="0"/>
    <xf numFmtId="0" fontId="4" fillId="32" borderId="0" applyNumberFormat="0" applyBorder="0" applyAlignment="0" applyProtection="0"/>
    <xf numFmtId="4" fontId="35" fillId="36" borderId="188">
      <alignment horizontal="right" vertical="center"/>
    </xf>
    <xf numFmtId="0" fontId="19" fillId="62" borderId="163" applyNumberFormat="0" applyFont="0" applyAlignment="0" applyProtection="0"/>
    <xf numFmtId="0" fontId="43" fillId="59" borderId="193" applyNumberFormat="0" applyAlignment="0" applyProtection="0"/>
    <xf numFmtId="49" fontId="33" fillId="0" borderId="196" applyNumberFormat="0" applyFont="0" applyFill="0" applyBorder="0" applyProtection="0">
      <alignment horizontal="left" vertical="center" indent="2"/>
    </xf>
    <xf numFmtId="0" fontId="25" fillId="17" borderId="22" applyNumberFormat="0" applyAlignment="0" applyProtection="0"/>
    <xf numFmtId="0" fontId="4" fillId="35" borderId="0" applyNumberFormat="0" applyBorder="0" applyAlignment="0" applyProtection="0"/>
    <xf numFmtId="0" fontId="63" fillId="0" borderId="194" applyNumberFormat="0" applyFill="0" applyAlignment="0" applyProtection="0"/>
    <xf numFmtId="4" fontId="33" fillId="0" borderId="196">
      <alignment horizontal="right" vertical="center"/>
    </xf>
    <xf numFmtId="0" fontId="33" fillId="0" borderId="215">
      <alignment horizontal="left" vertical="center" wrapText="1" indent="2"/>
    </xf>
    <xf numFmtId="0" fontId="1" fillId="21" borderId="0" applyNumberFormat="0" applyBorder="0" applyAlignment="0" applyProtection="0"/>
    <xf numFmtId="0" fontId="33" fillId="0" borderId="199">
      <alignment horizontal="left" vertical="center" wrapText="1" indent="2"/>
    </xf>
    <xf numFmtId="0" fontId="60" fillId="59" borderId="184" applyNumberFormat="0" applyAlignment="0" applyProtection="0"/>
    <xf numFmtId="0" fontId="1" fillId="21" borderId="0" applyNumberFormat="0" applyBorder="0" applyAlignment="0" applyProtection="0"/>
    <xf numFmtId="0" fontId="56" fillId="46" borderId="193" applyNumberFormat="0" applyAlignment="0" applyProtection="0"/>
    <xf numFmtId="0" fontId="38" fillId="62" borderId="195" applyNumberFormat="0" applyFont="0" applyAlignment="0" applyProtection="0"/>
    <xf numFmtId="0" fontId="33" fillId="0" borderId="167">
      <alignment horizontal="left" vertical="center" wrapText="1" indent="2"/>
    </xf>
    <xf numFmtId="0" fontId="27" fillId="0" borderId="0" applyNumberFormat="0" applyFill="0" applyBorder="0" applyAlignment="0" applyProtection="0"/>
    <xf numFmtId="0" fontId="33" fillId="0" borderId="167">
      <alignment horizontal="left" vertical="center" wrapText="1" indent="2"/>
    </xf>
    <xf numFmtId="0" fontId="44" fillId="59" borderId="161" applyNumberFormat="0" applyAlignment="0" applyProtection="0"/>
    <xf numFmtId="0" fontId="33" fillId="0" borderId="199">
      <alignment horizontal="left" vertical="center" wrapText="1" indent="2"/>
    </xf>
    <xf numFmtId="0" fontId="1" fillId="19" borderId="0" applyNumberFormat="0" applyBorder="0" applyAlignment="0" applyProtection="0"/>
    <xf numFmtId="0" fontId="31" fillId="38" borderId="198">
      <alignment horizontal="right" vertical="center"/>
    </xf>
    <xf numFmtId="0" fontId="28" fillId="0" borderId="0" applyNumberFormat="0" applyFill="0" applyBorder="0" applyAlignment="0" applyProtection="0"/>
    <xf numFmtId="177" fontId="33" fillId="63" borderId="196" applyNumberFormat="0" applyFont="0" applyBorder="0" applyAlignment="0" applyProtection="0">
      <alignment horizontal="right" vertical="center"/>
    </xf>
    <xf numFmtId="0" fontId="44" fillId="59" borderId="193" applyNumberFormat="0" applyAlignment="0" applyProtection="0"/>
    <xf numFmtId="177" fontId="33" fillId="63" borderId="172" applyNumberFormat="0" applyFont="0" applyBorder="0" applyAlignment="0" applyProtection="0">
      <alignment horizontal="right" vertical="center"/>
    </xf>
    <xf numFmtId="0" fontId="38" fillId="62" borderId="163" applyNumberFormat="0" applyFont="0" applyAlignment="0" applyProtection="0"/>
    <xf numFmtId="4" fontId="33" fillId="0" borderId="164" applyFill="0" applyBorder="0" applyProtection="0">
      <alignment horizontal="right" vertical="center"/>
    </xf>
    <xf numFmtId="0" fontId="31" fillId="38" borderId="164">
      <alignment horizontal="right" vertical="center"/>
    </xf>
    <xf numFmtId="0" fontId="56" fillId="46" borderId="161" applyNumberFormat="0" applyAlignment="0" applyProtection="0"/>
    <xf numFmtId="0" fontId="60" fillId="59" borderId="160" applyNumberFormat="0" applyAlignment="0" applyProtection="0"/>
    <xf numFmtId="0" fontId="56" fillId="46" borderId="161" applyNumberFormat="0" applyAlignment="0" applyProtection="0"/>
    <xf numFmtId="0" fontId="4" fillId="26" borderId="0" applyNumberFormat="0" applyBorder="0" applyAlignment="0" applyProtection="0"/>
    <xf numFmtId="0" fontId="33" fillId="0" borderId="164">
      <alignment horizontal="right" vertical="center"/>
    </xf>
    <xf numFmtId="4" fontId="31" fillId="36" borderId="164">
      <alignment horizontal="right" vertical="center"/>
    </xf>
    <xf numFmtId="0" fontId="47" fillId="46" borderId="161" applyNumberFormat="0" applyAlignment="0" applyProtection="0"/>
    <xf numFmtId="0" fontId="33" fillId="38" borderId="175">
      <alignment horizontal="left" vertical="center" wrapText="1" indent="2"/>
    </xf>
    <xf numFmtId="49" fontId="33" fillId="0" borderId="197" applyNumberFormat="0" applyFont="0" applyFill="0" applyBorder="0" applyProtection="0">
      <alignment horizontal="left" vertical="center" indent="5"/>
    </xf>
    <xf numFmtId="4" fontId="33" fillId="0" borderId="188">
      <alignment horizontal="right" vertical="center"/>
    </xf>
    <xf numFmtId="4" fontId="33" fillId="0" borderId="164" applyFill="0" applyBorder="0" applyProtection="0">
      <alignment horizontal="right" vertical="center"/>
    </xf>
    <xf numFmtId="0" fontId="47" fillId="46" borderId="193" applyNumberFormat="0" applyAlignment="0" applyProtection="0"/>
    <xf numFmtId="4" fontId="33" fillId="0" borderId="177">
      <alignment horizontal="right" vertical="center"/>
    </xf>
    <xf numFmtId="0" fontId="38" fillId="62" borderId="195" applyNumberFormat="0" applyFont="0" applyAlignment="0" applyProtection="0"/>
    <xf numFmtId="0" fontId="43" fillId="59" borderId="193" applyNumberFormat="0" applyAlignment="0" applyProtection="0"/>
    <xf numFmtId="0" fontId="41" fillId="59" borderId="160" applyNumberFormat="0" applyAlignment="0" applyProtection="0"/>
    <xf numFmtId="0" fontId="31" fillId="38" borderId="172">
      <alignment horizontal="right" vertical="center"/>
    </xf>
    <xf numFmtId="0" fontId="33" fillId="38" borderId="180">
      <alignment horizontal="left" vertical="center" wrapText="1" indent="2"/>
    </xf>
    <xf numFmtId="0" fontId="43" fillId="59" borderId="161" applyNumberFormat="0" applyAlignment="0" applyProtection="0"/>
    <xf numFmtId="0" fontId="63" fillId="0" borderId="162" applyNumberFormat="0" applyFill="0" applyAlignment="0" applyProtection="0"/>
    <xf numFmtId="49" fontId="32" fillId="0" borderId="164" applyNumberFormat="0" applyFill="0" applyBorder="0" applyProtection="0">
      <alignment horizontal="left" vertical="center"/>
    </xf>
    <xf numFmtId="0" fontId="31" fillId="38" borderId="164">
      <alignment horizontal="right" vertical="center"/>
    </xf>
    <xf numFmtId="4" fontId="31" fillId="36" borderId="164">
      <alignment horizontal="right" vertical="center"/>
    </xf>
    <xf numFmtId="0" fontId="27" fillId="0" borderId="0" applyNumberFormat="0" applyFill="0" applyBorder="0" applyAlignment="0" applyProtection="0"/>
    <xf numFmtId="0" fontId="33" fillId="0" borderId="177" applyNumberFormat="0" applyFill="0" applyAlignment="0" applyProtection="0"/>
    <xf numFmtId="0" fontId="48" fillId="0" borderId="194" applyNumberFormat="0" applyFill="0" applyAlignment="0" applyProtection="0"/>
    <xf numFmtId="0" fontId="47" fillId="46" borderId="193" applyNumberFormat="0" applyAlignment="0" applyProtection="0"/>
    <xf numFmtId="0" fontId="38" fillId="62" borderId="176" applyNumberFormat="0" applyFont="0" applyAlignment="0" applyProtection="0"/>
    <xf numFmtId="4" fontId="31" fillId="38" borderId="164">
      <alignment horizontal="right" vertical="center"/>
    </xf>
    <xf numFmtId="0" fontId="56" fillId="46" borderId="193" applyNumberFormat="0" applyAlignment="0" applyProtection="0"/>
    <xf numFmtId="0" fontId="33" fillId="0" borderId="199">
      <alignment horizontal="left" vertical="center" wrapText="1" indent="2"/>
    </xf>
    <xf numFmtId="0" fontId="1" fillId="30" borderId="0" applyNumberFormat="0" applyBorder="0" applyAlignment="0" applyProtection="0"/>
    <xf numFmtId="4" fontId="31" fillId="38" borderId="203">
      <alignment horizontal="right" vertical="center"/>
    </xf>
    <xf numFmtId="0" fontId="33" fillId="38" borderId="199">
      <alignment horizontal="left" vertical="center" wrapText="1" indent="2"/>
    </xf>
    <xf numFmtId="0" fontId="48" fillId="0" borderId="162" applyNumberFormat="0" applyFill="0" applyAlignment="0" applyProtection="0"/>
    <xf numFmtId="43" fontId="36" fillId="0" borderId="0" applyFont="0" applyFill="0" applyBorder="0" applyAlignment="0" applyProtection="0"/>
    <xf numFmtId="0" fontId="31" fillId="38" borderId="164">
      <alignment horizontal="right" vertical="center"/>
    </xf>
    <xf numFmtId="177" fontId="33" fillId="63" borderId="164" applyNumberFormat="0" applyFont="0" applyBorder="0" applyAlignment="0" applyProtection="0">
      <alignment horizontal="right" vertical="center"/>
    </xf>
    <xf numFmtId="4" fontId="31" fillId="36" borderId="164">
      <alignment horizontal="right" vertical="center"/>
    </xf>
    <xf numFmtId="0" fontId="1" fillId="33" borderId="0" applyNumberFormat="0" applyBorder="0" applyAlignment="0" applyProtection="0"/>
    <xf numFmtId="0" fontId="60" fillId="59" borderId="184" applyNumberFormat="0" applyAlignment="0" applyProtection="0"/>
    <xf numFmtId="0" fontId="38" fillId="62" borderId="163" applyNumberFormat="0" applyFont="0" applyAlignment="0" applyProtection="0"/>
    <xf numFmtId="0" fontId="31" fillId="38" borderId="197">
      <alignment horizontal="right" vertical="center"/>
    </xf>
    <xf numFmtId="49" fontId="33" fillId="0" borderId="172" applyNumberFormat="0" applyFont="0" applyFill="0" applyBorder="0" applyProtection="0">
      <alignment horizontal="left" vertical="center" indent="2"/>
    </xf>
    <xf numFmtId="0" fontId="38" fillId="62" borderId="195" applyNumberFormat="0" applyFont="0" applyAlignment="0" applyProtection="0"/>
    <xf numFmtId="0" fontId="44" fillId="59" borderId="161" applyNumberFormat="0" applyAlignment="0" applyProtection="0"/>
    <xf numFmtId="0" fontId="31" fillId="38" borderId="203">
      <alignment horizontal="right" vertical="center"/>
    </xf>
    <xf numFmtId="49" fontId="33" fillId="0" borderId="189" applyNumberFormat="0" applyFont="0" applyFill="0" applyBorder="0" applyProtection="0">
      <alignment horizontal="left" vertical="center" indent="5"/>
    </xf>
    <xf numFmtId="0" fontId="44" fillId="59" borderId="161" applyNumberFormat="0" applyAlignment="0" applyProtection="0"/>
    <xf numFmtId="0" fontId="56" fillId="46" borderId="193" applyNumberFormat="0" applyAlignment="0" applyProtection="0"/>
    <xf numFmtId="4" fontId="33" fillId="0" borderId="177" applyFill="0" applyBorder="0" applyProtection="0">
      <alignment horizontal="right" vertical="center"/>
    </xf>
    <xf numFmtId="4" fontId="31" fillId="38" borderId="166">
      <alignment horizontal="right" vertical="center"/>
    </xf>
    <xf numFmtId="4" fontId="31" fillId="38" borderId="196">
      <alignment horizontal="right" vertical="center"/>
    </xf>
    <xf numFmtId="0" fontId="33" fillId="37" borderId="217"/>
    <xf numFmtId="0" fontId="31" fillId="38" borderId="196">
      <alignment horizontal="right" vertical="center"/>
    </xf>
    <xf numFmtId="0" fontId="4" fillId="26" borderId="0" applyNumberFormat="0" applyBorder="0" applyAlignment="0" applyProtection="0"/>
    <xf numFmtId="0" fontId="47" fillId="46" borderId="161" applyNumberFormat="0" applyAlignment="0" applyProtection="0"/>
    <xf numFmtId="0" fontId="1" fillId="33" borderId="0" applyNumberFormat="0" applyBorder="0" applyAlignment="0" applyProtection="0"/>
    <xf numFmtId="4" fontId="31" fillId="36" borderId="196">
      <alignment horizontal="right" vertical="center"/>
    </xf>
    <xf numFmtId="4" fontId="31" fillId="38" borderId="196">
      <alignment horizontal="right" vertical="center"/>
    </xf>
    <xf numFmtId="0" fontId="35" fillId="36" borderId="164">
      <alignment horizontal="right" vertical="center"/>
    </xf>
    <xf numFmtId="0" fontId="31" fillId="38" borderId="166">
      <alignment horizontal="right" vertical="center"/>
    </xf>
    <xf numFmtId="0" fontId="56" fillId="46" borderId="161" applyNumberFormat="0" applyAlignment="0" applyProtection="0"/>
    <xf numFmtId="0" fontId="48" fillId="0" borderId="162" applyNumberFormat="0" applyFill="0" applyAlignment="0" applyProtection="0"/>
    <xf numFmtId="177" fontId="33" fillId="63" borderId="212" applyNumberFormat="0" applyFont="0" applyBorder="0" applyAlignment="0" applyProtection="0">
      <alignment horizontal="right" vertical="center"/>
    </xf>
    <xf numFmtId="4" fontId="33" fillId="0" borderId="164">
      <alignment horizontal="right" vertical="center"/>
    </xf>
    <xf numFmtId="49" fontId="33" fillId="0" borderId="165" applyNumberFormat="0" applyFont="0" applyFill="0" applyBorder="0" applyProtection="0">
      <alignment horizontal="left" vertical="center" indent="5"/>
    </xf>
    <xf numFmtId="4" fontId="35" fillId="36" borderId="164">
      <alignment horizontal="right" vertical="center"/>
    </xf>
    <xf numFmtId="0" fontId="31" fillId="38" borderId="166">
      <alignment horizontal="right" vertical="center"/>
    </xf>
    <xf numFmtId="0" fontId="31" fillId="38" borderId="164">
      <alignment horizontal="right" vertical="center"/>
    </xf>
    <xf numFmtId="0" fontId="33" fillId="0" borderId="164">
      <alignment horizontal="right" vertical="center"/>
    </xf>
    <xf numFmtId="0" fontId="33" fillId="36" borderId="165">
      <alignment horizontal="left" vertical="center"/>
    </xf>
    <xf numFmtId="0" fontId="19" fillId="62" borderId="163" applyNumberFormat="0" applyFont="0" applyAlignment="0" applyProtection="0"/>
    <xf numFmtId="0" fontId="33" fillId="38" borderId="167">
      <alignment horizontal="left" vertical="center" wrapText="1" indent="2"/>
    </xf>
    <xf numFmtId="0" fontId="31" fillId="38" borderId="165">
      <alignment horizontal="right" vertical="center"/>
    </xf>
    <xf numFmtId="0" fontId="33" fillId="0" borderId="164">
      <alignment horizontal="right" vertical="center"/>
    </xf>
    <xf numFmtId="0" fontId="31" fillId="38" borderId="177">
      <alignment horizontal="right" vertical="center"/>
    </xf>
    <xf numFmtId="0" fontId="33" fillId="0" borderId="196" applyNumberFormat="0" applyFill="0" applyAlignment="0" applyProtection="0"/>
    <xf numFmtId="4" fontId="31" fillId="38" borderId="173">
      <alignment horizontal="right" vertical="center"/>
    </xf>
    <xf numFmtId="4" fontId="33" fillId="37" borderId="196"/>
    <xf numFmtId="0" fontId="38" fillId="62" borderId="195" applyNumberFormat="0" applyFont="0" applyAlignment="0" applyProtection="0"/>
    <xf numFmtId="4" fontId="33" fillId="0" borderId="172" applyFill="0" applyBorder="0" applyProtection="0">
      <alignment horizontal="right" vertical="center"/>
    </xf>
    <xf numFmtId="0" fontId="63" fillId="0" borderId="162" applyNumberFormat="0" applyFill="0" applyAlignment="0" applyProtection="0"/>
    <xf numFmtId="0" fontId="44" fillId="59" borderId="193" applyNumberFormat="0" applyAlignment="0" applyProtection="0"/>
    <xf numFmtId="0" fontId="63" fillId="0" borderId="194" applyNumberFormat="0" applyFill="0" applyAlignment="0" applyProtection="0"/>
    <xf numFmtId="0" fontId="33" fillId="0" borderId="180">
      <alignment horizontal="left" vertical="center" wrapText="1" indent="2"/>
    </xf>
    <xf numFmtId="0" fontId="4" fillId="35" borderId="0" applyNumberFormat="0" applyBorder="0" applyAlignment="0" applyProtection="0"/>
    <xf numFmtId="0" fontId="4" fillId="35" borderId="0" applyNumberFormat="0" applyBorder="0" applyAlignment="0" applyProtection="0"/>
    <xf numFmtId="4" fontId="31" fillId="38" borderId="179">
      <alignment horizontal="right" vertical="center"/>
    </xf>
    <xf numFmtId="4" fontId="31" fillId="38" borderId="178">
      <alignment horizontal="right" vertical="center"/>
    </xf>
    <xf numFmtId="0" fontId="1" fillId="31" borderId="0" applyNumberFormat="0" applyBorder="0" applyAlignment="0" applyProtection="0"/>
    <xf numFmtId="0" fontId="1" fillId="34" borderId="0" applyNumberFormat="0" applyBorder="0" applyAlignment="0" applyProtection="0"/>
    <xf numFmtId="0" fontId="31" fillId="38" borderId="166">
      <alignment horizontal="right" vertical="center"/>
    </xf>
    <xf numFmtId="0" fontId="41" fillId="59" borderId="160" applyNumberFormat="0" applyAlignment="0" applyProtection="0"/>
    <xf numFmtId="0" fontId="27" fillId="0" borderId="0" applyNumberFormat="0" applyFill="0" applyBorder="0" applyAlignment="0" applyProtection="0"/>
    <xf numFmtId="0" fontId="47" fillId="46" borderId="169" applyNumberFormat="0" applyAlignment="0" applyProtection="0"/>
    <xf numFmtId="0" fontId="33" fillId="36" borderId="165">
      <alignment horizontal="left" vertical="center"/>
    </xf>
    <xf numFmtId="4" fontId="31" fillId="38" borderId="165">
      <alignment horizontal="right" vertical="center"/>
    </xf>
    <xf numFmtId="49" fontId="32" fillId="0" borderId="164" applyNumberFormat="0" applyFill="0" applyBorder="0" applyProtection="0">
      <alignment horizontal="left" vertical="center"/>
    </xf>
    <xf numFmtId="0" fontId="31" fillId="38" borderId="174">
      <alignment horizontal="right" vertical="center"/>
    </xf>
    <xf numFmtId="0" fontId="25" fillId="17" borderId="22" applyNumberFormat="0" applyAlignment="0" applyProtection="0"/>
    <xf numFmtId="0" fontId="1" fillId="24" borderId="0" applyNumberFormat="0" applyBorder="0" applyAlignment="0" applyProtection="0"/>
    <xf numFmtId="0" fontId="56" fillId="46" borderId="161" applyNumberFormat="0" applyAlignment="0" applyProtection="0"/>
    <xf numFmtId="0" fontId="4" fillId="29" borderId="0" applyNumberFormat="0" applyBorder="0" applyAlignment="0" applyProtection="0"/>
    <xf numFmtId="0" fontId="38" fillId="62" borderId="163" applyNumberFormat="0" applyFont="0" applyAlignment="0" applyProtection="0"/>
    <xf numFmtId="177" fontId="33" fillId="63" borderId="164" applyNumberFormat="0" applyFont="0" applyBorder="0" applyAlignment="0" applyProtection="0">
      <alignment horizontal="right" vertical="center"/>
    </xf>
    <xf numFmtId="49" fontId="33" fillId="0" borderId="164" applyNumberFormat="0" applyFont="0" applyFill="0" applyBorder="0" applyProtection="0">
      <alignment horizontal="left" vertical="center" indent="2"/>
    </xf>
    <xf numFmtId="0" fontId="41" fillId="59" borderId="160" applyNumberFormat="0" applyAlignment="0" applyProtection="0"/>
    <xf numFmtId="49" fontId="32" fillId="0" borderId="164" applyNumberFormat="0" applyFill="0" applyBorder="0" applyProtection="0">
      <alignment horizontal="left" vertical="center"/>
    </xf>
    <xf numFmtId="0" fontId="33" fillId="0" borderId="199">
      <alignment horizontal="left" vertical="center" wrapText="1" indent="2"/>
    </xf>
    <xf numFmtId="0" fontId="60" fillId="59" borderId="192" applyNumberFormat="0" applyAlignment="0" applyProtection="0"/>
    <xf numFmtId="0" fontId="33" fillId="36" borderId="165">
      <alignment horizontal="left" vertical="center"/>
    </xf>
    <xf numFmtId="0" fontId="47" fillId="46" borderId="161" applyNumberFormat="0" applyAlignment="0" applyProtection="0"/>
    <xf numFmtId="0" fontId="63" fillId="0" borderId="170" applyNumberFormat="0" applyFill="0" applyAlignment="0" applyProtection="0"/>
    <xf numFmtId="0" fontId="31" fillId="38" borderId="196">
      <alignment horizontal="right" vertical="center"/>
    </xf>
    <xf numFmtId="0" fontId="48" fillId="0" borderId="194" applyNumberFormat="0" applyFill="0" applyAlignment="0" applyProtection="0"/>
    <xf numFmtId="0" fontId="28" fillId="0" borderId="0" applyNumberFormat="0" applyFill="0" applyBorder="0" applyAlignment="0" applyProtection="0"/>
    <xf numFmtId="0" fontId="4" fillId="29" borderId="0" applyNumberFormat="0" applyBorder="0" applyAlignment="0" applyProtection="0"/>
    <xf numFmtId="0" fontId="44" fillId="59" borderId="185" applyNumberFormat="0" applyAlignment="0" applyProtection="0"/>
    <xf numFmtId="49" fontId="33" fillId="0" borderId="164" applyNumberFormat="0" applyFont="0" applyFill="0" applyBorder="0" applyProtection="0">
      <alignment horizontal="left" vertical="center" indent="2"/>
    </xf>
    <xf numFmtId="0" fontId="63" fillId="0" borderId="162" applyNumberFormat="0" applyFill="0" applyAlignment="0" applyProtection="0"/>
    <xf numFmtId="4" fontId="31" fillId="38" borderId="164">
      <alignment horizontal="right" vertical="center"/>
    </xf>
    <xf numFmtId="0" fontId="56" fillId="46" borderId="161" applyNumberFormat="0" applyAlignment="0" applyProtection="0"/>
    <xf numFmtId="0" fontId="33" fillId="38" borderId="167">
      <alignment horizontal="left" vertical="center" wrapText="1" indent="2"/>
    </xf>
    <xf numFmtId="0" fontId="43" fillId="59" borderId="161" applyNumberFormat="0" applyAlignment="0" applyProtection="0"/>
    <xf numFmtId="0" fontId="33" fillId="0" borderId="175">
      <alignment horizontal="left" vertical="center" wrapText="1" indent="2"/>
    </xf>
    <xf numFmtId="0" fontId="60" fillId="59" borderId="160" applyNumberFormat="0" applyAlignment="0" applyProtection="0"/>
    <xf numFmtId="0" fontId="44" fillId="59" borderId="193" applyNumberFormat="0" applyAlignment="0" applyProtection="0"/>
    <xf numFmtId="49" fontId="33" fillId="0" borderId="165" applyNumberFormat="0" applyFont="0" applyFill="0" applyBorder="0" applyProtection="0">
      <alignment horizontal="left" vertical="center" indent="5"/>
    </xf>
    <xf numFmtId="0" fontId="4" fillId="23" borderId="0" applyNumberFormat="0" applyBorder="0" applyAlignment="0" applyProtection="0"/>
    <xf numFmtId="0" fontId="60" fillId="59" borderId="192" applyNumberFormat="0" applyAlignment="0" applyProtection="0"/>
    <xf numFmtId="49" fontId="32" fillId="0" borderId="196" applyNumberFormat="0" applyFill="0" applyBorder="0" applyProtection="0">
      <alignment horizontal="left" vertical="center"/>
    </xf>
    <xf numFmtId="0" fontId="31" fillId="38" borderId="197">
      <alignment horizontal="right" vertical="center"/>
    </xf>
    <xf numFmtId="0" fontId="63" fillId="0" borderId="194" applyNumberFormat="0" applyFill="0" applyAlignment="0" applyProtection="0"/>
    <xf numFmtId="0" fontId="35" fillId="36" borderId="164">
      <alignment horizontal="right" vertical="center"/>
    </xf>
    <xf numFmtId="0" fontId="1" fillId="24" borderId="0" applyNumberFormat="0" applyBorder="0" applyAlignment="0" applyProtection="0"/>
    <xf numFmtId="0" fontId="63" fillId="0" borderId="194" applyNumberFormat="0" applyFill="0" applyAlignment="0" applyProtection="0"/>
    <xf numFmtId="0" fontId="60" fillId="59" borderId="192" applyNumberFormat="0" applyAlignment="0" applyProtection="0"/>
    <xf numFmtId="0" fontId="33" fillId="0" borderId="175">
      <alignment horizontal="left" vertical="center" wrapText="1" indent="2"/>
    </xf>
    <xf numFmtId="0" fontId="1" fillId="22" borderId="0" applyNumberFormat="0" applyBorder="0" applyAlignment="0" applyProtection="0"/>
    <xf numFmtId="0" fontId="4" fillId="32" borderId="0" applyNumberFormat="0" applyBorder="0" applyAlignment="0" applyProtection="0"/>
    <xf numFmtId="0" fontId="1" fillId="27" borderId="0" applyNumberFormat="0" applyBorder="0" applyAlignment="0" applyProtection="0"/>
    <xf numFmtId="0" fontId="44" fillId="59" borderId="200" applyNumberFormat="0" applyAlignment="0" applyProtection="0"/>
    <xf numFmtId="0" fontId="4" fillId="29" borderId="0" applyNumberFormat="0" applyBorder="0" applyAlignment="0" applyProtection="0"/>
    <xf numFmtId="0" fontId="4" fillId="23" borderId="0" applyNumberFormat="0" applyBorder="0" applyAlignment="0" applyProtection="0"/>
    <xf numFmtId="49" fontId="32" fillId="0" borderId="196" applyNumberFormat="0" applyFill="0" applyBorder="0" applyProtection="0">
      <alignment horizontal="left" vertical="center"/>
    </xf>
    <xf numFmtId="0" fontId="33" fillId="0" borderId="164" applyNumberFormat="0" applyFill="0" applyAlignment="0" applyProtection="0"/>
    <xf numFmtId="0" fontId="56" fillId="46" borderId="161" applyNumberFormat="0" applyAlignment="0" applyProtection="0"/>
    <xf numFmtId="0" fontId="47" fillId="46" borderId="161" applyNumberFormat="0" applyAlignment="0" applyProtection="0"/>
    <xf numFmtId="0" fontId="63" fillId="0" borderId="162" applyNumberFormat="0" applyFill="0" applyAlignment="0" applyProtection="0"/>
    <xf numFmtId="0" fontId="31" fillId="36" borderId="172">
      <alignment horizontal="right" vertical="center"/>
    </xf>
    <xf numFmtId="43" fontId="36" fillId="0" borderId="0" applyFont="0" applyFill="0" applyBorder="0" applyAlignment="0" applyProtection="0"/>
    <xf numFmtId="0" fontId="33" fillId="38" borderId="167">
      <alignment horizontal="left" vertical="center" wrapText="1" indent="2"/>
    </xf>
    <xf numFmtId="0" fontId="4" fillId="35" borderId="0" applyNumberFormat="0" applyBorder="0" applyAlignment="0" applyProtection="0"/>
    <xf numFmtId="49" fontId="33" fillId="0" borderId="164" applyNumberFormat="0" applyFont="0" applyFill="0" applyBorder="0" applyProtection="0">
      <alignment horizontal="left" vertical="center" indent="2"/>
    </xf>
    <xf numFmtId="0" fontId="56" fillId="46" borderId="161" applyNumberFormat="0" applyAlignment="0" applyProtection="0"/>
    <xf numFmtId="0" fontId="33" fillId="0" borderId="164" applyNumberFormat="0" applyFill="0" applyAlignment="0" applyProtection="0"/>
    <xf numFmtId="0" fontId="33" fillId="36" borderId="165">
      <alignment horizontal="left" vertical="center"/>
    </xf>
    <xf numFmtId="0" fontId="43" fillId="59" borderId="161" applyNumberFormat="0" applyAlignment="0" applyProtection="0"/>
    <xf numFmtId="4" fontId="31" fillId="38" borderId="166">
      <alignment horizontal="right" vertical="center"/>
    </xf>
    <xf numFmtId="0" fontId="38" fillId="62" borderId="163" applyNumberFormat="0" applyFont="0" applyAlignment="0" applyProtection="0"/>
    <xf numFmtId="0" fontId="63" fillId="0" borderId="170" applyNumberFormat="0" applyFill="0" applyAlignment="0" applyProtection="0"/>
    <xf numFmtId="0" fontId="33" fillId="0" borderId="167">
      <alignment horizontal="left" vertical="center" wrapText="1" indent="2"/>
    </xf>
    <xf numFmtId="4" fontId="31" fillId="36" borderId="164">
      <alignment horizontal="right" vertical="center"/>
    </xf>
    <xf numFmtId="177" fontId="33" fillId="63" borderId="164" applyNumberFormat="0" applyFont="0" applyBorder="0" applyAlignment="0" applyProtection="0">
      <alignment horizontal="right" vertical="center"/>
    </xf>
    <xf numFmtId="0" fontId="31" fillId="38" borderId="166">
      <alignment horizontal="right" vertical="center"/>
    </xf>
    <xf numFmtId="0" fontId="31" fillId="38" borderId="165">
      <alignment horizontal="right" vertical="center"/>
    </xf>
    <xf numFmtId="0" fontId="33" fillId="0" borderId="164" applyNumberFormat="0" applyFill="0" applyAlignment="0" applyProtection="0"/>
    <xf numFmtId="4" fontId="31" fillId="36" borderId="172">
      <alignment horizontal="right" vertical="center"/>
    </xf>
    <xf numFmtId="4" fontId="31" fillId="38" borderId="197">
      <alignment horizontal="right" vertical="center"/>
    </xf>
    <xf numFmtId="4" fontId="31" fillId="36" borderId="196">
      <alignment horizontal="right" vertical="center"/>
    </xf>
    <xf numFmtId="0" fontId="31" fillId="38" borderId="172">
      <alignment horizontal="right" vertical="center"/>
    </xf>
    <xf numFmtId="0" fontId="33" fillId="0" borderId="196" applyNumberFormat="0" applyFill="0" applyAlignment="0" applyProtection="0"/>
    <xf numFmtId="49" fontId="33" fillId="0" borderId="178" applyNumberFormat="0" applyFont="0" applyFill="0" applyBorder="0" applyProtection="0">
      <alignment horizontal="left" vertical="center" indent="5"/>
    </xf>
    <xf numFmtId="0" fontId="1" fillId="19" borderId="0" applyNumberFormat="0" applyBorder="0" applyAlignment="0" applyProtection="0"/>
    <xf numFmtId="4" fontId="31" fillId="38" borderId="197">
      <alignment horizontal="right" vertical="center"/>
    </xf>
    <xf numFmtId="0" fontId="31" fillId="36" borderId="177">
      <alignment horizontal="right" vertical="center"/>
    </xf>
    <xf numFmtId="49" fontId="32" fillId="0" borderId="164" applyNumberFormat="0" applyFill="0" applyBorder="0" applyProtection="0">
      <alignment horizontal="left" vertical="center"/>
    </xf>
    <xf numFmtId="0" fontId="38" fillId="62" borderId="163" applyNumberFormat="0" applyFont="0" applyAlignment="0" applyProtection="0"/>
    <xf numFmtId="0" fontId="43" fillId="59" borderId="161" applyNumberFormat="0" applyAlignment="0" applyProtection="0"/>
    <xf numFmtId="0" fontId="1" fillId="18" borderId="0" applyNumberFormat="0" applyBorder="0" applyAlignment="0" applyProtection="0"/>
    <xf numFmtId="4" fontId="33" fillId="0" borderId="188" applyFill="0" applyBorder="0" applyProtection="0">
      <alignment horizontal="right" vertical="center"/>
    </xf>
    <xf numFmtId="0" fontId="1" fillId="18" borderId="0" applyNumberFormat="0" applyBorder="0" applyAlignment="0" applyProtection="0"/>
    <xf numFmtId="0" fontId="26" fillId="17" borderId="10" applyNumberFormat="0" applyAlignment="0" applyProtection="0"/>
    <xf numFmtId="0" fontId="48" fillId="0" borderId="194" applyNumberFormat="0" applyFill="0" applyAlignment="0" applyProtection="0"/>
    <xf numFmtId="0" fontId="1" fillId="18" borderId="0" applyNumberFormat="0" applyBorder="0" applyAlignment="0" applyProtection="0"/>
    <xf numFmtId="0" fontId="43" fillId="59" borderId="193" applyNumberFormat="0" applyAlignment="0" applyProtection="0"/>
    <xf numFmtId="0" fontId="60" fillId="59" borderId="168" applyNumberFormat="0" applyAlignment="0" applyProtection="0"/>
    <xf numFmtId="0" fontId="48" fillId="0" borderId="162" applyNumberFormat="0" applyFill="0" applyAlignment="0" applyProtection="0"/>
    <xf numFmtId="49" fontId="33" fillId="0" borderId="164" applyNumberFormat="0" applyFont="0" applyFill="0" applyBorder="0" applyProtection="0">
      <alignment horizontal="left" vertical="center" indent="2"/>
    </xf>
    <xf numFmtId="4" fontId="31" fillId="38" borderId="164">
      <alignment horizontal="right" vertical="center"/>
    </xf>
    <xf numFmtId="0" fontId="60" fillId="59" borderId="160" applyNumberFormat="0" applyAlignment="0" applyProtection="0"/>
    <xf numFmtId="0" fontId="19" fillId="62" borderId="163" applyNumberFormat="0" applyFont="0" applyAlignment="0" applyProtection="0"/>
    <xf numFmtId="0" fontId="56" fillId="46" borderId="161" applyNumberFormat="0" applyAlignment="0" applyProtection="0"/>
    <xf numFmtId="0" fontId="1" fillId="31" borderId="0" applyNumberFormat="0" applyBorder="0" applyAlignment="0" applyProtection="0"/>
    <xf numFmtId="4" fontId="33" fillId="0" borderId="164">
      <alignment horizontal="right" vertical="center"/>
    </xf>
    <xf numFmtId="4" fontId="33" fillId="0" borderId="164" applyFill="0" applyBorder="0" applyProtection="0">
      <alignment horizontal="right" vertical="center"/>
    </xf>
    <xf numFmtId="4" fontId="31" fillId="38" borderId="212">
      <alignment horizontal="right" vertical="center"/>
    </xf>
    <xf numFmtId="0" fontId="44" fillId="59" borderId="161" applyNumberFormat="0" applyAlignment="0" applyProtection="0"/>
    <xf numFmtId="0" fontId="4" fillId="35" borderId="0" applyNumberFormat="0" applyBorder="0" applyAlignment="0" applyProtection="0"/>
    <xf numFmtId="0" fontId="31" fillId="38" borderId="203">
      <alignment horizontal="right" vertical="center"/>
    </xf>
    <xf numFmtId="0" fontId="47" fillId="46" borderId="161" applyNumberFormat="0" applyAlignment="0" applyProtection="0"/>
    <xf numFmtId="49" fontId="32" fillId="0" borderId="217" applyNumberFormat="0" applyFill="0" applyBorder="0" applyProtection="0">
      <alignment horizontal="left" vertical="center"/>
    </xf>
    <xf numFmtId="0" fontId="33" fillId="38" borderId="206">
      <alignment horizontal="left" vertical="center" wrapText="1" indent="2"/>
    </xf>
    <xf numFmtId="0" fontId="1" fillId="31" borderId="0" applyNumberFormat="0" applyBorder="0" applyAlignment="0" applyProtection="0"/>
    <xf numFmtId="0" fontId="56" fillId="46" borderId="161" applyNumberFormat="0" applyAlignment="0" applyProtection="0"/>
    <xf numFmtId="177" fontId="33" fillId="63" borderId="177" applyNumberFormat="0" applyFont="0" applyBorder="0" applyAlignment="0" applyProtection="0">
      <alignment horizontal="right" vertical="center"/>
    </xf>
    <xf numFmtId="0" fontId="1" fillId="27" borderId="0" applyNumberFormat="0" applyBorder="0" applyAlignment="0" applyProtection="0"/>
    <xf numFmtId="0" fontId="33" fillId="37" borderId="164"/>
    <xf numFmtId="0" fontId="60" fillId="59" borderId="160" applyNumberFormat="0" applyAlignment="0" applyProtection="0"/>
    <xf numFmtId="0" fontId="48" fillId="0" borderId="162" applyNumberFormat="0" applyFill="0" applyAlignment="0" applyProtection="0"/>
    <xf numFmtId="4" fontId="35" fillId="36" borderId="164">
      <alignment horizontal="right" vertical="center"/>
    </xf>
    <xf numFmtId="0" fontId="35" fillId="36" borderId="164">
      <alignment horizontal="right" vertical="center"/>
    </xf>
    <xf numFmtId="0" fontId="19" fillId="62" borderId="216" applyNumberFormat="0" applyFont="0" applyAlignment="0" applyProtection="0"/>
    <xf numFmtId="0" fontId="25" fillId="17" borderId="22" applyNumberFormat="0" applyAlignment="0" applyProtection="0"/>
    <xf numFmtId="0" fontId="31" fillId="38" borderId="196">
      <alignment horizontal="right" vertical="center"/>
    </xf>
    <xf numFmtId="4" fontId="35" fillId="36" borderId="196">
      <alignment horizontal="right" vertical="center"/>
    </xf>
    <xf numFmtId="4" fontId="35" fillId="36" borderId="196">
      <alignment horizontal="right" vertical="center"/>
    </xf>
    <xf numFmtId="0" fontId="33" fillId="0" borderId="167">
      <alignment horizontal="left" vertical="center" wrapText="1" indent="2"/>
    </xf>
    <xf numFmtId="0" fontId="63" fillId="0" borderId="186" applyNumberFormat="0" applyFill="0" applyAlignment="0" applyProtection="0"/>
    <xf numFmtId="0" fontId="33" fillId="0" borderId="188">
      <alignment horizontal="right" vertical="center"/>
    </xf>
    <xf numFmtId="0" fontId="31" fillId="38" borderId="178">
      <alignment horizontal="right" vertical="center"/>
    </xf>
    <xf numFmtId="0" fontId="33" fillId="0" borderId="196" applyNumberFormat="0" applyFill="0" applyAlignment="0" applyProtection="0"/>
    <xf numFmtId="0" fontId="33" fillId="0" borderId="164" applyNumberFormat="0" applyFill="0" applyAlignment="0" applyProtection="0"/>
    <xf numFmtId="0" fontId="33" fillId="38" borderId="220">
      <alignment horizontal="left" vertical="center" wrapText="1" indent="2"/>
    </xf>
    <xf numFmtId="4" fontId="33" fillId="37" borderId="164"/>
    <xf numFmtId="0" fontId="56" fillId="46" borderId="161" applyNumberFormat="0" applyAlignment="0" applyProtection="0"/>
    <xf numFmtId="4" fontId="33" fillId="0" borderId="164" applyFill="0" applyBorder="0" applyProtection="0">
      <alignment horizontal="right" vertical="center"/>
    </xf>
    <xf numFmtId="0" fontId="1" fillId="21" borderId="0" applyNumberFormat="0" applyBorder="0" applyAlignment="0" applyProtection="0"/>
    <xf numFmtId="0" fontId="48" fillId="0" borderId="162" applyNumberFormat="0" applyFill="0" applyAlignment="0" applyProtection="0"/>
    <xf numFmtId="4" fontId="33" fillId="37" borderId="172"/>
    <xf numFmtId="0" fontId="56" fillId="46" borderId="161" applyNumberFormat="0" applyAlignment="0" applyProtection="0"/>
    <xf numFmtId="0" fontId="4" fillId="20" borderId="0" applyNumberFormat="0" applyBorder="0" applyAlignment="0" applyProtection="0"/>
    <xf numFmtId="0" fontId="33" fillId="36" borderId="197">
      <alignment horizontal="left" vertical="center"/>
    </xf>
    <xf numFmtId="0" fontId="28" fillId="0" borderId="0" applyNumberFormat="0" applyFill="0" applyBorder="0" applyAlignment="0" applyProtection="0"/>
    <xf numFmtId="4" fontId="33" fillId="0" borderId="196" applyFill="0" applyBorder="0" applyProtection="0">
      <alignment horizontal="right" vertical="center"/>
    </xf>
    <xf numFmtId="0" fontId="1" fillId="33" borderId="0" applyNumberFormat="0" applyBorder="0" applyAlignment="0" applyProtection="0"/>
    <xf numFmtId="0" fontId="33" fillId="38" borderId="167">
      <alignment horizontal="left" vertical="center" wrapText="1" indent="2"/>
    </xf>
    <xf numFmtId="0" fontId="63" fillId="0" borderId="162" applyNumberFormat="0" applyFill="0" applyAlignment="0" applyProtection="0"/>
    <xf numFmtId="0" fontId="35" fillId="36" borderId="188">
      <alignment horizontal="right" vertical="center"/>
    </xf>
    <xf numFmtId="4" fontId="33" fillId="37" borderId="196"/>
    <xf numFmtId="0" fontId="31" fillId="38" borderId="188">
      <alignment horizontal="right" vertical="center"/>
    </xf>
    <xf numFmtId="0" fontId="1" fillId="25" borderId="0" applyNumberFormat="0" applyBorder="0" applyAlignment="0" applyProtection="0"/>
    <xf numFmtId="4" fontId="31" fillId="38" borderId="196">
      <alignment horizontal="right" vertical="center"/>
    </xf>
    <xf numFmtId="0" fontId="63" fillId="0" borderId="162" applyNumberFormat="0" applyFill="0" applyAlignment="0" applyProtection="0"/>
    <xf numFmtId="0" fontId="48" fillId="0" borderId="194" applyNumberFormat="0" applyFill="0" applyAlignment="0" applyProtection="0"/>
    <xf numFmtId="0" fontId="56" fillId="46" borderId="193" applyNumberFormat="0" applyAlignment="0" applyProtection="0"/>
    <xf numFmtId="4" fontId="31" fillId="36" borderId="164">
      <alignment horizontal="right" vertical="center"/>
    </xf>
    <xf numFmtId="4" fontId="31" fillId="38" borderId="165">
      <alignment horizontal="right" vertical="center"/>
    </xf>
    <xf numFmtId="0" fontId="4" fillId="35" borderId="0" applyNumberFormat="0" applyBorder="0" applyAlignment="0" applyProtection="0"/>
    <xf numFmtId="0" fontId="47" fillId="46" borderId="161" applyNumberFormat="0" applyAlignment="0" applyProtection="0"/>
    <xf numFmtId="0" fontId="63" fillId="0" borderId="162" applyNumberFormat="0" applyFill="0" applyAlignment="0" applyProtection="0"/>
    <xf numFmtId="0" fontId="44" fillId="59" borderId="161" applyNumberFormat="0" applyAlignment="0" applyProtection="0"/>
    <xf numFmtId="4" fontId="31" fillId="38" borderId="164">
      <alignment horizontal="right" vertical="center"/>
    </xf>
    <xf numFmtId="0" fontId="44" fillId="59" borderId="161" applyNumberFormat="0" applyAlignment="0" applyProtection="0"/>
    <xf numFmtId="0" fontId="60" fillId="59" borderId="160" applyNumberFormat="0" applyAlignment="0" applyProtection="0"/>
    <xf numFmtId="4" fontId="31" fillId="38" borderId="164">
      <alignment horizontal="right" vertical="center"/>
    </xf>
    <xf numFmtId="0" fontId="56" fillId="46" borderId="161" applyNumberFormat="0" applyAlignment="0" applyProtection="0"/>
    <xf numFmtId="49" fontId="33" fillId="0" borderId="165" applyNumberFormat="0" applyFont="0" applyFill="0" applyBorder="0" applyProtection="0">
      <alignment horizontal="left" vertical="center" indent="5"/>
    </xf>
    <xf numFmtId="0" fontId="31" fillId="38" borderId="164">
      <alignment horizontal="right" vertical="center"/>
    </xf>
    <xf numFmtId="49" fontId="32" fillId="0" borderId="164" applyNumberFormat="0" applyFill="0" applyBorder="0" applyProtection="0">
      <alignment horizontal="left" vertical="center"/>
    </xf>
    <xf numFmtId="0" fontId="43" fillId="59" borderId="161" applyNumberFormat="0" applyAlignment="0" applyProtection="0"/>
    <xf numFmtId="0" fontId="31" fillId="36" borderId="164">
      <alignment horizontal="right" vertical="center"/>
    </xf>
    <xf numFmtId="43" fontId="36" fillId="0" borderId="0" applyFont="0" applyFill="0" applyBorder="0" applyAlignment="0" applyProtection="0"/>
    <xf numFmtId="0" fontId="38" fillId="62" borderId="187" applyNumberFormat="0" applyFont="0" applyAlignment="0" applyProtection="0"/>
    <xf numFmtId="0" fontId="4" fillId="32" borderId="0" applyNumberFormat="0" applyBorder="0" applyAlignment="0" applyProtection="0"/>
    <xf numFmtId="0" fontId="31" fillId="38" borderId="179">
      <alignment horizontal="right" vertical="center"/>
    </xf>
    <xf numFmtId="0" fontId="33" fillId="36" borderId="178">
      <alignment horizontal="left" vertical="center"/>
    </xf>
    <xf numFmtId="0" fontId="44" fillId="59" borderId="161" applyNumberFormat="0" applyAlignment="0" applyProtection="0"/>
    <xf numFmtId="0" fontId="3" fillId="0" borderId="23" applyNumberFormat="0" applyFill="0" applyAlignment="0" applyProtection="0"/>
    <xf numFmtId="4" fontId="31" fillId="38" borderId="198">
      <alignment horizontal="right" vertical="center"/>
    </xf>
    <xf numFmtId="0" fontId="31" fillId="36" borderId="188">
      <alignment horizontal="right" vertical="center"/>
    </xf>
    <xf numFmtId="0" fontId="1" fillId="34" borderId="0" applyNumberFormat="0" applyBorder="0" applyAlignment="0" applyProtection="0"/>
    <xf numFmtId="0" fontId="1" fillId="19" borderId="0" applyNumberFormat="0" applyBorder="0" applyAlignment="0" applyProtection="0"/>
    <xf numFmtId="4" fontId="31" fillId="36" borderId="177">
      <alignment horizontal="right" vertical="center"/>
    </xf>
    <xf numFmtId="0" fontId="33" fillId="38" borderId="215">
      <alignment horizontal="left" vertical="center" wrapText="1" indent="2"/>
    </xf>
    <xf numFmtId="0" fontId="41" fillId="59" borderId="160" applyNumberFormat="0" applyAlignment="0" applyProtection="0"/>
    <xf numFmtId="0" fontId="33" fillId="0" borderId="167">
      <alignment horizontal="left" vertical="center" wrapText="1" indent="2"/>
    </xf>
    <xf numFmtId="0" fontId="33" fillId="38" borderId="199">
      <alignment horizontal="left" vertical="center" wrapText="1" indent="2"/>
    </xf>
    <xf numFmtId="4" fontId="35" fillId="36" borderId="203">
      <alignment horizontal="right" vertical="center"/>
    </xf>
    <xf numFmtId="49" fontId="33" fillId="0" borderId="165" applyNumberFormat="0" applyFont="0" applyFill="0" applyBorder="0" applyProtection="0">
      <alignment horizontal="left" vertical="center" indent="5"/>
    </xf>
    <xf numFmtId="0" fontId="44" fillId="59" borderId="161" applyNumberFormat="0" applyAlignment="0" applyProtection="0"/>
    <xf numFmtId="0" fontId="48" fillId="0" borderId="162" applyNumberFormat="0" applyFill="0" applyAlignment="0" applyProtection="0"/>
    <xf numFmtId="43" fontId="36" fillId="0" borderId="0" applyFont="0" applyFill="0" applyBorder="0" applyAlignment="0" applyProtection="0"/>
    <xf numFmtId="0" fontId="31" fillId="36" borderId="196">
      <alignment horizontal="right" vertical="center"/>
    </xf>
    <xf numFmtId="0" fontId="56" fillId="46" borderId="193" applyNumberFormat="0" applyAlignment="0" applyProtection="0"/>
    <xf numFmtId="0" fontId="38" fillId="62" borderId="163" applyNumberFormat="0" applyFont="0" applyAlignment="0" applyProtection="0"/>
    <xf numFmtId="4" fontId="31" fillId="38" borderId="196">
      <alignment horizontal="right" vertical="center"/>
    </xf>
    <xf numFmtId="0" fontId="33" fillId="0" borderId="167">
      <alignment horizontal="left" vertical="center" wrapText="1" indent="2"/>
    </xf>
    <xf numFmtId="0" fontId="60" fillId="59" borderId="160" applyNumberFormat="0" applyAlignment="0" applyProtection="0"/>
    <xf numFmtId="0" fontId="48" fillId="0" borderId="162" applyNumberFormat="0" applyFill="0" applyAlignment="0" applyProtection="0"/>
    <xf numFmtId="0" fontId="56" fillId="46" borderId="161" applyNumberFormat="0" applyAlignment="0" applyProtection="0"/>
    <xf numFmtId="4" fontId="33" fillId="37" borderId="164"/>
    <xf numFmtId="0" fontId="33" fillId="38" borderId="199">
      <alignment horizontal="left" vertical="center" wrapText="1" indent="2"/>
    </xf>
    <xf numFmtId="0" fontId="27" fillId="0" borderId="0" applyNumberFormat="0" applyFill="0" applyBorder="0" applyAlignment="0" applyProtection="0"/>
    <xf numFmtId="0" fontId="33" fillId="0" borderId="167">
      <alignment horizontal="left" vertical="center" wrapText="1" indent="2"/>
    </xf>
    <xf numFmtId="0" fontId="35" fillId="36" borderId="164">
      <alignment horizontal="right" vertical="center"/>
    </xf>
    <xf numFmtId="0" fontId="47" fillId="46" borderId="193" applyNumberFormat="0" applyAlignment="0" applyProtection="0"/>
    <xf numFmtId="0" fontId="35" fillId="36" borderId="196">
      <alignment horizontal="right" vertical="center"/>
    </xf>
    <xf numFmtId="0" fontId="56" fillId="46" borderId="193" applyNumberFormat="0" applyAlignment="0" applyProtection="0"/>
    <xf numFmtId="4" fontId="33" fillId="0" borderId="177" applyFill="0" applyBorder="0" applyProtection="0">
      <alignment horizontal="right" vertical="center"/>
    </xf>
    <xf numFmtId="4" fontId="33" fillId="0" borderId="196" applyFill="0" applyBorder="0" applyProtection="0">
      <alignment horizontal="right" vertical="center"/>
    </xf>
    <xf numFmtId="0" fontId="1" fillId="28" borderId="0" applyNumberFormat="0" applyBorder="0" applyAlignment="0" applyProtection="0"/>
    <xf numFmtId="49" fontId="32" fillId="0" borderId="172" applyNumberFormat="0" applyFill="0" applyBorder="0" applyProtection="0">
      <alignment horizontal="left" vertical="center"/>
    </xf>
    <xf numFmtId="0" fontId="3" fillId="0" borderId="23" applyNumberFormat="0" applyFill="0" applyAlignment="0" applyProtection="0"/>
    <xf numFmtId="0" fontId="31" fillId="36" borderId="164">
      <alignment horizontal="right" vertical="center"/>
    </xf>
    <xf numFmtId="0" fontId="48" fillId="0" borderId="162" applyNumberFormat="0" applyFill="0" applyAlignment="0" applyProtection="0"/>
    <xf numFmtId="4" fontId="33" fillId="37" borderId="164"/>
    <xf numFmtId="0" fontId="44" fillId="59" borderId="161" applyNumberFormat="0" applyAlignment="0" applyProtection="0"/>
    <xf numFmtId="0" fontId="44" fillId="59" borderId="161" applyNumberFormat="0" applyAlignment="0" applyProtection="0"/>
    <xf numFmtId="0" fontId="41" fillId="59" borderId="160" applyNumberFormat="0" applyAlignment="0" applyProtection="0"/>
    <xf numFmtId="0" fontId="56" fillId="46" borderId="169" applyNumberFormat="0" applyAlignment="0" applyProtection="0"/>
    <xf numFmtId="0" fontId="38" fillId="62" borderId="163" applyNumberFormat="0" applyFont="0" applyAlignment="0" applyProtection="0"/>
    <xf numFmtId="49" fontId="33" fillId="0" borderId="164" applyNumberFormat="0" applyFont="0" applyFill="0" applyBorder="0" applyProtection="0">
      <alignment horizontal="left" vertical="center" indent="2"/>
    </xf>
    <xf numFmtId="0" fontId="63" fillId="0" borderId="186" applyNumberFormat="0" applyFill="0" applyAlignment="0" applyProtection="0"/>
    <xf numFmtId="0" fontId="1" fillId="25" borderId="0" applyNumberFormat="0" applyBorder="0" applyAlignment="0" applyProtection="0"/>
    <xf numFmtId="49" fontId="33" fillId="0" borderId="188" applyNumberFormat="0" applyFont="0" applyFill="0" applyBorder="0" applyProtection="0">
      <alignment horizontal="left" vertical="center" indent="2"/>
    </xf>
    <xf numFmtId="0" fontId="33" fillId="0" borderId="177">
      <alignment horizontal="right" vertical="center"/>
    </xf>
    <xf numFmtId="0" fontId="19" fillId="62" borderId="171" applyNumberFormat="0" applyFont="0" applyAlignment="0" applyProtection="0"/>
    <xf numFmtId="177" fontId="33" fillId="63" borderId="164" applyNumberFormat="0" applyFont="0" applyBorder="0" applyAlignment="0" applyProtection="0">
      <alignment horizontal="right" vertical="center"/>
    </xf>
    <xf numFmtId="0" fontId="33" fillId="37" borderId="164"/>
    <xf numFmtId="4" fontId="33" fillId="37" borderId="164"/>
    <xf numFmtId="0" fontId="63" fillId="0" borderId="162" applyNumberFormat="0" applyFill="0" applyAlignment="0" applyProtection="0"/>
    <xf numFmtId="0" fontId="19" fillId="62" borderId="163" applyNumberFormat="0" applyFont="0" applyAlignment="0" applyProtection="0"/>
    <xf numFmtId="0" fontId="38" fillId="62" borderId="163" applyNumberFormat="0" applyFont="0" applyAlignment="0" applyProtection="0"/>
    <xf numFmtId="0" fontId="33" fillId="0" borderId="164" applyNumberFormat="0" applyFill="0" applyAlignment="0" applyProtection="0"/>
    <xf numFmtId="0" fontId="48" fillId="0" borderId="162" applyNumberFormat="0" applyFill="0" applyAlignment="0" applyProtection="0"/>
    <xf numFmtId="0" fontId="63" fillId="0" borderId="162" applyNumberFormat="0" applyFill="0" applyAlignment="0" applyProtection="0"/>
    <xf numFmtId="0" fontId="47" fillId="46" borderId="161" applyNumberFormat="0" applyAlignment="0" applyProtection="0"/>
    <xf numFmtId="0" fontId="44" fillId="59" borderId="161" applyNumberFormat="0" applyAlignment="0" applyProtection="0"/>
    <xf numFmtId="4" fontId="35" fillId="36" borderId="164">
      <alignment horizontal="right" vertical="center"/>
    </xf>
    <xf numFmtId="0" fontId="31" fillId="36" borderId="164">
      <alignment horizontal="right" vertical="center"/>
    </xf>
    <xf numFmtId="177" fontId="33" fillId="63" borderId="164" applyNumberFormat="0" applyFont="0" applyBorder="0" applyAlignment="0" applyProtection="0">
      <alignment horizontal="right" vertical="center"/>
    </xf>
    <xf numFmtId="0" fontId="48" fillId="0" borderId="162" applyNumberFormat="0" applyFill="0" applyAlignment="0" applyProtection="0"/>
    <xf numFmtId="49" fontId="33" fillId="0" borderId="164" applyNumberFormat="0" applyFont="0" applyFill="0" applyBorder="0" applyProtection="0">
      <alignment horizontal="left" vertical="center" indent="2"/>
    </xf>
    <xf numFmtId="49" fontId="33" fillId="0" borderId="165" applyNumberFormat="0" applyFont="0" applyFill="0" applyBorder="0" applyProtection="0">
      <alignment horizontal="left" vertical="center" indent="5"/>
    </xf>
    <xf numFmtId="49" fontId="33" fillId="0" borderId="164" applyNumberFormat="0" applyFont="0" applyFill="0" applyBorder="0" applyProtection="0">
      <alignment horizontal="left" vertical="center" indent="2"/>
    </xf>
    <xf numFmtId="4" fontId="33" fillId="0" borderId="164" applyFill="0" applyBorder="0" applyProtection="0">
      <alignment horizontal="right" vertical="center"/>
    </xf>
    <xf numFmtId="49" fontId="32" fillId="0" borderId="164" applyNumberFormat="0" applyFill="0" applyBorder="0" applyProtection="0">
      <alignment horizontal="left" vertical="center"/>
    </xf>
    <xf numFmtId="0" fontId="33" fillId="0" borderId="167">
      <alignment horizontal="left" vertical="center" wrapText="1" indent="2"/>
    </xf>
    <xf numFmtId="0" fontId="60" fillId="59" borderId="160" applyNumberFormat="0" applyAlignment="0" applyProtection="0"/>
    <xf numFmtId="0" fontId="31" fillId="38" borderId="166">
      <alignment horizontal="right" vertical="center"/>
    </xf>
    <xf numFmtId="0" fontId="47" fillId="46" borderId="161" applyNumberFormat="0" applyAlignment="0" applyProtection="0"/>
    <xf numFmtId="0" fontId="31" fillId="38" borderId="166">
      <alignment horizontal="right" vertical="center"/>
    </xf>
    <xf numFmtId="4" fontId="31" fillId="38" borderId="164">
      <alignment horizontal="right" vertical="center"/>
    </xf>
    <xf numFmtId="0" fontId="31" fillId="38" borderId="164">
      <alignment horizontal="right" vertical="center"/>
    </xf>
    <xf numFmtId="0" fontId="41" fillId="59" borderId="160" applyNumberFormat="0" applyAlignment="0" applyProtection="0"/>
    <xf numFmtId="0" fontId="43" fillId="59" borderId="161" applyNumberFormat="0" applyAlignment="0" applyProtection="0"/>
    <xf numFmtId="0" fontId="48" fillId="0" borderId="162" applyNumberFormat="0" applyFill="0" applyAlignment="0" applyProtection="0"/>
    <xf numFmtId="0" fontId="33" fillId="37" borderId="164"/>
    <xf numFmtId="4" fontId="33" fillId="37" borderId="164"/>
    <xf numFmtId="4" fontId="31" fillId="38" borderId="164">
      <alignment horizontal="right" vertical="center"/>
    </xf>
    <xf numFmtId="0" fontId="35" fillId="36" borderId="164">
      <alignment horizontal="right" vertical="center"/>
    </xf>
    <xf numFmtId="0" fontId="47" fillId="46" borderId="161" applyNumberFormat="0" applyAlignment="0" applyProtection="0"/>
    <xf numFmtId="0" fontId="44" fillId="59" borderId="161" applyNumberFormat="0" applyAlignment="0" applyProtection="0"/>
    <xf numFmtId="4" fontId="33" fillId="0" borderId="164">
      <alignment horizontal="right" vertical="center"/>
    </xf>
    <xf numFmtId="0" fontId="33" fillId="38" borderId="167">
      <alignment horizontal="left" vertical="center" wrapText="1" indent="2"/>
    </xf>
    <xf numFmtId="0" fontId="33" fillId="0" borderId="167">
      <alignment horizontal="left" vertical="center" wrapText="1" indent="2"/>
    </xf>
    <xf numFmtId="0" fontId="60" fillId="59" borderId="160" applyNumberFormat="0" applyAlignment="0" applyProtection="0"/>
    <xf numFmtId="0" fontId="56" fillId="46" borderId="161" applyNumberFormat="0" applyAlignment="0" applyProtection="0"/>
    <xf numFmtId="0" fontId="43" fillId="59" borderId="161" applyNumberFormat="0" applyAlignment="0" applyProtection="0"/>
    <xf numFmtId="0" fontId="41" fillId="59" borderId="160" applyNumberFormat="0" applyAlignment="0" applyProtection="0"/>
    <xf numFmtId="0" fontId="31" fillId="38" borderId="166">
      <alignment horizontal="right" vertical="center"/>
    </xf>
    <xf numFmtId="0" fontId="35" fillId="36" borderId="164">
      <alignment horizontal="right" vertical="center"/>
    </xf>
    <xf numFmtId="4" fontId="31" fillId="36" borderId="164">
      <alignment horizontal="right" vertical="center"/>
    </xf>
    <xf numFmtId="4" fontId="31" fillId="38" borderId="164">
      <alignment horizontal="right" vertical="center"/>
    </xf>
    <xf numFmtId="49" fontId="33" fillId="0" borderId="165" applyNumberFormat="0" applyFont="0" applyFill="0" applyBorder="0" applyProtection="0">
      <alignment horizontal="left" vertical="center" indent="5"/>
    </xf>
    <xf numFmtId="4" fontId="33" fillId="0" borderId="164" applyFill="0" applyBorder="0" applyProtection="0">
      <alignment horizontal="right" vertical="center"/>
    </xf>
    <xf numFmtId="4" fontId="31" fillId="36" borderId="164">
      <alignment horizontal="right" vertical="center"/>
    </xf>
    <xf numFmtId="0" fontId="56" fillId="46" borderId="161" applyNumberFormat="0" applyAlignment="0" applyProtection="0"/>
    <xf numFmtId="0" fontId="47" fillId="46" borderId="161" applyNumberFormat="0" applyAlignment="0" applyProtection="0"/>
    <xf numFmtId="0" fontId="43" fillId="59" borderId="161" applyNumberFormat="0" applyAlignment="0" applyProtection="0"/>
    <xf numFmtId="0" fontId="33" fillId="38" borderId="167">
      <alignment horizontal="left" vertical="center" wrapText="1" indent="2"/>
    </xf>
    <xf numFmtId="0" fontId="33" fillId="0" borderId="167">
      <alignment horizontal="left" vertical="center" wrapText="1" indent="2"/>
    </xf>
    <xf numFmtId="0" fontId="33" fillId="38" borderId="167">
      <alignment horizontal="left" vertical="center" wrapText="1" indent="2"/>
    </xf>
    <xf numFmtId="0" fontId="47" fillId="46" borderId="193" applyNumberFormat="0" applyAlignment="0" applyProtection="0"/>
    <xf numFmtId="0" fontId="28" fillId="0" borderId="0" applyNumberFormat="0" applyFill="0" applyBorder="0" applyAlignment="0" applyProtection="0"/>
    <xf numFmtId="0" fontId="1" fillId="19" borderId="0" applyNumberFormat="0" applyBorder="0" applyAlignment="0" applyProtection="0"/>
    <xf numFmtId="49" fontId="32" fillId="0" borderId="196" applyNumberFormat="0" applyFill="0" applyBorder="0" applyProtection="0">
      <alignment horizontal="left" vertical="center"/>
    </xf>
    <xf numFmtId="0" fontId="4" fillId="32" borderId="0" applyNumberFormat="0" applyBorder="0" applyAlignment="0" applyProtection="0"/>
    <xf numFmtId="0" fontId="33" fillId="0" borderId="199">
      <alignment horizontal="left" vertical="center" wrapText="1" indent="2"/>
    </xf>
    <xf numFmtId="0" fontId="1" fillId="19" borderId="0" applyNumberFormat="0" applyBorder="0" applyAlignment="0" applyProtection="0"/>
    <xf numFmtId="4" fontId="31" fillId="38" borderId="214">
      <alignment horizontal="right" vertical="center"/>
    </xf>
    <xf numFmtId="0" fontId="35" fillId="36" borderId="196">
      <alignment horizontal="right" vertical="center"/>
    </xf>
    <xf numFmtId="0" fontId="4" fillId="20" borderId="0" applyNumberFormat="0" applyBorder="0" applyAlignment="0" applyProtection="0"/>
    <xf numFmtId="177" fontId="33" fillId="63" borderId="188" applyNumberFormat="0" applyFont="0" applyBorder="0" applyAlignment="0" applyProtection="0">
      <alignment horizontal="right" vertical="center"/>
    </xf>
    <xf numFmtId="43" fontId="36" fillId="0" borderId="0" applyFont="0" applyFill="0" applyBorder="0" applyAlignment="0" applyProtection="0"/>
    <xf numFmtId="0" fontId="41" fillId="59" borderId="192" applyNumberFormat="0" applyAlignment="0" applyProtection="0"/>
    <xf numFmtId="43" fontId="36" fillId="0" borderId="0" applyFont="0" applyFill="0" applyBorder="0" applyAlignment="0" applyProtection="0"/>
    <xf numFmtId="0" fontId="33" fillId="0" borderId="199">
      <alignment horizontal="left" vertical="center" wrapText="1" indent="2"/>
    </xf>
    <xf numFmtId="177" fontId="33" fillId="63" borderId="196" applyNumberFormat="0" applyFont="0" applyBorder="0" applyAlignment="0" applyProtection="0">
      <alignment horizontal="right" vertical="center"/>
    </xf>
    <xf numFmtId="0" fontId="4" fillId="20" borderId="0" applyNumberFormat="0" applyBorder="0" applyAlignment="0" applyProtection="0"/>
    <xf numFmtId="4" fontId="31" fillId="38" borderId="196">
      <alignment horizontal="right" vertical="center"/>
    </xf>
    <xf numFmtId="0" fontId="31" fillId="38" borderId="196">
      <alignment horizontal="right" vertical="center"/>
    </xf>
    <xf numFmtId="0" fontId="60" fillId="59" borderId="192" applyNumberFormat="0" applyAlignment="0" applyProtection="0"/>
    <xf numFmtId="0" fontId="1" fillId="21" borderId="0" applyNumberFormat="0" applyBorder="0" applyAlignment="0" applyProtection="0"/>
    <xf numFmtId="0" fontId="31" fillId="38" borderId="212">
      <alignment horizontal="right" vertical="center"/>
    </xf>
    <xf numFmtId="0" fontId="43" fillId="59" borderId="193" applyNumberFormat="0" applyAlignment="0" applyProtection="0"/>
    <xf numFmtId="0" fontId="33" fillId="0" borderId="196">
      <alignment horizontal="right" vertical="center"/>
    </xf>
    <xf numFmtId="0" fontId="41" fillId="59" borderId="184" applyNumberFormat="0" applyAlignment="0" applyProtection="0"/>
    <xf numFmtId="4" fontId="31" fillId="38" borderId="198">
      <alignment horizontal="right" vertical="center"/>
    </xf>
    <xf numFmtId="4" fontId="33" fillId="37" borderId="203"/>
    <xf numFmtId="0" fontId="47" fillId="46" borderId="185" applyNumberFormat="0" applyAlignment="0" applyProtection="0"/>
    <xf numFmtId="0" fontId="44" fillId="59" borderId="200" applyNumberFormat="0" applyAlignment="0" applyProtection="0"/>
    <xf numFmtId="0" fontId="48" fillId="0" borderId="194" applyNumberFormat="0" applyFill="0" applyAlignment="0" applyProtection="0"/>
    <xf numFmtId="0" fontId="1" fillId="21"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33" fillId="38" borderId="199">
      <alignment horizontal="left" vertical="center" wrapText="1" indent="2"/>
    </xf>
    <xf numFmtId="0" fontId="63" fillId="0" borderId="210" applyNumberFormat="0" applyFill="0" applyAlignment="0" applyProtection="0"/>
    <xf numFmtId="0" fontId="35" fillId="36" borderId="217">
      <alignment horizontal="right" vertical="center"/>
    </xf>
    <xf numFmtId="4" fontId="31" fillId="38" borderId="188">
      <alignment horizontal="right" vertical="center"/>
    </xf>
    <xf numFmtId="0" fontId="33" fillId="36" borderId="197">
      <alignment horizontal="left" vertical="center"/>
    </xf>
    <xf numFmtId="0" fontId="1" fillId="3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3" borderId="0" applyNumberFormat="0" applyBorder="0" applyAlignment="0" applyProtection="0"/>
    <xf numFmtId="0" fontId="3" fillId="0" borderId="23" applyNumberFormat="0" applyFill="0" applyAlignment="0" applyProtection="0"/>
    <xf numFmtId="0" fontId="31" fillId="38" borderId="198">
      <alignment horizontal="right" vertical="center"/>
    </xf>
    <xf numFmtId="4" fontId="31" fillId="38" borderId="196">
      <alignment horizontal="right" vertical="center"/>
    </xf>
    <xf numFmtId="0" fontId="31" fillId="38" borderId="177">
      <alignment horizontal="right" vertical="center"/>
    </xf>
    <xf numFmtId="0" fontId="31" fillId="36" borderId="177">
      <alignment horizontal="right" vertical="center"/>
    </xf>
    <xf numFmtId="0" fontId="1" fillId="24" borderId="0" applyNumberFormat="0" applyBorder="0" applyAlignment="0" applyProtection="0"/>
    <xf numFmtId="4" fontId="31" fillId="38" borderId="172">
      <alignment horizontal="right" vertical="center"/>
    </xf>
    <xf numFmtId="0" fontId="33" fillId="37" borderId="172"/>
    <xf numFmtId="0" fontId="43" fillId="59" borderId="169" applyNumberFormat="0" applyAlignment="0" applyProtection="0"/>
    <xf numFmtId="0" fontId="31" fillId="36" borderId="172">
      <alignment horizontal="right" vertical="center"/>
    </xf>
    <xf numFmtId="0" fontId="33" fillId="0" borderId="172">
      <alignment horizontal="right" vertical="center"/>
    </xf>
    <xf numFmtId="0" fontId="63" fillId="0" borderId="170" applyNumberFormat="0" applyFill="0" applyAlignment="0" applyProtection="0"/>
    <xf numFmtId="0" fontId="33" fillId="36" borderId="173">
      <alignment horizontal="left" vertical="center"/>
    </xf>
    <xf numFmtId="0" fontId="56" fillId="46" borderId="169" applyNumberFormat="0" applyAlignment="0" applyProtection="0"/>
    <xf numFmtId="177" fontId="33" fillId="63" borderId="172" applyNumberFormat="0" applyFont="0" applyBorder="0" applyAlignment="0" applyProtection="0">
      <alignment horizontal="right" vertical="center"/>
    </xf>
    <xf numFmtId="0" fontId="38" fillId="62" borderId="171" applyNumberFormat="0" applyFont="0" applyAlignment="0" applyProtection="0"/>
    <xf numFmtId="0" fontId="33" fillId="0" borderId="175">
      <alignment horizontal="left" vertical="center" wrapText="1" indent="2"/>
    </xf>
    <xf numFmtId="4" fontId="33" fillId="37" borderId="172"/>
    <xf numFmtId="49" fontId="32" fillId="0" borderId="172" applyNumberFormat="0" applyFill="0" applyBorder="0" applyProtection="0">
      <alignment horizontal="left" vertical="center"/>
    </xf>
    <xf numFmtId="0" fontId="33" fillId="0" borderId="172">
      <alignment horizontal="right" vertical="center"/>
    </xf>
    <xf numFmtId="4" fontId="31" fillId="38" borderId="174">
      <alignment horizontal="right" vertical="center"/>
    </xf>
    <xf numFmtId="4" fontId="31" fillId="38" borderId="172">
      <alignment horizontal="right" vertical="center"/>
    </xf>
    <xf numFmtId="4" fontId="31" fillId="38" borderId="172">
      <alignment horizontal="right" vertical="center"/>
    </xf>
    <xf numFmtId="0" fontId="35" fillId="36" borderId="172">
      <alignment horizontal="right" vertical="center"/>
    </xf>
    <xf numFmtId="0" fontId="31" fillId="36" borderId="172">
      <alignment horizontal="right" vertical="center"/>
    </xf>
    <xf numFmtId="49" fontId="33" fillId="0" borderId="172" applyNumberFormat="0" applyFont="0" applyFill="0" applyBorder="0" applyProtection="0">
      <alignment horizontal="left" vertical="center" indent="2"/>
    </xf>
    <xf numFmtId="0" fontId="56" fillId="46" borderId="169" applyNumberFormat="0" applyAlignment="0" applyProtection="0"/>
    <xf numFmtId="0" fontId="41" fillId="59" borderId="168" applyNumberFormat="0" applyAlignment="0" applyProtection="0"/>
    <xf numFmtId="49" fontId="33" fillId="0" borderId="172" applyNumberFormat="0" applyFont="0" applyFill="0" applyBorder="0" applyProtection="0">
      <alignment horizontal="left" vertical="center" indent="2"/>
    </xf>
    <xf numFmtId="0" fontId="47" fillId="46" borderId="169" applyNumberFormat="0" applyAlignment="0" applyProtection="0"/>
    <xf numFmtId="4" fontId="33" fillId="0" borderId="172" applyFill="0" applyBorder="0" applyProtection="0">
      <alignment horizontal="right" vertical="center"/>
    </xf>
    <xf numFmtId="0" fontId="44" fillId="59" borderId="169" applyNumberFormat="0" applyAlignment="0" applyProtection="0"/>
    <xf numFmtId="0" fontId="63" fillId="0" borderId="170" applyNumberFormat="0" applyFill="0" applyAlignment="0" applyProtection="0"/>
    <xf numFmtId="0" fontId="60" fillId="59" borderId="168" applyNumberFormat="0" applyAlignment="0" applyProtection="0"/>
    <xf numFmtId="0" fontId="33" fillId="0" borderId="172" applyNumberFormat="0" applyFill="0" applyAlignment="0" applyProtection="0"/>
    <xf numFmtId="4" fontId="33" fillId="0" borderId="172">
      <alignment horizontal="right" vertical="center"/>
    </xf>
    <xf numFmtId="0" fontId="33" fillId="0" borderId="172">
      <alignment horizontal="right" vertical="center"/>
    </xf>
    <xf numFmtId="0" fontId="56" fillId="46" borderId="169" applyNumberFormat="0" applyAlignment="0" applyProtection="0"/>
    <xf numFmtId="0" fontId="41" fillId="59" borderId="168" applyNumberFormat="0" applyAlignment="0" applyProtection="0"/>
    <xf numFmtId="0" fontId="43" fillId="59" borderId="169" applyNumberFormat="0" applyAlignment="0" applyProtection="0"/>
    <xf numFmtId="0" fontId="33" fillId="38" borderId="175">
      <alignment horizontal="left" vertical="center" wrapText="1" indent="2"/>
    </xf>
    <xf numFmtId="0" fontId="44" fillId="59" borderId="169" applyNumberFormat="0" applyAlignment="0" applyProtection="0"/>
    <xf numFmtId="0" fontId="44" fillId="59" borderId="169" applyNumberFormat="0" applyAlignment="0" applyProtection="0"/>
    <xf numFmtId="4" fontId="31" fillId="38" borderId="173">
      <alignment horizontal="right" vertical="center"/>
    </xf>
    <xf numFmtId="0" fontId="31" fillId="38" borderId="173">
      <alignment horizontal="right" vertical="center"/>
    </xf>
    <xf numFmtId="0" fontId="31" fillId="38" borderId="172">
      <alignment horizontal="right" vertical="center"/>
    </xf>
    <xf numFmtId="4" fontId="35" fillId="36" borderId="172">
      <alignment horizontal="right" vertical="center"/>
    </xf>
    <xf numFmtId="0" fontId="47" fillId="46" borderId="169" applyNumberFormat="0" applyAlignment="0" applyProtection="0"/>
    <xf numFmtId="0" fontId="48" fillId="0" borderId="170" applyNumberFormat="0" applyFill="0" applyAlignment="0" applyProtection="0"/>
    <xf numFmtId="0" fontId="63" fillId="0" borderId="170" applyNumberFormat="0" applyFill="0" applyAlignment="0" applyProtection="0"/>
    <xf numFmtId="0" fontId="38" fillId="62" borderId="171" applyNumberFormat="0" applyFont="0" applyAlignment="0" applyProtection="0"/>
    <xf numFmtId="0" fontId="56" fillId="46" borderId="169" applyNumberFormat="0" applyAlignment="0" applyProtection="0"/>
    <xf numFmtId="49" fontId="32" fillId="0" borderId="172" applyNumberFormat="0" applyFill="0" applyBorder="0" applyProtection="0">
      <alignment horizontal="left" vertical="center"/>
    </xf>
    <xf numFmtId="0" fontId="33" fillId="38" borderId="175">
      <alignment horizontal="left" vertical="center" wrapText="1" indent="2"/>
    </xf>
    <xf numFmtId="0" fontId="44" fillId="59" borderId="169" applyNumberFormat="0" applyAlignment="0" applyProtection="0"/>
    <xf numFmtId="0" fontId="33" fillId="0" borderId="175">
      <alignment horizontal="left" vertical="center" wrapText="1" indent="2"/>
    </xf>
    <xf numFmtId="0" fontId="38" fillId="62" borderId="171" applyNumberFormat="0" applyFont="0" applyAlignment="0" applyProtection="0"/>
    <xf numFmtId="0" fontId="19" fillId="62" borderId="171" applyNumberFormat="0" applyFont="0" applyAlignment="0" applyProtection="0"/>
    <xf numFmtId="0" fontId="60" fillId="59" borderId="168" applyNumberFormat="0" applyAlignment="0" applyProtection="0"/>
    <xf numFmtId="0" fontId="63" fillId="0" borderId="170" applyNumberFormat="0" applyFill="0" applyAlignment="0" applyProtection="0"/>
    <xf numFmtId="4" fontId="33" fillId="37" borderId="172"/>
    <xf numFmtId="0" fontId="31" fillId="38" borderId="172">
      <alignment horizontal="right" vertical="center"/>
    </xf>
    <xf numFmtId="0" fontId="63" fillId="0" borderId="170" applyNumberFormat="0" applyFill="0" applyAlignment="0" applyProtection="0"/>
    <xf numFmtId="4" fontId="31" fillId="38" borderId="174">
      <alignment horizontal="right" vertical="center"/>
    </xf>
    <xf numFmtId="0" fontId="43" fillId="59" borderId="169" applyNumberFormat="0" applyAlignment="0" applyProtection="0"/>
    <xf numFmtId="0" fontId="31" fillId="38" borderId="173">
      <alignment horizontal="right" vertical="center"/>
    </xf>
    <xf numFmtId="0" fontId="44" fillId="59" borderId="169" applyNumberFormat="0" applyAlignment="0" applyProtection="0"/>
    <xf numFmtId="0" fontId="48" fillId="0" borderId="170" applyNumberFormat="0" applyFill="0" applyAlignment="0" applyProtection="0"/>
    <xf numFmtId="0" fontId="38" fillId="62" borderId="171" applyNumberFormat="0" applyFont="0" applyAlignment="0" applyProtection="0"/>
    <xf numFmtId="4" fontId="31" fillId="38" borderId="173">
      <alignment horizontal="right" vertical="center"/>
    </xf>
    <xf numFmtId="0" fontId="33" fillId="38" borderId="175">
      <alignment horizontal="left" vertical="center" wrapText="1" indent="2"/>
    </xf>
    <xf numFmtId="0" fontId="33" fillId="37" borderId="172"/>
    <xf numFmtId="177" fontId="33" fillId="63" borderId="172" applyNumberFormat="0" applyFont="0" applyBorder="0" applyAlignment="0" applyProtection="0">
      <alignment horizontal="right" vertical="center"/>
    </xf>
    <xf numFmtId="0" fontId="33" fillId="0" borderId="172" applyNumberFormat="0" applyFill="0" applyAlignment="0" applyProtection="0"/>
    <xf numFmtId="4" fontId="33" fillId="0" borderId="172" applyFill="0" applyBorder="0" applyProtection="0">
      <alignment horizontal="right" vertical="center"/>
    </xf>
    <xf numFmtId="4" fontId="31" fillId="36" borderId="172">
      <alignment horizontal="right" vertical="center"/>
    </xf>
    <xf numFmtId="0" fontId="48" fillId="0" borderId="170" applyNumberFormat="0" applyFill="0" applyAlignment="0" applyProtection="0"/>
    <xf numFmtId="49" fontId="32" fillId="0" borderId="172" applyNumberFormat="0" applyFill="0" applyBorder="0" applyProtection="0">
      <alignment horizontal="left" vertical="center"/>
    </xf>
    <xf numFmtId="49" fontId="33" fillId="0" borderId="173" applyNumberFormat="0" applyFont="0" applyFill="0" applyBorder="0" applyProtection="0">
      <alignment horizontal="left" vertical="center" indent="5"/>
    </xf>
    <xf numFmtId="0" fontId="33" fillId="36" borderId="173">
      <alignment horizontal="left" vertical="center"/>
    </xf>
    <xf numFmtId="0" fontId="44" fillId="59" borderId="169" applyNumberFormat="0" applyAlignment="0" applyProtection="0"/>
    <xf numFmtId="4" fontId="31" fillId="38" borderId="174">
      <alignment horizontal="right" vertical="center"/>
    </xf>
    <xf numFmtId="0" fontId="56" fillId="46" borderId="169" applyNumberFormat="0" applyAlignment="0" applyProtection="0"/>
    <xf numFmtId="0" fontId="56" fillId="46" borderId="169" applyNumberFormat="0" applyAlignment="0" applyProtection="0"/>
    <xf numFmtId="0" fontId="38" fillId="62" borderId="171" applyNumberFormat="0" applyFont="0" applyAlignment="0" applyProtection="0"/>
    <xf numFmtId="0" fontId="60" fillId="59" borderId="168" applyNumberFormat="0" applyAlignment="0" applyProtection="0"/>
    <xf numFmtId="0" fontId="63" fillId="0" borderId="170" applyNumberFormat="0" applyFill="0" applyAlignment="0" applyProtection="0"/>
    <xf numFmtId="0" fontId="31" fillId="38" borderId="172">
      <alignment horizontal="right" vertical="center"/>
    </xf>
    <xf numFmtId="0" fontId="19" fillId="62" borderId="171" applyNumberFormat="0" applyFont="0" applyAlignment="0" applyProtection="0"/>
    <xf numFmtId="4" fontId="33" fillId="0" borderId="172">
      <alignment horizontal="right" vertical="center"/>
    </xf>
    <xf numFmtId="0" fontId="63" fillId="0" borderId="170" applyNumberFormat="0" applyFill="0" applyAlignment="0" applyProtection="0"/>
    <xf numFmtId="0" fontId="31" fillId="38" borderId="172">
      <alignment horizontal="right" vertical="center"/>
    </xf>
    <xf numFmtId="0" fontId="31" fillId="38" borderId="172">
      <alignment horizontal="right" vertical="center"/>
    </xf>
    <xf numFmtId="4" fontId="35" fillId="36" borderId="172">
      <alignment horizontal="right" vertical="center"/>
    </xf>
    <xf numFmtId="0" fontId="31" fillId="36" borderId="172">
      <alignment horizontal="right" vertical="center"/>
    </xf>
    <xf numFmtId="4" fontId="31" fillId="36" borderId="172">
      <alignment horizontal="right" vertical="center"/>
    </xf>
    <xf numFmtId="0" fontId="35" fillId="36" borderId="172">
      <alignment horizontal="right" vertical="center"/>
    </xf>
    <xf numFmtId="4" fontId="35" fillId="36" borderId="172">
      <alignment horizontal="right" vertical="center"/>
    </xf>
    <xf numFmtId="0" fontId="31" fillId="38" borderId="172">
      <alignment horizontal="right" vertical="center"/>
    </xf>
    <xf numFmtId="4" fontId="31" fillId="38" borderId="172">
      <alignment horizontal="right" vertical="center"/>
    </xf>
    <xf numFmtId="0" fontId="31" fillId="38" borderId="172">
      <alignment horizontal="right" vertical="center"/>
    </xf>
    <xf numFmtId="4" fontId="31" fillId="38" borderId="172">
      <alignment horizontal="right" vertical="center"/>
    </xf>
    <xf numFmtId="0" fontId="31" fillId="38" borderId="173">
      <alignment horizontal="right" vertical="center"/>
    </xf>
    <xf numFmtId="4" fontId="31" fillId="38" borderId="173">
      <alignment horizontal="right" vertical="center"/>
    </xf>
    <xf numFmtId="0" fontId="31" fillId="38" borderId="174">
      <alignment horizontal="right" vertical="center"/>
    </xf>
    <xf numFmtId="4" fontId="31" fillId="38" borderId="174">
      <alignment horizontal="right" vertical="center"/>
    </xf>
    <xf numFmtId="0" fontId="44" fillId="59" borderId="169" applyNumberFormat="0" applyAlignment="0" applyProtection="0"/>
    <xf numFmtId="0" fontId="33" fillId="38" borderId="175">
      <alignment horizontal="left" vertical="center" wrapText="1" indent="2"/>
    </xf>
    <xf numFmtId="0" fontId="33" fillId="0" borderId="175">
      <alignment horizontal="left" vertical="center" wrapText="1" indent="2"/>
    </xf>
    <xf numFmtId="0" fontId="33" fillId="36" borderId="173">
      <alignment horizontal="left" vertical="center"/>
    </xf>
    <xf numFmtId="0" fontId="56" fillId="46" borderId="169" applyNumberFormat="0" applyAlignment="0" applyProtection="0"/>
    <xf numFmtId="0" fontId="33" fillId="0" borderId="172">
      <alignment horizontal="right" vertical="center"/>
    </xf>
    <xf numFmtId="4" fontId="33" fillId="0" borderId="172">
      <alignment horizontal="right" vertical="center"/>
    </xf>
    <xf numFmtId="0" fontId="33" fillId="0" borderId="172" applyNumberFormat="0" applyFill="0" applyAlignment="0" applyProtection="0"/>
    <xf numFmtId="0" fontId="60" fillId="59" borderId="168" applyNumberFormat="0" applyAlignment="0" applyProtection="0"/>
    <xf numFmtId="177" fontId="33" fillId="63" borderId="172" applyNumberFormat="0" applyFont="0" applyBorder="0" applyAlignment="0" applyProtection="0">
      <alignment horizontal="right" vertical="center"/>
    </xf>
    <xf numFmtId="0" fontId="33" fillId="37" borderId="172"/>
    <xf numFmtId="4" fontId="33" fillId="37" borderId="172"/>
    <xf numFmtId="0" fontId="63" fillId="0" borderId="170" applyNumberFormat="0" applyFill="0" applyAlignment="0" applyProtection="0"/>
    <xf numFmtId="0" fontId="19" fillId="62" borderId="171" applyNumberFormat="0" applyFont="0" applyAlignment="0" applyProtection="0"/>
    <xf numFmtId="0" fontId="38" fillId="62" borderId="171" applyNumberFormat="0" applyFont="0" applyAlignment="0" applyProtection="0"/>
    <xf numFmtId="0" fontId="33" fillId="0" borderId="172" applyNumberFormat="0" applyFill="0" applyAlignment="0" applyProtection="0"/>
    <xf numFmtId="0" fontId="48" fillId="0" borderId="170" applyNumberFormat="0" applyFill="0" applyAlignment="0" applyProtection="0"/>
    <xf numFmtId="0" fontId="63" fillId="0" borderId="170" applyNumberFormat="0" applyFill="0" applyAlignment="0" applyProtection="0"/>
    <xf numFmtId="0" fontId="47" fillId="46" borderId="169" applyNumberFormat="0" applyAlignment="0" applyProtection="0"/>
    <xf numFmtId="0" fontId="44" fillId="59" borderId="169" applyNumberFormat="0" applyAlignment="0" applyProtection="0"/>
    <xf numFmtId="4" fontId="35" fillId="36" borderId="172">
      <alignment horizontal="right" vertical="center"/>
    </xf>
    <xf numFmtId="0" fontId="31" fillId="36" borderId="172">
      <alignment horizontal="right" vertical="center"/>
    </xf>
    <xf numFmtId="177" fontId="33" fillId="63" borderId="172" applyNumberFormat="0" applyFont="0" applyBorder="0" applyAlignment="0" applyProtection="0">
      <alignment horizontal="right" vertical="center"/>
    </xf>
    <xf numFmtId="0" fontId="48" fillId="0" borderId="170" applyNumberFormat="0" applyFill="0" applyAlignment="0" applyProtection="0"/>
    <xf numFmtId="49" fontId="33" fillId="0" borderId="172" applyNumberFormat="0" applyFont="0" applyFill="0" applyBorder="0" applyProtection="0">
      <alignment horizontal="left" vertical="center" indent="2"/>
    </xf>
    <xf numFmtId="49" fontId="33" fillId="0" borderId="173" applyNumberFormat="0" applyFont="0" applyFill="0" applyBorder="0" applyProtection="0">
      <alignment horizontal="left" vertical="center" indent="5"/>
    </xf>
    <xf numFmtId="49" fontId="33" fillId="0" borderId="172" applyNumberFormat="0" applyFont="0" applyFill="0" applyBorder="0" applyProtection="0">
      <alignment horizontal="left" vertical="center" indent="2"/>
    </xf>
    <xf numFmtId="4" fontId="33" fillId="0" borderId="172" applyFill="0" applyBorder="0" applyProtection="0">
      <alignment horizontal="right" vertical="center"/>
    </xf>
    <xf numFmtId="49" fontId="32" fillId="0" borderId="172" applyNumberFormat="0" applyFill="0" applyBorder="0" applyProtection="0">
      <alignment horizontal="left" vertical="center"/>
    </xf>
    <xf numFmtId="0" fontId="33" fillId="0" borderId="175">
      <alignment horizontal="left" vertical="center" wrapText="1" indent="2"/>
    </xf>
    <xf numFmtId="0" fontId="60" fillId="59" borderId="168" applyNumberFormat="0" applyAlignment="0" applyProtection="0"/>
    <xf numFmtId="0" fontId="31" fillId="38" borderId="174">
      <alignment horizontal="right" vertical="center"/>
    </xf>
    <xf numFmtId="0" fontId="47" fillId="46" borderId="169" applyNumberFormat="0" applyAlignment="0" applyProtection="0"/>
    <xf numFmtId="0" fontId="31" fillId="38" borderId="174">
      <alignment horizontal="right" vertical="center"/>
    </xf>
    <xf numFmtId="4" fontId="31" fillId="38" borderId="172">
      <alignment horizontal="right" vertical="center"/>
    </xf>
    <xf numFmtId="0" fontId="31" fillId="38" borderId="172">
      <alignment horizontal="right" vertical="center"/>
    </xf>
    <xf numFmtId="0" fontId="41" fillId="59" borderId="168" applyNumberFormat="0" applyAlignment="0" applyProtection="0"/>
    <xf numFmtId="0" fontId="43" fillId="59" borderId="169" applyNumberFormat="0" applyAlignment="0" applyProtection="0"/>
    <xf numFmtId="0" fontId="48" fillId="0" borderId="170" applyNumberFormat="0" applyFill="0" applyAlignment="0" applyProtection="0"/>
    <xf numFmtId="0" fontId="33" fillId="37" borderId="172"/>
    <xf numFmtId="4" fontId="33" fillId="37" borderId="172"/>
    <xf numFmtId="4" fontId="31" fillId="38" borderId="172">
      <alignment horizontal="right" vertical="center"/>
    </xf>
    <xf numFmtId="0" fontId="35" fillId="36" borderId="172">
      <alignment horizontal="right" vertical="center"/>
    </xf>
    <xf numFmtId="0" fontId="47" fillId="46" borderId="169" applyNumberFormat="0" applyAlignment="0" applyProtection="0"/>
    <xf numFmtId="0" fontId="44" fillId="59" borderId="169" applyNumberFormat="0" applyAlignment="0" applyProtection="0"/>
    <xf numFmtId="4" fontId="33" fillId="0" borderId="172">
      <alignment horizontal="right" vertical="center"/>
    </xf>
    <xf numFmtId="0" fontId="33" fillId="38" borderId="175">
      <alignment horizontal="left" vertical="center" wrapText="1" indent="2"/>
    </xf>
    <xf numFmtId="0" fontId="33" fillId="0" borderId="175">
      <alignment horizontal="left" vertical="center" wrapText="1" indent="2"/>
    </xf>
    <xf numFmtId="0" fontId="60" fillId="59" borderId="168" applyNumberFormat="0" applyAlignment="0" applyProtection="0"/>
    <xf numFmtId="0" fontId="56" fillId="46" borderId="169" applyNumberFormat="0" applyAlignment="0" applyProtection="0"/>
    <xf numFmtId="0" fontId="43" fillId="59" borderId="169" applyNumberFormat="0" applyAlignment="0" applyProtection="0"/>
    <xf numFmtId="0" fontId="41" fillId="59" borderId="168" applyNumberFormat="0" applyAlignment="0" applyProtection="0"/>
    <xf numFmtId="0" fontId="31" fillId="38" borderId="174">
      <alignment horizontal="right" vertical="center"/>
    </xf>
    <xf numFmtId="0" fontId="35" fillId="36" borderId="172">
      <alignment horizontal="right" vertical="center"/>
    </xf>
    <xf numFmtId="4" fontId="31" fillId="36" borderId="172">
      <alignment horizontal="right" vertical="center"/>
    </xf>
    <xf numFmtId="4" fontId="31" fillId="38" borderId="172">
      <alignment horizontal="right" vertical="center"/>
    </xf>
    <xf numFmtId="49" fontId="33" fillId="0" borderId="173" applyNumberFormat="0" applyFont="0" applyFill="0" applyBorder="0" applyProtection="0">
      <alignment horizontal="left" vertical="center" indent="5"/>
    </xf>
    <xf numFmtId="4" fontId="33" fillId="0" borderId="172" applyFill="0" applyBorder="0" applyProtection="0">
      <alignment horizontal="right" vertical="center"/>
    </xf>
    <xf numFmtId="4" fontId="31" fillId="36" borderId="172">
      <alignment horizontal="right" vertical="center"/>
    </xf>
    <xf numFmtId="0" fontId="56" fillId="46" borderId="169" applyNumberFormat="0" applyAlignment="0" applyProtection="0"/>
    <xf numFmtId="0" fontId="47" fillId="46" borderId="169" applyNumberFormat="0" applyAlignment="0" applyProtection="0"/>
    <xf numFmtId="0" fontId="43" fillId="59" borderId="169" applyNumberFormat="0" applyAlignment="0" applyProtection="0"/>
    <xf numFmtId="0" fontId="33" fillId="38" borderId="175">
      <alignment horizontal="left" vertical="center" wrapText="1" indent="2"/>
    </xf>
    <xf numFmtId="0" fontId="33" fillId="0" borderId="175">
      <alignment horizontal="left" vertical="center" wrapText="1" indent="2"/>
    </xf>
    <xf numFmtId="0" fontId="33" fillId="38" borderId="175">
      <alignment horizontal="left" vertical="center" wrapText="1" indent="2"/>
    </xf>
    <xf numFmtId="0" fontId="33" fillId="0" borderId="175">
      <alignment horizontal="left" vertical="center" wrapText="1" indent="2"/>
    </xf>
    <xf numFmtId="0" fontId="41" fillId="59" borderId="168" applyNumberFormat="0" applyAlignment="0" applyProtection="0"/>
    <xf numFmtId="0" fontId="43" fillId="59" borderId="169" applyNumberFormat="0" applyAlignment="0" applyProtection="0"/>
    <xf numFmtId="0" fontId="44" fillId="59" borderId="169" applyNumberFormat="0" applyAlignment="0" applyProtection="0"/>
    <xf numFmtId="0" fontId="47" fillId="46" borderId="169" applyNumberFormat="0" applyAlignment="0" applyProtection="0"/>
    <xf numFmtId="0" fontId="48" fillId="0" borderId="170" applyNumberFormat="0" applyFill="0" applyAlignment="0" applyProtection="0"/>
    <xf numFmtId="0" fontId="56" fillId="46" borderId="169" applyNumberFormat="0" applyAlignment="0" applyProtection="0"/>
    <xf numFmtId="0" fontId="38" fillId="62" borderId="171" applyNumberFormat="0" applyFont="0" applyAlignment="0" applyProtection="0"/>
    <xf numFmtId="0" fontId="19" fillId="62" borderId="171" applyNumberFormat="0" applyFont="0" applyAlignment="0" applyProtection="0"/>
    <xf numFmtId="0" fontId="60" fillId="59" borderId="168" applyNumberFormat="0" applyAlignment="0" applyProtection="0"/>
    <xf numFmtId="0" fontId="63" fillId="0" borderId="170" applyNumberFormat="0" applyFill="0" applyAlignment="0" applyProtection="0"/>
    <xf numFmtId="0" fontId="44" fillId="59" borderId="169" applyNumberFormat="0" applyAlignment="0" applyProtection="0"/>
    <xf numFmtId="0" fontId="56" fillId="46" borderId="169" applyNumberFormat="0" applyAlignment="0" applyProtection="0"/>
    <xf numFmtId="0" fontId="38" fillId="62" borderId="171" applyNumberFormat="0" applyFont="0" applyAlignment="0" applyProtection="0"/>
    <xf numFmtId="0" fontId="60" fillId="59" borderId="168" applyNumberFormat="0" applyAlignment="0" applyProtection="0"/>
    <xf numFmtId="0" fontId="63" fillId="0" borderId="170" applyNumberFormat="0" applyFill="0" applyAlignment="0" applyProtection="0"/>
    <xf numFmtId="0" fontId="63" fillId="0" borderId="194" applyNumberFormat="0" applyFill="0" applyAlignment="0" applyProtection="0"/>
    <xf numFmtId="0" fontId="60" fillId="59" borderId="192" applyNumberFormat="0" applyAlignment="0" applyProtection="0"/>
    <xf numFmtId="0" fontId="63" fillId="0" borderId="186" applyNumberFormat="0" applyFill="0" applyAlignment="0" applyProtection="0"/>
    <xf numFmtId="0" fontId="44" fillId="59" borderId="169" applyNumberFormat="0" applyAlignment="0" applyProtection="0"/>
    <xf numFmtId="4" fontId="35" fillId="36" borderId="177">
      <alignment horizontal="right" vertical="center"/>
    </xf>
    <xf numFmtId="0" fontId="41" fillId="59" borderId="192" applyNumberFormat="0" applyAlignment="0" applyProtection="0"/>
    <xf numFmtId="0" fontId="56" fillId="46" borderId="169" applyNumberFormat="0" applyAlignment="0" applyProtection="0"/>
    <xf numFmtId="0" fontId="60" fillId="59" borderId="168" applyNumberFormat="0" applyAlignment="0" applyProtection="0"/>
    <xf numFmtId="0" fontId="63" fillId="0" borderId="170" applyNumberFormat="0" applyFill="0" applyAlignment="0" applyProtection="0"/>
    <xf numFmtId="0" fontId="33" fillId="38" borderId="215">
      <alignment horizontal="left" vertical="center" wrapText="1" indent="2"/>
    </xf>
    <xf numFmtId="0" fontId="41" fillId="59" borderId="168" applyNumberFormat="0" applyAlignment="0" applyProtection="0"/>
    <xf numFmtId="0" fontId="43" fillId="59" borderId="169" applyNumberFormat="0" applyAlignment="0" applyProtection="0"/>
    <xf numFmtId="0" fontId="48" fillId="0" borderId="170" applyNumberFormat="0" applyFill="0" applyAlignment="0" applyProtection="0"/>
    <xf numFmtId="49" fontId="33" fillId="0" borderId="172" applyNumberFormat="0" applyFont="0" applyFill="0" applyBorder="0" applyProtection="0">
      <alignment horizontal="left" vertical="center" indent="2"/>
    </xf>
    <xf numFmtId="0" fontId="31" fillId="36" borderId="172">
      <alignment horizontal="right" vertical="center"/>
    </xf>
    <xf numFmtId="4" fontId="31" fillId="36" borderId="172">
      <alignment horizontal="right" vertical="center"/>
    </xf>
    <xf numFmtId="0" fontId="35" fillId="36" borderId="172">
      <alignment horizontal="right" vertical="center"/>
    </xf>
    <xf numFmtId="4" fontId="35" fillId="36" borderId="172">
      <alignment horizontal="right" vertical="center"/>
    </xf>
    <xf numFmtId="0" fontId="31" fillId="38" borderId="172">
      <alignment horizontal="right" vertical="center"/>
    </xf>
    <xf numFmtId="4" fontId="31" fillId="38" borderId="172">
      <alignment horizontal="right" vertical="center"/>
    </xf>
    <xf numFmtId="0" fontId="31" fillId="38" borderId="172">
      <alignment horizontal="right" vertical="center"/>
    </xf>
    <xf numFmtId="4" fontId="31" fillId="38" borderId="172">
      <alignment horizontal="right" vertical="center"/>
    </xf>
    <xf numFmtId="0" fontId="47" fillId="46" borderId="169" applyNumberFormat="0" applyAlignment="0" applyProtection="0"/>
    <xf numFmtId="0" fontId="33" fillId="0" borderId="172">
      <alignment horizontal="right" vertical="center"/>
    </xf>
    <xf numFmtId="4" fontId="33" fillId="0" borderId="172">
      <alignment horizontal="right" vertical="center"/>
    </xf>
    <xf numFmtId="4" fontId="33" fillId="0" borderId="172" applyFill="0" applyBorder="0" applyProtection="0">
      <alignment horizontal="right" vertical="center"/>
    </xf>
    <xf numFmtId="49" fontId="32" fillId="0" borderId="172" applyNumberFormat="0" applyFill="0" applyBorder="0" applyProtection="0">
      <alignment horizontal="left" vertical="center"/>
    </xf>
    <xf numFmtId="0" fontId="33" fillId="0" borderId="172" applyNumberFormat="0" applyFill="0" applyAlignment="0" applyProtection="0"/>
    <xf numFmtId="177" fontId="33" fillId="63" borderId="172" applyNumberFormat="0" applyFont="0" applyBorder="0" applyAlignment="0" applyProtection="0">
      <alignment horizontal="right" vertical="center"/>
    </xf>
    <xf numFmtId="0" fontId="33" fillId="37" borderId="172"/>
    <xf numFmtId="4" fontId="33" fillId="37" borderId="172"/>
    <xf numFmtId="4" fontId="31" fillId="38" borderId="172">
      <alignment horizontal="right" vertical="center"/>
    </xf>
    <xf numFmtId="0" fontId="33" fillId="37" borderId="172"/>
    <xf numFmtId="0" fontId="43" fillId="59" borderId="169" applyNumberFormat="0" applyAlignment="0" applyProtection="0"/>
    <xf numFmtId="0" fontId="31" fillId="36" borderId="172">
      <alignment horizontal="right" vertical="center"/>
    </xf>
    <xf numFmtId="0" fontId="33" fillId="0" borderId="172">
      <alignment horizontal="right" vertical="center"/>
    </xf>
    <xf numFmtId="0" fontId="63" fillId="0" borderId="170" applyNumberFormat="0" applyFill="0" applyAlignment="0" applyProtection="0"/>
    <xf numFmtId="0" fontId="33" fillId="36" borderId="173">
      <alignment horizontal="left" vertical="center"/>
    </xf>
    <xf numFmtId="0" fontId="56" fillId="46" borderId="169" applyNumberFormat="0" applyAlignment="0" applyProtection="0"/>
    <xf numFmtId="177" fontId="33" fillId="63" borderId="172" applyNumberFormat="0" applyFont="0" applyBorder="0" applyAlignment="0" applyProtection="0">
      <alignment horizontal="right" vertical="center"/>
    </xf>
    <xf numFmtId="0" fontId="38" fillId="62" borderId="171" applyNumberFormat="0" applyFont="0" applyAlignment="0" applyProtection="0"/>
    <xf numFmtId="0" fontId="33" fillId="0" borderId="175">
      <alignment horizontal="left" vertical="center" wrapText="1" indent="2"/>
    </xf>
    <xf numFmtId="4" fontId="33" fillId="37" borderId="172"/>
    <xf numFmtId="49" fontId="32" fillId="0" borderId="172" applyNumberFormat="0" applyFill="0" applyBorder="0" applyProtection="0">
      <alignment horizontal="left" vertical="center"/>
    </xf>
    <xf numFmtId="0" fontId="33" fillId="0" borderId="172">
      <alignment horizontal="right" vertical="center"/>
    </xf>
    <xf numFmtId="4" fontId="31" fillId="38" borderId="174">
      <alignment horizontal="right" vertical="center"/>
    </xf>
    <xf numFmtId="4" fontId="31" fillId="38" borderId="172">
      <alignment horizontal="right" vertical="center"/>
    </xf>
    <xf numFmtId="4" fontId="31" fillId="38" borderId="172">
      <alignment horizontal="right" vertical="center"/>
    </xf>
    <xf numFmtId="0" fontId="35" fillId="36" borderId="172">
      <alignment horizontal="right" vertical="center"/>
    </xf>
    <xf numFmtId="0" fontId="31" fillId="36" borderId="172">
      <alignment horizontal="right" vertical="center"/>
    </xf>
    <xf numFmtId="49" fontId="33" fillId="0" borderId="172" applyNumberFormat="0" applyFont="0" applyFill="0" applyBorder="0" applyProtection="0">
      <alignment horizontal="left" vertical="center" indent="2"/>
    </xf>
    <xf numFmtId="0" fontId="56" fillId="46" borderId="169" applyNumberFormat="0" applyAlignment="0" applyProtection="0"/>
    <xf numFmtId="0" fontId="41" fillId="59" borderId="168" applyNumberFormat="0" applyAlignment="0" applyProtection="0"/>
    <xf numFmtId="49" fontId="33" fillId="0" borderId="172" applyNumberFormat="0" applyFont="0" applyFill="0" applyBorder="0" applyProtection="0">
      <alignment horizontal="left" vertical="center" indent="2"/>
    </xf>
    <xf numFmtId="0" fontId="47" fillId="46" borderId="169" applyNumberFormat="0" applyAlignment="0" applyProtection="0"/>
    <xf numFmtId="4" fontId="33" fillId="0" borderId="172" applyFill="0" applyBorder="0" applyProtection="0">
      <alignment horizontal="right" vertical="center"/>
    </xf>
    <xf numFmtId="0" fontId="44" fillId="59" borderId="169" applyNumberFormat="0" applyAlignment="0" applyProtection="0"/>
    <xf numFmtId="0" fontId="63" fillId="0" borderId="170" applyNumberFormat="0" applyFill="0" applyAlignment="0" applyProtection="0"/>
    <xf numFmtId="0" fontId="60" fillId="59" borderId="168" applyNumberFormat="0" applyAlignment="0" applyProtection="0"/>
    <xf numFmtId="0" fontId="33" fillId="0" borderId="172" applyNumberFormat="0" applyFill="0" applyAlignment="0" applyProtection="0"/>
    <xf numFmtId="4" fontId="33" fillId="0" borderId="172">
      <alignment horizontal="right" vertical="center"/>
    </xf>
    <xf numFmtId="0" fontId="33" fillId="0" borderId="172">
      <alignment horizontal="right" vertical="center"/>
    </xf>
    <xf numFmtId="0" fontId="56" fillId="46" borderId="169" applyNumberFormat="0" applyAlignment="0" applyProtection="0"/>
    <xf numFmtId="0" fontId="41" fillId="59" borderId="168" applyNumberFormat="0" applyAlignment="0" applyProtection="0"/>
    <xf numFmtId="0" fontId="43" fillId="59" borderId="169" applyNumberFormat="0" applyAlignment="0" applyProtection="0"/>
    <xf numFmtId="0" fontId="33" fillId="38" borderId="175">
      <alignment horizontal="left" vertical="center" wrapText="1" indent="2"/>
    </xf>
    <xf numFmtId="0" fontId="44" fillId="59" borderId="169" applyNumberFormat="0" applyAlignment="0" applyProtection="0"/>
    <xf numFmtId="0" fontId="44" fillId="59" borderId="169" applyNumberFormat="0" applyAlignment="0" applyProtection="0"/>
    <xf numFmtId="4" fontId="31" fillId="38" borderId="173">
      <alignment horizontal="right" vertical="center"/>
    </xf>
    <xf numFmtId="0" fontId="31" fillId="38" borderId="173">
      <alignment horizontal="right" vertical="center"/>
    </xf>
    <xf numFmtId="0" fontId="31" fillId="38" borderId="172">
      <alignment horizontal="right" vertical="center"/>
    </xf>
    <xf numFmtId="4" fontId="35" fillId="36" borderId="172">
      <alignment horizontal="right" vertical="center"/>
    </xf>
    <xf numFmtId="0" fontId="47" fillId="46" borderId="169" applyNumberFormat="0" applyAlignment="0" applyProtection="0"/>
    <xf numFmtId="0" fontId="48" fillId="0" borderId="170" applyNumberFormat="0" applyFill="0" applyAlignment="0" applyProtection="0"/>
    <xf numFmtId="0" fontId="63" fillId="0" borderId="170" applyNumberFormat="0" applyFill="0" applyAlignment="0" applyProtection="0"/>
    <xf numFmtId="0" fontId="38" fillId="62" borderId="171" applyNumberFormat="0" applyFont="0" applyAlignment="0" applyProtection="0"/>
    <xf numFmtId="0" fontId="56" fillId="46" borderId="169" applyNumberFormat="0" applyAlignment="0" applyProtection="0"/>
    <xf numFmtId="49" fontId="32" fillId="0" borderId="172" applyNumberFormat="0" applyFill="0" applyBorder="0" applyProtection="0">
      <alignment horizontal="left" vertical="center"/>
    </xf>
    <xf numFmtId="0" fontId="33" fillId="38" borderId="175">
      <alignment horizontal="left" vertical="center" wrapText="1" indent="2"/>
    </xf>
    <xf numFmtId="0" fontId="44" fillId="59" borderId="169" applyNumberFormat="0" applyAlignment="0" applyProtection="0"/>
    <xf numFmtId="0" fontId="33" fillId="0" borderId="175">
      <alignment horizontal="left" vertical="center" wrapText="1" indent="2"/>
    </xf>
    <xf numFmtId="0" fontId="38" fillId="62" borderId="171" applyNumberFormat="0" applyFont="0" applyAlignment="0" applyProtection="0"/>
    <xf numFmtId="0" fontId="19" fillId="62" borderId="171" applyNumberFormat="0" applyFont="0" applyAlignment="0" applyProtection="0"/>
    <xf numFmtId="0" fontId="60" fillId="59" borderId="168" applyNumberFormat="0" applyAlignment="0" applyProtection="0"/>
    <xf numFmtId="0" fontId="63" fillId="0" borderId="170" applyNumberFormat="0" applyFill="0" applyAlignment="0" applyProtection="0"/>
    <xf numFmtId="4" fontId="33" fillId="37" borderId="172"/>
    <xf numFmtId="0" fontId="31" fillId="38" borderId="172">
      <alignment horizontal="right" vertical="center"/>
    </xf>
    <xf numFmtId="0" fontId="63" fillId="0" borderId="170" applyNumberFormat="0" applyFill="0" applyAlignment="0" applyProtection="0"/>
    <xf numFmtId="4" fontId="31" fillId="38" borderId="174">
      <alignment horizontal="right" vertical="center"/>
    </xf>
    <xf numFmtId="0" fontId="43" fillId="59" borderId="169" applyNumberFormat="0" applyAlignment="0" applyProtection="0"/>
    <xf numFmtId="0" fontId="31" fillId="38" borderId="173">
      <alignment horizontal="right" vertical="center"/>
    </xf>
    <xf numFmtId="0" fontId="44" fillId="59" borderId="169" applyNumberFormat="0" applyAlignment="0" applyProtection="0"/>
    <xf numFmtId="0" fontId="48" fillId="0" borderId="170" applyNumberFormat="0" applyFill="0" applyAlignment="0" applyProtection="0"/>
    <xf numFmtId="0" fontId="38" fillId="62" borderId="171" applyNumberFormat="0" applyFont="0" applyAlignment="0" applyProtection="0"/>
    <xf numFmtId="4" fontId="31" fillId="38" borderId="173">
      <alignment horizontal="right" vertical="center"/>
    </xf>
    <xf numFmtId="0" fontId="33" fillId="38" borderId="175">
      <alignment horizontal="left" vertical="center" wrapText="1" indent="2"/>
    </xf>
    <xf numFmtId="0" fontId="33" fillId="37" borderId="172"/>
    <xf numFmtId="177" fontId="33" fillId="63" borderId="172" applyNumberFormat="0" applyFont="0" applyBorder="0" applyAlignment="0" applyProtection="0">
      <alignment horizontal="right" vertical="center"/>
    </xf>
    <xf numFmtId="0" fontId="33" fillId="0" borderId="172" applyNumberFormat="0" applyFill="0" applyAlignment="0" applyProtection="0"/>
    <xf numFmtId="4" fontId="33" fillId="0" borderId="172" applyFill="0" applyBorder="0" applyProtection="0">
      <alignment horizontal="right" vertical="center"/>
    </xf>
    <xf numFmtId="4" fontId="31" fillId="36" borderId="172">
      <alignment horizontal="right" vertical="center"/>
    </xf>
    <xf numFmtId="0" fontId="48" fillId="0" borderId="170" applyNumberFormat="0" applyFill="0" applyAlignment="0" applyProtection="0"/>
    <xf numFmtId="49" fontId="32" fillId="0" borderId="172" applyNumberFormat="0" applyFill="0" applyBorder="0" applyProtection="0">
      <alignment horizontal="left" vertical="center"/>
    </xf>
    <xf numFmtId="49" fontId="33" fillId="0" borderId="173" applyNumberFormat="0" applyFont="0" applyFill="0" applyBorder="0" applyProtection="0">
      <alignment horizontal="left" vertical="center" indent="5"/>
    </xf>
    <xf numFmtId="0" fontId="33" fillId="36" borderId="173">
      <alignment horizontal="left" vertical="center"/>
    </xf>
    <xf numFmtId="0" fontId="44" fillId="59" borderId="169" applyNumberFormat="0" applyAlignment="0" applyProtection="0"/>
    <xf numFmtId="4" fontId="31" fillId="38" borderId="174">
      <alignment horizontal="right" vertical="center"/>
    </xf>
    <xf numFmtId="0" fontId="56" fillId="46" borderId="169" applyNumberFormat="0" applyAlignment="0" applyProtection="0"/>
    <xf numFmtId="0" fontId="56" fillId="46" borderId="169" applyNumberFormat="0" applyAlignment="0" applyProtection="0"/>
    <xf numFmtId="0" fontId="38" fillId="62" borderId="171" applyNumberFormat="0" applyFont="0" applyAlignment="0" applyProtection="0"/>
    <xf numFmtId="0" fontId="60" fillId="59" borderId="168" applyNumberFormat="0" applyAlignment="0" applyProtection="0"/>
    <xf numFmtId="0" fontId="63" fillId="0" borderId="170" applyNumberFormat="0" applyFill="0" applyAlignment="0" applyProtection="0"/>
    <xf numFmtId="0" fontId="31" fillId="38" borderId="172">
      <alignment horizontal="right" vertical="center"/>
    </xf>
    <xf numFmtId="0" fontId="19" fillId="62" borderId="171" applyNumberFormat="0" applyFont="0" applyAlignment="0" applyProtection="0"/>
    <xf numFmtId="4" fontId="33" fillId="0" borderId="172">
      <alignment horizontal="right" vertical="center"/>
    </xf>
    <xf numFmtId="0" fontId="63" fillId="0" borderId="170" applyNumberFormat="0" applyFill="0" applyAlignment="0" applyProtection="0"/>
    <xf numFmtId="0" fontId="31" fillId="38" borderId="172">
      <alignment horizontal="right" vertical="center"/>
    </xf>
    <xf numFmtId="0" fontId="31" fillId="38" borderId="172">
      <alignment horizontal="right" vertical="center"/>
    </xf>
    <xf numFmtId="4" fontId="35" fillId="36" borderId="172">
      <alignment horizontal="right" vertical="center"/>
    </xf>
    <xf numFmtId="0" fontId="31" fillId="36" borderId="172">
      <alignment horizontal="right" vertical="center"/>
    </xf>
    <xf numFmtId="4" fontId="31" fillId="36" borderId="172">
      <alignment horizontal="right" vertical="center"/>
    </xf>
    <xf numFmtId="0" fontId="35" fillId="36" borderId="172">
      <alignment horizontal="right" vertical="center"/>
    </xf>
    <xf numFmtId="4" fontId="35" fillId="36" borderId="172">
      <alignment horizontal="right" vertical="center"/>
    </xf>
    <xf numFmtId="0" fontId="31" fillId="38" borderId="172">
      <alignment horizontal="right" vertical="center"/>
    </xf>
    <xf numFmtId="4" fontId="31" fillId="38" borderId="172">
      <alignment horizontal="right" vertical="center"/>
    </xf>
    <xf numFmtId="0" fontId="31" fillId="38" borderId="172">
      <alignment horizontal="right" vertical="center"/>
    </xf>
    <xf numFmtId="4" fontId="31" fillId="38" borderId="172">
      <alignment horizontal="right" vertical="center"/>
    </xf>
    <xf numFmtId="0" fontId="31" fillId="38" borderId="173">
      <alignment horizontal="right" vertical="center"/>
    </xf>
    <xf numFmtId="4" fontId="31" fillId="38" borderId="173">
      <alignment horizontal="right" vertical="center"/>
    </xf>
    <xf numFmtId="0" fontId="31" fillId="38" borderId="174">
      <alignment horizontal="right" vertical="center"/>
    </xf>
    <xf numFmtId="4" fontId="31" fillId="38" borderId="174">
      <alignment horizontal="right" vertical="center"/>
    </xf>
    <xf numFmtId="0" fontId="44" fillId="59" borderId="169" applyNumberFormat="0" applyAlignment="0" applyProtection="0"/>
    <xf numFmtId="0" fontId="33" fillId="38" borderId="175">
      <alignment horizontal="left" vertical="center" wrapText="1" indent="2"/>
    </xf>
    <xf numFmtId="0" fontId="33" fillId="0" borderId="175">
      <alignment horizontal="left" vertical="center" wrapText="1" indent="2"/>
    </xf>
    <xf numFmtId="0" fontId="33" fillId="36" borderId="173">
      <alignment horizontal="left" vertical="center"/>
    </xf>
    <xf numFmtId="0" fontId="56" fillId="46" borderId="169" applyNumberFormat="0" applyAlignment="0" applyProtection="0"/>
    <xf numFmtId="0" fontId="33" fillId="0" borderId="172">
      <alignment horizontal="right" vertical="center"/>
    </xf>
    <xf numFmtId="4" fontId="33" fillId="0" borderId="172">
      <alignment horizontal="right" vertical="center"/>
    </xf>
    <xf numFmtId="0" fontId="33" fillId="0" borderId="172" applyNumberFormat="0" applyFill="0" applyAlignment="0" applyProtection="0"/>
    <xf numFmtId="0" fontId="60" fillId="59" borderId="168" applyNumberFormat="0" applyAlignment="0" applyProtection="0"/>
    <xf numFmtId="177" fontId="33" fillId="63" borderId="172" applyNumberFormat="0" applyFont="0" applyBorder="0" applyAlignment="0" applyProtection="0">
      <alignment horizontal="right" vertical="center"/>
    </xf>
    <xf numFmtId="0" fontId="33" fillId="37" borderId="172"/>
    <xf numFmtId="4" fontId="33" fillId="37" borderId="172"/>
    <xf numFmtId="0" fontId="63" fillId="0" borderId="170" applyNumberFormat="0" applyFill="0" applyAlignment="0" applyProtection="0"/>
    <xf numFmtId="0" fontId="19" fillId="62" borderId="171" applyNumberFormat="0" applyFont="0" applyAlignment="0" applyProtection="0"/>
    <xf numFmtId="0" fontId="38" fillId="62" borderId="171" applyNumberFormat="0" applyFont="0" applyAlignment="0" applyProtection="0"/>
    <xf numFmtId="0" fontId="33" fillId="0" borderId="172" applyNumberFormat="0" applyFill="0" applyAlignment="0" applyProtection="0"/>
    <xf numFmtId="0" fontId="48" fillId="0" borderId="170" applyNumberFormat="0" applyFill="0" applyAlignment="0" applyProtection="0"/>
    <xf numFmtId="0" fontId="63" fillId="0" borderId="170" applyNumberFormat="0" applyFill="0" applyAlignment="0" applyProtection="0"/>
    <xf numFmtId="0" fontId="47" fillId="46" borderId="169" applyNumberFormat="0" applyAlignment="0" applyProtection="0"/>
    <xf numFmtId="0" fontId="44" fillId="59" borderId="169" applyNumberFormat="0" applyAlignment="0" applyProtection="0"/>
    <xf numFmtId="4" fontId="35" fillId="36" borderId="172">
      <alignment horizontal="right" vertical="center"/>
    </xf>
    <xf numFmtId="0" fontId="31" fillId="36" borderId="172">
      <alignment horizontal="right" vertical="center"/>
    </xf>
    <xf numFmtId="177" fontId="33" fillId="63" borderId="172" applyNumberFormat="0" applyFont="0" applyBorder="0" applyAlignment="0" applyProtection="0">
      <alignment horizontal="right" vertical="center"/>
    </xf>
    <xf numFmtId="0" fontId="48" fillId="0" borderId="170" applyNumberFormat="0" applyFill="0" applyAlignment="0" applyProtection="0"/>
    <xf numFmtId="49" fontId="33" fillId="0" borderId="172" applyNumberFormat="0" applyFont="0" applyFill="0" applyBorder="0" applyProtection="0">
      <alignment horizontal="left" vertical="center" indent="2"/>
    </xf>
    <xf numFmtId="49" fontId="33" fillId="0" borderId="173" applyNumberFormat="0" applyFont="0" applyFill="0" applyBorder="0" applyProtection="0">
      <alignment horizontal="left" vertical="center" indent="5"/>
    </xf>
    <xf numFmtId="49" fontId="33" fillId="0" borderId="172" applyNumberFormat="0" applyFont="0" applyFill="0" applyBorder="0" applyProtection="0">
      <alignment horizontal="left" vertical="center" indent="2"/>
    </xf>
    <xf numFmtId="4" fontId="33" fillId="0" borderId="172" applyFill="0" applyBorder="0" applyProtection="0">
      <alignment horizontal="right" vertical="center"/>
    </xf>
    <xf numFmtId="49" fontId="32" fillId="0" borderId="172" applyNumberFormat="0" applyFill="0" applyBorder="0" applyProtection="0">
      <alignment horizontal="left" vertical="center"/>
    </xf>
    <xf numFmtId="0" fontId="33" fillId="0" borderId="175">
      <alignment horizontal="left" vertical="center" wrapText="1" indent="2"/>
    </xf>
    <xf numFmtId="0" fontId="60" fillId="59" borderId="168" applyNumberFormat="0" applyAlignment="0" applyProtection="0"/>
    <xf numFmtId="0" fontId="31" fillId="38" borderId="174">
      <alignment horizontal="right" vertical="center"/>
    </xf>
    <xf numFmtId="0" fontId="47" fillId="46" borderId="169" applyNumberFormat="0" applyAlignment="0" applyProtection="0"/>
    <xf numFmtId="0" fontId="31" fillId="38" borderId="174">
      <alignment horizontal="right" vertical="center"/>
    </xf>
    <xf numFmtId="4" fontId="31" fillId="38" borderId="172">
      <alignment horizontal="right" vertical="center"/>
    </xf>
    <xf numFmtId="0" fontId="31" fillId="38" borderId="172">
      <alignment horizontal="right" vertical="center"/>
    </xf>
    <xf numFmtId="0" fontId="41" fillId="59" borderId="168" applyNumberFormat="0" applyAlignment="0" applyProtection="0"/>
    <xf numFmtId="0" fontId="43" fillId="59" borderId="169" applyNumberFormat="0" applyAlignment="0" applyProtection="0"/>
    <xf numFmtId="0" fontId="48" fillId="0" borderId="170" applyNumberFormat="0" applyFill="0" applyAlignment="0" applyProtection="0"/>
    <xf numFmtId="0" fontId="33" fillId="37" borderId="172"/>
    <xf numFmtId="4" fontId="33" fillId="37" borderId="172"/>
    <xf numFmtId="4" fontId="31" fillId="38" borderId="172">
      <alignment horizontal="right" vertical="center"/>
    </xf>
    <xf numFmtId="0" fontId="35" fillId="36" borderId="172">
      <alignment horizontal="right" vertical="center"/>
    </xf>
    <xf numFmtId="0" fontId="47" fillId="46" borderId="169" applyNumberFormat="0" applyAlignment="0" applyProtection="0"/>
    <xf numFmtId="0" fontId="44" fillId="59" borderId="169" applyNumberFormat="0" applyAlignment="0" applyProtection="0"/>
    <xf numFmtId="4" fontId="33" fillId="0" borderId="172">
      <alignment horizontal="right" vertical="center"/>
    </xf>
    <xf numFmtId="0" fontId="33" fillId="38" borderId="175">
      <alignment horizontal="left" vertical="center" wrapText="1" indent="2"/>
    </xf>
    <xf numFmtId="0" fontId="33" fillId="0" borderId="175">
      <alignment horizontal="left" vertical="center" wrapText="1" indent="2"/>
    </xf>
    <xf numFmtId="0" fontId="60" fillId="59" borderId="168" applyNumberFormat="0" applyAlignment="0" applyProtection="0"/>
    <xf numFmtId="0" fontId="56" fillId="46" borderId="169" applyNumberFormat="0" applyAlignment="0" applyProtection="0"/>
    <xf numFmtId="0" fontId="43" fillId="59" borderId="169" applyNumberFormat="0" applyAlignment="0" applyProtection="0"/>
    <xf numFmtId="0" fontId="41" fillId="59" borderId="168" applyNumberFormat="0" applyAlignment="0" applyProtection="0"/>
    <xf numFmtId="0" fontId="31" fillId="38" borderId="174">
      <alignment horizontal="right" vertical="center"/>
    </xf>
    <xf numFmtId="0" fontId="35" fillId="36" borderId="172">
      <alignment horizontal="right" vertical="center"/>
    </xf>
    <xf numFmtId="4" fontId="31" fillId="36" borderId="172">
      <alignment horizontal="right" vertical="center"/>
    </xf>
    <xf numFmtId="4" fontId="31" fillId="38" borderId="172">
      <alignment horizontal="right" vertical="center"/>
    </xf>
    <xf numFmtId="49" fontId="33" fillId="0" borderId="173" applyNumberFormat="0" applyFont="0" applyFill="0" applyBorder="0" applyProtection="0">
      <alignment horizontal="left" vertical="center" indent="5"/>
    </xf>
    <xf numFmtId="4" fontId="33" fillId="0" borderId="172" applyFill="0" applyBorder="0" applyProtection="0">
      <alignment horizontal="right" vertical="center"/>
    </xf>
    <xf numFmtId="4" fontId="31" fillId="36" borderId="172">
      <alignment horizontal="right" vertical="center"/>
    </xf>
    <xf numFmtId="0" fontId="56" fillId="46" borderId="169" applyNumberFormat="0" applyAlignment="0" applyProtection="0"/>
    <xf numFmtId="0" fontId="47" fillId="46" borderId="169" applyNumberFormat="0" applyAlignment="0" applyProtection="0"/>
    <xf numFmtId="0" fontId="43" fillId="59" borderId="169" applyNumberFormat="0" applyAlignment="0" applyProtection="0"/>
    <xf numFmtId="0" fontId="33" fillId="38" borderId="175">
      <alignment horizontal="left" vertical="center" wrapText="1" indent="2"/>
    </xf>
    <xf numFmtId="0" fontId="33" fillId="0" borderId="175">
      <alignment horizontal="left" vertical="center" wrapText="1" indent="2"/>
    </xf>
    <xf numFmtId="0" fontId="33" fillId="38" borderId="175">
      <alignment horizontal="left" vertical="center" wrapText="1" indent="2"/>
    </xf>
    <xf numFmtId="0" fontId="43" fillId="59" borderId="185" applyNumberFormat="0" applyAlignment="0" applyProtection="0"/>
    <xf numFmtId="0" fontId="35" fillId="36" borderId="196">
      <alignment horizontal="right" vertical="center"/>
    </xf>
    <xf numFmtId="0" fontId="1" fillId="30" borderId="0" applyNumberFormat="0" applyBorder="0" applyAlignment="0" applyProtection="0"/>
    <xf numFmtId="4" fontId="33" fillId="37" borderId="196"/>
    <xf numFmtId="4" fontId="31" fillId="38" borderId="198">
      <alignment horizontal="right" vertical="center"/>
    </xf>
    <xf numFmtId="0" fontId="43" fillId="59" borderId="209" applyNumberFormat="0" applyAlignment="0" applyProtection="0"/>
    <xf numFmtId="0" fontId="56" fillId="46" borderId="185" applyNumberFormat="0" applyAlignment="0" applyProtection="0"/>
    <xf numFmtId="49" fontId="33" fillId="0" borderId="212" applyNumberFormat="0" applyFont="0" applyFill="0" applyBorder="0" applyProtection="0">
      <alignment horizontal="left" vertical="center" indent="2"/>
    </xf>
    <xf numFmtId="0" fontId="43" fillId="59" borderId="193" applyNumberFormat="0" applyAlignment="0" applyProtection="0"/>
    <xf numFmtId="0" fontId="31" fillId="38" borderId="196">
      <alignment horizontal="right" vertical="center"/>
    </xf>
    <xf numFmtId="0" fontId="56" fillId="46" borderId="193" applyNumberFormat="0" applyAlignment="0" applyProtection="0"/>
    <xf numFmtId="0" fontId="33" fillId="38" borderId="199">
      <alignment horizontal="left" vertical="center" wrapText="1" indent="2"/>
    </xf>
    <xf numFmtId="43" fontId="36" fillId="0" borderId="0" applyFont="0" applyFill="0" applyBorder="0" applyAlignment="0" applyProtection="0"/>
    <xf numFmtId="49" fontId="33" fillId="0" borderId="197" applyNumberFormat="0" applyFont="0" applyFill="0" applyBorder="0" applyProtection="0">
      <alignment horizontal="left" vertical="center" indent="5"/>
    </xf>
    <xf numFmtId="0" fontId="33" fillId="36" borderId="197">
      <alignment horizontal="left" vertical="center"/>
    </xf>
    <xf numFmtId="0" fontId="44" fillId="59" borderId="193" applyNumberFormat="0" applyAlignment="0" applyProtection="0"/>
    <xf numFmtId="0" fontId="4" fillId="26" borderId="0" applyNumberFormat="0" applyBorder="0" applyAlignment="0" applyProtection="0"/>
    <xf numFmtId="4" fontId="35" fillId="36" borderId="212">
      <alignment horizontal="right" vertical="center"/>
    </xf>
    <xf numFmtId="0" fontId="43" fillId="59" borderId="193" applyNumberFormat="0" applyAlignment="0" applyProtection="0"/>
    <xf numFmtId="4" fontId="33" fillId="0" borderId="196" applyFill="0" applyBorder="0" applyProtection="0">
      <alignment horizontal="right" vertical="center"/>
    </xf>
    <xf numFmtId="0" fontId="26" fillId="17" borderId="10" applyNumberFormat="0" applyAlignment="0" applyProtection="0"/>
    <xf numFmtId="0" fontId="56" fillId="46" borderId="193" applyNumberFormat="0" applyAlignment="0" applyProtection="0"/>
    <xf numFmtId="4" fontId="31" fillId="38" borderId="204">
      <alignment horizontal="right" vertical="center"/>
    </xf>
    <xf numFmtId="0" fontId="47" fillId="46" borderId="193" applyNumberFormat="0" applyAlignment="0" applyProtection="0"/>
    <xf numFmtId="0" fontId="33" fillId="36" borderId="197">
      <alignment horizontal="left" vertical="center"/>
    </xf>
    <xf numFmtId="0" fontId="63" fillId="0" borderId="194" applyNumberFormat="0" applyFill="0" applyAlignment="0" applyProtection="0"/>
    <xf numFmtId="4" fontId="31" fillId="36" borderId="196">
      <alignment horizontal="right" vertical="center"/>
    </xf>
    <xf numFmtId="0" fontId="56" fillId="46" borderId="193" applyNumberFormat="0" applyAlignment="0" applyProtection="0"/>
    <xf numFmtId="4" fontId="33" fillId="0" borderId="196">
      <alignment horizontal="right" vertical="center"/>
    </xf>
    <xf numFmtId="0" fontId="19" fillId="62" borderId="195" applyNumberFormat="0" applyFont="0" applyAlignment="0" applyProtection="0"/>
    <xf numFmtId="0" fontId="1" fillId="24" borderId="0" applyNumberFormat="0" applyBorder="0" applyAlignment="0" applyProtection="0"/>
    <xf numFmtId="0" fontId="31" fillId="38" borderId="177">
      <alignment horizontal="right" vertical="center"/>
    </xf>
    <xf numFmtId="4" fontId="35" fillId="36" borderId="196">
      <alignment horizontal="right" vertical="center"/>
    </xf>
    <xf numFmtId="0" fontId="63" fillId="0" borderId="194" applyNumberFormat="0" applyFill="0" applyAlignment="0" applyProtection="0"/>
    <xf numFmtId="0" fontId="56" fillId="46" borderId="193" applyNumberFormat="0" applyAlignment="0" applyProtection="0"/>
    <xf numFmtId="0" fontId="35" fillId="36" borderId="177">
      <alignment horizontal="right" vertical="center"/>
    </xf>
    <xf numFmtId="0" fontId="33" fillId="37" borderId="177"/>
    <xf numFmtId="0" fontId="31" fillId="38" borderId="179">
      <alignment horizontal="right" vertical="center"/>
    </xf>
    <xf numFmtId="0" fontId="31" fillId="38" borderId="177">
      <alignment horizontal="right" vertical="center"/>
    </xf>
    <xf numFmtId="0" fontId="1" fillId="30" borderId="0" applyNumberFormat="0" applyBorder="0" applyAlignment="0" applyProtection="0"/>
    <xf numFmtId="0" fontId="35" fillId="36" borderId="196">
      <alignment horizontal="right" vertical="center"/>
    </xf>
    <xf numFmtId="0" fontId="1" fillId="3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6" borderId="0" applyNumberFormat="0" applyBorder="0" applyAlignment="0" applyProtection="0"/>
    <xf numFmtId="0" fontId="4" fillId="20" borderId="0" applyNumberFormat="0" applyBorder="0" applyAlignment="0" applyProtection="0"/>
    <xf numFmtId="177" fontId="33" fillId="63" borderId="217" applyNumberFormat="0" applyFont="0" applyBorder="0" applyAlignment="0" applyProtection="0">
      <alignment horizontal="right" vertical="center"/>
    </xf>
    <xf numFmtId="0" fontId="33" fillId="0" borderId="191">
      <alignment horizontal="left" vertical="center" wrapText="1" indent="2"/>
    </xf>
    <xf numFmtId="0" fontId="31" fillId="38" borderId="190">
      <alignment horizontal="right" vertical="center"/>
    </xf>
    <xf numFmtId="4" fontId="31" fillId="38" borderId="177">
      <alignment horizontal="right" vertical="center"/>
    </xf>
    <xf numFmtId="0" fontId="33" fillId="37" borderId="177"/>
    <xf numFmtId="0" fontId="43" fillId="59" borderId="182" applyNumberFormat="0" applyAlignment="0" applyProtection="0"/>
    <xf numFmtId="0" fontId="31" fillId="36" borderId="177">
      <alignment horizontal="right" vertical="center"/>
    </xf>
    <xf numFmtId="0" fontId="33" fillId="0" borderId="177">
      <alignment horizontal="right" vertical="center"/>
    </xf>
    <xf numFmtId="0" fontId="63" fillId="0" borderId="183" applyNumberFormat="0" applyFill="0" applyAlignment="0" applyProtection="0"/>
    <xf numFmtId="0" fontId="33" fillId="36" borderId="178">
      <alignment horizontal="left" vertical="center"/>
    </xf>
    <xf numFmtId="0" fontId="56" fillId="46" borderId="182" applyNumberFormat="0" applyAlignment="0" applyProtection="0"/>
    <xf numFmtId="177" fontId="33" fillId="63" borderId="177" applyNumberFormat="0" applyFont="0" applyBorder="0" applyAlignment="0" applyProtection="0">
      <alignment horizontal="right" vertical="center"/>
    </xf>
    <xf numFmtId="0" fontId="38" fillId="62" borderId="176" applyNumberFormat="0" applyFont="0" applyAlignment="0" applyProtection="0"/>
    <xf numFmtId="0" fontId="33" fillId="0" borderId="180">
      <alignment horizontal="left" vertical="center" wrapText="1" indent="2"/>
    </xf>
    <xf numFmtId="4" fontId="33" fillId="37" borderId="177"/>
    <xf numFmtId="49" fontId="32" fillId="0" borderId="177" applyNumberFormat="0" applyFill="0" applyBorder="0" applyProtection="0">
      <alignment horizontal="left" vertical="center"/>
    </xf>
    <xf numFmtId="0" fontId="33" fillId="0" borderId="177">
      <alignment horizontal="right" vertical="center"/>
    </xf>
    <xf numFmtId="4" fontId="31" fillId="38" borderId="179">
      <alignment horizontal="right" vertical="center"/>
    </xf>
    <xf numFmtId="4" fontId="31" fillId="38" borderId="177">
      <alignment horizontal="right" vertical="center"/>
    </xf>
    <xf numFmtId="4" fontId="31" fillId="38" borderId="177">
      <alignment horizontal="right" vertical="center"/>
    </xf>
    <xf numFmtId="0" fontId="35" fillId="36" borderId="177">
      <alignment horizontal="right" vertical="center"/>
    </xf>
    <xf numFmtId="0" fontId="31" fillId="36" borderId="177">
      <alignment horizontal="right" vertical="center"/>
    </xf>
    <xf numFmtId="49" fontId="33" fillId="0" borderId="177" applyNumberFormat="0" applyFont="0" applyFill="0" applyBorder="0" applyProtection="0">
      <alignment horizontal="left" vertical="center" indent="2"/>
    </xf>
    <xf numFmtId="0" fontId="56" fillId="46" borderId="182" applyNumberFormat="0" applyAlignment="0" applyProtection="0"/>
    <xf numFmtId="0" fontId="41" fillId="59" borderId="181" applyNumberFormat="0" applyAlignment="0" applyProtection="0"/>
    <xf numFmtId="49" fontId="33" fillId="0" borderId="177" applyNumberFormat="0" applyFont="0" applyFill="0" applyBorder="0" applyProtection="0">
      <alignment horizontal="left" vertical="center" indent="2"/>
    </xf>
    <xf numFmtId="0" fontId="47" fillId="46" borderId="182" applyNumberFormat="0" applyAlignment="0" applyProtection="0"/>
    <xf numFmtId="4" fontId="33" fillId="0" borderId="177" applyFill="0" applyBorder="0" applyProtection="0">
      <alignment horizontal="right" vertical="center"/>
    </xf>
    <xf numFmtId="0" fontId="44" fillId="59" borderId="182" applyNumberFormat="0" applyAlignment="0" applyProtection="0"/>
    <xf numFmtId="0" fontId="63" fillId="0" borderId="183" applyNumberFormat="0" applyFill="0" applyAlignment="0" applyProtection="0"/>
    <xf numFmtId="0" fontId="60" fillId="59" borderId="181" applyNumberFormat="0" applyAlignment="0" applyProtection="0"/>
    <xf numFmtId="0" fontId="33" fillId="0" borderId="177" applyNumberFormat="0" applyFill="0" applyAlignment="0" applyProtection="0"/>
    <xf numFmtId="4" fontId="33" fillId="0" borderId="177">
      <alignment horizontal="right" vertical="center"/>
    </xf>
    <xf numFmtId="0" fontId="33" fillId="0" borderId="177">
      <alignment horizontal="right" vertical="center"/>
    </xf>
    <xf numFmtId="0" fontId="56" fillId="46" borderId="182" applyNumberFormat="0" applyAlignment="0" applyProtection="0"/>
    <xf numFmtId="0" fontId="41" fillId="59" borderId="181" applyNumberFormat="0" applyAlignment="0" applyProtection="0"/>
    <xf numFmtId="0" fontId="43" fillId="59" borderId="182" applyNumberFormat="0" applyAlignment="0" applyProtection="0"/>
    <xf numFmtId="0" fontId="33" fillId="38" borderId="180">
      <alignment horizontal="left" vertical="center" wrapText="1" indent="2"/>
    </xf>
    <xf numFmtId="0" fontId="44" fillId="59" borderId="182" applyNumberFormat="0" applyAlignment="0" applyProtection="0"/>
    <xf numFmtId="0" fontId="44" fillId="59" borderId="182" applyNumberFormat="0" applyAlignment="0" applyProtection="0"/>
    <xf numFmtId="4" fontId="31" fillId="38" borderId="178">
      <alignment horizontal="right" vertical="center"/>
    </xf>
    <xf numFmtId="0" fontId="31" fillId="38" borderId="178">
      <alignment horizontal="right" vertical="center"/>
    </xf>
    <xf numFmtId="0" fontId="31" fillId="38" borderId="177">
      <alignment horizontal="right" vertical="center"/>
    </xf>
    <xf numFmtId="4" fontId="35" fillId="36" borderId="177">
      <alignment horizontal="right" vertical="center"/>
    </xf>
    <xf numFmtId="0" fontId="47" fillId="46" borderId="182" applyNumberFormat="0" applyAlignment="0" applyProtection="0"/>
    <xf numFmtId="0" fontId="48" fillId="0" borderId="183" applyNumberFormat="0" applyFill="0" applyAlignment="0" applyProtection="0"/>
    <xf numFmtId="0" fontId="63" fillId="0" borderId="183" applyNumberFormat="0" applyFill="0" applyAlignment="0" applyProtection="0"/>
    <xf numFmtId="0" fontId="38" fillId="62" borderId="176" applyNumberFormat="0" applyFont="0" applyAlignment="0" applyProtection="0"/>
    <xf numFmtId="0" fontId="56" fillId="46" borderId="182" applyNumberFormat="0" applyAlignment="0" applyProtection="0"/>
    <xf numFmtId="49" fontId="32" fillId="0" borderId="177" applyNumberFormat="0" applyFill="0" applyBorder="0" applyProtection="0">
      <alignment horizontal="left" vertical="center"/>
    </xf>
    <xf numFmtId="0" fontId="33" fillId="38" borderId="180">
      <alignment horizontal="left" vertical="center" wrapText="1" indent="2"/>
    </xf>
    <xf numFmtId="0" fontId="44" fillId="59" borderId="182" applyNumberFormat="0" applyAlignment="0" applyProtection="0"/>
    <xf numFmtId="0" fontId="33" fillId="0" borderId="180">
      <alignment horizontal="left" vertical="center" wrapText="1" indent="2"/>
    </xf>
    <xf numFmtId="0" fontId="38" fillId="62" borderId="176" applyNumberFormat="0" applyFont="0" applyAlignment="0" applyProtection="0"/>
    <xf numFmtId="0" fontId="19" fillId="62" borderId="176" applyNumberFormat="0" applyFont="0" applyAlignment="0" applyProtection="0"/>
    <xf numFmtId="0" fontId="60" fillId="59" borderId="181" applyNumberFormat="0" applyAlignment="0" applyProtection="0"/>
    <xf numFmtId="0" fontId="63" fillId="0" borderId="183" applyNumberFormat="0" applyFill="0" applyAlignment="0" applyProtection="0"/>
    <xf numFmtId="4" fontId="33" fillId="37" borderId="177"/>
    <xf numFmtId="0" fontId="31" fillId="38" borderId="177">
      <alignment horizontal="right" vertical="center"/>
    </xf>
    <xf numFmtId="0" fontId="63" fillId="0" borderId="183" applyNumberFormat="0" applyFill="0" applyAlignment="0" applyProtection="0"/>
    <xf numFmtId="4" fontId="31" fillId="38" borderId="179">
      <alignment horizontal="right" vertical="center"/>
    </xf>
    <xf numFmtId="0" fontId="43" fillId="59" borderId="182" applyNumberFormat="0" applyAlignment="0" applyProtection="0"/>
    <xf numFmtId="0" fontId="31" fillId="38" borderId="178">
      <alignment horizontal="right" vertical="center"/>
    </xf>
    <xf numFmtId="0" fontId="44" fillId="59" borderId="182" applyNumberFormat="0" applyAlignment="0" applyProtection="0"/>
    <xf numFmtId="0" fontId="48" fillId="0" borderId="183" applyNumberFormat="0" applyFill="0" applyAlignment="0" applyProtection="0"/>
    <xf numFmtId="0" fontId="38" fillId="62" borderId="176" applyNumberFormat="0" applyFont="0" applyAlignment="0" applyProtection="0"/>
    <xf numFmtId="4" fontId="31" fillId="38" borderId="178">
      <alignment horizontal="right" vertical="center"/>
    </xf>
    <xf numFmtId="0" fontId="33" fillId="38" borderId="180">
      <alignment horizontal="left" vertical="center" wrapText="1" indent="2"/>
    </xf>
    <xf numFmtId="0" fontId="33" fillId="37" borderId="177"/>
    <xf numFmtId="177" fontId="33" fillId="63" borderId="177" applyNumberFormat="0" applyFont="0" applyBorder="0" applyAlignment="0" applyProtection="0">
      <alignment horizontal="right" vertical="center"/>
    </xf>
    <xf numFmtId="0" fontId="33" fillId="0" borderId="177" applyNumberFormat="0" applyFill="0" applyAlignment="0" applyProtection="0"/>
    <xf numFmtId="4" fontId="33" fillId="0" borderId="177" applyFill="0" applyBorder="0" applyProtection="0">
      <alignment horizontal="right" vertical="center"/>
    </xf>
    <xf numFmtId="4" fontId="31" fillId="36" borderId="177">
      <alignment horizontal="right" vertical="center"/>
    </xf>
    <xf numFmtId="0" fontId="48" fillId="0" borderId="183" applyNumberFormat="0" applyFill="0" applyAlignment="0" applyProtection="0"/>
    <xf numFmtId="49" fontId="32" fillId="0" borderId="177" applyNumberFormat="0" applyFill="0" applyBorder="0" applyProtection="0">
      <alignment horizontal="left" vertical="center"/>
    </xf>
    <xf numFmtId="49" fontId="33" fillId="0" borderId="178" applyNumberFormat="0" applyFont="0" applyFill="0" applyBorder="0" applyProtection="0">
      <alignment horizontal="left" vertical="center" indent="5"/>
    </xf>
    <xf numFmtId="0" fontId="33" fillId="36" borderId="178">
      <alignment horizontal="left" vertical="center"/>
    </xf>
    <xf numFmtId="0" fontId="44" fillId="59" borderId="182" applyNumberFormat="0" applyAlignment="0" applyProtection="0"/>
    <xf numFmtId="4" fontId="31" fillId="38" borderId="179">
      <alignment horizontal="right" vertical="center"/>
    </xf>
    <xf numFmtId="0" fontId="56" fillId="46" borderId="182" applyNumberFormat="0" applyAlignment="0" applyProtection="0"/>
    <xf numFmtId="0" fontId="56" fillId="46" borderId="182" applyNumberFormat="0" applyAlignment="0" applyProtection="0"/>
    <xf numFmtId="0" fontId="38" fillId="62" borderId="176" applyNumberFormat="0" applyFont="0" applyAlignment="0" applyProtection="0"/>
    <xf numFmtId="0" fontId="60" fillId="59" borderId="181" applyNumberFormat="0" applyAlignment="0" applyProtection="0"/>
    <xf numFmtId="0" fontId="63" fillId="0" borderId="183" applyNumberFormat="0" applyFill="0" applyAlignment="0" applyProtection="0"/>
    <xf numFmtId="0" fontId="31" fillId="38" borderId="177">
      <alignment horizontal="right" vertical="center"/>
    </xf>
    <xf numFmtId="0" fontId="19" fillId="62" borderId="176" applyNumberFormat="0" applyFont="0" applyAlignment="0" applyProtection="0"/>
    <xf numFmtId="4" fontId="33" fillId="0" borderId="177">
      <alignment horizontal="right" vertical="center"/>
    </xf>
    <xf numFmtId="0" fontId="63" fillId="0" borderId="183" applyNumberFormat="0" applyFill="0" applyAlignment="0" applyProtection="0"/>
    <xf numFmtId="0" fontId="31" fillId="38" borderId="177">
      <alignment horizontal="right" vertical="center"/>
    </xf>
    <xf numFmtId="0" fontId="31" fillId="38" borderId="177">
      <alignment horizontal="right" vertical="center"/>
    </xf>
    <xf numFmtId="4" fontId="35" fillId="36" borderId="177">
      <alignment horizontal="right" vertical="center"/>
    </xf>
    <xf numFmtId="0" fontId="31" fillId="36" borderId="177">
      <alignment horizontal="right" vertical="center"/>
    </xf>
    <xf numFmtId="4" fontId="31" fillId="36" borderId="177">
      <alignment horizontal="right" vertical="center"/>
    </xf>
    <xf numFmtId="0" fontId="35" fillId="36" borderId="177">
      <alignment horizontal="right" vertical="center"/>
    </xf>
    <xf numFmtId="4" fontId="35" fillId="36" borderId="177">
      <alignment horizontal="right" vertical="center"/>
    </xf>
    <xf numFmtId="0" fontId="31" fillId="38" borderId="177">
      <alignment horizontal="right" vertical="center"/>
    </xf>
    <xf numFmtId="4" fontId="31" fillId="38" borderId="177">
      <alignment horizontal="right" vertical="center"/>
    </xf>
    <xf numFmtId="0" fontId="31" fillId="38" borderId="177">
      <alignment horizontal="right" vertical="center"/>
    </xf>
    <xf numFmtId="4" fontId="31" fillId="38" borderId="177">
      <alignment horizontal="right" vertical="center"/>
    </xf>
    <xf numFmtId="0" fontId="31" fillId="38" borderId="178">
      <alignment horizontal="right" vertical="center"/>
    </xf>
    <xf numFmtId="4" fontId="31" fillId="38" borderId="178">
      <alignment horizontal="right" vertical="center"/>
    </xf>
    <xf numFmtId="0" fontId="31" fillId="38" borderId="179">
      <alignment horizontal="right" vertical="center"/>
    </xf>
    <xf numFmtId="4" fontId="31" fillId="38" borderId="179">
      <alignment horizontal="right" vertical="center"/>
    </xf>
    <xf numFmtId="0" fontId="44" fillId="59" borderId="182" applyNumberFormat="0" applyAlignment="0" applyProtection="0"/>
    <xf numFmtId="0" fontId="33" fillId="38" borderId="180">
      <alignment horizontal="left" vertical="center" wrapText="1" indent="2"/>
    </xf>
    <xf numFmtId="0" fontId="33" fillId="0" borderId="180">
      <alignment horizontal="left" vertical="center" wrapText="1" indent="2"/>
    </xf>
    <xf numFmtId="0" fontId="33" fillId="36" borderId="178">
      <alignment horizontal="left" vertical="center"/>
    </xf>
    <xf numFmtId="0" fontId="56" fillId="46" borderId="182" applyNumberFormat="0" applyAlignment="0" applyProtection="0"/>
    <xf numFmtId="0" fontId="33" fillId="0" borderId="177">
      <alignment horizontal="right" vertical="center"/>
    </xf>
    <xf numFmtId="4" fontId="33" fillId="0" borderId="177">
      <alignment horizontal="right" vertical="center"/>
    </xf>
    <xf numFmtId="0" fontId="33" fillId="0" borderId="177" applyNumberFormat="0" applyFill="0" applyAlignment="0" applyProtection="0"/>
    <xf numFmtId="0" fontId="60" fillId="59" borderId="181" applyNumberFormat="0" applyAlignment="0" applyProtection="0"/>
    <xf numFmtId="177" fontId="33" fillId="63" borderId="177" applyNumberFormat="0" applyFont="0" applyBorder="0" applyAlignment="0" applyProtection="0">
      <alignment horizontal="right" vertical="center"/>
    </xf>
    <xf numFmtId="0" fontId="33" fillId="37" borderId="177"/>
    <xf numFmtId="4" fontId="33" fillId="37" borderId="177"/>
    <xf numFmtId="0" fontId="63" fillId="0" borderId="183" applyNumberFormat="0" applyFill="0" applyAlignment="0" applyProtection="0"/>
    <xf numFmtId="0" fontId="19" fillId="62" borderId="176" applyNumberFormat="0" applyFont="0" applyAlignment="0" applyProtection="0"/>
    <xf numFmtId="0" fontId="38" fillId="62" borderId="176" applyNumberFormat="0" applyFont="0" applyAlignment="0" applyProtection="0"/>
    <xf numFmtId="0" fontId="33" fillId="0" borderId="177" applyNumberFormat="0" applyFill="0" applyAlignment="0" applyProtection="0"/>
    <xf numFmtId="0" fontId="48" fillId="0" borderId="183" applyNumberFormat="0" applyFill="0" applyAlignment="0" applyProtection="0"/>
    <xf numFmtId="0" fontId="63" fillId="0" borderId="183" applyNumberFormat="0" applyFill="0" applyAlignment="0" applyProtection="0"/>
    <xf numFmtId="0" fontId="47" fillId="46" borderId="182" applyNumberFormat="0" applyAlignment="0" applyProtection="0"/>
    <xf numFmtId="0" fontId="44" fillId="59" borderId="182" applyNumberFormat="0" applyAlignment="0" applyProtection="0"/>
    <xf numFmtId="4" fontId="35" fillId="36" borderId="177">
      <alignment horizontal="right" vertical="center"/>
    </xf>
    <xf numFmtId="0" fontId="31" fillId="36" borderId="177">
      <alignment horizontal="right" vertical="center"/>
    </xf>
    <xf numFmtId="177" fontId="33" fillId="63" borderId="177" applyNumberFormat="0" applyFont="0" applyBorder="0" applyAlignment="0" applyProtection="0">
      <alignment horizontal="right" vertical="center"/>
    </xf>
    <xf numFmtId="0" fontId="48" fillId="0" borderId="183" applyNumberFormat="0" applyFill="0" applyAlignment="0" applyProtection="0"/>
    <xf numFmtId="49" fontId="33" fillId="0" borderId="177" applyNumberFormat="0" applyFont="0" applyFill="0" applyBorder="0" applyProtection="0">
      <alignment horizontal="left" vertical="center" indent="2"/>
    </xf>
    <xf numFmtId="49" fontId="33" fillId="0" borderId="178" applyNumberFormat="0" applyFont="0" applyFill="0" applyBorder="0" applyProtection="0">
      <alignment horizontal="left" vertical="center" indent="5"/>
    </xf>
    <xf numFmtId="49" fontId="33" fillId="0" borderId="177" applyNumberFormat="0" applyFont="0" applyFill="0" applyBorder="0" applyProtection="0">
      <alignment horizontal="left" vertical="center" indent="2"/>
    </xf>
    <xf numFmtId="4" fontId="33" fillId="0" borderId="177" applyFill="0" applyBorder="0" applyProtection="0">
      <alignment horizontal="right" vertical="center"/>
    </xf>
    <xf numFmtId="49" fontId="32" fillId="0" borderId="177" applyNumberFormat="0" applyFill="0" applyBorder="0" applyProtection="0">
      <alignment horizontal="left" vertical="center"/>
    </xf>
    <xf numFmtId="0" fontId="33" fillId="0" borderId="180">
      <alignment horizontal="left" vertical="center" wrapText="1" indent="2"/>
    </xf>
    <xf numFmtId="0" fontId="60" fillId="59" borderId="181" applyNumberFormat="0" applyAlignment="0" applyProtection="0"/>
    <xf numFmtId="0" fontId="31" fillId="38" borderId="179">
      <alignment horizontal="right" vertical="center"/>
    </xf>
    <xf numFmtId="0" fontId="47" fillId="46" borderId="182" applyNumberFormat="0" applyAlignment="0" applyProtection="0"/>
    <xf numFmtId="0" fontId="31" fillId="38" borderId="179">
      <alignment horizontal="right" vertical="center"/>
    </xf>
    <xf numFmtId="4" fontId="31" fillId="38" borderId="177">
      <alignment horizontal="right" vertical="center"/>
    </xf>
    <xf numFmtId="0" fontId="31" fillId="38" borderId="177">
      <alignment horizontal="right" vertical="center"/>
    </xf>
    <xf numFmtId="0" fontId="41" fillId="59" borderId="181" applyNumberFormat="0" applyAlignment="0" applyProtection="0"/>
    <xf numFmtId="0" fontId="43" fillId="59" borderId="182" applyNumberFormat="0" applyAlignment="0" applyProtection="0"/>
    <xf numFmtId="0" fontId="48" fillId="0" borderId="183" applyNumberFormat="0" applyFill="0" applyAlignment="0" applyProtection="0"/>
    <xf numFmtId="0" fontId="33" fillId="37" borderId="177"/>
    <xf numFmtId="4" fontId="33" fillId="37" borderId="177"/>
    <xf numFmtId="4" fontId="31" fillId="38" borderId="177">
      <alignment horizontal="right" vertical="center"/>
    </xf>
    <xf numFmtId="0" fontId="35" fillId="36" borderId="177">
      <alignment horizontal="right" vertical="center"/>
    </xf>
    <xf numFmtId="0" fontId="47" fillId="46" borderId="182" applyNumberFormat="0" applyAlignment="0" applyProtection="0"/>
    <xf numFmtId="0" fontId="44" fillId="59" borderId="182" applyNumberFormat="0" applyAlignment="0" applyProtection="0"/>
    <xf numFmtId="4" fontId="33" fillId="0" borderId="177">
      <alignment horizontal="right" vertical="center"/>
    </xf>
    <xf numFmtId="0" fontId="33" fillId="38" borderId="180">
      <alignment horizontal="left" vertical="center" wrapText="1" indent="2"/>
    </xf>
    <xf numFmtId="0" fontId="33" fillId="0" borderId="180">
      <alignment horizontal="left" vertical="center" wrapText="1" indent="2"/>
    </xf>
    <xf numFmtId="0" fontId="60" fillId="59" borderId="181" applyNumberFormat="0" applyAlignment="0" applyProtection="0"/>
    <xf numFmtId="0" fontId="56" fillId="46" borderId="182" applyNumberFormat="0" applyAlignment="0" applyProtection="0"/>
    <xf numFmtId="0" fontId="43" fillId="59" borderId="182" applyNumberFormat="0" applyAlignment="0" applyProtection="0"/>
    <xf numFmtId="0" fontId="41" fillId="59" borderId="181" applyNumberFormat="0" applyAlignment="0" applyProtection="0"/>
    <xf numFmtId="0" fontId="31" fillId="38" borderId="179">
      <alignment horizontal="right" vertical="center"/>
    </xf>
    <xf numFmtId="0" fontId="35" fillId="36" borderId="177">
      <alignment horizontal="right" vertical="center"/>
    </xf>
    <xf numFmtId="4" fontId="31" fillId="36" borderId="177">
      <alignment horizontal="right" vertical="center"/>
    </xf>
    <xf numFmtId="4" fontId="31" fillId="38" borderId="177">
      <alignment horizontal="right" vertical="center"/>
    </xf>
    <xf numFmtId="49" fontId="33" fillId="0" borderId="178" applyNumberFormat="0" applyFont="0" applyFill="0" applyBorder="0" applyProtection="0">
      <alignment horizontal="left" vertical="center" indent="5"/>
    </xf>
    <xf numFmtId="4" fontId="33" fillId="0" borderId="177" applyFill="0" applyBorder="0" applyProtection="0">
      <alignment horizontal="right" vertical="center"/>
    </xf>
    <xf numFmtId="4" fontId="31" fillId="36" borderId="177">
      <alignment horizontal="right" vertical="center"/>
    </xf>
    <xf numFmtId="0" fontId="56" fillId="46" borderId="182" applyNumberFormat="0" applyAlignment="0" applyProtection="0"/>
    <xf numFmtId="0" fontId="47" fillId="46" borderId="182" applyNumberFormat="0" applyAlignment="0" applyProtection="0"/>
    <xf numFmtId="0" fontId="43" fillId="59" borderId="182" applyNumberFormat="0" applyAlignment="0" applyProtection="0"/>
    <xf numFmtId="0" fontId="33" fillId="38" borderId="180">
      <alignment horizontal="left" vertical="center" wrapText="1" indent="2"/>
    </xf>
    <xf numFmtId="0" fontId="33" fillId="0" borderId="180">
      <alignment horizontal="left" vertical="center" wrapText="1" indent="2"/>
    </xf>
    <xf numFmtId="0" fontId="33" fillId="38" borderId="180">
      <alignment horizontal="left" vertical="center" wrapText="1" indent="2"/>
    </xf>
    <xf numFmtId="0" fontId="33" fillId="0" borderId="180">
      <alignment horizontal="left" vertical="center" wrapText="1" indent="2"/>
    </xf>
    <xf numFmtId="0" fontId="41" fillId="59" borderId="181" applyNumberFormat="0" applyAlignment="0" applyProtection="0"/>
    <xf numFmtId="0" fontId="43" fillId="59" borderId="182" applyNumberFormat="0" applyAlignment="0" applyProtection="0"/>
    <xf numFmtId="0" fontId="44" fillId="59" borderId="182" applyNumberFormat="0" applyAlignment="0" applyProtection="0"/>
    <xf numFmtId="0" fontId="47" fillId="46" borderId="182" applyNumberFormat="0" applyAlignment="0" applyProtection="0"/>
    <xf numFmtId="0" fontId="48" fillId="0" borderId="183" applyNumberFormat="0" applyFill="0" applyAlignment="0" applyProtection="0"/>
    <xf numFmtId="0" fontId="56" fillId="46" borderId="182" applyNumberFormat="0" applyAlignment="0" applyProtection="0"/>
    <xf numFmtId="0" fontId="38" fillId="62" borderId="176" applyNumberFormat="0" applyFont="0" applyAlignment="0" applyProtection="0"/>
    <xf numFmtId="0" fontId="19" fillId="62" borderId="176" applyNumberFormat="0" applyFont="0" applyAlignment="0" applyProtection="0"/>
    <xf numFmtId="0" fontId="60" fillId="59" borderId="181" applyNumberFormat="0" applyAlignment="0" applyProtection="0"/>
    <xf numFmtId="0" fontId="63" fillId="0" borderId="183" applyNumberFormat="0" applyFill="0" applyAlignment="0" applyProtection="0"/>
    <xf numFmtId="0" fontId="44" fillId="59" borderId="182" applyNumberFormat="0" applyAlignment="0" applyProtection="0"/>
    <xf numFmtId="0" fontId="56" fillId="46" borderId="182" applyNumberFormat="0" applyAlignment="0" applyProtection="0"/>
    <xf numFmtId="0" fontId="38" fillId="62" borderId="176" applyNumberFormat="0" applyFont="0" applyAlignment="0" applyProtection="0"/>
    <xf numFmtId="0" fontId="60" fillId="59" borderId="181" applyNumberFormat="0" applyAlignment="0" applyProtection="0"/>
    <xf numFmtId="0" fontId="63" fillId="0" borderId="183" applyNumberFormat="0" applyFill="0" applyAlignment="0" applyProtection="0"/>
    <xf numFmtId="0" fontId="1" fillId="24" borderId="0" applyNumberFormat="0" applyBorder="0" applyAlignment="0" applyProtection="0"/>
    <xf numFmtId="0" fontId="63" fillId="0" borderId="201" applyNumberFormat="0" applyFill="0" applyAlignment="0" applyProtection="0"/>
    <xf numFmtId="0" fontId="33" fillId="0" borderId="199">
      <alignment horizontal="left" vertical="center" wrapText="1" indent="2"/>
    </xf>
    <xf numFmtId="4" fontId="35" fillId="36" borderId="196">
      <alignment horizontal="right" vertical="center"/>
    </xf>
    <xf numFmtId="0" fontId="44" fillId="59" borderId="182" applyNumberFormat="0" applyAlignment="0" applyProtection="0"/>
    <xf numFmtId="0" fontId="33" fillId="38" borderId="191">
      <alignment horizontal="left" vertical="center" wrapText="1" indent="2"/>
    </xf>
    <xf numFmtId="0" fontId="31" fillId="38" borderId="189">
      <alignment horizontal="right" vertical="center"/>
    </xf>
    <xf numFmtId="0" fontId="31" fillId="38" borderId="188">
      <alignment horizontal="right" vertical="center"/>
    </xf>
    <xf numFmtId="0" fontId="56" fillId="46" borderId="182" applyNumberFormat="0" applyAlignment="0" applyProtection="0"/>
    <xf numFmtId="0" fontId="60" fillId="59" borderId="181" applyNumberFormat="0" applyAlignment="0" applyProtection="0"/>
    <xf numFmtId="0" fontId="63" fillId="0" borderId="183" applyNumberFormat="0" applyFill="0" applyAlignment="0" applyProtection="0"/>
    <xf numFmtId="0" fontId="1" fillId="19" borderId="0" applyNumberFormat="0" applyBorder="0" applyAlignment="0" applyProtection="0"/>
    <xf numFmtId="0" fontId="41" fillId="59" borderId="181" applyNumberFormat="0" applyAlignment="0" applyProtection="0"/>
    <xf numFmtId="0" fontId="43" fillId="59" borderId="182" applyNumberFormat="0" applyAlignment="0" applyProtection="0"/>
    <xf numFmtId="0" fontId="48" fillId="0" borderId="183" applyNumberFormat="0" applyFill="0" applyAlignment="0" applyProtection="0"/>
    <xf numFmtId="49" fontId="33" fillId="0" borderId="177" applyNumberFormat="0" applyFont="0" applyFill="0" applyBorder="0" applyProtection="0">
      <alignment horizontal="left" vertical="center" indent="2"/>
    </xf>
    <xf numFmtId="0" fontId="31" fillId="36" borderId="177">
      <alignment horizontal="right" vertical="center"/>
    </xf>
    <xf numFmtId="4" fontId="31" fillId="36" borderId="177">
      <alignment horizontal="right" vertical="center"/>
    </xf>
    <xf numFmtId="0" fontId="35" fillId="36" borderId="177">
      <alignment horizontal="right" vertical="center"/>
    </xf>
    <xf numFmtId="4" fontId="35" fillId="36" borderId="177">
      <alignment horizontal="right" vertical="center"/>
    </xf>
    <xf numFmtId="0" fontId="31" fillId="38" borderId="177">
      <alignment horizontal="right" vertical="center"/>
    </xf>
    <xf numFmtId="4" fontId="31" fillId="38" borderId="177">
      <alignment horizontal="right" vertical="center"/>
    </xf>
    <xf numFmtId="0" fontId="31" fillId="38" borderId="177">
      <alignment horizontal="right" vertical="center"/>
    </xf>
    <xf numFmtId="4" fontId="31" fillId="38" borderId="177">
      <alignment horizontal="right" vertical="center"/>
    </xf>
    <xf numFmtId="0" fontId="47" fillId="46" borderId="182" applyNumberFormat="0" applyAlignment="0" applyProtection="0"/>
    <xf numFmtId="0" fontId="33" fillId="0" borderId="177">
      <alignment horizontal="right" vertical="center"/>
    </xf>
    <xf numFmtId="4" fontId="33" fillId="0" borderId="177">
      <alignment horizontal="right" vertical="center"/>
    </xf>
    <xf numFmtId="4" fontId="33" fillId="0" borderId="177" applyFill="0" applyBorder="0" applyProtection="0">
      <alignment horizontal="right" vertical="center"/>
    </xf>
    <xf numFmtId="49" fontId="32" fillId="0" borderId="177" applyNumberFormat="0" applyFill="0" applyBorder="0" applyProtection="0">
      <alignment horizontal="left" vertical="center"/>
    </xf>
    <xf numFmtId="0" fontId="33" fillId="0" borderId="177" applyNumberFormat="0" applyFill="0" applyAlignment="0" applyProtection="0"/>
    <xf numFmtId="177" fontId="33" fillId="63" borderId="177" applyNumberFormat="0" applyFont="0" applyBorder="0" applyAlignment="0" applyProtection="0">
      <alignment horizontal="right" vertical="center"/>
    </xf>
    <xf numFmtId="0" fontId="33" fillId="37" borderId="177"/>
    <xf numFmtId="4" fontId="33" fillId="37" borderId="177"/>
    <xf numFmtId="4" fontId="31" fillId="38" borderId="177">
      <alignment horizontal="right" vertical="center"/>
    </xf>
    <xf numFmtId="0" fontId="33" fillId="37" borderId="177"/>
    <xf numFmtId="0" fontId="43" fillId="59" borderId="182" applyNumberFormat="0" applyAlignment="0" applyProtection="0"/>
    <xf numFmtId="0" fontId="31" fillId="36" borderId="177">
      <alignment horizontal="right" vertical="center"/>
    </xf>
    <xf numFmtId="0" fontId="33" fillId="0" borderId="177">
      <alignment horizontal="right" vertical="center"/>
    </xf>
    <xf numFmtId="0" fontId="63" fillId="0" borderId="183" applyNumberFormat="0" applyFill="0" applyAlignment="0" applyProtection="0"/>
    <xf numFmtId="0" fontId="33" fillId="36" borderId="178">
      <alignment horizontal="left" vertical="center"/>
    </xf>
    <xf numFmtId="0" fontId="56" fillId="46" borderId="182" applyNumberFormat="0" applyAlignment="0" applyProtection="0"/>
    <xf numFmtId="177" fontId="33" fillId="63" borderId="177" applyNumberFormat="0" applyFont="0" applyBorder="0" applyAlignment="0" applyProtection="0">
      <alignment horizontal="right" vertical="center"/>
    </xf>
    <xf numFmtId="0" fontId="38" fillId="62" borderId="176" applyNumberFormat="0" applyFont="0" applyAlignment="0" applyProtection="0"/>
    <xf numFmtId="0" fontId="33" fillId="0" borderId="180">
      <alignment horizontal="left" vertical="center" wrapText="1" indent="2"/>
    </xf>
    <xf numFmtId="4" fontId="33" fillId="37" borderId="177"/>
    <xf numFmtId="49" fontId="32" fillId="0" borderId="177" applyNumberFormat="0" applyFill="0" applyBorder="0" applyProtection="0">
      <alignment horizontal="left" vertical="center"/>
    </xf>
    <xf numFmtId="0" fontId="33" fillId="0" borderId="177">
      <alignment horizontal="right" vertical="center"/>
    </xf>
    <xf numFmtId="4" fontId="31" fillId="38" borderId="179">
      <alignment horizontal="right" vertical="center"/>
    </xf>
    <xf numFmtId="4" fontId="31" fillId="38" borderId="177">
      <alignment horizontal="right" vertical="center"/>
    </xf>
    <xf numFmtId="4" fontId="31" fillId="38" borderId="177">
      <alignment horizontal="right" vertical="center"/>
    </xf>
    <xf numFmtId="0" fontId="35" fillId="36" borderId="177">
      <alignment horizontal="right" vertical="center"/>
    </xf>
    <xf numFmtId="0" fontId="31" fillId="36" borderId="177">
      <alignment horizontal="right" vertical="center"/>
    </xf>
    <xf numFmtId="49" fontId="33" fillId="0" borderId="177" applyNumberFormat="0" applyFont="0" applyFill="0" applyBorder="0" applyProtection="0">
      <alignment horizontal="left" vertical="center" indent="2"/>
    </xf>
    <xf numFmtId="0" fontId="56" fillId="46" borderId="182" applyNumberFormat="0" applyAlignment="0" applyProtection="0"/>
    <xf numFmtId="0" fontId="41" fillId="59" borderId="181" applyNumberFormat="0" applyAlignment="0" applyProtection="0"/>
    <xf numFmtId="49" fontId="33" fillId="0" borderId="177" applyNumberFormat="0" applyFont="0" applyFill="0" applyBorder="0" applyProtection="0">
      <alignment horizontal="left" vertical="center" indent="2"/>
    </xf>
    <xf numFmtId="0" fontId="47" fillId="46" borderId="182" applyNumberFormat="0" applyAlignment="0" applyProtection="0"/>
    <xf numFmtId="4" fontId="33" fillId="0" borderId="177" applyFill="0" applyBorder="0" applyProtection="0">
      <alignment horizontal="right" vertical="center"/>
    </xf>
    <xf numFmtId="0" fontId="44" fillId="59" borderId="182" applyNumberFormat="0" applyAlignment="0" applyProtection="0"/>
    <xf numFmtId="0" fontId="63" fillId="0" borderId="183" applyNumberFormat="0" applyFill="0" applyAlignment="0" applyProtection="0"/>
    <xf numFmtId="0" fontId="60" fillId="59" borderId="181" applyNumberFormat="0" applyAlignment="0" applyProtection="0"/>
    <xf numFmtId="0" fontId="33" fillId="0" borderId="177" applyNumberFormat="0" applyFill="0" applyAlignment="0" applyProtection="0"/>
    <xf numFmtId="4" fontId="33" fillId="0" borderId="177">
      <alignment horizontal="right" vertical="center"/>
    </xf>
    <xf numFmtId="0" fontId="33" fillId="0" borderId="177">
      <alignment horizontal="right" vertical="center"/>
    </xf>
    <xf numFmtId="0" fontId="56" fillId="46" borderId="182" applyNumberFormat="0" applyAlignment="0" applyProtection="0"/>
    <xf numFmtId="0" fontId="41" fillId="59" borderId="181" applyNumberFormat="0" applyAlignment="0" applyProtection="0"/>
    <xf numFmtId="0" fontId="43" fillId="59" borderId="182" applyNumberFormat="0" applyAlignment="0" applyProtection="0"/>
    <xf numFmtId="0" fontId="33" fillId="38" borderId="180">
      <alignment horizontal="left" vertical="center" wrapText="1" indent="2"/>
    </xf>
    <xf numFmtId="0" fontId="44" fillId="59" borderId="182" applyNumberFormat="0" applyAlignment="0" applyProtection="0"/>
    <xf numFmtId="0" fontId="44" fillId="59" borderId="182" applyNumberFormat="0" applyAlignment="0" applyProtection="0"/>
    <xf numFmtId="4" fontId="31" fillId="38" borderId="178">
      <alignment horizontal="right" vertical="center"/>
    </xf>
    <xf numFmtId="0" fontId="31" fillId="38" borderId="178">
      <alignment horizontal="right" vertical="center"/>
    </xf>
    <xf numFmtId="0" fontId="31" fillId="38" borderId="177">
      <alignment horizontal="right" vertical="center"/>
    </xf>
    <xf numFmtId="4" fontId="35" fillId="36" borderId="177">
      <alignment horizontal="right" vertical="center"/>
    </xf>
    <xf numFmtId="0" fontId="47" fillId="46" borderId="182" applyNumberFormat="0" applyAlignment="0" applyProtection="0"/>
    <xf numFmtId="0" fontId="48" fillId="0" borderId="183" applyNumberFormat="0" applyFill="0" applyAlignment="0" applyProtection="0"/>
    <xf numFmtId="0" fontId="63" fillId="0" borderId="183" applyNumberFormat="0" applyFill="0" applyAlignment="0" applyProtection="0"/>
    <xf numFmtId="0" fontId="38" fillId="62" borderId="176" applyNumberFormat="0" applyFont="0" applyAlignment="0" applyProtection="0"/>
    <xf numFmtId="0" fontId="56" fillId="46" borderId="182" applyNumberFormat="0" applyAlignment="0" applyProtection="0"/>
    <xf numFmtId="49" fontId="32" fillId="0" borderId="177" applyNumberFormat="0" applyFill="0" applyBorder="0" applyProtection="0">
      <alignment horizontal="left" vertical="center"/>
    </xf>
    <xf numFmtId="0" fontId="33" fillId="38" borderId="180">
      <alignment horizontal="left" vertical="center" wrapText="1" indent="2"/>
    </xf>
    <xf numFmtId="0" fontId="44" fillId="59" borderId="182" applyNumberFormat="0" applyAlignment="0" applyProtection="0"/>
    <xf numFmtId="0" fontId="33" fillId="0" borderId="180">
      <alignment horizontal="left" vertical="center" wrapText="1" indent="2"/>
    </xf>
    <xf numFmtId="0" fontId="38" fillId="62" borderId="176" applyNumberFormat="0" applyFont="0" applyAlignment="0" applyProtection="0"/>
    <xf numFmtId="0" fontId="19" fillId="62" borderId="176" applyNumberFormat="0" applyFont="0" applyAlignment="0" applyProtection="0"/>
    <xf numFmtId="0" fontId="60" fillId="59" borderId="181" applyNumberFormat="0" applyAlignment="0" applyProtection="0"/>
    <xf numFmtId="0" fontId="63" fillId="0" borderId="183" applyNumberFormat="0" applyFill="0" applyAlignment="0" applyProtection="0"/>
    <xf numFmtId="4" fontId="33" fillId="37" borderId="177"/>
    <xf numFmtId="0" fontId="31" fillId="38" borderId="177">
      <alignment horizontal="right" vertical="center"/>
    </xf>
    <xf numFmtId="0" fontId="63" fillId="0" borderId="183" applyNumberFormat="0" applyFill="0" applyAlignment="0" applyProtection="0"/>
    <xf numFmtId="4" fontId="31" fillId="38" borderId="179">
      <alignment horizontal="right" vertical="center"/>
    </xf>
    <xf numFmtId="0" fontId="43" fillId="59" borderId="182" applyNumberFormat="0" applyAlignment="0" applyProtection="0"/>
    <xf numFmtId="0" fontId="31" fillId="38" borderId="178">
      <alignment horizontal="right" vertical="center"/>
    </xf>
    <xf numFmtId="0" fontId="44" fillId="59" borderId="182" applyNumberFormat="0" applyAlignment="0" applyProtection="0"/>
    <xf numFmtId="0" fontId="48" fillId="0" borderId="183" applyNumberFormat="0" applyFill="0" applyAlignment="0" applyProtection="0"/>
    <xf numFmtId="0" fontId="38" fillId="62" borderId="176" applyNumberFormat="0" applyFont="0" applyAlignment="0" applyProtection="0"/>
    <xf numFmtId="4" fontId="31" fillId="38" borderId="178">
      <alignment horizontal="right" vertical="center"/>
    </xf>
    <xf numFmtId="0" fontId="33" fillId="38" borderId="180">
      <alignment horizontal="left" vertical="center" wrapText="1" indent="2"/>
    </xf>
    <xf numFmtId="0" fontId="33" fillId="37" borderId="177"/>
    <xf numFmtId="177" fontId="33" fillId="63" borderId="177" applyNumberFormat="0" applyFont="0" applyBorder="0" applyAlignment="0" applyProtection="0">
      <alignment horizontal="right" vertical="center"/>
    </xf>
    <xf numFmtId="0" fontId="33" fillId="0" borderId="177" applyNumberFormat="0" applyFill="0" applyAlignment="0" applyProtection="0"/>
    <xf numFmtId="4" fontId="33" fillId="0" borderId="177" applyFill="0" applyBorder="0" applyProtection="0">
      <alignment horizontal="right" vertical="center"/>
    </xf>
    <xf numFmtId="4" fontId="31" fillId="36" borderId="177">
      <alignment horizontal="right" vertical="center"/>
    </xf>
    <xf numFmtId="0" fontId="48" fillId="0" borderId="183" applyNumberFormat="0" applyFill="0" applyAlignment="0" applyProtection="0"/>
    <xf numFmtId="49" fontId="32" fillId="0" borderId="177" applyNumberFormat="0" applyFill="0" applyBorder="0" applyProtection="0">
      <alignment horizontal="left" vertical="center"/>
    </xf>
    <xf numFmtId="49" fontId="33" fillId="0" borderId="178" applyNumberFormat="0" applyFont="0" applyFill="0" applyBorder="0" applyProtection="0">
      <alignment horizontal="left" vertical="center" indent="5"/>
    </xf>
    <xf numFmtId="0" fontId="33" fillId="36" borderId="178">
      <alignment horizontal="left" vertical="center"/>
    </xf>
    <xf numFmtId="0" fontId="44" fillId="59" borderId="182" applyNumberFormat="0" applyAlignment="0" applyProtection="0"/>
    <xf numFmtId="4" fontId="31" fillId="38" borderId="179">
      <alignment horizontal="right" vertical="center"/>
    </xf>
    <xf numFmtId="0" fontId="56" fillId="46" borderId="182" applyNumberFormat="0" applyAlignment="0" applyProtection="0"/>
    <xf numFmtId="0" fontId="56" fillId="46" borderId="182" applyNumberFormat="0" applyAlignment="0" applyProtection="0"/>
    <xf numFmtId="0" fontId="38" fillId="62" borderId="176" applyNumberFormat="0" applyFont="0" applyAlignment="0" applyProtection="0"/>
    <xf numFmtId="0" fontId="60" fillId="59" borderId="181" applyNumberFormat="0" applyAlignment="0" applyProtection="0"/>
    <xf numFmtId="0" fontId="63" fillId="0" borderId="183" applyNumberFormat="0" applyFill="0" applyAlignment="0" applyProtection="0"/>
    <xf numFmtId="0" fontId="31" fillId="38" borderId="177">
      <alignment horizontal="right" vertical="center"/>
    </xf>
    <xf numFmtId="0" fontId="19" fillId="62" borderId="176" applyNumberFormat="0" applyFont="0" applyAlignment="0" applyProtection="0"/>
    <xf numFmtId="4" fontId="33" fillId="0" borderId="177">
      <alignment horizontal="right" vertical="center"/>
    </xf>
    <xf numFmtId="0" fontId="63" fillId="0" borderId="183" applyNumberFormat="0" applyFill="0" applyAlignment="0" applyProtection="0"/>
    <xf numFmtId="0" fontId="31" fillId="38" borderId="177">
      <alignment horizontal="right" vertical="center"/>
    </xf>
    <xf numFmtId="0" fontId="31" fillId="38" borderId="177">
      <alignment horizontal="right" vertical="center"/>
    </xf>
    <xf numFmtId="4" fontId="35" fillId="36" borderId="177">
      <alignment horizontal="right" vertical="center"/>
    </xf>
    <xf numFmtId="0" fontId="31" fillId="36" borderId="177">
      <alignment horizontal="right" vertical="center"/>
    </xf>
    <xf numFmtId="4" fontId="31" fillId="36" borderId="177">
      <alignment horizontal="right" vertical="center"/>
    </xf>
    <xf numFmtId="0" fontId="35" fillId="36" borderId="177">
      <alignment horizontal="right" vertical="center"/>
    </xf>
    <xf numFmtId="4" fontId="35" fillId="36" borderId="177">
      <alignment horizontal="right" vertical="center"/>
    </xf>
    <xf numFmtId="0" fontId="31" fillId="38" borderId="177">
      <alignment horizontal="right" vertical="center"/>
    </xf>
    <xf numFmtId="4" fontId="31" fillId="38" borderId="177">
      <alignment horizontal="right" vertical="center"/>
    </xf>
    <xf numFmtId="0" fontId="31" fillId="38" borderId="177">
      <alignment horizontal="right" vertical="center"/>
    </xf>
    <xf numFmtId="4" fontId="31" fillId="38" borderId="177">
      <alignment horizontal="right" vertical="center"/>
    </xf>
    <xf numFmtId="0" fontId="31" fillId="38" borderId="178">
      <alignment horizontal="right" vertical="center"/>
    </xf>
    <xf numFmtId="4" fontId="31" fillId="38" borderId="178">
      <alignment horizontal="right" vertical="center"/>
    </xf>
    <xf numFmtId="0" fontId="31" fillId="38" borderId="179">
      <alignment horizontal="right" vertical="center"/>
    </xf>
    <xf numFmtId="4" fontId="31" fillId="38" borderId="179">
      <alignment horizontal="right" vertical="center"/>
    </xf>
    <xf numFmtId="0" fontId="44" fillId="59" borderId="182" applyNumberFormat="0" applyAlignment="0" applyProtection="0"/>
    <xf numFmtId="0" fontId="33" fillId="38" borderId="180">
      <alignment horizontal="left" vertical="center" wrapText="1" indent="2"/>
    </xf>
    <xf numFmtId="0" fontId="33" fillId="0" borderId="180">
      <alignment horizontal="left" vertical="center" wrapText="1" indent="2"/>
    </xf>
    <xf numFmtId="0" fontId="33" fillId="36" borderId="178">
      <alignment horizontal="left" vertical="center"/>
    </xf>
    <xf numFmtId="0" fontId="56" fillId="46" borderId="182" applyNumberFormat="0" applyAlignment="0" applyProtection="0"/>
    <xf numFmtId="0" fontId="33" fillId="0" borderId="177">
      <alignment horizontal="right" vertical="center"/>
    </xf>
    <xf numFmtId="4" fontId="33" fillId="0" borderId="177">
      <alignment horizontal="right" vertical="center"/>
    </xf>
    <xf numFmtId="0" fontId="33" fillId="0" borderId="177" applyNumberFormat="0" applyFill="0" applyAlignment="0" applyProtection="0"/>
    <xf numFmtId="0" fontId="60" fillId="59" borderId="181" applyNumberFormat="0" applyAlignment="0" applyProtection="0"/>
    <xf numFmtId="177" fontId="33" fillId="63" borderId="177" applyNumberFormat="0" applyFont="0" applyBorder="0" applyAlignment="0" applyProtection="0">
      <alignment horizontal="right" vertical="center"/>
    </xf>
    <xf numFmtId="0" fontId="33" fillId="37" borderId="177"/>
    <xf numFmtId="4" fontId="33" fillId="37" borderId="177"/>
    <xf numFmtId="0" fontId="63" fillId="0" borderId="183" applyNumberFormat="0" applyFill="0" applyAlignment="0" applyProtection="0"/>
    <xf numFmtId="0" fontId="19" fillId="62" borderId="176" applyNumberFormat="0" applyFont="0" applyAlignment="0" applyProtection="0"/>
    <xf numFmtId="0" fontId="38" fillId="62" borderId="176" applyNumberFormat="0" applyFont="0" applyAlignment="0" applyProtection="0"/>
    <xf numFmtId="0" fontId="33" fillId="0" borderId="177" applyNumberFormat="0" applyFill="0" applyAlignment="0" applyProtection="0"/>
    <xf numFmtId="0" fontId="48" fillId="0" borderId="183" applyNumberFormat="0" applyFill="0" applyAlignment="0" applyProtection="0"/>
    <xf numFmtId="0" fontId="63" fillId="0" borderId="183" applyNumberFormat="0" applyFill="0" applyAlignment="0" applyProtection="0"/>
    <xf numFmtId="0" fontId="47" fillId="46" borderId="182" applyNumberFormat="0" applyAlignment="0" applyProtection="0"/>
    <xf numFmtId="0" fontId="44" fillId="59" borderId="182" applyNumberFormat="0" applyAlignment="0" applyProtection="0"/>
    <xf numFmtId="4" fontId="35" fillId="36" borderId="177">
      <alignment horizontal="right" vertical="center"/>
    </xf>
    <xf numFmtId="0" fontId="31" fillId="36" borderId="177">
      <alignment horizontal="right" vertical="center"/>
    </xf>
    <xf numFmtId="177" fontId="33" fillId="63" borderId="177" applyNumberFormat="0" applyFont="0" applyBorder="0" applyAlignment="0" applyProtection="0">
      <alignment horizontal="right" vertical="center"/>
    </xf>
    <xf numFmtId="0" fontId="48" fillId="0" borderId="183" applyNumberFormat="0" applyFill="0" applyAlignment="0" applyProtection="0"/>
    <xf numFmtId="49" fontId="33" fillId="0" borderId="177" applyNumberFormat="0" applyFont="0" applyFill="0" applyBorder="0" applyProtection="0">
      <alignment horizontal="left" vertical="center" indent="2"/>
    </xf>
    <xf numFmtId="49" fontId="33" fillId="0" borderId="178" applyNumberFormat="0" applyFont="0" applyFill="0" applyBorder="0" applyProtection="0">
      <alignment horizontal="left" vertical="center" indent="5"/>
    </xf>
    <xf numFmtId="49" fontId="33" fillId="0" borderId="177" applyNumberFormat="0" applyFont="0" applyFill="0" applyBorder="0" applyProtection="0">
      <alignment horizontal="left" vertical="center" indent="2"/>
    </xf>
    <xf numFmtId="4" fontId="33" fillId="0" borderId="177" applyFill="0" applyBorder="0" applyProtection="0">
      <alignment horizontal="right" vertical="center"/>
    </xf>
    <xf numFmtId="49" fontId="32" fillId="0" borderId="177" applyNumberFormat="0" applyFill="0" applyBorder="0" applyProtection="0">
      <alignment horizontal="left" vertical="center"/>
    </xf>
    <xf numFmtId="0" fontId="33" fillId="0" borderId="180">
      <alignment horizontal="left" vertical="center" wrapText="1" indent="2"/>
    </xf>
    <xf numFmtId="0" fontId="60" fillId="59" borderId="181" applyNumberFormat="0" applyAlignment="0" applyProtection="0"/>
    <xf numFmtId="0" fontId="31" fillId="38" borderId="179">
      <alignment horizontal="right" vertical="center"/>
    </xf>
    <xf numFmtId="0" fontId="47" fillId="46" borderId="182" applyNumberFormat="0" applyAlignment="0" applyProtection="0"/>
    <xf numFmtId="0" fontId="31" fillId="38" borderId="179">
      <alignment horizontal="right" vertical="center"/>
    </xf>
    <xf numFmtId="4" fontId="31" fillId="38" borderId="177">
      <alignment horizontal="right" vertical="center"/>
    </xf>
    <xf numFmtId="0" fontId="31" fillId="38" borderId="177">
      <alignment horizontal="right" vertical="center"/>
    </xf>
    <xf numFmtId="0" fontId="41" fillId="59" borderId="181" applyNumberFormat="0" applyAlignment="0" applyProtection="0"/>
    <xf numFmtId="0" fontId="43" fillId="59" borderId="182" applyNumberFormat="0" applyAlignment="0" applyProtection="0"/>
    <xf numFmtId="0" fontId="48" fillId="0" borderId="183" applyNumberFormat="0" applyFill="0" applyAlignment="0" applyProtection="0"/>
    <xf numFmtId="0" fontId="33" fillId="37" borderId="177"/>
    <xf numFmtId="4" fontId="33" fillId="37" borderId="177"/>
    <xf numFmtId="4" fontId="31" fillId="38" borderId="177">
      <alignment horizontal="right" vertical="center"/>
    </xf>
    <xf numFmtId="0" fontId="35" fillId="36" borderId="177">
      <alignment horizontal="right" vertical="center"/>
    </xf>
    <xf numFmtId="0" fontId="47" fillId="46" borderId="182" applyNumberFormat="0" applyAlignment="0" applyProtection="0"/>
    <xf numFmtId="0" fontId="44" fillId="59" borderId="182" applyNumberFormat="0" applyAlignment="0" applyProtection="0"/>
    <xf numFmtId="4" fontId="33" fillId="0" borderId="177">
      <alignment horizontal="right" vertical="center"/>
    </xf>
    <xf numFmtId="0" fontId="33" fillId="38" borderId="180">
      <alignment horizontal="left" vertical="center" wrapText="1" indent="2"/>
    </xf>
    <xf numFmtId="0" fontId="33" fillId="0" borderId="180">
      <alignment horizontal="left" vertical="center" wrapText="1" indent="2"/>
    </xf>
    <xf numFmtId="0" fontId="60" fillId="59" borderId="181" applyNumberFormat="0" applyAlignment="0" applyProtection="0"/>
    <xf numFmtId="0" fontId="56" fillId="46" borderId="182" applyNumberFormat="0" applyAlignment="0" applyProtection="0"/>
    <xf numFmtId="0" fontId="43" fillId="59" borderId="182" applyNumberFormat="0" applyAlignment="0" applyProtection="0"/>
    <xf numFmtId="0" fontId="41" fillId="59" borderId="181" applyNumberFormat="0" applyAlignment="0" applyProtection="0"/>
    <xf numFmtId="0" fontId="31" fillId="38" borderId="179">
      <alignment horizontal="right" vertical="center"/>
    </xf>
    <xf numFmtId="0" fontId="35" fillId="36" borderId="177">
      <alignment horizontal="right" vertical="center"/>
    </xf>
    <xf numFmtId="4" fontId="31" fillId="36" borderId="177">
      <alignment horizontal="right" vertical="center"/>
    </xf>
    <xf numFmtId="4" fontId="31" fillId="38" borderId="177">
      <alignment horizontal="right" vertical="center"/>
    </xf>
    <xf numFmtId="49" fontId="33" fillId="0" borderId="178" applyNumberFormat="0" applyFont="0" applyFill="0" applyBorder="0" applyProtection="0">
      <alignment horizontal="left" vertical="center" indent="5"/>
    </xf>
    <xf numFmtId="4" fontId="33" fillId="0" borderId="177" applyFill="0" applyBorder="0" applyProtection="0">
      <alignment horizontal="right" vertical="center"/>
    </xf>
    <xf numFmtId="4" fontId="31" fillId="36" borderId="177">
      <alignment horizontal="right" vertical="center"/>
    </xf>
    <xf numFmtId="0" fontId="56" fillId="46" borderId="182" applyNumberFormat="0" applyAlignment="0" applyProtection="0"/>
    <xf numFmtId="0" fontId="47" fillId="46" borderId="182" applyNumberFormat="0" applyAlignment="0" applyProtection="0"/>
    <xf numFmtId="0" fontId="43" fillId="59" borderId="182" applyNumberFormat="0" applyAlignment="0" applyProtection="0"/>
    <xf numFmtId="0" fontId="33" fillId="38" borderId="180">
      <alignment horizontal="left" vertical="center" wrapText="1" indent="2"/>
    </xf>
    <xf numFmtId="0" fontId="33" fillId="0" borderId="180">
      <alignment horizontal="left" vertical="center" wrapText="1" indent="2"/>
    </xf>
    <xf numFmtId="0" fontId="33" fillId="38" borderId="180">
      <alignment horizontal="left" vertical="center" wrapText="1" indent="2"/>
    </xf>
    <xf numFmtId="4" fontId="31" fillId="38" borderId="189">
      <alignment horizontal="right" vertical="center"/>
    </xf>
    <xf numFmtId="0" fontId="44" fillId="59" borderId="193" applyNumberFormat="0" applyAlignment="0" applyProtection="0"/>
    <xf numFmtId="0" fontId="43" fillId="59" borderId="193" applyNumberFormat="0" applyAlignment="0" applyProtection="0"/>
    <xf numFmtId="0" fontId="60" fillId="59" borderId="192" applyNumberFormat="0" applyAlignment="0" applyProtection="0"/>
    <xf numFmtId="0" fontId="19" fillId="62" borderId="195" applyNumberFormat="0" applyFont="0" applyAlignment="0" applyProtection="0"/>
    <xf numFmtId="0" fontId="33" fillId="36" borderId="204">
      <alignment horizontal="left" vertical="center"/>
    </xf>
    <xf numFmtId="177" fontId="33" fillId="63" borderId="196" applyNumberFormat="0" applyFont="0" applyBorder="0" applyAlignment="0" applyProtection="0">
      <alignment horizontal="right" vertical="center"/>
    </xf>
    <xf numFmtId="4" fontId="31" fillId="38" borderId="196">
      <alignment horizontal="right" vertical="center"/>
    </xf>
    <xf numFmtId="4" fontId="33" fillId="37" borderId="196"/>
    <xf numFmtId="0" fontId="4" fillId="23" borderId="0" applyNumberFormat="0" applyBorder="0" applyAlignment="0" applyProtection="0"/>
    <xf numFmtId="0" fontId="26" fillId="17" borderId="10" applyNumberFormat="0" applyAlignment="0" applyProtection="0"/>
    <xf numFmtId="0" fontId="28" fillId="0" borderId="0" applyNumberFormat="0" applyFill="0" applyBorder="0" applyAlignment="0" applyProtection="0"/>
    <xf numFmtId="0" fontId="56" fillId="46" borderId="209" applyNumberFormat="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31" fillId="36" borderId="196">
      <alignment horizontal="right" vertical="center"/>
    </xf>
    <xf numFmtId="4" fontId="33" fillId="37" borderId="196"/>
    <xf numFmtId="0" fontId="4" fillId="35" borderId="0" applyNumberFormat="0" applyBorder="0" applyAlignment="0" applyProtection="0"/>
    <xf numFmtId="0" fontId="31" fillId="38" borderId="197">
      <alignment horizontal="right" vertical="center"/>
    </xf>
    <xf numFmtId="0" fontId="1" fillId="33" borderId="0" applyNumberFormat="0" applyBorder="0" applyAlignment="0" applyProtection="0"/>
    <xf numFmtId="0" fontId="4" fillId="32"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6"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27"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43" fillId="59" borderId="193" applyNumberFormat="0" applyAlignment="0" applyProtection="0"/>
    <xf numFmtId="0" fontId="27" fillId="0" borderId="0" applyNumberFormat="0" applyFill="0" applyBorder="0" applyAlignment="0" applyProtection="0"/>
    <xf numFmtId="4" fontId="31" fillId="38" borderId="188">
      <alignment horizontal="right" vertical="center"/>
    </xf>
    <xf numFmtId="0" fontId="33" fillId="37" borderId="188"/>
    <xf numFmtId="0" fontId="43" fillId="59" borderId="185" applyNumberFormat="0" applyAlignment="0" applyProtection="0"/>
    <xf numFmtId="0" fontId="31" fillId="36" borderId="188">
      <alignment horizontal="right" vertical="center"/>
    </xf>
    <xf numFmtId="0" fontId="33" fillId="0" borderId="188">
      <alignment horizontal="right" vertical="center"/>
    </xf>
    <xf numFmtId="0" fontId="63" fillId="0" borderId="186" applyNumberFormat="0" applyFill="0" applyAlignment="0" applyProtection="0"/>
    <xf numFmtId="0" fontId="33" fillId="36" borderId="189">
      <alignment horizontal="left" vertical="center"/>
    </xf>
    <xf numFmtId="0" fontId="56" fillId="46" borderId="185" applyNumberFormat="0" applyAlignment="0" applyProtection="0"/>
    <xf numFmtId="177" fontId="33" fillId="63" borderId="188" applyNumberFormat="0" applyFont="0" applyBorder="0" applyAlignment="0" applyProtection="0">
      <alignment horizontal="right" vertical="center"/>
    </xf>
    <xf numFmtId="0" fontId="38" fillId="62" borderId="187" applyNumberFormat="0" applyFont="0" applyAlignment="0" applyProtection="0"/>
    <xf numFmtId="0" fontId="33" fillId="0" borderId="191">
      <alignment horizontal="left" vertical="center" wrapText="1" indent="2"/>
    </xf>
    <xf numFmtId="4" fontId="33" fillId="37" borderId="188"/>
    <xf numFmtId="49" fontId="32" fillId="0" borderId="188" applyNumberFormat="0" applyFill="0" applyBorder="0" applyProtection="0">
      <alignment horizontal="left" vertical="center"/>
    </xf>
    <xf numFmtId="0" fontId="33" fillId="0" borderId="188">
      <alignment horizontal="right" vertical="center"/>
    </xf>
    <xf numFmtId="4" fontId="31" fillId="38" borderId="190">
      <alignment horizontal="right" vertical="center"/>
    </xf>
    <xf numFmtId="4" fontId="31" fillId="38" borderId="188">
      <alignment horizontal="right" vertical="center"/>
    </xf>
    <xf numFmtId="4" fontId="31" fillId="38" borderId="188">
      <alignment horizontal="right" vertical="center"/>
    </xf>
    <xf numFmtId="0" fontId="35" fillId="36" borderId="188">
      <alignment horizontal="right" vertical="center"/>
    </xf>
    <xf numFmtId="0" fontId="31" fillId="36" borderId="188">
      <alignment horizontal="right" vertical="center"/>
    </xf>
    <xf numFmtId="49" fontId="33" fillId="0" borderId="188" applyNumberFormat="0" applyFont="0" applyFill="0" applyBorder="0" applyProtection="0">
      <alignment horizontal="left" vertical="center" indent="2"/>
    </xf>
    <xf numFmtId="0" fontId="56" fillId="46" borderId="185" applyNumberFormat="0" applyAlignment="0" applyProtection="0"/>
    <xf numFmtId="0" fontId="41" fillId="59" borderId="184" applyNumberFormat="0" applyAlignment="0" applyProtection="0"/>
    <xf numFmtId="49" fontId="33" fillId="0" borderId="188" applyNumberFormat="0" applyFont="0" applyFill="0" applyBorder="0" applyProtection="0">
      <alignment horizontal="left" vertical="center" indent="2"/>
    </xf>
    <xf numFmtId="0" fontId="47" fillId="46" borderId="185" applyNumberFormat="0" applyAlignment="0" applyProtection="0"/>
    <xf numFmtId="4" fontId="33" fillId="0" borderId="188" applyFill="0" applyBorder="0" applyProtection="0">
      <alignment horizontal="right" vertical="center"/>
    </xf>
    <xf numFmtId="0" fontId="44" fillId="59" borderId="185" applyNumberFormat="0" applyAlignment="0" applyProtection="0"/>
    <xf numFmtId="0" fontId="63" fillId="0" borderId="186" applyNumberFormat="0" applyFill="0" applyAlignment="0" applyProtection="0"/>
    <xf numFmtId="0" fontId="60" fillId="59" borderId="184" applyNumberFormat="0" applyAlignment="0" applyProtection="0"/>
    <xf numFmtId="0" fontId="33" fillId="0" borderId="188" applyNumberFormat="0" applyFill="0" applyAlignment="0" applyProtection="0"/>
    <xf numFmtId="4" fontId="33" fillId="0" borderId="188">
      <alignment horizontal="right" vertical="center"/>
    </xf>
    <xf numFmtId="0" fontId="33" fillId="0" borderId="188">
      <alignment horizontal="right" vertical="center"/>
    </xf>
    <xf numFmtId="0" fontId="56" fillId="46" borderId="185" applyNumberFormat="0" applyAlignment="0" applyProtection="0"/>
    <xf numFmtId="0" fontId="41" fillId="59" borderId="184" applyNumberFormat="0" applyAlignment="0" applyProtection="0"/>
    <xf numFmtId="0" fontId="43" fillId="59" borderId="185" applyNumberFormat="0" applyAlignment="0" applyProtection="0"/>
    <xf numFmtId="0" fontId="33" fillId="38" borderId="191">
      <alignment horizontal="left" vertical="center" wrapText="1" indent="2"/>
    </xf>
    <xf numFmtId="0" fontId="44" fillId="59" borderId="185" applyNumberFormat="0" applyAlignment="0" applyProtection="0"/>
    <xf numFmtId="0" fontId="44" fillId="59" borderId="185" applyNumberFormat="0" applyAlignment="0" applyProtection="0"/>
    <xf numFmtId="4" fontId="31" fillId="38" borderId="189">
      <alignment horizontal="right" vertical="center"/>
    </xf>
    <xf numFmtId="0" fontId="31" fillId="38" borderId="189">
      <alignment horizontal="right" vertical="center"/>
    </xf>
    <xf numFmtId="0" fontId="31" fillId="38" borderId="188">
      <alignment horizontal="right" vertical="center"/>
    </xf>
    <xf numFmtId="4" fontId="35" fillId="36" borderId="188">
      <alignment horizontal="right" vertical="center"/>
    </xf>
    <xf numFmtId="0" fontId="47" fillId="46" borderId="185" applyNumberFormat="0" applyAlignment="0" applyProtection="0"/>
    <xf numFmtId="0" fontId="48" fillId="0" borderId="186" applyNumberFormat="0" applyFill="0" applyAlignment="0" applyProtection="0"/>
    <xf numFmtId="0" fontId="63" fillId="0" borderId="186" applyNumberFormat="0" applyFill="0" applyAlignment="0" applyProtection="0"/>
    <xf numFmtId="0" fontId="38" fillId="62" borderId="187" applyNumberFormat="0" applyFont="0" applyAlignment="0" applyProtection="0"/>
    <xf numFmtId="0" fontId="56" fillId="46" borderId="185" applyNumberFormat="0" applyAlignment="0" applyProtection="0"/>
    <xf numFmtId="49" fontId="32" fillId="0" borderId="188" applyNumberFormat="0" applyFill="0" applyBorder="0" applyProtection="0">
      <alignment horizontal="left" vertical="center"/>
    </xf>
    <xf numFmtId="0" fontId="33" fillId="38" borderId="191">
      <alignment horizontal="left" vertical="center" wrapText="1" indent="2"/>
    </xf>
    <xf numFmtId="0" fontId="44" fillId="59" borderId="185" applyNumberFormat="0" applyAlignment="0" applyProtection="0"/>
    <xf numFmtId="0" fontId="33" fillId="0" borderId="191">
      <alignment horizontal="left" vertical="center" wrapText="1" indent="2"/>
    </xf>
    <xf numFmtId="0" fontId="38" fillId="62" borderId="187" applyNumberFormat="0" applyFont="0" applyAlignment="0" applyProtection="0"/>
    <xf numFmtId="0" fontId="19" fillId="62" borderId="187" applyNumberFormat="0" applyFont="0" applyAlignment="0" applyProtection="0"/>
    <xf numFmtId="0" fontId="60" fillId="59" borderId="184" applyNumberFormat="0" applyAlignment="0" applyProtection="0"/>
    <xf numFmtId="0" fontId="63" fillId="0" borderId="186" applyNumberFormat="0" applyFill="0" applyAlignment="0" applyProtection="0"/>
    <xf numFmtId="4" fontId="33" fillId="37" borderId="188"/>
    <xf numFmtId="0" fontId="31" fillId="38" borderId="188">
      <alignment horizontal="right" vertical="center"/>
    </xf>
    <xf numFmtId="0" fontId="63" fillId="0" borderId="186" applyNumberFormat="0" applyFill="0" applyAlignment="0" applyProtection="0"/>
    <xf numFmtId="4" fontId="31" fillId="38" borderId="190">
      <alignment horizontal="right" vertical="center"/>
    </xf>
    <xf numFmtId="0" fontId="43" fillId="59" borderId="185" applyNumberFormat="0" applyAlignment="0" applyProtection="0"/>
    <xf numFmtId="0" fontId="31" fillId="38" borderId="189">
      <alignment horizontal="right" vertical="center"/>
    </xf>
    <xf numFmtId="0" fontId="44" fillId="59" borderId="185" applyNumberFormat="0" applyAlignment="0" applyProtection="0"/>
    <xf numFmtId="0" fontId="48" fillId="0" borderId="186" applyNumberFormat="0" applyFill="0" applyAlignment="0" applyProtection="0"/>
    <xf numFmtId="0" fontId="38" fillId="62" borderId="187" applyNumberFormat="0" applyFont="0" applyAlignment="0" applyProtection="0"/>
    <xf numFmtId="4" fontId="31" fillId="38" borderId="189">
      <alignment horizontal="right" vertical="center"/>
    </xf>
    <xf numFmtId="0" fontId="33" fillId="38" borderId="191">
      <alignment horizontal="left" vertical="center" wrapText="1" indent="2"/>
    </xf>
    <xf numFmtId="0" fontId="33" fillId="37" borderId="188"/>
    <xf numFmtId="177" fontId="33" fillId="63" borderId="188" applyNumberFormat="0" applyFont="0" applyBorder="0" applyAlignment="0" applyProtection="0">
      <alignment horizontal="right" vertical="center"/>
    </xf>
    <xf numFmtId="0" fontId="33" fillId="0" borderId="188" applyNumberFormat="0" applyFill="0" applyAlignment="0" applyProtection="0"/>
    <xf numFmtId="4" fontId="33" fillId="0" borderId="188" applyFill="0" applyBorder="0" applyProtection="0">
      <alignment horizontal="right" vertical="center"/>
    </xf>
    <xf numFmtId="4" fontId="31" fillId="36" borderId="188">
      <alignment horizontal="right" vertical="center"/>
    </xf>
    <xf numFmtId="0" fontId="48" fillId="0" borderId="186" applyNumberFormat="0" applyFill="0" applyAlignment="0" applyProtection="0"/>
    <xf numFmtId="49" fontId="32" fillId="0" borderId="188" applyNumberFormat="0" applyFill="0" applyBorder="0" applyProtection="0">
      <alignment horizontal="left" vertical="center"/>
    </xf>
    <xf numFmtId="49" fontId="33" fillId="0" borderId="189" applyNumberFormat="0" applyFont="0" applyFill="0" applyBorder="0" applyProtection="0">
      <alignment horizontal="left" vertical="center" indent="5"/>
    </xf>
    <xf numFmtId="0" fontId="33" fillId="36" borderId="189">
      <alignment horizontal="left" vertical="center"/>
    </xf>
    <xf numFmtId="0" fontId="44" fillId="59" borderId="185" applyNumberFormat="0" applyAlignment="0" applyProtection="0"/>
    <xf numFmtId="4" fontId="31" fillId="38" borderId="190">
      <alignment horizontal="right" vertical="center"/>
    </xf>
    <xf numFmtId="0" fontId="56" fillId="46" borderId="185" applyNumberFormat="0" applyAlignment="0" applyProtection="0"/>
    <xf numFmtId="0" fontId="56" fillId="46" borderId="185" applyNumberFormat="0" applyAlignment="0" applyProtection="0"/>
    <xf numFmtId="0" fontId="38" fillId="62" borderId="187" applyNumberFormat="0" applyFont="0" applyAlignment="0" applyProtection="0"/>
    <xf numFmtId="0" fontId="60" fillId="59" borderId="184" applyNumberFormat="0" applyAlignment="0" applyProtection="0"/>
    <xf numFmtId="0" fontId="63" fillId="0" borderId="186" applyNumberFormat="0" applyFill="0" applyAlignment="0" applyProtection="0"/>
    <xf numFmtId="0" fontId="31" fillId="38" borderId="188">
      <alignment horizontal="right" vertical="center"/>
    </xf>
    <xf numFmtId="0" fontId="19" fillId="62" borderId="187" applyNumberFormat="0" applyFont="0" applyAlignment="0" applyProtection="0"/>
    <xf numFmtId="4" fontId="33" fillId="0" borderId="188">
      <alignment horizontal="right" vertical="center"/>
    </xf>
    <xf numFmtId="0" fontId="63" fillId="0" borderId="186" applyNumberFormat="0" applyFill="0" applyAlignment="0" applyProtection="0"/>
    <xf numFmtId="0" fontId="31" fillId="38" borderId="188">
      <alignment horizontal="right" vertical="center"/>
    </xf>
    <xf numFmtId="0" fontId="31" fillId="38" borderId="188">
      <alignment horizontal="right" vertical="center"/>
    </xf>
    <xf numFmtId="4" fontId="35" fillId="36" borderId="188">
      <alignment horizontal="right" vertical="center"/>
    </xf>
    <xf numFmtId="0" fontId="31" fillId="36" borderId="188">
      <alignment horizontal="right" vertical="center"/>
    </xf>
    <xf numFmtId="4" fontId="31" fillId="36" borderId="188">
      <alignment horizontal="right" vertical="center"/>
    </xf>
    <xf numFmtId="0" fontId="35" fillId="36" borderId="188">
      <alignment horizontal="right" vertical="center"/>
    </xf>
    <xf numFmtId="4" fontId="35" fillId="36" borderId="188">
      <alignment horizontal="right" vertical="center"/>
    </xf>
    <xf numFmtId="0" fontId="31" fillId="38" borderId="188">
      <alignment horizontal="right" vertical="center"/>
    </xf>
    <xf numFmtId="4" fontId="31" fillId="38" borderId="188">
      <alignment horizontal="right" vertical="center"/>
    </xf>
    <xf numFmtId="0" fontId="31" fillId="38" borderId="188">
      <alignment horizontal="right" vertical="center"/>
    </xf>
    <xf numFmtId="4" fontId="31" fillId="38" borderId="188">
      <alignment horizontal="right" vertical="center"/>
    </xf>
    <xf numFmtId="0" fontId="31" fillId="38" borderId="189">
      <alignment horizontal="right" vertical="center"/>
    </xf>
    <xf numFmtId="4" fontId="31" fillId="38" borderId="189">
      <alignment horizontal="right" vertical="center"/>
    </xf>
    <xf numFmtId="0" fontId="31" fillId="38" borderId="190">
      <alignment horizontal="right" vertical="center"/>
    </xf>
    <xf numFmtId="4" fontId="31" fillId="38" borderId="190">
      <alignment horizontal="right" vertical="center"/>
    </xf>
    <xf numFmtId="0" fontId="44" fillId="59" borderId="185" applyNumberFormat="0" applyAlignment="0" applyProtection="0"/>
    <xf numFmtId="0" fontId="33" fillId="38" borderId="191">
      <alignment horizontal="left" vertical="center" wrapText="1" indent="2"/>
    </xf>
    <xf numFmtId="0" fontId="33" fillId="0" borderId="191">
      <alignment horizontal="left" vertical="center" wrapText="1" indent="2"/>
    </xf>
    <xf numFmtId="0" fontId="33" fillId="36" borderId="189">
      <alignment horizontal="left" vertical="center"/>
    </xf>
    <xf numFmtId="0" fontId="56" fillId="46" borderId="185" applyNumberFormat="0" applyAlignment="0" applyProtection="0"/>
    <xf numFmtId="0" fontId="33" fillId="0" borderId="188">
      <alignment horizontal="right" vertical="center"/>
    </xf>
    <xf numFmtId="4" fontId="33" fillId="0" borderId="188">
      <alignment horizontal="right" vertical="center"/>
    </xf>
    <xf numFmtId="0" fontId="33" fillId="0" borderId="188" applyNumberFormat="0" applyFill="0" applyAlignment="0" applyProtection="0"/>
    <xf numFmtId="0" fontId="60" fillId="59" borderId="184" applyNumberFormat="0" applyAlignment="0" applyProtection="0"/>
    <xf numFmtId="177" fontId="33" fillId="63" borderId="188" applyNumberFormat="0" applyFont="0" applyBorder="0" applyAlignment="0" applyProtection="0">
      <alignment horizontal="right" vertical="center"/>
    </xf>
    <xf numFmtId="0" fontId="33" fillId="37" borderId="188"/>
    <xf numFmtId="4" fontId="33" fillId="37" borderId="188"/>
    <xf numFmtId="0" fontId="63" fillId="0" borderId="186" applyNumberFormat="0" applyFill="0" applyAlignment="0" applyProtection="0"/>
    <xf numFmtId="0" fontId="19" fillId="62" borderId="187" applyNumberFormat="0" applyFont="0" applyAlignment="0" applyProtection="0"/>
    <xf numFmtId="0" fontId="38" fillId="62" borderId="187" applyNumberFormat="0" applyFont="0" applyAlignment="0" applyProtection="0"/>
    <xf numFmtId="0" fontId="33" fillId="0" borderId="188" applyNumberFormat="0" applyFill="0" applyAlignment="0" applyProtection="0"/>
    <xf numFmtId="0" fontId="48" fillId="0" borderId="186" applyNumberFormat="0" applyFill="0" applyAlignment="0" applyProtection="0"/>
    <xf numFmtId="0" fontId="63" fillId="0" borderId="186" applyNumberFormat="0" applyFill="0" applyAlignment="0" applyProtection="0"/>
    <xf numFmtId="0" fontId="47" fillId="46" borderId="185" applyNumberFormat="0" applyAlignment="0" applyProtection="0"/>
    <xf numFmtId="0" fontId="44" fillId="59" borderId="185" applyNumberFormat="0" applyAlignment="0" applyProtection="0"/>
    <xf numFmtId="4" fontId="35" fillId="36" borderId="188">
      <alignment horizontal="right" vertical="center"/>
    </xf>
    <xf numFmtId="0" fontId="31" fillId="36" borderId="188">
      <alignment horizontal="right" vertical="center"/>
    </xf>
    <xf numFmtId="177" fontId="33" fillId="63" borderId="188" applyNumberFormat="0" applyFont="0" applyBorder="0" applyAlignment="0" applyProtection="0">
      <alignment horizontal="right" vertical="center"/>
    </xf>
    <xf numFmtId="0" fontId="48" fillId="0" borderId="186" applyNumberFormat="0" applyFill="0" applyAlignment="0" applyProtection="0"/>
    <xf numFmtId="49" fontId="33" fillId="0" borderId="188" applyNumberFormat="0" applyFont="0" applyFill="0" applyBorder="0" applyProtection="0">
      <alignment horizontal="left" vertical="center" indent="2"/>
    </xf>
    <xf numFmtId="49" fontId="33" fillId="0" borderId="189" applyNumberFormat="0" applyFont="0" applyFill="0" applyBorder="0" applyProtection="0">
      <alignment horizontal="left" vertical="center" indent="5"/>
    </xf>
    <xf numFmtId="49" fontId="33" fillId="0" borderId="188" applyNumberFormat="0" applyFont="0" applyFill="0" applyBorder="0" applyProtection="0">
      <alignment horizontal="left" vertical="center" indent="2"/>
    </xf>
    <xf numFmtId="4" fontId="33" fillId="0" borderId="188" applyFill="0" applyBorder="0" applyProtection="0">
      <alignment horizontal="right" vertical="center"/>
    </xf>
    <xf numFmtId="49" fontId="32" fillId="0" borderId="188" applyNumberFormat="0" applyFill="0" applyBorder="0" applyProtection="0">
      <alignment horizontal="left" vertical="center"/>
    </xf>
    <xf numFmtId="0" fontId="33" fillId="0" borderId="191">
      <alignment horizontal="left" vertical="center" wrapText="1" indent="2"/>
    </xf>
    <xf numFmtId="0" fontId="60" fillId="59" borderId="184" applyNumberFormat="0" applyAlignment="0" applyProtection="0"/>
    <xf numFmtId="0" fontId="31" fillId="38" borderId="190">
      <alignment horizontal="right" vertical="center"/>
    </xf>
    <xf numFmtId="0" fontId="47" fillId="46" borderId="185" applyNumberFormat="0" applyAlignment="0" applyProtection="0"/>
    <xf numFmtId="0" fontId="31" fillId="38" borderId="190">
      <alignment horizontal="right" vertical="center"/>
    </xf>
    <xf numFmtId="4" fontId="31" fillId="38" borderId="188">
      <alignment horizontal="right" vertical="center"/>
    </xf>
    <xf numFmtId="0" fontId="31" fillId="38" borderId="188">
      <alignment horizontal="right" vertical="center"/>
    </xf>
    <xf numFmtId="0" fontId="41" fillId="59" borderId="184" applyNumberFormat="0" applyAlignment="0" applyProtection="0"/>
    <xf numFmtId="0" fontId="43" fillId="59" borderId="185" applyNumberFormat="0" applyAlignment="0" applyProtection="0"/>
    <xf numFmtId="0" fontId="48" fillId="0" borderId="186" applyNumberFormat="0" applyFill="0" applyAlignment="0" applyProtection="0"/>
    <xf numFmtId="0" fontId="33" fillId="37" borderId="188"/>
    <xf numFmtId="4" fontId="33" fillId="37" borderId="188"/>
    <xf numFmtId="4" fontId="31" fillId="38" borderId="188">
      <alignment horizontal="right" vertical="center"/>
    </xf>
    <xf numFmtId="0" fontId="35" fillId="36" borderId="188">
      <alignment horizontal="right" vertical="center"/>
    </xf>
    <xf numFmtId="0" fontId="47" fillId="46" borderId="185" applyNumberFormat="0" applyAlignment="0" applyProtection="0"/>
    <xf numFmtId="0" fontId="44" fillId="59" borderId="185" applyNumberFormat="0" applyAlignment="0" applyProtection="0"/>
    <xf numFmtId="4" fontId="33" fillId="0" borderId="188">
      <alignment horizontal="right" vertical="center"/>
    </xf>
    <xf numFmtId="0" fontId="33" fillId="38" borderId="191">
      <alignment horizontal="left" vertical="center" wrapText="1" indent="2"/>
    </xf>
    <xf numFmtId="0" fontId="33" fillId="0" borderId="191">
      <alignment horizontal="left" vertical="center" wrapText="1" indent="2"/>
    </xf>
    <xf numFmtId="0" fontId="60" fillId="59" borderId="184" applyNumberFormat="0" applyAlignment="0" applyProtection="0"/>
    <xf numFmtId="0" fontId="56" fillId="46" borderId="185" applyNumberFormat="0" applyAlignment="0" applyProtection="0"/>
    <xf numFmtId="0" fontId="43" fillId="59" borderId="185" applyNumberFormat="0" applyAlignment="0" applyProtection="0"/>
    <xf numFmtId="0" fontId="41" fillId="59" borderId="184" applyNumberFormat="0" applyAlignment="0" applyProtection="0"/>
    <xf numFmtId="0" fontId="31" fillId="38" borderId="190">
      <alignment horizontal="right" vertical="center"/>
    </xf>
    <xf numFmtId="0" fontId="35" fillId="36" borderId="188">
      <alignment horizontal="right" vertical="center"/>
    </xf>
    <xf numFmtId="4" fontId="31" fillId="36" borderId="188">
      <alignment horizontal="right" vertical="center"/>
    </xf>
    <xf numFmtId="4" fontId="31" fillId="38" borderId="188">
      <alignment horizontal="right" vertical="center"/>
    </xf>
    <xf numFmtId="49" fontId="33" fillId="0" borderId="189" applyNumberFormat="0" applyFont="0" applyFill="0" applyBorder="0" applyProtection="0">
      <alignment horizontal="left" vertical="center" indent="5"/>
    </xf>
    <xf numFmtId="4" fontId="33" fillId="0" borderId="188" applyFill="0" applyBorder="0" applyProtection="0">
      <alignment horizontal="right" vertical="center"/>
    </xf>
    <xf numFmtId="4" fontId="31" fillId="36" borderId="188">
      <alignment horizontal="right" vertical="center"/>
    </xf>
    <xf numFmtId="0" fontId="56" fillId="46" borderId="185" applyNumberFormat="0" applyAlignment="0" applyProtection="0"/>
    <xf numFmtId="0" fontId="47" fillId="46" borderId="185" applyNumberFormat="0" applyAlignment="0" applyProtection="0"/>
    <xf numFmtId="0" fontId="43" fillId="59" borderId="185" applyNumberFormat="0" applyAlignment="0" applyProtection="0"/>
    <xf numFmtId="0" fontId="33" fillId="38" borderId="191">
      <alignment horizontal="left" vertical="center" wrapText="1" indent="2"/>
    </xf>
    <xf numFmtId="0" fontId="33" fillId="0" borderId="191">
      <alignment horizontal="left" vertical="center" wrapText="1" indent="2"/>
    </xf>
    <xf numFmtId="0" fontId="33" fillId="38" borderId="191">
      <alignment horizontal="left" vertical="center" wrapText="1" indent="2"/>
    </xf>
    <xf numFmtId="0" fontId="33" fillId="0" borderId="191">
      <alignment horizontal="left" vertical="center" wrapText="1" indent="2"/>
    </xf>
    <xf numFmtId="0" fontId="41" fillId="59" borderId="184" applyNumberFormat="0" applyAlignment="0" applyProtection="0"/>
    <xf numFmtId="0" fontId="43" fillId="59" borderId="185" applyNumberFormat="0" applyAlignment="0" applyProtection="0"/>
    <xf numFmtId="0" fontId="44" fillId="59" borderId="185" applyNumberFormat="0" applyAlignment="0" applyProtection="0"/>
    <xf numFmtId="0" fontId="47" fillId="46" borderId="185" applyNumberFormat="0" applyAlignment="0" applyProtection="0"/>
    <xf numFmtId="0" fontId="48" fillId="0" borderId="186" applyNumberFormat="0" applyFill="0" applyAlignment="0" applyProtection="0"/>
    <xf numFmtId="0" fontId="56" fillId="46" borderId="185" applyNumberFormat="0" applyAlignment="0" applyProtection="0"/>
    <xf numFmtId="0" fontId="38" fillId="62" borderId="187" applyNumberFormat="0" applyFont="0" applyAlignment="0" applyProtection="0"/>
    <xf numFmtId="0" fontId="19" fillId="62" borderId="187" applyNumberFormat="0" applyFont="0" applyAlignment="0" applyProtection="0"/>
    <xf numFmtId="0" fontId="60" fillId="59" borderId="184" applyNumberFormat="0" applyAlignment="0" applyProtection="0"/>
    <xf numFmtId="0" fontId="63" fillId="0" borderId="186" applyNumberFormat="0" applyFill="0" applyAlignment="0" applyProtection="0"/>
    <xf numFmtId="0" fontId="44" fillId="59" borderId="185" applyNumberFormat="0" applyAlignment="0" applyProtection="0"/>
    <xf numFmtId="0" fontId="56" fillId="46" borderId="185" applyNumberFormat="0" applyAlignment="0" applyProtection="0"/>
    <xf numFmtId="0" fontId="38" fillId="62" borderId="187" applyNumberFormat="0" applyFont="0" applyAlignment="0" applyProtection="0"/>
    <xf numFmtId="0" fontId="60" fillId="59" borderId="184" applyNumberFormat="0" applyAlignment="0" applyProtection="0"/>
    <xf numFmtId="0" fontId="63" fillId="0" borderId="186" applyNumberFormat="0" applyFill="0" applyAlignment="0" applyProtection="0"/>
    <xf numFmtId="0" fontId="31" fillId="38" borderId="219">
      <alignment horizontal="right" vertical="center"/>
    </xf>
    <xf numFmtId="0" fontId="1" fillId="21" borderId="0" applyNumberFormat="0" applyBorder="0" applyAlignment="0" applyProtection="0"/>
    <xf numFmtId="0" fontId="31" fillId="38" borderId="179">
      <alignment horizontal="right" vertical="center"/>
    </xf>
    <xf numFmtId="4" fontId="31" fillId="38" borderId="179">
      <alignment horizontal="right" vertical="center"/>
    </xf>
    <xf numFmtId="0" fontId="44" fillId="59" borderId="185" applyNumberFormat="0" applyAlignment="0" applyProtection="0"/>
    <xf numFmtId="0" fontId="43" fillId="59" borderId="200" applyNumberFormat="0" applyAlignment="0" applyProtection="0"/>
    <xf numFmtId="0" fontId="31" fillId="36" borderId="203">
      <alignment horizontal="right" vertical="center"/>
    </xf>
    <xf numFmtId="0" fontId="33" fillId="0" borderId="196" applyNumberFormat="0" applyFill="0" applyAlignment="0" applyProtection="0"/>
    <xf numFmtId="0" fontId="56" fillId="46" borderId="185" applyNumberFormat="0" applyAlignment="0" applyProtection="0"/>
    <xf numFmtId="0" fontId="60" fillId="59" borderId="184" applyNumberFormat="0" applyAlignment="0" applyProtection="0"/>
    <xf numFmtId="0" fontId="63" fillId="0" borderId="186" applyNumberFormat="0" applyFill="0" applyAlignment="0" applyProtection="0"/>
    <xf numFmtId="0" fontId="31" fillId="38" borderId="205">
      <alignment horizontal="right" vertical="center"/>
    </xf>
    <xf numFmtId="0" fontId="41" fillId="59" borderId="184" applyNumberFormat="0" applyAlignment="0" applyProtection="0"/>
    <xf numFmtId="0" fontId="43" fillId="59" borderId="185" applyNumberFormat="0" applyAlignment="0" applyProtection="0"/>
    <xf numFmtId="0" fontId="48" fillId="0" borderId="186" applyNumberFormat="0" applyFill="0" applyAlignment="0" applyProtection="0"/>
    <xf numFmtId="49" fontId="33" fillId="0" borderId="188" applyNumberFormat="0" applyFont="0" applyFill="0" applyBorder="0" applyProtection="0">
      <alignment horizontal="left" vertical="center" indent="2"/>
    </xf>
    <xf numFmtId="0" fontId="31" fillId="36" borderId="188">
      <alignment horizontal="right" vertical="center"/>
    </xf>
    <xf numFmtId="4" fontId="31" fillId="36" borderId="188">
      <alignment horizontal="right" vertical="center"/>
    </xf>
    <xf numFmtId="0" fontId="35" fillId="36" borderId="188">
      <alignment horizontal="right" vertical="center"/>
    </xf>
    <xf numFmtId="4" fontId="35" fillId="36" borderId="188">
      <alignment horizontal="right" vertical="center"/>
    </xf>
    <xf numFmtId="0" fontId="31" fillId="38" borderId="188">
      <alignment horizontal="right" vertical="center"/>
    </xf>
    <xf numFmtId="4" fontId="31" fillId="38" borderId="188">
      <alignment horizontal="right" vertical="center"/>
    </xf>
    <xf numFmtId="0" fontId="31" fillId="38" borderId="188">
      <alignment horizontal="right" vertical="center"/>
    </xf>
    <xf numFmtId="4" fontId="31" fillId="38" borderId="188">
      <alignment horizontal="right" vertical="center"/>
    </xf>
    <xf numFmtId="0" fontId="47" fillId="46" borderId="185" applyNumberFormat="0" applyAlignment="0" applyProtection="0"/>
    <xf numFmtId="0" fontId="33" fillId="0" borderId="188">
      <alignment horizontal="right" vertical="center"/>
    </xf>
    <xf numFmtId="4" fontId="33" fillId="0" borderId="188">
      <alignment horizontal="right" vertical="center"/>
    </xf>
    <xf numFmtId="4" fontId="33" fillId="0" borderId="188" applyFill="0" applyBorder="0" applyProtection="0">
      <alignment horizontal="right" vertical="center"/>
    </xf>
    <xf numFmtId="49" fontId="32" fillId="0" borderId="188" applyNumberFormat="0" applyFill="0" applyBorder="0" applyProtection="0">
      <alignment horizontal="left" vertical="center"/>
    </xf>
    <xf numFmtId="0" fontId="33" fillId="0" borderId="188" applyNumberFormat="0" applyFill="0" applyAlignment="0" applyProtection="0"/>
    <xf numFmtId="177" fontId="33" fillId="63" borderId="188" applyNumberFormat="0" applyFont="0" applyBorder="0" applyAlignment="0" applyProtection="0">
      <alignment horizontal="right" vertical="center"/>
    </xf>
    <xf numFmtId="0" fontId="33" fillId="37" borderId="188"/>
    <xf numFmtId="4" fontId="33" fillId="37" borderId="188"/>
    <xf numFmtId="4" fontId="31" fillId="38" borderId="188">
      <alignment horizontal="right" vertical="center"/>
    </xf>
    <xf numFmtId="0" fontId="33" fillId="37" borderId="188"/>
    <xf numFmtId="0" fontId="43" fillId="59" borderId="185" applyNumberFormat="0" applyAlignment="0" applyProtection="0"/>
    <xf numFmtId="0" fontId="31" fillId="36" borderId="188">
      <alignment horizontal="right" vertical="center"/>
    </xf>
    <xf numFmtId="0" fontId="33" fillId="0" borderId="188">
      <alignment horizontal="right" vertical="center"/>
    </xf>
    <xf numFmtId="0" fontId="63" fillId="0" borderId="186" applyNumberFormat="0" applyFill="0" applyAlignment="0" applyProtection="0"/>
    <xf numFmtId="0" fontId="33" fillId="36" borderId="189">
      <alignment horizontal="left" vertical="center"/>
    </xf>
    <xf numFmtId="0" fontId="56" fillId="46" borderId="185" applyNumberFormat="0" applyAlignment="0" applyProtection="0"/>
    <xf numFmtId="177" fontId="33" fillId="63" borderId="188" applyNumberFormat="0" applyFont="0" applyBorder="0" applyAlignment="0" applyProtection="0">
      <alignment horizontal="right" vertical="center"/>
    </xf>
    <xf numFmtId="0" fontId="38" fillId="62" borderId="187" applyNumberFormat="0" applyFont="0" applyAlignment="0" applyProtection="0"/>
    <xf numFmtId="0" fontId="33" fillId="0" borderId="191">
      <alignment horizontal="left" vertical="center" wrapText="1" indent="2"/>
    </xf>
    <xf numFmtId="4" fontId="33" fillId="37" borderId="188"/>
    <xf numFmtId="49" fontId="32" fillId="0" borderId="188" applyNumberFormat="0" applyFill="0" applyBorder="0" applyProtection="0">
      <alignment horizontal="left" vertical="center"/>
    </xf>
    <xf numFmtId="0" fontId="33" fillId="0" borderId="188">
      <alignment horizontal="right" vertical="center"/>
    </xf>
    <xf numFmtId="4" fontId="31" fillId="38" borderId="190">
      <alignment horizontal="right" vertical="center"/>
    </xf>
    <xf numFmtId="4" fontId="31" fillId="38" borderId="188">
      <alignment horizontal="right" vertical="center"/>
    </xf>
    <xf numFmtId="4" fontId="31" fillId="38" borderId="188">
      <alignment horizontal="right" vertical="center"/>
    </xf>
    <xf numFmtId="0" fontId="35" fillId="36" borderId="188">
      <alignment horizontal="right" vertical="center"/>
    </xf>
    <xf numFmtId="0" fontId="31" fillId="36" borderId="188">
      <alignment horizontal="right" vertical="center"/>
    </xf>
    <xf numFmtId="49" fontId="33" fillId="0" borderId="188" applyNumberFormat="0" applyFont="0" applyFill="0" applyBorder="0" applyProtection="0">
      <alignment horizontal="left" vertical="center" indent="2"/>
    </xf>
    <xf numFmtId="0" fontId="56" fillId="46" borderId="185" applyNumberFormat="0" applyAlignment="0" applyProtection="0"/>
    <xf numFmtId="0" fontId="41" fillId="59" borderId="184" applyNumberFormat="0" applyAlignment="0" applyProtection="0"/>
    <xf numFmtId="49" fontId="33" fillId="0" borderId="188" applyNumberFormat="0" applyFont="0" applyFill="0" applyBorder="0" applyProtection="0">
      <alignment horizontal="left" vertical="center" indent="2"/>
    </xf>
    <xf numFmtId="0" fontId="47" fillId="46" borderId="185" applyNumberFormat="0" applyAlignment="0" applyProtection="0"/>
    <xf numFmtId="4" fontId="33" fillId="0" borderId="188" applyFill="0" applyBorder="0" applyProtection="0">
      <alignment horizontal="right" vertical="center"/>
    </xf>
    <xf numFmtId="0" fontId="44" fillId="59" borderId="185" applyNumberFormat="0" applyAlignment="0" applyProtection="0"/>
    <xf numFmtId="0" fontId="63" fillId="0" borderId="186" applyNumberFormat="0" applyFill="0" applyAlignment="0" applyProtection="0"/>
    <xf numFmtId="0" fontId="60" fillId="59" borderId="184" applyNumberFormat="0" applyAlignment="0" applyProtection="0"/>
    <xf numFmtId="0" fontId="33" fillId="0" borderId="188" applyNumberFormat="0" applyFill="0" applyAlignment="0" applyProtection="0"/>
    <xf numFmtId="4" fontId="33" fillId="0" borderId="188">
      <alignment horizontal="right" vertical="center"/>
    </xf>
    <xf numFmtId="0" fontId="33" fillId="0" borderId="188">
      <alignment horizontal="right" vertical="center"/>
    </xf>
    <xf numFmtId="0" fontId="56" fillId="46" borderId="185" applyNumberFormat="0" applyAlignment="0" applyProtection="0"/>
    <xf numFmtId="0" fontId="41" fillId="59" borderId="184" applyNumberFormat="0" applyAlignment="0" applyProtection="0"/>
    <xf numFmtId="0" fontId="43" fillId="59" borderId="185" applyNumberFormat="0" applyAlignment="0" applyProtection="0"/>
    <xf numFmtId="0" fontId="33" fillId="38" borderId="191">
      <alignment horizontal="left" vertical="center" wrapText="1" indent="2"/>
    </xf>
    <xf numFmtId="0" fontId="44" fillId="59" borderId="185" applyNumberFormat="0" applyAlignment="0" applyProtection="0"/>
    <xf numFmtId="0" fontId="44" fillId="59" borderId="185" applyNumberFormat="0" applyAlignment="0" applyProtection="0"/>
    <xf numFmtId="4" fontId="31" fillId="38" borderId="189">
      <alignment horizontal="right" vertical="center"/>
    </xf>
    <xf numFmtId="0" fontId="31" fillId="38" borderId="189">
      <alignment horizontal="right" vertical="center"/>
    </xf>
    <xf numFmtId="0" fontId="31" fillId="38" borderId="188">
      <alignment horizontal="right" vertical="center"/>
    </xf>
    <xf numFmtId="4" fontId="35" fillId="36" borderId="188">
      <alignment horizontal="right" vertical="center"/>
    </xf>
    <xf numFmtId="0" fontId="47" fillId="46" borderId="185" applyNumberFormat="0" applyAlignment="0" applyProtection="0"/>
    <xf numFmtId="0" fontId="48" fillId="0" borderId="186" applyNumberFormat="0" applyFill="0" applyAlignment="0" applyProtection="0"/>
    <xf numFmtId="0" fontId="63" fillId="0" borderId="186" applyNumberFormat="0" applyFill="0" applyAlignment="0" applyProtection="0"/>
    <xf numFmtId="0" fontId="38" fillId="62" borderId="187" applyNumberFormat="0" applyFont="0" applyAlignment="0" applyProtection="0"/>
    <xf numFmtId="0" fontId="56" fillId="46" borderId="185" applyNumberFormat="0" applyAlignment="0" applyProtection="0"/>
    <xf numFmtId="49" fontId="32" fillId="0" borderId="188" applyNumberFormat="0" applyFill="0" applyBorder="0" applyProtection="0">
      <alignment horizontal="left" vertical="center"/>
    </xf>
    <xf numFmtId="0" fontId="33" fillId="38" borderId="191">
      <alignment horizontal="left" vertical="center" wrapText="1" indent="2"/>
    </xf>
    <xf numFmtId="0" fontId="44" fillId="59" borderId="185" applyNumberFormat="0" applyAlignment="0" applyProtection="0"/>
    <xf numFmtId="0" fontId="33" fillId="0" borderId="191">
      <alignment horizontal="left" vertical="center" wrapText="1" indent="2"/>
    </xf>
    <xf numFmtId="0" fontId="38" fillId="62" borderId="187" applyNumberFormat="0" applyFont="0" applyAlignment="0" applyProtection="0"/>
    <xf numFmtId="0" fontId="19" fillId="62" borderId="187" applyNumberFormat="0" applyFont="0" applyAlignment="0" applyProtection="0"/>
    <xf numFmtId="0" fontId="60" fillId="59" borderId="184" applyNumberFormat="0" applyAlignment="0" applyProtection="0"/>
    <xf numFmtId="0" fontId="63" fillId="0" borderId="186" applyNumberFormat="0" applyFill="0" applyAlignment="0" applyProtection="0"/>
    <xf numFmtId="4" fontId="33" fillId="37" borderId="188"/>
    <xf numFmtId="0" fontId="31" fillId="38" borderId="188">
      <alignment horizontal="right" vertical="center"/>
    </xf>
    <xf numFmtId="0" fontId="63" fillId="0" borderId="186" applyNumberFormat="0" applyFill="0" applyAlignment="0" applyProtection="0"/>
    <xf numFmtId="4" fontId="31" fillId="38" borderId="190">
      <alignment horizontal="right" vertical="center"/>
    </xf>
    <xf numFmtId="0" fontId="43" fillId="59" borderId="185" applyNumberFormat="0" applyAlignment="0" applyProtection="0"/>
    <xf numFmtId="0" fontId="31" fillId="38" borderId="189">
      <alignment horizontal="right" vertical="center"/>
    </xf>
    <xf numFmtId="0" fontId="44" fillId="59" borderId="185" applyNumberFormat="0" applyAlignment="0" applyProtection="0"/>
    <xf numFmtId="0" fontId="48" fillId="0" borderId="186" applyNumberFormat="0" applyFill="0" applyAlignment="0" applyProtection="0"/>
    <xf numFmtId="0" fontId="38" fillId="62" borderId="187" applyNumberFormat="0" applyFont="0" applyAlignment="0" applyProtection="0"/>
    <xf numFmtId="4" fontId="31" fillId="38" borderId="189">
      <alignment horizontal="right" vertical="center"/>
    </xf>
    <xf numFmtId="0" fontId="33" fillId="38" borderId="191">
      <alignment horizontal="left" vertical="center" wrapText="1" indent="2"/>
    </xf>
    <xf numFmtId="0" fontId="33" fillId="37" borderId="188"/>
    <xf numFmtId="177" fontId="33" fillId="63" borderId="188" applyNumberFormat="0" applyFont="0" applyBorder="0" applyAlignment="0" applyProtection="0">
      <alignment horizontal="right" vertical="center"/>
    </xf>
    <xf numFmtId="0" fontId="33" fillId="0" borderId="188" applyNumberFormat="0" applyFill="0" applyAlignment="0" applyProtection="0"/>
    <xf numFmtId="4" fontId="33" fillId="0" borderId="188" applyFill="0" applyBorder="0" applyProtection="0">
      <alignment horizontal="right" vertical="center"/>
    </xf>
    <xf numFmtId="4" fontId="31" fillId="36" borderId="188">
      <alignment horizontal="right" vertical="center"/>
    </xf>
    <xf numFmtId="0" fontId="48" fillId="0" borderId="186" applyNumberFormat="0" applyFill="0" applyAlignment="0" applyProtection="0"/>
    <xf numFmtId="49" fontId="32" fillId="0" borderId="188" applyNumberFormat="0" applyFill="0" applyBorder="0" applyProtection="0">
      <alignment horizontal="left" vertical="center"/>
    </xf>
    <xf numFmtId="49" fontId="33" fillId="0" borderId="189" applyNumberFormat="0" applyFont="0" applyFill="0" applyBorder="0" applyProtection="0">
      <alignment horizontal="left" vertical="center" indent="5"/>
    </xf>
    <xf numFmtId="0" fontId="33" fillId="36" borderId="189">
      <alignment horizontal="left" vertical="center"/>
    </xf>
    <xf numFmtId="0" fontId="44" fillId="59" borderId="185" applyNumberFormat="0" applyAlignment="0" applyProtection="0"/>
    <xf numFmtId="4" fontId="31" fillId="38" borderId="190">
      <alignment horizontal="right" vertical="center"/>
    </xf>
    <xf numFmtId="0" fontId="56" fillId="46" borderId="185" applyNumberFormat="0" applyAlignment="0" applyProtection="0"/>
    <xf numFmtId="0" fontId="56" fillId="46" borderId="185" applyNumberFormat="0" applyAlignment="0" applyProtection="0"/>
    <xf numFmtId="0" fontId="38" fillId="62" borderId="187" applyNumberFormat="0" applyFont="0" applyAlignment="0" applyProtection="0"/>
    <xf numFmtId="0" fontId="60" fillId="59" borderId="184" applyNumberFormat="0" applyAlignment="0" applyProtection="0"/>
    <xf numFmtId="0" fontId="63" fillId="0" borderId="186" applyNumberFormat="0" applyFill="0" applyAlignment="0" applyProtection="0"/>
    <xf numFmtId="0" fontId="31" fillId="38" borderId="188">
      <alignment horizontal="right" vertical="center"/>
    </xf>
    <xf numFmtId="0" fontId="19" fillId="62" borderId="187" applyNumberFormat="0" applyFont="0" applyAlignment="0" applyProtection="0"/>
    <xf numFmtId="4" fontId="33" fillId="0" borderId="188">
      <alignment horizontal="right" vertical="center"/>
    </xf>
    <xf numFmtId="0" fontId="63" fillId="0" borderId="186" applyNumberFormat="0" applyFill="0" applyAlignment="0" applyProtection="0"/>
    <xf numFmtId="0" fontId="31" fillId="38" borderId="188">
      <alignment horizontal="right" vertical="center"/>
    </xf>
    <xf numFmtId="0" fontId="31" fillId="38" borderId="188">
      <alignment horizontal="right" vertical="center"/>
    </xf>
    <xf numFmtId="4" fontId="35" fillId="36" borderId="188">
      <alignment horizontal="right" vertical="center"/>
    </xf>
    <xf numFmtId="0" fontId="31" fillId="36" borderId="188">
      <alignment horizontal="right" vertical="center"/>
    </xf>
    <xf numFmtId="4" fontId="31" fillId="36" borderId="188">
      <alignment horizontal="right" vertical="center"/>
    </xf>
    <xf numFmtId="0" fontId="35" fillId="36" borderId="188">
      <alignment horizontal="right" vertical="center"/>
    </xf>
    <xf numFmtId="4" fontId="35" fillId="36" borderId="188">
      <alignment horizontal="right" vertical="center"/>
    </xf>
    <xf numFmtId="0" fontId="31" fillId="38" borderId="188">
      <alignment horizontal="right" vertical="center"/>
    </xf>
    <xf numFmtId="4" fontId="31" fillId="38" borderId="188">
      <alignment horizontal="right" vertical="center"/>
    </xf>
    <xf numFmtId="0" fontId="31" fillId="38" borderId="188">
      <alignment horizontal="right" vertical="center"/>
    </xf>
    <xf numFmtId="4" fontId="31" fillId="38" borderId="188">
      <alignment horizontal="right" vertical="center"/>
    </xf>
    <xf numFmtId="0" fontId="31" fillId="38" borderId="189">
      <alignment horizontal="right" vertical="center"/>
    </xf>
    <xf numFmtId="4" fontId="31" fillId="38" borderId="189">
      <alignment horizontal="right" vertical="center"/>
    </xf>
    <xf numFmtId="0" fontId="31" fillId="38" borderId="190">
      <alignment horizontal="right" vertical="center"/>
    </xf>
    <xf numFmtId="4" fontId="31" fillId="38" borderId="190">
      <alignment horizontal="right" vertical="center"/>
    </xf>
    <xf numFmtId="0" fontId="44" fillId="59" borderId="185" applyNumberFormat="0" applyAlignment="0" applyProtection="0"/>
    <xf numFmtId="0" fontId="33" fillId="38" borderId="191">
      <alignment horizontal="left" vertical="center" wrapText="1" indent="2"/>
    </xf>
    <xf numFmtId="0" fontId="33" fillId="0" borderId="191">
      <alignment horizontal="left" vertical="center" wrapText="1" indent="2"/>
    </xf>
    <xf numFmtId="0" fontId="33" fillId="36" borderId="189">
      <alignment horizontal="left" vertical="center"/>
    </xf>
    <xf numFmtId="0" fontId="56" fillId="46" borderId="185" applyNumberFormat="0" applyAlignment="0" applyProtection="0"/>
    <xf numFmtId="0" fontId="33" fillId="0" borderId="188">
      <alignment horizontal="right" vertical="center"/>
    </xf>
    <xf numFmtId="4" fontId="33" fillId="0" borderId="188">
      <alignment horizontal="right" vertical="center"/>
    </xf>
    <xf numFmtId="0" fontId="33" fillId="0" borderId="188" applyNumberFormat="0" applyFill="0" applyAlignment="0" applyProtection="0"/>
    <xf numFmtId="0" fontId="60" fillId="59" borderId="184" applyNumberFormat="0" applyAlignment="0" applyProtection="0"/>
    <xf numFmtId="177" fontId="33" fillId="63" borderId="188" applyNumberFormat="0" applyFont="0" applyBorder="0" applyAlignment="0" applyProtection="0">
      <alignment horizontal="right" vertical="center"/>
    </xf>
    <xf numFmtId="0" fontId="33" fillId="37" borderId="188"/>
    <xf numFmtId="4" fontId="33" fillId="37" borderId="188"/>
    <xf numFmtId="0" fontId="63" fillId="0" borderId="186" applyNumberFormat="0" applyFill="0" applyAlignment="0" applyProtection="0"/>
    <xf numFmtId="0" fontId="19" fillId="62" borderId="187" applyNumberFormat="0" applyFont="0" applyAlignment="0" applyProtection="0"/>
    <xf numFmtId="0" fontId="38" fillId="62" borderId="187" applyNumberFormat="0" applyFont="0" applyAlignment="0" applyProtection="0"/>
    <xf numFmtId="0" fontId="33" fillId="0" borderId="188" applyNumberFormat="0" applyFill="0" applyAlignment="0" applyProtection="0"/>
    <xf numFmtId="0" fontId="48" fillId="0" borderId="186" applyNumberFormat="0" applyFill="0" applyAlignment="0" applyProtection="0"/>
    <xf numFmtId="0" fontId="63" fillId="0" borderId="186" applyNumberFormat="0" applyFill="0" applyAlignment="0" applyProtection="0"/>
    <xf numFmtId="0" fontId="47" fillId="46" borderId="185" applyNumberFormat="0" applyAlignment="0" applyProtection="0"/>
    <xf numFmtId="0" fontId="44" fillId="59" borderId="185" applyNumberFormat="0" applyAlignment="0" applyProtection="0"/>
    <xf numFmtId="4" fontId="35" fillId="36" borderId="188">
      <alignment horizontal="right" vertical="center"/>
    </xf>
    <xf numFmtId="0" fontId="31" fillId="36" borderId="188">
      <alignment horizontal="right" vertical="center"/>
    </xf>
    <xf numFmtId="177" fontId="33" fillId="63" borderId="188" applyNumberFormat="0" applyFont="0" applyBorder="0" applyAlignment="0" applyProtection="0">
      <alignment horizontal="right" vertical="center"/>
    </xf>
    <xf numFmtId="0" fontId="48" fillId="0" borderId="186" applyNumberFormat="0" applyFill="0" applyAlignment="0" applyProtection="0"/>
    <xf numFmtId="49" fontId="33" fillId="0" borderId="188" applyNumberFormat="0" applyFont="0" applyFill="0" applyBorder="0" applyProtection="0">
      <alignment horizontal="left" vertical="center" indent="2"/>
    </xf>
    <xf numFmtId="49" fontId="33" fillId="0" borderId="189" applyNumberFormat="0" applyFont="0" applyFill="0" applyBorder="0" applyProtection="0">
      <alignment horizontal="left" vertical="center" indent="5"/>
    </xf>
    <xf numFmtId="49" fontId="33" fillId="0" borderId="188" applyNumberFormat="0" applyFont="0" applyFill="0" applyBorder="0" applyProtection="0">
      <alignment horizontal="left" vertical="center" indent="2"/>
    </xf>
    <xf numFmtId="4" fontId="33" fillId="0" borderId="188" applyFill="0" applyBorder="0" applyProtection="0">
      <alignment horizontal="right" vertical="center"/>
    </xf>
    <xf numFmtId="49" fontId="32" fillId="0" borderId="188" applyNumberFormat="0" applyFill="0" applyBorder="0" applyProtection="0">
      <alignment horizontal="left" vertical="center"/>
    </xf>
    <xf numFmtId="0" fontId="33" fillId="0" borderId="191">
      <alignment horizontal="left" vertical="center" wrapText="1" indent="2"/>
    </xf>
    <xf numFmtId="0" fontId="60" fillId="59" borderId="184" applyNumberFormat="0" applyAlignment="0" applyProtection="0"/>
    <xf numFmtId="0" fontId="31" fillId="38" borderId="190">
      <alignment horizontal="right" vertical="center"/>
    </xf>
    <xf numFmtId="0" fontId="47" fillId="46" borderId="185" applyNumberFormat="0" applyAlignment="0" applyProtection="0"/>
    <xf numFmtId="0" fontId="31" fillId="38" borderId="190">
      <alignment horizontal="right" vertical="center"/>
    </xf>
    <xf numFmtId="4" fontId="31" fillId="38" borderId="188">
      <alignment horizontal="right" vertical="center"/>
    </xf>
    <xf numFmtId="0" fontId="31" fillId="38" borderId="188">
      <alignment horizontal="right" vertical="center"/>
    </xf>
    <xf numFmtId="0" fontId="41" fillId="59" borderId="184" applyNumberFormat="0" applyAlignment="0" applyProtection="0"/>
    <xf numFmtId="0" fontId="43" fillId="59" borderId="185" applyNumberFormat="0" applyAlignment="0" applyProtection="0"/>
    <xf numFmtId="0" fontId="48" fillId="0" borderId="186" applyNumberFormat="0" applyFill="0" applyAlignment="0" applyProtection="0"/>
    <xf numFmtId="0" fontId="33" fillId="37" borderId="188"/>
    <xf numFmtId="4" fontId="33" fillId="37" borderId="188"/>
    <xf numFmtId="4" fontId="31" fillId="38" borderId="188">
      <alignment horizontal="right" vertical="center"/>
    </xf>
    <xf numFmtId="0" fontId="35" fillId="36" borderId="188">
      <alignment horizontal="right" vertical="center"/>
    </xf>
    <xf numFmtId="0" fontId="47" fillId="46" borderId="185" applyNumberFormat="0" applyAlignment="0" applyProtection="0"/>
    <xf numFmtId="0" fontId="44" fillId="59" borderId="185" applyNumberFormat="0" applyAlignment="0" applyProtection="0"/>
    <xf numFmtId="4" fontId="33" fillId="0" borderId="188">
      <alignment horizontal="right" vertical="center"/>
    </xf>
    <xf numFmtId="0" fontId="33" fillId="38" borderId="191">
      <alignment horizontal="left" vertical="center" wrapText="1" indent="2"/>
    </xf>
    <xf numFmtId="0" fontId="33" fillId="0" borderId="191">
      <alignment horizontal="left" vertical="center" wrapText="1" indent="2"/>
    </xf>
    <xf numFmtId="0" fontId="60" fillId="59" borderId="184" applyNumberFormat="0" applyAlignment="0" applyProtection="0"/>
    <xf numFmtId="0" fontId="56" fillId="46" borderId="185" applyNumberFormat="0" applyAlignment="0" applyProtection="0"/>
    <xf numFmtId="0" fontId="43" fillId="59" borderId="185" applyNumberFormat="0" applyAlignment="0" applyProtection="0"/>
    <xf numFmtId="0" fontId="41" fillId="59" borderId="184" applyNumberFormat="0" applyAlignment="0" applyProtection="0"/>
    <xf numFmtId="0" fontId="31" fillId="38" borderId="190">
      <alignment horizontal="right" vertical="center"/>
    </xf>
    <xf numFmtId="0" fontId="35" fillId="36" borderId="188">
      <alignment horizontal="right" vertical="center"/>
    </xf>
    <xf numFmtId="4" fontId="31" fillId="36" borderId="188">
      <alignment horizontal="right" vertical="center"/>
    </xf>
    <xf numFmtId="4" fontId="31" fillId="38" borderId="188">
      <alignment horizontal="right" vertical="center"/>
    </xf>
    <xf numFmtId="49" fontId="33" fillId="0" borderId="189" applyNumberFormat="0" applyFont="0" applyFill="0" applyBorder="0" applyProtection="0">
      <alignment horizontal="left" vertical="center" indent="5"/>
    </xf>
    <xf numFmtId="4" fontId="33" fillId="0" borderId="188" applyFill="0" applyBorder="0" applyProtection="0">
      <alignment horizontal="right" vertical="center"/>
    </xf>
    <xf numFmtId="4" fontId="31" fillId="36" borderId="188">
      <alignment horizontal="right" vertical="center"/>
    </xf>
    <xf numFmtId="0" fontId="56" fillId="46" borderId="185" applyNumberFormat="0" applyAlignment="0" applyProtection="0"/>
    <xf numFmtId="0" fontId="47" fillId="46" borderId="185" applyNumberFormat="0" applyAlignment="0" applyProtection="0"/>
    <xf numFmtId="0" fontId="43" fillId="59" borderId="185" applyNumberFormat="0" applyAlignment="0" applyProtection="0"/>
    <xf numFmtId="0" fontId="33" fillId="38" borderId="191">
      <alignment horizontal="left" vertical="center" wrapText="1" indent="2"/>
    </xf>
    <xf numFmtId="0" fontId="33" fillId="0" borderId="191">
      <alignment horizontal="left" vertical="center" wrapText="1" indent="2"/>
    </xf>
    <xf numFmtId="0" fontId="33" fillId="38" borderId="191">
      <alignment horizontal="left" vertical="center" wrapText="1" indent="2"/>
    </xf>
    <xf numFmtId="0" fontId="33" fillId="0" borderId="196" applyNumberFormat="0" applyFill="0" applyAlignment="0" applyProtection="0"/>
    <xf numFmtId="0" fontId="31" fillId="38" borderId="196">
      <alignment horizontal="right" vertical="center"/>
    </xf>
    <xf numFmtId="0" fontId="63" fillId="0" borderId="194" applyNumberFormat="0" applyFill="0" applyAlignment="0" applyProtection="0"/>
    <xf numFmtId="0" fontId="28" fillId="0" borderId="0" applyNumberFormat="0" applyFill="0" applyBorder="0" applyAlignment="0" applyProtection="0"/>
    <xf numFmtId="0" fontId="56" fillId="46" borderId="193" applyNumberFormat="0" applyAlignment="0" applyProtection="0"/>
    <xf numFmtId="0" fontId="1" fillId="24" borderId="0" applyNumberFormat="0" applyBorder="0" applyAlignment="0" applyProtection="0"/>
    <xf numFmtId="0" fontId="44" fillId="59" borderId="193" applyNumberFormat="0" applyAlignment="0" applyProtection="0"/>
    <xf numFmtId="0" fontId="19" fillId="62" borderId="195" applyNumberFormat="0" applyFont="0" applyAlignment="0" applyProtection="0"/>
    <xf numFmtId="4" fontId="33" fillId="0" borderId="212">
      <alignment horizontal="right" vertical="center"/>
    </xf>
    <xf numFmtId="0" fontId="63" fillId="0" borderId="194" applyNumberFormat="0" applyFill="0" applyAlignment="0" applyProtection="0"/>
    <xf numFmtId="49" fontId="32" fillId="0" borderId="196" applyNumberFormat="0" applyFill="0" applyBorder="0" applyProtection="0">
      <alignment horizontal="left" vertical="center"/>
    </xf>
    <xf numFmtId="0" fontId="31" fillId="38" borderId="197">
      <alignment horizontal="right" vertical="center"/>
    </xf>
    <xf numFmtId="0" fontId="56" fillId="46" borderId="193" applyNumberFormat="0" applyAlignment="0" applyProtection="0"/>
    <xf numFmtId="0" fontId="60" fillId="59" borderId="192" applyNumberFormat="0" applyAlignment="0" applyProtection="0"/>
    <xf numFmtId="0" fontId="38" fillId="62" borderId="195" applyNumberFormat="0" applyFont="0" applyAlignment="0" applyProtection="0"/>
    <xf numFmtId="0" fontId="1" fillId="21" borderId="0" applyNumberFormat="0" applyBorder="0" applyAlignment="0" applyProtection="0"/>
    <xf numFmtId="0" fontId="31" fillId="38" borderId="197">
      <alignment horizontal="right" vertical="center"/>
    </xf>
    <xf numFmtId="0" fontId="35" fillId="36" borderId="196">
      <alignment horizontal="right" vertical="center"/>
    </xf>
    <xf numFmtId="0" fontId="31" fillId="36" borderId="196">
      <alignment horizontal="right" vertical="center"/>
    </xf>
    <xf numFmtId="0" fontId="31" fillId="38" borderId="196">
      <alignment horizontal="right" vertical="center"/>
    </xf>
    <xf numFmtId="0" fontId="31" fillId="38" borderId="198">
      <alignment horizontal="right" vertical="center"/>
    </xf>
    <xf numFmtId="0" fontId="33" fillId="0" borderId="199">
      <alignment horizontal="left" vertical="center" wrapText="1" indent="2"/>
    </xf>
    <xf numFmtId="0" fontId="31" fillId="38" borderId="196">
      <alignment horizontal="right" vertical="center"/>
    </xf>
    <xf numFmtId="0" fontId="1" fillId="30" borderId="0" applyNumberFormat="0" applyBorder="0" applyAlignment="0" applyProtection="0"/>
    <xf numFmtId="0" fontId="43" fillId="59" borderId="193" applyNumberFormat="0" applyAlignment="0" applyProtection="0"/>
    <xf numFmtId="0" fontId="33" fillId="0" borderId="206">
      <alignment horizontal="left" vertical="center" wrapText="1" indent="2"/>
    </xf>
    <xf numFmtId="0" fontId="3" fillId="0" borderId="23" applyNumberFormat="0" applyFill="0" applyAlignment="0" applyProtection="0"/>
    <xf numFmtId="0" fontId="41" fillId="59" borderId="208" applyNumberFormat="0" applyAlignment="0" applyProtection="0"/>
    <xf numFmtId="0" fontId="31" fillId="38" borderId="197">
      <alignment horizontal="right" vertical="center"/>
    </xf>
    <xf numFmtId="0" fontId="33" fillId="0" borderId="196">
      <alignment horizontal="right" vertical="center"/>
    </xf>
    <xf numFmtId="0" fontId="60" fillId="59" borderId="192" applyNumberFormat="0" applyAlignment="0" applyProtection="0"/>
    <xf numFmtId="0" fontId="44" fillId="59" borderId="193" applyNumberFormat="0" applyAlignment="0" applyProtection="0"/>
    <xf numFmtId="49" fontId="32" fillId="0" borderId="196" applyNumberFormat="0" applyFill="0" applyBorder="0" applyProtection="0">
      <alignment horizontal="left" vertical="center"/>
    </xf>
    <xf numFmtId="0" fontId="38" fillId="62" borderId="195" applyNumberFormat="0" applyFont="0" applyAlignment="0" applyProtection="0"/>
    <xf numFmtId="0" fontId="56" fillId="46" borderId="193" applyNumberFormat="0" applyAlignment="0" applyProtection="0"/>
    <xf numFmtId="0" fontId="63" fillId="0" borderId="194" applyNumberFormat="0" applyFill="0" applyAlignment="0" applyProtection="0"/>
    <xf numFmtId="0" fontId="63" fillId="0" borderId="194" applyNumberFormat="0" applyFill="0" applyAlignment="0" applyProtection="0"/>
    <xf numFmtId="0" fontId="33" fillId="0" borderId="196" applyNumberFormat="0" applyFill="0" applyAlignment="0" applyProtection="0"/>
    <xf numFmtId="49" fontId="33" fillId="0" borderId="204" applyNumberFormat="0" applyFont="0" applyFill="0" applyBorder="0" applyProtection="0">
      <alignment horizontal="left" vertical="center" indent="5"/>
    </xf>
    <xf numFmtId="4" fontId="33" fillId="0" borderId="212" applyFill="0" applyBorder="0" applyProtection="0">
      <alignment horizontal="right" vertical="center"/>
    </xf>
    <xf numFmtId="0" fontId="38" fillId="62" borderId="195" applyNumberFormat="0" applyFont="0" applyAlignment="0" applyProtection="0"/>
    <xf numFmtId="0" fontId="33" fillId="0" borderId="220">
      <alignment horizontal="left" vertical="center" wrapText="1" indent="2"/>
    </xf>
    <xf numFmtId="0" fontId="1" fillId="18" borderId="0" applyNumberFormat="0" applyBorder="0" applyAlignment="0" applyProtection="0"/>
    <xf numFmtId="0" fontId="1" fillId="30" borderId="0" applyNumberFormat="0" applyBorder="0" applyAlignment="0" applyProtection="0"/>
    <xf numFmtId="0" fontId="38" fillId="62" borderId="202" applyNumberFormat="0" applyFont="0" applyAlignment="0" applyProtection="0"/>
    <xf numFmtId="0" fontId="33" fillId="0" borderId="196">
      <alignment horizontal="right" vertical="center"/>
    </xf>
    <xf numFmtId="0" fontId="63" fillId="0" borderId="201" applyNumberFormat="0" applyFill="0" applyAlignment="0" applyProtection="0"/>
    <xf numFmtId="0" fontId="60" fillId="59" borderId="192" applyNumberFormat="0" applyAlignment="0" applyProtection="0"/>
    <xf numFmtId="177" fontId="33" fillId="63" borderId="196" applyNumberFormat="0" applyFont="0" applyBorder="0" applyAlignment="0" applyProtection="0">
      <alignment horizontal="right" vertical="center"/>
    </xf>
    <xf numFmtId="0" fontId="38" fillId="62" borderId="195" applyNumberFormat="0" applyFont="0" applyAlignment="0" applyProtection="0"/>
    <xf numFmtId="0" fontId="33" fillId="37" borderId="196"/>
    <xf numFmtId="0" fontId="31" fillId="38" borderId="196">
      <alignment horizontal="right" vertical="center"/>
    </xf>
    <xf numFmtId="0" fontId="31" fillId="38" borderId="197">
      <alignment horizontal="right" vertical="center"/>
    </xf>
    <xf numFmtId="0" fontId="27" fillId="0" borderId="0" applyNumberFormat="0" applyFill="0" applyBorder="0" applyAlignment="0" applyProtection="0"/>
    <xf numFmtId="0" fontId="1" fillId="24" borderId="0" applyNumberFormat="0" applyBorder="0" applyAlignment="0" applyProtection="0"/>
    <xf numFmtId="0" fontId="60" fillId="59" borderId="192" applyNumberFormat="0" applyAlignment="0" applyProtection="0"/>
    <xf numFmtId="0" fontId="44" fillId="59" borderId="200" applyNumberFormat="0" applyAlignment="0" applyProtection="0"/>
    <xf numFmtId="0" fontId="28" fillId="0" borderId="0" applyNumberFormat="0" applyFill="0" applyBorder="0" applyAlignment="0" applyProtection="0"/>
    <xf numFmtId="0" fontId="33" fillId="0" borderId="212">
      <alignment horizontal="right" vertical="center"/>
    </xf>
    <xf numFmtId="0" fontId="1" fillId="22" borderId="0" applyNumberFormat="0" applyBorder="0" applyAlignment="0" applyProtection="0"/>
    <xf numFmtId="0" fontId="1" fillId="21" borderId="0" applyNumberFormat="0" applyBorder="0" applyAlignment="0" applyProtection="0"/>
    <xf numFmtId="0" fontId="33" fillId="0" borderId="199">
      <alignment horizontal="left" vertical="center" wrapText="1" indent="2"/>
    </xf>
    <xf numFmtId="0" fontId="1" fillId="25" borderId="0" applyNumberFormat="0" applyBorder="0" applyAlignment="0" applyProtection="0"/>
    <xf numFmtId="0" fontId="44" fillId="59" borderId="193" applyNumberFormat="0" applyAlignment="0" applyProtection="0"/>
    <xf numFmtId="0" fontId="44" fillId="59" borderId="193" applyNumberFormat="0" applyAlignment="0" applyProtection="0"/>
    <xf numFmtId="0" fontId="33" fillId="36" borderId="213">
      <alignment horizontal="left" vertical="center"/>
    </xf>
    <xf numFmtId="4" fontId="33" fillId="0" borderId="196">
      <alignment horizontal="right" vertical="center"/>
    </xf>
    <xf numFmtId="0" fontId="63" fillId="0" borderId="210" applyNumberFormat="0" applyFill="0" applyAlignment="0" applyProtection="0"/>
    <xf numFmtId="0" fontId="31" fillId="38" borderId="196">
      <alignment horizontal="right" vertical="center"/>
    </xf>
    <xf numFmtId="0" fontId="3" fillId="0" borderId="23" applyNumberFormat="0" applyFill="0" applyAlignment="0" applyProtection="0"/>
    <xf numFmtId="0" fontId="44" fillId="59" borderId="193" applyNumberFormat="0" applyAlignment="0" applyProtection="0"/>
    <xf numFmtId="0" fontId="33" fillId="38" borderId="199">
      <alignment horizontal="left" vertical="center" wrapText="1" indent="2"/>
    </xf>
    <xf numFmtId="0" fontId="56" fillId="46" borderId="193" applyNumberFormat="0" applyAlignment="0" applyProtection="0"/>
    <xf numFmtId="4" fontId="31" fillId="38" borderId="196">
      <alignment horizontal="right" vertical="center"/>
    </xf>
    <xf numFmtId="0" fontId="33" fillId="37" borderId="203"/>
    <xf numFmtId="4" fontId="31" fillId="38" borderId="197">
      <alignment horizontal="right" vertical="center"/>
    </xf>
    <xf numFmtId="0" fontId="33" fillId="0" borderId="203">
      <alignment horizontal="right" vertical="center"/>
    </xf>
    <xf numFmtId="0" fontId="35" fillId="36" borderId="196">
      <alignment horizontal="right" vertical="center"/>
    </xf>
    <xf numFmtId="0" fontId="60" fillId="59" borderId="192" applyNumberFormat="0" applyAlignment="0" applyProtection="0"/>
    <xf numFmtId="0" fontId="63" fillId="0" borderId="194" applyNumberFormat="0" applyFill="0" applyAlignment="0" applyProtection="0"/>
    <xf numFmtId="0" fontId="47" fillId="46" borderId="193" applyNumberFormat="0" applyAlignment="0" applyProtection="0"/>
    <xf numFmtId="0" fontId="48" fillId="0" borderId="194" applyNumberFormat="0" applyFill="0" applyAlignment="0" applyProtection="0"/>
    <xf numFmtId="0" fontId="28" fillId="0" borderId="0" applyNumberFormat="0" applyFill="0" applyBorder="0" applyAlignment="0" applyProtection="0"/>
    <xf numFmtId="0" fontId="63" fillId="0" borderId="194" applyNumberFormat="0" applyFill="0" applyAlignment="0" applyProtection="0"/>
    <xf numFmtId="0" fontId="38" fillId="62" borderId="211" applyNumberFormat="0" applyFont="0" applyAlignment="0" applyProtection="0"/>
    <xf numFmtId="49" fontId="33" fillId="0" borderId="197" applyNumberFormat="0" applyFont="0" applyFill="0" applyBorder="0" applyProtection="0">
      <alignment horizontal="left" vertical="center" indent="5"/>
    </xf>
    <xf numFmtId="49" fontId="33" fillId="0" borderId="196" applyNumberFormat="0" applyFont="0" applyFill="0" applyBorder="0" applyProtection="0">
      <alignment horizontal="left" vertical="center" indent="2"/>
    </xf>
    <xf numFmtId="0" fontId="38" fillId="62" borderId="195" applyNumberFormat="0" applyFont="0" applyAlignment="0" applyProtection="0"/>
    <xf numFmtId="0" fontId="47" fillId="46" borderId="193" applyNumberFormat="0" applyAlignment="0" applyProtection="0"/>
    <xf numFmtId="0" fontId="33" fillId="0" borderId="215">
      <alignment horizontal="left" vertical="center" wrapText="1" indent="2"/>
    </xf>
    <xf numFmtId="4" fontId="31" fillId="38" borderId="196">
      <alignment horizontal="right" vertical="center"/>
    </xf>
    <xf numFmtId="0" fontId="31" fillId="36" borderId="196">
      <alignment horizontal="right" vertical="center"/>
    </xf>
    <xf numFmtId="0" fontId="48" fillId="0" borderId="194" applyNumberFormat="0" applyFill="0" applyAlignment="0" applyProtection="0"/>
    <xf numFmtId="0" fontId="31" fillId="36" borderId="196">
      <alignment horizontal="right" vertical="center"/>
    </xf>
    <xf numFmtId="0" fontId="48" fillId="0" borderId="194" applyNumberFormat="0" applyFill="0" applyAlignment="0" applyProtection="0"/>
    <xf numFmtId="0" fontId="4" fillId="29" borderId="0" applyNumberFormat="0" applyBorder="0" applyAlignment="0" applyProtection="0"/>
    <xf numFmtId="0" fontId="1" fillId="25" borderId="0" applyNumberFormat="0" applyBorder="0" applyAlignment="0" applyProtection="0"/>
    <xf numFmtId="4" fontId="31" fillId="38" borderId="217">
      <alignment horizontal="right" vertical="center"/>
    </xf>
    <xf numFmtId="0" fontId="47" fillId="46" borderId="209" applyNumberFormat="0" applyAlignment="0" applyProtection="0"/>
    <xf numFmtId="0" fontId="31" fillId="36" borderId="196">
      <alignment horizontal="right" vertical="center"/>
    </xf>
    <xf numFmtId="0" fontId="47" fillId="46" borderId="200" applyNumberFormat="0" applyAlignment="0" applyProtection="0"/>
    <xf numFmtId="4" fontId="35" fillId="36" borderId="196">
      <alignment horizontal="right" vertical="center"/>
    </xf>
    <xf numFmtId="0" fontId="1" fillId="34" borderId="0" applyNumberFormat="0" applyBorder="0" applyAlignment="0" applyProtection="0"/>
    <xf numFmtId="0" fontId="41" fillId="59" borderId="192" applyNumberFormat="0" applyAlignment="0" applyProtection="0"/>
    <xf numFmtId="0" fontId="1" fillId="34" borderId="0" applyNumberFormat="0" applyBorder="0" applyAlignment="0" applyProtection="0"/>
    <xf numFmtId="0" fontId="41" fillId="59" borderId="192" applyNumberFormat="0" applyAlignment="0" applyProtection="0"/>
    <xf numFmtId="4" fontId="33" fillId="0" borderId="196">
      <alignment horizontal="right" vertical="center"/>
    </xf>
    <xf numFmtId="177" fontId="33" fillId="63" borderId="196" applyNumberFormat="0" applyFont="0" applyBorder="0" applyAlignment="0" applyProtection="0">
      <alignment horizontal="right" vertical="center"/>
    </xf>
    <xf numFmtId="0" fontId="60" fillId="59" borderId="208" applyNumberFormat="0" applyAlignment="0" applyProtection="0"/>
    <xf numFmtId="0" fontId="4" fillId="20" borderId="0" applyNumberFormat="0" applyBorder="0" applyAlignment="0" applyProtection="0"/>
    <xf numFmtId="0" fontId="44" fillId="59" borderId="193" applyNumberFormat="0" applyAlignment="0" applyProtection="0"/>
    <xf numFmtId="0" fontId="1" fillId="27" borderId="0" applyNumberFormat="0" applyBorder="0" applyAlignment="0" applyProtection="0"/>
    <xf numFmtId="49" fontId="33" fillId="0" borderId="196" applyNumberFormat="0" applyFont="0" applyFill="0" applyBorder="0" applyProtection="0">
      <alignment horizontal="left" vertical="center" indent="2"/>
    </xf>
    <xf numFmtId="4" fontId="31" fillId="38" borderId="196">
      <alignment horizontal="right" vertical="center"/>
    </xf>
    <xf numFmtId="0" fontId="56" fillId="46" borderId="193" applyNumberFormat="0" applyAlignment="0" applyProtection="0"/>
    <xf numFmtId="4" fontId="31" fillId="36" borderId="196">
      <alignment horizontal="right" vertical="center"/>
    </xf>
    <xf numFmtId="177" fontId="33" fillId="63" borderId="203" applyNumberFormat="0" applyFont="0" applyBorder="0" applyAlignment="0" applyProtection="0">
      <alignment horizontal="right" vertical="center"/>
    </xf>
    <xf numFmtId="0" fontId="33" fillId="0" borderId="196" applyNumberFormat="0" applyFill="0" applyAlignment="0" applyProtection="0"/>
    <xf numFmtId="0" fontId="1" fillId="18" borderId="0" applyNumberFormat="0" applyBorder="0" applyAlignment="0" applyProtection="0"/>
    <xf numFmtId="49" fontId="33" fillId="0" borderId="213" applyNumberFormat="0" applyFont="0" applyFill="0" applyBorder="0" applyProtection="0">
      <alignment horizontal="left" vertical="center" indent="5"/>
    </xf>
    <xf numFmtId="4" fontId="33" fillId="0" borderId="196">
      <alignment horizontal="right" vertical="center"/>
    </xf>
    <xf numFmtId="4" fontId="33" fillId="37" borderId="196"/>
    <xf numFmtId="0" fontId="4" fillId="26" borderId="0" applyNumberFormat="0" applyBorder="0" applyAlignment="0" applyProtection="0"/>
    <xf numFmtId="0" fontId="31" fillId="38" borderId="196">
      <alignment horizontal="right" vertical="center"/>
    </xf>
    <xf numFmtId="0" fontId="4" fillId="20" borderId="0" applyNumberFormat="0" applyBorder="0" applyAlignment="0" applyProtection="0"/>
    <xf numFmtId="0" fontId="44" fillId="59" borderId="193" applyNumberFormat="0" applyAlignment="0" applyProtection="0"/>
    <xf numFmtId="4" fontId="31" fillId="38" borderId="198">
      <alignment horizontal="right" vertical="center"/>
    </xf>
    <xf numFmtId="0" fontId="56" fillId="46" borderId="193" applyNumberFormat="0" applyAlignment="0" applyProtection="0"/>
    <xf numFmtId="0" fontId="48" fillId="0" borderId="194" applyNumberFormat="0" applyFill="0" applyAlignment="0" applyProtection="0"/>
    <xf numFmtId="0" fontId="28" fillId="0" borderId="0" applyNumberFormat="0" applyFill="0" applyBorder="0" applyAlignment="0" applyProtection="0"/>
    <xf numFmtId="4" fontId="31" fillId="36" borderId="196">
      <alignment horizontal="right" vertical="center"/>
    </xf>
    <xf numFmtId="0" fontId="33" fillId="0" borderId="196" applyNumberFormat="0" applyFill="0" applyAlignment="0" applyProtection="0"/>
    <xf numFmtId="0" fontId="4" fillId="23" borderId="0" applyNumberFormat="0" applyBorder="0" applyAlignment="0" applyProtection="0"/>
    <xf numFmtId="4" fontId="31" fillId="38" borderId="196">
      <alignment horizontal="right" vertical="center"/>
    </xf>
    <xf numFmtId="4" fontId="31" fillId="38" borderId="219">
      <alignment horizontal="right" vertical="center"/>
    </xf>
    <xf numFmtId="4" fontId="33" fillId="37" borderId="196"/>
    <xf numFmtId="0" fontId="63" fillId="0" borderId="194" applyNumberFormat="0" applyFill="0" applyAlignment="0" applyProtection="0"/>
    <xf numFmtId="4" fontId="31" fillId="38" borderId="203">
      <alignment horizontal="right" vertical="center"/>
    </xf>
    <xf numFmtId="0" fontId="33" fillId="37" borderId="196"/>
    <xf numFmtId="0" fontId="60" fillId="59" borderId="192" applyNumberFormat="0" applyAlignment="0" applyProtection="0"/>
    <xf numFmtId="0" fontId="31" fillId="38" borderId="198">
      <alignment horizontal="right" vertical="center"/>
    </xf>
    <xf numFmtId="0" fontId="33" fillId="0" borderId="196">
      <alignment horizontal="right" vertical="center"/>
    </xf>
    <xf numFmtId="0" fontId="56" fillId="46" borderId="193" applyNumberFormat="0" applyAlignment="0" applyProtection="0"/>
    <xf numFmtId="0" fontId="33" fillId="0" borderId="199">
      <alignment horizontal="left" vertical="center" wrapText="1" indent="2"/>
    </xf>
    <xf numFmtId="0" fontId="63" fillId="0" borderId="210" applyNumberFormat="0" applyFill="0" applyAlignment="0" applyProtection="0"/>
    <xf numFmtId="0" fontId="25" fillId="17" borderId="22" applyNumberFormat="0" applyAlignment="0" applyProtection="0"/>
    <xf numFmtId="43" fontId="36" fillId="0" borderId="0" applyFont="0" applyFill="0" applyBorder="0" applyAlignment="0" applyProtection="0"/>
    <xf numFmtId="0" fontId="60" fillId="59" borderId="192" applyNumberFormat="0" applyAlignment="0" applyProtection="0"/>
    <xf numFmtId="0" fontId="38" fillId="62" borderId="195" applyNumberFormat="0" applyFont="0" applyAlignment="0" applyProtection="0"/>
    <xf numFmtId="0" fontId="35" fillId="36" borderId="196">
      <alignment horizontal="right" vertical="center"/>
    </xf>
    <xf numFmtId="0" fontId="41" fillId="59" borderId="192" applyNumberFormat="0" applyAlignment="0" applyProtection="0"/>
    <xf numFmtId="4" fontId="33" fillId="0" borderId="196" applyFill="0" applyBorder="0" applyProtection="0">
      <alignment horizontal="right" vertical="center"/>
    </xf>
    <xf numFmtId="0" fontId="44" fillId="59" borderId="209" applyNumberFormat="0" applyAlignment="0" applyProtection="0"/>
    <xf numFmtId="49" fontId="33" fillId="0" borderId="218" applyNumberFormat="0" applyFont="0" applyFill="0" applyBorder="0" applyProtection="0">
      <alignment horizontal="left" vertical="center" indent="5"/>
    </xf>
    <xf numFmtId="0" fontId="33" fillId="36" borderId="197">
      <alignment horizontal="left" vertical="center"/>
    </xf>
    <xf numFmtId="0" fontId="31" fillId="38" borderId="214">
      <alignment horizontal="right" vertical="center"/>
    </xf>
    <xf numFmtId="0" fontId="19" fillId="62" borderId="202" applyNumberFormat="0" applyFont="0" applyAlignment="0" applyProtection="0"/>
    <xf numFmtId="0" fontId="31" fillId="38" borderId="196">
      <alignment horizontal="right" vertical="center"/>
    </xf>
    <xf numFmtId="43" fontId="36" fillId="0" borderId="0" applyFont="0" applyFill="0" applyBorder="0" applyAlignment="0" applyProtection="0"/>
    <xf numFmtId="0" fontId="33" fillId="38" borderId="199">
      <alignment horizontal="left" vertical="center" wrapText="1" indent="2"/>
    </xf>
    <xf numFmtId="0" fontId="33" fillId="37" borderId="196"/>
    <xf numFmtId="4" fontId="33" fillId="0" borderId="196">
      <alignment horizontal="right" vertical="center"/>
    </xf>
    <xf numFmtId="0" fontId="41" fillId="59" borderId="192" applyNumberFormat="0" applyAlignment="0" applyProtection="0"/>
    <xf numFmtId="0" fontId="56" fillId="46" borderId="209" applyNumberFormat="0" applyAlignment="0" applyProtection="0"/>
    <xf numFmtId="49" fontId="33" fillId="0" borderId="203" applyNumberFormat="0" applyFont="0" applyFill="0" applyBorder="0" applyProtection="0">
      <alignment horizontal="left" vertical="center" indent="2"/>
    </xf>
    <xf numFmtId="4" fontId="35" fillId="36" borderId="196">
      <alignment horizontal="right" vertical="center"/>
    </xf>
    <xf numFmtId="0" fontId="1" fillId="31" borderId="0" applyNumberFormat="0" applyBorder="0" applyAlignment="0" applyProtection="0"/>
    <xf numFmtId="0" fontId="60" fillId="59" borderId="192" applyNumberFormat="0" applyAlignment="0" applyProtection="0"/>
    <xf numFmtId="0" fontId="4" fillId="29" borderId="0" applyNumberFormat="0" applyBorder="0" applyAlignment="0" applyProtection="0"/>
    <xf numFmtId="0" fontId="33" fillId="0" borderId="199">
      <alignment horizontal="left" vertical="center" wrapText="1" indent="2"/>
    </xf>
    <xf numFmtId="0" fontId="31" fillId="38" borderId="196">
      <alignment horizontal="right" vertical="center"/>
    </xf>
    <xf numFmtId="4" fontId="33" fillId="0" borderId="203" applyFill="0" applyBorder="0" applyProtection="0">
      <alignment horizontal="right" vertical="center"/>
    </xf>
    <xf numFmtId="0" fontId="33" fillId="0" borderId="220">
      <alignment horizontal="left" vertical="center" wrapText="1" indent="2"/>
    </xf>
    <xf numFmtId="0" fontId="33" fillId="0" borderId="199">
      <alignment horizontal="left" vertical="center" wrapText="1" indent="2"/>
    </xf>
    <xf numFmtId="4" fontId="31" fillId="38" borderId="198">
      <alignment horizontal="right" vertical="center"/>
    </xf>
    <xf numFmtId="0" fontId="4" fillId="35" borderId="0" applyNumberFormat="0" applyBorder="0" applyAlignment="0" applyProtection="0"/>
    <xf numFmtId="0" fontId="47" fillId="46" borderId="193" applyNumberFormat="0" applyAlignment="0" applyProtection="0"/>
    <xf numFmtId="0" fontId="27" fillId="0" borderId="0" applyNumberFormat="0" applyFill="0" applyBorder="0" applyAlignment="0" applyProtection="0"/>
    <xf numFmtId="0" fontId="33" fillId="37" borderId="196"/>
    <xf numFmtId="0" fontId="48" fillId="0" borderId="194" applyNumberFormat="0" applyFill="0" applyAlignment="0" applyProtection="0"/>
    <xf numFmtId="0" fontId="1" fillId="27" borderId="0" applyNumberFormat="0" applyBorder="0" applyAlignment="0" applyProtection="0"/>
    <xf numFmtId="0" fontId="19" fillId="62" borderId="195" applyNumberFormat="0" applyFont="0" applyAlignment="0" applyProtection="0"/>
    <xf numFmtId="0" fontId="44" fillId="59" borderId="193" applyNumberFormat="0" applyAlignment="0" applyProtection="0"/>
    <xf numFmtId="0" fontId="1" fillId="33" borderId="0" applyNumberFormat="0" applyBorder="0" applyAlignment="0" applyProtection="0"/>
    <xf numFmtId="0" fontId="1" fillId="27" borderId="0" applyNumberFormat="0" applyBorder="0" applyAlignment="0" applyProtection="0"/>
    <xf numFmtId="0" fontId="27" fillId="0" borderId="0" applyNumberFormat="0" applyFill="0" applyBorder="0" applyAlignment="0" applyProtection="0"/>
    <xf numFmtId="4" fontId="33" fillId="0" borderId="196" applyFill="0" applyBorder="0" applyProtection="0">
      <alignment horizontal="right" vertical="center"/>
    </xf>
    <xf numFmtId="0" fontId="33" fillId="37" borderId="196"/>
    <xf numFmtId="0" fontId="31" fillId="38" borderId="196">
      <alignment horizontal="right" vertical="center"/>
    </xf>
    <xf numFmtId="0" fontId="33" fillId="37" borderId="196"/>
    <xf numFmtId="4" fontId="31" fillId="38" borderId="196">
      <alignment horizontal="right" vertical="center"/>
    </xf>
    <xf numFmtId="0" fontId="31" fillId="38" borderId="196">
      <alignment horizontal="right" vertical="center"/>
    </xf>
    <xf numFmtId="0" fontId="31" fillId="38" borderId="204">
      <alignment horizontal="right" vertical="center"/>
    </xf>
    <xf numFmtId="0" fontId="19" fillId="62" borderId="211" applyNumberFormat="0" applyFont="0" applyAlignment="0" applyProtection="0"/>
    <xf numFmtId="4" fontId="35" fillId="36" borderId="196">
      <alignment horizontal="right" vertical="center"/>
    </xf>
    <xf numFmtId="0" fontId="33" fillId="37" borderId="196"/>
    <xf numFmtId="0" fontId="47" fillId="46" borderId="193" applyNumberFormat="0" applyAlignment="0" applyProtection="0"/>
    <xf numFmtId="49" fontId="32" fillId="0" borderId="196" applyNumberFormat="0" applyFill="0" applyBorder="0" applyProtection="0">
      <alignment horizontal="left" vertical="center"/>
    </xf>
    <xf numFmtId="0" fontId="44" fillId="59" borderId="193" applyNumberFormat="0" applyAlignment="0" applyProtection="0"/>
    <xf numFmtId="4" fontId="33" fillId="0" borderId="196" applyFill="0" applyBorder="0" applyProtection="0">
      <alignment horizontal="right" vertical="center"/>
    </xf>
    <xf numFmtId="4" fontId="31" fillId="36" borderId="217">
      <alignment horizontal="right" vertical="center"/>
    </xf>
    <xf numFmtId="0" fontId="1" fillId="24" borderId="0" applyNumberFormat="0" applyBorder="0" applyAlignment="0" applyProtection="0"/>
    <xf numFmtId="4" fontId="31" fillId="38" borderId="197">
      <alignment horizontal="right" vertical="center"/>
    </xf>
    <xf numFmtId="0" fontId="41" fillId="59" borderId="192" applyNumberFormat="0" applyAlignment="0" applyProtection="0"/>
    <xf numFmtId="0" fontId="63" fillId="0" borderId="194" applyNumberFormat="0" applyFill="0" applyAlignment="0" applyProtection="0"/>
    <xf numFmtId="0" fontId="63" fillId="0" borderId="194" applyNumberFormat="0" applyFill="0" applyAlignment="0" applyProtection="0"/>
    <xf numFmtId="0" fontId="31" fillId="38" borderId="218">
      <alignment horizontal="right" vertical="center"/>
    </xf>
    <xf numFmtId="4" fontId="31" fillId="38" borderId="217">
      <alignment horizontal="right" vertical="center"/>
    </xf>
    <xf numFmtId="0" fontId="19" fillId="62" borderId="195" applyNumberFormat="0" applyFont="0" applyAlignment="0" applyProtection="0"/>
    <xf numFmtId="0" fontId="4" fillId="23" borderId="0" applyNumberFormat="0" applyBorder="0" applyAlignment="0" applyProtection="0"/>
    <xf numFmtId="4" fontId="33" fillId="0" borderId="196" applyFill="0" applyBorder="0" applyProtection="0">
      <alignment horizontal="right" vertical="center"/>
    </xf>
    <xf numFmtId="0" fontId="31" fillId="38" borderId="198">
      <alignment horizontal="right" vertical="center"/>
    </xf>
    <xf numFmtId="4" fontId="31" fillId="38" borderId="196">
      <alignment horizontal="right" vertical="center"/>
    </xf>
    <xf numFmtId="0" fontId="19" fillId="62" borderId="195" applyNumberFormat="0" applyFont="0" applyAlignment="0" applyProtection="0"/>
    <xf numFmtId="4" fontId="31" fillId="38" borderId="196">
      <alignment horizontal="right" vertical="center"/>
    </xf>
    <xf numFmtId="0" fontId="33" fillId="0" borderId="217">
      <alignment horizontal="right" vertical="center"/>
    </xf>
    <xf numFmtId="0" fontId="33" fillId="36" borderId="218">
      <alignment horizontal="left" vertical="center"/>
    </xf>
    <xf numFmtId="0" fontId="33" fillId="38" borderId="206">
      <alignment horizontal="left" vertical="center" wrapText="1" indent="2"/>
    </xf>
    <xf numFmtId="0" fontId="33" fillId="36" borderId="197">
      <alignment horizontal="left" vertical="center"/>
    </xf>
    <xf numFmtId="49" fontId="33" fillId="0" borderId="196" applyNumberFormat="0" applyFont="0" applyFill="0" applyBorder="0" applyProtection="0">
      <alignment horizontal="left" vertical="center" indent="2"/>
    </xf>
    <xf numFmtId="0" fontId="31" fillId="36" borderId="196">
      <alignment horizontal="right" vertical="center"/>
    </xf>
    <xf numFmtId="0" fontId="4" fillId="32" borderId="0" applyNumberFormat="0" applyBorder="0" applyAlignment="0" applyProtection="0"/>
    <xf numFmtId="0" fontId="33" fillId="0" borderId="217" applyNumberFormat="0" applyFill="0" applyAlignment="0" applyProtection="0"/>
    <xf numFmtId="0" fontId="1" fillId="34" borderId="0" applyNumberFormat="0" applyBorder="0" applyAlignment="0" applyProtection="0"/>
    <xf numFmtId="0" fontId="48" fillId="0" borderId="194" applyNumberFormat="0" applyFill="0" applyAlignment="0" applyProtection="0"/>
    <xf numFmtId="0" fontId="56" fillId="46" borderId="193" applyNumberFormat="0" applyAlignment="0" applyProtection="0"/>
    <xf numFmtId="0" fontId="47" fillId="46" borderId="193" applyNumberFormat="0" applyAlignment="0" applyProtection="0"/>
    <xf numFmtId="0" fontId="44" fillId="59" borderId="209" applyNumberFormat="0" applyAlignment="0" applyProtection="0"/>
    <xf numFmtId="0" fontId="1" fillId="28" borderId="0" applyNumberFormat="0" applyBorder="0" applyAlignment="0" applyProtection="0"/>
    <xf numFmtId="43" fontId="36" fillId="0" borderId="0" applyFont="0" applyFill="0" applyBorder="0" applyAlignment="0" applyProtection="0"/>
    <xf numFmtId="49" fontId="33" fillId="0" borderId="197" applyNumberFormat="0" applyFont="0" applyFill="0" applyBorder="0" applyProtection="0">
      <alignment horizontal="left" vertical="center" indent="5"/>
    </xf>
    <xf numFmtId="0" fontId="41" fillId="59" borderId="192" applyNumberFormat="0" applyAlignment="0" applyProtection="0"/>
    <xf numFmtId="0" fontId="1" fillId="28" borderId="0" applyNumberFormat="0" applyBorder="0" applyAlignment="0" applyProtection="0"/>
    <xf numFmtId="4" fontId="31" fillId="38" borderId="196">
      <alignment horizontal="right" vertical="center"/>
    </xf>
    <xf numFmtId="0" fontId="33" fillId="38" borderId="199">
      <alignment horizontal="left" vertical="center" wrapText="1" indent="2"/>
    </xf>
    <xf numFmtId="4" fontId="33" fillId="37" borderId="196"/>
    <xf numFmtId="0" fontId="1" fillId="33" borderId="0" applyNumberFormat="0" applyBorder="0" applyAlignment="0" applyProtection="0"/>
    <xf numFmtId="0" fontId="38" fillId="62" borderId="211" applyNumberFormat="0" applyFont="0" applyAlignment="0" applyProtection="0"/>
    <xf numFmtId="0" fontId="41" fillId="59" borderId="192" applyNumberFormat="0" applyAlignment="0" applyProtection="0"/>
    <xf numFmtId="0" fontId="48" fillId="0" borderId="201" applyNumberFormat="0" applyFill="0" applyAlignment="0" applyProtection="0"/>
    <xf numFmtId="0" fontId="4" fillId="23" borderId="0" applyNumberFormat="0" applyBorder="0" applyAlignment="0" applyProtection="0"/>
    <xf numFmtId="0" fontId="60" fillId="59" borderId="192" applyNumberFormat="0" applyAlignment="0" applyProtection="0"/>
    <xf numFmtId="0" fontId="33" fillId="0" borderId="203" applyNumberFormat="0" applyFill="0" applyAlignment="0" applyProtection="0"/>
    <xf numFmtId="4" fontId="31" fillId="38" borderId="198">
      <alignment horizontal="right" vertical="center"/>
    </xf>
    <xf numFmtId="0" fontId="33" fillId="37" borderId="212"/>
    <xf numFmtId="0" fontId="31" fillId="38" borderId="213">
      <alignment horizontal="right" vertical="center"/>
    </xf>
    <xf numFmtId="0" fontId="56" fillId="46" borderId="193" applyNumberFormat="0" applyAlignment="0" applyProtection="0"/>
    <xf numFmtId="4" fontId="33" fillId="37" borderId="217"/>
    <xf numFmtId="43" fontId="36" fillId="0" borderId="0" applyFont="0" applyFill="0" applyBorder="0" applyAlignment="0" applyProtection="0"/>
    <xf numFmtId="49" fontId="33" fillId="0" borderId="196" applyNumberFormat="0" applyFont="0" applyFill="0" applyBorder="0" applyProtection="0">
      <alignment horizontal="left" vertical="center" indent="2"/>
    </xf>
    <xf numFmtId="0" fontId="38" fillId="62" borderId="195" applyNumberFormat="0" applyFont="0" applyAlignment="0" applyProtection="0"/>
    <xf numFmtId="4" fontId="31" fillId="36" borderId="196">
      <alignment horizontal="right" vertical="center"/>
    </xf>
    <xf numFmtId="0" fontId="26" fillId="17" borderId="10" applyNumberFormat="0" applyAlignment="0" applyProtection="0"/>
    <xf numFmtId="4" fontId="31" fillId="38" borderId="197">
      <alignment horizontal="right" vertical="center"/>
    </xf>
    <xf numFmtId="0" fontId="33" fillId="0" borderId="212" applyNumberFormat="0" applyFill="0" applyAlignment="0" applyProtection="0"/>
    <xf numFmtId="0" fontId="1" fillId="25" borderId="0" applyNumberFormat="0" applyBorder="0" applyAlignment="0" applyProtection="0"/>
    <xf numFmtId="0" fontId="26" fillId="17" borderId="10" applyNumberFormat="0" applyAlignment="0" applyProtection="0"/>
    <xf numFmtId="0" fontId="44" fillId="59" borderId="193" applyNumberFormat="0" applyAlignment="0" applyProtection="0"/>
    <xf numFmtId="0" fontId="31" fillId="36" borderId="196">
      <alignment horizontal="right" vertical="center"/>
    </xf>
    <xf numFmtId="0" fontId="56" fillId="46" borderId="193" applyNumberFormat="0" applyAlignment="0" applyProtection="0"/>
    <xf numFmtId="0" fontId="43" fillId="59" borderId="193" applyNumberFormat="0" applyAlignment="0" applyProtection="0"/>
    <xf numFmtId="0" fontId="33" fillId="37" borderId="196"/>
    <xf numFmtId="0" fontId="56" fillId="46" borderId="200" applyNumberFormat="0" applyAlignment="0" applyProtection="0"/>
    <xf numFmtId="49" fontId="32" fillId="0" borderId="212" applyNumberFormat="0" applyFill="0" applyBorder="0" applyProtection="0">
      <alignment horizontal="left" vertical="center"/>
    </xf>
    <xf numFmtId="0" fontId="38" fillId="62" borderId="216" applyNumberFormat="0" applyFont="0" applyAlignment="0" applyProtection="0"/>
    <xf numFmtId="0" fontId="1" fillId="22" borderId="0" applyNumberFormat="0" applyBorder="0" applyAlignment="0" applyProtection="0"/>
    <xf numFmtId="49" fontId="32" fillId="0" borderId="196" applyNumberFormat="0" applyFill="0" applyBorder="0" applyProtection="0">
      <alignment horizontal="left" vertical="center"/>
    </xf>
    <xf numFmtId="0" fontId="27" fillId="0" borderId="0" applyNumberFormat="0" applyFill="0" applyBorder="0" applyAlignment="0" applyProtection="0"/>
    <xf numFmtId="4" fontId="31" fillId="38" borderId="218">
      <alignment horizontal="right" vertical="center"/>
    </xf>
    <xf numFmtId="0" fontId="4" fillId="32" borderId="0" applyNumberFormat="0" applyBorder="0" applyAlignment="0" applyProtection="0"/>
    <xf numFmtId="4" fontId="31" fillId="38" borderId="196">
      <alignment horizontal="right" vertical="center"/>
    </xf>
    <xf numFmtId="0" fontId="33" fillId="0" borderId="196" applyNumberFormat="0" applyFill="0" applyAlignment="0" applyProtection="0"/>
    <xf numFmtId="0" fontId="33" fillId="37" borderId="196"/>
    <xf numFmtId="49" fontId="33" fillId="0" borderId="197" applyNumberFormat="0" applyFont="0" applyFill="0" applyBorder="0" applyProtection="0">
      <alignment horizontal="left" vertical="center" indent="5"/>
    </xf>
    <xf numFmtId="0" fontId="44" fillId="59" borderId="193" applyNumberFormat="0" applyAlignment="0" applyProtection="0"/>
    <xf numFmtId="0" fontId="1" fillId="28" borderId="0" applyNumberFormat="0" applyBorder="0" applyAlignment="0" applyProtection="0"/>
    <xf numFmtId="0" fontId="47" fillId="46" borderId="193" applyNumberFormat="0" applyAlignment="0" applyProtection="0"/>
    <xf numFmtId="49" fontId="33" fillId="0" borderId="197" applyNumberFormat="0" applyFont="0" applyFill="0" applyBorder="0" applyProtection="0">
      <alignment horizontal="left" vertical="center" indent="5"/>
    </xf>
    <xf numFmtId="0" fontId="1" fillId="33" borderId="0" applyNumberFormat="0" applyBorder="0" applyAlignment="0" applyProtection="0"/>
    <xf numFmtId="4" fontId="33" fillId="37" borderId="196"/>
    <xf numFmtId="4" fontId="33" fillId="0" borderId="196" applyFill="0" applyBorder="0" applyProtection="0">
      <alignment horizontal="right" vertical="center"/>
    </xf>
    <xf numFmtId="0" fontId="33" fillId="37" borderId="196"/>
    <xf numFmtId="0" fontId="48" fillId="0" borderId="194" applyNumberFormat="0" applyFill="0" applyAlignment="0" applyProtection="0"/>
    <xf numFmtId="177" fontId="33" fillId="63" borderId="196" applyNumberFormat="0" applyFont="0" applyBorder="0" applyAlignment="0" applyProtection="0">
      <alignment horizontal="right" vertical="center"/>
    </xf>
    <xf numFmtId="4" fontId="33" fillId="0" borderId="203">
      <alignment horizontal="right" vertical="center"/>
    </xf>
    <xf numFmtId="4" fontId="31" fillId="36" borderId="196">
      <alignment horizontal="right" vertical="center"/>
    </xf>
    <xf numFmtId="0" fontId="1" fillId="34" borderId="0" applyNumberFormat="0" applyBorder="0" applyAlignment="0" applyProtection="0"/>
    <xf numFmtId="0" fontId="38" fillId="62" borderId="202" applyNumberFormat="0" applyFont="0" applyAlignment="0" applyProtection="0"/>
    <xf numFmtId="0" fontId="1" fillId="19" borderId="0" applyNumberFormat="0" applyBorder="0" applyAlignment="0" applyProtection="0"/>
    <xf numFmtId="0" fontId="63" fillId="0" borderId="194" applyNumberFormat="0" applyFill="0" applyAlignment="0" applyProtection="0"/>
    <xf numFmtId="0" fontId="44" fillId="59" borderId="193" applyNumberFormat="0" applyAlignment="0" applyProtection="0"/>
    <xf numFmtId="0" fontId="44" fillId="59" borderId="193" applyNumberFormat="0" applyAlignment="0" applyProtection="0"/>
    <xf numFmtId="49" fontId="33" fillId="0" borderId="196" applyNumberFormat="0" applyFont="0" applyFill="0" applyBorder="0" applyProtection="0">
      <alignment horizontal="left" vertical="center" indent="2"/>
    </xf>
    <xf numFmtId="0" fontId="47" fillId="46" borderId="193" applyNumberFormat="0" applyAlignment="0" applyProtection="0"/>
    <xf numFmtId="0" fontId="38" fillId="62" borderId="216" applyNumberFormat="0" applyFont="0" applyAlignment="0" applyProtection="0"/>
    <xf numFmtId="4" fontId="31" fillId="38" borderId="205">
      <alignment horizontal="right" vertical="center"/>
    </xf>
    <xf numFmtId="4" fontId="31" fillId="38" borderId="196">
      <alignment horizontal="right" vertical="center"/>
    </xf>
    <xf numFmtId="0" fontId="31" fillId="38" borderId="196">
      <alignment horizontal="right" vertical="center"/>
    </xf>
    <xf numFmtId="0" fontId="33" fillId="38" borderId="199">
      <alignment horizontal="left" vertical="center" wrapText="1" indent="2"/>
    </xf>
    <xf numFmtId="0" fontId="43" fillId="59" borderId="193" applyNumberFormat="0" applyAlignment="0" applyProtection="0"/>
    <xf numFmtId="0" fontId="47" fillId="46" borderId="193" applyNumberFormat="0" applyAlignment="0" applyProtection="0"/>
    <xf numFmtId="177" fontId="33" fillId="63" borderId="196" applyNumberFormat="0" applyFont="0" applyBorder="0" applyAlignment="0" applyProtection="0">
      <alignment horizontal="right" vertical="center"/>
    </xf>
    <xf numFmtId="0" fontId="33" fillId="38" borderId="199">
      <alignment horizontal="left" vertical="center" wrapText="1" indent="2"/>
    </xf>
    <xf numFmtId="0" fontId="56" fillId="46" borderId="193" applyNumberFormat="0" applyAlignment="0" applyProtection="0"/>
    <xf numFmtId="4" fontId="33" fillId="0" borderId="196">
      <alignment horizontal="right" vertical="center"/>
    </xf>
    <xf numFmtId="0" fontId="33" fillId="0" borderId="196">
      <alignment horizontal="right" vertical="center"/>
    </xf>
    <xf numFmtId="4" fontId="31" fillId="38" borderId="196">
      <alignment horizontal="right" vertical="center"/>
    </xf>
    <xf numFmtId="0" fontId="35" fillId="36" borderId="196">
      <alignment horizontal="right" vertical="center"/>
    </xf>
    <xf numFmtId="0" fontId="47" fillId="46" borderId="193" applyNumberFormat="0" applyAlignment="0" applyProtection="0"/>
    <xf numFmtId="0" fontId="44" fillId="59" borderId="193" applyNumberFormat="0" applyAlignment="0" applyProtection="0"/>
    <xf numFmtId="4" fontId="33" fillId="0" borderId="196">
      <alignment horizontal="right" vertical="center"/>
    </xf>
    <xf numFmtId="0" fontId="33" fillId="38" borderId="199">
      <alignment horizontal="left" vertical="center" wrapText="1" indent="2"/>
    </xf>
    <xf numFmtId="0" fontId="33" fillId="0" borderId="199">
      <alignment horizontal="left" vertical="center" wrapText="1" indent="2"/>
    </xf>
    <xf numFmtId="0" fontId="60" fillId="59" borderId="192" applyNumberFormat="0" applyAlignment="0" applyProtection="0"/>
    <xf numFmtId="0" fontId="56" fillId="46" borderId="193" applyNumberFormat="0" applyAlignment="0" applyProtection="0"/>
    <xf numFmtId="0" fontId="43" fillId="59" borderId="193" applyNumberFormat="0" applyAlignment="0" applyProtection="0"/>
    <xf numFmtId="0" fontId="41" fillId="59" borderId="192" applyNumberFormat="0" applyAlignment="0" applyProtection="0"/>
    <xf numFmtId="0" fontId="31" fillId="38" borderId="198">
      <alignment horizontal="right" vertical="center"/>
    </xf>
    <xf numFmtId="0" fontId="35" fillId="36" borderId="196">
      <alignment horizontal="right" vertical="center"/>
    </xf>
    <xf numFmtId="4" fontId="31" fillId="36" borderId="196">
      <alignment horizontal="right" vertical="center"/>
    </xf>
    <xf numFmtId="4" fontId="31" fillId="38" borderId="196">
      <alignment horizontal="right" vertical="center"/>
    </xf>
    <xf numFmtId="49" fontId="33" fillId="0" borderId="197" applyNumberFormat="0" applyFont="0" applyFill="0" applyBorder="0" applyProtection="0">
      <alignment horizontal="left" vertical="center" indent="5"/>
    </xf>
    <xf numFmtId="4" fontId="33" fillId="0" borderId="196" applyFill="0" applyBorder="0" applyProtection="0">
      <alignment horizontal="right" vertical="center"/>
    </xf>
    <xf numFmtId="4" fontId="31" fillId="36" borderId="196">
      <alignment horizontal="right" vertical="center"/>
    </xf>
    <xf numFmtId="0" fontId="56" fillId="46" borderId="193" applyNumberFormat="0" applyAlignment="0" applyProtection="0"/>
    <xf numFmtId="0" fontId="47" fillId="46" borderId="193" applyNumberFormat="0" applyAlignment="0" applyProtection="0"/>
    <xf numFmtId="0" fontId="43" fillId="59" borderId="193" applyNumberFormat="0" applyAlignment="0" applyProtection="0"/>
    <xf numFmtId="0" fontId="33" fillId="38" borderId="199">
      <alignment horizontal="left" vertical="center" wrapText="1" indent="2"/>
    </xf>
    <xf numFmtId="0" fontId="33" fillId="0" borderId="199">
      <alignment horizontal="left" vertical="center" wrapText="1" indent="2"/>
    </xf>
    <xf numFmtId="0" fontId="33" fillId="38" borderId="199">
      <alignment horizontal="left" vertical="center" wrapText="1" indent="2"/>
    </xf>
    <xf numFmtId="0" fontId="26" fillId="17" borderId="10" applyNumberFormat="0" applyAlignment="0" applyProtection="0"/>
    <xf numFmtId="0" fontId="56" fillId="46" borderId="209" applyNumberFormat="0" applyAlignment="0" applyProtection="0"/>
    <xf numFmtId="43" fontId="36" fillId="0" borderId="0" applyFont="0" applyFill="0" applyBorder="0" applyAlignment="0" applyProtection="0"/>
    <xf numFmtId="0" fontId="31" fillId="38" borderId="217">
      <alignment horizontal="right" vertical="center"/>
    </xf>
    <xf numFmtId="0" fontId="44" fillId="59" borderId="209" applyNumberFormat="0" applyAlignment="0" applyProtection="0"/>
    <xf numFmtId="0" fontId="33" fillId="38" borderId="220">
      <alignment horizontal="left" vertical="center" wrapText="1" indent="2"/>
    </xf>
    <xf numFmtId="4" fontId="33" fillId="0" borderId="217">
      <alignment horizontal="right" vertical="center"/>
    </xf>
    <xf numFmtId="49" fontId="33" fillId="0" borderId="217" applyNumberFormat="0" applyFont="0" applyFill="0" applyBorder="0" applyProtection="0">
      <alignment horizontal="left" vertical="center" indent="2"/>
    </xf>
    <xf numFmtId="0" fontId="4" fillId="3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5" borderId="0" applyNumberFormat="0" applyBorder="0" applyAlignment="0" applyProtection="0"/>
    <xf numFmtId="0" fontId="1" fillId="19" borderId="0" applyNumberFormat="0" applyBorder="0" applyAlignment="0" applyProtection="0"/>
    <xf numFmtId="0" fontId="31" fillId="38" borderId="212">
      <alignment horizontal="right" vertical="center"/>
    </xf>
    <xf numFmtId="0" fontId="35" fillId="36" borderId="212">
      <alignment horizontal="right" vertical="center"/>
    </xf>
    <xf numFmtId="4" fontId="31" fillId="38" borderId="203">
      <alignment horizontal="right" vertical="center"/>
    </xf>
    <xf numFmtId="0" fontId="33" fillId="37" borderId="203"/>
    <xf numFmtId="0" fontId="43" fillId="59" borderId="200" applyNumberFormat="0" applyAlignment="0" applyProtection="0"/>
    <xf numFmtId="0" fontId="31" fillId="36" borderId="203">
      <alignment horizontal="right" vertical="center"/>
    </xf>
    <xf numFmtId="0" fontId="33" fillId="0" borderId="203">
      <alignment horizontal="right" vertical="center"/>
    </xf>
    <xf numFmtId="0" fontId="63" fillId="0" borderId="201" applyNumberFormat="0" applyFill="0" applyAlignment="0" applyProtection="0"/>
    <xf numFmtId="0" fontId="33" fillId="36" borderId="204">
      <alignment horizontal="left" vertical="center"/>
    </xf>
    <xf numFmtId="0" fontId="56" fillId="46" borderId="200" applyNumberFormat="0" applyAlignment="0" applyProtection="0"/>
    <xf numFmtId="177" fontId="33" fillId="63" borderId="203" applyNumberFormat="0" applyFont="0" applyBorder="0" applyAlignment="0" applyProtection="0">
      <alignment horizontal="right" vertical="center"/>
    </xf>
    <xf numFmtId="0" fontId="38" fillId="62" borderId="202" applyNumberFormat="0" applyFont="0" applyAlignment="0" applyProtection="0"/>
    <xf numFmtId="0" fontId="33" fillId="0" borderId="206">
      <alignment horizontal="left" vertical="center" wrapText="1" indent="2"/>
    </xf>
    <xf numFmtId="4" fontId="33" fillId="37" borderId="203"/>
    <xf numFmtId="49" fontId="32" fillId="0" borderId="203" applyNumberFormat="0" applyFill="0" applyBorder="0" applyProtection="0">
      <alignment horizontal="left" vertical="center"/>
    </xf>
    <xf numFmtId="0" fontId="33" fillId="0" borderId="203">
      <alignment horizontal="right" vertical="center"/>
    </xf>
    <xf numFmtId="4" fontId="31" fillId="38" borderId="205">
      <alignment horizontal="right" vertical="center"/>
    </xf>
    <xf numFmtId="4" fontId="31" fillId="38" borderId="203">
      <alignment horizontal="right" vertical="center"/>
    </xf>
    <xf numFmtId="4" fontId="31" fillId="38" borderId="203">
      <alignment horizontal="right" vertical="center"/>
    </xf>
    <xf numFmtId="0" fontId="35" fillId="36" borderId="203">
      <alignment horizontal="right" vertical="center"/>
    </xf>
    <xf numFmtId="0" fontId="31" fillId="36" borderId="203">
      <alignment horizontal="right" vertical="center"/>
    </xf>
    <xf numFmtId="49" fontId="33" fillId="0" borderId="203" applyNumberFormat="0" applyFont="0" applyFill="0" applyBorder="0" applyProtection="0">
      <alignment horizontal="left" vertical="center" indent="2"/>
    </xf>
    <xf numFmtId="0" fontId="56" fillId="46" borderId="200" applyNumberFormat="0" applyAlignment="0" applyProtection="0"/>
    <xf numFmtId="0" fontId="41" fillId="59" borderId="207" applyNumberFormat="0" applyAlignment="0" applyProtection="0"/>
    <xf numFmtId="49" fontId="33" fillId="0" borderId="203" applyNumberFormat="0" applyFont="0" applyFill="0" applyBorder="0" applyProtection="0">
      <alignment horizontal="left" vertical="center" indent="2"/>
    </xf>
    <xf numFmtId="0" fontId="47" fillId="46" borderId="200" applyNumberFormat="0" applyAlignment="0" applyProtection="0"/>
    <xf numFmtId="4" fontId="33" fillId="0" borderId="203" applyFill="0" applyBorder="0" applyProtection="0">
      <alignment horizontal="right" vertical="center"/>
    </xf>
    <xf numFmtId="0" fontId="44" fillId="59" borderId="200" applyNumberFormat="0" applyAlignment="0" applyProtection="0"/>
    <xf numFmtId="0" fontId="63" fillId="0" borderId="201" applyNumberFormat="0" applyFill="0" applyAlignment="0" applyProtection="0"/>
    <xf numFmtId="0" fontId="60" fillId="59" borderId="207" applyNumberFormat="0" applyAlignment="0" applyProtection="0"/>
    <xf numFmtId="0" fontId="33" fillId="0" borderId="203" applyNumberFormat="0" applyFill="0" applyAlignment="0" applyProtection="0"/>
    <xf numFmtId="4" fontId="33" fillId="0" borderId="203">
      <alignment horizontal="right" vertical="center"/>
    </xf>
    <xf numFmtId="0" fontId="33" fillId="0" borderId="203">
      <alignment horizontal="right" vertical="center"/>
    </xf>
    <xf numFmtId="0" fontId="56" fillId="46" borderId="200" applyNumberFormat="0" applyAlignment="0" applyProtection="0"/>
    <xf numFmtId="0" fontId="41" fillId="59" borderId="207" applyNumberFormat="0" applyAlignment="0" applyProtection="0"/>
    <xf numFmtId="0" fontId="43" fillId="59" borderId="200" applyNumberFormat="0" applyAlignment="0" applyProtection="0"/>
    <xf numFmtId="0" fontId="33" fillId="38" borderId="206">
      <alignment horizontal="left" vertical="center" wrapText="1" indent="2"/>
    </xf>
    <xf numFmtId="0" fontId="44" fillId="59" borderId="200" applyNumberFormat="0" applyAlignment="0" applyProtection="0"/>
    <xf numFmtId="0" fontId="44" fillId="59" borderId="200" applyNumberFormat="0" applyAlignment="0" applyProtection="0"/>
    <xf numFmtId="4" fontId="31" fillId="38" borderId="204">
      <alignment horizontal="right" vertical="center"/>
    </xf>
    <xf numFmtId="0" fontId="31" fillId="38" borderId="204">
      <alignment horizontal="right" vertical="center"/>
    </xf>
    <xf numFmtId="0" fontId="31" fillId="38" borderId="203">
      <alignment horizontal="right" vertical="center"/>
    </xf>
    <xf numFmtId="4" fontId="35" fillId="36" borderId="203">
      <alignment horizontal="right" vertical="center"/>
    </xf>
    <xf numFmtId="0" fontId="47" fillId="46" borderId="200" applyNumberFormat="0" applyAlignment="0" applyProtection="0"/>
    <xf numFmtId="0" fontId="48" fillId="0" borderId="201" applyNumberFormat="0" applyFill="0" applyAlignment="0" applyProtection="0"/>
    <xf numFmtId="0" fontId="63" fillId="0" borderId="201" applyNumberFormat="0" applyFill="0" applyAlignment="0" applyProtection="0"/>
    <xf numFmtId="0" fontId="38" fillId="62" borderId="202" applyNumberFormat="0" applyFont="0" applyAlignment="0" applyProtection="0"/>
    <xf numFmtId="0" fontId="56" fillId="46" borderId="200" applyNumberFormat="0" applyAlignment="0" applyProtection="0"/>
    <xf numFmtId="49" fontId="32" fillId="0" borderId="203" applyNumberFormat="0" applyFill="0" applyBorder="0" applyProtection="0">
      <alignment horizontal="left" vertical="center"/>
    </xf>
    <xf numFmtId="0" fontId="33" fillId="38" borderId="206">
      <alignment horizontal="left" vertical="center" wrapText="1" indent="2"/>
    </xf>
    <xf numFmtId="0" fontId="44" fillId="59" borderId="200" applyNumberFormat="0" applyAlignment="0" applyProtection="0"/>
    <xf numFmtId="0" fontId="33" fillId="0" borderId="206">
      <alignment horizontal="left" vertical="center" wrapText="1" indent="2"/>
    </xf>
    <xf numFmtId="0" fontId="38" fillId="62" borderId="202" applyNumberFormat="0" applyFont="0" applyAlignment="0" applyProtection="0"/>
    <xf numFmtId="0" fontId="19" fillId="62" borderId="202" applyNumberFormat="0" applyFont="0" applyAlignment="0" applyProtection="0"/>
    <xf numFmtId="0" fontId="60" fillId="59" borderId="207" applyNumberFormat="0" applyAlignment="0" applyProtection="0"/>
    <xf numFmtId="0" fontId="63" fillId="0" borderId="201" applyNumberFormat="0" applyFill="0" applyAlignment="0" applyProtection="0"/>
    <xf numFmtId="4" fontId="33" fillId="37" borderId="203"/>
    <xf numFmtId="0" fontId="31" fillId="38" borderId="203">
      <alignment horizontal="right" vertical="center"/>
    </xf>
    <xf numFmtId="0" fontId="63" fillId="0" borderId="201" applyNumberFormat="0" applyFill="0" applyAlignment="0" applyProtection="0"/>
    <xf numFmtId="4" fontId="31" fillId="38" borderId="205">
      <alignment horizontal="right" vertical="center"/>
    </xf>
    <xf numFmtId="0" fontId="43" fillId="59" borderId="200" applyNumberFormat="0" applyAlignment="0" applyProtection="0"/>
    <xf numFmtId="0" fontId="31" fillId="38" borderId="204">
      <alignment horizontal="right" vertical="center"/>
    </xf>
    <xf numFmtId="0" fontId="44" fillId="59" borderId="200" applyNumberFormat="0" applyAlignment="0" applyProtection="0"/>
    <xf numFmtId="0" fontId="48" fillId="0" borderId="201" applyNumberFormat="0" applyFill="0" applyAlignment="0" applyProtection="0"/>
    <xf numFmtId="0" fontId="38" fillId="62" borderId="202" applyNumberFormat="0" applyFont="0" applyAlignment="0" applyProtection="0"/>
    <xf numFmtId="4" fontId="31" fillId="38" borderId="204">
      <alignment horizontal="right" vertical="center"/>
    </xf>
    <xf numFmtId="0" fontId="33" fillId="38" borderId="206">
      <alignment horizontal="left" vertical="center" wrapText="1" indent="2"/>
    </xf>
    <xf numFmtId="0" fontId="33" fillId="37" borderId="203"/>
    <xf numFmtId="177" fontId="33" fillId="63" borderId="203" applyNumberFormat="0" applyFont="0" applyBorder="0" applyAlignment="0" applyProtection="0">
      <alignment horizontal="right" vertical="center"/>
    </xf>
    <xf numFmtId="0" fontId="33" fillId="0" borderId="203" applyNumberFormat="0" applyFill="0" applyAlignment="0" applyProtection="0"/>
    <xf numFmtId="4" fontId="33" fillId="0" borderId="203" applyFill="0" applyBorder="0" applyProtection="0">
      <alignment horizontal="right" vertical="center"/>
    </xf>
    <xf numFmtId="4" fontId="31" fillId="36" borderId="203">
      <alignment horizontal="right" vertical="center"/>
    </xf>
    <xf numFmtId="0" fontId="48" fillId="0" borderId="201" applyNumberFormat="0" applyFill="0" applyAlignment="0" applyProtection="0"/>
    <xf numFmtId="49" fontId="32" fillId="0" borderId="203" applyNumberFormat="0" applyFill="0" applyBorder="0" applyProtection="0">
      <alignment horizontal="left" vertical="center"/>
    </xf>
    <xf numFmtId="49" fontId="33" fillId="0" borderId="204" applyNumberFormat="0" applyFont="0" applyFill="0" applyBorder="0" applyProtection="0">
      <alignment horizontal="left" vertical="center" indent="5"/>
    </xf>
    <xf numFmtId="0" fontId="33" fillId="36" borderId="204">
      <alignment horizontal="left" vertical="center"/>
    </xf>
    <xf numFmtId="0" fontId="44" fillId="59" borderId="200" applyNumberFormat="0" applyAlignment="0" applyProtection="0"/>
    <xf numFmtId="4" fontId="31" fillId="38" borderId="205">
      <alignment horizontal="right" vertical="center"/>
    </xf>
    <xf numFmtId="0" fontId="56" fillId="46" borderId="200" applyNumberFormat="0" applyAlignment="0" applyProtection="0"/>
    <xf numFmtId="0" fontId="56" fillId="46" borderId="200" applyNumberFormat="0" applyAlignment="0" applyProtection="0"/>
    <xf numFmtId="0" fontId="38" fillId="62" borderId="202" applyNumberFormat="0" applyFont="0" applyAlignment="0" applyProtection="0"/>
    <xf numFmtId="0" fontId="60" fillId="59" borderId="207" applyNumberFormat="0" applyAlignment="0" applyProtection="0"/>
    <xf numFmtId="0" fontId="63" fillId="0" borderId="201" applyNumberFormat="0" applyFill="0" applyAlignment="0" applyProtection="0"/>
    <xf numFmtId="0" fontId="31" fillId="38" borderId="203">
      <alignment horizontal="right" vertical="center"/>
    </xf>
    <xf numFmtId="0" fontId="19" fillId="62" borderId="202" applyNumberFormat="0" applyFont="0" applyAlignment="0" applyProtection="0"/>
    <xf numFmtId="4" fontId="33" fillId="0" borderId="203">
      <alignment horizontal="right" vertical="center"/>
    </xf>
    <xf numFmtId="0" fontId="63" fillId="0" borderId="201" applyNumberFormat="0" applyFill="0" applyAlignment="0" applyProtection="0"/>
    <xf numFmtId="0" fontId="31" fillId="38" borderId="203">
      <alignment horizontal="right" vertical="center"/>
    </xf>
    <xf numFmtId="0" fontId="31" fillId="38" borderId="203">
      <alignment horizontal="right" vertical="center"/>
    </xf>
    <xf numFmtId="4" fontId="35" fillId="36" borderId="203">
      <alignment horizontal="right" vertical="center"/>
    </xf>
    <xf numFmtId="0" fontId="31" fillId="36" borderId="203">
      <alignment horizontal="right" vertical="center"/>
    </xf>
    <xf numFmtId="4" fontId="31" fillId="36" borderId="203">
      <alignment horizontal="right" vertical="center"/>
    </xf>
    <xf numFmtId="0" fontId="35" fillId="36" borderId="203">
      <alignment horizontal="right" vertical="center"/>
    </xf>
    <xf numFmtId="4" fontId="35" fillId="36" borderId="203">
      <alignment horizontal="right" vertical="center"/>
    </xf>
    <xf numFmtId="0" fontId="31" fillId="38" borderId="203">
      <alignment horizontal="right" vertical="center"/>
    </xf>
    <xf numFmtId="4" fontId="31" fillId="38" borderId="203">
      <alignment horizontal="right" vertical="center"/>
    </xf>
    <xf numFmtId="0" fontId="31" fillId="38" borderId="203">
      <alignment horizontal="right" vertical="center"/>
    </xf>
    <xf numFmtId="4" fontId="31" fillId="38" borderId="203">
      <alignment horizontal="right" vertical="center"/>
    </xf>
    <xf numFmtId="0" fontId="31" fillId="38" borderId="204">
      <alignment horizontal="right" vertical="center"/>
    </xf>
    <xf numFmtId="4" fontId="31" fillId="38" borderId="204">
      <alignment horizontal="right" vertical="center"/>
    </xf>
    <xf numFmtId="0" fontId="31" fillId="38" borderId="205">
      <alignment horizontal="right" vertical="center"/>
    </xf>
    <xf numFmtId="4" fontId="31" fillId="38" borderId="205">
      <alignment horizontal="right" vertical="center"/>
    </xf>
    <xf numFmtId="0" fontId="44" fillId="59" borderId="200" applyNumberFormat="0" applyAlignment="0" applyProtection="0"/>
    <xf numFmtId="0" fontId="33" fillId="38" borderId="206">
      <alignment horizontal="left" vertical="center" wrapText="1" indent="2"/>
    </xf>
    <xf numFmtId="0" fontId="33" fillId="0" borderId="206">
      <alignment horizontal="left" vertical="center" wrapText="1" indent="2"/>
    </xf>
    <xf numFmtId="0" fontId="33" fillId="36" borderId="204">
      <alignment horizontal="left" vertical="center"/>
    </xf>
    <xf numFmtId="0" fontId="56" fillId="46" borderId="200" applyNumberFormat="0" applyAlignment="0" applyProtection="0"/>
    <xf numFmtId="0" fontId="33" fillId="0" borderId="203">
      <alignment horizontal="right" vertical="center"/>
    </xf>
    <xf numFmtId="4" fontId="33" fillId="0" borderId="203">
      <alignment horizontal="right" vertical="center"/>
    </xf>
    <xf numFmtId="0" fontId="33" fillId="0" borderId="203" applyNumberFormat="0" applyFill="0" applyAlignment="0" applyProtection="0"/>
    <xf numFmtId="0" fontId="60" fillId="59" borderId="207" applyNumberFormat="0" applyAlignment="0" applyProtection="0"/>
    <xf numFmtId="177" fontId="33" fillId="63" borderId="203" applyNumberFormat="0" applyFont="0" applyBorder="0" applyAlignment="0" applyProtection="0">
      <alignment horizontal="right" vertical="center"/>
    </xf>
    <xf numFmtId="0" fontId="33" fillId="37" borderId="203"/>
    <xf numFmtId="4" fontId="33" fillId="37" borderId="203"/>
    <xf numFmtId="0" fontId="63" fillId="0" borderId="201" applyNumberFormat="0" applyFill="0" applyAlignment="0" applyProtection="0"/>
    <xf numFmtId="0" fontId="19" fillId="62" borderId="202" applyNumberFormat="0" applyFont="0" applyAlignment="0" applyProtection="0"/>
    <xf numFmtId="0" fontId="38" fillId="62" borderId="202" applyNumberFormat="0" applyFont="0" applyAlignment="0" applyProtection="0"/>
    <xf numFmtId="0" fontId="33" fillId="0" borderId="203" applyNumberFormat="0" applyFill="0" applyAlignment="0" applyProtection="0"/>
    <xf numFmtId="0" fontId="48" fillId="0" borderId="201" applyNumberFormat="0" applyFill="0" applyAlignment="0" applyProtection="0"/>
    <xf numFmtId="0" fontId="63" fillId="0" borderId="201" applyNumberFormat="0" applyFill="0" applyAlignment="0" applyProtection="0"/>
    <xf numFmtId="0" fontId="47" fillId="46" borderId="200" applyNumberFormat="0" applyAlignment="0" applyProtection="0"/>
    <xf numFmtId="0" fontId="44" fillId="59" borderId="200" applyNumberFormat="0" applyAlignment="0" applyProtection="0"/>
    <xf numFmtId="4" fontId="35" fillId="36" borderId="203">
      <alignment horizontal="right" vertical="center"/>
    </xf>
    <xf numFmtId="0" fontId="31" fillId="36" borderId="203">
      <alignment horizontal="right" vertical="center"/>
    </xf>
    <xf numFmtId="177" fontId="33" fillId="63" borderId="203" applyNumberFormat="0" applyFont="0" applyBorder="0" applyAlignment="0" applyProtection="0">
      <alignment horizontal="right" vertical="center"/>
    </xf>
    <xf numFmtId="0" fontId="48" fillId="0" borderId="201" applyNumberFormat="0" applyFill="0" applyAlignment="0" applyProtection="0"/>
    <xf numFmtId="49" fontId="33" fillId="0" borderId="203" applyNumberFormat="0" applyFont="0" applyFill="0" applyBorder="0" applyProtection="0">
      <alignment horizontal="left" vertical="center" indent="2"/>
    </xf>
    <xf numFmtId="49" fontId="33" fillId="0" borderId="204" applyNumberFormat="0" applyFont="0" applyFill="0" applyBorder="0" applyProtection="0">
      <alignment horizontal="left" vertical="center" indent="5"/>
    </xf>
    <xf numFmtId="49" fontId="33" fillId="0" borderId="203" applyNumberFormat="0" applyFont="0" applyFill="0" applyBorder="0" applyProtection="0">
      <alignment horizontal="left" vertical="center" indent="2"/>
    </xf>
    <xf numFmtId="4" fontId="33" fillId="0" borderId="203" applyFill="0" applyBorder="0" applyProtection="0">
      <alignment horizontal="right" vertical="center"/>
    </xf>
    <xf numFmtId="49" fontId="32" fillId="0" borderId="203" applyNumberFormat="0" applyFill="0" applyBorder="0" applyProtection="0">
      <alignment horizontal="left" vertical="center"/>
    </xf>
    <xf numFmtId="0" fontId="33" fillId="0" borderId="206">
      <alignment horizontal="left" vertical="center" wrapText="1" indent="2"/>
    </xf>
    <xf numFmtId="0" fontId="60" fillId="59" borderId="207" applyNumberFormat="0" applyAlignment="0" applyProtection="0"/>
    <xf numFmtId="0" fontId="31" fillId="38" borderId="205">
      <alignment horizontal="right" vertical="center"/>
    </xf>
    <xf numFmtId="0" fontId="47" fillId="46" borderId="200" applyNumberFormat="0" applyAlignment="0" applyProtection="0"/>
    <xf numFmtId="0" fontId="31" fillId="38" borderId="205">
      <alignment horizontal="right" vertical="center"/>
    </xf>
    <xf numFmtId="4" fontId="31" fillId="38" borderId="203">
      <alignment horizontal="right" vertical="center"/>
    </xf>
    <xf numFmtId="0" fontId="31" fillId="38" borderId="203">
      <alignment horizontal="right" vertical="center"/>
    </xf>
    <xf numFmtId="0" fontId="41" fillId="59" borderId="207" applyNumberFormat="0" applyAlignment="0" applyProtection="0"/>
    <xf numFmtId="0" fontId="43" fillId="59" borderId="200" applyNumberFormat="0" applyAlignment="0" applyProtection="0"/>
    <xf numFmtId="0" fontId="48" fillId="0" borderId="201" applyNumberFormat="0" applyFill="0" applyAlignment="0" applyProtection="0"/>
    <xf numFmtId="0" fontId="33" fillId="37" borderId="203"/>
    <xf numFmtId="4" fontId="33" fillId="37" borderId="203"/>
    <xf numFmtId="4" fontId="31" fillId="38" borderId="203">
      <alignment horizontal="right" vertical="center"/>
    </xf>
    <xf numFmtId="0" fontId="35" fillId="36" borderId="203">
      <alignment horizontal="right" vertical="center"/>
    </xf>
    <xf numFmtId="0" fontId="47" fillId="46" borderId="200" applyNumberFormat="0" applyAlignment="0" applyProtection="0"/>
    <xf numFmtId="0" fontId="44" fillId="59" borderId="200" applyNumberFormat="0" applyAlignment="0" applyProtection="0"/>
    <xf numFmtId="4" fontId="33" fillId="0" borderId="203">
      <alignment horizontal="right" vertical="center"/>
    </xf>
    <xf numFmtId="0" fontId="33" fillId="38" borderId="206">
      <alignment horizontal="left" vertical="center" wrapText="1" indent="2"/>
    </xf>
    <xf numFmtId="0" fontId="33" fillId="0" borderId="206">
      <alignment horizontal="left" vertical="center" wrapText="1" indent="2"/>
    </xf>
    <xf numFmtId="0" fontId="60" fillId="59" borderId="207" applyNumberFormat="0" applyAlignment="0" applyProtection="0"/>
    <xf numFmtId="0" fontId="56" fillId="46" borderId="200" applyNumberFormat="0" applyAlignment="0" applyProtection="0"/>
    <xf numFmtId="0" fontId="43" fillId="59" borderId="200" applyNumberFormat="0" applyAlignment="0" applyProtection="0"/>
    <xf numFmtId="0" fontId="41" fillId="59" borderId="207" applyNumberFormat="0" applyAlignment="0" applyProtection="0"/>
    <xf numFmtId="0" fontId="31" fillId="38" borderId="205">
      <alignment horizontal="right" vertical="center"/>
    </xf>
    <xf numFmtId="0" fontId="35" fillId="36" borderId="203">
      <alignment horizontal="right" vertical="center"/>
    </xf>
    <xf numFmtId="4" fontId="31" fillId="36" borderId="203">
      <alignment horizontal="right" vertical="center"/>
    </xf>
    <xf numFmtId="4" fontId="31" fillId="38" borderId="203">
      <alignment horizontal="right" vertical="center"/>
    </xf>
    <xf numFmtId="49" fontId="33" fillId="0" borderId="204" applyNumberFormat="0" applyFont="0" applyFill="0" applyBorder="0" applyProtection="0">
      <alignment horizontal="left" vertical="center" indent="5"/>
    </xf>
    <xf numFmtId="4" fontId="33" fillId="0" borderId="203" applyFill="0" applyBorder="0" applyProtection="0">
      <alignment horizontal="right" vertical="center"/>
    </xf>
    <xf numFmtId="4" fontId="31" fillId="36" borderId="203">
      <alignment horizontal="right" vertical="center"/>
    </xf>
    <xf numFmtId="0" fontId="56" fillId="46" borderId="200" applyNumberFormat="0" applyAlignment="0" applyProtection="0"/>
    <xf numFmtId="0" fontId="47" fillId="46" borderId="200" applyNumberFormat="0" applyAlignment="0" applyProtection="0"/>
    <xf numFmtId="0" fontId="43" fillId="59" borderId="200" applyNumberFormat="0" applyAlignment="0" applyProtection="0"/>
    <xf numFmtId="0" fontId="33" fillId="38" borderId="206">
      <alignment horizontal="left" vertical="center" wrapText="1" indent="2"/>
    </xf>
    <xf numFmtId="0" fontId="33" fillId="0" borderId="206">
      <alignment horizontal="left" vertical="center" wrapText="1" indent="2"/>
    </xf>
    <xf numFmtId="0" fontId="33" fillId="38" borderId="206">
      <alignment horizontal="left" vertical="center" wrapText="1" indent="2"/>
    </xf>
    <xf numFmtId="0" fontId="33" fillId="0" borderId="206">
      <alignment horizontal="left" vertical="center" wrapText="1" indent="2"/>
    </xf>
    <xf numFmtId="0" fontId="41" fillId="59" borderId="207" applyNumberFormat="0" applyAlignment="0" applyProtection="0"/>
    <xf numFmtId="0" fontId="43" fillId="59" borderId="200" applyNumberFormat="0" applyAlignment="0" applyProtection="0"/>
    <xf numFmtId="0" fontId="44" fillId="59" borderId="200" applyNumberFormat="0" applyAlignment="0" applyProtection="0"/>
    <xf numFmtId="0" fontId="47" fillId="46" borderId="200" applyNumberFormat="0" applyAlignment="0" applyProtection="0"/>
    <xf numFmtId="0" fontId="48" fillId="0" borderId="201" applyNumberFormat="0" applyFill="0" applyAlignment="0" applyProtection="0"/>
    <xf numFmtId="0" fontId="56" fillId="46" borderId="200" applyNumberFormat="0" applyAlignment="0" applyProtection="0"/>
    <xf numFmtId="0" fontId="38" fillId="62" borderId="202" applyNumberFormat="0" applyFont="0" applyAlignment="0" applyProtection="0"/>
    <xf numFmtId="0" fontId="19" fillId="62" borderId="202" applyNumberFormat="0" applyFont="0" applyAlignment="0" applyProtection="0"/>
    <xf numFmtId="0" fontId="60" fillId="59" borderId="207" applyNumberFormat="0" applyAlignment="0" applyProtection="0"/>
    <xf numFmtId="0" fontId="63" fillId="0" borderId="201" applyNumberFormat="0" applyFill="0" applyAlignment="0" applyProtection="0"/>
    <xf numFmtId="0" fontId="44" fillId="59" borderId="200" applyNumberFormat="0" applyAlignment="0" applyProtection="0"/>
    <xf numFmtId="0" fontId="56" fillId="46" borderId="200" applyNumberFormat="0" applyAlignment="0" applyProtection="0"/>
    <xf numFmtId="0" fontId="38" fillId="62" borderId="202" applyNumberFormat="0" applyFont="0" applyAlignment="0" applyProtection="0"/>
    <xf numFmtId="0" fontId="60" fillId="59" borderId="207" applyNumberFormat="0" applyAlignment="0" applyProtection="0"/>
    <xf numFmtId="0" fontId="63" fillId="0" borderId="201" applyNumberFormat="0" applyFill="0" applyAlignment="0" applyProtection="0"/>
    <xf numFmtId="0" fontId="44" fillId="59" borderId="200" applyNumberFormat="0" applyAlignment="0" applyProtection="0"/>
    <xf numFmtId="4" fontId="31" fillId="38" borderId="212">
      <alignment horizontal="right" vertical="center"/>
    </xf>
    <xf numFmtId="0" fontId="31" fillId="36" borderId="212">
      <alignment horizontal="right" vertical="center"/>
    </xf>
    <xf numFmtId="0" fontId="56" fillId="46" borderId="200" applyNumberFormat="0" applyAlignment="0" applyProtection="0"/>
    <xf numFmtId="0" fontId="60" fillId="59" borderId="207" applyNumberFormat="0" applyAlignment="0" applyProtection="0"/>
    <xf numFmtId="0" fontId="63" fillId="0" borderId="201" applyNumberFormat="0" applyFill="0" applyAlignment="0" applyProtection="0"/>
    <xf numFmtId="0" fontId="48" fillId="0" borderId="210" applyNumberFormat="0" applyFill="0" applyAlignment="0" applyProtection="0"/>
    <xf numFmtId="0" fontId="41" fillId="59" borderId="207" applyNumberFormat="0" applyAlignment="0" applyProtection="0"/>
    <xf numFmtId="0" fontId="43" fillId="59" borderId="200" applyNumberFormat="0" applyAlignment="0" applyProtection="0"/>
    <xf numFmtId="0" fontId="48" fillId="0" borderId="201" applyNumberFormat="0" applyFill="0" applyAlignment="0" applyProtection="0"/>
    <xf numFmtId="49" fontId="33" fillId="0" borderId="203" applyNumberFormat="0" applyFont="0" applyFill="0" applyBorder="0" applyProtection="0">
      <alignment horizontal="left" vertical="center" indent="2"/>
    </xf>
    <xf numFmtId="0" fontId="31" fillId="36" borderId="203">
      <alignment horizontal="right" vertical="center"/>
    </xf>
    <xf numFmtId="4" fontId="31" fillId="36" borderId="203">
      <alignment horizontal="right" vertical="center"/>
    </xf>
    <xf numFmtId="0" fontId="35" fillId="36" borderId="203">
      <alignment horizontal="right" vertical="center"/>
    </xf>
    <xf numFmtId="4" fontId="35" fillId="36" borderId="203">
      <alignment horizontal="right" vertical="center"/>
    </xf>
    <xf numFmtId="0" fontId="31" fillId="38" borderId="203">
      <alignment horizontal="right" vertical="center"/>
    </xf>
    <xf numFmtId="4" fontId="31" fillId="38" borderId="203">
      <alignment horizontal="right" vertical="center"/>
    </xf>
    <xf numFmtId="0" fontId="31" fillId="38" borderId="203">
      <alignment horizontal="right" vertical="center"/>
    </xf>
    <xf numFmtId="4" fontId="31" fillId="38" borderId="203">
      <alignment horizontal="right" vertical="center"/>
    </xf>
    <xf numFmtId="0" fontId="47" fillId="46" borderId="200" applyNumberFormat="0" applyAlignment="0" applyProtection="0"/>
    <xf numFmtId="0" fontId="33" fillId="0" borderId="203">
      <alignment horizontal="right" vertical="center"/>
    </xf>
    <xf numFmtId="4" fontId="33" fillId="0" borderId="203">
      <alignment horizontal="right" vertical="center"/>
    </xf>
    <xf numFmtId="4" fontId="33" fillId="0" borderId="203" applyFill="0" applyBorder="0" applyProtection="0">
      <alignment horizontal="right" vertical="center"/>
    </xf>
    <xf numFmtId="49" fontId="32" fillId="0" borderId="203" applyNumberFormat="0" applyFill="0" applyBorder="0" applyProtection="0">
      <alignment horizontal="left" vertical="center"/>
    </xf>
    <xf numFmtId="0" fontId="33" fillId="0" borderId="203" applyNumberFormat="0" applyFill="0" applyAlignment="0" applyProtection="0"/>
    <xf numFmtId="177" fontId="33" fillId="63" borderId="203" applyNumberFormat="0" applyFont="0" applyBorder="0" applyAlignment="0" applyProtection="0">
      <alignment horizontal="right" vertical="center"/>
    </xf>
    <xf numFmtId="0" fontId="33" fillId="37" borderId="203"/>
    <xf numFmtId="4" fontId="33" fillId="37" borderId="203"/>
    <xf numFmtId="4" fontId="31" fillId="38" borderId="203">
      <alignment horizontal="right" vertical="center"/>
    </xf>
    <xf numFmtId="0" fontId="33" fillId="37" borderId="203"/>
    <xf numFmtId="0" fontId="43" fillId="59" borderId="200" applyNumberFormat="0" applyAlignment="0" applyProtection="0"/>
    <xf numFmtId="0" fontId="31" fillId="36" borderId="203">
      <alignment horizontal="right" vertical="center"/>
    </xf>
    <xf numFmtId="0" fontId="33" fillId="0" borderId="203">
      <alignment horizontal="right" vertical="center"/>
    </xf>
    <xf numFmtId="0" fontId="63" fillId="0" borderId="201" applyNumberFormat="0" applyFill="0" applyAlignment="0" applyProtection="0"/>
    <xf numFmtId="0" fontId="33" fillId="36" borderId="204">
      <alignment horizontal="left" vertical="center"/>
    </xf>
    <xf numFmtId="0" fontId="56" fillId="46" borderId="200" applyNumberFormat="0" applyAlignment="0" applyProtection="0"/>
    <xf numFmtId="177" fontId="33" fillId="63" borderId="203" applyNumberFormat="0" applyFont="0" applyBorder="0" applyAlignment="0" applyProtection="0">
      <alignment horizontal="right" vertical="center"/>
    </xf>
    <xf numFmtId="0" fontId="38" fillId="62" borderId="202" applyNumberFormat="0" applyFont="0" applyAlignment="0" applyProtection="0"/>
    <xf numFmtId="0" fontId="33" fillId="0" borderId="206">
      <alignment horizontal="left" vertical="center" wrapText="1" indent="2"/>
    </xf>
    <xf numFmtId="4" fontId="33" fillId="37" borderId="203"/>
    <xf numFmtId="49" fontId="32" fillId="0" borderId="203" applyNumberFormat="0" applyFill="0" applyBorder="0" applyProtection="0">
      <alignment horizontal="left" vertical="center"/>
    </xf>
    <xf numFmtId="0" fontId="33" fillId="0" borderId="203">
      <alignment horizontal="right" vertical="center"/>
    </xf>
    <xf numFmtId="4" fontId="31" fillId="38" borderId="205">
      <alignment horizontal="right" vertical="center"/>
    </xf>
    <xf numFmtId="4" fontId="31" fillId="38" borderId="203">
      <alignment horizontal="right" vertical="center"/>
    </xf>
    <xf numFmtId="4" fontId="31" fillId="38" borderId="203">
      <alignment horizontal="right" vertical="center"/>
    </xf>
    <xf numFmtId="0" fontId="35" fillId="36" borderId="203">
      <alignment horizontal="right" vertical="center"/>
    </xf>
    <xf numFmtId="0" fontId="31" fillId="36" borderId="203">
      <alignment horizontal="right" vertical="center"/>
    </xf>
    <xf numFmtId="49" fontId="33" fillId="0" borderId="203" applyNumberFormat="0" applyFont="0" applyFill="0" applyBorder="0" applyProtection="0">
      <alignment horizontal="left" vertical="center" indent="2"/>
    </xf>
    <xf numFmtId="0" fontId="56" fillId="46" borderId="200" applyNumberFormat="0" applyAlignment="0" applyProtection="0"/>
    <xf numFmtId="0" fontId="41" fillId="59" borderId="207" applyNumberFormat="0" applyAlignment="0" applyProtection="0"/>
    <xf numFmtId="49" fontId="33" fillId="0" borderId="203" applyNumberFormat="0" applyFont="0" applyFill="0" applyBorder="0" applyProtection="0">
      <alignment horizontal="left" vertical="center" indent="2"/>
    </xf>
    <xf numFmtId="0" fontId="47" fillId="46" borderId="200" applyNumberFormat="0" applyAlignment="0" applyProtection="0"/>
    <xf numFmtId="4" fontId="33" fillId="0" borderId="203" applyFill="0" applyBorder="0" applyProtection="0">
      <alignment horizontal="right" vertical="center"/>
    </xf>
    <xf numFmtId="0" fontId="44" fillId="59" borderId="200" applyNumberFormat="0" applyAlignment="0" applyProtection="0"/>
    <xf numFmtId="0" fontId="63" fillId="0" borderId="201" applyNumberFormat="0" applyFill="0" applyAlignment="0" applyProtection="0"/>
    <xf numFmtId="0" fontId="60" fillId="59" borderId="207" applyNumberFormat="0" applyAlignment="0" applyProtection="0"/>
    <xf numFmtId="0" fontId="33" fillId="0" borderId="203" applyNumberFormat="0" applyFill="0" applyAlignment="0" applyProtection="0"/>
    <xf numFmtId="4" fontId="33" fillId="0" borderId="203">
      <alignment horizontal="right" vertical="center"/>
    </xf>
    <xf numFmtId="0" fontId="33" fillId="0" borderId="203">
      <alignment horizontal="right" vertical="center"/>
    </xf>
    <xf numFmtId="0" fontId="56" fillId="46" borderId="200" applyNumberFormat="0" applyAlignment="0" applyProtection="0"/>
    <xf numFmtId="0" fontId="41" fillId="59" borderId="207" applyNumberFormat="0" applyAlignment="0" applyProtection="0"/>
    <xf numFmtId="0" fontId="43" fillId="59" borderId="200" applyNumberFormat="0" applyAlignment="0" applyProtection="0"/>
    <xf numFmtId="0" fontId="33" fillId="38" borderId="206">
      <alignment horizontal="left" vertical="center" wrapText="1" indent="2"/>
    </xf>
    <xf numFmtId="0" fontId="44" fillId="59" borderId="200" applyNumberFormat="0" applyAlignment="0" applyProtection="0"/>
    <xf numFmtId="0" fontId="44" fillId="59" borderId="200" applyNumberFormat="0" applyAlignment="0" applyProtection="0"/>
    <xf numFmtId="4" fontId="31" fillId="38" borderId="204">
      <alignment horizontal="right" vertical="center"/>
    </xf>
    <xf numFmtId="0" fontId="31" fillId="38" borderId="204">
      <alignment horizontal="right" vertical="center"/>
    </xf>
    <xf numFmtId="0" fontId="31" fillId="38" borderId="203">
      <alignment horizontal="right" vertical="center"/>
    </xf>
    <xf numFmtId="4" fontId="35" fillId="36" borderId="203">
      <alignment horizontal="right" vertical="center"/>
    </xf>
    <xf numFmtId="0" fontId="47" fillId="46" borderId="200" applyNumberFormat="0" applyAlignment="0" applyProtection="0"/>
    <xf numFmtId="0" fontId="48" fillId="0" borderId="201" applyNumberFormat="0" applyFill="0" applyAlignment="0" applyProtection="0"/>
    <xf numFmtId="0" fontId="63" fillId="0" borderId="201" applyNumberFormat="0" applyFill="0" applyAlignment="0" applyProtection="0"/>
    <xf numFmtId="0" fontId="38" fillId="62" borderId="202" applyNumberFormat="0" applyFont="0" applyAlignment="0" applyProtection="0"/>
    <xf numFmtId="0" fontId="56" fillId="46" borderId="200" applyNumberFormat="0" applyAlignment="0" applyProtection="0"/>
    <xf numFmtId="49" fontId="32" fillId="0" borderId="203" applyNumberFormat="0" applyFill="0" applyBorder="0" applyProtection="0">
      <alignment horizontal="left" vertical="center"/>
    </xf>
    <xf numFmtId="0" fontId="33" fillId="38" borderId="206">
      <alignment horizontal="left" vertical="center" wrapText="1" indent="2"/>
    </xf>
    <xf numFmtId="0" fontId="44" fillId="59" borderId="200" applyNumberFormat="0" applyAlignment="0" applyProtection="0"/>
    <xf numFmtId="0" fontId="33" fillId="0" borderId="206">
      <alignment horizontal="left" vertical="center" wrapText="1" indent="2"/>
    </xf>
    <xf numFmtId="0" fontId="38" fillId="62" borderId="202" applyNumberFormat="0" applyFont="0" applyAlignment="0" applyProtection="0"/>
    <xf numFmtId="0" fontId="19" fillId="62" borderId="202" applyNumberFormat="0" applyFont="0" applyAlignment="0" applyProtection="0"/>
    <xf numFmtId="0" fontId="60" fillId="59" borderId="207" applyNumberFormat="0" applyAlignment="0" applyProtection="0"/>
    <xf numFmtId="0" fontId="63" fillId="0" borderId="201" applyNumberFormat="0" applyFill="0" applyAlignment="0" applyProtection="0"/>
    <xf numFmtId="4" fontId="33" fillId="37" borderId="203"/>
    <xf numFmtId="0" fontId="31" fillId="38" borderId="203">
      <alignment horizontal="right" vertical="center"/>
    </xf>
    <xf numFmtId="0" fontId="63" fillId="0" borderId="201" applyNumberFormat="0" applyFill="0" applyAlignment="0" applyProtection="0"/>
    <xf numFmtId="4" fontId="31" fillId="38" borderId="205">
      <alignment horizontal="right" vertical="center"/>
    </xf>
    <xf numFmtId="0" fontId="43" fillId="59" borderId="200" applyNumberFormat="0" applyAlignment="0" applyProtection="0"/>
    <xf numFmtId="0" fontId="31" fillId="38" borderId="204">
      <alignment horizontal="right" vertical="center"/>
    </xf>
    <xf numFmtId="0" fontId="44" fillId="59" borderId="200" applyNumberFormat="0" applyAlignment="0" applyProtection="0"/>
    <xf numFmtId="0" fontId="48" fillId="0" borderId="201" applyNumberFormat="0" applyFill="0" applyAlignment="0" applyProtection="0"/>
    <xf numFmtId="0" fontId="38" fillId="62" borderId="202" applyNumberFormat="0" applyFont="0" applyAlignment="0" applyProtection="0"/>
    <xf numFmtId="4" fontId="31" fillId="38" borderId="204">
      <alignment horizontal="right" vertical="center"/>
    </xf>
    <xf numFmtId="0" fontId="33" fillId="38" borderId="206">
      <alignment horizontal="left" vertical="center" wrapText="1" indent="2"/>
    </xf>
    <xf numFmtId="0" fontId="33" fillId="37" borderId="203"/>
    <xf numFmtId="177" fontId="33" fillId="63" borderId="203" applyNumberFormat="0" applyFont="0" applyBorder="0" applyAlignment="0" applyProtection="0">
      <alignment horizontal="right" vertical="center"/>
    </xf>
    <xf numFmtId="0" fontId="33" fillId="0" borderId="203" applyNumberFormat="0" applyFill="0" applyAlignment="0" applyProtection="0"/>
    <xf numFmtId="4" fontId="33" fillId="0" borderId="203" applyFill="0" applyBorder="0" applyProtection="0">
      <alignment horizontal="right" vertical="center"/>
    </xf>
    <xf numFmtId="4" fontId="31" fillId="36" borderId="203">
      <alignment horizontal="right" vertical="center"/>
    </xf>
    <xf numFmtId="0" fontId="48" fillId="0" borderId="201" applyNumberFormat="0" applyFill="0" applyAlignment="0" applyProtection="0"/>
    <xf numFmtId="49" fontId="32" fillId="0" borderId="203" applyNumberFormat="0" applyFill="0" applyBorder="0" applyProtection="0">
      <alignment horizontal="left" vertical="center"/>
    </xf>
    <xf numFmtId="49" fontId="33" fillId="0" borderId="204" applyNumberFormat="0" applyFont="0" applyFill="0" applyBorder="0" applyProtection="0">
      <alignment horizontal="left" vertical="center" indent="5"/>
    </xf>
    <xf numFmtId="0" fontId="33" fillId="36" borderId="204">
      <alignment horizontal="left" vertical="center"/>
    </xf>
    <xf numFmtId="0" fontId="44" fillId="59" borderId="200" applyNumberFormat="0" applyAlignment="0" applyProtection="0"/>
    <xf numFmtId="4" fontId="31" fillId="38" borderId="205">
      <alignment horizontal="right" vertical="center"/>
    </xf>
    <xf numFmtId="0" fontId="56" fillId="46" borderId="200" applyNumberFormat="0" applyAlignment="0" applyProtection="0"/>
    <xf numFmtId="0" fontId="56" fillId="46" borderId="200" applyNumberFormat="0" applyAlignment="0" applyProtection="0"/>
    <xf numFmtId="0" fontId="38" fillId="62" borderId="202" applyNumberFormat="0" applyFont="0" applyAlignment="0" applyProtection="0"/>
    <xf numFmtId="0" fontId="60" fillId="59" borderId="207" applyNumberFormat="0" applyAlignment="0" applyProtection="0"/>
    <xf numFmtId="0" fontId="63" fillId="0" borderId="201" applyNumberFormat="0" applyFill="0" applyAlignment="0" applyProtection="0"/>
    <xf numFmtId="0" fontId="31" fillId="38" borderId="203">
      <alignment horizontal="right" vertical="center"/>
    </xf>
    <xf numFmtId="0" fontId="19" fillId="62" borderId="202" applyNumberFormat="0" applyFont="0" applyAlignment="0" applyProtection="0"/>
    <xf numFmtId="4" fontId="33" fillId="0" borderId="203">
      <alignment horizontal="right" vertical="center"/>
    </xf>
    <xf numFmtId="0" fontId="63" fillId="0" borderId="201" applyNumberFormat="0" applyFill="0" applyAlignment="0" applyProtection="0"/>
    <xf numFmtId="0" fontId="31" fillId="38" borderId="203">
      <alignment horizontal="right" vertical="center"/>
    </xf>
    <xf numFmtId="0" fontId="31" fillId="38" borderId="203">
      <alignment horizontal="right" vertical="center"/>
    </xf>
    <xf numFmtId="4" fontId="35" fillId="36" borderId="203">
      <alignment horizontal="right" vertical="center"/>
    </xf>
    <xf numFmtId="0" fontId="31" fillId="36" borderId="203">
      <alignment horizontal="right" vertical="center"/>
    </xf>
    <xf numFmtId="4" fontId="31" fillId="36" borderId="203">
      <alignment horizontal="right" vertical="center"/>
    </xf>
    <xf numFmtId="0" fontId="35" fillId="36" borderId="203">
      <alignment horizontal="right" vertical="center"/>
    </xf>
    <xf numFmtId="4" fontId="35" fillId="36" borderId="203">
      <alignment horizontal="right" vertical="center"/>
    </xf>
    <xf numFmtId="0" fontId="31" fillId="38" borderId="203">
      <alignment horizontal="right" vertical="center"/>
    </xf>
    <xf numFmtId="4" fontId="31" fillId="38" borderId="203">
      <alignment horizontal="right" vertical="center"/>
    </xf>
    <xf numFmtId="0" fontId="31" fillId="38" borderId="203">
      <alignment horizontal="right" vertical="center"/>
    </xf>
    <xf numFmtId="4" fontId="31" fillId="38" borderId="203">
      <alignment horizontal="right" vertical="center"/>
    </xf>
    <xf numFmtId="0" fontId="31" fillId="38" borderId="204">
      <alignment horizontal="right" vertical="center"/>
    </xf>
    <xf numFmtId="4" fontId="31" fillId="38" borderId="204">
      <alignment horizontal="right" vertical="center"/>
    </xf>
    <xf numFmtId="0" fontId="31" fillId="38" borderId="205">
      <alignment horizontal="right" vertical="center"/>
    </xf>
    <xf numFmtId="4" fontId="31" fillId="38" borderId="205">
      <alignment horizontal="right" vertical="center"/>
    </xf>
    <xf numFmtId="0" fontId="44" fillId="59" borderId="200" applyNumberFormat="0" applyAlignment="0" applyProtection="0"/>
    <xf numFmtId="0" fontId="33" fillId="38" borderId="206">
      <alignment horizontal="left" vertical="center" wrapText="1" indent="2"/>
    </xf>
    <xf numFmtId="0" fontId="33" fillId="0" borderId="206">
      <alignment horizontal="left" vertical="center" wrapText="1" indent="2"/>
    </xf>
    <xf numFmtId="0" fontId="33" fillId="36" borderId="204">
      <alignment horizontal="left" vertical="center"/>
    </xf>
    <xf numFmtId="0" fontId="56" fillId="46" borderId="200" applyNumberFormat="0" applyAlignment="0" applyProtection="0"/>
    <xf numFmtId="0" fontId="33" fillId="0" borderId="203">
      <alignment horizontal="right" vertical="center"/>
    </xf>
    <xf numFmtId="4" fontId="33" fillId="0" borderId="203">
      <alignment horizontal="right" vertical="center"/>
    </xf>
    <xf numFmtId="0" fontId="33" fillId="0" borderId="203" applyNumberFormat="0" applyFill="0" applyAlignment="0" applyProtection="0"/>
    <xf numFmtId="0" fontId="60" fillId="59" borderId="207" applyNumberFormat="0" applyAlignment="0" applyProtection="0"/>
    <xf numFmtId="177" fontId="33" fillId="63" borderId="203" applyNumberFormat="0" applyFont="0" applyBorder="0" applyAlignment="0" applyProtection="0">
      <alignment horizontal="right" vertical="center"/>
    </xf>
    <xf numFmtId="0" fontId="33" fillId="37" borderId="203"/>
    <xf numFmtId="4" fontId="33" fillId="37" borderId="203"/>
    <xf numFmtId="0" fontId="63" fillId="0" borderId="201" applyNumberFormat="0" applyFill="0" applyAlignment="0" applyProtection="0"/>
    <xf numFmtId="0" fontId="19" fillId="62" borderId="202" applyNumberFormat="0" applyFont="0" applyAlignment="0" applyProtection="0"/>
    <xf numFmtId="0" fontId="38" fillId="62" borderId="202" applyNumberFormat="0" applyFont="0" applyAlignment="0" applyProtection="0"/>
    <xf numFmtId="0" fontId="33" fillId="0" borderId="203" applyNumberFormat="0" applyFill="0" applyAlignment="0" applyProtection="0"/>
    <xf numFmtId="0" fontId="48" fillId="0" borderId="201" applyNumberFormat="0" applyFill="0" applyAlignment="0" applyProtection="0"/>
    <xf numFmtId="0" fontId="63" fillId="0" borderId="201" applyNumberFormat="0" applyFill="0" applyAlignment="0" applyProtection="0"/>
    <xf numFmtId="0" fontId="47" fillId="46" borderId="200" applyNumberFormat="0" applyAlignment="0" applyProtection="0"/>
    <xf numFmtId="0" fontId="44" fillId="59" borderId="200" applyNumberFormat="0" applyAlignment="0" applyProtection="0"/>
    <xf numFmtId="4" fontId="35" fillId="36" borderId="203">
      <alignment horizontal="right" vertical="center"/>
    </xf>
    <xf numFmtId="0" fontId="31" fillId="36" borderId="203">
      <alignment horizontal="right" vertical="center"/>
    </xf>
    <xf numFmtId="177" fontId="33" fillId="63" borderId="203" applyNumberFormat="0" applyFont="0" applyBorder="0" applyAlignment="0" applyProtection="0">
      <alignment horizontal="right" vertical="center"/>
    </xf>
    <xf numFmtId="0" fontId="48" fillId="0" borderId="201" applyNumberFormat="0" applyFill="0" applyAlignment="0" applyProtection="0"/>
    <xf numFmtId="49" fontId="33" fillId="0" borderId="203" applyNumberFormat="0" applyFont="0" applyFill="0" applyBorder="0" applyProtection="0">
      <alignment horizontal="left" vertical="center" indent="2"/>
    </xf>
    <xf numFmtId="49" fontId="33" fillId="0" borderId="204" applyNumberFormat="0" applyFont="0" applyFill="0" applyBorder="0" applyProtection="0">
      <alignment horizontal="left" vertical="center" indent="5"/>
    </xf>
    <xf numFmtId="49" fontId="33" fillId="0" borderId="203" applyNumberFormat="0" applyFont="0" applyFill="0" applyBorder="0" applyProtection="0">
      <alignment horizontal="left" vertical="center" indent="2"/>
    </xf>
    <xf numFmtId="4" fontId="33" fillId="0" borderId="203" applyFill="0" applyBorder="0" applyProtection="0">
      <alignment horizontal="right" vertical="center"/>
    </xf>
    <xf numFmtId="49" fontId="32" fillId="0" borderId="203" applyNumberFormat="0" applyFill="0" applyBorder="0" applyProtection="0">
      <alignment horizontal="left" vertical="center"/>
    </xf>
    <xf numFmtId="0" fontId="33" fillId="0" borderId="206">
      <alignment horizontal="left" vertical="center" wrapText="1" indent="2"/>
    </xf>
    <xf numFmtId="0" fontId="60" fillId="59" borderId="207" applyNumberFormat="0" applyAlignment="0" applyProtection="0"/>
    <xf numFmtId="0" fontId="31" fillId="38" borderId="205">
      <alignment horizontal="right" vertical="center"/>
    </xf>
    <xf numFmtId="0" fontId="47" fillId="46" borderId="200" applyNumberFormat="0" applyAlignment="0" applyProtection="0"/>
    <xf numFmtId="0" fontId="31" fillId="38" borderId="205">
      <alignment horizontal="right" vertical="center"/>
    </xf>
    <xf numFmtId="4" fontId="31" fillId="38" borderId="203">
      <alignment horizontal="right" vertical="center"/>
    </xf>
    <xf numFmtId="0" fontId="31" fillId="38" borderId="203">
      <alignment horizontal="right" vertical="center"/>
    </xf>
    <xf numFmtId="0" fontId="41" fillId="59" borderId="207" applyNumberFormat="0" applyAlignment="0" applyProtection="0"/>
    <xf numFmtId="0" fontId="43" fillId="59" borderId="200" applyNumberFormat="0" applyAlignment="0" applyProtection="0"/>
    <xf numFmtId="0" fontId="48" fillId="0" borderId="201" applyNumberFormat="0" applyFill="0" applyAlignment="0" applyProtection="0"/>
    <xf numFmtId="0" fontId="33" fillId="37" borderId="203"/>
    <xf numFmtId="4" fontId="33" fillId="37" borderId="203"/>
    <xf numFmtId="4" fontId="31" fillId="38" borderId="203">
      <alignment horizontal="right" vertical="center"/>
    </xf>
    <xf numFmtId="0" fontId="35" fillId="36" borderId="203">
      <alignment horizontal="right" vertical="center"/>
    </xf>
    <xf numFmtId="0" fontId="47" fillId="46" borderId="200" applyNumberFormat="0" applyAlignment="0" applyProtection="0"/>
    <xf numFmtId="0" fontId="44" fillId="59" borderId="200" applyNumberFormat="0" applyAlignment="0" applyProtection="0"/>
    <xf numFmtId="4" fontId="33" fillId="0" borderId="203">
      <alignment horizontal="right" vertical="center"/>
    </xf>
    <xf numFmtId="0" fontId="33" fillId="38" borderId="206">
      <alignment horizontal="left" vertical="center" wrapText="1" indent="2"/>
    </xf>
    <xf numFmtId="0" fontId="33" fillId="0" borderId="206">
      <alignment horizontal="left" vertical="center" wrapText="1" indent="2"/>
    </xf>
    <xf numFmtId="0" fontId="60" fillId="59" borderId="207" applyNumberFormat="0" applyAlignment="0" applyProtection="0"/>
    <xf numFmtId="0" fontId="56" fillId="46" borderId="200" applyNumberFormat="0" applyAlignment="0" applyProtection="0"/>
    <xf numFmtId="0" fontId="43" fillId="59" borderId="200" applyNumberFormat="0" applyAlignment="0" applyProtection="0"/>
    <xf numFmtId="0" fontId="41" fillId="59" borderId="207" applyNumberFormat="0" applyAlignment="0" applyProtection="0"/>
    <xf numFmtId="0" fontId="31" fillId="38" borderId="205">
      <alignment horizontal="right" vertical="center"/>
    </xf>
    <xf numFmtId="0" fontId="35" fillId="36" borderId="203">
      <alignment horizontal="right" vertical="center"/>
    </xf>
    <xf numFmtId="4" fontId="31" fillId="36" borderId="203">
      <alignment horizontal="right" vertical="center"/>
    </xf>
    <xf numFmtId="4" fontId="31" fillId="38" borderId="203">
      <alignment horizontal="right" vertical="center"/>
    </xf>
    <xf numFmtId="49" fontId="33" fillId="0" borderId="204" applyNumberFormat="0" applyFont="0" applyFill="0" applyBorder="0" applyProtection="0">
      <alignment horizontal="left" vertical="center" indent="5"/>
    </xf>
    <xf numFmtId="4" fontId="33" fillId="0" borderId="203" applyFill="0" applyBorder="0" applyProtection="0">
      <alignment horizontal="right" vertical="center"/>
    </xf>
    <xf numFmtId="4" fontId="31" fillId="36" borderId="203">
      <alignment horizontal="right" vertical="center"/>
    </xf>
    <xf numFmtId="0" fontId="56" fillId="46" borderId="200" applyNumberFormat="0" applyAlignment="0" applyProtection="0"/>
    <xf numFmtId="0" fontId="47" fillId="46" borderId="200" applyNumberFormat="0" applyAlignment="0" applyProtection="0"/>
    <xf numFmtId="0" fontId="43" fillId="59" borderId="200" applyNumberFormat="0" applyAlignment="0" applyProtection="0"/>
    <xf numFmtId="0" fontId="33" fillId="38" borderId="206">
      <alignment horizontal="left" vertical="center" wrapText="1" indent="2"/>
    </xf>
    <xf numFmtId="0" fontId="33" fillId="0" borderId="206">
      <alignment horizontal="left" vertical="center" wrapText="1" indent="2"/>
    </xf>
    <xf numFmtId="0" fontId="33" fillId="38" borderId="206">
      <alignment horizontal="left" vertical="center" wrapText="1" indent="2"/>
    </xf>
    <xf numFmtId="4" fontId="31" fillId="36" borderId="212">
      <alignment horizontal="right" vertical="center"/>
    </xf>
    <xf numFmtId="43" fontId="36" fillId="0" borderId="0" applyFont="0" applyFill="0" applyBorder="0" applyAlignment="0" applyProtection="0"/>
    <xf numFmtId="0" fontId="1" fillId="22"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29"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31" fillId="38" borderId="217">
      <alignment horizontal="right" vertical="center"/>
    </xf>
    <xf numFmtId="0" fontId="31" fillId="36" borderId="217">
      <alignment horizontal="right" vertical="center"/>
    </xf>
    <xf numFmtId="4" fontId="31" fillId="38" borderId="212">
      <alignment horizontal="right" vertical="center"/>
    </xf>
    <xf numFmtId="0" fontId="33" fillId="37" borderId="212"/>
    <xf numFmtId="0" fontId="43" fillId="59" borderId="209" applyNumberFormat="0" applyAlignment="0" applyProtection="0"/>
    <xf numFmtId="0" fontId="31" fillId="36" borderId="212">
      <alignment horizontal="right" vertical="center"/>
    </xf>
    <xf numFmtId="0" fontId="33" fillId="0" borderId="212">
      <alignment horizontal="right" vertical="center"/>
    </xf>
    <xf numFmtId="0" fontId="63" fillId="0" borderId="210" applyNumberFormat="0" applyFill="0" applyAlignment="0" applyProtection="0"/>
    <xf numFmtId="0" fontId="33" fillId="36" borderId="213">
      <alignment horizontal="left" vertical="center"/>
    </xf>
    <xf numFmtId="0" fontId="56" fillId="46" borderId="209" applyNumberFormat="0" applyAlignment="0" applyProtection="0"/>
    <xf numFmtId="177" fontId="33" fillId="63" borderId="212" applyNumberFormat="0" applyFont="0" applyBorder="0" applyAlignment="0" applyProtection="0">
      <alignment horizontal="right" vertical="center"/>
    </xf>
    <xf numFmtId="0" fontId="38" fillId="62" borderId="211" applyNumberFormat="0" applyFont="0" applyAlignment="0" applyProtection="0"/>
    <xf numFmtId="0" fontId="33" fillId="0" borderId="215">
      <alignment horizontal="left" vertical="center" wrapText="1" indent="2"/>
    </xf>
    <xf numFmtId="4" fontId="33" fillId="37" borderId="212"/>
    <xf numFmtId="49" fontId="32" fillId="0" borderId="212" applyNumberFormat="0" applyFill="0" applyBorder="0" applyProtection="0">
      <alignment horizontal="left" vertical="center"/>
    </xf>
    <xf numFmtId="0" fontId="33" fillId="0" borderId="212">
      <alignment horizontal="right" vertical="center"/>
    </xf>
    <xf numFmtId="4" fontId="31" fillId="38" borderId="214">
      <alignment horizontal="right" vertical="center"/>
    </xf>
    <xf numFmtId="4" fontId="31" fillId="38" borderId="212">
      <alignment horizontal="right" vertical="center"/>
    </xf>
    <xf numFmtId="4" fontId="31" fillId="38" borderId="212">
      <alignment horizontal="right" vertical="center"/>
    </xf>
    <xf numFmtId="0" fontId="35" fillId="36" borderId="212">
      <alignment horizontal="right" vertical="center"/>
    </xf>
    <xf numFmtId="0" fontId="31" fillId="36" borderId="212">
      <alignment horizontal="right" vertical="center"/>
    </xf>
    <xf numFmtId="49" fontId="33" fillId="0" borderId="212" applyNumberFormat="0" applyFont="0" applyFill="0" applyBorder="0" applyProtection="0">
      <alignment horizontal="left" vertical="center" indent="2"/>
    </xf>
    <xf numFmtId="0" fontId="56" fillId="46" borderId="209" applyNumberFormat="0" applyAlignment="0" applyProtection="0"/>
    <xf numFmtId="0" fontId="41" fillId="59" borderId="208" applyNumberFormat="0" applyAlignment="0" applyProtection="0"/>
    <xf numFmtId="49" fontId="33" fillId="0" borderId="212" applyNumberFormat="0" applyFont="0" applyFill="0" applyBorder="0" applyProtection="0">
      <alignment horizontal="left" vertical="center" indent="2"/>
    </xf>
    <xf numFmtId="0" fontId="47" fillId="46" borderId="209" applyNumberFormat="0" applyAlignment="0" applyProtection="0"/>
    <xf numFmtId="4" fontId="33" fillId="0" borderId="212" applyFill="0" applyBorder="0" applyProtection="0">
      <alignment horizontal="right" vertical="center"/>
    </xf>
    <xf numFmtId="0" fontId="44" fillId="59" borderId="209" applyNumberFormat="0" applyAlignment="0" applyProtection="0"/>
    <xf numFmtId="0" fontId="63" fillId="0" borderId="210" applyNumberFormat="0" applyFill="0" applyAlignment="0" applyProtection="0"/>
    <xf numFmtId="0" fontId="60" fillId="59" borderId="208" applyNumberFormat="0" applyAlignment="0" applyProtection="0"/>
    <xf numFmtId="0" fontId="33" fillId="0" borderId="212" applyNumberFormat="0" applyFill="0" applyAlignment="0" applyProtection="0"/>
    <xf numFmtId="4" fontId="33" fillId="0" borderId="212">
      <alignment horizontal="right" vertical="center"/>
    </xf>
    <xf numFmtId="0" fontId="33" fillId="0" borderId="212">
      <alignment horizontal="right" vertical="center"/>
    </xf>
    <xf numFmtId="0" fontId="56" fillId="46" borderId="209" applyNumberFormat="0" applyAlignment="0" applyProtection="0"/>
    <xf numFmtId="0" fontId="41" fillId="59" borderId="208" applyNumberFormat="0" applyAlignment="0" applyProtection="0"/>
    <xf numFmtId="0" fontId="43" fillId="59" borderId="209" applyNumberFormat="0" applyAlignment="0" applyProtection="0"/>
    <xf numFmtId="0" fontId="33" fillId="38" borderId="215">
      <alignment horizontal="left" vertical="center" wrapText="1" indent="2"/>
    </xf>
    <xf numFmtId="0" fontId="44" fillId="59" borderId="209" applyNumberFormat="0" applyAlignment="0" applyProtection="0"/>
    <xf numFmtId="0" fontId="44" fillId="59" borderId="209" applyNumberFormat="0" applyAlignment="0" applyProtection="0"/>
    <xf numFmtId="4" fontId="31" fillId="38" borderId="213">
      <alignment horizontal="right" vertical="center"/>
    </xf>
    <xf numFmtId="0" fontId="31" fillId="38" borderId="213">
      <alignment horizontal="right" vertical="center"/>
    </xf>
    <xf numFmtId="0" fontId="31" fillId="38" borderId="212">
      <alignment horizontal="right" vertical="center"/>
    </xf>
    <xf numFmtId="4" fontId="35" fillId="36" borderId="212">
      <alignment horizontal="right" vertical="center"/>
    </xf>
    <xf numFmtId="0" fontId="47" fillId="46" borderId="209" applyNumberFormat="0" applyAlignment="0" applyProtection="0"/>
    <xf numFmtId="0" fontId="48" fillId="0" borderId="210" applyNumberFormat="0" applyFill="0" applyAlignment="0" applyProtection="0"/>
    <xf numFmtId="0" fontId="63" fillId="0" borderId="210" applyNumberFormat="0" applyFill="0" applyAlignment="0" applyProtection="0"/>
    <xf numFmtId="0" fontId="38" fillId="62" borderId="211" applyNumberFormat="0" applyFont="0" applyAlignment="0" applyProtection="0"/>
    <xf numFmtId="0" fontId="56" fillId="46" borderId="209" applyNumberFormat="0" applyAlignment="0" applyProtection="0"/>
    <xf numFmtId="49" fontId="32" fillId="0" borderId="212" applyNumberFormat="0" applyFill="0" applyBorder="0" applyProtection="0">
      <alignment horizontal="left" vertical="center"/>
    </xf>
    <xf numFmtId="0" fontId="33" fillId="38" borderId="215">
      <alignment horizontal="left" vertical="center" wrapText="1" indent="2"/>
    </xf>
    <xf numFmtId="0" fontId="44" fillId="59" borderId="209" applyNumberFormat="0" applyAlignment="0" applyProtection="0"/>
    <xf numFmtId="0" fontId="33" fillId="0" borderId="215">
      <alignment horizontal="left" vertical="center" wrapText="1" indent="2"/>
    </xf>
    <xf numFmtId="0" fontId="38" fillId="62" borderId="211" applyNumberFormat="0" applyFont="0" applyAlignment="0" applyProtection="0"/>
    <xf numFmtId="0" fontId="19" fillId="62" borderId="211" applyNumberFormat="0" applyFont="0" applyAlignment="0" applyProtection="0"/>
    <xf numFmtId="0" fontId="60" fillId="59" borderId="208" applyNumberFormat="0" applyAlignment="0" applyProtection="0"/>
    <xf numFmtId="0" fontId="63" fillId="0" borderId="210" applyNumberFormat="0" applyFill="0" applyAlignment="0" applyProtection="0"/>
    <xf numFmtId="4" fontId="33" fillId="37" borderId="212"/>
    <xf numFmtId="0" fontId="31" fillId="38" borderId="212">
      <alignment horizontal="right" vertical="center"/>
    </xf>
    <xf numFmtId="0" fontId="63" fillId="0" borderId="210" applyNumberFormat="0" applyFill="0" applyAlignment="0" applyProtection="0"/>
    <xf numFmtId="4" fontId="31" fillId="38" borderId="214">
      <alignment horizontal="right" vertical="center"/>
    </xf>
    <xf numFmtId="0" fontId="43" fillId="59" borderId="209" applyNumberFormat="0" applyAlignment="0" applyProtection="0"/>
    <xf numFmtId="0" fontId="31" fillId="38" borderId="213">
      <alignment horizontal="right" vertical="center"/>
    </xf>
    <xf numFmtId="0" fontId="44" fillId="59" borderId="209" applyNumberFormat="0" applyAlignment="0" applyProtection="0"/>
    <xf numFmtId="0" fontId="48" fillId="0" borderId="210" applyNumberFormat="0" applyFill="0" applyAlignment="0" applyProtection="0"/>
    <xf numFmtId="0" fontId="38" fillId="62" borderId="211" applyNumberFormat="0" applyFont="0" applyAlignment="0" applyProtection="0"/>
    <xf numFmtId="4" fontId="31" fillId="38" borderId="213">
      <alignment horizontal="right" vertical="center"/>
    </xf>
    <xf numFmtId="0" fontId="33" fillId="38" borderId="215">
      <alignment horizontal="left" vertical="center" wrapText="1" indent="2"/>
    </xf>
    <xf numFmtId="0" fontId="33" fillId="37" borderId="212"/>
    <xf numFmtId="177" fontId="33" fillId="63" borderId="212" applyNumberFormat="0" applyFont="0" applyBorder="0" applyAlignment="0" applyProtection="0">
      <alignment horizontal="right" vertical="center"/>
    </xf>
    <xf numFmtId="0" fontId="33" fillId="0" borderId="212" applyNumberFormat="0" applyFill="0" applyAlignment="0" applyProtection="0"/>
    <xf numFmtId="4" fontId="33" fillId="0" borderId="212" applyFill="0" applyBorder="0" applyProtection="0">
      <alignment horizontal="right" vertical="center"/>
    </xf>
    <xf numFmtId="4" fontId="31" fillId="36" borderId="212">
      <alignment horizontal="right" vertical="center"/>
    </xf>
    <xf numFmtId="0" fontId="48" fillId="0" borderId="210" applyNumberFormat="0" applyFill="0" applyAlignment="0" applyProtection="0"/>
    <xf numFmtId="49" fontId="32" fillId="0" borderId="212" applyNumberFormat="0" applyFill="0" applyBorder="0" applyProtection="0">
      <alignment horizontal="left" vertical="center"/>
    </xf>
    <xf numFmtId="49" fontId="33" fillId="0" borderId="213" applyNumberFormat="0" applyFont="0" applyFill="0" applyBorder="0" applyProtection="0">
      <alignment horizontal="left" vertical="center" indent="5"/>
    </xf>
    <xf numFmtId="0" fontId="33" fillId="36" borderId="213">
      <alignment horizontal="left" vertical="center"/>
    </xf>
    <xf numFmtId="0" fontId="44" fillId="59" borderId="209" applyNumberFormat="0" applyAlignment="0" applyProtection="0"/>
    <xf numFmtId="4" fontId="31" fillId="38" borderId="214">
      <alignment horizontal="right" vertical="center"/>
    </xf>
    <xf numFmtId="0" fontId="56" fillId="46" borderId="209" applyNumberFormat="0" applyAlignment="0" applyProtection="0"/>
    <xf numFmtId="0" fontId="56" fillId="46" borderId="209" applyNumberFormat="0" applyAlignment="0" applyProtection="0"/>
    <xf numFmtId="0" fontId="38" fillId="62" borderId="211" applyNumberFormat="0" applyFont="0" applyAlignment="0" applyProtection="0"/>
    <xf numFmtId="0" fontId="60" fillId="59" borderId="208" applyNumberFormat="0" applyAlignment="0" applyProtection="0"/>
    <xf numFmtId="0" fontId="63" fillId="0" borderId="210" applyNumberFormat="0" applyFill="0" applyAlignment="0" applyProtection="0"/>
    <xf numFmtId="0" fontId="31" fillId="38" borderId="212">
      <alignment horizontal="right" vertical="center"/>
    </xf>
    <xf numFmtId="0" fontId="19" fillId="62" borderId="211" applyNumberFormat="0" applyFont="0" applyAlignment="0" applyProtection="0"/>
    <xf numFmtId="4" fontId="33" fillId="0" borderId="212">
      <alignment horizontal="right" vertical="center"/>
    </xf>
    <xf numFmtId="0" fontId="63" fillId="0" borderId="210" applyNumberFormat="0" applyFill="0" applyAlignment="0" applyProtection="0"/>
    <xf numFmtId="0" fontId="31" fillId="38" borderId="212">
      <alignment horizontal="right" vertical="center"/>
    </xf>
    <xf numFmtId="0" fontId="31" fillId="38" borderId="212">
      <alignment horizontal="right" vertical="center"/>
    </xf>
    <xf numFmtId="4" fontId="35" fillId="36" borderId="212">
      <alignment horizontal="right" vertical="center"/>
    </xf>
    <xf numFmtId="0" fontId="31" fillId="36" borderId="212">
      <alignment horizontal="right" vertical="center"/>
    </xf>
    <xf numFmtId="4" fontId="31" fillId="36" borderId="212">
      <alignment horizontal="right" vertical="center"/>
    </xf>
    <xf numFmtId="0" fontId="35" fillId="36" borderId="212">
      <alignment horizontal="right" vertical="center"/>
    </xf>
    <xf numFmtId="4" fontId="35" fillId="36" borderId="212">
      <alignment horizontal="right" vertical="center"/>
    </xf>
    <xf numFmtId="0" fontId="31" fillId="38" borderId="212">
      <alignment horizontal="right" vertical="center"/>
    </xf>
    <xf numFmtId="4" fontId="31" fillId="38" borderId="212">
      <alignment horizontal="right" vertical="center"/>
    </xf>
    <xf numFmtId="0" fontId="31" fillId="38" borderId="212">
      <alignment horizontal="right" vertical="center"/>
    </xf>
    <xf numFmtId="4" fontId="31" fillId="38" borderId="212">
      <alignment horizontal="right" vertical="center"/>
    </xf>
    <xf numFmtId="0" fontId="31" fillId="38" borderId="213">
      <alignment horizontal="right" vertical="center"/>
    </xf>
    <xf numFmtId="4" fontId="31" fillId="38" borderId="213">
      <alignment horizontal="right" vertical="center"/>
    </xf>
    <xf numFmtId="0" fontId="31" fillId="38" borderId="214">
      <alignment horizontal="right" vertical="center"/>
    </xf>
    <xf numFmtId="4" fontId="31" fillId="38" borderId="214">
      <alignment horizontal="right" vertical="center"/>
    </xf>
    <xf numFmtId="0" fontId="44" fillId="59" borderId="209" applyNumberFormat="0" applyAlignment="0" applyProtection="0"/>
    <xf numFmtId="0" fontId="33" fillId="38" borderId="215">
      <alignment horizontal="left" vertical="center" wrapText="1" indent="2"/>
    </xf>
    <xf numFmtId="0" fontId="33" fillId="0" borderId="215">
      <alignment horizontal="left" vertical="center" wrapText="1" indent="2"/>
    </xf>
    <xf numFmtId="0" fontId="33" fillId="36" borderId="213">
      <alignment horizontal="left" vertical="center"/>
    </xf>
    <xf numFmtId="0" fontId="56" fillId="46" borderId="209" applyNumberFormat="0" applyAlignment="0" applyProtection="0"/>
    <xf numFmtId="0" fontId="33" fillId="0" borderId="212">
      <alignment horizontal="right" vertical="center"/>
    </xf>
    <xf numFmtId="4" fontId="33" fillId="0" borderId="212">
      <alignment horizontal="right" vertical="center"/>
    </xf>
    <xf numFmtId="0" fontId="33" fillId="0" borderId="212" applyNumberFormat="0" applyFill="0" applyAlignment="0" applyProtection="0"/>
    <xf numFmtId="0" fontId="60" fillId="59" borderId="208" applyNumberFormat="0" applyAlignment="0" applyProtection="0"/>
    <xf numFmtId="177" fontId="33" fillId="63" borderId="212" applyNumberFormat="0" applyFont="0" applyBorder="0" applyAlignment="0" applyProtection="0">
      <alignment horizontal="right" vertical="center"/>
    </xf>
    <xf numFmtId="0" fontId="33" fillId="37" borderId="212"/>
    <xf numFmtId="4" fontId="33" fillId="37" borderId="212"/>
    <xf numFmtId="0" fontId="63" fillId="0" borderId="210" applyNumberFormat="0" applyFill="0" applyAlignment="0" applyProtection="0"/>
    <xf numFmtId="0" fontId="19" fillId="62" borderId="211" applyNumberFormat="0" applyFont="0" applyAlignment="0" applyProtection="0"/>
    <xf numFmtId="0" fontId="38" fillId="62" borderId="211" applyNumberFormat="0" applyFont="0" applyAlignment="0" applyProtection="0"/>
    <xf numFmtId="0" fontId="33" fillId="0" borderId="212" applyNumberFormat="0" applyFill="0" applyAlignment="0" applyProtection="0"/>
    <xf numFmtId="0" fontId="48" fillId="0" borderId="210" applyNumberFormat="0" applyFill="0" applyAlignment="0" applyProtection="0"/>
    <xf numFmtId="0" fontId="63" fillId="0" borderId="210" applyNumberFormat="0" applyFill="0" applyAlignment="0" applyProtection="0"/>
    <xf numFmtId="0" fontId="47" fillId="46" borderId="209" applyNumberFormat="0" applyAlignment="0" applyProtection="0"/>
    <xf numFmtId="0" fontId="44" fillId="59" borderId="209" applyNumberFormat="0" applyAlignment="0" applyProtection="0"/>
    <xf numFmtId="4" fontId="35" fillId="36" borderId="212">
      <alignment horizontal="right" vertical="center"/>
    </xf>
    <xf numFmtId="0" fontId="31" fillId="36" borderId="212">
      <alignment horizontal="right" vertical="center"/>
    </xf>
    <xf numFmtId="177" fontId="33" fillId="63" borderId="212" applyNumberFormat="0" applyFont="0" applyBorder="0" applyAlignment="0" applyProtection="0">
      <alignment horizontal="right" vertical="center"/>
    </xf>
    <xf numFmtId="0" fontId="48" fillId="0" borderId="210" applyNumberFormat="0" applyFill="0" applyAlignment="0" applyProtection="0"/>
    <xf numFmtId="49" fontId="33" fillId="0" borderId="212" applyNumberFormat="0" applyFont="0" applyFill="0" applyBorder="0" applyProtection="0">
      <alignment horizontal="left" vertical="center" indent="2"/>
    </xf>
    <xf numFmtId="49" fontId="33" fillId="0" borderId="213" applyNumberFormat="0" applyFont="0" applyFill="0" applyBorder="0" applyProtection="0">
      <alignment horizontal="left" vertical="center" indent="5"/>
    </xf>
    <xf numFmtId="49" fontId="33" fillId="0" borderId="212" applyNumberFormat="0" applyFont="0" applyFill="0" applyBorder="0" applyProtection="0">
      <alignment horizontal="left" vertical="center" indent="2"/>
    </xf>
    <xf numFmtId="4" fontId="33" fillId="0" borderId="212" applyFill="0" applyBorder="0" applyProtection="0">
      <alignment horizontal="right" vertical="center"/>
    </xf>
    <xf numFmtId="49" fontId="32" fillId="0" borderId="212" applyNumberFormat="0" applyFill="0" applyBorder="0" applyProtection="0">
      <alignment horizontal="left" vertical="center"/>
    </xf>
    <xf numFmtId="0" fontId="33" fillId="0" borderId="215">
      <alignment horizontal="left" vertical="center" wrapText="1" indent="2"/>
    </xf>
    <xf numFmtId="0" fontId="60" fillId="59" borderId="208" applyNumberFormat="0" applyAlignment="0" applyProtection="0"/>
    <xf numFmtId="0" fontId="31" fillId="38" borderId="214">
      <alignment horizontal="right" vertical="center"/>
    </xf>
    <xf numFmtId="0" fontId="47" fillId="46" borderId="209" applyNumberFormat="0" applyAlignment="0" applyProtection="0"/>
    <xf numFmtId="0" fontId="31" fillId="38" borderId="214">
      <alignment horizontal="right" vertical="center"/>
    </xf>
    <xf numFmtId="4" fontId="31" fillId="38" borderId="212">
      <alignment horizontal="right" vertical="center"/>
    </xf>
    <xf numFmtId="0" fontId="31" fillId="38" borderId="212">
      <alignment horizontal="right" vertical="center"/>
    </xf>
    <xf numFmtId="0" fontId="41" fillId="59" borderId="208" applyNumberFormat="0" applyAlignment="0" applyProtection="0"/>
    <xf numFmtId="0" fontId="43" fillId="59" borderId="209" applyNumberFormat="0" applyAlignment="0" applyProtection="0"/>
    <xf numFmtId="0" fontId="48" fillId="0" borderId="210" applyNumberFormat="0" applyFill="0" applyAlignment="0" applyProtection="0"/>
    <xf numFmtId="0" fontId="33" fillId="37" borderId="212"/>
    <xf numFmtId="4" fontId="33" fillId="37" borderId="212"/>
    <xf numFmtId="4" fontId="31" fillId="38" borderId="212">
      <alignment horizontal="right" vertical="center"/>
    </xf>
    <xf numFmtId="0" fontId="35" fillId="36" borderId="212">
      <alignment horizontal="right" vertical="center"/>
    </xf>
    <xf numFmtId="0" fontId="47" fillId="46" borderId="209" applyNumberFormat="0" applyAlignment="0" applyProtection="0"/>
    <xf numFmtId="0" fontId="44" fillId="59" borderId="209" applyNumberFormat="0" applyAlignment="0" applyProtection="0"/>
    <xf numFmtId="4" fontId="33" fillId="0" borderId="212">
      <alignment horizontal="right" vertical="center"/>
    </xf>
    <xf numFmtId="0" fontId="33" fillId="38" borderId="215">
      <alignment horizontal="left" vertical="center" wrapText="1" indent="2"/>
    </xf>
    <xf numFmtId="0" fontId="33" fillId="0" borderId="215">
      <alignment horizontal="left" vertical="center" wrapText="1" indent="2"/>
    </xf>
    <xf numFmtId="0" fontId="60" fillId="59" borderId="208" applyNumberFormat="0" applyAlignment="0" applyProtection="0"/>
    <xf numFmtId="0" fontId="56" fillId="46" borderId="209" applyNumberFormat="0" applyAlignment="0" applyProtection="0"/>
    <xf numFmtId="0" fontId="43" fillId="59" borderId="209" applyNumberFormat="0" applyAlignment="0" applyProtection="0"/>
    <xf numFmtId="0" fontId="41" fillId="59" borderId="208" applyNumberFormat="0" applyAlignment="0" applyProtection="0"/>
    <xf numFmtId="0" fontId="31" fillId="38" borderId="214">
      <alignment horizontal="right" vertical="center"/>
    </xf>
    <xf numFmtId="0" fontId="35" fillId="36" borderId="212">
      <alignment horizontal="right" vertical="center"/>
    </xf>
    <xf numFmtId="4" fontId="31" fillId="36" borderId="212">
      <alignment horizontal="right" vertical="center"/>
    </xf>
    <xf numFmtId="4" fontId="31" fillId="38" borderId="212">
      <alignment horizontal="right" vertical="center"/>
    </xf>
    <xf numFmtId="49" fontId="33" fillId="0" borderId="213" applyNumberFormat="0" applyFont="0" applyFill="0" applyBorder="0" applyProtection="0">
      <alignment horizontal="left" vertical="center" indent="5"/>
    </xf>
    <xf numFmtId="4" fontId="33" fillId="0" borderId="212" applyFill="0" applyBorder="0" applyProtection="0">
      <alignment horizontal="right" vertical="center"/>
    </xf>
    <xf numFmtId="4" fontId="31" fillId="36" borderId="212">
      <alignment horizontal="right" vertical="center"/>
    </xf>
    <xf numFmtId="0" fontId="56" fillId="46" borderId="209" applyNumberFormat="0" applyAlignment="0" applyProtection="0"/>
    <xf numFmtId="0" fontId="47" fillId="46" borderId="209" applyNumberFormat="0" applyAlignment="0" applyProtection="0"/>
    <xf numFmtId="0" fontId="43" fillId="59" borderId="209" applyNumberFormat="0" applyAlignment="0" applyProtection="0"/>
    <xf numFmtId="0" fontId="33" fillId="38" borderId="215">
      <alignment horizontal="left" vertical="center" wrapText="1" indent="2"/>
    </xf>
    <xf numFmtId="0" fontId="33" fillId="0" borderId="215">
      <alignment horizontal="left" vertical="center" wrapText="1" indent="2"/>
    </xf>
    <xf numFmtId="0" fontId="33" fillId="38" borderId="215">
      <alignment horizontal="left" vertical="center" wrapText="1" indent="2"/>
    </xf>
    <xf numFmtId="0" fontId="33" fillId="0" borderId="215">
      <alignment horizontal="left" vertical="center" wrapText="1" indent="2"/>
    </xf>
    <xf numFmtId="0" fontId="41" fillId="59" borderId="208" applyNumberFormat="0" applyAlignment="0" applyProtection="0"/>
    <xf numFmtId="0" fontId="43" fillId="59" borderId="209" applyNumberFormat="0" applyAlignment="0" applyProtection="0"/>
    <xf numFmtId="0" fontId="44" fillId="59" borderId="209" applyNumberFormat="0" applyAlignment="0" applyProtection="0"/>
    <xf numFmtId="0" fontId="47" fillId="46" borderId="209" applyNumberFormat="0" applyAlignment="0" applyProtection="0"/>
    <xf numFmtId="0" fontId="48" fillId="0" borderId="210" applyNumberFormat="0" applyFill="0" applyAlignment="0" applyProtection="0"/>
    <xf numFmtId="0" fontId="56" fillId="46" borderId="209" applyNumberFormat="0" applyAlignment="0" applyProtection="0"/>
    <xf numFmtId="0" fontId="38" fillId="62" borderId="211" applyNumberFormat="0" applyFont="0" applyAlignment="0" applyProtection="0"/>
    <xf numFmtId="0" fontId="19" fillId="62" borderId="211" applyNumberFormat="0" applyFont="0" applyAlignment="0" applyProtection="0"/>
    <xf numFmtId="0" fontId="60" fillId="59" borderId="208" applyNumberFormat="0" applyAlignment="0" applyProtection="0"/>
    <xf numFmtId="0" fontId="63" fillId="0" borderId="210" applyNumberFormat="0" applyFill="0" applyAlignment="0" applyProtection="0"/>
    <xf numFmtId="0" fontId="44" fillId="59" borderId="209" applyNumberFormat="0" applyAlignment="0" applyProtection="0"/>
    <xf numFmtId="0" fontId="56" fillId="46" borderId="209" applyNumberFormat="0" applyAlignment="0" applyProtection="0"/>
    <xf numFmtId="0" fontId="38" fillId="62" borderId="211" applyNumberFormat="0" applyFont="0" applyAlignment="0" applyProtection="0"/>
    <xf numFmtId="0" fontId="60" fillId="59" borderId="208" applyNumberFormat="0" applyAlignment="0" applyProtection="0"/>
    <xf numFmtId="0" fontId="63" fillId="0" borderId="210" applyNumberFormat="0" applyFill="0" applyAlignment="0" applyProtection="0"/>
    <xf numFmtId="0" fontId="44" fillId="59" borderId="209" applyNumberFormat="0" applyAlignment="0" applyProtection="0"/>
    <xf numFmtId="4" fontId="35" fillId="36" borderId="217">
      <alignment horizontal="right" vertical="center"/>
    </xf>
    <xf numFmtId="0" fontId="56" fillId="46" borderId="209" applyNumberFormat="0" applyAlignment="0" applyProtection="0"/>
    <xf numFmtId="0" fontId="60" fillId="59" borderId="208" applyNumberFormat="0" applyAlignment="0" applyProtection="0"/>
    <xf numFmtId="0" fontId="63" fillId="0" borderId="210" applyNumberFormat="0" applyFill="0" applyAlignment="0" applyProtection="0"/>
    <xf numFmtId="0" fontId="41" fillId="59" borderId="208" applyNumberFormat="0" applyAlignment="0" applyProtection="0"/>
    <xf numFmtId="0" fontId="43" fillId="59" borderId="209" applyNumberFormat="0" applyAlignment="0" applyProtection="0"/>
    <xf numFmtId="0" fontId="48" fillId="0" borderId="210" applyNumberFormat="0" applyFill="0" applyAlignment="0" applyProtection="0"/>
    <xf numFmtId="49" fontId="33" fillId="0" borderId="212" applyNumberFormat="0" applyFont="0" applyFill="0" applyBorder="0" applyProtection="0">
      <alignment horizontal="left" vertical="center" indent="2"/>
    </xf>
    <xf numFmtId="0" fontId="31" fillId="36" borderId="212">
      <alignment horizontal="right" vertical="center"/>
    </xf>
    <xf numFmtId="4" fontId="31" fillId="36" borderId="212">
      <alignment horizontal="right" vertical="center"/>
    </xf>
    <xf numFmtId="0" fontId="35" fillId="36" borderId="212">
      <alignment horizontal="right" vertical="center"/>
    </xf>
    <xf numFmtId="4" fontId="35" fillId="36" borderId="212">
      <alignment horizontal="right" vertical="center"/>
    </xf>
    <xf numFmtId="0" fontId="31" fillId="38" borderId="212">
      <alignment horizontal="right" vertical="center"/>
    </xf>
    <xf numFmtId="4" fontId="31" fillId="38" borderId="212">
      <alignment horizontal="right" vertical="center"/>
    </xf>
    <xf numFmtId="0" fontId="31" fillId="38" borderId="212">
      <alignment horizontal="right" vertical="center"/>
    </xf>
    <xf numFmtId="4" fontId="31" fillId="38" borderId="212">
      <alignment horizontal="right" vertical="center"/>
    </xf>
    <xf numFmtId="0" fontId="47" fillId="46" borderId="209" applyNumberFormat="0" applyAlignment="0" applyProtection="0"/>
    <xf numFmtId="0" fontId="33" fillId="0" borderId="212">
      <alignment horizontal="right" vertical="center"/>
    </xf>
    <xf numFmtId="4" fontId="33" fillId="0" borderId="212">
      <alignment horizontal="right" vertical="center"/>
    </xf>
    <xf numFmtId="4" fontId="33" fillId="0" borderId="212" applyFill="0" applyBorder="0" applyProtection="0">
      <alignment horizontal="right" vertical="center"/>
    </xf>
    <xf numFmtId="49" fontId="32" fillId="0" borderId="212" applyNumberFormat="0" applyFill="0" applyBorder="0" applyProtection="0">
      <alignment horizontal="left" vertical="center"/>
    </xf>
    <xf numFmtId="0" fontId="33" fillId="0" borderId="212" applyNumberFormat="0" applyFill="0" applyAlignment="0" applyProtection="0"/>
    <xf numFmtId="177" fontId="33" fillId="63" borderId="212" applyNumberFormat="0" applyFont="0" applyBorder="0" applyAlignment="0" applyProtection="0">
      <alignment horizontal="right" vertical="center"/>
    </xf>
    <xf numFmtId="0" fontId="33" fillId="37" borderId="212"/>
    <xf numFmtId="4" fontId="33" fillId="37" borderId="212"/>
    <xf numFmtId="4" fontId="31" fillId="38" borderId="212">
      <alignment horizontal="right" vertical="center"/>
    </xf>
    <xf numFmtId="0" fontId="33" fillId="37" borderId="212"/>
    <xf numFmtId="0" fontId="43" fillId="59" borderId="209" applyNumberFormat="0" applyAlignment="0" applyProtection="0"/>
    <xf numFmtId="0" fontId="31" fillId="36" borderId="212">
      <alignment horizontal="right" vertical="center"/>
    </xf>
    <xf numFmtId="0" fontId="33" fillId="0" borderId="212">
      <alignment horizontal="right" vertical="center"/>
    </xf>
    <xf numFmtId="0" fontId="63" fillId="0" borderId="210" applyNumberFormat="0" applyFill="0" applyAlignment="0" applyProtection="0"/>
    <xf numFmtId="0" fontId="33" fillId="36" borderId="213">
      <alignment horizontal="left" vertical="center"/>
    </xf>
    <xf numFmtId="0" fontId="56" fillId="46" borderId="209" applyNumberFormat="0" applyAlignment="0" applyProtection="0"/>
    <xf numFmtId="177" fontId="33" fillId="63" borderId="212" applyNumberFormat="0" applyFont="0" applyBorder="0" applyAlignment="0" applyProtection="0">
      <alignment horizontal="right" vertical="center"/>
    </xf>
    <xf numFmtId="0" fontId="38" fillId="62" borderId="211" applyNumberFormat="0" applyFont="0" applyAlignment="0" applyProtection="0"/>
    <xf numFmtId="0" fontId="33" fillId="0" borderId="215">
      <alignment horizontal="left" vertical="center" wrapText="1" indent="2"/>
    </xf>
    <xf numFmtId="4" fontId="33" fillId="37" borderId="212"/>
    <xf numFmtId="49" fontId="32" fillId="0" borderId="212" applyNumberFormat="0" applyFill="0" applyBorder="0" applyProtection="0">
      <alignment horizontal="left" vertical="center"/>
    </xf>
    <xf numFmtId="0" fontId="33" fillId="0" borderId="212">
      <alignment horizontal="right" vertical="center"/>
    </xf>
    <xf numFmtId="4" fontId="31" fillId="38" borderId="214">
      <alignment horizontal="right" vertical="center"/>
    </xf>
    <xf numFmtId="4" fontId="31" fillId="38" borderId="212">
      <alignment horizontal="right" vertical="center"/>
    </xf>
    <xf numFmtId="4" fontId="31" fillId="38" borderId="212">
      <alignment horizontal="right" vertical="center"/>
    </xf>
    <xf numFmtId="0" fontId="35" fillId="36" borderId="212">
      <alignment horizontal="right" vertical="center"/>
    </xf>
    <xf numFmtId="0" fontId="31" fillId="36" borderId="212">
      <alignment horizontal="right" vertical="center"/>
    </xf>
    <xf numFmtId="49" fontId="33" fillId="0" borderId="212" applyNumberFormat="0" applyFont="0" applyFill="0" applyBorder="0" applyProtection="0">
      <alignment horizontal="left" vertical="center" indent="2"/>
    </xf>
    <xf numFmtId="0" fontId="56" fillId="46" borderId="209" applyNumberFormat="0" applyAlignment="0" applyProtection="0"/>
    <xf numFmtId="0" fontId="41" fillId="59" borderId="208" applyNumberFormat="0" applyAlignment="0" applyProtection="0"/>
    <xf numFmtId="49" fontId="33" fillId="0" borderId="212" applyNumberFormat="0" applyFont="0" applyFill="0" applyBorder="0" applyProtection="0">
      <alignment horizontal="left" vertical="center" indent="2"/>
    </xf>
    <xf numFmtId="0" fontId="47" fillId="46" borderId="209" applyNumberFormat="0" applyAlignment="0" applyProtection="0"/>
    <xf numFmtId="4" fontId="33" fillId="0" borderId="212" applyFill="0" applyBorder="0" applyProtection="0">
      <alignment horizontal="right" vertical="center"/>
    </xf>
    <xf numFmtId="0" fontId="44" fillId="59" borderId="209" applyNumberFormat="0" applyAlignment="0" applyProtection="0"/>
    <xf numFmtId="0" fontId="63" fillId="0" borderId="210" applyNumberFormat="0" applyFill="0" applyAlignment="0" applyProtection="0"/>
    <xf numFmtId="0" fontId="60" fillId="59" borderId="208" applyNumberFormat="0" applyAlignment="0" applyProtection="0"/>
    <xf numFmtId="0" fontId="33" fillId="0" borderId="212" applyNumberFormat="0" applyFill="0" applyAlignment="0" applyProtection="0"/>
    <xf numFmtId="4" fontId="33" fillId="0" borderId="212">
      <alignment horizontal="right" vertical="center"/>
    </xf>
    <xf numFmtId="0" fontId="33" fillId="0" borderId="212">
      <alignment horizontal="right" vertical="center"/>
    </xf>
    <xf numFmtId="0" fontId="56" fillId="46" borderId="209" applyNumberFormat="0" applyAlignment="0" applyProtection="0"/>
    <xf numFmtId="0" fontId="41" fillId="59" borderId="208" applyNumberFormat="0" applyAlignment="0" applyProtection="0"/>
    <xf numFmtId="0" fontId="43" fillId="59" borderId="209" applyNumberFormat="0" applyAlignment="0" applyProtection="0"/>
    <xf numFmtId="0" fontId="33" fillId="38" borderId="215">
      <alignment horizontal="left" vertical="center" wrapText="1" indent="2"/>
    </xf>
    <xf numFmtId="0" fontId="44" fillId="59" borderId="209" applyNumberFormat="0" applyAlignment="0" applyProtection="0"/>
    <xf numFmtId="0" fontId="44" fillId="59" borderId="209" applyNumberFormat="0" applyAlignment="0" applyProtection="0"/>
    <xf numFmtId="4" fontId="31" fillId="38" borderId="213">
      <alignment horizontal="right" vertical="center"/>
    </xf>
    <xf numFmtId="0" fontId="31" fillId="38" borderId="213">
      <alignment horizontal="right" vertical="center"/>
    </xf>
    <xf numFmtId="0" fontId="31" fillId="38" borderId="212">
      <alignment horizontal="right" vertical="center"/>
    </xf>
    <xf numFmtId="4" fontId="35" fillId="36" borderId="212">
      <alignment horizontal="right" vertical="center"/>
    </xf>
    <xf numFmtId="0" fontId="47" fillId="46" borderId="209" applyNumberFormat="0" applyAlignment="0" applyProtection="0"/>
    <xf numFmtId="0" fontId="48" fillId="0" borderId="210" applyNumberFormat="0" applyFill="0" applyAlignment="0" applyProtection="0"/>
    <xf numFmtId="0" fontId="63" fillId="0" borderId="210" applyNumberFormat="0" applyFill="0" applyAlignment="0" applyProtection="0"/>
    <xf numFmtId="0" fontId="38" fillId="62" borderId="211" applyNumberFormat="0" applyFont="0" applyAlignment="0" applyProtection="0"/>
    <xf numFmtId="0" fontId="56" fillId="46" borderId="209" applyNumberFormat="0" applyAlignment="0" applyProtection="0"/>
    <xf numFmtId="49" fontId="32" fillId="0" borderId="212" applyNumberFormat="0" applyFill="0" applyBorder="0" applyProtection="0">
      <alignment horizontal="left" vertical="center"/>
    </xf>
    <xf numFmtId="0" fontId="33" fillId="38" borderId="215">
      <alignment horizontal="left" vertical="center" wrapText="1" indent="2"/>
    </xf>
    <xf numFmtId="0" fontId="44" fillId="59" borderId="209" applyNumberFormat="0" applyAlignment="0" applyProtection="0"/>
    <xf numFmtId="0" fontId="33" fillId="0" borderId="215">
      <alignment horizontal="left" vertical="center" wrapText="1" indent="2"/>
    </xf>
    <xf numFmtId="0" fontId="38" fillId="62" borderId="211" applyNumberFormat="0" applyFont="0" applyAlignment="0" applyProtection="0"/>
    <xf numFmtId="0" fontId="19" fillId="62" borderId="211" applyNumberFormat="0" applyFont="0" applyAlignment="0" applyProtection="0"/>
    <xf numFmtId="0" fontId="60" fillId="59" borderId="208" applyNumberFormat="0" applyAlignment="0" applyProtection="0"/>
    <xf numFmtId="0" fontId="63" fillId="0" borderId="210" applyNumberFormat="0" applyFill="0" applyAlignment="0" applyProtection="0"/>
    <xf numFmtId="4" fontId="33" fillId="37" borderId="212"/>
    <xf numFmtId="0" fontId="31" fillId="38" borderId="212">
      <alignment horizontal="right" vertical="center"/>
    </xf>
    <xf numFmtId="0" fontId="63" fillId="0" borderId="210" applyNumberFormat="0" applyFill="0" applyAlignment="0" applyProtection="0"/>
    <xf numFmtId="4" fontId="31" fillId="38" borderId="214">
      <alignment horizontal="right" vertical="center"/>
    </xf>
    <xf numFmtId="0" fontId="43" fillId="59" borderId="209" applyNumberFormat="0" applyAlignment="0" applyProtection="0"/>
    <xf numFmtId="0" fontId="31" fillId="38" borderId="213">
      <alignment horizontal="right" vertical="center"/>
    </xf>
    <xf numFmtId="0" fontId="44" fillId="59" borderId="209" applyNumberFormat="0" applyAlignment="0" applyProtection="0"/>
    <xf numFmtId="0" fontId="48" fillId="0" borderId="210" applyNumberFormat="0" applyFill="0" applyAlignment="0" applyProtection="0"/>
    <xf numFmtId="0" fontId="38" fillId="62" borderId="211" applyNumberFormat="0" applyFont="0" applyAlignment="0" applyProtection="0"/>
    <xf numFmtId="4" fontId="31" fillId="38" borderId="213">
      <alignment horizontal="right" vertical="center"/>
    </xf>
    <xf numFmtId="0" fontId="33" fillId="38" borderId="215">
      <alignment horizontal="left" vertical="center" wrapText="1" indent="2"/>
    </xf>
    <xf numFmtId="0" fontId="33" fillId="37" borderId="212"/>
    <xf numFmtId="177" fontId="33" fillId="63" borderId="212" applyNumberFormat="0" applyFont="0" applyBorder="0" applyAlignment="0" applyProtection="0">
      <alignment horizontal="right" vertical="center"/>
    </xf>
    <xf numFmtId="0" fontId="33" fillId="0" borderId="212" applyNumberFormat="0" applyFill="0" applyAlignment="0" applyProtection="0"/>
    <xf numFmtId="4" fontId="33" fillId="0" borderId="212" applyFill="0" applyBorder="0" applyProtection="0">
      <alignment horizontal="right" vertical="center"/>
    </xf>
    <xf numFmtId="4" fontId="31" fillId="36" borderId="212">
      <alignment horizontal="right" vertical="center"/>
    </xf>
    <xf numFmtId="0" fontId="48" fillId="0" borderId="210" applyNumberFormat="0" applyFill="0" applyAlignment="0" applyProtection="0"/>
    <xf numFmtId="49" fontId="32" fillId="0" borderId="212" applyNumberFormat="0" applyFill="0" applyBorder="0" applyProtection="0">
      <alignment horizontal="left" vertical="center"/>
    </xf>
    <xf numFmtId="49" fontId="33" fillId="0" borderId="213" applyNumberFormat="0" applyFont="0" applyFill="0" applyBorder="0" applyProtection="0">
      <alignment horizontal="left" vertical="center" indent="5"/>
    </xf>
    <xf numFmtId="0" fontId="33" fillId="36" borderId="213">
      <alignment horizontal="left" vertical="center"/>
    </xf>
    <xf numFmtId="0" fontId="44" fillId="59" borderId="209" applyNumberFormat="0" applyAlignment="0" applyProtection="0"/>
    <xf numFmtId="4" fontId="31" fillId="38" borderId="214">
      <alignment horizontal="right" vertical="center"/>
    </xf>
    <xf numFmtId="0" fontId="56" fillId="46" borderId="209" applyNumberFormat="0" applyAlignment="0" applyProtection="0"/>
    <xf numFmtId="0" fontId="56" fillId="46" borderId="209" applyNumberFormat="0" applyAlignment="0" applyProtection="0"/>
    <xf numFmtId="0" fontId="38" fillId="62" borderId="211" applyNumberFormat="0" applyFont="0" applyAlignment="0" applyProtection="0"/>
    <xf numFmtId="0" fontId="60" fillId="59" borderId="208" applyNumberFormat="0" applyAlignment="0" applyProtection="0"/>
    <xf numFmtId="0" fontId="63" fillId="0" borderId="210" applyNumberFormat="0" applyFill="0" applyAlignment="0" applyProtection="0"/>
    <xf numFmtId="0" fontId="31" fillId="38" borderId="212">
      <alignment horizontal="right" vertical="center"/>
    </xf>
    <xf numFmtId="0" fontId="19" fillId="62" borderId="211" applyNumberFormat="0" applyFont="0" applyAlignment="0" applyProtection="0"/>
    <xf numFmtId="4" fontId="33" fillId="0" borderId="212">
      <alignment horizontal="right" vertical="center"/>
    </xf>
    <xf numFmtId="0" fontId="63" fillId="0" borderId="210" applyNumberFormat="0" applyFill="0" applyAlignment="0" applyProtection="0"/>
    <xf numFmtId="0" fontId="31" fillId="38" borderId="212">
      <alignment horizontal="right" vertical="center"/>
    </xf>
    <xf numFmtId="0" fontId="31" fillId="38" borderId="212">
      <alignment horizontal="right" vertical="center"/>
    </xf>
    <xf numFmtId="4" fontId="35" fillId="36" borderId="212">
      <alignment horizontal="right" vertical="center"/>
    </xf>
    <xf numFmtId="0" fontId="31" fillId="36" borderId="212">
      <alignment horizontal="right" vertical="center"/>
    </xf>
    <xf numFmtId="4" fontId="31" fillId="36" borderId="212">
      <alignment horizontal="right" vertical="center"/>
    </xf>
    <xf numFmtId="0" fontId="35" fillId="36" borderId="212">
      <alignment horizontal="right" vertical="center"/>
    </xf>
    <xf numFmtId="4" fontId="35" fillId="36" borderId="212">
      <alignment horizontal="right" vertical="center"/>
    </xf>
    <xf numFmtId="0" fontId="31" fillId="38" borderId="212">
      <alignment horizontal="right" vertical="center"/>
    </xf>
    <xf numFmtId="4" fontId="31" fillId="38" borderId="212">
      <alignment horizontal="right" vertical="center"/>
    </xf>
    <xf numFmtId="0" fontId="31" fillId="38" borderId="212">
      <alignment horizontal="right" vertical="center"/>
    </xf>
    <xf numFmtId="4" fontId="31" fillId="38" borderId="212">
      <alignment horizontal="right" vertical="center"/>
    </xf>
    <xf numFmtId="0" fontId="31" fillId="38" borderId="213">
      <alignment horizontal="right" vertical="center"/>
    </xf>
    <xf numFmtId="4" fontId="31" fillId="38" borderId="213">
      <alignment horizontal="right" vertical="center"/>
    </xf>
    <xf numFmtId="0" fontId="31" fillId="38" borderId="214">
      <alignment horizontal="right" vertical="center"/>
    </xf>
    <xf numFmtId="4" fontId="31" fillId="38" borderId="214">
      <alignment horizontal="right" vertical="center"/>
    </xf>
    <xf numFmtId="0" fontId="44" fillId="59" borderId="209" applyNumberFormat="0" applyAlignment="0" applyProtection="0"/>
    <xf numFmtId="0" fontId="33" fillId="38" borderId="215">
      <alignment horizontal="left" vertical="center" wrapText="1" indent="2"/>
    </xf>
    <xf numFmtId="0" fontId="33" fillId="0" borderId="215">
      <alignment horizontal="left" vertical="center" wrapText="1" indent="2"/>
    </xf>
    <xf numFmtId="0" fontId="33" fillId="36" borderId="213">
      <alignment horizontal="left" vertical="center"/>
    </xf>
    <xf numFmtId="0" fontId="56" fillId="46" borderId="209" applyNumberFormat="0" applyAlignment="0" applyProtection="0"/>
    <xf numFmtId="0" fontId="33" fillId="0" borderId="212">
      <alignment horizontal="right" vertical="center"/>
    </xf>
    <xf numFmtId="4" fontId="33" fillId="0" borderId="212">
      <alignment horizontal="right" vertical="center"/>
    </xf>
    <xf numFmtId="0" fontId="33" fillId="0" borderId="212" applyNumberFormat="0" applyFill="0" applyAlignment="0" applyProtection="0"/>
    <xf numFmtId="0" fontId="60" fillId="59" borderId="208" applyNumberFormat="0" applyAlignment="0" applyProtection="0"/>
    <xf numFmtId="177" fontId="33" fillId="63" borderId="212" applyNumberFormat="0" applyFont="0" applyBorder="0" applyAlignment="0" applyProtection="0">
      <alignment horizontal="right" vertical="center"/>
    </xf>
    <xf numFmtId="0" fontId="33" fillId="37" borderId="212"/>
    <xf numFmtId="4" fontId="33" fillId="37" borderId="212"/>
    <xf numFmtId="0" fontId="63" fillId="0" borderId="210" applyNumberFormat="0" applyFill="0" applyAlignment="0" applyProtection="0"/>
    <xf numFmtId="0" fontId="19" fillId="62" borderId="211" applyNumberFormat="0" applyFont="0" applyAlignment="0" applyProtection="0"/>
    <xf numFmtId="0" fontId="38" fillId="62" borderId="211" applyNumberFormat="0" applyFont="0" applyAlignment="0" applyProtection="0"/>
    <xf numFmtId="0" fontId="33" fillId="0" borderId="212" applyNumberFormat="0" applyFill="0" applyAlignment="0" applyProtection="0"/>
    <xf numFmtId="0" fontId="48" fillId="0" borderId="210" applyNumberFormat="0" applyFill="0" applyAlignment="0" applyProtection="0"/>
    <xf numFmtId="0" fontId="63" fillId="0" borderId="210" applyNumberFormat="0" applyFill="0" applyAlignment="0" applyProtection="0"/>
    <xf numFmtId="0" fontId="47" fillId="46" borderId="209" applyNumberFormat="0" applyAlignment="0" applyProtection="0"/>
    <xf numFmtId="0" fontId="44" fillId="59" borderId="209" applyNumberFormat="0" applyAlignment="0" applyProtection="0"/>
    <xf numFmtId="4" fontId="35" fillId="36" borderId="212">
      <alignment horizontal="right" vertical="center"/>
    </xf>
    <xf numFmtId="0" fontId="31" fillId="36" borderId="212">
      <alignment horizontal="right" vertical="center"/>
    </xf>
    <xf numFmtId="177" fontId="33" fillId="63" borderId="212" applyNumberFormat="0" applyFont="0" applyBorder="0" applyAlignment="0" applyProtection="0">
      <alignment horizontal="right" vertical="center"/>
    </xf>
    <xf numFmtId="0" fontId="48" fillId="0" borderId="210" applyNumberFormat="0" applyFill="0" applyAlignment="0" applyProtection="0"/>
    <xf numFmtId="49" fontId="33" fillId="0" borderId="212" applyNumberFormat="0" applyFont="0" applyFill="0" applyBorder="0" applyProtection="0">
      <alignment horizontal="left" vertical="center" indent="2"/>
    </xf>
    <xf numFmtId="49" fontId="33" fillId="0" borderId="213" applyNumberFormat="0" applyFont="0" applyFill="0" applyBorder="0" applyProtection="0">
      <alignment horizontal="left" vertical="center" indent="5"/>
    </xf>
    <xf numFmtId="49" fontId="33" fillId="0" borderId="212" applyNumberFormat="0" applyFont="0" applyFill="0" applyBorder="0" applyProtection="0">
      <alignment horizontal="left" vertical="center" indent="2"/>
    </xf>
    <xf numFmtId="4" fontId="33" fillId="0" borderId="212" applyFill="0" applyBorder="0" applyProtection="0">
      <alignment horizontal="right" vertical="center"/>
    </xf>
    <xf numFmtId="49" fontId="32" fillId="0" borderId="212" applyNumberFormat="0" applyFill="0" applyBorder="0" applyProtection="0">
      <alignment horizontal="left" vertical="center"/>
    </xf>
    <xf numFmtId="0" fontId="33" fillId="0" borderId="215">
      <alignment horizontal="left" vertical="center" wrapText="1" indent="2"/>
    </xf>
    <xf numFmtId="0" fontId="60" fillId="59" borderId="208" applyNumberFormat="0" applyAlignment="0" applyProtection="0"/>
    <xf numFmtId="0" fontId="31" fillId="38" borderId="214">
      <alignment horizontal="right" vertical="center"/>
    </xf>
    <xf numFmtId="0" fontId="47" fillId="46" borderId="209" applyNumberFormat="0" applyAlignment="0" applyProtection="0"/>
    <xf numFmtId="0" fontId="31" fillId="38" borderId="214">
      <alignment horizontal="right" vertical="center"/>
    </xf>
    <xf numFmtId="4" fontId="31" fillId="38" borderId="212">
      <alignment horizontal="right" vertical="center"/>
    </xf>
    <xf numFmtId="0" fontId="31" fillId="38" borderId="212">
      <alignment horizontal="right" vertical="center"/>
    </xf>
    <xf numFmtId="0" fontId="41" fillId="59" borderId="208" applyNumberFormat="0" applyAlignment="0" applyProtection="0"/>
    <xf numFmtId="0" fontId="43" fillId="59" borderId="209" applyNumberFormat="0" applyAlignment="0" applyProtection="0"/>
    <xf numFmtId="0" fontId="48" fillId="0" borderId="210" applyNumberFormat="0" applyFill="0" applyAlignment="0" applyProtection="0"/>
    <xf numFmtId="0" fontId="33" fillId="37" borderId="212"/>
    <xf numFmtId="4" fontId="33" fillId="37" borderId="212"/>
    <xf numFmtId="4" fontId="31" fillId="38" borderId="212">
      <alignment horizontal="right" vertical="center"/>
    </xf>
    <xf numFmtId="0" fontId="35" fillId="36" borderId="212">
      <alignment horizontal="right" vertical="center"/>
    </xf>
    <xf numFmtId="0" fontId="47" fillId="46" borderId="209" applyNumberFormat="0" applyAlignment="0" applyProtection="0"/>
    <xf numFmtId="0" fontId="44" fillId="59" borderId="209" applyNumberFormat="0" applyAlignment="0" applyProtection="0"/>
    <xf numFmtId="4" fontId="33" fillId="0" borderId="212">
      <alignment horizontal="right" vertical="center"/>
    </xf>
    <xf numFmtId="0" fontId="33" fillId="38" borderId="215">
      <alignment horizontal="left" vertical="center" wrapText="1" indent="2"/>
    </xf>
    <xf numFmtId="0" fontId="33" fillId="0" borderId="215">
      <alignment horizontal="left" vertical="center" wrapText="1" indent="2"/>
    </xf>
    <xf numFmtId="0" fontId="60" fillId="59" borderId="208" applyNumberFormat="0" applyAlignment="0" applyProtection="0"/>
    <xf numFmtId="0" fontId="56" fillId="46" borderId="209" applyNumberFormat="0" applyAlignment="0" applyProtection="0"/>
    <xf numFmtId="0" fontId="43" fillId="59" borderId="209" applyNumberFormat="0" applyAlignment="0" applyProtection="0"/>
    <xf numFmtId="0" fontId="41" fillId="59" borderId="208" applyNumberFormat="0" applyAlignment="0" applyProtection="0"/>
    <xf numFmtId="0" fontId="31" fillId="38" borderId="214">
      <alignment horizontal="right" vertical="center"/>
    </xf>
    <xf numFmtId="0" fontId="35" fillId="36" borderId="212">
      <alignment horizontal="right" vertical="center"/>
    </xf>
    <xf numFmtId="4" fontId="31" fillId="36" borderId="212">
      <alignment horizontal="right" vertical="center"/>
    </xf>
    <xf numFmtId="4" fontId="31" fillId="38" borderId="212">
      <alignment horizontal="right" vertical="center"/>
    </xf>
    <xf numFmtId="49" fontId="33" fillId="0" borderId="213" applyNumberFormat="0" applyFont="0" applyFill="0" applyBorder="0" applyProtection="0">
      <alignment horizontal="left" vertical="center" indent="5"/>
    </xf>
    <xf numFmtId="4" fontId="33" fillId="0" borderId="212" applyFill="0" applyBorder="0" applyProtection="0">
      <alignment horizontal="right" vertical="center"/>
    </xf>
    <xf numFmtId="4" fontId="31" fillId="36" borderId="212">
      <alignment horizontal="right" vertical="center"/>
    </xf>
    <xf numFmtId="0" fontId="56" fillId="46" borderId="209" applyNumberFormat="0" applyAlignment="0" applyProtection="0"/>
    <xf numFmtId="0" fontId="47" fillId="46" borderId="209" applyNumberFormat="0" applyAlignment="0" applyProtection="0"/>
    <xf numFmtId="0" fontId="43" fillId="59" borderId="209" applyNumberFormat="0" applyAlignment="0" applyProtection="0"/>
    <xf numFmtId="0" fontId="33" fillId="38" borderId="215">
      <alignment horizontal="left" vertical="center" wrapText="1" indent="2"/>
    </xf>
    <xf numFmtId="0" fontId="33" fillId="0" borderId="215">
      <alignment horizontal="left" vertical="center" wrapText="1" indent="2"/>
    </xf>
    <xf numFmtId="0" fontId="33" fillId="38" borderId="215">
      <alignment horizontal="left" vertical="center" wrapText="1" indent="2"/>
    </xf>
    <xf numFmtId="4" fontId="31" fillId="38" borderId="217">
      <alignment horizontal="right" vertical="center"/>
    </xf>
    <xf numFmtId="0" fontId="33" fillId="37" borderId="217"/>
    <xf numFmtId="0" fontId="43" fillId="59" borderId="222" applyNumberFormat="0" applyAlignment="0" applyProtection="0"/>
    <xf numFmtId="0" fontId="31" fillId="36" borderId="217">
      <alignment horizontal="right" vertical="center"/>
    </xf>
    <xf numFmtId="0" fontId="33" fillId="0" borderId="217">
      <alignment horizontal="right" vertical="center"/>
    </xf>
    <xf numFmtId="0" fontId="63" fillId="0" borderId="223" applyNumberFormat="0" applyFill="0" applyAlignment="0" applyProtection="0"/>
    <xf numFmtId="0" fontId="33" fillId="36" borderId="218">
      <alignment horizontal="left" vertical="center"/>
    </xf>
    <xf numFmtId="0" fontId="56" fillId="46" borderId="222" applyNumberFormat="0" applyAlignment="0" applyProtection="0"/>
    <xf numFmtId="177" fontId="33" fillId="63" borderId="217" applyNumberFormat="0" applyFont="0" applyBorder="0" applyAlignment="0" applyProtection="0">
      <alignment horizontal="right" vertical="center"/>
    </xf>
    <xf numFmtId="0" fontId="38" fillId="62" borderId="216" applyNumberFormat="0" applyFont="0" applyAlignment="0" applyProtection="0"/>
    <xf numFmtId="0" fontId="33" fillId="0" borderId="220">
      <alignment horizontal="left" vertical="center" wrapText="1" indent="2"/>
    </xf>
    <xf numFmtId="4" fontId="33" fillId="37" borderId="217"/>
    <xf numFmtId="49" fontId="32" fillId="0" borderId="217" applyNumberFormat="0" applyFill="0" applyBorder="0" applyProtection="0">
      <alignment horizontal="left" vertical="center"/>
    </xf>
    <xf numFmtId="0" fontId="33" fillId="0" borderId="217">
      <alignment horizontal="right" vertical="center"/>
    </xf>
    <xf numFmtId="4" fontId="31" fillId="38" borderId="219">
      <alignment horizontal="right" vertical="center"/>
    </xf>
    <xf numFmtId="4" fontId="31" fillId="38" borderId="217">
      <alignment horizontal="right" vertical="center"/>
    </xf>
    <xf numFmtId="4" fontId="31" fillId="38" borderId="217">
      <alignment horizontal="right" vertical="center"/>
    </xf>
    <xf numFmtId="0" fontId="35" fillId="36" borderId="217">
      <alignment horizontal="right" vertical="center"/>
    </xf>
    <xf numFmtId="0" fontId="31" fillId="36" borderId="217">
      <alignment horizontal="right" vertical="center"/>
    </xf>
    <xf numFmtId="49" fontId="33" fillId="0" borderId="217" applyNumberFormat="0" applyFont="0" applyFill="0" applyBorder="0" applyProtection="0">
      <alignment horizontal="left" vertical="center" indent="2"/>
    </xf>
    <xf numFmtId="0" fontId="56" fillId="46" borderId="222" applyNumberFormat="0" applyAlignment="0" applyProtection="0"/>
    <xf numFmtId="0" fontId="41" fillId="59" borderId="221" applyNumberFormat="0" applyAlignment="0" applyProtection="0"/>
    <xf numFmtId="49" fontId="33" fillId="0" borderId="217" applyNumberFormat="0" applyFont="0" applyFill="0" applyBorder="0" applyProtection="0">
      <alignment horizontal="left" vertical="center" indent="2"/>
    </xf>
    <xf numFmtId="0" fontId="47" fillId="46" borderId="222" applyNumberFormat="0" applyAlignment="0" applyProtection="0"/>
    <xf numFmtId="4" fontId="33" fillId="0" borderId="217" applyFill="0" applyBorder="0" applyProtection="0">
      <alignment horizontal="right" vertical="center"/>
    </xf>
    <xf numFmtId="0" fontId="44" fillId="59" borderId="222" applyNumberFormat="0" applyAlignment="0" applyProtection="0"/>
    <xf numFmtId="0" fontId="63" fillId="0" borderId="223" applyNumberFormat="0" applyFill="0" applyAlignment="0" applyProtection="0"/>
    <xf numFmtId="0" fontId="60" fillId="59" borderId="221" applyNumberFormat="0" applyAlignment="0" applyProtection="0"/>
    <xf numFmtId="0" fontId="33" fillId="0" borderId="217" applyNumberFormat="0" applyFill="0" applyAlignment="0" applyProtection="0"/>
    <xf numFmtId="4" fontId="33" fillId="0" borderId="217">
      <alignment horizontal="right" vertical="center"/>
    </xf>
    <xf numFmtId="0" fontId="33" fillId="0" borderId="217">
      <alignment horizontal="right" vertical="center"/>
    </xf>
    <xf numFmtId="0" fontId="56" fillId="46" borderId="222" applyNumberFormat="0" applyAlignment="0" applyProtection="0"/>
    <xf numFmtId="0" fontId="41" fillId="59" borderId="221" applyNumberFormat="0" applyAlignment="0" applyProtection="0"/>
    <xf numFmtId="0" fontId="43" fillId="59" borderId="222" applyNumberFormat="0" applyAlignment="0" applyProtection="0"/>
    <xf numFmtId="0" fontId="33" fillId="38" borderId="220">
      <alignment horizontal="left" vertical="center" wrapText="1" indent="2"/>
    </xf>
    <xf numFmtId="0" fontId="44" fillId="59" borderId="222" applyNumberFormat="0" applyAlignment="0" applyProtection="0"/>
    <xf numFmtId="0" fontId="44" fillId="59" borderId="222" applyNumberFormat="0" applyAlignment="0" applyProtection="0"/>
    <xf numFmtId="4" fontId="31" fillId="38" borderId="218">
      <alignment horizontal="right" vertical="center"/>
    </xf>
    <xf numFmtId="0" fontId="31" fillId="38" borderId="218">
      <alignment horizontal="right" vertical="center"/>
    </xf>
    <xf numFmtId="0" fontId="31" fillId="38" borderId="217">
      <alignment horizontal="right" vertical="center"/>
    </xf>
    <xf numFmtId="4" fontId="35" fillId="36" borderId="217">
      <alignment horizontal="right" vertical="center"/>
    </xf>
    <xf numFmtId="0" fontId="47" fillId="46" borderId="222" applyNumberFormat="0" applyAlignment="0" applyProtection="0"/>
    <xf numFmtId="0" fontId="48" fillId="0" borderId="223" applyNumberFormat="0" applyFill="0" applyAlignment="0" applyProtection="0"/>
    <xf numFmtId="0" fontId="63" fillId="0" borderId="223" applyNumberFormat="0" applyFill="0" applyAlignment="0" applyProtection="0"/>
    <xf numFmtId="0" fontId="38" fillId="62" borderId="216" applyNumberFormat="0" applyFont="0" applyAlignment="0" applyProtection="0"/>
    <xf numFmtId="0" fontId="56" fillId="46" borderId="222" applyNumberFormat="0" applyAlignment="0" applyProtection="0"/>
    <xf numFmtId="49" fontId="32" fillId="0" borderId="217" applyNumberFormat="0" applyFill="0" applyBorder="0" applyProtection="0">
      <alignment horizontal="left" vertical="center"/>
    </xf>
    <xf numFmtId="0" fontId="33" fillId="38" borderId="220">
      <alignment horizontal="left" vertical="center" wrapText="1" indent="2"/>
    </xf>
    <xf numFmtId="0" fontId="44" fillId="59" borderId="222" applyNumberFormat="0" applyAlignment="0" applyProtection="0"/>
    <xf numFmtId="0" fontId="33" fillId="0" borderId="220">
      <alignment horizontal="left" vertical="center" wrapText="1" indent="2"/>
    </xf>
    <xf numFmtId="0" fontId="38" fillId="62" borderId="216" applyNumberFormat="0" applyFont="0" applyAlignment="0" applyProtection="0"/>
    <xf numFmtId="0" fontId="19" fillId="62" borderId="216" applyNumberFormat="0" applyFont="0" applyAlignment="0" applyProtection="0"/>
    <xf numFmtId="0" fontId="60" fillId="59" borderId="221" applyNumberFormat="0" applyAlignment="0" applyProtection="0"/>
    <xf numFmtId="0" fontId="63" fillId="0" borderId="223" applyNumberFormat="0" applyFill="0" applyAlignment="0" applyProtection="0"/>
    <xf numFmtId="4" fontId="33" fillId="37" borderId="217"/>
    <xf numFmtId="0" fontId="31" fillId="38" borderId="217">
      <alignment horizontal="right" vertical="center"/>
    </xf>
    <xf numFmtId="0" fontId="63" fillId="0" borderId="223" applyNumberFormat="0" applyFill="0" applyAlignment="0" applyProtection="0"/>
    <xf numFmtId="4" fontId="31" fillId="38" borderId="219">
      <alignment horizontal="right" vertical="center"/>
    </xf>
    <xf numFmtId="0" fontId="43" fillId="59" borderId="222" applyNumberFormat="0" applyAlignment="0" applyProtection="0"/>
    <xf numFmtId="0" fontId="31" fillId="38" borderId="218">
      <alignment horizontal="right" vertical="center"/>
    </xf>
    <xf numFmtId="0" fontId="44" fillId="59" borderId="222" applyNumberFormat="0" applyAlignment="0" applyProtection="0"/>
    <xf numFmtId="0" fontId="48" fillId="0" borderId="223" applyNumberFormat="0" applyFill="0" applyAlignment="0" applyProtection="0"/>
    <xf numFmtId="0" fontId="38" fillId="62" borderId="216" applyNumberFormat="0" applyFont="0" applyAlignment="0" applyProtection="0"/>
    <xf numFmtId="4" fontId="31" fillId="38" borderId="218">
      <alignment horizontal="right" vertical="center"/>
    </xf>
    <xf numFmtId="0" fontId="33" fillId="38" borderId="220">
      <alignment horizontal="left" vertical="center" wrapText="1" indent="2"/>
    </xf>
    <xf numFmtId="0" fontId="33" fillId="37" borderId="217"/>
    <xf numFmtId="177" fontId="33" fillId="63" borderId="217" applyNumberFormat="0" applyFont="0" applyBorder="0" applyAlignment="0" applyProtection="0">
      <alignment horizontal="right" vertical="center"/>
    </xf>
    <xf numFmtId="0" fontId="33" fillId="0" borderId="217" applyNumberFormat="0" applyFill="0" applyAlignment="0" applyProtection="0"/>
    <xf numFmtId="4" fontId="33" fillId="0" borderId="217" applyFill="0" applyBorder="0" applyProtection="0">
      <alignment horizontal="right" vertical="center"/>
    </xf>
    <xf numFmtId="4" fontId="31" fillId="36" borderId="217">
      <alignment horizontal="right" vertical="center"/>
    </xf>
    <xf numFmtId="0" fontId="48" fillId="0" borderId="223" applyNumberFormat="0" applyFill="0" applyAlignment="0" applyProtection="0"/>
    <xf numFmtId="49" fontId="32" fillId="0" borderId="217" applyNumberFormat="0" applyFill="0" applyBorder="0" applyProtection="0">
      <alignment horizontal="left" vertical="center"/>
    </xf>
    <xf numFmtId="49" fontId="33" fillId="0" borderId="218" applyNumberFormat="0" applyFont="0" applyFill="0" applyBorder="0" applyProtection="0">
      <alignment horizontal="left" vertical="center" indent="5"/>
    </xf>
    <xf numFmtId="0" fontId="33" fillId="36" borderId="218">
      <alignment horizontal="left" vertical="center"/>
    </xf>
    <xf numFmtId="0" fontId="44" fillId="59" borderId="222" applyNumberFormat="0" applyAlignment="0" applyProtection="0"/>
    <xf numFmtId="4" fontId="31" fillId="38" borderId="219">
      <alignment horizontal="right" vertical="center"/>
    </xf>
    <xf numFmtId="0" fontId="56" fillId="46" borderId="222" applyNumberFormat="0" applyAlignment="0" applyProtection="0"/>
    <xf numFmtId="0" fontId="56" fillId="46" borderId="222" applyNumberFormat="0" applyAlignment="0" applyProtection="0"/>
    <xf numFmtId="0" fontId="38" fillId="62" borderId="216" applyNumberFormat="0" applyFont="0" applyAlignment="0" applyProtection="0"/>
    <xf numFmtId="0" fontId="60" fillId="59" borderId="221" applyNumberFormat="0" applyAlignment="0" applyProtection="0"/>
    <xf numFmtId="0" fontId="63" fillId="0" borderId="223" applyNumberFormat="0" applyFill="0" applyAlignment="0" applyProtection="0"/>
    <xf numFmtId="0" fontId="31" fillId="38" borderId="217">
      <alignment horizontal="right" vertical="center"/>
    </xf>
    <xf numFmtId="0" fontId="19" fillId="62" borderId="216" applyNumberFormat="0" applyFont="0" applyAlignment="0" applyProtection="0"/>
    <xf numFmtId="4" fontId="33" fillId="0" borderId="217">
      <alignment horizontal="right" vertical="center"/>
    </xf>
    <xf numFmtId="0" fontId="63" fillId="0" borderId="223" applyNumberFormat="0" applyFill="0" applyAlignment="0" applyProtection="0"/>
    <xf numFmtId="0" fontId="31" fillId="38" borderId="217">
      <alignment horizontal="right" vertical="center"/>
    </xf>
    <xf numFmtId="0" fontId="31" fillId="38" borderId="217">
      <alignment horizontal="right" vertical="center"/>
    </xf>
    <xf numFmtId="4" fontId="35" fillId="36" borderId="217">
      <alignment horizontal="right" vertical="center"/>
    </xf>
    <xf numFmtId="0" fontId="31" fillId="36" borderId="217">
      <alignment horizontal="right" vertical="center"/>
    </xf>
    <xf numFmtId="4" fontId="31" fillId="36" borderId="217">
      <alignment horizontal="right" vertical="center"/>
    </xf>
    <xf numFmtId="0" fontId="35" fillId="36" borderId="217">
      <alignment horizontal="right" vertical="center"/>
    </xf>
    <xf numFmtId="4" fontId="35" fillId="36" borderId="217">
      <alignment horizontal="right" vertical="center"/>
    </xf>
    <xf numFmtId="0" fontId="31" fillId="38" borderId="217">
      <alignment horizontal="right" vertical="center"/>
    </xf>
    <xf numFmtId="4" fontId="31" fillId="38" borderId="217">
      <alignment horizontal="right" vertical="center"/>
    </xf>
    <xf numFmtId="0" fontId="31" fillId="38" borderId="217">
      <alignment horizontal="right" vertical="center"/>
    </xf>
    <xf numFmtId="4" fontId="31" fillId="38" borderId="217">
      <alignment horizontal="right" vertical="center"/>
    </xf>
    <xf numFmtId="0" fontId="31" fillId="38" borderId="218">
      <alignment horizontal="right" vertical="center"/>
    </xf>
    <xf numFmtId="4" fontId="31" fillId="38" borderId="218">
      <alignment horizontal="right" vertical="center"/>
    </xf>
    <xf numFmtId="0" fontId="31" fillId="38" borderId="219">
      <alignment horizontal="right" vertical="center"/>
    </xf>
    <xf numFmtId="4" fontId="31" fillId="38" borderId="219">
      <alignment horizontal="right" vertical="center"/>
    </xf>
    <xf numFmtId="0" fontId="44" fillId="59" borderId="222" applyNumberFormat="0" applyAlignment="0" applyProtection="0"/>
    <xf numFmtId="0" fontId="33" fillId="38" borderId="220">
      <alignment horizontal="left" vertical="center" wrapText="1" indent="2"/>
    </xf>
    <xf numFmtId="0" fontId="33" fillId="0" borderId="220">
      <alignment horizontal="left" vertical="center" wrapText="1" indent="2"/>
    </xf>
    <xf numFmtId="0" fontId="33" fillId="36" borderId="218">
      <alignment horizontal="left" vertical="center"/>
    </xf>
    <xf numFmtId="0" fontId="56" fillId="46" borderId="222" applyNumberFormat="0" applyAlignment="0" applyProtection="0"/>
    <xf numFmtId="0" fontId="33" fillId="0" borderId="217">
      <alignment horizontal="right" vertical="center"/>
    </xf>
    <xf numFmtId="4" fontId="33" fillId="0" borderId="217">
      <alignment horizontal="right" vertical="center"/>
    </xf>
    <xf numFmtId="0" fontId="33" fillId="0" borderId="217" applyNumberFormat="0" applyFill="0" applyAlignment="0" applyProtection="0"/>
    <xf numFmtId="0" fontId="60" fillId="59" borderId="221" applyNumberFormat="0" applyAlignment="0" applyProtection="0"/>
    <xf numFmtId="177" fontId="33" fillId="63" borderId="217" applyNumberFormat="0" applyFont="0" applyBorder="0" applyAlignment="0" applyProtection="0">
      <alignment horizontal="right" vertical="center"/>
    </xf>
    <xf numFmtId="0" fontId="33" fillId="37" borderId="217"/>
    <xf numFmtId="4" fontId="33" fillId="37" borderId="217"/>
    <xf numFmtId="0" fontId="63" fillId="0" borderId="223" applyNumberFormat="0" applyFill="0" applyAlignment="0" applyProtection="0"/>
    <xf numFmtId="0" fontId="19" fillId="62" borderId="216" applyNumberFormat="0" applyFont="0" applyAlignment="0" applyProtection="0"/>
    <xf numFmtId="0" fontId="38" fillId="62" borderId="216" applyNumberFormat="0" applyFont="0" applyAlignment="0" applyProtection="0"/>
    <xf numFmtId="0" fontId="33" fillId="0" borderId="217" applyNumberFormat="0" applyFill="0" applyAlignment="0" applyProtection="0"/>
    <xf numFmtId="0" fontId="48" fillId="0" borderId="223" applyNumberFormat="0" applyFill="0" applyAlignment="0" applyProtection="0"/>
    <xf numFmtId="0" fontId="63" fillId="0" borderId="223" applyNumberFormat="0" applyFill="0" applyAlignment="0" applyProtection="0"/>
    <xf numFmtId="0" fontId="47" fillId="46" borderId="222" applyNumberFormat="0" applyAlignment="0" applyProtection="0"/>
    <xf numFmtId="0" fontId="44" fillId="59" borderId="222" applyNumberFormat="0" applyAlignment="0" applyProtection="0"/>
    <xf numFmtId="4" fontId="35" fillId="36" borderId="217">
      <alignment horizontal="right" vertical="center"/>
    </xf>
    <xf numFmtId="0" fontId="31" fillId="36" borderId="217">
      <alignment horizontal="right" vertical="center"/>
    </xf>
    <xf numFmtId="177" fontId="33" fillId="63" borderId="217" applyNumberFormat="0" applyFont="0" applyBorder="0" applyAlignment="0" applyProtection="0">
      <alignment horizontal="right" vertical="center"/>
    </xf>
    <xf numFmtId="0" fontId="48" fillId="0" borderId="223" applyNumberFormat="0" applyFill="0" applyAlignment="0" applyProtection="0"/>
    <xf numFmtId="49" fontId="33" fillId="0" borderId="217" applyNumberFormat="0" applyFont="0" applyFill="0" applyBorder="0" applyProtection="0">
      <alignment horizontal="left" vertical="center" indent="2"/>
    </xf>
    <xf numFmtId="49" fontId="33" fillId="0" borderId="218" applyNumberFormat="0" applyFont="0" applyFill="0" applyBorder="0" applyProtection="0">
      <alignment horizontal="left" vertical="center" indent="5"/>
    </xf>
    <xf numFmtId="49" fontId="33" fillId="0" borderId="217" applyNumberFormat="0" applyFont="0" applyFill="0" applyBorder="0" applyProtection="0">
      <alignment horizontal="left" vertical="center" indent="2"/>
    </xf>
    <xf numFmtId="4" fontId="33" fillId="0" borderId="217" applyFill="0" applyBorder="0" applyProtection="0">
      <alignment horizontal="right" vertical="center"/>
    </xf>
    <xf numFmtId="49" fontId="32" fillId="0" borderId="217" applyNumberFormat="0" applyFill="0" applyBorder="0" applyProtection="0">
      <alignment horizontal="left" vertical="center"/>
    </xf>
    <xf numFmtId="0" fontId="33" fillId="0" borderId="220">
      <alignment horizontal="left" vertical="center" wrapText="1" indent="2"/>
    </xf>
    <xf numFmtId="0" fontId="60" fillId="59" borderId="221" applyNumberFormat="0" applyAlignment="0" applyProtection="0"/>
    <xf numFmtId="0" fontId="31" fillId="38" borderId="219">
      <alignment horizontal="right" vertical="center"/>
    </xf>
    <xf numFmtId="0" fontId="47" fillId="46" borderId="222" applyNumberFormat="0" applyAlignment="0" applyProtection="0"/>
    <xf numFmtId="0" fontId="31" fillId="38" borderId="219">
      <alignment horizontal="right" vertical="center"/>
    </xf>
    <xf numFmtId="4" fontId="31" fillId="38" borderId="217">
      <alignment horizontal="right" vertical="center"/>
    </xf>
    <xf numFmtId="0" fontId="31" fillId="38" borderId="217">
      <alignment horizontal="right" vertical="center"/>
    </xf>
    <xf numFmtId="0" fontId="41" fillId="59" borderId="221" applyNumberFormat="0" applyAlignment="0" applyProtection="0"/>
    <xf numFmtId="0" fontId="43" fillId="59" borderId="222" applyNumberFormat="0" applyAlignment="0" applyProtection="0"/>
    <xf numFmtId="0" fontId="48" fillId="0" borderId="223" applyNumberFormat="0" applyFill="0" applyAlignment="0" applyProtection="0"/>
    <xf numFmtId="0" fontId="33" fillId="37" borderId="217"/>
    <xf numFmtId="4" fontId="33" fillId="37" borderId="217"/>
    <xf numFmtId="4" fontId="31" fillId="38" borderId="217">
      <alignment horizontal="right" vertical="center"/>
    </xf>
    <xf numFmtId="0" fontId="35" fillId="36" borderId="217">
      <alignment horizontal="right" vertical="center"/>
    </xf>
    <xf numFmtId="0" fontId="47" fillId="46" borderId="222" applyNumberFormat="0" applyAlignment="0" applyProtection="0"/>
    <xf numFmtId="0" fontId="44" fillId="59" borderId="222" applyNumberFormat="0" applyAlignment="0" applyProtection="0"/>
    <xf numFmtId="4" fontId="33" fillId="0" borderId="217">
      <alignment horizontal="right" vertical="center"/>
    </xf>
    <xf numFmtId="0" fontId="33" fillId="38" borderId="220">
      <alignment horizontal="left" vertical="center" wrapText="1" indent="2"/>
    </xf>
    <xf numFmtId="0" fontId="33" fillId="0" borderId="220">
      <alignment horizontal="left" vertical="center" wrapText="1" indent="2"/>
    </xf>
    <xf numFmtId="0" fontId="60" fillId="59" borderId="221" applyNumberFormat="0" applyAlignment="0" applyProtection="0"/>
    <xf numFmtId="0" fontId="56" fillId="46" borderId="222" applyNumberFormat="0" applyAlignment="0" applyProtection="0"/>
    <xf numFmtId="0" fontId="43" fillId="59" borderId="222" applyNumberFormat="0" applyAlignment="0" applyProtection="0"/>
    <xf numFmtId="0" fontId="41" fillId="59" borderId="221" applyNumberFormat="0" applyAlignment="0" applyProtection="0"/>
    <xf numFmtId="0" fontId="31" fillId="38" borderId="219">
      <alignment horizontal="right" vertical="center"/>
    </xf>
    <xf numFmtId="0" fontId="35" fillId="36" borderId="217">
      <alignment horizontal="right" vertical="center"/>
    </xf>
    <xf numFmtId="4" fontId="31" fillId="36" borderId="217">
      <alignment horizontal="right" vertical="center"/>
    </xf>
    <xf numFmtId="4" fontId="31" fillId="38" borderId="217">
      <alignment horizontal="right" vertical="center"/>
    </xf>
    <xf numFmtId="49" fontId="33" fillId="0" borderId="218" applyNumberFormat="0" applyFont="0" applyFill="0" applyBorder="0" applyProtection="0">
      <alignment horizontal="left" vertical="center" indent="5"/>
    </xf>
    <xf numFmtId="4" fontId="33" fillId="0" borderId="217" applyFill="0" applyBorder="0" applyProtection="0">
      <alignment horizontal="right" vertical="center"/>
    </xf>
    <xf numFmtId="4" fontId="31" fillId="36" borderId="217">
      <alignment horizontal="right" vertical="center"/>
    </xf>
    <xf numFmtId="0" fontId="56" fillId="46" borderId="222" applyNumberFormat="0" applyAlignment="0" applyProtection="0"/>
    <xf numFmtId="0" fontId="47" fillId="46" borderId="222" applyNumberFormat="0" applyAlignment="0" applyProtection="0"/>
    <xf numFmtId="0" fontId="43" fillId="59" borderId="222" applyNumberFormat="0" applyAlignment="0" applyProtection="0"/>
    <xf numFmtId="0" fontId="33" fillId="38" borderId="220">
      <alignment horizontal="left" vertical="center" wrapText="1" indent="2"/>
    </xf>
    <xf numFmtId="0" fontId="33" fillId="0" borderId="220">
      <alignment horizontal="left" vertical="center" wrapText="1" indent="2"/>
    </xf>
    <xf numFmtId="0" fontId="33" fillId="38" borderId="220">
      <alignment horizontal="left" vertical="center" wrapText="1" indent="2"/>
    </xf>
    <xf numFmtId="0" fontId="33" fillId="0" borderId="220">
      <alignment horizontal="left" vertical="center" wrapText="1" indent="2"/>
    </xf>
    <xf numFmtId="0" fontId="41" fillId="59" borderId="221" applyNumberFormat="0" applyAlignment="0" applyProtection="0"/>
    <xf numFmtId="0" fontId="43" fillId="59" borderId="222" applyNumberFormat="0" applyAlignment="0" applyProtection="0"/>
    <xf numFmtId="0" fontId="44" fillId="59" borderId="222" applyNumberFormat="0" applyAlignment="0" applyProtection="0"/>
    <xf numFmtId="0" fontId="47" fillId="46" borderId="222" applyNumberFormat="0" applyAlignment="0" applyProtection="0"/>
    <xf numFmtId="0" fontId="48" fillId="0" borderId="223" applyNumberFormat="0" applyFill="0" applyAlignment="0" applyProtection="0"/>
    <xf numFmtId="0" fontId="56" fillId="46" borderId="222" applyNumberFormat="0" applyAlignment="0" applyProtection="0"/>
    <xf numFmtId="0" fontId="38" fillId="62" borderId="216" applyNumberFormat="0" applyFont="0" applyAlignment="0" applyProtection="0"/>
    <xf numFmtId="0" fontId="19" fillId="62" borderId="216" applyNumberFormat="0" applyFont="0" applyAlignment="0" applyProtection="0"/>
    <xf numFmtId="0" fontId="60" fillId="59" borderId="221" applyNumberFormat="0" applyAlignment="0" applyProtection="0"/>
    <xf numFmtId="0" fontId="63" fillId="0" borderId="223" applyNumberFormat="0" applyFill="0" applyAlignment="0" applyProtection="0"/>
    <xf numFmtId="0" fontId="44" fillId="59" borderId="222" applyNumberFormat="0" applyAlignment="0" applyProtection="0"/>
    <xf numFmtId="0" fontId="56" fillId="46" borderId="222" applyNumberFormat="0" applyAlignment="0" applyProtection="0"/>
    <xf numFmtId="0" fontId="38" fillId="62" borderId="216" applyNumberFormat="0" applyFont="0" applyAlignment="0" applyProtection="0"/>
    <xf numFmtId="0" fontId="60" fillId="59" borderId="221" applyNumberFormat="0" applyAlignment="0" applyProtection="0"/>
    <xf numFmtId="0" fontId="63" fillId="0" borderId="223" applyNumberFormat="0" applyFill="0" applyAlignment="0" applyProtection="0"/>
    <xf numFmtId="0" fontId="44" fillId="59" borderId="222" applyNumberFormat="0" applyAlignment="0" applyProtection="0"/>
    <xf numFmtId="0" fontId="56" fillId="46" borderId="222" applyNumberFormat="0" applyAlignment="0" applyProtection="0"/>
    <xf numFmtId="0" fontId="60" fillId="59" borderId="221" applyNumberFormat="0" applyAlignment="0" applyProtection="0"/>
    <xf numFmtId="0" fontId="63" fillId="0" borderId="223" applyNumberFormat="0" applyFill="0" applyAlignment="0" applyProtection="0"/>
    <xf numFmtId="0" fontId="41" fillId="59" borderId="221" applyNumberFormat="0" applyAlignment="0" applyProtection="0"/>
    <xf numFmtId="0" fontId="43" fillId="59" borderId="222" applyNumberFormat="0" applyAlignment="0" applyProtection="0"/>
    <xf numFmtId="0" fontId="48" fillId="0" borderId="223" applyNumberFormat="0" applyFill="0" applyAlignment="0" applyProtection="0"/>
    <xf numFmtId="49" fontId="33" fillId="0" borderId="217" applyNumberFormat="0" applyFont="0" applyFill="0" applyBorder="0" applyProtection="0">
      <alignment horizontal="left" vertical="center" indent="2"/>
    </xf>
    <xf numFmtId="0" fontId="31" fillId="36" borderId="217">
      <alignment horizontal="right" vertical="center"/>
    </xf>
    <xf numFmtId="4" fontId="31" fillId="36" borderId="217">
      <alignment horizontal="right" vertical="center"/>
    </xf>
    <xf numFmtId="0" fontId="35" fillId="36" borderId="217">
      <alignment horizontal="right" vertical="center"/>
    </xf>
    <xf numFmtId="4" fontId="35" fillId="36" borderId="217">
      <alignment horizontal="right" vertical="center"/>
    </xf>
    <xf numFmtId="0" fontId="31" fillId="38" borderId="217">
      <alignment horizontal="right" vertical="center"/>
    </xf>
    <xf numFmtId="4" fontId="31" fillId="38" borderId="217">
      <alignment horizontal="right" vertical="center"/>
    </xf>
    <xf numFmtId="0" fontId="31" fillId="38" borderId="217">
      <alignment horizontal="right" vertical="center"/>
    </xf>
    <xf numFmtId="4" fontId="31" fillId="38" borderId="217">
      <alignment horizontal="right" vertical="center"/>
    </xf>
    <xf numFmtId="0" fontId="47" fillId="46" borderId="222" applyNumberFormat="0" applyAlignment="0" applyProtection="0"/>
    <xf numFmtId="0" fontId="33" fillId="0" borderId="217">
      <alignment horizontal="right" vertical="center"/>
    </xf>
    <xf numFmtId="4" fontId="33" fillId="0" borderId="217">
      <alignment horizontal="right" vertical="center"/>
    </xf>
    <xf numFmtId="4" fontId="33" fillId="0" borderId="217" applyFill="0" applyBorder="0" applyProtection="0">
      <alignment horizontal="right" vertical="center"/>
    </xf>
    <xf numFmtId="49" fontId="32" fillId="0" borderId="217" applyNumberFormat="0" applyFill="0" applyBorder="0" applyProtection="0">
      <alignment horizontal="left" vertical="center"/>
    </xf>
    <xf numFmtId="0" fontId="33" fillId="0" borderId="217" applyNumberFormat="0" applyFill="0" applyAlignment="0" applyProtection="0"/>
    <xf numFmtId="177" fontId="33" fillId="63" borderId="217" applyNumberFormat="0" applyFont="0" applyBorder="0" applyAlignment="0" applyProtection="0">
      <alignment horizontal="right" vertical="center"/>
    </xf>
    <xf numFmtId="0" fontId="33" fillId="37" borderId="217"/>
    <xf numFmtId="4" fontId="33" fillId="37" borderId="217"/>
    <xf numFmtId="4" fontId="31" fillId="38" borderId="217">
      <alignment horizontal="right" vertical="center"/>
    </xf>
    <xf numFmtId="0" fontId="33" fillId="37" borderId="217"/>
    <xf numFmtId="0" fontId="43" fillId="59" borderId="222" applyNumberFormat="0" applyAlignment="0" applyProtection="0"/>
    <xf numFmtId="0" fontId="31" fillId="36" borderId="217">
      <alignment horizontal="right" vertical="center"/>
    </xf>
    <xf numFmtId="0" fontId="33" fillId="0" borderId="217">
      <alignment horizontal="right" vertical="center"/>
    </xf>
    <xf numFmtId="0" fontId="63" fillId="0" borderId="223" applyNumberFormat="0" applyFill="0" applyAlignment="0" applyProtection="0"/>
    <xf numFmtId="0" fontId="33" fillId="36" borderId="218">
      <alignment horizontal="left" vertical="center"/>
    </xf>
    <xf numFmtId="0" fontId="56" fillId="46" borderId="222" applyNumberFormat="0" applyAlignment="0" applyProtection="0"/>
    <xf numFmtId="177" fontId="33" fillId="63" borderId="217" applyNumberFormat="0" applyFont="0" applyBorder="0" applyAlignment="0" applyProtection="0">
      <alignment horizontal="right" vertical="center"/>
    </xf>
    <xf numFmtId="0" fontId="38" fillId="62" borderId="216" applyNumberFormat="0" applyFont="0" applyAlignment="0" applyProtection="0"/>
    <xf numFmtId="0" fontId="33" fillId="0" borderId="220">
      <alignment horizontal="left" vertical="center" wrapText="1" indent="2"/>
    </xf>
    <xf numFmtId="4" fontId="33" fillId="37" borderId="217"/>
    <xf numFmtId="49" fontId="32" fillId="0" borderId="217" applyNumberFormat="0" applyFill="0" applyBorder="0" applyProtection="0">
      <alignment horizontal="left" vertical="center"/>
    </xf>
    <xf numFmtId="0" fontId="33" fillId="0" borderId="217">
      <alignment horizontal="right" vertical="center"/>
    </xf>
    <xf numFmtId="4" fontId="31" fillId="38" borderId="219">
      <alignment horizontal="right" vertical="center"/>
    </xf>
    <xf numFmtId="4" fontId="31" fillId="38" borderId="217">
      <alignment horizontal="right" vertical="center"/>
    </xf>
    <xf numFmtId="4" fontId="31" fillId="38" borderId="217">
      <alignment horizontal="right" vertical="center"/>
    </xf>
    <xf numFmtId="0" fontId="35" fillId="36" borderId="217">
      <alignment horizontal="right" vertical="center"/>
    </xf>
    <xf numFmtId="0" fontId="31" fillId="36" borderId="217">
      <alignment horizontal="right" vertical="center"/>
    </xf>
    <xf numFmtId="49" fontId="33" fillId="0" borderId="217" applyNumberFormat="0" applyFont="0" applyFill="0" applyBorder="0" applyProtection="0">
      <alignment horizontal="left" vertical="center" indent="2"/>
    </xf>
    <xf numFmtId="0" fontId="56" fillId="46" borderId="222" applyNumberFormat="0" applyAlignment="0" applyProtection="0"/>
    <xf numFmtId="0" fontId="41" fillId="59" borderId="221" applyNumberFormat="0" applyAlignment="0" applyProtection="0"/>
    <xf numFmtId="49" fontId="33" fillId="0" borderId="217" applyNumberFormat="0" applyFont="0" applyFill="0" applyBorder="0" applyProtection="0">
      <alignment horizontal="left" vertical="center" indent="2"/>
    </xf>
    <xf numFmtId="0" fontId="47" fillId="46" borderId="222" applyNumberFormat="0" applyAlignment="0" applyProtection="0"/>
    <xf numFmtId="4" fontId="33" fillId="0" borderId="217" applyFill="0" applyBorder="0" applyProtection="0">
      <alignment horizontal="right" vertical="center"/>
    </xf>
    <xf numFmtId="0" fontId="44" fillId="59" borderId="222" applyNumberFormat="0" applyAlignment="0" applyProtection="0"/>
    <xf numFmtId="0" fontId="63" fillId="0" borderId="223" applyNumberFormat="0" applyFill="0" applyAlignment="0" applyProtection="0"/>
    <xf numFmtId="0" fontId="60" fillId="59" borderId="221" applyNumberFormat="0" applyAlignment="0" applyProtection="0"/>
    <xf numFmtId="0" fontId="33" fillId="0" borderId="217" applyNumberFormat="0" applyFill="0" applyAlignment="0" applyProtection="0"/>
    <xf numFmtId="4" fontId="33" fillId="0" borderId="217">
      <alignment horizontal="right" vertical="center"/>
    </xf>
    <xf numFmtId="0" fontId="33" fillId="0" borderId="217">
      <alignment horizontal="right" vertical="center"/>
    </xf>
    <xf numFmtId="0" fontId="56" fillId="46" borderId="222" applyNumberFormat="0" applyAlignment="0" applyProtection="0"/>
    <xf numFmtId="0" fontId="41" fillId="59" borderId="221" applyNumberFormat="0" applyAlignment="0" applyProtection="0"/>
    <xf numFmtId="0" fontId="43" fillId="59" borderId="222" applyNumberFormat="0" applyAlignment="0" applyProtection="0"/>
    <xf numFmtId="0" fontId="33" fillId="38" borderId="220">
      <alignment horizontal="left" vertical="center" wrapText="1" indent="2"/>
    </xf>
    <xf numFmtId="0" fontId="44" fillId="59" borderId="222" applyNumberFormat="0" applyAlignment="0" applyProtection="0"/>
    <xf numFmtId="0" fontId="44" fillId="59" borderId="222" applyNumberFormat="0" applyAlignment="0" applyProtection="0"/>
    <xf numFmtId="4" fontId="31" fillId="38" borderId="218">
      <alignment horizontal="right" vertical="center"/>
    </xf>
    <xf numFmtId="0" fontId="31" fillId="38" borderId="218">
      <alignment horizontal="right" vertical="center"/>
    </xf>
    <xf numFmtId="0" fontId="31" fillId="38" borderId="217">
      <alignment horizontal="right" vertical="center"/>
    </xf>
    <xf numFmtId="4" fontId="35" fillId="36" borderId="217">
      <alignment horizontal="right" vertical="center"/>
    </xf>
    <xf numFmtId="0" fontId="47" fillId="46" borderId="222" applyNumberFormat="0" applyAlignment="0" applyProtection="0"/>
    <xf numFmtId="0" fontId="48" fillId="0" borderId="223" applyNumberFormat="0" applyFill="0" applyAlignment="0" applyProtection="0"/>
    <xf numFmtId="0" fontId="63" fillId="0" borderId="223" applyNumberFormat="0" applyFill="0" applyAlignment="0" applyProtection="0"/>
    <xf numFmtId="0" fontId="38" fillId="62" borderId="216" applyNumberFormat="0" applyFont="0" applyAlignment="0" applyProtection="0"/>
    <xf numFmtId="0" fontId="56" fillId="46" borderId="222" applyNumberFormat="0" applyAlignment="0" applyProtection="0"/>
    <xf numFmtId="49" fontId="32" fillId="0" borderId="217" applyNumberFormat="0" applyFill="0" applyBorder="0" applyProtection="0">
      <alignment horizontal="left" vertical="center"/>
    </xf>
    <xf numFmtId="0" fontId="33" fillId="38" borderId="220">
      <alignment horizontal="left" vertical="center" wrapText="1" indent="2"/>
    </xf>
    <xf numFmtId="0" fontId="44" fillId="59" borderId="222" applyNumberFormat="0" applyAlignment="0" applyProtection="0"/>
    <xf numFmtId="0" fontId="33" fillId="0" borderId="220">
      <alignment horizontal="left" vertical="center" wrapText="1" indent="2"/>
    </xf>
    <xf numFmtId="0" fontId="38" fillId="62" borderId="216" applyNumberFormat="0" applyFont="0" applyAlignment="0" applyProtection="0"/>
    <xf numFmtId="0" fontId="19" fillId="62" borderId="216" applyNumberFormat="0" applyFont="0" applyAlignment="0" applyProtection="0"/>
    <xf numFmtId="0" fontId="60" fillId="59" borderId="221" applyNumberFormat="0" applyAlignment="0" applyProtection="0"/>
    <xf numFmtId="0" fontId="63" fillId="0" borderId="223" applyNumberFormat="0" applyFill="0" applyAlignment="0" applyProtection="0"/>
    <xf numFmtId="4" fontId="33" fillId="37" borderId="217"/>
    <xf numFmtId="0" fontId="31" fillId="38" borderId="217">
      <alignment horizontal="right" vertical="center"/>
    </xf>
    <xf numFmtId="0" fontId="63" fillId="0" borderId="223" applyNumberFormat="0" applyFill="0" applyAlignment="0" applyProtection="0"/>
    <xf numFmtId="4" fontId="31" fillId="38" borderId="219">
      <alignment horizontal="right" vertical="center"/>
    </xf>
    <xf numFmtId="0" fontId="43" fillId="59" borderId="222" applyNumberFormat="0" applyAlignment="0" applyProtection="0"/>
    <xf numFmtId="0" fontId="31" fillId="38" borderId="218">
      <alignment horizontal="right" vertical="center"/>
    </xf>
    <xf numFmtId="0" fontId="44" fillId="59" borderId="222" applyNumberFormat="0" applyAlignment="0" applyProtection="0"/>
    <xf numFmtId="0" fontId="48" fillId="0" borderId="223" applyNumberFormat="0" applyFill="0" applyAlignment="0" applyProtection="0"/>
    <xf numFmtId="0" fontId="38" fillId="62" borderId="216" applyNumberFormat="0" applyFont="0" applyAlignment="0" applyProtection="0"/>
    <xf numFmtId="4" fontId="31" fillId="38" borderId="218">
      <alignment horizontal="right" vertical="center"/>
    </xf>
    <xf numFmtId="0" fontId="33" fillId="38" borderId="220">
      <alignment horizontal="left" vertical="center" wrapText="1" indent="2"/>
    </xf>
    <xf numFmtId="0" fontId="33" fillId="37" borderId="217"/>
    <xf numFmtId="177" fontId="33" fillId="63" borderId="217" applyNumberFormat="0" applyFont="0" applyBorder="0" applyAlignment="0" applyProtection="0">
      <alignment horizontal="right" vertical="center"/>
    </xf>
    <xf numFmtId="0" fontId="33" fillId="0" borderId="217" applyNumberFormat="0" applyFill="0" applyAlignment="0" applyProtection="0"/>
    <xf numFmtId="4" fontId="33" fillId="0" borderId="217" applyFill="0" applyBorder="0" applyProtection="0">
      <alignment horizontal="right" vertical="center"/>
    </xf>
    <xf numFmtId="4" fontId="31" fillId="36" borderId="217">
      <alignment horizontal="right" vertical="center"/>
    </xf>
    <xf numFmtId="0" fontId="48" fillId="0" borderId="223" applyNumberFormat="0" applyFill="0" applyAlignment="0" applyProtection="0"/>
    <xf numFmtId="49" fontId="32" fillId="0" borderId="217" applyNumberFormat="0" applyFill="0" applyBorder="0" applyProtection="0">
      <alignment horizontal="left" vertical="center"/>
    </xf>
    <xf numFmtId="49" fontId="33" fillId="0" borderId="218" applyNumberFormat="0" applyFont="0" applyFill="0" applyBorder="0" applyProtection="0">
      <alignment horizontal="left" vertical="center" indent="5"/>
    </xf>
    <xf numFmtId="0" fontId="33" fillId="36" borderId="218">
      <alignment horizontal="left" vertical="center"/>
    </xf>
    <xf numFmtId="0" fontId="44" fillId="59" borderId="222" applyNumberFormat="0" applyAlignment="0" applyProtection="0"/>
    <xf numFmtId="4" fontId="31" fillId="38" borderId="219">
      <alignment horizontal="right" vertical="center"/>
    </xf>
    <xf numFmtId="0" fontId="56" fillId="46" borderId="222" applyNumberFormat="0" applyAlignment="0" applyProtection="0"/>
    <xf numFmtId="0" fontId="56" fillId="46" borderId="222" applyNumberFormat="0" applyAlignment="0" applyProtection="0"/>
    <xf numFmtId="0" fontId="38" fillId="62" borderId="216" applyNumberFormat="0" applyFont="0" applyAlignment="0" applyProtection="0"/>
    <xf numFmtId="0" fontId="60" fillId="59" borderId="221" applyNumberFormat="0" applyAlignment="0" applyProtection="0"/>
    <xf numFmtId="0" fontId="63" fillId="0" borderId="223" applyNumberFormat="0" applyFill="0" applyAlignment="0" applyProtection="0"/>
    <xf numFmtId="0" fontId="31" fillId="38" borderId="217">
      <alignment horizontal="right" vertical="center"/>
    </xf>
    <xf numFmtId="0" fontId="19" fillId="62" borderId="216" applyNumberFormat="0" applyFont="0" applyAlignment="0" applyProtection="0"/>
    <xf numFmtId="4" fontId="33" fillId="0" borderId="217">
      <alignment horizontal="right" vertical="center"/>
    </xf>
    <xf numFmtId="0" fontId="63" fillId="0" borderId="223" applyNumberFormat="0" applyFill="0" applyAlignment="0" applyProtection="0"/>
    <xf numFmtId="0" fontId="31" fillId="38" borderId="217">
      <alignment horizontal="right" vertical="center"/>
    </xf>
    <xf numFmtId="0" fontId="31" fillId="38" borderId="217">
      <alignment horizontal="right" vertical="center"/>
    </xf>
    <xf numFmtId="4" fontId="35" fillId="36" borderId="217">
      <alignment horizontal="right" vertical="center"/>
    </xf>
    <xf numFmtId="0" fontId="31" fillId="36" borderId="217">
      <alignment horizontal="right" vertical="center"/>
    </xf>
    <xf numFmtId="4" fontId="31" fillId="36" borderId="217">
      <alignment horizontal="right" vertical="center"/>
    </xf>
    <xf numFmtId="0" fontId="35" fillId="36" borderId="217">
      <alignment horizontal="right" vertical="center"/>
    </xf>
    <xf numFmtId="4" fontId="35" fillId="36" borderId="217">
      <alignment horizontal="right" vertical="center"/>
    </xf>
    <xf numFmtId="0" fontId="31" fillId="38" borderId="217">
      <alignment horizontal="right" vertical="center"/>
    </xf>
    <xf numFmtId="4" fontId="31" fillId="38" borderId="217">
      <alignment horizontal="right" vertical="center"/>
    </xf>
    <xf numFmtId="0" fontId="31" fillId="38" borderId="217">
      <alignment horizontal="right" vertical="center"/>
    </xf>
    <xf numFmtId="4" fontId="31" fillId="38" borderId="217">
      <alignment horizontal="right" vertical="center"/>
    </xf>
    <xf numFmtId="0" fontId="31" fillId="38" borderId="218">
      <alignment horizontal="right" vertical="center"/>
    </xf>
    <xf numFmtId="4" fontId="31" fillId="38" borderId="218">
      <alignment horizontal="right" vertical="center"/>
    </xf>
    <xf numFmtId="0" fontId="31" fillId="38" borderId="219">
      <alignment horizontal="right" vertical="center"/>
    </xf>
    <xf numFmtId="4" fontId="31" fillId="38" borderId="219">
      <alignment horizontal="right" vertical="center"/>
    </xf>
    <xf numFmtId="0" fontId="44" fillId="59" borderId="222" applyNumberFormat="0" applyAlignment="0" applyProtection="0"/>
    <xf numFmtId="0" fontId="33" fillId="38" borderId="220">
      <alignment horizontal="left" vertical="center" wrapText="1" indent="2"/>
    </xf>
    <xf numFmtId="0" fontId="33" fillId="0" borderId="220">
      <alignment horizontal="left" vertical="center" wrapText="1" indent="2"/>
    </xf>
    <xf numFmtId="0" fontId="33" fillId="36" borderId="218">
      <alignment horizontal="left" vertical="center"/>
    </xf>
    <xf numFmtId="0" fontId="56" fillId="46" borderId="222" applyNumberFormat="0" applyAlignment="0" applyProtection="0"/>
    <xf numFmtId="0" fontId="33" fillId="0" borderId="217">
      <alignment horizontal="right" vertical="center"/>
    </xf>
    <xf numFmtId="4" fontId="33" fillId="0" borderId="217">
      <alignment horizontal="right" vertical="center"/>
    </xf>
    <xf numFmtId="0" fontId="33" fillId="0" borderId="217" applyNumberFormat="0" applyFill="0" applyAlignment="0" applyProtection="0"/>
    <xf numFmtId="0" fontId="60" fillId="59" borderId="221" applyNumberFormat="0" applyAlignment="0" applyProtection="0"/>
    <xf numFmtId="177" fontId="33" fillId="63" borderId="217" applyNumberFormat="0" applyFont="0" applyBorder="0" applyAlignment="0" applyProtection="0">
      <alignment horizontal="right" vertical="center"/>
    </xf>
    <xf numFmtId="0" fontId="33" fillId="37" borderId="217"/>
    <xf numFmtId="4" fontId="33" fillId="37" borderId="217"/>
    <xf numFmtId="0" fontId="63" fillId="0" borderId="223" applyNumberFormat="0" applyFill="0" applyAlignment="0" applyProtection="0"/>
    <xf numFmtId="0" fontId="19" fillId="62" borderId="216" applyNumberFormat="0" applyFont="0" applyAlignment="0" applyProtection="0"/>
    <xf numFmtId="0" fontId="38" fillId="62" borderId="216" applyNumberFormat="0" applyFont="0" applyAlignment="0" applyProtection="0"/>
    <xf numFmtId="0" fontId="33" fillId="0" borderId="217" applyNumberFormat="0" applyFill="0" applyAlignment="0" applyProtection="0"/>
    <xf numFmtId="0" fontId="48" fillId="0" borderId="223" applyNumberFormat="0" applyFill="0" applyAlignment="0" applyProtection="0"/>
    <xf numFmtId="0" fontId="63" fillId="0" borderId="223" applyNumberFormat="0" applyFill="0" applyAlignment="0" applyProtection="0"/>
    <xf numFmtId="0" fontId="47" fillId="46" borderId="222" applyNumberFormat="0" applyAlignment="0" applyProtection="0"/>
    <xf numFmtId="0" fontId="44" fillId="59" borderId="222" applyNumberFormat="0" applyAlignment="0" applyProtection="0"/>
    <xf numFmtId="4" fontId="35" fillId="36" borderId="217">
      <alignment horizontal="right" vertical="center"/>
    </xf>
    <xf numFmtId="0" fontId="31" fillId="36" borderId="217">
      <alignment horizontal="right" vertical="center"/>
    </xf>
    <xf numFmtId="177" fontId="33" fillId="63" borderId="217" applyNumberFormat="0" applyFont="0" applyBorder="0" applyAlignment="0" applyProtection="0">
      <alignment horizontal="right" vertical="center"/>
    </xf>
    <xf numFmtId="0" fontId="48" fillId="0" borderId="223" applyNumberFormat="0" applyFill="0" applyAlignment="0" applyProtection="0"/>
    <xf numFmtId="49" fontId="33" fillId="0" borderId="217" applyNumberFormat="0" applyFont="0" applyFill="0" applyBorder="0" applyProtection="0">
      <alignment horizontal="left" vertical="center" indent="2"/>
    </xf>
    <xf numFmtId="49" fontId="33" fillId="0" borderId="218" applyNumberFormat="0" applyFont="0" applyFill="0" applyBorder="0" applyProtection="0">
      <alignment horizontal="left" vertical="center" indent="5"/>
    </xf>
    <xf numFmtId="49" fontId="33" fillId="0" borderId="217" applyNumberFormat="0" applyFont="0" applyFill="0" applyBorder="0" applyProtection="0">
      <alignment horizontal="left" vertical="center" indent="2"/>
    </xf>
    <xf numFmtId="4" fontId="33" fillId="0" borderId="217" applyFill="0" applyBorder="0" applyProtection="0">
      <alignment horizontal="right" vertical="center"/>
    </xf>
    <xf numFmtId="49" fontId="32" fillId="0" borderId="217" applyNumberFormat="0" applyFill="0" applyBorder="0" applyProtection="0">
      <alignment horizontal="left" vertical="center"/>
    </xf>
    <xf numFmtId="0" fontId="33" fillId="0" borderId="220">
      <alignment horizontal="left" vertical="center" wrapText="1" indent="2"/>
    </xf>
    <xf numFmtId="0" fontId="60" fillId="59" borderId="221" applyNumberFormat="0" applyAlignment="0" applyProtection="0"/>
    <xf numFmtId="0" fontId="31" fillId="38" borderId="219">
      <alignment horizontal="right" vertical="center"/>
    </xf>
    <xf numFmtId="0" fontId="47" fillId="46" borderId="222" applyNumberFormat="0" applyAlignment="0" applyProtection="0"/>
    <xf numFmtId="0" fontId="31" fillId="38" borderId="219">
      <alignment horizontal="right" vertical="center"/>
    </xf>
    <xf numFmtId="4" fontId="31" fillId="38" borderId="217">
      <alignment horizontal="right" vertical="center"/>
    </xf>
    <xf numFmtId="0" fontId="31" fillId="38" borderId="217">
      <alignment horizontal="right" vertical="center"/>
    </xf>
    <xf numFmtId="0" fontId="41" fillId="59" borderId="221" applyNumberFormat="0" applyAlignment="0" applyProtection="0"/>
    <xf numFmtId="0" fontId="43" fillId="59" borderId="222" applyNumberFormat="0" applyAlignment="0" applyProtection="0"/>
    <xf numFmtId="0" fontId="48" fillId="0" borderId="223" applyNumberFormat="0" applyFill="0" applyAlignment="0" applyProtection="0"/>
    <xf numFmtId="0" fontId="33" fillId="37" borderId="217"/>
    <xf numFmtId="4" fontId="33" fillId="37" borderId="217"/>
    <xf numFmtId="4" fontId="31" fillId="38" borderId="217">
      <alignment horizontal="right" vertical="center"/>
    </xf>
    <xf numFmtId="0" fontId="35" fillId="36" borderId="217">
      <alignment horizontal="right" vertical="center"/>
    </xf>
    <xf numFmtId="0" fontId="47" fillId="46" borderId="222" applyNumberFormat="0" applyAlignment="0" applyProtection="0"/>
    <xf numFmtId="0" fontId="44" fillId="59" borderId="222" applyNumberFormat="0" applyAlignment="0" applyProtection="0"/>
    <xf numFmtId="4" fontId="33" fillId="0" borderId="217">
      <alignment horizontal="right" vertical="center"/>
    </xf>
    <xf numFmtId="0" fontId="33" fillId="38" borderId="220">
      <alignment horizontal="left" vertical="center" wrapText="1" indent="2"/>
    </xf>
    <xf numFmtId="0" fontId="33" fillId="0" borderId="220">
      <alignment horizontal="left" vertical="center" wrapText="1" indent="2"/>
    </xf>
    <xf numFmtId="0" fontId="60" fillId="59" borderId="221" applyNumberFormat="0" applyAlignment="0" applyProtection="0"/>
    <xf numFmtId="0" fontId="56" fillId="46" borderId="222" applyNumberFormat="0" applyAlignment="0" applyProtection="0"/>
    <xf numFmtId="0" fontId="43" fillId="59" borderId="222" applyNumberFormat="0" applyAlignment="0" applyProtection="0"/>
    <xf numFmtId="0" fontId="41" fillId="59" borderId="221" applyNumberFormat="0" applyAlignment="0" applyProtection="0"/>
    <xf numFmtId="0" fontId="31" fillId="38" borderId="219">
      <alignment horizontal="right" vertical="center"/>
    </xf>
    <xf numFmtId="0" fontId="35" fillId="36" borderId="217">
      <alignment horizontal="right" vertical="center"/>
    </xf>
    <xf numFmtId="4" fontId="31" fillId="36" borderId="217">
      <alignment horizontal="right" vertical="center"/>
    </xf>
    <xf numFmtId="4" fontId="31" fillId="38" borderId="217">
      <alignment horizontal="right" vertical="center"/>
    </xf>
    <xf numFmtId="49" fontId="33" fillId="0" borderId="218" applyNumberFormat="0" applyFont="0" applyFill="0" applyBorder="0" applyProtection="0">
      <alignment horizontal="left" vertical="center" indent="5"/>
    </xf>
    <xf numFmtId="4" fontId="33" fillId="0" borderId="217" applyFill="0" applyBorder="0" applyProtection="0">
      <alignment horizontal="right" vertical="center"/>
    </xf>
    <xf numFmtId="4" fontId="31" fillId="36" borderId="217">
      <alignment horizontal="right" vertical="center"/>
    </xf>
    <xf numFmtId="0" fontId="56" fillId="46" borderId="222" applyNumberFormat="0" applyAlignment="0" applyProtection="0"/>
    <xf numFmtId="0" fontId="47" fillId="46" borderId="222" applyNumberFormat="0" applyAlignment="0" applyProtection="0"/>
    <xf numFmtId="0" fontId="43" fillId="59" borderId="222" applyNumberFormat="0" applyAlignment="0" applyProtection="0"/>
    <xf numFmtId="0" fontId="33" fillId="38" borderId="220">
      <alignment horizontal="left" vertical="center" wrapText="1" indent="2"/>
    </xf>
    <xf numFmtId="0" fontId="33" fillId="0" borderId="220">
      <alignment horizontal="left" vertical="center" wrapText="1" indent="2"/>
    </xf>
    <xf numFmtId="0" fontId="33" fillId="38" borderId="220">
      <alignment horizontal="left" vertical="center" wrapText="1" indent="2"/>
    </xf>
    <xf numFmtId="0" fontId="110" fillId="0" borderId="0" applyNumberFormat="0" applyFill="0" applyBorder="0" applyAlignment="0" applyProtection="0"/>
    <xf numFmtId="0" fontId="194" fillId="121" borderId="0" applyNumberFormat="0" applyBorder="0" applyAlignment="0" applyProtection="0"/>
    <xf numFmtId="0" fontId="195" fillId="122" borderId="0" applyNumberFormat="0" applyBorder="0" applyAlignment="0" applyProtection="0"/>
    <xf numFmtId="0" fontId="242" fillId="123" borderId="0" applyNumberFormat="0" applyBorder="0" applyAlignment="0" applyProtection="0"/>
    <xf numFmtId="0" fontId="120" fillId="124" borderId="118" applyNumberFormat="0" applyAlignment="0" applyProtection="0"/>
    <xf numFmtId="0" fontId="4" fillId="12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 fillId="1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 fillId="127"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 fillId="128"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4" fillId="1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 fillId="1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53" fillId="0" borderId="0"/>
    <xf numFmtId="43" fontId="153" fillId="0" borderId="0" applyFont="0" applyFill="0" applyBorder="0" applyAlignment="0" applyProtection="0"/>
    <xf numFmtId="0" fontId="19" fillId="177" borderId="227" applyNumberFormat="0" applyAlignment="0" applyProtection="0"/>
    <xf numFmtId="0" fontId="244" fillId="178" borderId="228" applyNumberFormat="0" applyProtection="0">
      <alignment vertical="center"/>
    </xf>
    <xf numFmtId="43" fontId="153" fillId="0" borderId="0" applyFont="0" applyFill="0" applyBorder="0" applyAlignment="0" applyProtection="0"/>
    <xf numFmtId="43" fontId="153" fillId="0" borderId="0" applyFont="0" applyFill="0" applyBorder="0" applyAlignment="0" applyProtection="0"/>
    <xf numFmtId="0" fontId="245" fillId="0" borderId="0" applyNumberFormat="0" applyFill="0" applyBorder="0" applyAlignment="0" applyProtection="0"/>
    <xf numFmtId="0" fontId="246" fillId="0" borderId="0" applyNumberFormat="0" applyFill="0" applyBorder="0" applyAlignment="0" applyProtection="0"/>
    <xf numFmtId="0" fontId="243" fillId="0" borderId="0" applyNumberFormat="0" applyFill="0" applyBorder="0" applyAlignment="0" applyProtection="0">
      <alignment vertical="top"/>
      <protection locked="0"/>
    </xf>
    <xf numFmtId="0" fontId="19" fillId="179" borderId="10" applyNumberFormat="0" applyBorder="0" applyAlignment="0" applyProtection="0"/>
    <xf numFmtId="0" fontId="19" fillId="180" borderId="0">
      <alignment vertical="center"/>
    </xf>
    <xf numFmtId="0" fontId="19" fillId="14" borderId="229" applyNumberFormat="0" applyAlignment="0" applyProtection="0"/>
    <xf numFmtId="0" fontId="153" fillId="90" borderId="74" applyNumberFormat="0" applyFont="0" applyAlignment="0" applyProtection="0"/>
    <xf numFmtId="0" fontId="236" fillId="181" borderId="230" applyNumberFormat="0" applyAlignment="0" applyProtection="0"/>
    <xf numFmtId="0" fontId="19" fillId="182" borderId="231" applyNumberFormat="0" applyProtection="0">
      <alignment vertical="center"/>
    </xf>
    <xf numFmtId="0" fontId="153" fillId="0" borderId="0"/>
    <xf numFmtId="0" fontId="236" fillId="183" borderId="0" applyNumberFormat="0" applyBorder="0" applyAlignment="0" applyProtection="0"/>
    <xf numFmtId="43" fontId="153" fillId="0" borderId="0" applyFont="0" applyFill="0" applyBorder="0" applyAlignment="0" applyProtection="0"/>
    <xf numFmtId="0" fontId="19" fillId="179" borderId="10" applyNumberFormat="0" applyBorder="0" applyAlignment="0" applyProtection="0"/>
    <xf numFmtId="0" fontId="1" fillId="21" borderId="0" applyNumberFormat="0" applyBorder="0" applyAlignment="0" applyProtection="0"/>
    <xf numFmtId="43" fontId="22" fillId="0" borderId="0" applyFont="0" applyFill="0" applyBorder="0" applyAlignment="0" applyProtection="0"/>
    <xf numFmtId="43" fontId="1" fillId="0" borderId="0" applyFont="0" applyFill="0" applyBorder="0" applyAlignment="0" applyProtection="0"/>
    <xf numFmtId="49" fontId="33" fillId="0" borderId="237" applyNumberFormat="0" applyFont="0" applyFill="0" applyBorder="0" applyProtection="0">
      <alignment horizontal="left" vertical="center" indent="5"/>
    </xf>
    <xf numFmtId="0" fontId="1" fillId="30" borderId="0" applyNumberFormat="0" applyBorder="0" applyAlignment="0" applyProtection="0"/>
    <xf numFmtId="0" fontId="1" fillId="18" borderId="0" applyNumberFormat="0" applyBorder="0" applyAlignment="0" applyProtection="0"/>
    <xf numFmtId="0" fontId="4" fillId="2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41" fillId="59" borderId="232" applyNumberFormat="0" applyAlignment="0" applyProtection="0"/>
    <xf numFmtId="0" fontId="33" fillId="37" borderId="236"/>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44" fillId="59" borderId="233" applyNumberFormat="0" applyAlignment="0" applyProtection="0"/>
    <xf numFmtId="43" fontId="36" fillId="0" borderId="0" applyFont="0" applyFill="0" applyBorder="0" applyAlignment="0" applyProtection="0"/>
    <xf numFmtId="43" fontId="36" fillId="0" borderId="0" applyFont="0" applyFill="0" applyBorder="0" applyAlignment="0" applyProtection="0"/>
    <xf numFmtId="0" fontId="28" fillId="0" borderId="0" applyNumberFormat="0" applyFill="0" applyBorder="0" applyAlignment="0" applyProtection="0"/>
    <xf numFmtId="0" fontId="1" fillId="19" borderId="0" applyNumberFormat="0" applyBorder="0" applyAlignment="0" applyProtection="0"/>
    <xf numFmtId="0" fontId="56" fillId="46" borderId="233" applyNumberFormat="0" applyAlignment="0" applyProtection="0"/>
    <xf numFmtId="0" fontId="3" fillId="0" borderId="23" applyNumberFormat="0" applyFill="0" applyAlignment="0" applyProtection="0"/>
    <xf numFmtId="0" fontId="31" fillId="38" borderId="236">
      <alignment horizontal="right" vertical="center"/>
    </xf>
    <xf numFmtId="0" fontId="38" fillId="62" borderId="235" applyNumberFormat="0" applyFont="0" applyAlignment="0" applyProtection="0"/>
    <xf numFmtId="0" fontId="19" fillId="62" borderId="235" applyNumberFormat="0" applyFont="0" applyAlignment="0" applyProtection="0"/>
    <xf numFmtId="0" fontId="60" fillId="59" borderId="232" applyNumberFormat="0" applyAlignment="0" applyProtection="0"/>
    <xf numFmtId="0" fontId="63" fillId="0" borderId="234" applyNumberFormat="0" applyFill="0" applyAlignment="0" applyProtection="0"/>
    <xf numFmtId="43" fontId="22" fillId="0" borderId="0" applyFont="0" applyFill="0" applyBorder="0" applyAlignment="0" applyProtection="0"/>
    <xf numFmtId="0" fontId="44" fillId="59" borderId="233" applyNumberFormat="0" applyAlignment="0" applyProtection="0"/>
    <xf numFmtId="0" fontId="56" fillId="46" borderId="233" applyNumberFormat="0" applyAlignment="0" applyProtection="0"/>
    <xf numFmtId="0" fontId="25" fillId="17" borderId="22" applyNumberFormat="0" applyAlignment="0" applyProtection="0"/>
    <xf numFmtId="0" fontId="38" fillId="62" borderId="235" applyNumberFormat="0" applyFont="0" applyAlignment="0" applyProtection="0"/>
    <xf numFmtId="0" fontId="60" fillId="59" borderId="232" applyNumberFormat="0" applyAlignment="0" applyProtection="0"/>
    <xf numFmtId="0" fontId="63" fillId="0" borderId="234" applyNumberFormat="0" applyFill="0" applyAlignment="0" applyProtection="0"/>
    <xf numFmtId="0" fontId="31" fillId="36" borderId="236">
      <alignment horizontal="right" vertical="center"/>
    </xf>
    <xf numFmtId="4" fontId="31" fillId="36" borderId="236">
      <alignment horizontal="right" vertical="center"/>
    </xf>
    <xf numFmtId="0" fontId="35" fillId="36" borderId="236">
      <alignment horizontal="right" vertical="center"/>
    </xf>
    <xf numFmtId="4" fontId="35" fillId="36" borderId="236">
      <alignment horizontal="right" vertical="center"/>
    </xf>
    <xf numFmtId="0" fontId="31" fillId="38" borderId="236">
      <alignment horizontal="right" vertical="center"/>
    </xf>
    <xf numFmtId="4" fontId="31" fillId="38" borderId="236">
      <alignment horizontal="right" vertical="center"/>
    </xf>
    <xf numFmtId="0" fontId="31" fillId="38" borderId="236">
      <alignment horizontal="right" vertical="center"/>
    </xf>
    <xf numFmtId="4" fontId="31" fillId="38" borderId="236">
      <alignment horizontal="right" vertical="center"/>
    </xf>
    <xf numFmtId="0" fontId="31" fillId="38" borderId="237">
      <alignment horizontal="right" vertical="center"/>
    </xf>
    <xf numFmtId="4" fontId="31" fillId="38" borderId="237">
      <alignment horizontal="right" vertical="center"/>
    </xf>
    <xf numFmtId="0" fontId="31" fillId="38" borderId="238">
      <alignment horizontal="right" vertical="center"/>
    </xf>
    <xf numFmtId="4" fontId="31" fillId="38" borderId="238">
      <alignment horizontal="right" vertical="center"/>
    </xf>
    <xf numFmtId="0" fontId="44" fillId="59" borderId="233" applyNumberFormat="0" applyAlignment="0" applyProtection="0"/>
    <xf numFmtId="0" fontId="33" fillId="38" borderId="239">
      <alignment horizontal="left" vertical="center" wrapText="1" indent="2"/>
    </xf>
    <xf numFmtId="0" fontId="33" fillId="0" borderId="239">
      <alignment horizontal="left" vertical="center" wrapText="1" indent="2"/>
    </xf>
    <xf numFmtId="0" fontId="33" fillId="36" borderId="237">
      <alignment horizontal="left" vertical="center"/>
    </xf>
    <xf numFmtId="0" fontId="56" fillId="46" borderId="233" applyNumberFormat="0" applyAlignment="0" applyProtection="0"/>
    <xf numFmtId="0" fontId="33" fillId="0" borderId="236">
      <alignment horizontal="right" vertical="center"/>
    </xf>
    <xf numFmtId="4" fontId="33" fillId="0" borderId="236">
      <alignment horizontal="right" vertical="center"/>
    </xf>
    <xf numFmtId="0" fontId="33" fillId="0" borderId="236" applyNumberFormat="0" applyFill="0" applyAlignment="0" applyProtection="0"/>
    <xf numFmtId="0" fontId="60" fillId="59" borderId="232" applyNumberFormat="0" applyAlignment="0" applyProtection="0"/>
    <xf numFmtId="177" fontId="33" fillId="63" borderId="236" applyNumberFormat="0" applyFont="0" applyBorder="0" applyAlignment="0" applyProtection="0">
      <alignment horizontal="right" vertical="center"/>
    </xf>
    <xf numFmtId="0" fontId="33" fillId="37" borderId="236"/>
    <xf numFmtId="4" fontId="33" fillId="37" borderId="236"/>
    <xf numFmtId="0" fontId="63" fillId="0" borderId="234" applyNumberFormat="0" applyFill="0" applyAlignment="0" applyProtection="0"/>
    <xf numFmtId="49" fontId="33" fillId="0" borderId="236" applyNumberFormat="0" applyFont="0" applyFill="0" applyBorder="0" applyProtection="0">
      <alignment horizontal="left" vertical="center" indent="2"/>
    </xf>
    <xf numFmtId="49" fontId="33" fillId="0" borderId="237" applyNumberFormat="0" applyFont="0" applyFill="0" applyBorder="0" applyProtection="0">
      <alignment horizontal="left" vertical="center" indent="5"/>
    </xf>
    <xf numFmtId="0" fontId="27" fillId="0" borderId="0" applyNumberFormat="0" applyFill="0" applyBorder="0" applyAlignment="0" applyProtection="0"/>
    <xf numFmtId="4" fontId="33" fillId="0" borderId="236" applyFill="0" applyBorder="0" applyProtection="0">
      <alignment horizontal="right" vertical="center"/>
    </xf>
    <xf numFmtId="49" fontId="32" fillId="0" borderId="236" applyNumberFormat="0" applyFill="0" applyBorder="0" applyProtection="0">
      <alignment horizontal="left" vertical="center"/>
    </xf>
    <xf numFmtId="0" fontId="41" fillId="59" borderId="232" applyNumberFormat="0" applyAlignment="0" applyProtection="0"/>
    <xf numFmtId="0" fontId="43" fillId="59" borderId="233" applyNumberFormat="0" applyAlignment="0" applyProtection="0"/>
    <xf numFmtId="0" fontId="48" fillId="0" borderId="234" applyNumberFormat="0" applyFill="0" applyAlignment="0" applyProtection="0"/>
    <xf numFmtId="0" fontId="1" fillId="33" borderId="0" applyNumberFormat="0" applyBorder="0" applyAlignment="0" applyProtection="0"/>
    <xf numFmtId="0" fontId="47" fillId="46" borderId="233" applyNumberFormat="0" applyAlignment="0" applyProtection="0"/>
    <xf numFmtId="0" fontId="33" fillId="38" borderId="239">
      <alignment horizontal="left" vertical="center" wrapText="1" indent="2"/>
    </xf>
    <xf numFmtId="0" fontId="33" fillId="0" borderId="239">
      <alignment horizontal="left" vertical="center" wrapText="1" indent="2"/>
    </xf>
    <xf numFmtId="0" fontId="1" fillId="33"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4" fontId="31" fillId="38" borderId="236">
      <alignment horizontal="right" vertical="center"/>
    </xf>
    <xf numFmtId="0" fontId="33" fillId="37" borderId="236"/>
    <xf numFmtId="0" fontId="43" fillId="59" borderId="233" applyNumberFormat="0" applyAlignment="0" applyProtection="0"/>
    <xf numFmtId="0" fontId="31" fillId="36" borderId="236">
      <alignment horizontal="right" vertical="center"/>
    </xf>
    <xf numFmtId="0" fontId="33" fillId="0" borderId="236">
      <alignment horizontal="right" vertical="center"/>
    </xf>
    <xf numFmtId="0" fontId="63" fillId="0" borderId="234" applyNumberFormat="0" applyFill="0" applyAlignment="0" applyProtection="0"/>
    <xf numFmtId="0" fontId="33" fillId="36" borderId="237">
      <alignment horizontal="left" vertical="center"/>
    </xf>
    <xf numFmtId="0" fontId="56" fillId="46" borderId="233" applyNumberFormat="0" applyAlignment="0" applyProtection="0"/>
    <xf numFmtId="177" fontId="33" fillId="63" borderId="236" applyNumberFormat="0" applyFont="0" applyBorder="0" applyAlignment="0" applyProtection="0">
      <alignment horizontal="right" vertical="center"/>
    </xf>
    <xf numFmtId="0" fontId="38" fillId="62" borderId="235" applyNumberFormat="0" applyFont="0" applyAlignment="0" applyProtection="0"/>
    <xf numFmtId="0" fontId="33" fillId="0" borderId="239">
      <alignment horizontal="left" vertical="center" wrapText="1" indent="2"/>
    </xf>
    <xf numFmtId="4" fontId="33" fillId="37" borderId="236"/>
    <xf numFmtId="49" fontId="32" fillId="0" borderId="236" applyNumberFormat="0" applyFill="0" applyBorder="0" applyProtection="0">
      <alignment horizontal="left" vertical="center"/>
    </xf>
    <xf numFmtId="0" fontId="33" fillId="0" borderId="236">
      <alignment horizontal="right" vertical="center"/>
    </xf>
    <xf numFmtId="4" fontId="31" fillId="38" borderId="238">
      <alignment horizontal="right" vertical="center"/>
    </xf>
    <xf numFmtId="4" fontId="31" fillId="38" borderId="236">
      <alignment horizontal="right" vertical="center"/>
    </xf>
    <xf numFmtId="4" fontId="31" fillId="38" borderId="236">
      <alignment horizontal="right" vertical="center"/>
    </xf>
    <xf numFmtId="0" fontId="35" fillId="36" borderId="236">
      <alignment horizontal="right" vertical="center"/>
    </xf>
    <xf numFmtId="0" fontId="31" fillId="36" borderId="236">
      <alignment horizontal="right" vertical="center"/>
    </xf>
    <xf numFmtId="49" fontId="33" fillId="0" borderId="236" applyNumberFormat="0" applyFont="0" applyFill="0" applyBorder="0" applyProtection="0">
      <alignment horizontal="left" vertical="center" indent="2"/>
    </xf>
    <xf numFmtId="0" fontId="56" fillId="46" borderId="233" applyNumberFormat="0" applyAlignment="0" applyProtection="0"/>
    <xf numFmtId="0" fontId="41" fillId="59" borderId="232" applyNumberFormat="0" applyAlignment="0" applyProtection="0"/>
    <xf numFmtId="49" fontId="33" fillId="0" borderId="236" applyNumberFormat="0" applyFont="0" applyFill="0" applyBorder="0" applyProtection="0">
      <alignment horizontal="left" vertical="center" indent="2"/>
    </xf>
    <xf numFmtId="0" fontId="47" fillId="46" borderId="233" applyNumberFormat="0" applyAlignment="0" applyProtection="0"/>
    <xf numFmtId="4" fontId="33" fillId="0" borderId="236" applyFill="0" applyBorder="0" applyProtection="0">
      <alignment horizontal="right" vertical="center"/>
    </xf>
    <xf numFmtId="0" fontId="44" fillId="59" borderId="233" applyNumberFormat="0" applyAlignment="0" applyProtection="0"/>
    <xf numFmtId="0" fontId="63" fillId="0" borderId="234" applyNumberFormat="0" applyFill="0" applyAlignment="0" applyProtection="0"/>
    <xf numFmtId="0" fontId="60" fillId="59" borderId="232" applyNumberFormat="0" applyAlignment="0" applyProtection="0"/>
    <xf numFmtId="0" fontId="33" fillId="0" borderId="236" applyNumberFormat="0" applyFill="0" applyAlignment="0" applyProtection="0"/>
    <xf numFmtId="4" fontId="33" fillId="0" borderId="236">
      <alignment horizontal="right" vertical="center"/>
    </xf>
    <xf numFmtId="0" fontId="33" fillId="0" borderId="236">
      <alignment horizontal="right" vertical="center"/>
    </xf>
    <xf numFmtId="0" fontId="56" fillId="46" borderId="233" applyNumberFormat="0" applyAlignment="0" applyProtection="0"/>
    <xf numFmtId="0" fontId="41" fillId="59" borderId="232" applyNumberFormat="0" applyAlignment="0" applyProtection="0"/>
    <xf numFmtId="0" fontId="43" fillId="59" borderId="233" applyNumberFormat="0" applyAlignment="0" applyProtection="0"/>
    <xf numFmtId="0" fontId="33" fillId="38" borderId="239">
      <alignment horizontal="left" vertical="center" wrapText="1" indent="2"/>
    </xf>
    <xf numFmtId="0" fontId="44" fillId="59" borderId="233" applyNumberFormat="0" applyAlignment="0" applyProtection="0"/>
    <xf numFmtId="0" fontId="44" fillId="59" borderId="233" applyNumberFormat="0" applyAlignment="0" applyProtection="0"/>
    <xf numFmtId="4" fontId="31" fillId="38" borderId="237">
      <alignment horizontal="right" vertical="center"/>
    </xf>
    <xf numFmtId="0" fontId="31" fillId="38" borderId="237">
      <alignment horizontal="right" vertical="center"/>
    </xf>
    <xf numFmtId="0" fontId="31" fillId="38" borderId="236">
      <alignment horizontal="right" vertical="center"/>
    </xf>
    <xf numFmtId="4" fontId="35" fillId="36" borderId="236">
      <alignment horizontal="right" vertical="center"/>
    </xf>
    <xf numFmtId="0" fontId="47" fillId="46" borderId="233" applyNumberFormat="0" applyAlignment="0" applyProtection="0"/>
    <xf numFmtId="0" fontId="48" fillId="0" borderId="234" applyNumberFormat="0" applyFill="0" applyAlignment="0" applyProtection="0"/>
    <xf numFmtId="0" fontId="63" fillId="0" borderId="234" applyNumberFormat="0" applyFill="0" applyAlignment="0" applyProtection="0"/>
    <xf numFmtId="0" fontId="38" fillId="62" borderId="235" applyNumberFormat="0" applyFont="0" applyAlignment="0" applyProtection="0"/>
    <xf numFmtId="0" fontId="56" fillId="46" borderId="233" applyNumberFormat="0" applyAlignment="0" applyProtection="0"/>
    <xf numFmtId="49" fontId="32" fillId="0" borderId="236" applyNumberFormat="0" applyFill="0" applyBorder="0" applyProtection="0">
      <alignment horizontal="left" vertical="center"/>
    </xf>
    <xf numFmtId="0" fontId="33" fillId="38" borderId="239">
      <alignment horizontal="left" vertical="center" wrapText="1" indent="2"/>
    </xf>
    <xf numFmtId="0" fontId="44" fillId="59" borderId="233" applyNumberFormat="0" applyAlignment="0" applyProtection="0"/>
    <xf numFmtId="0" fontId="33" fillId="0" borderId="239">
      <alignment horizontal="left" vertical="center" wrapText="1" indent="2"/>
    </xf>
    <xf numFmtId="0" fontId="38" fillId="62" borderId="235" applyNumberFormat="0" applyFont="0" applyAlignment="0" applyProtection="0"/>
    <xf numFmtId="0" fontId="19" fillId="62" borderId="235" applyNumberFormat="0" applyFont="0" applyAlignment="0" applyProtection="0"/>
    <xf numFmtId="0" fontId="60" fillId="59" borderId="232" applyNumberFormat="0" applyAlignment="0" applyProtection="0"/>
    <xf numFmtId="0" fontId="63" fillId="0" borderId="234" applyNumberFormat="0" applyFill="0" applyAlignment="0" applyProtection="0"/>
    <xf numFmtId="4" fontId="33" fillId="37" borderId="236"/>
    <xf numFmtId="0" fontId="31" fillId="38" borderId="236">
      <alignment horizontal="right" vertical="center"/>
    </xf>
    <xf numFmtId="0" fontId="63" fillId="0" borderId="234" applyNumberFormat="0" applyFill="0" applyAlignment="0" applyProtection="0"/>
    <xf numFmtId="4" fontId="31" fillId="38" borderId="238">
      <alignment horizontal="right" vertical="center"/>
    </xf>
    <xf numFmtId="0" fontId="43" fillId="59" borderId="233" applyNumberFormat="0" applyAlignment="0" applyProtection="0"/>
    <xf numFmtId="0" fontId="31" fillId="38" borderId="237">
      <alignment horizontal="right" vertical="center"/>
    </xf>
    <xf numFmtId="0" fontId="44" fillId="59" borderId="233" applyNumberFormat="0" applyAlignment="0" applyProtection="0"/>
    <xf numFmtId="0" fontId="48" fillId="0" borderId="234" applyNumberFormat="0" applyFill="0" applyAlignment="0" applyProtection="0"/>
    <xf numFmtId="0" fontId="38" fillId="62" borderId="235" applyNumberFormat="0" applyFont="0" applyAlignment="0" applyProtection="0"/>
    <xf numFmtId="4" fontId="31" fillId="38" borderId="237">
      <alignment horizontal="right" vertical="center"/>
    </xf>
    <xf numFmtId="0" fontId="33" fillId="38" borderId="239">
      <alignment horizontal="left" vertical="center" wrapText="1" indent="2"/>
    </xf>
    <xf numFmtId="0" fontId="33" fillId="37" borderId="236"/>
    <xf numFmtId="177" fontId="33" fillId="63" borderId="236" applyNumberFormat="0" applyFont="0" applyBorder="0" applyAlignment="0" applyProtection="0">
      <alignment horizontal="right" vertical="center"/>
    </xf>
    <xf numFmtId="0" fontId="33" fillId="0" borderId="236" applyNumberFormat="0" applyFill="0" applyAlignment="0" applyProtection="0"/>
    <xf numFmtId="4" fontId="33" fillId="0" borderId="236" applyFill="0" applyBorder="0" applyProtection="0">
      <alignment horizontal="right" vertical="center"/>
    </xf>
    <xf numFmtId="4" fontId="31" fillId="36" borderId="236">
      <alignment horizontal="right" vertical="center"/>
    </xf>
    <xf numFmtId="0" fontId="48" fillId="0" borderId="234" applyNumberFormat="0" applyFill="0" applyAlignment="0" applyProtection="0"/>
    <xf numFmtId="49" fontId="32" fillId="0" borderId="236" applyNumberFormat="0" applyFill="0" applyBorder="0" applyProtection="0">
      <alignment horizontal="left" vertical="center"/>
    </xf>
    <xf numFmtId="49" fontId="33" fillId="0" borderId="237" applyNumberFormat="0" applyFont="0" applyFill="0" applyBorder="0" applyProtection="0">
      <alignment horizontal="left" vertical="center" indent="5"/>
    </xf>
    <xf numFmtId="0" fontId="33" fillId="36" borderId="237">
      <alignment horizontal="left" vertical="center"/>
    </xf>
    <xf numFmtId="0" fontId="44" fillId="59" borderId="233" applyNumberFormat="0" applyAlignment="0" applyProtection="0"/>
    <xf numFmtId="4" fontId="31" fillId="38" borderId="238">
      <alignment horizontal="right" vertical="center"/>
    </xf>
    <xf numFmtId="0" fontId="56" fillId="46" borderId="233" applyNumberFormat="0" applyAlignment="0" applyProtection="0"/>
    <xf numFmtId="0" fontId="56" fillId="46" borderId="233" applyNumberFormat="0" applyAlignment="0" applyProtection="0"/>
    <xf numFmtId="0" fontId="38" fillId="62" borderId="235" applyNumberFormat="0" applyFont="0" applyAlignment="0" applyProtection="0"/>
    <xf numFmtId="0" fontId="60" fillId="59" borderId="232" applyNumberFormat="0" applyAlignment="0" applyProtection="0"/>
    <xf numFmtId="0" fontId="63" fillId="0" borderId="234" applyNumberFormat="0" applyFill="0" applyAlignment="0" applyProtection="0"/>
    <xf numFmtId="0" fontId="31" fillId="38" borderId="236">
      <alignment horizontal="right" vertical="center"/>
    </xf>
    <xf numFmtId="0" fontId="19" fillId="62" borderId="235" applyNumberFormat="0" applyFont="0" applyAlignment="0" applyProtection="0"/>
    <xf numFmtId="4" fontId="33" fillId="0" borderId="236">
      <alignment horizontal="right" vertical="center"/>
    </xf>
    <xf numFmtId="0" fontId="63" fillId="0" borderId="234" applyNumberFormat="0" applyFill="0" applyAlignment="0" applyProtection="0"/>
    <xf numFmtId="0" fontId="31" fillId="38" borderId="236">
      <alignment horizontal="right" vertical="center"/>
    </xf>
    <xf numFmtId="0" fontId="31" fillId="38" borderId="236">
      <alignment horizontal="right" vertical="center"/>
    </xf>
    <xf numFmtId="4" fontId="35" fillId="36" borderId="236">
      <alignment horizontal="right" vertical="center"/>
    </xf>
    <xf numFmtId="0" fontId="31" fillId="36" borderId="236">
      <alignment horizontal="right" vertical="center"/>
    </xf>
    <xf numFmtId="4" fontId="31" fillId="36" borderId="236">
      <alignment horizontal="right" vertical="center"/>
    </xf>
    <xf numFmtId="0" fontId="35" fillId="36" borderId="236">
      <alignment horizontal="right" vertical="center"/>
    </xf>
    <xf numFmtId="4" fontId="35" fillId="36" borderId="236">
      <alignment horizontal="right" vertical="center"/>
    </xf>
    <xf numFmtId="0" fontId="31" fillId="38" borderId="236">
      <alignment horizontal="right" vertical="center"/>
    </xf>
    <xf numFmtId="4" fontId="31" fillId="38" borderId="236">
      <alignment horizontal="right" vertical="center"/>
    </xf>
    <xf numFmtId="0" fontId="31" fillId="38" borderId="236">
      <alignment horizontal="right" vertical="center"/>
    </xf>
    <xf numFmtId="4" fontId="31" fillId="38" borderId="236">
      <alignment horizontal="right" vertical="center"/>
    </xf>
    <xf numFmtId="0" fontId="31" fillId="38" borderId="237">
      <alignment horizontal="right" vertical="center"/>
    </xf>
    <xf numFmtId="4" fontId="31" fillId="38" borderId="237">
      <alignment horizontal="right" vertical="center"/>
    </xf>
    <xf numFmtId="0" fontId="31" fillId="38" borderId="238">
      <alignment horizontal="right" vertical="center"/>
    </xf>
    <xf numFmtId="4" fontId="31" fillId="38" borderId="238">
      <alignment horizontal="right" vertical="center"/>
    </xf>
    <xf numFmtId="0" fontId="44" fillId="59" borderId="233" applyNumberFormat="0" applyAlignment="0" applyProtection="0"/>
    <xf numFmtId="0" fontId="33" fillId="38" borderId="239">
      <alignment horizontal="left" vertical="center" wrapText="1" indent="2"/>
    </xf>
    <xf numFmtId="0" fontId="33" fillId="0" borderId="239">
      <alignment horizontal="left" vertical="center" wrapText="1" indent="2"/>
    </xf>
    <xf numFmtId="0" fontId="33" fillId="36" borderId="237">
      <alignment horizontal="left" vertical="center"/>
    </xf>
    <xf numFmtId="0" fontId="56" fillId="46" borderId="233" applyNumberFormat="0" applyAlignment="0" applyProtection="0"/>
    <xf numFmtId="0" fontId="33" fillId="0" borderId="236">
      <alignment horizontal="right" vertical="center"/>
    </xf>
    <xf numFmtId="4" fontId="33" fillId="0" borderId="236">
      <alignment horizontal="right" vertical="center"/>
    </xf>
    <xf numFmtId="0" fontId="33" fillId="0" borderId="236" applyNumberFormat="0" applyFill="0" applyAlignment="0" applyProtection="0"/>
    <xf numFmtId="0" fontId="60" fillId="59" borderId="232" applyNumberFormat="0" applyAlignment="0" applyProtection="0"/>
    <xf numFmtId="177" fontId="33" fillId="63" borderId="236" applyNumberFormat="0" applyFont="0" applyBorder="0" applyAlignment="0" applyProtection="0">
      <alignment horizontal="right" vertical="center"/>
    </xf>
    <xf numFmtId="0" fontId="33" fillId="37" borderId="236"/>
    <xf numFmtId="4" fontId="33" fillId="37" borderId="236"/>
    <xf numFmtId="0" fontId="63" fillId="0" borderId="234" applyNumberFormat="0" applyFill="0" applyAlignment="0" applyProtection="0"/>
    <xf numFmtId="0" fontId="19" fillId="62" borderId="235" applyNumberFormat="0" applyFont="0" applyAlignment="0" applyProtection="0"/>
    <xf numFmtId="0" fontId="38" fillId="62" borderId="235" applyNumberFormat="0" applyFont="0" applyAlignment="0" applyProtection="0"/>
    <xf numFmtId="0" fontId="33" fillId="0" borderId="236" applyNumberFormat="0" applyFill="0" applyAlignment="0" applyProtection="0"/>
    <xf numFmtId="0" fontId="48" fillId="0" borderId="234" applyNumberFormat="0" applyFill="0" applyAlignment="0" applyProtection="0"/>
    <xf numFmtId="0" fontId="63" fillId="0" borderId="234" applyNumberFormat="0" applyFill="0" applyAlignment="0" applyProtection="0"/>
    <xf numFmtId="0" fontId="47" fillId="46" borderId="233" applyNumberFormat="0" applyAlignment="0" applyProtection="0"/>
    <xf numFmtId="0" fontId="44" fillId="59" borderId="233" applyNumberFormat="0" applyAlignment="0" applyProtection="0"/>
    <xf numFmtId="4" fontId="35" fillId="36" borderId="236">
      <alignment horizontal="right" vertical="center"/>
    </xf>
    <xf numFmtId="0" fontId="31" fillId="36" borderId="236">
      <alignment horizontal="right" vertical="center"/>
    </xf>
    <xf numFmtId="177" fontId="33" fillId="63" borderId="236" applyNumberFormat="0" applyFont="0" applyBorder="0" applyAlignment="0" applyProtection="0">
      <alignment horizontal="right" vertical="center"/>
    </xf>
    <xf numFmtId="0" fontId="48" fillId="0" borderId="234" applyNumberFormat="0" applyFill="0" applyAlignment="0" applyProtection="0"/>
    <xf numFmtId="49" fontId="33" fillId="0" borderId="236" applyNumberFormat="0" applyFont="0" applyFill="0" applyBorder="0" applyProtection="0">
      <alignment horizontal="left" vertical="center" indent="2"/>
    </xf>
    <xf numFmtId="49" fontId="33" fillId="0" borderId="237" applyNumberFormat="0" applyFont="0" applyFill="0" applyBorder="0" applyProtection="0">
      <alignment horizontal="left" vertical="center" indent="5"/>
    </xf>
    <xf numFmtId="49" fontId="33" fillId="0" borderId="236" applyNumberFormat="0" applyFont="0" applyFill="0" applyBorder="0" applyProtection="0">
      <alignment horizontal="left" vertical="center" indent="2"/>
    </xf>
    <xf numFmtId="4" fontId="33" fillId="0" borderId="236" applyFill="0" applyBorder="0" applyProtection="0">
      <alignment horizontal="right" vertical="center"/>
    </xf>
    <xf numFmtId="49" fontId="32" fillId="0" borderId="236" applyNumberFormat="0" applyFill="0" applyBorder="0" applyProtection="0">
      <alignment horizontal="left" vertical="center"/>
    </xf>
    <xf numFmtId="0" fontId="33" fillId="0" borderId="239">
      <alignment horizontal="left" vertical="center" wrapText="1" indent="2"/>
    </xf>
    <xf numFmtId="0" fontId="60" fillId="59" borderId="232" applyNumberFormat="0" applyAlignment="0" applyProtection="0"/>
    <xf numFmtId="0" fontId="31" fillId="38" borderId="238">
      <alignment horizontal="right" vertical="center"/>
    </xf>
    <xf numFmtId="0" fontId="47" fillId="46" borderId="233" applyNumberFormat="0" applyAlignment="0" applyProtection="0"/>
    <xf numFmtId="0" fontId="31" fillId="38" borderId="238">
      <alignment horizontal="right" vertical="center"/>
    </xf>
    <xf numFmtId="4" fontId="31" fillId="38" borderId="236">
      <alignment horizontal="right" vertical="center"/>
    </xf>
    <xf numFmtId="0" fontId="31" fillId="38" borderId="236">
      <alignment horizontal="right" vertical="center"/>
    </xf>
    <xf numFmtId="0" fontId="41" fillId="59" borderId="232" applyNumberFormat="0" applyAlignment="0" applyProtection="0"/>
    <xf numFmtId="0" fontId="43" fillId="59" borderId="233" applyNumberFormat="0" applyAlignment="0" applyProtection="0"/>
    <xf numFmtId="0" fontId="48" fillId="0" borderId="234" applyNumberFormat="0" applyFill="0" applyAlignment="0" applyProtection="0"/>
    <xf numFmtId="0" fontId="33" fillId="37" borderId="236"/>
    <xf numFmtId="4" fontId="33" fillId="37" borderId="236"/>
    <xf numFmtId="4" fontId="31" fillId="38" borderId="236">
      <alignment horizontal="right" vertical="center"/>
    </xf>
    <xf numFmtId="0" fontId="35" fillId="36" borderId="236">
      <alignment horizontal="right" vertical="center"/>
    </xf>
    <xf numFmtId="0" fontId="47" fillId="46" borderId="233" applyNumberFormat="0" applyAlignment="0" applyProtection="0"/>
    <xf numFmtId="0" fontId="44" fillId="59" borderId="233" applyNumberFormat="0" applyAlignment="0" applyProtection="0"/>
    <xf numFmtId="4" fontId="33" fillId="0" borderId="236">
      <alignment horizontal="right" vertical="center"/>
    </xf>
    <xf numFmtId="0" fontId="33" fillId="38" borderId="239">
      <alignment horizontal="left" vertical="center" wrapText="1" indent="2"/>
    </xf>
    <xf numFmtId="0" fontId="33" fillId="0" borderId="239">
      <alignment horizontal="left" vertical="center" wrapText="1" indent="2"/>
    </xf>
    <xf numFmtId="0" fontId="60" fillId="59" borderId="232" applyNumberFormat="0" applyAlignment="0" applyProtection="0"/>
    <xf numFmtId="0" fontId="56" fillId="46" borderId="233" applyNumberFormat="0" applyAlignment="0" applyProtection="0"/>
    <xf numFmtId="0" fontId="43" fillId="59" borderId="233" applyNumberFormat="0" applyAlignment="0" applyProtection="0"/>
    <xf numFmtId="0" fontId="41" fillId="59" borderId="232" applyNumberFormat="0" applyAlignment="0" applyProtection="0"/>
    <xf numFmtId="0" fontId="31" fillId="38" borderId="238">
      <alignment horizontal="right" vertical="center"/>
    </xf>
    <xf numFmtId="0" fontId="35" fillId="36" borderId="236">
      <alignment horizontal="right" vertical="center"/>
    </xf>
    <xf numFmtId="4" fontId="31" fillId="36" borderId="236">
      <alignment horizontal="right" vertical="center"/>
    </xf>
    <xf numFmtId="4" fontId="31" fillId="38" borderId="236">
      <alignment horizontal="right" vertical="center"/>
    </xf>
    <xf numFmtId="49" fontId="33" fillId="0" borderId="237" applyNumberFormat="0" applyFont="0" applyFill="0" applyBorder="0" applyProtection="0">
      <alignment horizontal="left" vertical="center" indent="5"/>
    </xf>
    <xf numFmtId="4" fontId="33" fillId="0" borderId="236" applyFill="0" applyBorder="0" applyProtection="0">
      <alignment horizontal="right" vertical="center"/>
    </xf>
    <xf numFmtId="4" fontId="31" fillId="36" borderId="236">
      <alignment horizontal="right" vertical="center"/>
    </xf>
    <xf numFmtId="0" fontId="56" fillId="46" borderId="233" applyNumberFormat="0" applyAlignment="0" applyProtection="0"/>
    <xf numFmtId="0" fontId="47" fillId="46" borderId="233" applyNumberFormat="0" applyAlignment="0" applyProtection="0"/>
    <xf numFmtId="0" fontId="43" fillId="59" borderId="233" applyNumberFormat="0" applyAlignment="0" applyProtection="0"/>
    <xf numFmtId="0" fontId="33" fillId="38" borderId="239">
      <alignment horizontal="left" vertical="center" wrapText="1" indent="2"/>
    </xf>
    <xf numFmtId="0" fontId="33" fillId="0" borderId="239">
      <alignment horizontal="left" vertical="center" wrapText="1" indent="2"/>
    </xf>
    <xf numFmtId="0" fontId="33" fillId="38" borderId="239">
      <alignment horizontal="left" vertical="center" wrapText="1" indent="2"/>
    </xf>
    <xf numFmtId="0" fontId="33" fillId="0" borderId="239">
      <alignment horizontal="left" vertical="center" wrapText="1" indent="2"/>
    </xf>
    <xf numFmtId="0" fontId="41" fillId="59" borderId="232" applyNumberFormat="0" applyAlignment="0" applyProtection="0"/>
    <xf numFmtId="0" fontId="43" fillId="59" borderId="233" applyNumberFormat="0" applyAlignment="0" applyProtection="0"/>
    <xf numFmtId="0" fontId="44" fillId="59" borderId="233" applyNumberFormat="0" applyAlignment="0" applyProtection="0"/>
    <xf numFmtId="0" fontId="47" fillId="46" borderId="233" applyNumberFormat="0" applyAlignment="0" applyProtection="0"/>
    <xf numFmtId="0" fontId="48" fillId="0" borderId="234" applyNumberFormat="0" applyFill="0" applyAlignment="0" applyProtection="0"/>
    <xf numFmtId="0" fontId="56" fillId="46" borderId="233" applyNumberFormat="0" applyAlignment="0" applyProtection="0"/>
    <xf numFmtId="0" fontId="38" fillId="62" borderId="235" applyNumberFormat="0" applyFont="0" applyAlignment="0" applyProtection="0"/>
    <xf numFmtId="0" fontId="19" fillId="62" borderId="235" applyNumberFormat="0" applyFont="0" applyAlignment="0" applyProtection="0"/>
    <xf numFmtId="0" fontId="60" fillId="59" borderId="232" applyNumberFormat="0" applyAlignment="0" applyProtection="0"/>
    <xf numFmtId="0" fontId="63" fillId="0" borderId="234" applyNumberFormat="0" applyFill="0" applyAlignment="0" applyProtection="0"/>
    <xf numFmtId="0" fontId="44" fillId="59" borderId="233" applyNumberFormat="0" applyAlignment="0" applyProtection="0"/>
    <xf numFmtId="0" fontId="56" fillId="46" borderId="233" applyNumberFormat="0" applyAlignment="0" applyProtection="0"/>
    <xf numFmtId="0" fontId="38" fillId="62" borderId="235" applyNumberFormat="0" applyFont="0" applyAlignment="0" applyProtection="0"/>
    <xf numFmtId="0" fontId="60" fillId="59" borderId="232" applyNumberFormat="0" applyAlignment="0" applyProtection="0"/>
    <xf numFmtId="0" fontId="63" fillId="0" borderId="234" applyNumberFormat="0" applyFill="0" applyAlignment="0" applyProtection="0"/>
    <xf numFmtId="0" fontId="44" fillId="59" borderId="233" applyNumberFormat="0" applyAlignment="0" applyProtection="0"/>
    <xf numFmtId="0" fontId="56" fillId="46" borderId="233" applyNumberFormat="0" applyAlignment="0" applyProtection="0"/>
    <xf numFmtId="0" fontId="60" fillId="59" borderId="232" applyNumberFormat="0" applyAlignment="0" applyProtection="0"/>
    <xf numFmtId="0" fontId="63" fillId="0" borderId="234" applyNumberFormat="0" applyFill="0" applyAlignment="0" applyProtection="0"/>
    <xf numFmtId="0" fontId="41" fillId="59" borderId="232" applyNumberFormat="0" applyAlignment="0" applyProtection="0"/>
    <xf numFmtId="0" fontId="43" fillId="59" borderId="233" applyNumberFormat="0" applyAlignment="0" applyProtection="0"/>
    <xf numFmtId="0" fontId="48" fillId="0" borderId="234" applyNumberFormat="0" applyFill="0" applyAlignment="0" applyProtection="0"/>
    <xf numFmtId="49" fontId="33" fillId="0" borderId="236" applyNumberFormat="0" applyFont="0" applyFill="0" applyBorder="0" applyProtection="0">
      <alignment horizontal="left" vertical="center" indent="2"/>
    </xf>
    <xf numFmtId="0" fontId="31" fillId="36" borderId="236">
      <alignment horizontal="right" vertical="center"/>
    </xf>
    <xf numFmtId="4" fontId="31" fillId="36" borderId="236">
      <alignment horizontal="right" vertical="center"/>
    </xf>
    <xf numFmtId="0" fontId="35" fillId="36" borderId="236">
      <alignment horizontal="right" vertical="center"/>
    </xf>
    <xf numFmtId="4" fontId="35" fillId="36" borderId="236">
      <alignment horizontal="right" vertical="center"/>
    </xf>
    <xf numFmtId="0" fontId="31" fillId="38" borderId="236">
      <alignment horizontal="right" vertical="center"/>
    </xf>
    <xf numFmtId="4" fontId="31" fillId="38" borderId="236">
      <alignment horizontal="right" vertical="center"/>
    </xf>
    <xf numFmtId="0" fontId="31" fillId="38" borderId="236">
      <alignment horizontal="right" vertical="center"/>
    </xf>
    <xf numFmtId="4" fontId="31" fillId="38" borderId="236">
      <alignment horizontal="right" vertical="center"/>
    </xf>
    <xf numFmtId="0" fontId="47" fillId="46" borderId="233" applyNumberFormat="0" applyAlignment="0" applyProtection="0"/>
    <xf numFmtId="0" fontId="33" fillId="0" borderId="236">
      <alignment horizontal="right" vertical="center"/>
    </xf>
    <xf numFmtId="4" fontId="33" fillId="0" borderId="236">
      <alignment horizontal="right" vertical="center"/>
    </xf>
    <xf numFmtId="4" fontId="33" fillId="0" borderId="236" applyFill="0" applyBorder="0" applyProtection="0">
      <alignment horizontal="right" vertical="center"/>
    </xf>
    <xf numFmtId="49" fontId="32" fillId="0" borderId="236" applyNumberFormat="0" applyFill="0" applyBorder="0" applyProtection="0">
      <alignment horizontal="left" vertical="center"/>
    </xf>
    <xf numFmtId="0" fontId="33" fillId="0" borderId="236" applyNumberFormat="0" applyFill="0" applyAlignment="0" applyProtection="0"/>
    <xf numFmtId="177" fontId="33" fillId="63" borderId="236" applyNumberFormat="0" applyFont="0" applyBorder="0" applyAlignment="0" applyProtection="0">
      <alignment horizontal="right" vertical="center"/>
    </xf>
    <xf numFmtId="0" fontId="33" fillId="37" borderId="236"/>
    <xf numFmtId="4" fontId="33" fillId="37" borderId="236"/>
    <xf numFmtId="4" fontId="31" fillId="38" borderId="236">
      <alignment horizontal="right" vertical="center"/>
    </xf>
    <xf numFmtId="0" fontId="33" fillId="37" borderId="236"/>
    <xf numFmtId="0" fontId="43" fillId="59" borderId="233" applyNumberFormat="0" applyAlignment="0" applyProtection="0"/>
    <xf numFmtId="0" fontId="31" fillId="36" borderId="236">
      <alignment horizontal="right" vertical="center"/>
    </xf>
    <xf numFmtId="0" fontId="33" fillId="0" borderId="236">
      <alignment horizontal="right" vertical="center"/>
    </xf>
    <xf numFmtId="0" fontId="63" fillId="0" borderId="234" applyNumberFormat="0" applyFill="0" applyAlignment="0" applyProtection="0"/>
    <xf numFmtId="0" fontId="33" fillId="36" borderId="237">
      <alignment horizontal="left" vertical="center"/>
    </xf>
    <xf numFmtId="0" fontId="56" fillId="46" borderId="233" applyNumberFormat="0" applyAlignment="0" applyProtection="0"/>
    <xf numFmtId="177" fontId="33" fillId="63" borderId="236" applyNumberFormat="0" applyFont="0" applyBorder="0" applyAlignment="0" applyProtection="0">
      <alignment horizontal="right" vertical="center"/>
    </xf>
    <xf numFmtId="0" fontId="38" fillId="62" borderId="235" applyNumberFormat="0" applyFont="0" applyAlignment="0" applyProtection="0"/>
    <xf numFmtId="0" fontId="33" fillId="0" borderId="239">
      <alignment horizontal="left" vertical="center" wrapText="1" indent="2"/>
    </xf>
    <xf numFmtId="4" fontId="33" fillId="37" borderId="236"/>
    <xf numFmtId="49" fontId="32" fillId="0" borderId="236" applyNumberFormat="0" applyFill="0" applyBorder="0" applyProtection="0">
      <alignment horizontal="left" vertical="center"/>
    </xf>
    <xf numFmtId="0" fontId="33" fillId="0" borderId="236">
      <alignment horizontal="right" vertical="center"/>
    </xf>
    <xf numFmtId="4" fontId="31" fillId="38" borderId="238">
      <alignment horizontal="right" vertical="center"/>
    </xf>
    <xf numFmtId="4" fontId="31" fillId="38" borderId="236">
      <alignment horizontal="right" vertical="center"/>
    </xf>
    <xf numFmtId="4" fontId="31" fillId="38" borderId="236">
      <alignment horizontal="right" vertical="center"/>
    </xf>
    <xf numFmtId="0" fontId="35" fillId="36" borderId="236">
      <alignment horizontal="right" vertical="center"/>
    </xf>
    <xf numFmtId="0" fontId="31" fillId="36" borderId="236">
      <alignment horizontal="right" vertical="center"/>
    </xf>
    <xf numFmtId="49" fontId="33" fillId="0" borderId="236" applyNumberFormat="0" applyFont="0" applyFill="0" applyBorder="0" applyProtection="0">
      <alignment horizontal="left" vertical="center" indent="2"/>
    </xf>
    <xf numFmtId="0" fontId="56" fillId="46" borderId="233" applyNumberFormat="0" applyAlignment="0" applyProtection="0"/>
    <xf numFmtId="0" fontId="41" fillId="59" borderId="232" applyNumberFormat="0" applyAlignment="0" applyProtection="0"/>
    <xf numFmtId="49" fontId="33" fillId="0" borderId="236" applyNumberFormat="0" applyFont="0" applyFill="0" applyBorder="0" applyProtection="0">
      <alignment horizontal="left" vertical="center" indent="2"/>
    </xf>
    <xf numFmtId="0" fontId="47" fillId="46" borderId="233" applyNumberFormat="0" applyAlignment="0" applyProtection="0"/>
    <xf numFmtId="4" fontId="33" fillId="0" borderId="236" applyFill="0" applyBorder="0" applyProtection="0">
      <alignment horizontal="right" vertical="center"/>
    </xf>
    <xf numFmtId="0" fontId="44" fillId="59" borderId="233" applyNumberFormat="0" applyAlignment="0" applyProtection="0"/>
    <xf numFmtId="0" fontId="63" fillId="0" borderId="234" applyNumberFormat="0" applyFill="0" applyAlignment="0" applyProtection="0"/>
    <xf numFmtId="0" fontId="60" fillId="59" borderId="232" applyNumberFormat="0" applyAlignment="0" applyProtection="0"/>
    <xf numFmtId="0" fontId="33" fillId="0" borderId="236" applyNumberFormat="0" applyFill="0" applyAlignment="0" applyProtection="0"/>
    <xf numFmtId="4" fontId="33" fillId="0" borderId="236">
      <alignment horizontal="right" vertical="center"/>
    </xf>
    <xf numFmtId="0" fontId="33" fillId="0" borderId="236">
      <alignment horizontal="right" vertical="center"/>
    </xf>
    <xf numFmtId="0" fontId="56" fillId="46" borderId="233" applyNumberFormat="0" applyAlignment="0" applyProtection="0"/>
    <xf numFmtId="0" fontId="41" fillId="59" borderId="232" applyNumberFormat="0" applyAlignment="0" applyProtection="0"/>
    <xf numFmtId="0" fontId="43" fillId="59" borderId="233" applyNumberFormat="0" applyAlignment="0" applyProtection="0"/>
    <xf numFmtId="0" fontId="33" fillId="38" borderId="239">
      <alignment horizontal="left" vertical="center" wrapText="1" indent="2"/>
    </xf>
    <xf numFmtId="0" fontId="44" fillId="59" borderId="233" applyNumberFormat="0" applyAlignment="0" applyProtection="0"/>
    <xf numFmtId="0" fontId="44" fillId="59" borderId="233" applyNumberFormat="0" applyAlignment="0" applyProtection="0"/>
    <xf numFmtId="4" fontId="31" fillId="38" borderId="237">
      <alignment horizontal="right" vertical="center"/>
    </xf>
    <xf numFmtId="0" fontId="31" fillId="38" borderId="237">
      <alignment horizontal="right" vertical="center"/>
    </xf>
    <xf numFmtId="0" fontId="31" fillId="38" borderId="236">
      <alignment horizontal="right" vertical="center"/>
    </xf>
    <xf numFmtId="4" fontId="35" fillId="36" borderId="236">
      <alignment horizontal="right" vertical="center"/>
    </xf>
    <xf numFmtId="0" fontId="47" fillId="46" borderId="233" applyNumberFormat="0" applyAlignment="0" applyProtection="0"/>
    <xf numFmtId="0" fontId="48" fillId="0" borderId="234" applyNumberFormat="0" applyFill="0" applyAlignment="0" applyProtection="0"/>
    <xf numFmtId="0" fontId="63" fillId="0" borderId="234" applyNumberFormat="0" applyFill="0" applyAlignment="0" applyProtection="0"/>
    <xf numFmtId="0" fontId="38" fillId="62" borderId="235" applyNumberFormat="0" applyFont="0" applyAlignment="0" applyProtection="0"/>
    <xf numFmtId="0" fontId="56" fillId="46" borderId="233" applyNumberFormat="0" applyAlignment="0" applyProtection="0"/>
    <xf numFmtId="49" fontId="32" fillId="0" borderId="236" applyNumberFormat="0" applyFill="0" applyBorder="0" applyProtection="0">
      <alignment horizontal="left" vertical="center"/>
    </xf>
    <xf numFmtId="0" fontId="33" fillId="38" borderId="239">
      <alignment horizontal="left" vertical="center" wrapText="1" indent="2"/>
    </xf>
    <xf numFmtId="0" fontId="44" fillId="59" borderId="233" applyNumberFormat="0" applyAlignment="0" applyProtection="0"/>
    <xf numFmtId="0" fontId="33" fillId="0" borderId="239">
      <alignment horizontal="left" vertical="center" wrapText="1" indent="2"/>
    </xf>
    <xf numFmtId="0" fontId="38" fillId="62" borderId="235" applyNumberFormat="0" applyFont="0" applyAlignment="0" applyProtection="0"/>
    <xf numFmtId="0" fontId="19" fillId="62" borderId="235" applyNumberFormat="0" applyFont="0" applyAlignment="0" applyProtection="0"/>
    <xf numFmtId="0" fontId="60" fillId="59" borderId="232" applyNumberFormat="0" applyAlignment="0" applyProtection="0"/>
    <xf numFmtId="0" fontId="63" fillId="0" borderId="234" applyNumberFormat="0" applyFill="0" applyAlignment="0" applyProtection="0"/>
    <xf numFmtId="4" fontId="33" fillId="37" borderId="236"/>
    <xf numFmtId="0" fontId="31" fillId="38" borderId="236">
      <alignment horizontal="right" vertical="center"/>
    </xf>
    <xf numFmtId="0" fontId="63" fillId="0" borderId="234" applyNumberFormat="0" applyFill="0" applyAlignment="0" applyProtection="0"/>
    <xf numFmtId="4" fontId="31" fillId="38" borderId="238">
      <alignment horizontal="right" vertical="center"/>
    </xf>
    <xf numFmtId="0" fontId="43" fillId="59" borderId="233" applyNumberFormat="0" applyAlignment="0" applyProtection="0"/>
    <xf numFmtId="0" fontId="31" fillId="38" borderId="237">
      <alignment horizontal="right" vertical="center"/>
    </xf>
    <xf numFmtId="0" fontId="44" fillId="59" borderId="233" applyNumberFormat="0" applyAlignment="0" applyProtection="0"/>
    <xf numFmtId="0" fontId="48" fillId="0" borderId="234" applyNumberFormat="0" applyFill="0" applyAlignment="0" applyProtection="0"/>
    <xf numFmtId="0" fontId="38" fillId="62" borderId="235" applyNumberFormat="0" applyFont="0" applyAlignment="0" applyProtection="0"/>
    <xf numFmtId="4" fontId="31" fillId="38" borderId="237">
      <alignment horizontal="right" vertical="center"/>
    </xf>
    <xf numFmtId="0" fontId="33" fillId="38" borderId="239">
      <alignment horizontal="left" vertical="center" wrapText="1" indent="2"/>
    </xf>
    <xf numFmtId="0" fontId="33" fillId="37" borderId="236"/>
    <xf numFmtId="177" fontId="33" fillId="63" borderId="236" applyNumberFormat="0" applyFont="0" applyBorder="0" applyAlignment="0" applyProtection="0">
      <alignment horizontal="right" vertical="center"/>
    </xf>
    <xf numFmtId="0" fontId="33" fillId="0" borderId="236" applyNumberFormat="0" applyFill="0" applyAlignment="0" applyProtection="0"/>
    <xf numFmtId="4" fontId="33" fillId="0" borderId="236" applyFill="0" applyBorder="0" applyProtection="0">
      <alignment horizontal="right" vertical="center"/>
    </xf>
    <xf numFmtId="4" fontId="31" fillId="36" borderId="236">
      <alignment horizontal="right" vertical="center"/>
    </xf>
    <xf numFmtId="0" fontId="48" fillId="0" borderId="234" applyNumberFormat="0" applyFill="0" applyAlignment="0" applyProtection="0"/>
    <xf numFmtId="49" fontId="32" fillId="0" borderId="236" applyNumberFormat="0" applyFill="0" applyBorder="0" applyProtection="0">
      <alignment horizontal="left" vertical="center"/>
    </xf>
    <xf numFmtId="49" fontId="33" fillId="0" borderId="237" applyNumberFormat="0" applyFont="0" applyFill="0" applyBorder="0" applyProtection="0">
      <alignment horizontal="left" vertical="center" indent="5"/>
    </xf>
    <xf numFmtId="0" fontId="33" fillId="36" borderId="237">
      <alignment horizontal="left" vertical="center"/>
    </xf>
    <xf numFmtId="0" fontId="44" fillId="59" borderId="233" applyNumberFormat="0" applyAlignment="0" applyProtection="0"/>
    <xf numFmtId="4" fontId="31" fillId="38" borderId="238">
      <alignment horizontal="right" vertical="center"/>
    </xf>
    <xf numFmtId="0" fontId="56" fillId="46" borderId="233" applyNumberFormat="0" applyAlignment="0" applyProtection="0"/>
    <xf numFmtId="0" fontId="56" fillId="46" borderId="233" applyNumberFormat="0" applyAlignment="0" applyProtection="0"/>
    <xf numFmtId="0" fontId="38" fillId="62" borderId="235" applyNumberFormat="0" applyFont="0" applyAlignment="0" applyProtection="0"/>
    <xf numFmtId="0" fontId="60" fillId="59" borderId="232" applyNumberFormat="0" applyAlignment="0" applyProtection="0"/>
    <xf numFmtId="0" fontId="63" fillId="0" borderId="234" applyNumberFormat="0" applyFill="0" applyAlignment="0" applyProtection="0"/>
    <xf numFmtId="0" fontId="31" fillId="38" borderId="236">
      <alignment horizontal="right" vertical="center"/>
    </xf>
    <xf numFmtId="0" fontId="19" fillId="62" borderId="235" applyNumberFormat="0" applyFont="0" applyAlignment="0" applyProtection="0"/>
    <xf numFmtId="4" fontId="33" fillId="0" borderId="236">
      <alignment horizontal="right" vertical="center"/>
    </xf>
    <xf numFmtId="0" fontId="63" fillId="0" borderId="234" applyNumberFormat="0" applyFill="0" applyAlignment="0" applyProtection="0"/>
    <xf numFmtId="0" fontId="31" fillId="38" borderId="236">
      <alignment horizontal="right" vertical="center"/>
    </xf>
    <xf numFmtId="0" fontId="31" fillId="38" borderId="236">
      <alignment horizontal="right" vertical="center"/>
    </xf>
    <xf numFmtId="4" fontId="35" fillId="36" borderId="236">
      <alignment horizontal="right" vertical="center"/>
    </xf>
    <xf numFmtId="0" fontId="31" fillId="36" borderId="236">
      <alignment horizontal="right" vertical="center"/>
    </xf>
    <xf numFmtId="4" fontId="31" fillId="36" borderId="236">
      <alignment horizontal="right" vertical="center"/>
    </xf>
    <xf numFmtId="0" fontId="35" fillId="36" borderId="236">
      <alignment horizontal="right" vertical="center"/>
    </xf>
    <xf numFmtId="4" fontId="35" fillId="36" borderId="236">
      <alignment horizontal="right" vertical="center"/>
    </xf>
    <xf numFmtId="0" fontId="31" fillId="38" borderId="236">
      <alignment horizontal="right" vertical="center"/>
    </xf>
    <xf numFmtId="4" fontId="31" fillId="38" borderId="236">
      <alignment horizontal="right" vertical="center"/>
    </xf>
    <xf numFmtId="0" fontId="31" fillId="38" borderId="236">
      <alignment horizontal="right" vertical="center"/>
    </xf>
    <xf numFmtId="4" fontId="31" fillId="38" borderId="236">
      <alignment horizontal="right" vertical="center"/>
    </xf>
    <xf numFmtId="0" fontId="31" fillId="38" borderId="237">
      <alignment horizontal="right" vertical="center"/>
    </xf>
    <xf numFmtId="4" fontId="31" fillId="38" borderId="237">
      <alignment horizontal="right" vertical="center"/>
    </xf>
    <xf numFmtId="0" fontId="31" fillId="38" borderId="238">
      <alignment horizontal="right" vertical="center"/>
    </xf>
    <xf numFmtId="4" fontId="31" fillId="38" borderId="238">
      <alignment horizontal="right" vertical="center"/>
    </xf>
    <xf numFmtId="0" fontId="44" fillId="59" borderId="233" applyNumberFormat="0" applyAlignment="0" applyProtection="0"/>
    <xf numFmtId="0" fontId="33" fillId="38" borderId="239">
      <alignment horizontal="left" vertical="center" wrapText="1" indent="2"/>
    </xf>
    <xf numFmtId="0" fontId="33" fillId="0" borderId="239">
      <alignment horizontal="left" vertical="center" wrapText="1" indent="2"/>
    </xf>
    <xf numFmtId="0" fontId="33" fillId="36" borderId="237">
      <alignment horizontal="left" vertical="center"/>
    </xf>
    <xf numFmtId="0" fontId="56" fillId="46" borderId="233" applyNumberFormat="0" applyAlignment="0" applyProtection="0"/>
    <xf numFmtId="0" fontId="33" fillId="0" borderId="236">
      <alignment horizontal="right" vertical="center"/>
    </xf>
    <xf numFmtId="4" fontId="33" fillId="0" borderId="236">
      <alignment horizontal="right" vertical="center"/>
    </xf>
    <xf numFmtId="0" fontId="33" fillId="0" borderId="236" applyNumberFormat="0" applyFill="0" applyAlignment="0" applyProtection="0"/>
    <xf numFmtId="0" fontId="60" fillId="59" borderId="232" applyNumberFormat="0" applyAlignment="0" applyProtection="0"/>
    <xf numFmtId="177" fontId="33" fillId="63" borderId="236" applyNumberFormat="0" applyFont="0" applyBorder="0" applyAlignment="0" applyProtection="0">
      <alignment horizontal="right" vertical="center"/>
    </xf>
    <xf numFmtId="0" fontId="33" fillId="37" borderId="236"/>
    <xf numFmtId="4" fontId="33" fillId="37" borderId="236"/>
    <xf numFmtId="0" fontId="63" fillId="0" borderId="234" applyNumberFormat="0" applyFill="0" applyAlignment="0" applyProtection="0"/>
    <xf numFmtId="0" fontId="19" fillId="62" borderId="235" applyNumberFormat="0" applyFont="0" applyAlignment="0" applyProtection="0"/>
    <xf numFmtId="0" fontId="38" fillId="62" borderId="235" applyNumberFormat="0" applyFont="0" applyAlignment="0" applyProtection="0"/>
    <xf numFmtId="0" fontId="33" fillId="0" borderId="236" applyNumberFormat="0" applyFill="0" applyAlignment="0" applyProtection="0"/>
    <xf numFmtId="0" fontId="48" fillId="0" borderId="234" applyNumberFormat="0" applyFill="0" applyAlignment="0" applyProtection="0"/>
    <xf numFmtId="0" fontId="63" fillId="0" borderId="234" applyNumberFormat="0" applyFill="0" applyAlignment="0" applyProtection="0"/>
    <xf numFmtId="0" fontId="47" fillId="46" borderId="233" applyNumberFormat="0" applyAlignment="0" applyProtection="0"/>
    <xf numFmtId="0" fontId="44" fillId="59" borderId="233" applyNumberFormat="0" applyAlignment="0" applyProtection="0"/>
    <xf numFmtId="4" fontId="35" fillId="36" borderId="236">
      <alignment horizontal="right" vertical="center"/>
    </xf>
    <xf numFmtId="0" fontId="31" fillId="36" borderId="236">
      <alignment horizontal="right" vertical="center"/>
    </xf>
    <xf numFmtId="177" fontId="33" fillId="63" borderId="236" applyNumberFormat="0" applyFont="0" applyBorder="0" applyAlignment="0" applyProtection="0">
      <alignment horizontal="right" vertical="center"/>
    </xf>
    <xf numFmtId="0" fontId="48" fillId="0" borderId="234" applyNumberFormat="0" applyFill="0" applyAlignment="0" applyProtection="0"/>
    <xf numFmtId="49" fontId="33" fillId="0" borderId="236" applyNumberFormat="0" applyFont="0" applyFill="0" applyBorder="0" applyProtection="0">
      <alignment horizontal="left" vertical="center" indent="2"/>
    </xf>
    <xf numFmtId="49" fontId="33" fillId="0" borderId="237" applyNumberFormat="0" applyFont="0" applyFill="0" applyBorder="0" applyProtection="0">
      <alignment horizontal="left" vertical="center" indent="5"/>
    </xf>
    <xf numFmtId="49" fontId="33" fillId="0" borderId="236" applyNumberFormat="0" applyFont="0" applyFill="0" applyBorder="0" applyProtection="0">
      <alignment horizontal="left" vertical="center" indent="2"/>
    </xf>
    <xf numFmtId="4" fontId="33" fillId="0" borderId="236" applyFill="0" applyBorder="0" applyProtection="0">
      <alignment horizontal="right" vertical="center"/>
    </xf>
    <xf numFmtId="49" fontId="32" fillId="0" borderId="236" applyNumberFormat="0" applyFill="0" applyBorder="0" applyProtection="0">
      <alignment horizontal="left" vertical="center"/>
    </xf>
    <xf numFmtId="0" fontId="33" fillId="0" borderId="239">
      <alignment horizontal="left" vertical="center" wrapText="1" indent="2"/>
    </xf>
    <xf numFmtId="0" fontId="60" fillId="59" borderId="232" applyNumberFormat="0" applyAlignment="0" applyProtection="0"/>
    <xf numFmtId="0" fontId="31" fillId="38" borderId="238">
      <alignment horizontal="right" vertical="center"/>
    </xf>
    <xf numFmtId="0" fontId="47" fillId="46" borderId="233" applyNumberFormat="0" applyAlignment="0" applyProtection="0"/>
    <xf numFmtId="0" fontId="31" fillId="38" borderId="238">
      <alignment horizontal="right" vertical="center"/>
    </xf>
    <xf numFmtId="4" fontId="31" fillId="38" borderId="236">
      <alignment horizontal="right" vertical="center"/>
    </xf>
    <xf numFmtId="0" fontId="31" fillId="38" borderId="236">
      <alignment horizontal="right" vertical="center"/>
    </xf>
    <xf numFmtId="0" fontId="41" fillId="59" borderId="232" applyNumberFormat="0" applyAlignment="0" applyProtection="0"/>
    <xf numFmtId="0" fontId="43" fillId="59" borderId="233" applyNumberFormat="0" applyAlignment="0" applyProtection="0"/>
    <xf numFmtId="0" fontId="48" fillId="0" borderId="234" applyNumberFormat="0" applyFill="0" applyAlignment="0" applyProtection="0"/>
    <xf numFmtId="0" fontId="33" fillId="37" borderId="236"/>
    <xf numFmtId="4" fontId="33" fillId="37" borderId="236"/>
    <xf numFmtId="4" fontId="31" fillId="38" borderId="236">
      <alignment horizontal="right" vertical="center"/>
    </xf>
    <xf numFmtId="0" fontId="35" fillId="36" borderId="236">
      <alignment horizontal="right" vertical="center"/>
    </xf>
    <xf numFmtId="0" fontId="47" fillId="46" borderId="233" applyNumberFormat="0" applyAlignment="0" applyProtection="0"/>
    <xf numFmtId="0" fontId="44" fillId="59" borderId="233" applyNumberFormat="0" applyAlignment="0" applyProtection="0"/>
    <xf numFmtId="4" fontId="33" fillId="0" borderId="236">
      <alignment horizontal="right" vertical="center"/>
    </xf>
    <xf numFmtId="0" fontId="33" fillId="38" borderId="239">
      <alignment horizontal="left" vertical="center" wrapText="1" indent="2"/>
    </xf>
    <xf numFmtId="0" fontId="33" fillId="0" borderId="239">
      <alignment horizontal="left" vertical="center" wrapText="1" indent="2"/>
    </xf>
    <xf numFmtId="0" fontId="60" fillId="59" borderId="232" applyNumberFormat="0" applyAlignment="0" applyProtection="0"/>
    <xf numFmtId="0" fontId="56" fillId="46" borderId="233" applyNumberFormat="0" applyAlignment="0" applyProtection="0"/>
    <xf numFmtId="0" fontId="43" fillId="59" borderId="233" applyNumberFormat="0" applyAlignment="0" applyProtection="0"/>
    <xf numFmtId="0" fontId="41" fillId="59" borderId="232" applyNumberFormat="0" applyAlignment="0" applyProtection="0"/>
    <xf numFmtId="0" fontId="31" fillId="38" borderId="238">
      <alignment horizontal="right" vertical="center"/>
    </xf>
    <xf numFmtId="0" fontId="35" fillId="36" borderId="236">
      <alignment horizontal="right" vertical="center"/>
    </xf>
    <xf numFmtId="4" fontId="31" fillId="36" borderId="236">
      <alignment horizontal="right" vertical="center"/>
    </xf>
    <xf numFmtId="4" fontId="31" fillId="38" borderId="236">
      <alignment horizontal="right" vertical="center"/>
    </xf>
    <xf numFmtId="49" fontId="33" fillId="0" borderId="237" applyNumberFormat="0" applyFont="0" applyFill="0" applyBorder="0" applyProtection="0">
      <alignment horizontal="left" vertical="center" indent="5"/>
    </xf>
    <xf numFmtId="4" fontId="33" fillId="0" borderId="236" applyFill="0" applyBorder="0" applyProtection="0">
      <alignment horizontal="right" vertical="center"/>
    </xf>
    <xf numFmtId="4" fontId="31" fillId="36" borderId="236">
      <alignment horizontal="right" vertical="center"/>
    </xf>
    <xf numFmtId="0" fontId="56" fillId="46" borderId="233" applyNumberFormat="0" applyAlignment="0" applyProtection="0"/>
    <xf numFmtId="0" fontId="47" fillId="46" borderId="233" applyNumberFormat="0" applyAlignment="0" applyProtection="0"/>
    <xf numFmtId="0" fontId="43" fillId="59" borderId="233" applyNumberFormat="0" applyAlignment="0" applyProtection="0"/>
    <xf numFmtId="0" fontId="33" fillId="38" borderId="239">
      <alignment horizontal="left" vertical="center" wrapText="1" indent="2"/>
    </xf>
    <xf numFmtId="0" fontId="33" fillId="0" borderId="239">
      <alignment horizontal="left" vertical="center" wrapText="1" indent="2"/>
    </xf>
    <xf numFmtId="0" fontId="33" fillId="38" borderId="239">
      <alignment horizontal="left" vertical="center" wrapText="1" indent="2"/>
    </xf>
    <xf numFmtId="0" fontId="33" fillId="0" borderId="236">
      <alignment horizontal="right" vertical="center"/>
    </xf>
    <xf numFmtId="4" fontId="31" fillId="38" borderId="238">
      <alignment horizontal="right" vertical="center"/>
    </xf>
    <xf numFmtId="0" fontId="33" fillId="0" borderId="236" applyNumberFormat="0" applyFill="0" applyAlignment="0" applyProtection="0"/>
    <xf numFmtId="0" fontId="31" fillId="38" borderId="236">
      <alignment horizontal="right" vertical="center"/>
    </xf>
    <xf numFmtId="4" fontId="31" fillId="38" borderId="238">
      <alignment horizontal="right" vertical="center"/>
    </xf>
    <xf numFmtId="0" fontId="33" fillId="37" borderId="236"/>
    <xf numFmtId="0" fontId="38" fillId="62" borderId="235" applyNumberFormat="0" applyFont="0" applyAlignment="0" applyProtection="0"/>
    <xf numFmtId="0" fontId="33" fillId="38" borderId="239">
      <alignment horizontal="left" vertical="center" wrapText="1" indent="2"/>
    </xf>
    <xf numFmtId="0" fontId="33" fillId="37" borderId="236"/>
    <xf numFmtId="0" fontId="26" fillId="17" borderId="10" applyNumberFormat="0" applyAlignment="0" applyProtection="0"/>
    <xf numFmtId="0" fontId="43" fillId="59" borderId="233" applyNumberFormat="0" applyAlignment="0" applyProtection="0"/>
    <xf numFmtId="0" fontId="41" fillId="59" borderId="232" applyNumberFormat="0" applyAlignment="0" applyProtection="0"/>
    <xf numFmtId="0" fontId="19" fillId="62" borderId="235" applyNumberFormat="0" applyFont="0" applyAlignment="0" applyProtection="0"/>
    <xf numFmtId="4" fontId="33" fillId="0" borderId="236">
      <alignment horizontal="right" vertical="center"/>
    </xf>
    <xf numFmtId="0" fontId="63" fillId="0" borderId="234" applyNumberFormat="0" applyFill="0" applyAlignment="0" applyProtection="0"/>
    <xf numFmtId="0" fontId="33" fillId="38" borderId="239">
      <alignment horizontal="left" vertical="center" wrapText="1" indent="2"/>
    </xf>
    <xf numFmtId="0" fontId="56" fillId="46" borderId="233" applyNumberFormat="0" applyAlignment="0" applyProtection="0"/>
    <xf numFmtId="0" fontId="31" fillId="38" borderId="236">
      <alignment horizontal="right" vertical="center"/>
    </xf>
    <xf numFmtId="0" fontId="63" fillId="0" borderId="234" applyNumberFormat="0" applyFill="0" applyAlignment="0" applyProtection="0"/>
    <xf numFmtId="0" fontId="47" fillId="46" borderId="233" applyNumberFormat="0" applyAlignment="0" applyProtection="0"/>
    <xf numFmtId="4" fontId="33" fillId="0" borderId="236" applyFill="0" applyBorder="0" applyProtection="0">
      <alignment horizontal="right" vertical="center"/>
    </xf>
    <xf numFmtId="0" fontId="44" fillId="59" borderId="233" applyNumberFormat="0" applyAlignment="0" applyProtection="0"/>
    <xf numFmtId="0" fontId="56" fillId="46" borderId="233" applyNumberFormat="0" applyAlignment="0" applyProtection="0"/>
    <xf numFmtId="0" fontId="33" fillId="0" borderId="239">
      <alignment horizontal="left" vertical="center" wrapText="1" indent="2"/>
    </xf>
    <xf numFmtId="4" fontId="31" fillId="36" borderId="236">
      <alignment horizontal="right" vertical="center"/>
    </xf>
    <xf numFmtId="0" fontId="56" fillId="46" borderId="233" applyNumberFormat="0" applyAlignment="0" applyProtection="0"/>
    <xf numFmtId="0" fontId="33" fillId="37" borderId="236"/>
    <xf numFmtId="0" fontId="33" fillId="0" borderId="239">
      <alignment horizontal="left" vertical="center" wrapText="1" indent="2"/>
    </xf>
    <xf numFmtId="49" fontId="33" fillId="0" borderId="237" applyNumberFormat="0" applyFont="0" applyFill="0" applyBorder="0" applyProtection="0">
      <alignment horizontal="left" vertical="center" indent="5"/>
    </xf>
    <xf numFmtId="0" fontId="38" fillId="62" borderId="235" applyNumberFormat="0" applyFont="0" applyAlignment="0" applyProtection="0"/>
    <xf numFmtId="0" fontId="35" fillId="36" borderId="236">
      <alignment horizontal="right" vertical="center"/>
    </xf>
    <xf numFmtId="4" fontId="31" fillId="38" borderId="238">
      <alignment horizontal="right" vertical="center"/>
    </xf>
    <xf numFmtId="0" fontId="56" fillId="46" borderId="233" applyNumberFormat="0" applyAlignment="0" applyProtection="0"/>
    <xf numFmtId="49" fontId="33" fillId="0" borderId="236" applyNumberFormat="0" applyFont="0" applyFill="0" applyBorder="0" applyProtection="0">
      <alignment horizontal="left" vertical="center" indent="2"/>
    </xf>
    <xf numFmtId="0" fontId="33" fillId="0" borderId="239">
      <alignment horizontal="left" vertical="center" wrapText="1" indent="2"/>
    </xf>
    <xf numFmtId="4" fontId="33" fillId="0" borderId="236">
      <alignment horizontal="right" vertical="center"/>
    </xf>
    <xf numFmtId="4" fontId="31" fillId="36" borderId="236">
      <alignment horizontal="right" vertical="center"/>
    </xf>
    <xf numFmtId="4" fontId="33" fillId="0" borderId="236">
      <alignment horizontal="right" vertical="center"/>
    </xf>
    <xf numFmtId="0" fontId="19" fillId="62" borderId="235" applyNumberFormat="0" applyFont="0" applyAlignment="0" applyProtection="0"/>
    <xf numFmtId="0" fontId="31" fillId="38" borderId="236">
      <alignment horizontal="right" vertical="center"/>
    </xf>
    <xf numFmtId="0" fontId="44" fillId="59" borderId="233" applyNumberFormat="0" applyAlignment="0" applyProtection="0"/>
    <xf numFmtId="0" fontId="60" fillId="59" borderId="232" applyNumberFormat="0" applyAlignment="0" applyProtection="0"/>
    <xf numFmtId="0" fontId="48" fillId="0" borderId="234" applyNumberFormat="0" applyFill="0" applyAlignment="0" applyProtection="0"/>
    <xf numFmtId="0" fontId="31" fillId="38" borderId="236">
      <alignment horizontal="right" vertical="center"/>
    </xf>
    <xf numFmtId="0" fontId="56" fillId="46" borderId="233" applyNumberFormat="0" applyAlignment="0" applyProtection="0"/>
    <xf numFmtId="0" fontId="33" fillId="0" borderId="239">
      <alignment horizontal="left" vertical="center" wrapText="1" indent="2"/>
    </xf>
    <xf numFmtId="0" fontId="48" fillId="0" borderId="234" applyNumberFormat="0" applyFill="0" applyAlignment="0" applyProtection="0"/>
    <xf numFmtId="0" fontId="25" fillId="17" borderId="22" applyNumberFormat="0" applyAlignment="0" applyProtection="0"/>
    <xf numFmtId="0" fontId="26" fillId="17" borderId="10" applyNumberFormat="0" applyAlignment="0" applyProtection="0"/>
    <xf numFmtId="0" fontId="33" fillId="36" borderId="237">
      <alignment horizontal="left" vertical="center"/>
    </xf>
    <xf numFmtId="0" fontId="27" fillId="0" borderId="0" applyNumberFormat="0" applyFill="0" applyBorder="0" applyAlignment="0" applyProtection="0"/>
    <xf numFmtId="4" fontId="31" fillId="38" borderId="238">
      <alignment horizontal="right" vertical="center"/>
    </xf>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38" fillId="62" borderId="235" applyNumberFormat="0" applyFont="0" applyAlignment="0" applyProtection="0"/>
    <xf numFmtId="0" fontId="63" fillId="0" borderId="234" applyNumberFormat="0" applyFill="0" applyAlignment="0" applyProtection="0"/>
    <xf numFmtId="0" fontId="60" fillId="59" borderId="232" applyNumberFormat="0" applyAlignment="0" applyProtection="0"/>
    <xf numFmtId="0" fontId="56" fillId="46" borderId="233" applyNumberFormat="0" applyAlignment="0" applyProtection="0"/>
    <xf numFmtId="4" fontId="33" fillId="0" borderId="236">
      <alignment horizontal="right" vertical="center"/>
    </xf>
    <xf numFmtId="0" fontId="28" fillId="0" borderId="0" applyNumberFormat="0" applyFill="0" applyBorder="0" applyAlignment="0" applyProtection="0"/>
    <xf numFmtId="0" fontId="63" fillId="0" borderId="234" applyNumberFormat="0" applyFill="0" applyAlignment="0" applyProtection="0"/>
    <xf numFmtId="177" fontId="33" fillId="63" borderId="236" applyNumberFormat="0" applyFont="0" applyBorder="0" applyAlignment="0" applyProtection="0">
      <alignment horizontal="right" vertical="center"/>
    </xf>
    <xf numFmtId="0" fontId="19" fillId="62" borderId="235" applyNumberFormat="0" applyFont="0" applyAlignment="0" applyProtection="0"/>
    <xf numFmtId="0" fontId="33" fillId="0" borderId="239">
      <alignment horizontal="left" vertical="center" wrapText="1" indent="2"/>
    </xf>
    <xf numFmtId="0" fontId="1" fillId="27" borderId="0" applyNumberFormat="0" applyBorder="0" applyAlignment="0" applyProtection="0"/>
    <xf numFmtId="49" fontId="32" fillId="0" borderId="236" applyNumberFormat="0" applyFill="0" applyBorder="0" applyProtection="0">
      <alignment horizontal="left" vertical="center"/>
    </xf>
    <xf numFmtId="0" fontId="63" fillId="0" borderId="234" applyNumberFormat="0" applyFill="0" applyAlignment="0" applyProtection="0"/>
    <xf numFmtId="0" fontId="43" fillId="59" borderId="233" applyNumberFormat="0" applyAlignment="0" applyProtection="0"/>
    <xf numFmtId="0" fontId="33" fillId="0" borderId="236" applyNumberFormat="0" applyFill="0" applyAlignment="0" applyProtection="0"/>
    <xf numFmtId="4" fontId="33" fillId="0" borderId="236" applyFill="0" applyBorder="0" applyProtection="0">
      <alignment horizontal="right" vertical="center"/>
    </xf>
    <xf numFmtId="49" fontId="33" fillId="0" borderId="236" applyNumberFormat="0" applyFont="0" applyFill="0" applyBorder="0" applyProtection="0">
      <alignment horizontal="left" vertical="center" indent="2"/>
    </xf>
    <xf numFmtId="49" fontId="32" fillId="0" borderId="236" applyNumberFormat="0" applyFill="0" applyBorder="0" applyProtection="0">
      <alignment horizontal="left" vertical="center"/>
    </xf>
    <xf numFmtId="0" fontId="60" fillId="59" borderId="232" applyNumberFormat="0" applyAlignment="0" applyProtection="0"/>
    <xf numFmtId="4" fontId="31" fillId="38" borderId="236">
      <alignment horizontal="right" vertical="center"/>
    </xf>
    <xf numFmtId="4" fontId="35" fillId="36" borderId="236">
      <alignment horizontal="right" vertical="center"/>
    </xf>
    <xf numFmtId="4" fontId="31" fillId="36" borderId="236">
      <alignment horizontal="right" vertical="center"/>
    </xf>
    <xf numFmtId="0" fontId="4" fillId="20" borderId="0" applyNumberFormat="0" applyBorder="0" applyAlignment="0" applyProtection="0"/>
    <xf numFmtId="0" fontId="31" fillId="38" borderId="236">
      <alignment horizontal="right" vertical="center"/>
    </xf>
    <xf numFmtId="0" fontId="33" fillId="37" borderId="236"/>
    <xf numFmtId="4" fontId="31" fillId="38" borderId="236">
      <alignment horizontal="right" vertical="center"/>
    </xf>
    <xf numFmtId="0" fontId="56" fillId="46" borderId="233" applyNumberFormat="0" applyAlignment="0" applyProtection="0"/>
    <xf numFmtId="0" fontId="60" fillId="59" borderId="232" applyNumberFormat="0" applyAlignment="0" applyProtection="0"/>
    <xf numFmtId="0" fontId="48" fillId="0" borderId="234" applyNumberFormat="0" applyFill="0" applyAlignment="0" applyProtection="0"/>
    <xf numFmtId="0" fontId="31" fillId="36" borderId="236">
      <alignment horizontal="right" vertical="center"/>
    </xf>
    <xf numFmtId="0" fontId="47" fillId="46" borderId="233" applyNumberFormat="0" applyAlignment="0" applyProtection="0"/>
    <xf numFmtId="0" fontId="63" fillId="0" borderId="234" applyNumberFormat="0" applyFill="0" applyAlignment="0" applyProtection="0"/>
    <xf numFmtId="4" fontId="31" fillId="38" borderId="238">
      <alignment horizontal="right" vertical="center"/>
    </xf>
    <xf numFmtId="0" fontId="31" fillId="38" borderId="237">
      <alignment horizontal="right" vertical="center"/>
    </xf>
    <xf numFmtId="4" fontId="35" fillId="36" borderId="236">
      <alignment horizontal="right" vertical="center"/>
    </xf>
    <xf numFmtId="4" fontId="31" fillId="38" borderId="237">
      <alignment horizontal="right" vertical="center"/>
    </xf>
    <xf numFmtId="0" fontId="60" fillId="59" borderId="232" applyNumberFormat="0" applyAlignment="0" applyProtection="0"/>
    <xf numFmtId="4" fontId="33" fillId="37" borderId="236"/>
    <xf numFmtId="49" fontId="33" fillId="0" borderId="236" applyNumberFormat="0" applyFont="0" applyFill="0" applyBorder="0" applyProtection="0">
      <alignment horizontal="left" vertical="center" indent="2"/>
    </xf>
    <xf numFmtId="0" fontId="56" fillId="46" borderId="233" applyNumberFormat="0" applyAlignment="0" applyProtection="0"/>
    <xf numFmtId="4" fontId="31" fillId="38" borderId="237">
      <alignment horizontal="right" vertical="center"/>
    </xf>
    <xf numFmtId="0" fontId="31" fillId="38" borderId="237">
      <alignment horizontal="right" vertical="center"/>
    </xf>
    <xf numFmtId="4" fontId="33" fillId="37" borderId="236"/>
    <xf numFmtId="0" fontId="33" fillId="36" borderId="237">
      <alignment horizontal="left" vertical="center"/>
    </xf>
    <xf numFmtId="4" fontId="31" fillId="38" borderId="237">
      <alignment horizontal="right" vertical="center"/>
    </xf>
    <xf numFmtId="0" fontId="31" fillId="38" borderId="238">
      <alignment horizontal="right" vertical="center"/>
    </xf>
    <xf numFmtId="0" fontId="1" fillId="22" borderId="0" applyNumberFormat="0" applyBorder="0" applyAlignment="0" applyProtection="0"/>
    <xf numFmtId="0" fontId="35" fillId="36" borderId="236">
      <alignment horizontal="right" vertical="center"/>
    </xf>
    <xf numFmtId="0" fontId="31" fillId="36" borderId="236">
      <alignment horizontal="right" vertical="center"/>
    </xf>
    <xf numFmtId="0" fontId="56" fillId="46" borderId="233" applyNumberFormat="0" applyAlignment="0" applyProtection="0"/>
    <xf numFmtId="0" fontId="41" fillId="59" borderId="232" applyNumberFormat="0" applyAlignment="0" applyProtection="0"/>
    <xf numFmtId="0" fontId="33" fillId="0" borderId="236">
      <alignment horizontal="right" vertical="center"/>
    </xf>
    <xf numFmtId="0" fontId="43" fillId="59" borderId="233" applyNumberFormat="0" applyAlignment="0" applyProtection="0"/>
    <xf numFmtId="0" fontId="44" fillId="59" borderId="233" applyNumberFormat="0" applyAlignment="0" applyProtection="0"/>
    <xf numFmtId="4" fontId="35" fillId="36" borderId="236">
      <alignment horizontal="right" vertical="center"/>
    </xf>
    <xf numFmtId="0" fontId="1" fillId="33" borderId="0" applyNumberFormat="0" applyBorder="0" applyAlignment="0" applyProtection="0"/>
    <xf numFmtId="0" fontId="1" fillId="24" borderId="0" applyNumberFormat="0" applyBorder="0" applyAlignment="0" applyProtection="0"/>
    <xf numFmtId="0" fontId="25" fillId="17" borderId="22" applyNumberFormat="0" applyAlignment="0" applyProtection="0"/>
    <xf numFmtId="4" fontId="31" fillId="38" borderId="236">
      <alignment horizontal="right" vertical="center"/>
    </xf>
    <xf numFmtId="49" fontId="33" fillId="0" borderId="236" applyNumberFormat="0" applyFont="0" applyFill="0" applyBorder="0" applyProtection="0">
      <alignment horizontal="left" vertical="center" indent="2"/>
    </xf>
    <xf numFmtId="0" fontId="43" fillId="59" borderId="233" applyNumberFormat="0" applyAlignment="0" applyProtection="0"/>
    <xf numFmtId="0" fontId="63" fillId="0" borderId="234" applyNumberFormat="0" applyFill="0" applyAlignment="0" applyProtection="0"/>
    <xf numFmtId="0" fontId="41" fillId="59" borderId="232" applyNumberFormat="0" applyAlignment="0" applyProtection="0"/>
    <xf numFmtId="0" fontId="4" fillId="35" borderId="0" applyNumberFormat="0" applyBorder="0" applyAlignment="0" applyProtection="0"/>
    <xf numFmtId="0" fontId="44" fillId="59" borderId="233" applyNumberFormat="0" applyAlignment="0" applyProtection="0"/>
    <xf numFmtId="4" fontId="33" fillId="0" borderId="236" applyFill="0" applyBorder="0" applyProtection="0">
      <alignment horizontal="right" vertical="center"/>
    </xf>
    <xf numFmtId="0" fontId="48" fillId="0" borderId="234" applyNumberFormat="0" applyFill="0" applyAlignment="0" applyProtection="0"/>
    <xf numFmtId="49" fontId="33" fillId="0" borderId="236" applyNumberFormat="0" applyFont="0" applyFill="0" applyBorder="0" applyProtection="0">
      <alignment horizontal="left" vertical="center" indent="2"/>
    </xf>
    <xf numFmtId="177" fontId="33" fillId="63" borderId="236" applyNumberFormat="0" applyFont="0" applyBorder="0" applyAlignment="0" applyProtection="0">
      <alignment horizontal="right" vertical="center"/>
    </xf>
    <xf numFmtId="4" fontId="35" fillId="36" borderId="236">
      <alignment horizontal="right" vertical="center"/>
    </xf>
    <xf numFmtId="0" fontId="31" fillId="36" borderId="236">
      <alignment horizontal="right" vertical="center"/>
    </xf>
    <xf numFmtId="0" fontId="4" fillId="35" borderId="0" applyNumberFormat="0" applyBorder="0" applyAlignment="0" applyProtection="0"/>
    <xf numFmtId="49" fontId="33" fillId="0" borderId="236" applyNumberFormat="0" applyFont="0" applyFill="0" applyBorder="0" applyProtection="0">
      <alignment horizontal="left" vertical="center" indent="2"/>
    </xf>
    <xf numFmtId="0" fontId="31" fillId="38" borderId="236">
      <alignment horizontal="right" vertical="center"/>
    </xf>
    <xf numFmtId="0" fontId="33" fillId="0" borderId="239">
      <alignment horizontal="left" vertical="center" wrapText="1" indent="2"/>
    </xf>
    <xf numFmtId="0" fontId="63" fillId="0" borderId="234" applyNumberFormat="0" applyFill="0" applyAlignment="0" applyProtection="0"/>
    <xf numFmtId="0" fontId="1" fillId="27" borderId="0" applyNumberFormat="0" applyBorder="0" applyAlignment="0" applyProtection="0"/>
    <xf numFmtId="0" fontId="33" fillId="38" borderId="239">
      <alignment horizontal="left" vertical="center" wrapText="1" indent="2"/>
    </xf>
    <xf numFmtId="4" fontId="31" fillId="38" borderId="236">
      <alignment horizontal="right" vertical="center"/>
    </xf>
    <xf numFmtId="0" fontId="44" fillId="59" borderId="233" applyNumberFormat="0" applyAlignment="0" applyProtection="0"/>
    <xf numFmtId="0" fontId="63" fillId="0" borderId="234" applyNumberFormat="0" applyFill="0" applyAlignment="0" applyProtection="0"/>
    <xf numFmtId="0" fontId="48" fillId="0" borderId="234" applyNumberFormat="0" applyFill="0" applyAlignment="0" applyProtection="0"/>
    <xf numFmtId="4" fontId="31" fillId="38" borderId="236">
      <alignment horizontal="right" vertical="center"/>
    </xf>
    <xf numFmtId="4" fontId="31" fillId="38" borderId="238">
      <alignment horizontal="right" vertical="center"/>
    </xf>
    <xf numFmtId="0" fontId="47" fillId="46" borderId="233" applyNumberFormat="0" applyAlignment="0" applyProtection="0"/>
    <xf numFmtId="4" fontId="31" fillId="38" borderId="236">
      <alignment horizontal="right" vertical="center"/>
    </xf>
    <xf numFmtId="49" fontId="33" fillId="0" borderId="236" applyNumberFormat="0" applyFont="0" applyFill="0" applyBorder="0" applyProtection="0">
      <alignment horizontal="left" vertical="center" indent="2"/>
    </xf>
    <xf numFmtId="0" fontId="4" fillId="29" borderId="0" applyNumberFormat="0" applyBorder="0" applyAlignment="0" applyProtection="0"/>
    <xf numFmtId="0" fontId="33" fillId="37" borderId="236"/>
    <xf numFmtId="0" fontId="26" fillId="17" borderId="10" applyNumberFormat="0" applyAlignment="0" applyProtection="0"/>
    <xf numFmtId="0" fontId="19" fillId="62" borderId="235" applyNumberFormat="0" applyFont="0" applyAlignment="0" applyProtection="0"/>
    <xf numFmtId="0" fontId="33" fillId="38" borderId="239">
      <alignment horizontal="left" vertical="center" wrapText="1" indent="2"/>
    </xf>
    <xf numFmtId="0" fontId="35" fillId="36" borderId="236">
      <alignment horizontal="right" vertical="center"/>
    </xf>
    <xf numFmtId="0" fontId="33" fillId="36" borderId="237">
      <alignment horizontal="left" vertical="center"/>
    </xf>
    <xf numFmtId="4" fontId="33" fillId="0" borderId="236" applyFill="0" applyBorder="0" applyProtection="0">
      <alignment horizontal="right" vertical="center"/>
    </xf>
    <xf numFmtId="0" fontId="63" fillId="0" borderId="234" applyNumberFormat="0" applyFill="0" applyAlignment="0" applyProtection="0"/>
    <xf numFmtId="0" fontId="48" fillId="0" borderId="234" applyNumberFormat="0" applyFill="0" applyAlignment="0" applyProtection="0"/>
    <xf numFmtId="0" fontId="31" fillId="38" borderId="237">
      <alignment horizontal="right" vertical="center"/>
    </xf>
    <xf numFmtId="0" fontId="63" fillId="0" borderId="234" applyNumberFormat="0" applyFill="0" applyAlignment="0" applyProtection="0"/>
    <xf numFmtId="0" fontId="56" fillId="46" borderId="233" applyNumberFormat="0" applyAlignment="0" applyProtection="0"/>
    <xf numFmtId="0" fontId="19" fillId="62" borderId="235" applyNumberFormat="0" applyFont="0" applyAlignment="0" applyProtection="0"/>
    <xf numFmtId="4" fontId="31" fillId="38" borderId="236">
      <alignment horizontal="right" vertical="center"/>
    </xf>
    <xf numFmtId="0" fontId="33" fillId="0" borderId="236">
      <alignment horizontal="right" vertical="center"/>
    </xf>
    <xf numFmtId="0" fontId="4" fillId="32" borderId="0" applyNumberFormat="0" applyBorder="0" applyAlignment="0" applyProtection="0"/>
    <xf numFmtId="0" fontId="33" fillId="38" borderId="239">
      <alignment horizontal="left" vertical="center" wrapText="1" indent="2"/>
    </xf>
    <xf numFmtId="0" fontId="48" fillId="0" borderId="234" applyNumberFormat="0" applyFill="0" applyAlignment="0" applyProtection="0"/>
    <xf numFmtId="4" fontId="31" fillId="38" borderId="236">
      <alignment horizontal="right" vertical="center"/>
    </xf>
    <xf numFmtId="0" fontId="38" fillId="62" borderId="235" applyNumberFormat="0" applyFont="0" applyAlignment="0" applyProtection="0"/>
    <xf numFmtId="49" fontId="32" fillId="0" borderId="236" applyNumberFormat="0" applyFill="0" applyBorder="0" applyProtection="0">
      <alignment horizontal="left" vertical="center"/>
    </xf>
    <xf numFmtId="4" fontId="31" fillId="36" borderId="236">
      <alignment horizontal="right" vertical="center"/>
    </xf>
    <xf numFmtId="0" fontId="31" fillId="38" borderId="236">
      <alignment horizontal="right" vertical="center"/>
    </xf>
    <xf numFmtId="0" fontId="26" fillId="17" borderId="10" applyNumberFormat="0" applyAlignment="0" applyProtection="0"/>
    <xf numFmtId="0" fontId="56" fillId="46" borderId="233" applyNumberFormat="0" applyAlignment="0" applyProtection="0"/>
    <xf numFmtId="0" fontId="38" fillId="62" borderId="235" applyNumberFormat="0" applyFont="0" applyAlignment="0" applyProtection="0"/>
    <xf numFmtId="0" fontId="38" fillId="62" borderId="235" applyNumberFormat="0" applyFont="0" applyAlignment="0" applyProtection="0"/>
    <xf numFmtId="4" fontId="31" fillId="38" borderId="238">
      <alignment horizontal="right" vertical="center"/>
    </xf>
    <xf numFmtId="0" fontId="31" fillId="38" borderId="238">
      <alignment horizontal="right" vertical="center"/>
    </xf>
    <xf numFmtId="49" fontId="33" fillId="0" borderId="237" applyNumberFormat="0" applyFont="0" applyFill="0" applyBorder="0" applyProtection="0">
      <alignment horizontal="left" vertical="center" indent="5"/>
    </xf>
    <xf numFmtId="0" fontId="48" fillId="0" borderId="234" applyNumberFormat="0" applyFill="0" applyAlignment="0" applyProtection="0"/>
    <xf numFmtId="0" fontId="44" fillId="59" borderId="233" applyNumberFormat="0" applyAlignment="0" applyProtection="0"/>
    <xf numFmtId="177" fontId="33" fillId="63" borderId="236" applyNumberFormat="0" applyFont="0" applyBorder="0" applyAlignment="0" applyProtection="0">
      <alignment horizontal="right" vertical="center"/>
    </xf>
    <xf numFmtId="0" fontId="63" fillId="0" borderId="234" applyNumberFormat="0" applyFill="0" applyAlignment="0" applyProtection="0"/>
    <xf numFmtId="0" fontId="33" fillId="0" borderId="236" applyNumberFormat="0" applyFill="0" applyAlignment="0" applyProtection="0"/>
    <xf numFmtId="0" fontId="63" fillId="0" borderId="234" applyNumberFormat="0" applyFill="0" applyAlignment="0" applyProtection="0"/>
    <xf numFmtId="0" fontId="33" fillId="0" borderId="239">
      <alignment horizontal="left" vertical="center" wrapText="1" indent="2"/>
    </xf>
    <xf numFmtId="0" fontId="47" fillId="46" borderId="233" applyNumberFormat="0" applyAlignment="0" applyProtection="0"/>
    <xf numFmtId="0" fontId="38" fillId="62" borderId="235" applyNumberFormat="0" applyFont="0" applyAlignment="0" applyProtection="0"/>
    <xf numFmtId="49" fontId="32" fillId="0" borderId="236" applyNumberFormat="0" applyFill="0" applyBorder="0" applyProtection="0">
      <alignment horizontal="left" vertical="center"/>
    </xf>
    <xf numFmtId="4" fontId="33" fillId="37" borderId="236"/>
    <xf numFmtId="0" fontId="38" fillId="62" borderId="235" applyNumberFormat="0" applyFont="0" applyAlignment="0" applyProtection="0"/>
    <xf numFmtId="0" fontId="1" fillId="25" borderId="0" applyNumberFormat="0" applyBorder="0" applyAlignment="0" applyProtection="0"/>
    <xf numFmtId="0" fontId="43" fillId="59" borderId="233" applyNumberFormat="0" applyAlignment="0" applyProtection="0"/>
    <xf numFmtId="0" fontId="31" fillId="38" borderId="238">
      <alignment horizontal="right" vertical="center"/>
    </xf>
    <xf numFmtId="4" fontId="33" fillId="37" borderId="236"/>
    <xf numFmtId="0" fontId="44" fillId="59" borderId="233" applyNumberFormat="0" applyAlignment="0" applyProtection="0"/>
    <xf numFmtId="0" fontId="43" fillId="59" borderId="233" applyNumberFormat="0" applyAlignment="0" applyProtection="0"/>
    <xf numFmtId="0" fontId="31" fillId="38" borderId="238">
      <alignment horizontal="right" vertical="center"/>
    </xf>
    <xf numFmtId="0" fontId="44" fillId="59" borderId="233" applyNumberFormat="0" applyAlignment="0" applyProtection="0"/>
    <xf numFmtId="0" fontId="63" fillId="0" borderId="234" applyNumberFormat="0" applyFill="0" applyAlignment="0" applyProtection="0"/>
    <xf numFmtId="0" fontId="38" fillId="62" borderId="235" applyNumberFormat="0" applyFont="0" applyAlignment="0" applyProtection="0"/>
    <xf numFmtId="49" fontId="32" fillId="0" borderId="236" applyNumberFormat="0" applyFill="0" applyBorder="0" applyProtection="0">
      <alignment horizontal="left" vertical="center"/>
    </xf>
    <xf numFmtId="0" fontId="31" fillId="38" borderId="236">
      <alignment horizontal="right" vertical="center"/>
    </xf>
    <xf numFmtId="0" fontId="33" fillId="38" borderId="239">
      <alignment horizontal="left" vertical="center" wrapText="1" indent="2"/>
    </xf>
    <xf numFmtId="0" fontId="1" fillId="24" borderId="0" applyNumberFormat="0" applyBorder="0" applyAlignment="0" applyProtection="0"/>
    <xf numFmtId="0" fontId="33" fillId="0" borderId="236" applyNumberFormat="0" applyFill="0" applyAlignment="0" applyProtection="0"/>
    <xf numFmtId="0" fontId="44" fillId="59" borderId="233" applyNumberFormat="0" applyAlignment="0" applyProtection="0"/>
    <xf numFmtId="4" fontId="33" fillId="0" borderId="236" applyFill="0" applyBorder="0" applyProtection="0">
      <alignment horizontal="right" vertical="center"/>
    </xf>
    <xf numFmtId="0" fontId="33" fillId="36" borderId="237">
      <alignment horizontal="left" vertical="center"/>
    </xf>
    <xf numFmtId="0" fontId="33" fillId="36" borderId="237">
      <alignment horizontal="left" vertical="center"/>
    </xf>
    <xf numFmtId="0" fontId="33" fillId="0" borderId="239">
      <alignment horizontal="left" vertical="center" wrapText="1" indent="2"/>
    </xf>
    <xf numFmtId="0" fontId="31" fillId="38" borderId="236">
      <alignment horizontal="right" vertical="center"/>
    </xf>
    <xf numFmtId="0" fontId="43" fillId="59" borderId="233" applyNumberFormat="0" applyAlignment="0" applyProtection="0"/>
    <xf numFmtId="0" fontId="48" fillId="0" borderId="234" applyNumberFormat="0" applyFill="0" applyAlignment="0" applyProtection="0"/>
    <xf numFmtId="0" fontId="60" fillId="59" borderId="232" applyNumberFormat="0" applyAlignment="0" applyProtection="0"/>
    <xf numFmtId="0" fontId="56" fillId="46" borderId="233" applyNumberFormat="0" applyAlignment="0" applyProtection="0"/>
    <xf numFmtId="4" fontId="31" fillId="38" borderId="237">
      <alignment horizontal="right" vertical="center"/>
    </xf>
    <xf numFmtId="4" fontId="31" fillId="38" borderId="236">
      <alignment horizontal="right" vertical="center"/>
    </xf>
    <xf numFmtId="0" fontId="33" fillId="38" borderId="239">
      <alignment horizontal="left" vertical="center" wrapText="1" indent="2"/>
    </xf>
    <xf numFmtId="4" fontId="31" fillId="38" borderId="236">
      <alignment horizontal="right" vertical="center"/>
    </xf>
    <xf numFmtId="0" fontId="33" fillId="0" borderId="236">
      <alignment horizontal="right" vertical="center"/>
    </xf>
    <xf numFmtId="0" fontId="35" fillId="36" borderId="236">
      <alignment horizontal="right" vertical="center"/>
    </xf>
    <xf numFmtId="177" fontId="33" fillId="63" borderId="236" applyNumberFormat="0" applyFont="0" applyBorder="0" applyAlignment="0" applyProtection="0">
      <alignment horizontal="right" vertical="center"/>
    </xf>
    <xf numFmtId="4" fontId="33" fillId="37" borderId="236"/>
    <xf numFmtId="0" fontId="47" fillId="46" borderId="233" applyNumberFormat="0" applyAlignment="0" applyProtection="0"/>
    <xf numFmtId="0" fontId="4" fillId="26" borderId="0" applyNumberFormat="0" applyBorder="0" applyAlignment="0" applyProtection="0"/>
    <xf numFmtId="0" fontId="19" fillId="62" borderId="235" applyNumberFormat="0" applyFont="0" applyAlignment="0" applyProtection="0"/>
    <xf numFmtId="0" fontId="33" fillId="0" borderId="236">
      <alignment horizontal="right" vertical="center"/>
    </xf>
    <xf numFmtId="49" fontId="32" fillId="0" borderId="236" applyNumberFormat="0" applyFill="0" applyBorder="0" applyProtection="0">
      <alignment horizontal="left" vertical="center"/>
    </xf>
    <xf numFmtId="0" fontId="56" fillId="46" borderId="233" applyNumberFormat="0" applyAlignment="0" applyProtection="0"/>
    <xf numFmtId="0" fontId="33" fillId="38" borderId="239">
      <alignment horizontal="left" vertical="center" wrapText="1" indent="2"/>
    </xf>
    <xf numFmtId="0" fontId="31" fillId="38" borderId="236">
      <alignment horizontal="right" vertical="center"/>
    </xf>
    <xf numFmtId="0" fontId="38" fillId="62" borderId="235" applyNumberFormat="0" applyFont="0" applyAlignment="0" applyProtection="0"/>
    <xf numFmtId="4" fontId="33" fillId="0" borderId="236">
      <alignment horizontal="right" vertical="center"/>
    </xf>
    <xf numFmtId="0" fontId="44" fillId="59" borderId="233" applyNumberFormat="0" applyAlignment="0" applyProtection="0"/>
    <xf numFmtId="4" fontId="33" fillId="0" borderId="236" applyFill="0" applyBorder="0" applyProtection="0">
      <alignment horizontal="right" vertical="center"/>
    </xf>
    <xf numFmtId="4" fontId="33" fillId="37" borderId="236"/>
    <xf numFmtId="4" fontId="31" fillId="36" borderId="236">
      <alignment horizontal="right" vertical="center"/>
    </xf>
    <xf numFmtId="0" fontId="1" fillId="25" borderId="0" applyNumberFormat="0" applyBorder="0" applyAlignment="0" applyProtection="0"/>
    <xf numFmtId="0" fontId="56" fillId="46" borderId="233" applyNumberFormat="0" applyAlignment="0" applyProtection="0"/>
    <xf numFmtId="49" fontId="33" fillId="0" borderId="237" applyNumberFormat="0" applyFont="0" applyFill="0" applyBorder="0" applyProtection="0">
      <alignment horizontal="left" vertical="center" indent="5"/>
    </xf>
    <xf numFmtId="0" fontId="31" fillId="38" borderId="238">
      <alignment horizontal="right" vertical="center"/>
    </xf>
    <xf numFmtId="4" fontId="33" fillId="0" borderId="236">
      <alignment horizontal="right" vertical="center"/>
    </xf>
    <xf numFmtId="0" fontId="33" fillId="0" borderId="239">
      <alignment horizontal="left" vertical="center" wrapText="1" indent="2"/>
    </xf>
    <xf numFmtId="0" fontId="56" fillId="46" borderId="233" applyNumberFormat="0" applyAlignment="0" applyProtection="0"/>
    <xf numFmtId="49" fontId="33" fillId="0" borderId="237" applyNumberFormat="0" applyFont="0" applyFill="0" applyBorder="0" applyProtection="0">
      <alignment horizontal="left" vertical="center" indent="5"/>
    </xf>
    <xf numFmtId="0" fontId="63" fillId="0" borderId="234" applyNumberFormat="0" applyFill="0" applyAlignment="0" applyProtection="0"/>
    <xf numFmtId="0" fontId="31" fillId="38" borderId="236">
      <alignment horizontal="right" vertical="center"/>
    </xf>
    <xf numFmtId="0" fontId="43" fillId="59" borderId="233" applyNumberFormat="0" applyAlignment="0" applyProtection="0"/>
    <xf numFmtId="0" fontId="31" fillId="38" borderId="236">
      <alignment horizontal="right" vertical="center"/>
    </xf>
    <xf numFmtId="0" fontId="27" fillId="0" borderId="0" applyNumberFormat="0" applyFill="0" applyBorder="0" applyAlignment="0" applyProtection="0"/>
    <xf numFmtId="0" fontId="63" fillId="0" borderId="234" applyNumberFormat="0" applyFill="0" applyAlignment="0" applyProtection="0"/>
    <xf numFmtId="0" fontId="44" fillId="59" borderId="233" applyNumberFormat="0" applyAlignment="0" applyProtection="0"/>
    <xf numFmtId="0" fontId="63" fillId="0" borderId="234" applyNumberFormat="0" applyFill="0" applyAlignment="0" applyProtection="0"/>
    <xf numFmtId="0" fontId="33" fillId="0" borderId="236" applyNumberFormat="0" applyFill="0" applyAlignment="0" applyProtection="0"/>
    <xf numFmtId="0" fontId="44" fillId="59" borderId="233" applyNumberFormat="0" applyAlignment="0" applyProtection="0"/>
    <xf numFmtId="0" fontId="60" fillId="59" borderId="232" applyNumberFormat="0" applyAlignment="0" applyProtection="0"/>
    <xf numFmtId="0" fontId="41" fillId="59" borderId="232" applyNumberFormat="0" applyAlignment="0" applyProtection="0"/>
    <xf numFmtId="0" fontId="60" fillId="59" borderId="232" applyNumberFormat="0" applyAlignment="0" applyProtection="0"/>
    <xf numFmtId="4" fontId="31" fillId="38" borderId="236">
      <alignment horizontal="right" vertical="center"/>
    </xf>
    <xf numFmtId="0" fontId="63" fillId="0" borderId="234" applyNumberFormat="0" applyFill="0" applyAlignment="0" applyProtection="0"/>
    <xf numFmtId="0" fontId="31" fillId="38" borderId="237">
      <alignment horizontal="right" vertical="center"/>
    </xf>
    <xf numFmtId="0" fontId="31" fillId="38" borderId="236">
      <alignment horizontal="right" vertical="center"/>
    </xf>
    <xf numFmtId="0" fontId="1" fillId="31" borderId="0" applyNumberFormat="0" applyBorder="0" applyAlignment="0" applyProtection="0"/>
    <xf numFmtId="0" fontId="31" fillId="38" borderId="236">
      <alignment horizontal="right" vertical="center"/>
    </xf>
    <xf numFmtId="0" fontId="31" fillId="38" borderId="238">
      <alignment horizontal="right" vertical="center"/>
    </xf>
    <xf numFmtId="0" fontId="33" fillId="37" borderId="236"/>
    <xf numFmtId="0" fontId="4" fillId="29" borderId="0" applyNumberFormat="0" applyBorder="0" applyAlignment="0" applyProtection="0"/>
    <xf numFmtId="4" fontId="35" fillId="36" borderId="236">
      <alignment horizontal="right" vertical="center"/>
    </xf>
    <xf numFmtId="0" fontId="31" fillId="38" borderId="237">
      <alignment horizontal="right" vertical="center"/>
    </xf>
    <xf numFmtId="0" fontId="43" fillId="59" borderId="233" applyNumberFormat="0" applyAlignment="0" applyProtection="0"/>
    <xf numFmtId="0" fontId="33" fillId="0" borderId="236">
      <alignment horizontal="right" vertical="center"/>
    </xf>
    <xf numFmtId="0" fontId="41" fillId="59" borderId="232" applyNumberFormat="0" applyAlignment="0" applyProtection="0"/>
    <xf numFmtId="4" fontId="33" fillId="0" borderId="236">
      <alignment horizontal="right" vertical="center"/>
    </xf>
    <xf numFmtId="0" fontId="31" fillId="38" borderId="237">
      <alignment horizontal="right" vertical="center"/>
    </xf>
    <xf numFmtId="0" fontId="19" fillId="62" borderId="235" applyNumberFormat="0" applyFont="0" applyAlignment="0" applyProtection="0"/>
    <xf numFmtId="0" fontId="38" fillId="62" borderId="235" applyNumberFormat="0" applyFont="0" applyAlignment="0" applyProtection="0"/>
    <xf numFmtId="0" fontId="44" fillId="59" borderId="233" applyNumberFormat="0" applyAlignment="0" applyProtection="0"/>
    <xf numFmtId="0" fontId="63" fillId="0" borderId="234" applyNumberFormat="0" applyFill="0" applyAlignment="0" applyProtection="0"/>
    <xf numFmtId="0" fontId="63" fillId="0" borderId="234" applyNumberFormat="0" applyFill="0" applyAlignment="0" applyProtection="0"/>
    <xf numFmtId="0" fontId="31" fillId="36" borderId="236">
      <alignment horizontal="right" vertical="center"/>
    </xf>
    <xf numFmtId="0" fontId="31" fillId="36" borderId="236">
      <alignment horizontal="right" vertical="center"/>
    </xf>
    <xf numFmtId="49" fontId="33" fillId="0" borderId="237" applyNumberFormat="0" applyFont="0" applyFill="0" applyBorder="0" applyProtection="0">
      <alignment horizontal="left" vertical="center" indent="5"/>
    </xf>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4" fontId="31" fillId="38" borderId="236">
      <alignment horizontal="right" vertical="center"/>
    </xf>
    <xf numFmtId="4" fontId="31" fillId="38" borderId="236">
      <alignment horizontal="right" vertical="center"/>
    </xf>
    <xf numFmtId="0" fontId="56" fillId="46" borderId="233" applyNumberFormat="0" applyAlignment="0" applyProtection="0"/>
    <xf numFmtId="0" fontId="44" fillId="59" borderId="233" applyNumberFormat="0" applyAlignment="0" applyProtection="0"/>
    <xf numFmtId="0" fontId="43" fillId="59" borderId="233" applyNumberFormat="0" applyAlignment="0" applyProtection="0"/>
    <xf numFmtId="0" fontId="33" fillId="0" borderId="239">
      <alignment horizontal="left" vertical="center" wrapText="1" indent="2"/>
    </xf>
    <xf numFmtId="0" fontId="1" fillId="18" borderId="0" applyNumberFormat="0" applyBorder="0" applyAlignment="0" applyProtection="0"/>
    <xf numFmtId="0" fontId="47" fillId="46" borderId="233" applyNumberFormat="0" applyAlignment="0" applyProtection="0"/>
    <xf numFmtId="0" fontId="48" fillId="0" borderId="234" applyNumberFormat="0" applyFill="0" applyAlignment="0" applyProtection="0"/>
    <xf numFmtId="177" fontId="33" fillId="63" borderId="236" applyNumberFormat="0" applyFont="0" applyBorder="0" applyAlignment="0" applyProtection="0">
      <alignment horizontal="right" vertical="center"/>
    </xf>
    <xf numFmtId="0" fontId="56" fillId="46" borderId="233" applyNumberFormat="0" applyAlignment="0" applyProtection="0"/>
    <xf numFmtId="0" fontId="4" fillId="23" borderId="0" applyNumberFormat="0" applyBorder="0" applyAlignment="0" applyProtection="0"/>
    <xf numFmtId="0" fontId="25" fillId="17" borderId="22" applyNumberFormat="0" applyAlignment="0" applyProtection="0"/>
    <xf numFmtId="0" fontId="33" fillId="0" borderId="239">
      <alignment horizontal="left" vertical="center" wrapText="1" indent="2"/>
    </xf>
    <xf numFmtId="0" fontId="31" fillId="38" borderId="236">
      <alignment horizontal="right" vertical="center"/>
    </xf>
    <xf numFmtId="4" fontId="33" fillId="0" borderId="236" applyFill="0" applyBorder="0" applyProtection="0">
      <alignment horizontal="right" vertical="center"/>
    </xf>
    <xf numFmtId="0" fontId="56" fillId="46" borderId="233" applyNumberFormat="0" applyAlignment="0" applyProtection="0"/>
    <xf numFmtId="0" fontId="33" fillId="0" borderId="239">
      <alignment horizontal="left" vertical="center" wrapText="1" indent="2"/>
    </xf>
    <xf numFmtId="0" fontId="33" fillId="37" borderId="236"/>
    <xf numFmtId="0" fontId="33" fillId="0" borderId="236">
      <alignment horizontal="right" vertical="center"/>
    </xf>
    <xf numFmtId="0" fontId="33" fillId="37" borderId="236"/>
    <xf numFmtId="0" fontId="33" fillId="0" borderId="236">
      <alignment horizontal="right" vertical="center"/>
    </xf>
    <xf numFmtId="0" fontId="33" fillId="0" borderId="239">
      <alignment horizontal="left" vertical="center" wrapText="1" indent="2"/>
    </xf>
    <xf numFmtId="0" fontId="56" fillId="46" borderId="233" applyNumberFormat="0" applyAlignment="0" applyProtection="0"/>
    <xf numFmtId="4" fontId="31" fillId="36" borderId="236">
      <alignment horizontal="right" vertical="center"/>
    </xf>
    <xf numFmtId="0" fontId="33" fillId="38" borderId="239">
      <alignment horizontal="left" vertical="center" wrapText="1" indent="2"/>
    </xf>
    <xf numFmtId="0" fontId="60" fillId="59" borderId="232" applyNumberFormat="0" applyAlignment="0" applyProtection="0"/>
    <xf numFmtId="0" fontId="35" fillId="36" borderId="236">
      <alignment horizontal="right" vertical="center"/>
    </xf>
    <xf numFmtId="0" fontId="1" fillId="28" borderId="0" applyNumberFormat="0" applyBorder="0" applyAlignment="0" applyProtection="0"/>
    <xf numFmtId="0" fontId="47" fillId="46" borderId="233" applyNumberFormat="0" applyAlignment="0" applyProtection="0"/>
    <xf numFmtId="4" fontId="35" fillId="36" borderId="236">
      <alignment horizontal="right" vertical="center"/>
    </xf>
    <xf numFmtId="0" fontId="48" fillId="0" borderId="234" applyNumberFormat="0" applyFill="0" applyAlignment="0" applyProtection="0"/>
    <xf numFmtId="0" fontId="4" fillId="23" borderId="0" applyNumberFormat="0" applyBorder="0" applyAlignment="0" applyProtection="0"/>
    <xf numFmtId="0" fontId="31" fillId="38" borderId="237">
      <alignment horizontal="right" vertical="center"/>
    </xf>
    <xf numFmtId="0" fontId="41" fillId="59" borderId="232" applyNumberFormat="0" applyAlignment="0" applyProtection="0"/>
    <xf numFmtId="0" fontId="33" fillId="37" borderId="236"/>
    <xf numFmtId="4" fontId="35" fillId="36" borderId="236">
      <alignment horizontal="right" vertical="center"/>
    </xf>
    <xf numFmtId="0" fontId="35" fillId="36" borderId="236">
      <alignment horizontal="right" vertical="center"/>
    </xf>
    <xf numFmtId="0" fontId="60" fillId="59" borderId="232" applyNumberFormat="0" applyAlignment="0" applyProtection="0"/>
    <xf numFmtId="49" fontId="33" fillId="0" borderId="236" applyNumberFormat="0" applyFont="0" applyFill="0" applyBorder="0" applyProtection="0">
      <alignment horizontal="left" vertical="center" indent="2"/>
    </xf>
    <xf numFmtId="0" fontId="1" fillId="28" borderId="0" applyNumberFormat="0" applyBorder="0" applyAlignment="0" applyProtection="0"/>
    <xf numFmtId="0" fontId="48" fillId="0" borderId="234" applyNumberFormat="0" applyFill="0" applyAlignment="0" applyProtection="0"/>
    <xf numFmtId="0" fontId="1" fillId="31" borderId="0" applyNumberFormat="0" applyBorder="0" applyAlignment="0" applyProtection="0"/>
    <xf numFmtId="0" fontId="60" fillId="59" borderId="232" applyNumberFormat="0" applyAlignment="0" applyProtection="0"/>
    <xf numFmtId="4" fontId="33" fillId="37" borderId="236"/>
    <xf numFmtId="0" fontId="3" fillId="0" borderId="23" applyNumberFormat="0" applyFill="0" applyAlignment="0" applyProtection="0"/>
    <xf numFmtId="0" fontId="31" fillId="38" borderId="238">
      <alignment horizontal="right" vertical="center"/>
    </xf>
    <xf numFmtId="0" fontId="41" fillId="59" borderId="232" applyNumberFormat="0" applyAlignment="0" applyProtection="0"/>
    <xf numFmtId="0" fontId="31" fillId="36" borderId="236">
      <alignment horizontal="right" vertical="center"/>
    </xf>
    <xf numFmtId="4" fontId="33" fillId="0" borderId="236">
      <alignment horizontal="right" vertical="center"/>
    </xf>
    <xf numFmtId="49" fontId="33" fillId="0" borderId="236" applyNumberFormat="0" applyFont="0" applyFill="0" applyBorder="0" applyProtection="0">
      <alignment horizontal="left" vertical="center" indent="2"/>
    </xf>
    <xf numFmtId="0" fontId="33" fillId="38" borderId="239">
      <alignment horizontal="left" vertical="center" wrapText="1" indent="2"/>
    </xf>
    <xf numFmtId="4" fontId="31" fillId="38" borderId="236">
      <alignment horizontal="right" vertical="center"/>
    </xf>
    <xf numFmtId="0" fontId="27" fillId="0" borderId="0" applyNumberFormat="0" applyFill="0" applyBorder="0" applyAlignment="0" applyProtection="0"/>
    <xf numFmtId="4" fontId="33" fillId="37" borderId="236"/>
    <xf numFmtId="0" fontId="31" fillId="36" borderId="236">
      <alignment horizontal="right" vertical="center"/>
    </xf>
    <xf numFmtId="0" fontId="4" fillId="20" borderId="0" applyNumberFormat="0" applyBorder="0" applyAlignment="0" applyProtection="0"/>
    <xf numFmtId="4" fontId="31" fillId="38" borderId="236">
      <alignment horizontal="right" vertical="center"/>
    </xf>
    <xf numFmtId="0" fontId="44" fillId="59" borderId="233" applyNumberFormat="0" applyAlignment="0" applyProtection="0"/>
    <xf numFmtId="0" fontId="38" fillId="62" borderId="235" applyNumberFormat="0" applyFont="0" applyAlignment="0" applyProtection="0"/>
    <xf numFmtId="0" fontId="63" fillId="0" borderId="234" applyNumberFormat="0" applyFill="0" applyAlignment="0" applyProtection="0"/>
    <xf numFmtId="0" fontId="63" fillId="0" borderId="234" applyNumberFormat="0" applyFill="0" applyAlignment="0" applyProtection="0"/>
    <xf numFmtId="4" fontId="31" fillId="38" borderId="237">
      <alignment horizontal="right" vertical="center"/>
    </xf>
    <xf numFmtId="4" fontId="35" fillId="36" borderId="236">
      <alignment horizontal="right" vertical="center"/>
    </xf>
    <xf numFmtId="0" fontId="31" fillId="38" borderId="236">
      <alignment horizontal="right" vertical="center"/>
    </xf>
    <xf numFmtId="0" fontId="3" fillId="0" borderId="23" applyNumberFormat="0" applyFill="0" applyAlignment="0" applyProtection="0"/>
    <xf numFmtId="0" fontId="44" fillId="59" borderId="233" applyNumberFormat="0" applyAlignment="0" applyProtection="0"/>
    <xf numFmtId="0" fontId="43" fillId="59" borderId="233" applyNumberFormat="0" applyAlignment="0" applyProtection="0"/>
    <xf numFmtId="0" fontId="31" fillId="36" borderId="236">
      <alignment horizontal="right" vertical="center"/>
    </xf>
    <xf numFmtId="0" fontId="44" fillId="59" borderId="233" applyNumberFormat="0" applyAlignment="0" applyProtection="0"/>
    <xf numFmtId="4" fontId="33" fillId="0" borderId="236" applyFill="0" applyBorder="0" applyProtection="0">
      <alignment horizontal="right" vertical="center"/>
    </xf>
    <xf numFmtId="0" fontId="33" fillId="38" borderId="239">
      <alignment horizontal="left" vertical="center" wrapText="1" indent="2"/>
    </xf>
    <xf numFmtId="4" fontId="33" fillId="37" borderId="236"/>
    <xf numFmtId="4" fontId="31" fillId="38" borderId="238">
      <alignment horizontal="right" vertical="center"/>
    </xf>
    <xf numFmtId="0" fontId="1" fillId="31" borderId="0" applyNumberFormat="0" applyBorder="0" applyAlignment="0" applyProtection="0"/>
    <xf numFmtId="0" fontId="47" fillId="46" borderId="233" applyNumberFormat="0" applyAlignment="0" applyProtection="0"/>
    <xf numFmtId="49" fontId="32" fillId="0" borderId="236" applyNumberFormat="0" applyFill="0" applyBorder="0" applyProtection="0">
      <alignment horizontal="left" vertical="center"/>
    </xf>
    <xf numFmtId="0" fontId="33" fillId="38" borderId="239">
      <alignment horizontal="left" vertical="center" wrapText="1" indent="2"/>
    </xf>
    <xf numFmtId="0" fontId="33" fillId="38" borderId="239">
      <alignment horizontal="left" vertical="center" wrapText="1" indent="2"/>
    </xf>
    <xf numFmtId="0" fontId="44" fillId="59" borderId="233" applyNumberFormat="0" applyAlignment="0" applyProtection="0"/>
    <xf numFmtId="0" fontId="3" fillId="0" borderId="23" applyNumberFormat="0" applyFill="0" applyAlignment="0" applyProtection="0"/>
    <xf numFmtId="0" fontId="1" fillId="21" borderId="0" applyNumberFormat="0" applyBorder="0" applyAlignment="0" applyProtection="0"/>
    <xf numFmtId="0" fontId="31" fillId="38" borderId="236">
      <alignment horizontal="right" vertical="center"/>
    </xf>
    <xf numFmtId="177" fontId="33" fillId="63" borderId="236" applyNumberFormat="0" applyFont="0" applyBorder="0" applyAlignment="0" applyProtection="0">
      <alignment horizontal="right" vertical="center"/>
    </xf>
    <xf numFmtId="0" fontId="1" fillId="34" borderId="0" applyNumberFormat="0" applyBorder="0" applyAlignment="0" applyProtection="0"/>
    <xf numFmtId="0" fontId="44" fillId="59" borderId="233" applyNumberFormat="0" applyAlignment="0" applyProtection="0"/>
    <xf numFmtId="0" fontId="1" fillId="25" borderId="0" applyNumberFormat="0" applyBorder="0" applyAlignment="0" applyProtection="0"/>
    <xf numFmtId="0" fontId="44" fillId="59" borderId="233" applyNumberFormat="0" applyAlignment="0" applyProtection="0"/>
    <xf numFmtId="0" fontId="60" fillId="59" borderId="232" applyNumberFormat="0" applyAlignment="0" applyProtection="0"/>
    <xf numFmtId="0" fontId="63" fillId="0" borderId="234" applyNumberFormat="0" applyFill="0" applyAlignment="0" applyProtection="0"/>
    <xf numFmtId="0" fontId="31" fillId="36" borderId="236">
      <alignment horizontal="right" vertical="center"/>
    </xf>
    <xf numFmtId="0" fontId="1" fillId="19" borderId="0" applyNumberFormat="0" applyBorder="0" applyAlignment="0" applyProtection="0"/>
    <xf numFmtId="0" fontId="60" fillId="59" borderId="232" applyNumberFormat="0" applyAlignment="0" applyProtection="0"/>
    <xf numFmtId="0" fontId="1" fillId="19" borderId="0" applyNumberFormat="0" applyBorder="0" applyAlignment="0" applyProtection="0"/>
    <xf numFmtId="4" fontId="35" fillId="36" borderId="236">
      <alignment horizontal="right" vertical="center"/>
    </xf>
    <xf numFmtId="4" fontId="31" fillId="36" borderId="236">
      <alignment horizontal="right" vertical="center"/>
    </xf>
    <xf numFmtId="0" fontId="33" fillId="0" borderId="236" applyNumberFormat="0" applyFill="0" applyAlignment="0" applyProtection="0"/>
    <xf numFmtId="4" fontId="31" fillId="36" borderId="236">
      <alignment horizontal="right" vertical="center"/>
    </xf>
    <xf numFmtId="0" fontId="4" fillId="29" borderId="0" applyNumberFormat="0" applyBorder="0" applyAlignment="0" applyProtection="0"/>
    <xf numFmtId="0" fontId="48" fillId="0" borderId="234" applyNumberFormat="0" applyFill="0" applyAlignment="0" applyProtection="0"/>
    <xf numFmtId="0" fontId="1" fillId="21" borderId="0" applyNumberFormat="0" applyBorder="0" applyAlignment="0" applyProtection="0"/>
    <xf numFmtId="0" fontId="33" fillId="0" borderId="236" applyNumberFormat="0" applyFill="0" applyAlignment="0" applyProtection="0"/>
    <xf numFmtId="0" fontId="35" fillId="36" borderId="236">
      <alignment horizontal="right" vertical="center"/>
    </xf>
    <xf numFmtId="0" fontId="38" fillId="62" borderId="235" applyNumberFormat="0" applyFont="0" applyAlignment="0" applyProtection="0"/>
    <xf numFmtId="4" fontId="31" fillId="38" borderId="236">
      <alignment horizontal="right" vertical="center"/>
    </xf>
    <xf numFmtId="4" fontId="31" fillId="38" borderId="236">
      <alignment horizontal="right" vertical="center"/>
    </xf>
    <xf numFmtId="0" fontId="56" fillId="46" borderId="233" applyNumberFormat="0" applyAlignment="0" applyProtection="0"/>
    <xf numFmtId="4" fontId="35" fillId="36" borderId="236">
      <alignment horizontal="right" vertical="center"/>
    </xf>
    <xf numFmtId="0" fontId="38" fillId="62" borderId="235" applyNumberFormat="0" applyFont="0" applyAlignment="0" applyProtection="0"/>
    <xf numFmtId="0" fontId="33" fillId="0" borderId="236" applyNumberFormat="0" applyFill="0" applyAlignment="0" applyProtection="0"/>
    <xf numFmtId="0" fontId="31" fillId="38" borderId="238">
      <alignment horizontal="right" vertical="center"/>
    </xf>
    <xf numFmtId="4" fontId="31" fillId="38" borderId="236">
      <alignment horizontal="right" vertical="center"/>
    </xf>
    <xf numFmtId="0" fontId="41" fillId="59" borderId="232" applyNumberFormat="0" applyAlignment="0" applyProtection="0"/>
    <xf numFmtId="4" fontId="33" fillId="37" borderId="236"/>
    <xf numFmtId="0" fontId="47" fillId="46" borderId="233" applyNumberFormat="0" applyAlignment="0" applyProtection="0"/>
    <xf numFmtId="0" fontId="44" fillId="59" borderId="233" applyNumberFormat="0" applyAlignment="0" applyProtection="0"/>
    <xf numFmtId="0" fontId="33" fillId="36" borderId="237">
      <alignment horizontal="left" vertical="center"/>
    </xf>
    <xf numFmtId="0" fontId="47" fillId="46" borderId="233" applyNumberFormat="0" applyAlignment="0" applyProtection="0"/>
    <xf numFmtId="0" fontId="35" fillId="36" borderId="236">
      <alignment horizontal="right" vertical="center"/>
    </xf>
    <xf numFmtId="0" fontId="31" fillId="38" borderId="236">
      <alignment horizontal="right" vertical="center"/>
    </xf>
    <xf numFmtId="0" fontId="33" fillId="36" borderId="237">
      <alignment horizontal="left" vertical="center"/>
    </xf>
    <xf numFmtId="0" fontId="19" fillId="62" borderId="235" applyNumberFormat="0" applyFont="0" applyAlignment="0" applyProtection="0"/>
    <xf numFmtId="0" fontId="4" fillId="32" borderId="0" applyNumberFormat="0" applyBorder="0" applyAlignment="0" applyProtection="0"/>
    <xf numFmtId="0" fontId="60" fillId="59" borderId="232" applyNumberFormat="0" applyAlignment="0" applyProtection="0"/>
    <xf numFmtId="0" fontId="43" fillId="59" borderId="233" applyNumberFormat="0" applyAlignment="0" applyProtection="0"/>
    <xf numFmtId="0" fontId="56" fillId="46" borderId="233" applyNumberFormat="0" applyAlignment="0" applyProtection="0"/>
    <xf numFmtId="0" fontId="1" fillId="22" borderId="0" applyNumberFormat="0" applyBorder="0" applyAlignment="0" applyProtection="0"/>
    <xf numFmtId="0" fontId="44" fillId="59" borderId="233" applyNumberFormat="0" applyAlignment="0" applyProtection="0"/>
    <xf numFmtId="0" fontId="4" fillId="26" borderId="0" applyNumberFormat="0" applyBorder="0" applyAlignment="0" applyProtection="0"/>
    <xf numFmtId="49" fontId="32" fillId="0" borderId="236" applyNumberFormat="0" applyFill="0" applyBorder="0" applyProtection="0">
      <alignment horizontal="left" vertical="center"/>
    </xf>
    <xf numFmtId="0" fontId="44" fillId="59" borderId="233" applyNumberFormat="0" applyAlignment="0" applyProtection="0"/>
    <xf numFmtId="0" fontId="43" fillId="59" borderId="233" applyNumberFormat="0" applyAlignment="0" applyProtection="0"/>
    <xf numFmtId="4" fontId="31" fillId="38" borderId="237">
      <alignment horizontal="right" vertical="center"/>
    </xf>
    <xf numFmtId="49" fontId="32" fillId="0" borderId="236" applyNumberFormat="0" applyFill="0" applyBorder="0" applyProtection="0">
      <alignment horizontal="left" vertical="center"/>
    </xf>
    <xf numFmtId="0" fontId="1" fillId="27" borderId="0" applyNumberFormat="0" applyBorder="0" applyAlignment="0" applyProtection="0"/>
    <xf numFmtId="0" fontId="4" fillId="35" borderId="0" applyNumberFormat="0" applyBorder="0" applyAlignment="0" applyProtection="0"/>
    <xf numFmtId="0" fontId="27" fillId="0" borderId="0" applyNumberFormat="0" applyFill="0" applyBorder="0" applyAlignment="0" applyProtection="0"/>
    <xf numFmtId="0" fontId="31" fillId="36" borderId="236">
      <alignment horizontal="right" vertical="center"/>
    </xf>
    <xf numFmtId="0" fontId="1" fillId="21" borderId="0" applyNumberFormat="0" applyBorder="0" applyAlignment="0" applyProtection="0"/>
    <xf numFmtId="0" fontId="1" fillId="34" borderId="0" applyNumberFormat="0" applyBorder="0" applyAlignment="0" applyProtection="0"/>
    <xf numFmtId="0" fontId="56" fillId="46" borderId="233" applyNumberFormat="0" applyAlignment="0" applyProtection="0"/>
    <xf numFmtId="4" fontId="31" fillId="38" borderId="237">
      <alignment horizontal="right" vertical="center"/>
    </xf>
    <xf numFmtId="0" fontId="31" fillId="38" borderId="236">
      <alignment horizontal="right" vertical="center"/>
    </xf>
    <xf numFmtId="177" fontId="33" fillId="63" borderId="236" applyNumberFormat="0" applyFont="0" applyBorder="0" applyAlignment="0" applyProtection="0">
      <alignment horizontal="right" vertical="center"/>
    </xf>
    <xf numFmtId="0" fontId="47" fillId="46" borderId="233" applyNumberFormat="0" applyAlignment="0" applyProtection="0"/>
    <xf numFmtId="0" fontId="1" fillId="19" borderId="0" applyNumberFormat="0" applyBorder="0" applyAlignment="0" applyProtection="0"/>
    <xf numFmtId="0" fontId="48" fillId="0" borderId="234" applyNumberFormat="0" applyFill="0" applyAlignment="0" applyProtection="0"/>
    <xf numFmtId="0" fontId="63" fillId="0" borderId="234" applyNumberFormat="0" applyFill="0" applyAlignment="0" applyProtection="0"/>
    <xf numFmtId="0" fontId="33" fillId="0" borderId="236" applyNumberFormat="0" applyFill="0" applyAlignment="0" applyProtection="0"/>
    <xf numFmtId="0" fontId="33" fillId="0" borderId="236">
      <alignment horizontal="right" vertical="center"/>
    </xf>
    <xf numFmtId="0" fontId="1" fillId="28" borderId="0" applyNumberFormat="0" applyBorder="0" applyAlignment="0" applyProtection="0"/>
    <xf numFmtId="0" fontId="1" fillId="18" borderId="0" applyNumberFormat="0" applyBorder="0" applyAlignment="0" applyProtection="0"/>
    <xf numFmtId="177" fontId="33" fillId="63" borderId="236" applyNumberFormat="0" applyFont="0" applyBorder="0" applyAlignment="0" applyProtection="0">
      <alignment horizontal="right" vertical="center"/>
    </xf>
    <xf numFmtId="0" fontId="28" fillId="0" borderId="0" applyNumberFormat="0" applyFill="0" applyBorder="0" applyAlignment="0" applyProtection="0"/>
    <xf numFmtId="0" fontId="1" fillId="24" borderId="0" applyNumberFormat="0" applyBorder="0" applyAlignment="0" applyProtection="0"/>
    <xf numFmtId="0" fontId="4" fillId="26" borderId="0" applyNumberFormat="0" applyBorder="0" applyAlignment="0" applyProtection="0"/>
    <xf numFmtId="0" fontId="48" fillId="0" borderId="234" applyNumberFormat="0" applyFill="0" applyAlignment="0" applyProtection="0"/>
    <xf numFmtId="4" fontId="31" fillId="38" borderId="238">
      <alignment horizontal="right" vertical="center"/>
    </xf>
    <xf numFmtId="0" fontId="33" fillId="0" borderId="236">
      <alignment horizontal="right" vertical="center"/>
    </xf>
    <xf numFmtId="0" fontId="38" fillId="62" borderId="23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38" fillId="62" borderId="235" applyNumberFormat="0" applyFont="0" applyAlignment="0" applyProtection="0"/>
    <xf numFmtId="0" fontId="4" fillId="20" borderId="0" applyNumberFormat="0" applyBorder="0" applyAlignment="0" applyProtection="0"/>
    <xf numFmtId="0" fontId="4" fillId="23" borderId="0" applyNumberFormat="0" applyBorder="0" applyAlignment="0" applyProtection="0"/>
    <xf numFmtId="0" fontId="33" fillId="0" borderId="236" applyNumberFormat="0" applyFill="0" applyAlignment="0" applyProtection="0"/>
    <xf numFmtId="0" fontId="1" fillId="22" borderId="0" applyNumberFormat="0" applyBorder="0" applyAlignment="0" applyProtection="0"/>
    <xf numFmtId="4" fontId="33" fillId="0" borderId="236" applyFill="0" applyBorder="0" applyProtection="0">
      <alignment horizontal="right" vertical="center"/>
    </xf>
    <xf numFmtId="0" fontId="1" fillId="30" borderId="0" applyNumberFormat="0" applyBorder="0" applyAlignment="0" applyProtection="0"/>
    <xf numFmtId="0" fontId="1" fillId="30" borderId="0" applyNumberFormat="0" applyBorder="0" applyAlignment="0" applyProtection="0"/>
    <xf numFmtId="0" fontId="35" fillId="36" borderId="236">
      <alignment horizontal="right" vertical="center"/>
    </xf>
    <xf numFmtId="0" fontId="47" fillId="46" borderId="233" applyNumberFormat="0" applyAlignment="0" applyProtection="0"/>
    <xf numFmtId="177" fontId="33" fillId="63" borderId="236" applyNumberFormat="0" applyFont="0" applyBorder="0" applyAlignment="0" applyProtection="0">
      <alignment horizontal="right" vertical="center"/>
    </xf>
    <xf numFmtId="0" fontId="47" fillId="46" borderId="233" applyNumberFormat="0" applyAlignment="0" applyProtection="0"/>
    <xf numFmtId="4" fontId="33" fillId="0" borderId="236">
      <alignment horizontal="right" vertical="center"/>
    </xf>
    <xf numFmtId="49" fontId="33" fillId="0" borderId="236" applyNumberFormat="0" applyFont="0" applyFill="0" applyBorder="0" applyProtection="0">
      <alignment horizontal="left" vertical="center" indent="2"/>
    </xf>
    <xf numFmtId="177" fontId="33" fillId="63" borderId="236" applyNumberFormat="0" applyFont="0" applyBorder="0" applyAlignment="0" applyProtection="0">
      <alignment horizontal="right" vertical="center"/>
    </xf>
    <xf numFmtId="49" fontId="32" fillId="0" borderId="236" applyNumberFormat="0" applyFill="0" applyBorder="0" applyProtection="0">
      <alignment horizontal="left" vertical="center"/>
    </xf>
    <xf numFmtId="4" fontId="31" fillId="38" borderId="236">
      <alignment horizontal="right" vertical="center"/>
    </xf>
    <xf numFmtId="0" fontId="47" fillId="46" borderId="233" applyNumberFormat="0" applyAlignment="0" applyProtection="0"/>
    <xf numFmtId="0" fontId="44" fillId="59" borderId="233" applyNumberFormat="0" applyAlignment="0" applyProtection="0"/>
    <xf numFmtId="4" fontId="33" fillId="0" borderId="236">
      <alignment horizontal="right" vertical="center"/>
    </xf>
    <xf numFmtId="0" fontId="33" fillId="38" borderId="239">
      <alignment horizontal="left" vertical="center" wrapText="1" indent="2"/>
    </xf>
    <xf numFmtId="0" fontId="33" fillId="0" borderId="239">
      <alignment horizontal="left" vertical="center" wrapText="1" indent="2"/>
    </xf>
    <xf numFmtId="0" fontId="60" fillId="59" borderId="232" applyNumberFormat="0" applyAlignment="0" applyProtection="0"/>
    <xf numFmtId="0" fontId="56" fillId="46" borderId="233" applyNumberFormat="0" applyAlignment="0" applyProtection="0"/>
    <xf numFmtId="0" fontId="43" fillId="59" borderId="233" applyNumberFormat="0" applyAlignment="0" applyProtection="0"/>
    <xf numFmtId="0" fontId="41" fillId="59" borderId="232" applyNumberFormat="0" applyAlignment="0" applyProtection="0"/>
    <xf numFmtId="0" fontId="31" fillId="38" borderId="238">
      <alignment horizontal="right" vertical="center"/>
    </xf>
    <xf numFmtId="0" fontId="35" fillId="36" borderId="236">
      <alignment horizontal="right" vertical="center"/>
    </xf>
    <xf numFmtId="4" fontId="31" fillId="36" borderId="236">
      <alignment horizontal="right" vertical="center"/>
    </xf>
    <xf numFmtId="4" fontId="31" fillId="38" borderId="236">
      <alignment horizontal="right" vertical="center"/>
    </xf>
    <xf numFmtId="49" fontId="33" fillId="0" borderId="237" applyNumberFormat="0" applyFont="0" applyFill="0" applyBorder="0" applyProtection="0">
      <alignment horizontal="left" vertical="center" indent="5"/>
    </xf>
    <xf numFmtId="4" fontId="33" fillId="0" borderId="236" applyFill="0" applyBorder="0" applyProtection="0">
      <alignment horizontal="right" vertical="center"/>
    </xf>
    <xf numFmtId="4" fontId="31" fillId="36" borderId="236">
      <alignment horizontal="right" vertical="center"/>
    </xf>
    <xf numFmtId="0" fontId="56" fillId="46" borderId="233" applyNumberFormat="0" applyAlignment="0" applyProtection="0"/>
    <xf numFmtId="0" fontId="47" fillId="46" borderId="233" applyNumberFormat="0" applyAlignment="0" applyProtection="0"/>
    <xf numFmtId="0" fontId="43" fillId="59" borderId="233" applyNumberFormat="0" applyAlignment="0" applyProtection="0"/>
    <xf numFmtId="0" fontId="33" fillId="38" borderId="239">
      <alignment horizontal="left" vertical="center" wrapText="1" indent="2"/>
    </xf>
    <xf numFmtId="0" fontId="33" fillId="0" borderId="239">
      <alignment horizontal="left" vertical="center" wrapText="1" indent="2"/>
    </xf>
    <xf numFmtId="0" fontId="33" fillId="38" borderId="239">
      <alignment horizontal="left" vertical="center" wrapText="1" indent="2"/>
    </xf>
    <xf numFmtId="0" fontId="1" fillId="25" borderId="0" applyNumberFormat="0" applyBorder="0" applyAlignment="0" applyProtection="0"/>
    <xf numFmtId="43" fontId="19" fillId="0" borderId="0" applyFont="0" applyFill="0" applyBorder="0" applyAlignment="0" applyProtection="0"/>
    <xf numFmtId="0" fontId="79" fillId="15" borderId="233" applyNumberFormat="0" applyAlignment="0" applyProtection="0"/>
    <xf numFmtId="0" fontId="79" fillId="15" borderId="23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6" borderId="0" applyNumberFormat="0" applyBorder="0" applyAlignment="0" applyProtection="0"/>
    <xf numFmtId="0" fontId="1" fillId="24" borderId="0" applyNumberFormat="0" applyBorder="0" applyAlignment="0" applyProtection="0"/>
    <xf numFmtId="0" fontId="4" fillId="2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6" fillId="38" borderId="233" applyNumberFormat="0" applyAlignment="0" applyProtection="0"/>
    <xf numFmtId="0" fontId="96" fillId="38" borderId="233" applyNumberFormat="0" applyAlignment="0" applyProtection="0"/>
    <xf numFmtId="0" fontId="28" fillId="0" borderId="0" applyNumberFormat="0" applyFill="0" applyBorder="0" applyAlignment="0" applyProtection="0"/>
    <xf numFmtId="0" fontId="25" fillId="17" borderId="22" applyNumberFormat="0" applyAlignment="0" applyProtection="0"/>
    <xf numFmtId="0" fontId="4" fillId="29" borderId="0" applyNumberFormat="0" applyBorder="0" applyAlignment="0" applyProtection="0"/>
    <xf numFmtId="0" fontId="1" fillId="31" borderId="0" applyNumberFormat="0" applyBorder="0" applyAlignment="0" applyProtection="0"/>
    <xf numFmtId="0" fontId="26" fillId="17" borderId="10" applyNumberFormat="0" applyAlignment="0" applyProtection="0"/>
    <xf numFmtId="0" fontId="4" fillId="32" borderId="0" applyNumberFormat="0" applyBorder="0" applyAlignment="0" applyProtection="0"/>
    <xf numFmtId="0" fontId="4" fillId="35" borderId="0" applyNumberFormat="0" applyBorder="0" applyAlignment="0" applyProtection="0"/>
    <xf numFmtId="0" fontId="4" fillId="20" borderId="0" applyNumberFormat="0" applyBorder="0" applyAlignment="0" applyProtection="0"/>
    <xf numFmtId="0" fontId="1" fillId="33"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25" fillId="17" borderId="22" applyNumberFormat="0" applyAlignment="0" applyProtection="0"/>
    <xf numFmtId="0" fontId="76" fillId="83" borderId="235" applyNumberFormat="0" applyFont="0" applyAlignment="0" applyProtection="0"/>
    <xf numFmtId="0" fontId="99" fillId="15" borderId="232" applyNumberFormat="0" applyAlignment="0" applyProtection="0"/>
    <xf numFmtId="0" fontId="1" fillId="30" borderId="0" applyNumberFormat="0" applyBorder="0" applyAlignment="0" applyProtection="0"/>
    <xf numFmtId="0" fontId="4" fillId="29" borderId="0" applyNumberFormat="0" applyBorder="0" applyAlignment="0" applyProtection="0"/>
    <xf numFmtId="43" fontId="98" fillId="0" borderId="63" applyFont="0" applyAlignment="0">
      <alignment vertical="top" wrapText="1"/>
    </xf>
    <xf numFmtId="0" fontId="4"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4" fillId="2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4" fillId="2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3" fillId="0" borderId="23" applyNumberFormat="0" applyFill="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6" fillId="17" borderId="10" applyNumberFormat="0" applyAlignment="0" applyProtection="0"/>
    <xf numFmtId="0" fontId="25" fillId="17" borderId="22" applyNumberFormat="0" applyAlignment="0" applyProtection="0"/>
    <xf numFmtId="4" fontId="82" fillId="0" borderId="240" applyNumberFormat="0" applyFont="0" applyFill="0" applyAlignment="0" applyProtection="0"/>
    <xf numFmtId="4" fontId="82" fillId="0" borderId="240" applyNumberFormat="0" applyFont="0" applyFill="0" applyAlignment="0" applyProtection="0"/>
    <xf numFmtId="44" fontId="19" fillId="0" borderId="0" applyFont="0" applyFill="0" applyBorder="0" applyAlignment="0" applyProtection="0"/>
    <xf numFmtId="3" fontId="126" fillId="82" borderId="236">
      <alignment horizontal="center"/>
      <protection locked="0"/>
    </xf>
    <xf numFmtId="17" fontId="127" fillId="82" borderId="236">
      <alignment horizontal="center"/>
      <protection locked="0"/>
    </xf>
    <xf numFmtId="43" fontId="1" fillId="0" borderId="0" applyFont="0" applyFill="0" applyBorder="0" applyAlignment="0" applyProtection="0"/>
    <xf numFmtId="43" fontId="1"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 fillId="0" borderId="0" applyFont="0" applyFill="0" applyBorder="0" applyAlignment="0" applyProtection="0"/>
    <xf numFmtId="43" fontId="130" fillId="0" borderId="0" applyFont="0" applyFill="0" applyBorder="0" applyAlignment="0" applyProtection="0"/>
    <xf numFmtId="43" fontId="98" fillId="0" borderId="0" applyFont="0" applyFill="0" applyBorder="0" applyAlignment="0" applyProtection="0">
      <alignment vertical="top"/>
    </xf>
    <xf numFmtId="43" fontId="19" fillId="0" borderId="0" applyFont="0" applyFill="0" applyBorder="0" applyAlignment="0" applyProtection="0"/>
    <xf numFmtId="43" fontId="130" fillId="0" borderId="0" applyFont="0" applyFill="0" applyBorder="0" applyAlignment="0" applyProtection="0"/>
    <xf numFmtId="43" fontId="131" fillId="0" borderId="0" applyFont="0" applyFill="0" applyBorder="0" applyAlignment="0" applyProtection="0"/>
    <xf numFmtId="43" fontId="1" fillId="0" borderId="0" applyFont="0" applyFill="0" applyBorder="0" applyAlignment="0" applyProtection="0"/>
    <xf numFmtId="43" fontId="132" fillId="0" borderId="0" applyFont="0" applyFill="0" applyBorder="0" applyAlignment="0" applyProtection="0"/>
    <xf numFmtId="42" fontId="98" fillId="0" borderId="0"/>
    <xf numFmtId="43" fontId="1" fillId="0" borderId="0" applyFont="0" applyFill="0" applyBorder="0" applyAlignment="0" applyProtection="0"/>
    <xf numFmtId="43" fontId="1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13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33" fillId="0" borderId="0" applyFont="0" applyFill="0" applyBorder="0" applyAlignment="0" applyProtection="0"/>
    <xf numFmtId="42" fontId="98" fillId="0" borderId="0"/>
    <xf numFmtId="43" fontId="19"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3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130" fillId="0" borderId="0" applyFont="0" applyFill="0" applyBorder="0" applyAlignment="0" applyProtection="0"/>
    <xf numFmtId="43" fontId="18" fillId="0" borderId="0" applyFont="0" applyFill="0" applyBorder="0" applyAlignment="0" applyProtection="0"/>
    <xf numFmtId="43" fontId="130" fillId="0" borderId="0" applyFont="0" applyFill="0" applyBorder="0" applyAlignment="0" applyProtection="0"/>
    <xf numFmtId="43" fontId="19" fillId="0" borderId="0" applyFont="0" applyFill="0" applyBorder="0" applyAlignment="0" applyProtection="0"/>
    <xf numFmtId="43" fontId="134"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30" fillId="0" borderId="0" applyFont="0" applyFill="0" applyBorder="0" applyAlignment="0" applyProtection="0"/>
    <xf numFmtId="43" fontId="19"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24" fillId="0" borderId="0" applyFont="0" applyFill="0" applyBorder="0" applyAlignment="0" applyProtection="0"/>
    <xf numFmtId="43" fontId="1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43" fontId="130" fillId="0" borderId="0" applyFont="0" applyFill="0" applyBorder="0" applyAlignment="0" applyProtection="0"/>
    <xf numFmtId="43" fontId="1" fillId="0" borderId="0" applyFont="0" applyFill="0" applyBorder="0" applyAlignment="0" applyProtection="0"/>
    <xf numFmtId="43" fontId="129" fillId="0" borderId="0" applyFont="0" applyFill="0" applyBorder="0" applyAlignment="0" applyProtection="0"/>
    <xf numFmtId="43" fontId="98" fillId="0" borderId="0">
      <alignment vertical="top"/>
    </xf>
    <xf numFmtId="43" fontId="130"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43" fontId="129" fillId="0" borderId="0" applyFont="0" applyFill="0" applyBorder="0" applyAlignment="0" applyProtection="0"/>
    <xf numFmtId="43" fontId="134"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98" fillId="0" borderId="0"/>
    <xf numFmtId="44" fontId="130" fillId="0" borderId="0" applyFont="0" applyFill="0" applyBorder="0" applyAlignment="0" applyProtection="0"/>
    <xf numFmtId="44" fontId="98" fillId="0" borderId="0" applyFont="0" applyFill="0" applyBorder="0" applyAlignment="0" applyProtection="0">
      <alignment vertical="top"/>
    </xf>
    <xf numFmtId="44" fontId="130" fillId="0" borderId="0" applyFont="0" applyFill="0" applyBorder="0" applyAlignment="0" applyProtection="0"/>
    <xf numFmtId="44" fontId="130" fillId="0" borderId="0" applyFont="0" applyFill="0" applyBorder="0" applyAlignment="0" applyProtection="0"/>
    <xf numFmtId="44" fontId="98" fillId="0" borderId="0">
      <alignment vertical="top"/>
    </xf>
    <xf numFmtId="44" fontId="19" fillId="0" borderId="0" applyFont="0" applyFill="0" applyBorder="0" applyAlignment="0" applyProtection="0"/>
    <xf numFmtId="44" fontId="19" fillId="0" borderId="0" applyFont="0" applyFill="0" applyBorder="0" applyAlignment="0" applyProtection="0"/>
    <xf numFmtId="44" fontId="9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98" fillId="0" borderId="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198" fontId="19" fillId="82" borderId="236">
      <alignment horizontal="right"/>
      <protection locked="0"/>
    </xf>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1" fillId="18" borderId="0" applyNumberFormat="0" applyBorder="0" applyAlignment="0" applyProtection="0"/>
    <xf numFmtId="0" fontId="1" fillId="28" borderId="0" applyNumberFormat="0" applyBorder="0" applyAlignment="0" applyProtection="0"/>
    <xf numFmtId="213" fontId="30" fillId="59" borderId="225" applyAlignment="0" applyProtection="0"/>
    <xf numFmtId="0" fontId="1" fillId="34" borderId="0" applyNumberFormat="0" applyBorder="0" applyAlignment="0" applyProtection="0"/>
    <xf numFmtId="0" fontId="1" fillId="21" borderId="0" applyNumberFormat="0" applyBorder="0" applyAlignment="0" applyProtection="0"/>
    <xf numFmtId="0" fontId="4" fillId="35" borderId="0" applyNumberFormat="0" applyBorder="0" applyAlignment="0" applyProtection="0"/>
    <xf numFmtId="0" fontId="1" fillId="27" borderId="0" applyNumberFormat="0" applyBorder="0" applyAlignment="0" applyProtection="0"/>
    <xf numFmtId="0" fontId="4" fillId="26" borderId="0" applyNumberFormat="0" applyBorder="0" applyAlignment="0" applyProtection="0"/>
    <xf numFmtId="0" fontId="1" fillId="22" borderId="0" applyNumberFormat="0" applyBorder="0" applyAlignment="0" applyProtection="0"/>
    <xf numFmtId="183" fontId="139" fillId="0" borderId="225">
      <alignment horizontal="left" vertical="center"/>
    </xf>
    <xf numFmtId="0" fontId="139" fillId="0" borderId="225">
      <alignment horizontal="left" vertical="center"/>
    </xf>
    <xf numFmtId="183" fontId="139" fillId="0" borderId="225">
      <alignment horizontal="left" vertical="center"/>
    </xf>
    <xf numFmtId="0" fontId="4" fillId="32"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44" fontId="19" fillId="98" borderId="0">
      <protection locked="0"/>
    </xf>
    <xf numFmtId="0" fontId="3" fillId="0" borderId="23" applyNumberFormat="0" applyFill="0" applyAlignment="0" applyProtection="0"/>
    <xf numFmtId="0" fontId="1" fillId="31" borderId="0" applyNumberFormat="0" applyBorder="0" applyAlignment="0" applyProtection="0"/>
    <xf numFmtId="10" fontId="18" fillId="83" borderId="236" applyNumberFormat="0" applyBorder="0" applyAlignment="0" applyProtection="0"/>
    <xf numFmtId="0" fontId="27" fillId="0" borderId="0" applyNumberFormat="0" applyFill="0" applyBorder="0" applyAlignment="0" applyProtection="0"/>
    <xf numFmtId="0" fontId="3" fillId="0" borderId="23" applyNumberFormat="0" applyFill="0" applyAlignment="0" applyProtection="0"/>
    <xf numFmtId="0" fontId="1" fillId="28" borderId="0" applyNumberFormat="0" applyBorder="0" applyAlignment="0" applyProtection="0"/>
    <xf numFmtId="0" fontId="4" fillId="23" borderId="0" applyNumberFormat="0" applyBorder="0" applyAlignment="0" applyProtection="0"/>
    <xf numFmtId="0" fontId="1" fillId="28" borderId="0" applyNumberFormat="0" applyBorder="0" applyAlignment="0" applyProtection="0"/>
    <xf numFmtId="0" fontId="4" fillId="23"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27" fillId="0" borderId="0" applyNumberFormat="0" applyFill="0" applyBorder="0" applyAlignment="0" applyProtection="0"/>
    <xf numFmtId="0" fontId="4" fillId="26"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6" fillId="17" borderId="10" applyNumberFormat="0" applyAlignment="0" applyProtection="0"/>
    <xf numFmtId="0" fontId="4" fillId="29"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25" fillId="17" borderId="22" applyNumberFormat="0" applyAlignment="0" applyProtection="0"/>
    <xf numFmtId="0" fontId="1" fillId="24"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28" fillId="0" borderId="0" applyNumberFormat="0" applyFill="0" applyBorder="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4" fillId="32" borderId="0" applyNumberFormat="0" applyBorder="0" applyAlignment="0" applyProtection="0"/>
    <xf numFmtId="0" fontId="1" fillId="31" borderId="0" applyNumberFormat="0" applyBorder="0" applyAlignment="0" applyProtection="0"/>
    <xf numFmtId="0" fontId="4"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4" fillId="20" borderId="0" applyNumberFormat="0" applyBorder="0" applyAlignment="0" applyProtection="0"/>
    <xf numFmtId="0" fontId="1" fillId="18" borderId="0" applyNumberFormat="0" applyBorder="0" applyAlignment="0" applyProtection="0"/>
    <xf numFmtId="0" fontId="3" fillId="0" borderId="23" applyNumberFormat="0" applyFill="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6" fillId="17" borderId="10" applyNumberFormat="0" applyAlignment="0" applyProtection="0"/>
    <xf numFmtId="0" fontId="26" fillId="17" borderId="10" applyNumberFormat="0" applyAlignment="0" applyProtection="0"/>
    <xf numFmtId="183" fontId="124" fillId="62" borderId="241" applyNumberFormat="0" applyFont="0" applyAlignment="0" applyProtection="0"/>
    <xf numFmtId="0" fontId="76" fillId="83" borderId="235" applyNumberFormat="0" applyFont="0" applyAlignment="0" applyProtection="0"/>
    <xf numFmtId="0" fontId="76" fillId="83" borderId="235" applyNumberFormat="0" applyFont="0" applyAlignment="0" applyProtection="0"/>
    <xf numFmtId="0" fontId="76" fillId="83" borderId="235" applyNumberFormat="0" applyFont="0" applyAlignment="0" applyProtection="0"/>
    <xf numFmtId="0" fontId="36" fillId="62" borderId="235" applyNumberFormat="0" applyFont="0" applyAlignment="0" applyProtection="0"/>
    <xf numFmtId="183" fontId="124" fillId="62" borderId="241" applyNumberFormat="0" applyFont="0" applyAlignment="0" applyProtection="0"/>
    <xf numFmtId="183" fontId="124" fillId="62" borderId="241" applyNumberFormat="0" applyFont="0" applyAlignment="0" applyProtection="0"/>
    <xf numFmtId="183" fontId="124" fillId="62" borderId="241" applyNumberFormat="0" applyFont="0" applyAlignment="0" applyProtection="0"/>
    <xf numFmtId="0" fontId="99" fillId="15" borderId="232" applyNumberFormat="0" applyAlignment="0" applyProtection="0"/>
    <xf numFmtId="43" fontId="36" fillId="0" borderId="0" applyFont="0" applyFill="0" applyBorder="0" applyAlignment="0" applyProtection="0"/>
    <xf numFmtId="0" fontId="4" fillId="35" borderId="0" applyNumberFormat="0" applyBorder="0" applyAlignment="0" applyProtection="0"/>
    <xf numFmtId="0" fontId="1" fillId="28" borderId="0" applyNumberFormat="0" applyBorder="0" applyAlignment="0" applyProtection="0"/>
    <xf numFmtId="43" fontId="98" fillId="0" borderId="63" applyFont="0" applyAlignment="0">
      <alignment vertical="top" wrapText="1"/>
    </xf>
    <xf numFmtId="0" fontId="1" fillId="27" borderId="0" applyNumberFormat="0" applyBorder="0" applyAlignment="0" applyProtection="0"/>
    <xf numFmtId="41" fontId="126" fillId="82" borderId="0">
      <alignment horizontal="center"/>
      <protection locked="0"/>
    </xf>
    <xf numFmtId="2" fontId="80" fillId="1" borderId="65" applyNumberFormat="0" applyBorder="0" applyProtection="0">
      <alignment horizontal="left"/>
    </xf>
    <xf numFmtId="210" fontId="159" fillId="0" borderId="69" applyFill="0"/>
    <xf numFmtId="210" fontId="138" fillId="0" borderId="66" applyFill="0"/>
    <xf numFmtId="183" fontId="163" fillId="69" borderId="242">
      <alignment horizontal="center" wrapText="1"/>
    </xf>
    <xf numFmtId="183" fontId="163" fillId="69" borderId="242">
      <alignment horizontal="centerContinuous" wrapText="1"/>
    </xf>
    <xf numFmtId="183" fontId="163" fillId="69" borderId="242">
      <alignment horizontal="center" vertical="justify" textRotation="90"/>
    </xf>
    <xf numFmtId="0" fontId="4" fillId="32"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4"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26" fillId="17" borderId="10" applyNumberFormat="0" applyAlignment="0" applyProtection="0"/>
    <xf numFmtId="0" fontId="1" fillId="21" borderId="0" applyNumberFormat="0" applyBorder="0" applyAlignment="0" applyProtection="0"/>
    <xf numFmtId="0" fontId="1" fillId="24" borderId="0" applyNumberFormat="0" applyBorder="0" applyAlignment="0" applyProtection="0"/>
    <xf numFmtId="0" fontId="3" fillId="0" borderId="23" applyNumberFormat="0" applyFill="0" applyAlignment="0" applyProtection="0"/>
    <xf numFmtId="0" fontId="4" fillId="29" borderId="0" applyNumberFormat="0" applyBorder="0" applyAlignment="0" applyProtection="0"/>
    <xf numFmtId="0" fontId="4" fillId="26" borderId="0" applyNumberFormat="0" applyBorder="0" applyAlignment="0" applyProtection="0"/>
    <xf numFmtId="0" fontId="4" fillId="20" borderId="0" applyNumberFormat="0" applyBorder="0" applyAlignment="0" applyProtection="0"/>
    <xf numFmtId="0" fontId="1" fillId="22" borderId="0" applyNumberFormat="0" applyBorder="0" applyAlignment="0" applyProtection="0"/>
    <xf numFmtId="0" fontId="25" fillId="17" borderId="22"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1" fillId="28" borderId="0" applyNumberFormat="0" applyBorder="0" applyAlignment="0" applyProtection="0"/>
    <xf numFmtId="0" fontId="4" fillId="20" borderId="0" applyNumberFormat="0" applyBorder="0" applyAlignment="0" applyProtection="0"/>
    <xf numFmtId="0" fontId="26" fillId="17" borderId="10" applyNumberFormat="0" applyAlignment="0" applyProtection="0"/>
    <xf numFmtId="0" fontId="4" fillId="35"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33" fillId="0" borderId="236" applyNumberFormat="0" applyFill="0" applyAlignment="0" applyProtection="0"/>
    <xf numFmtId="0" fontId="31" fillId="38" borderId="236">
      <alignment horizontal="right" vertical="center"/>
    </xf>
    <xf numFmtId="0" fontId="31" fillId="38" borderId="236">
      <alignment horizontal="right" vertical="center"/>
    </xf>
    <xf numFmtId="0" fontId="33" fillId="0" borderId="239">
      <alignment horizontal="left" vertical="center" wrapText="1" indent="2"/>
    </xf>
    <xf numFmtId="0" fontId="31" fillId="38" borderId="238">
      <alignment horizontal="right" vertical="center"/>
    </xf>
    <xf numFmtId="0" fontId="33" fillId="0" borderId="236">
      <alignment horizontal="right" vertical="center"/>
    </xf>
    <xf numFmtId="0" fontId="35" fillId="36" borderId="236">
      <alignment horizontal="right" vertical="center"/>
    </xf>
    <xf numFmtId="0" fontId="33" fillId="37" borderId="236"/>
    <xf numFmtId="0" fontId="31" fillId="36" borderId="236">
      <alignment horizontal="right" vertical="center"/>
    </xf>
    <xf numFmtId="4" fontId="33" fillId="0" borderId="236" applyFill="0" applyBorder="0" applyProtection="0">
      <alignment horizontal="right" vertical="center"/>
    </xf>
    <xf numFmtId="0" fontId="1" fillId="30" borderId="0" applyNumberFormat="0" applyBorder="0" applyAlignment="0" applyProtection="0"/>
    <xf numFmtId="0" fontId="1" fillId="21"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1" fillId="19" borderId="0" applyNumberFormat="0" applyBorder="0" applyAlignment="0" applyProtection="0"/>
    <xf numFmtId="0" fontId="4" fillId="26" borderId="0" applyNumberFormat="0" applyBorder="0" applyAlignment="0" applyProtection="0"/>
    <xf numFmtId="0" fontId="1" fillId="34" borderId="0" applyNumberFormat="0" applyBorder="0" applyAlignment="0" applyProtection="0"/>
    <xf numFmtId="0" fontId="27" fillId="0" borderId="0" applyNumberFormat="0" applyFill="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0" fontId="1" fillId="25" borderId="0" applyNumberFormat="0" applyBorder="0" applyAlignment="0" applyProtection="0"/>
    <xf numFmtId="0" fontId="4" fillId="32" borderId="0" applyNumberFormat="0" applyBorder="0" applyAlignment="0" applyProtection="0"/>
    <xf numFmtId="0" fontId="1" fillId="21" borderId="0" applyNumberFormat="0" applyBorder="0" applyAlignment="0" applyProtection="0"/>
    <xf numFmtId="0" fontId="25" fillId="17" borderId="22" applyNumberFormat="0" applyAlignment="0" applyProtection="0"/>
    <xf numFmtId="0" fontId="1" fillId="31" borderId="0" applyNumberFormat="0" applyBorder="0" applyAlignment="0" applyProtection="0"/>
    <xf numFmtId="0" fontId="4" fillId="20"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3" fillId="0" borderId="23" applyNumberFormat="0" applyFill="0" applyAlignment="0" applyProtection="0"/>
    <xf numFmtId="0" fontId="1" fillId="34" borderId="0" applyNumberFormat="0" applyBorder="0" applyAlignment="0" applyProtection="0"/>
    <xf numFmtId="0" fontId="1" fillId="2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31" fillId="38" borderId="238">
      <alignment horizontal="right" vertical="center"/>
    </xf>
    <xf numFmtId="4" fontId="31" fillId="38" borderId="238">
      <alignment horizontal="right" vertical="center"/>
    </xf>
    <xf numFmtId="0" fontId="33" fillId="38" borderId="239">
      <alignment horizontal="left" vertical="center" wrapText="1" indent="2"/>
    </xf>
    <xf numFmtId="0" fontId="33" fillId="0" borderId="239">
      <alignment horizontal="left" vertical="center" wrapText="1" indent="2"/>
    </xf>
    <xf numFmtId="0" fontId="1" fillId="18" borderId="0" applyNumberFormat="0" applyBorder="0" applyAlignment="0" applyProtection="0"/>
    <xf numFmtId="0" fontId="27" fillId="0" borderId="0" applyNumberFormat="0" applyFill="0" applyBorder="0" applyAlignment="0" applyProtection="0"/>
    <xf numFmtId="0" fontId="1" fillId="33"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4" fillId="23"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210" fontId="159" fillId="0" borderId="225" applyFill="0"/>
    <xf numFmtId="210" fontId="138" fillId="0" borderId="240" applyFill="0"/>
    <xf numFmtId="0" fontId="4" fillId="32"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4"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26" fillId="17" borderId="10" applyNumberFormat="0" applyAlignment="0" applyProtection="0"/>
    <xf numFmtId="0" fontId="1" fillId="21" borderId="0" applyNumberFormat="0" applyBorder="0" applyAlignment="0" applyProtection="0"/>
    <xf numFmtId="0" fontId="1" fillId="24" borderId="0" applyNumberFormat="0" applyBorder="0" applyAlignment="0" applyProtection="0"/>
    <xf numFmtId="0" fontId="3" fillId="0" borderId="23" applyNumberFormat="0" applyFill="0" applyAlignment="0" applyProtection="0"/>
    <xf numFmtId="0" fontId="4" fillId="29" borderId="0" applyNumberFormat="0" applyBorder="0" applyAlignment="0" applyProtection="0"/>
    <xf numFmtId="0" fontId="4" fillId="26" borderId="0" applyNumberFormat="0" applyBorder="0" applyAlignment="0" applyProtection="0"/>
    <xf numFmtId="0" fontId="4" fillId="20" borderId="0" applyNumberFormat="0" applyBorder="0" applyAlignment="0" applyProtection="0"/>
    <xf numFmtId="0" fontId="1" fillId="22" borderId="0" applyNumberFormat="0" applyBorder="0" applyAlignment="0" applyProtection="0"/>
    <xf numFmtId="0" fontId="25" fillId="17" borderId="22"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1" fillId="28" borderId="0" applyNumberFormat="0" applyBorder="0" applyAlignment="0" applyProtection="0"/>
    <xf numFmtId="0" fontId="4" fillId="20" borderId="0" applyNumberFormat="0" applyBorder="0" applyAlignment="0" applyProtection="0"/>
    <xf numFmtId="0" fontId="26" fillId="17" borderId="10" applyNumberFormat="0" applyAlignment="0" applyProtection="0"/>
    <xf numFmtId="0" fontId="4" fillId="35"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1" fillId="19" borderId="0" applyNumberFormat="0" applyBorder="0" applyAlignment="0" applyProtection="0"/>
    <xf numFmtId="0" fontId="4" fillId="26" borderId="0" applyNumberFormat="0" applyBorder="0" applyAlignment="0" applyProtection="0"/>
    <xf numFmtId="0" fontId="1" fillId="34" borderId="0" applyNumberFormat="0" applyBorder="0" applyAlignment="0" applyProtection="0"/>
    <xf numFmtId="0" fontId="27" fillId="0" borderId="0" applyNumberFormat="0" applyFill="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0" fontId="1" fillId="25" borderId="0" applyNumberFormat="0" applyBorder="0" applyAlignment="0" applyProtection="0"/>
    <xf numFmtId="0" fontId="4" fillId="32" borderId="0" applyNumberFormat="0" applyBorder="0" applyAlignment="0" applyProtection="0"/>
    <xf numFmtId="0" fontId="1" fillId="21" borderId="0" applyNumberFormat="0" applyBorder="0" applyAlignment="0" applyProtection="0"/>
    <xf numFmtId="0" fontId="25" fillId="17" borderId="22" applyNumberFormat="0" applyAlignment="0" applyProtection="0"/>
    <xf numFmtId="0" fontId="1" fillId="31" borderId="0" applyNumberFormat="0" applyBorder="0" applyAlignment="0" applyProtection="0"/>
    <xf numFmtId="0" fontId="4" fillId="20"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3" fillId="0" borderId="23" applyNumberFormat="0" applyFill="0" applyAlignment="0" applyProtection="0"/>
    <xf numFmtId="0" fontId="1" fillId="34" borderId="0" applyNumberFormat="0" applyBorder="0" applyAlignment="0" applyProtection="0"/>
    <xf numFmtId="0" fontId="1" fillId="2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27" fillId="0" borderId="0" applyNumberFormat="0" applyFill="0" applyBorder="0" applyAlignment="0" applyProtection="0"/>
    <xf numFmtId="0" fontId="1" fillId="33"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4" fillId="23"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2" borderId="0" applyNumberFormat="0" applyBorder="0" applyAlignment="0" applyProtection="0"/>
    <xf numFmtId="0" fontId="33" fillId="38" borderId="289">
      <alignment horizontal="left" vertical="center" wrapText="1" indent="2"/>
    </xf>
    <xf numFmtId="0" fontId="19" fillId="62" borderId="259" applyNumberFormat="0" applyFont="0" applyAlignment="0" applyProtection="0"/>
    <xf numFmtId="4" fontId="33" fillId="37" borderId="299"/>
    <xf numFmtId="0" fontId="43" fillId="59" borderId="283" applyNumberFormat="0" applyAlignment="0" applyProtection="0"/>
    <xf numFmtId="0" fontId="1" fillId="30" borderId="0" applyNumberFormat="0" applyBorder="0" applyAlignment="0" applyProtection="0"/>
    <xf numFmtId="0" fontId="25" fillId="17" borderId="22" applyNumberFormat="0" applyAlignment="0" applyProtection="0"/>
    <xf numFmtId="0" fontId="76" fillId="83" borderId="285" applyNumberFormat="0" applyFont="0" applyAlignment="0" applyProtection="0"/>
    <xf numFmtId="43" fontId="1" fillId="0" borderId="0" applyFont="0" applyFill="0" applyBorder="0" applyAlignment="0" applyProtection="0"/>
    <xf numFmtId="0" fontId="1" fillId="21" borderId="0" applyNumberFormat="0" applyBorder="0" applyAlignment="0" applyProtection="0"/>
    <xf numFmtId="0" fontId="31" fillId="38" borderId="260">
      <alignment horizontal="right" vertical="center"/>
    </xf>
    <xf numFmtId="49" fontId="33" fillId="0" borderId="273" applyNumberFormat="0" applyFont="0" applyFill="0" applyBorder="0" applyProtection="0">
      <alignment horizontal="left" vertical="center" indent="2"/>
    </xf>
    <xf numFmtId="0" fontId="1" fillId="27" borderId="0" applyNumberFormat="0" applyBorder="0" applyAlignment="0" applyProtection="0"/>
    <xf numFmtId="0" fontId="4" fillId="29" borderId="0" applyNumberFormat="0" applyBorder="0" applyAlignment="0" applyProtection="0"/>
    <xf numFmtId="0" fontId="56" fillId="46" borderId="257" applyNumberFormat="0" applyAlignment="0" applyProtection="0"/>
    <xf numFmtId="0" fontId="44" fillId="59" borderId="270" applyNumberFormat="0" applyAlignment="0" applyProtection="0"/>
    <xf numFmtId="0" fontId="1" fillId="30" borderId="0" applyNumberFormat="0" applyBorder="0" applyAlignment="0" applyProtection="0"/>
    <xf numFmtId="0" fontId="1" fillId="31" borderId="0" applyNumberFormat="0" applyBorder="0" applyAlignment="0" applyProtection="0"/>
    <xf numFmtId="4" fontId="31" fillId="38" borderId="260">
      <alignment horizontal="right" vertical="center"/>
    </xf>
    <xf numFmtId="0" fontId="63" fillId="0" borderId="258" applyNumberFormat="0" applyFill="0" applyAlignment="0" applyProtection="0"/>
    <xf numFmtId="0" fontId="36" fillId="62" borderId="272" applyNumberFormat="0" applyFont="0" applyAlignment="0" applyProtection="0"/>
    <xf numFmtId="4" fontId="82" fillId="0" borderId="280" applyNumberFormat="0" applyFont="0" applyFill="0" applyAlignment="0" applyProtection="0"/>
    <xf numFmtId="4" fontId="35" fillId="36" borderId="273">
      <alignment horizontal="right" vertical="center"/>
    </xf>
    <xf numFmtId="0" fontId="44" fillId="59" borderId="270" applyNumberFormat="0" applyAlignment="0" applyProtection="0"/>
    <xf numFmtId="4" fontId="31" fillId="38" borderId="261">
      <alignment horizontal="right" vertical="center"/>
    </xf>
    <xf numFmtId="0" fontId="47" fillId="46" borderId="283" applyNumberFormat="0" applyAlignment="0" applyProtection="0"/>
    <xf numFmtId="0" fontId="38" fillId="62" borderId="285" applyNumberFormat="0" applyFont="0" applyAlignment="0" applyProtection="0"/>
    <xf numFmtId="0" fontId="19" fillId="62" borderId="285" applyNumberFormat="0" applyFont="0" applyAlignment="0" applyProtection="0"/>
    <xf numFmtId="0" fontId="4" fillId="20" borderId="0" applyNumberFormat="0" applyBorder="0" applyAlignment="0" applyProtection="0"/>
    <xf numFmtId="0" fontId="41" fillId="59" borderId="256" applyNumberFormat="0" applyAlignment="0" applyProtection="0"/>
    <xf numFmtId="0" fontId="33" fillId="38" borderId="289">
      <alignment horizontal="left" vertical="center" wrapText="1" indent="2"/>
    </xf>
    <xf numFmtId="0" fontId="76" fillId="83" borderId="272" applyNumberFormat="0" applyFont="0" applyAlignment="0" applyProtection="0"/>
    <xf numFmtId="0" fontId="4" fillId="35" borderId="0" applyNumberFormat="0" applyBorder="0" applyAlignment="0" applyProtection="0"/>
    <xf numFmtId="4" fontId="33" fillId="37" borderId="273"/>
    <xf numFmtId="0" fontId="47" fillId="46" borderId="257" applyNumberFormat="0" applyAlignment="0" applyProtection="0"/>
    <xf numFmtId="0" fontId="60" fillId="59" borderId="269" applyNumberFormat="0" applyAlignment="0" applyProtection="0"/>
    <xf numFmtId="0" fontId="4" fillId="26" borderId="0" applyNumberFormat="0" applyBorder="0" applyAlignment="0" applyProtection="0"/>
    <xf numFmtId="0" fontId="35" fillId="36" borderId="273">
      <alignment horizontal="right" vertical="center"/>
    </xf>
    <xf numFmtId="0" fontId="4" fillId="26"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33" fillId="0" borderId="54" applyNumberFormat="0" applyFill="0" applyAlignment="0" applyProtection="0"/>
    <xf numFmtId="0" fontId="31" fillId="38" borderId="54">
      <alignment horizontal="right" vertical="center"/>
    </xf>
    <xf numFmtId="0" fontId="31" fillId="38" borderId="54">
      <alignment horizontal="right" vertical="center"/>
    </xf>
    <xf numFmtId="49" fontId="33" fillId="0" borderId="261" applyNumberFormat="0" applyFont="0" applyFill="0" applyBorder="0" applyProtection="0">
      <alignment horizontal="left" vertical="center" indent="5"/>
    </xf>
    <xf numFmtId="0" fontId="35" fillId="36" borderId="286">
      <alignment horizontal="right" vertical="center"/>
    </xf>
    <xf numFmtId="0" fontId="33" fillId="0" borderId="54">
      <alignment horizontal="right" vertical="center"/>
    </xf>
    <xf numFmtId="0" fontId="35" fillId="36" borderId="54">
      <alignment horizontal="right" vertical="center"/>
    </xf>
    <xf numFmtId="0" fontId="33" fillId="37" borderId="54"/>
    <xf numFmtId="0" fontId="31" fillId="36" borderId="54">
      <alignment horizontal="right" vertical="center"/>
    </xf>
    <xf numFmtId="0" fontId="31" fillId="38" borderId="237">
      <alignment horizontal="right" vertical="center"/>
    </xf>
    <xf numFmtId="0" fontId="56" fillId="46" borderId="257" applyNumberFormat="0" applyAlignment="0" applyProtection="0"/>
    <xf numFmtId="4" fontId="31" fillId="38" borderId="262">
      <alignment horizontal="right" vertical="center"/>
    </xf>
    <xf numFmtId="0" fontId="43" fillId="59" borderId="257" applyNumberFormat="0" applyAlignment="0" applyProtection="0"/>
    <xf numFmtId="0" fontId="48" fillId="0" borderId="258" applyNumberFormat="0" applyFill="0" applyAlignment="0" applyProtection="0"/>
    <xf numFmtId="0" fontId="1" fillId="34" borderId="0" applyNumberFormat="0" applyBorder="0" applyAlignment="0" applyProtection="0"/>
    <xf numFmtId="4" fontId="31" fillId="38" borderId="261">
      <alignment horizontal="right" vertical="center"/>
    </xf>
    <xf numFmtId="0" fontId="47" fillId="46" borderId="257" applyNumberFormat="0" applyAlignment="0" applyProtection="0"/>
    <xf numFmtId="0" fontId="38" fillId="62" borderId="259" applyNumberFormat="0" applyFont="0" applyAlignment="0" applyProtection="0"/>
    <xf numFmtId="0" fontId="38" fillId="62" borderId="259" applyNumberFormat="0" applyFont="0" applyAlignment="0" applyProtection="0"/>
    <xf numFmtId="4" fontId="31" fillId="38" borderId="262">
      <alignment horizontal="right" vertical="center"/>
    </xf>
    <xf numFmtId="0" fontId="35" fillId="36" borderId="260">
      <alignment horizontal="right" vertical="center"/>
    </xf>
    <xf numFmtId="0" fontId="31" fillId="38" borderId="260">
      <alignment horizontal="right" vertical="center"/>
    </xf>
    <xf numFmtId="0" fontId="38" fillId="62" borderId="259" applyNumberFormat="0" applyFont="0" applyAlignment="0" applyProtection="0"/>
    <xf numFmtId="0" fontId="56" fillId="46" borderId="257" applyNumberFormat="0" applyAlignment="0" applyProtection="0"/>
    <xf numFmtId="49" fontId="33" fillId="0" borderId="260" applyNumberFormat="0" applyFont="0" applyFill="0" applyBorder="0" applyProtection="0">
      <alignment horizontal="left" vertical="center" indent="2"/>
    </xf>
    <xf numFmtId="0" fontId="3" fillId="0" borderId="23" applyNumberFormat="0" applyFill="0" applyAlignment="0" applyProtection="0"/>
    <xf numFmtId="0" fontId="41" fillId="59" borderId="256" applyNumberFormat="0" applyAlignment="0" applyProtection="0"/>
    <xf numFmtId="4" fontId="33" fillId="37" borderId="260"/>
    <xf numFmtId="0" fontId="47" fillId="46" borderId="257" applyNumberFormat="0" applyAlignment="0" applyProtection="0"/>
    <xf numFmtId="4" fontId="31" fillId="38" borderId="262">
      <alignment horizontal="right" vertical="center"/>
    </xf>
    <xf numFmtId="0" fontId="1" fillId="30" borderId="0" applyNumberFormat="0" applyBorder="0" applyAlignment="0" applyProtection="0"/>
    <xf numFmtId="177" fontId="33" fillId="63" borderId="260" applyNumberFormat="0" applyFont="0" applyBorder="0" applyAlignment="0" applyProtection="0">
      <alignment horizontal="right" vertical="center"/>
    </xf>
    <xf numFmtId="0" fontId="60" fillId="59" borderId="256" applyNumberFormat="0" applyAlignment="0" applyProtection="0"/>
    <xf numFmtId="0" fontId="47" fillId="46" borderId="257" applyNumberFormat="0" applyAlignment="0" applyProtection="0"/>
    <xf numFmtId="0" fontId="33" fillId="0" borderId="286" applyNumberFormat="0" applyFill="0" applyAlignment="0" applyProtection="0"/>
    <xf numFmtId="0" fontId="44" fillId="59" borderId="270" applyNumberFormat="0" applyAlignment="0" applyProtection="0"/>
    <xf numFmtId="0" fontId="33" fillId="37" borderId="273"/>
    <xf numFmtId="0" fontId="44" fillId="59" borderId="270" applyNumberFormat="0" applyAlignment="0" applyProtection="0"/>
    <xf numFmtId="4" fontId="33" fillId="0" borderId="286">
      <alignment horizontal="right" vertical="center"/>
    </xf>
    <xf numFmtId="0" fontId="33" fillId="37" borderId="273"/>
    <xf numFmtId="0" fontId="63" fillId="0" borderId="271" applyNumberFormat="0" applyFill="0" applyAlignment="0" applyProtection="0"/>
    <xf numFmtId="4" fontId="33" fillId="0" borderId="286" applyFill="0" applyBorder="0" applyProtection="0">
      <alignment horizontal="right" vertical="center"/>
    </xf>
    <xf numFmtId="0" fontId="31" fillId="38" borderId="287">
      <alignment horizontal="right" vertical="center"/>
    </xf>
    <xf numFmtId="183" fontId="124" fillId="62" borderId="277" applyNumberFormat="0" applyFont="0" applyAlignment="0" applyProtection="0"/>
    <xf numFmtId="0" fontId="63" fillId="0" borderId="297" applyNumberFormat="0" applyFill="0" applyAlignment="0" applyProtection="0"/>
    <xf numFmtId="0" fontId="31" fillId="38" borderId="288">
      <alignment horizontal="right" vertical="center"/>
    </xf>
    <xf numFmtId="43" fontId="22" fillId="0" borderId="0" applyFont="0" applyFill="0" applyBorder="0" applyAlignment="0" applyProtection="0"/>
    <xf numFmtId="4" fontId="31" fillId="38" borderId="286">
      <alignment horizontal="right" vertical="center"/>
    </xf>
    <xf numFmtId="49" fontId="33" fillId="0" borderId="274" applyNumberFormat="0" applyFont="0" applyFill="0" applyBorder="0" applyProtection="0">
      <alignment horizontal="left" vertical="center" indent="5"/>
    </xf>
    <xf numFmtId="43" fontId="36" fillId="0" borderId="0" applyFont="0" applyFill="0" applyBorder="0" applyAlignment="0" applyProtection="0"/>
    <xf numFmtId="43" fontId="36" fillId="0" borderId="0" applyFont="0" applyFill="0" applyBorder="0" applyAlignment="0" applyProtection="0"/>
    <xf numFmtId="4" fontId="31" fillId="36" borderId="260">
      <alignment horizontal="right" vertical="center"/>
    </xf>
    <xf numFmtId="0" fontId="3" fillId="0" borderId="23" applyNumberFormat="0" applyFill="0" applyAlignment="0" applyProtection="0"/>
    <xf numFmtId="4" fontId="31" fillId="38" borderId="260">
      <alignment horizontal="right" vertical="center"/>
    </xf>
    <xf numFmtId="0" fontId="27" fillId="0" borderId="0" applyNumberFormat="0" applyFill="0" applyBorder="0" applyAlignment="0" applyProtection="0"/>
    <xf numFmtId="49" fontId="32" fillId="0" borderId="299" applyNumberFormat="0" applyFill="0" applyBorder="0" applyProtection="0">
      <alignment horizontal="left" vertical="center"/>
    </xf>
    <xf numFmtId="49" fontId="33" fillId="0" borderId="286" applyNumberFormat="0" applyFont="0" applyFill="0" applyBorder="0" applyProtection="0">
      <alignment horizontal="left" vertical="center" indent="2"/>
    </xf>
    <xf numFmtId="0" fontId="44" fillId="59" borderId="283" applyNumberFormat="0" applyAlignment="0" applyProtection="0"/>
    <xf numFmtId="0" fontId="33" fillId="36" borderId="287">
      <alignment horizontal="left" vertical="center"/>
    </xf>
    <xf numFmtId="0" fontId="1" fillId="19" borderId="0" applyNumberFormat="0" applyBorder="0" applyAlignment="0" applyProtection="0"/>
    <xf numFmtId="0" fontId="56" fillId="46" borderId="283" applyNumberFormat="0" applyAlignment="0" applyProtection="0"/>
    <xf numFmtId="4" fontId="31" fillId="38" borderId="275">
      <alignment horizontal="right" vertical="center"/>
    </xf>
    <xf numFmtId="4" fontId="31" fillId="38" borderId="286">
      <alignment horizontal="right" vertical="center"/>
    </xf>
    <xf numFmtId="0" fontId="1" fillId="31" borderId="0" applyNumberFormat="0" applyBorder="0" applyAlignment="0" applyProtection="0"/>
    <xf numFmtId="0" fontId="1" fillId="22" borderId="0" applyNumberFormat="0" applyBorder="0" applyAlignment="0" applyProtection="0"/>
    <xf numFmtId="0" fontId="4" fillId="20" borderId="0" applyNumberFormat="0" applyBorder="0" applyAlignment="0" applyProtection="0"/>
    <xf numFmtId="0" fontId="33" fillId="0" borderId="289">
      <alignment horizontal="left" vertical="center" wrapText="1" indent="2"/>
    </xf>
    <xf numFmtId="10" fontId="18" fillId="83" borderId="260" applyNumberFormat="0" applyBorder="0" applyAlignment="0" applyProtection="0"/>
    <xf numFmtId="0" fontId="63" fillId="0" borderId="271" applyNumberFormat="0" applyFill="0" applyAlignment="0" applyProtection="0"/>
    <xf numFmtId="0" fontId="33" fillId="0" borderId="260" applyNumberFormat="0" applyFill="0" applyAlignment="0" applyProtection="0"/>
    <xf numFmtId="4" fontId="31" fillId="38" borderId="260">
      <alignment horizontal="right" vertical="center"/>
    </xf>
    <xf numFmtId="4" fontId="33" fillId="0" borderId="54" applyFill="0" applyBorder="0" applyProtection="0">
      <alignment horizontal="right" vertical="center"/>
    </xf>
    <xf numFmtId="0" fontId="1" fillId="34" borderId="0" applyNumberFormat="0" applyBorder="0" applyAlignment="0" applyProtection="0"/>
    <xf numFmtId="4" fontId="31" fillId="38" borderId="261">
      <alignment horizontal="right" vertical="center"/>
    </xf>
    <xf numFmtId="4" fontId="31" fillId="38" borderId="275">
      <alignment horizontal="right" vertical="center"/>
    </xf>
    <xf numFmtId="49" fontId="33" fillId="0" borderId="299" applyNumberFormat="0" applyFont="0" applyFill="0" applyBorder="0" applyProtection="0">
      <alignment horizontal="left" vertical="center" indent="2"/>
    </xf>
    <xf numFmtId="177" fontId="33" fillId="63" borderId="286" applyNumberFormat="0" applyFont="0" applyBorder="0" applyAlignment="0" applyProtection="0">
      <alignment horizontal="right" vertical="center"/>
    </xf>
    <xf numFmtId="0" fontId="35" fillId="36" borderId="273">
      <alignment horizontal="right" vertical="center"/>
    </xf>
    <xf numFmtId="0" fontId="44" fillId="59" borderId="257" applyNumberFormat="0" applyAlignment="0" applyProtection="0"/>
    <xf numFmtId="0" fontId="33" fillId="38" borderId="263">
      <alignment horizontal="left" vertical="center" wrapText="1" indent="2"/>
    </xf>
    <xf numFmtId="4" fontId="31" fillId="38" borderId="288">
      <alignment horizontal="right" vertical="center"/>
    </xf>
    <xf numFmtId="0" fontId="48" fillId="0" borderId="284" applyNumberFormat="0" applyFill="0" applyAlignment="0" applyProtection="0"/>
    <xf numFmtId="0" fontId="31" fillId="38" borderId="275">
      <alignment horizontal="right" vertical="center"/>
    </xf>
    <xf numFmtId="0" fontId="1" fillId="30" borderId="0" applyNumberFormat="0" applyBorder="0" applyAlignment="0" applyProtection="0"/>
    <xf numFmtId="0" fontId="1" fillId="21" borderId="0" applyNumberFormat="0" applyBorder="0" applyAlignment="0" applyProtection="0"/>
    <xf numFmtId="183" fontId="124" fillId="62" borderId="290" applyNumberFormat="0" applyFont="0" applyAlignment="0" applyProtection="0"/>
    <xf numFmtId="0" fontId="1" fillId="34" borderId="0" applyNumberFormat="0" applyBorder="0" applyAlignment="0" applyProtection="0"/>
    <xf numFmtId="0" fontId="56" fillId="46" borderId="283" applyNumberFormat="0" applyAlignment="0" applyProtection="0"/>
    <xf numFmtId="4" fontId="31" fillId="38" borderId="286">
      <alignment horizontal="right" vertical="center"/>
    </xf>
    <xf numFmtId="0" fontId="63" fillId="0" borderId="271" applyNumberFormat="0" applyFill="0" applyAlignment="0" applyProtection="0"/>
    <xf numFmtId="4" fontId="31" fillId="36" borderId="286">
      <alignment horizontal="right" vertical="center"/>
    </xf>
    <xf numFmtId="4" fontId="33" fillId="37" borderId="260"/>
    <xf numFmtId="0" fontId="31" fillId="36" borderId="260">
      <alignment horizontal="right" vertical="center"/>
    </xf>
    <xf numFmtId="0" fontId="1" fillId="18" borderId="0" applyNumberFormat="0" applyBorder="0" applyAlignment="0" applyProtection="0"/>
    <xf numFmtId="0" fontId="56" fillId="46" borderId="257" applyNumberFormat="0" applyAlignment="0" applyProtection="0"/>
    <xf numFmtId="17" fontId="127" fillId="82" borderId="273">
      <alignment horizontal="center"/>
      <protection locked="0"/>
    </xf>
    <xf numFmtId="0" fontId="41" fillId="59" borderId="269" applyNumberFormat="0" applyAlignment="0" applyProtection="0"/>
    <xf numFmtId="4" fontId="82" fillId="0" borderId="267" applyNumberFormat="0" applyFont="0" applyFill="0" applyAlignment="0" applyProtection="0"/>
    <xf numFmtId="0" fontId="43" fillId="59" borderId="257" applyNumberFormat="0" applyAlignment="0" applyProtection="0"/>
    <xf numFmtId="0" fontId="1" fillId="34" borderId="0" applyNumberFormat="0" applyBorder="0" applyAlignment="0" applyProtection="0"/>
    <xf numFmtId="0" fontId="33" fillId="37" borderId="260"/>
    <xf numFmtId="4" fontId="33" fillId="0" borderId="260">
      <alignment horizontal="right" vertical="center"/>
    </xf>
    <xf numFmtId="0" fontId="1" fillId="28" borderId="0" applyNumberFormat="0" applyBorder="0" applyAlignment="0" applyProtection="0"/>
    <xf numFmtId="0" fontId="60" fillId="59" borderId="256" applyNumberFormat="0" applyAlignment="0" applyProtection="0"/>
    <xf numFmtId="0" fontId="1" fillId="27" borderId="0" applyNumberFormat="0" applyBorder="0" applyAlignment="0" applyProtection="0"/>
    <xf numFmtId="0" fontId="4" fillId="32" borderId="0" applyNumberFormat="0" applyBorder="0" applyAlignment="0" applyProtection="0"/>
    <xf numFmtId="49" fontId="33" fillId="0" borderId="261" applyNumberFormat="0" applyFont="0" applyFill="0" applyBorder="0" applyProtection="0">
      <alignment horizontal="left" vertical="center" indent="5"/>
    </xf>
    <xf numFmtId="0" fontId="4" fillId="29" borderId="0" applyNumberFormat="0" applyBorder="0" applyAlignment="0" applyProtection="0"/>
    <xf numFmtId="0" fontId="48" fillId="0" borderId="258" applyNumberFormat="0" applyFill="0" applyAlignment="0" applyProtection="0"/>
    <xf numFmtId="49" fontId="33" fillId="0" borderId="260" applyNumberFormat="0" applyFont="0" applyFill="0" applyBorder="0" applyProtection="0">
      <alignment horizontal="left" vertical="center" indent="2"/>
    </xf>
    <xf numFmtId="0" fontId="33" fillId="38" borderId="263">
      <alignment horizontal="left" vertical="center" wrapText="1" indent="2"/>
    </xf>
    <xf numFmtId="0" fontId="48" fillId="0" borderId="258" applyNumberFormat="0" applyFill="0" applyAlignment="0" applyProtection="0"/>
    <xf numFmtId="4" fontId="33" fillId="0" borderId="260" applyFill="0" applyBorder="0" applyProtection="0">
      <alignment horizontal="right" vertical="center"/>
    </xf>
    <xf numFmtId="49" fontId="33" fillId="0" borderId="260" applyNumberFormat="0" applyFont="0" applyFill="0" applyBorder="0" applyProtection="0">
      <alignment horizontal="left" vertical="center" indent="2"/>
    </xf>
    <xf numFmtId="0" fontId="33" fillId="0" borderId="263">
      <alignment horizontal="left" vertical="center" wrapText="1" indent="2"/>
    </xf>
    <xf numFmtId="0" fontId="56" fillId="46" borderId="257" applyNumberFormat="0" applyAlignment="0" applyProtection="0"/>
    <xf numFmtId="0" fontId="33" fillId="0" borderId="302">
      <alignment horizontal="left" vertical="center" wrapText="1" indent="2"/>
    </xf>
    <xf numFmtId="0" fontId="28" fillId="0" borderId="0" applyNumberFormat="0" applyFill="0" applyBorder="0" applyAlignment="0" applyProtection="0"/>
    <xf numFmtId="0" fontId="33" fillId="0" borderId="276">
      <alignment horizontal="left" vertical="center" wrapText="1" indent="2"/>
    </xf>
    <xf numFmtId="4" fontId="31" fillId="38" borderId="274">
      <alignment horizontal="right" vertical="center"/>
    </xf>
    <xf numFmtId="49" fontId="33" fillId="0" borderId="273" applyNumberFormat="0" applyFont="0" applyFill="0" applyBorder="0" applyProtection="0">
      <alignment horizontal="left" vertical="center" indent="2"/>
    </xf>
    <xf numFmtId="0" fontId="38" fillId="62" borderId="272" applyNumberFormat="0" applyFont="0" applyAlignment="0" applyProtection="0"/>
    <xf numFmtId="0" fontId="26" fillId="17" borderId="10" applyNumberFormat="0" applyAlignment="0" applyProtection="0"/>
    <xf numFmtId="0" fontId="56" fillId="46" borderId="270" applyNumberFormat="0" applyAlignment="0" applyProtection="0"/>
    <xf numFmtId="0" fontId="1" fillId="34" borderId="0" applyNumberFormat="0" applyBorder="0" applyAlignment="0" applyProtection="0"/>
    <xf numFmtId="0" fontId="4" fillId="26" borderId="0" applyNumberFormat="0" applyBorder="0" applyAlignment="0" applyProtection="0"/>
    <xf numFmtId="0" fontId="47" fillId="46" borderId="283" applyNumberFormat="0" applyAlignment="0" applyProtection="0"/>
    <xf numFmtId="0" fontId="1" fillId="25" borderId="0" applyNumberFormat="0" applyBorder="0" applyAlignment="0" applyProtection="0"/>
    <xf numFmtId="2" fontId="80" fillId="1" borderId="266" applyNumberFormat="0" applyBorder="0" applyProtection="0">
      <alignment horizontal="left"/>
    </xf>
    <xf numFmtId="0" fontId="1" fillId="19" borderId="0" applyNumberFormat="0" applyBorder="0" applyAlignment="0" applyProtection="0"/>
    <xf numFmtId="0" fontId="1" fillId="30" borderId="0" applyNumberFormat="0" applyBorder="0" applyAlignment="0" applyProtection="0"/>
    <xf numFmtId="0" fontId="63" fillId="0" borderId="258" applyNumberFormat="0" applyFill="0" applyAlignment="0" applyProtection="0"/>
    <xf numFmtId="0" fontId="4" fillId="29" borderId="0" applyNumberFormat="0" applyBorder="0" applyAlignment="0" applyProtection="0"/>
    <xf numFmtId="0" fontId="31" fillId="36" borderId="273">
      <alignment horizontal="right" vertical="center"/>
    </xf>
    <xf numFmtId="0" fontId="33" fillId="38" borderId="289">
      <alignment horizontal="left" vertical="center" wrapText="1" indent="2"/>
    </xf>
    <xf numFmtId="0" fontId="33" fillId="0" borderId="276">
      <alignment horizontal="left" vertical="center" wrapText="1" indent="2"/>
    </xf>
    <xf numFmtId="0" fontId="33" fillId="0" borderId="260">
      <alignment horizontal="right" vertical="center"/>
    </xf>
    <xf numFmtId="177" fontId="33" fillId="63" borderId="260" applyNumberFormat="0" applyFont="0" applyBorder="0" applyAlignment="0" applyProtection="0">
      <alignment horizontal="right" vertical="center"/>
    </xf>
    <xf numFmtId="0" fontId="33" fillId="37" borderId="260"/>
    <xf numFmtId="0" fontId="63" fillId="0" borderId="258" applyNumberFormat="0" applyFill="0" applyAlignment="0" applyProtection="0"/>
    <xf numFmtId="0" fontId="38" fillId="62" borderId="259" applyNumberFormat="0" applyFont="0" applyAlignment="0" applyProtection="0"/>
    <xf numFmtId="49" fontId="32" fillId="0" borderId="260" applyNumberFormat="0" applyFill="0" applyBorder="0" applyProtection="0">
      <alignment horizontal="left" vertical="center"/>
    </xf>
    <xf numFmtId="4" fontId="33" fillId="0" borderId="260" applyFill="0" applyBorder="0" applyProtection="0">
      <alignment horizontal="right" vertical="center"/>
    </xf>
    <xf numFmtId="0" fontId="33" fillId="36" borderId="261">
      <alignment horizontal="left" vertical="center"/>
    </xf>
    <xf numFmtId="0" fontId="31" fillId="38" borderId="260">
      <alignment horizontal="right" vertical="center"/>
    </xf>
    <xf numFmtId="0" fontId="48" fillId="0" borderId="258" applyNumberFormat="0" applyFill="0" applyAlignment="0" applyProtection="0"/>
    <xf numFmtId="0" fontId="56" fillId="46" borderId="257" applyNumberFormat="0" applyAlignment="0" applyProtection="0"/>
    <xf numFmtId="4" fontId="31" fillId="38" borderId="260">
      <alignment horizontal="right" vertical="center"/>
    </xf>
    <xf numFmtId="0" fontId="31" fillId="38" borderId="260">
      <alignment horizontal="right" vertical="center"/>
    </xf>
    <xf numFmtId="0" fontId="33" fillId="0" borderId="260" applyNumberFormat="0" applyFill="0" applyAlignment="0" applyProtection="0"/>
    <xf numFmtId="0" fontId="1" fillId="28" borderId="0" applyNumberFormat="0" applyBorder="0" applyAlignment="0" applyProtection="0"/>
    <xf numFmtId="177" fontId="33" fillId="63" borderId="260" applyNumberFormat="0" applyFont="0" applyBorder="0" applyAlignment="0" applyProtection="0">
      <alignment horizontal="right" vertical="center"/>
    </xf>
    <xf numFmtId="0" fontId="1" fillId="24" borderId="0" applyNumberFormat="0" applyBorder="0" applyAlignment="0" applyProtection="0"/>
    <xf numFmtId="0" fontId="48" fillId="0" borderId="258" applyNumberFormat="0" applyFill="0" applyAlignment="0" applyProtection="0"/>
    <xf numFmtId="0" fontId="1" fillId="31" borderId="0" applyNumberFormat="0" applyBorder="0" applyAlignment="0" applyProtection="0"/>
    <xf numFmtId="0" fontId="41" fillId="59" borderId="282" applyNumberFormat="0" applyAlignment="0" applyProtection="0"/>
    <xf numFmtId="177" fontId="33" fillId="63" borderId="286" applyNumberFormat="0" applyFont="0" applyBorder="0" applyAlignment="0" applyProtection="0">
      <alignment horizontal="right" vertical="center"/>
    </xf>
    <xf numFmtId="0" fontId="33" fillId="38" borderId="289">
      <alignment horizontal="left" vertical="center" wrapText="1" indent="2"/>
    </xf>
    <xf numFmtId="0" fontId="1" fillId="31" borderId="0" applyNumberFormat="0" applyBorder="0" applyAlignment="0" applyProtection="0"/>
    <xf numFmtId="4" fontId="31" fillId="38" borderId="286">
      <alignment horizontal="right" vertical="center"/>
    </xf>
    <xf numFmtId="0" fontId="38" fillId="62" borderId="298" applyNumberFormat="0" applyFont="0" applyAlignment="0" applyProtection="0"/>
    <xf numFmtId="0" fontId="47" fillId="46" borderId="283" applyNumberFormat="0" applyAlignment="0" applyProtection="0"/>
    <xf numFmtId="0" fontId="4" fillId="35" borderId="0" applyNumberFormat="0" applyBorder="0" applyAlignment="0" applyProtection="0"/>
    <xf numFmtId="0" fontId="33" fillId="38" borderId="289">
      <alignment horizontal="left" vertical="center" wrapText="1" indent="2"/>
    </xf>
    <xf numFmtId="0" fontId="44" fillId="59" borderId="257" applyNumberFormat="0" applyAlignment="0" applyProtection="0"/>
    <xf numFmtId="0" fontId="35" fillId="36" borderId="260">
      <alignment horizontal="right" vertical="center"/>
    </xf>
    <xf numFmtId="0" fontId="1" fillId="24" borderId="0" applyNumberFormat="0" applyBorder="0" applyAlignment="0" applyProtection="0"/>
    <xf numFmtId="0" fontId="33" fillId="37" borderId="273"/>
    <xf numFmtId="4" fontId="33" fillId="37" borderId="260"/>
    <xf numFmtId="0" fontId="4" fillId="29" borderId="0" applyNumberFormat="0" applyBorder="0" applyAlignment="0" applyProtection="0"/>
    <xf numFmtId="4" fontId="35" fillId="36" borderId="260">
      <alignment horizontal="right" vertical="center"/>
    </xf>
    <xf numFmtId="0" fontId="56" fillId="46" borderId="296" applyNumberFormat="0" applyAlignment="0" applyProtection="0"/>
    <xf numFmtId="0" fontId="4" fillId="32" borderId="0" applyNumberFormat="0" applyBorder="0" applyAlignment="0" applyProtection="0"/>
    <xf numFmtId="0" fontId="19" fillId="62" borderId="259" applyNumberFormat="0" applyFont="0" applyAlignment="0" applyProtection="0"/>
    <xf numFmtId="0" fontId="4" fillId="23" borderId="0" applyNumberFormat="0" applyBorder="0" applyAlignment="0" applyProtection="0"/>
    <xf numFmtId="0" fontId="1" fillId="33" borderId="0" applyNumberFormat="0" applyBorder="0" applyAlignment="0" applyProtection="0"/>
    <xf numFmtId="0" fontId="31" fillId="38" borderId="260">
      <alignment horizontal="right" vertical="center"/>
    </xf>
    <xf numFmtId="0" fontId="38" fillId="62" borderId="259" applyNumberFormat="0" applyFont="0" applyAlignment="0" applyProtection="0"/>
    <xf numFmtId="49" fontId="32" fillId="0" borderId="286" applyNumberFormat="0" applyFill="0" applyBorder="0" applyProtection="0">
      <alignment horizontal="left" vertical="center"/>
    </xf>
    <xf numFmtId="0" fontId="60" fillId="59" borderId="269" applyNumberFormat="0" applyAlignment="0" applyProtection="0"/>
    <xf numFmtId="0" fontId="38" fillId="62" borderId="272" applyNumberFormat="0" applyFont="0" applyAlignment="0" applyProtection="0"/>
    <xf numFmtId="0" fontId="41" fillId="59" borderId="295" applyNumberFormat="0" applyAlignment="0" applyProtection="0"/>
    <xf numFmtId="177" fontId="33" fillId="63" borderId="299" applyNumberFormat="0" applyFont="0" applyBorder="0" applyAlignment="0" applyProtection="0">
      <alignment horizontal="right" vertical="center"/>
    </xf>
    <xf numFmtId="0" fontId="1" fillId="25" borderId="0" applyNumberFormat="0" applyBorder="0" applyAlignment="0" applyProtection="0"/>
    <xf numFmtId="4" fontId="33" fillId="0" borderId="286">
      <alignment horizontal="right" vertical="center"/>
    </xf>
    <xf numFmtId="0" fontId="33" fillId="0" borderId="289">
      <alignment horizontal="left" vertical="center" wrapText="1" indent="2"/>
    </xf>
    <xf numFmtId="0" fontId="4" fillId="35" borderId="0" applyNumberFormat="0" applyBorder="0" applyAlignment="0" applyProtection="0"/>
    <xf numFmtId="0" fontId="31" fillId="38" borderId="301">
      <alignment horizontal="right" vertical="center"/>
    </xf>
    <xf numFmtId="0" fontId="28" fillId="0" borderId="0" applyNumberFormat="0" applyFill="0" applyBorder="0" applyAlignment="0" applyProtection="0"/>
    <xf numFmtId="0" fontId="26" fillId="17" borderId="10" applyNumberFormat="0" applyAlignment="0" applyProtection="0"/>
    <xf numFmtId="0" fontId="38" fillId="62" borderId="298" applyNumberFormat="0" applyFont="0" applyAlignment="0" applyProtection="0"/>
    <xf numFmtId="4" fontId="31" fillId="38" borderId="288">
      <alignment horizontal="right" vertical="center"/>
    </xf>
    <xf numFmtId="0" fontId="41" fillId="59" borderId="256" applyNumberFormat="0" applyAlignment="0" applyProtection="0"/>
    <xf numFmtId="0" fontId="4" fillId="32" borderId="0" applyNumberFormat="0" applyBorder="0" applyAlignment="0" applyProtection="0"/>
    <xf numFmtId="0" fontId="1" fillId="22" borderId="0" applyNumberFormat="0" applyBorder="0" applyAlignment="0" applyProtection="0"/>
    <xf numFmtId="4" fontId="31" fillId="38" borderId="286">
      <alignment horizontal="right" vertical="center"/>
    </xf>
    <xf numFmtId="0" fontId="35" fillId="36" borderId="286">
      <alignment horizontal="right" vertical="center"/>
    </xf>
    <xf numFmtId="0" fontId="1" fillId="24" borderId="0" applyNumberFormat="0" applyBorder="0" applyAlignment="0" applyProtection="0"/>
    <xf numFmtId="0" fontId="33" fillId="0" borderId="276">
      <alignment horizontal="left" vertical="center" wrapText="1" indent="2"/>
    </xf>
    <xf numFmtId="0" fontId="1" fillId="28" borderId="0" applyNumberFormat="0" applyBorder="0" applyAlignment="0" applyProtection="0"/>
    <xf numFmtId="4" fontId="31" fillId="38" borderId="299">
      <alignment horizontal="right" vertical="center"/>
    </xf>
    <xf numFmtId="0" fontId="26" fillId="17" borderId="10" applyNumberFormat="0" applyAlignment="0" applyProtection="0"/>
    <xf numFmtId="4" fontId="82" fillId="0" borderId="267" applyNumberFormat="0" applyFont="0" applyFill="0" applyAlignment="0" applyProtection="0"/>
    <xf numFmtId="10" fontId="18" fillId="83" borderId="299" applyNumberFormat="0" applyBorder="0" applyAlignment="0" applyProtection="0"/>
    <xf numFmtId="4" fontId="33" fillId="37" borderId="286"/>
    <xf numFmtId="0" fontId="63" fillId="0" borderId="284" applyNumberFormat="0" applyFill="0" applyAlignment="0" applyProtection="0"/>
    <xf numFmtId="0" fontId="31" fillId="38" borderId="261">
      <alignment horizontal="right" vertical="center"/>
    </xf>
    <xf numFmtId="0" fontId="60" fillId="59" borderId="269" applyNumberFormat="0" applyAlignment="0" applyProtection="0"/>
    <xf numFmtId="0" fontId="44" fillId="59" borderId="270" applyNumberFormat="0" applyAlignment="0" applyProtection="0"/>
    <xf numFmtId="0" fontId="43" fillId="59" borderId="283" applyNumberFormat="0" applyAlignment="0" applyProtection="0"/>
    <xf numFmtId="0" fontId="1" fillId="27" borderId="0" applyNumberFormat="0" applyBorder="0" applyAlignment="0" applyProtection="0"/>
    <xf numFmtId="0" fontId="48" fillId="0" borderId="284" applyNumberFormat="0" applyFill="0" applyAlignment="0" applyProtection="0"/>
    <xf numFmtId="0" fontId="1" fillId="25" borderId="0" applyNumberFormat="0" applyBorder="0" applyAlignment="0" applyProtection="0"/>
    <xf numFmtId="0" fontId="33" fillId="0" borderId="302">
      <alignment horizontal="left" vertical="center" wrapText="1" indent="2"/>
    </xf>
    <xf numFmtId="0" fontId="44" fillId="59" borderId="257" applyNumberFormat="0" applyAlignment="0" applyProtection="0"/>
    <xf numFmtId="0" fontId="38" fillId="62" borderId="259" applyNumberFormat="0" applyFont="0" applyAlignment="0" applyProtection="0"/>
    <xf numFmtId="0" fontId="44" fillId="59" borderId="257" applyNumberFormat="0" applyAlignment="0" applyProtection="0"/>
    <xf numFmtId="0" fontId="1" fillId="34" borderId="0" applyNumberFormat="0" applyBorder="0" applyAlignment="0" applyProtection="0"/>
    <xf numFmtId="0" fontId="33" fillId="0" borderId="276">
      <alignment horizontal="left" vertical="center" wrapText="1" indent="2"/>
    </xf>
    <xf numFmtId="0" fontId="31" fillId="38" borderId="273">
      <alignment horizontal="right" vertical="center"/>
    </xf>
    <xf numFmtId="4" fontId="35" fillId="36" borderId="273">
      <alignment horizontal="right" vertical="center"/>
    </xf>
    <xf numFmtId="2" fontId="80" fillId="1" borderId="292" applyNumberFormat="0" applyBorder="0" applyProtection="0">
      <alignment horizontal="left"/>
    </xf>
    <xf numFmtId="0" fontId="31" fillId="38" borderId="299">
      <alignment horizontal="right" vertical="center"/>
    </xf>
    <xf numFmtId="49" fontId="32" fillId="0" borderId="260" applyNumberFormat="0" applyFill="0" applyBorder="0" applyProtection="0">
      <alignment horizontal="left" vertical="center"/>
    </xf>
    <xf numFmtId="0" fontId="33" fillId="38" borderId="263">
      <alignment horizontal="left" vertical="center" wrapText="1" indent="2"/>
    </xf>
    <xf numFmtId="0" fontId="33" fillId="37" borderId="260"/>
    <xf numFmtId="0" fontId="1" fillId="27" borderId="0" applyNumberFormat="0" applyBorder="0" applyAlignment="0" applyProtection="0"/>
    <xf numFmtId="0" fontId="31" fillId="36" borderId="260">
      <alignment horizontal="right" vertical="center"/>
    </xf>
    <xf numFmtId="4" fontId="31" fillId="38" borderId="288">
      <alignment horizontal="right" vertical="center"/>
    </xf>
    <xf numFmtId="4" fontId="33" fillId="0" borderId="286" applyFill="0" applyBorder="0" applyProtection="0">
      <alignment horizontal="right" vertical="center"/>
    </xf>
    <xf numFmtId="0" fontId="4" fillId="35" borderId="0" applyNumberFormat="0" applyBorder="0" applyAlignment="0" applyProtection="0"/>
    <xf numFmtId="0" fontId="60" fillId="59" borderId="269" applyNumberFormat="0" applyAlignment="0" applyProtection="0"/>
    <xf numFmtId="4" fontId="31" fillId="38" borderId="262">
      <alignment horizontal="right" vertical="center"/>
    </xf>
    <xf numFmtId="0" fontId="47" fillId="46" borderId="257" applyNumberFormat="0" applyAlignment="0" applyProtection="0"/>
    <xf numFmtId="49" fontId="32" fillId="0" borderId="260" applyNumberFormat="0" applyFill="0" applyBorder="0" applyProtection="0">
      <alignment horizontal="left" vertical="center"/>
    </xf>
    <xf numFmtId="4" fontId="33" fillId="37" borderId="260"/>
    <xf numFmtId="0" fontId="31" fillId="36" borderId="260">
      <alignment horizontal="right" vertical="center"/>
    </xf>
    <xf numFmtId="0" fontId="56" fillId="46" borderId="257" applyNumberFormat="0" applyAlignment="0" applyProtection="0"/>
    <xf numFmtId="4" fontId="33" fillId="37" borderId="260"/>
    <xf numFmtId="0" fontId="44" fillId="59" borderId="257" applyNumberFormat="0" applyAlignment="0" applyProtection="0"/>
    <xf numFmtId="0" fontId="33" fillId="36" borderId="261">
      <alignment horizontal="left" vertical="center"/>
    </xf>
    <xf numFmtId="0" fontId="33" fillId="0" borderId="263">
      <alignment horizontal="left" vertical="center" wrapText="1" indent="2"/>
    </xf>
    <xf numFmtId="0" fontId="43" fillId="59" borderId="257" applyNumberFormat="0" applyAlignment="0" applyProtection="0"/>
    <xf numFmtId="0" fontId="60" fillId="59" borderId="256" applyNumberFormat="0" applyAlignment="0" applyProtection="0"/>
    <xf numFmtId="4" fontId="31" fillId="38" borderId="261">
      <alignment horizontal="right" vertical="center"/>
    </xf>
    <xf numFmtId="4" fontId="31" fillId="38" borderId="261">
      <alignment horizontal="right" vertical="center"/>
    </xf>
    <xf numFmtId="0" fontId="63" fillId="0" borderId="258" applyNumberFormat="0" applyFill="0" applyAlignment="0" applyProtection="0"/>
    <xf numFmtId="0" fontId="33" fillId="0" borderId="260">
      <alignment horizontal="right" vertical="center"/>
    </xf>
    <xf numFmtId="0" fontId="1" fillId="18" borderId="0" applyNumberFormat="0" applyBorder="0" applyAlignment="0" applyProtection="0"/>
    <xf numFmtId="0" fontId="28" fillId="0" borderId="0" applyNumberFormat="0" applyFill="0" applyBorder="0" applyAlignment="0" applyProtection="0"/>
    <xf numFmtId="0" fontId="4" fillId="26" borderId="0" applyNumberFormat="0" applyBorder="0" applyAlignment="0" applyProtection="0"/>
    <xf numFmtId="0" fontId="44" fillId="59" borderId="283" applyNumberFormat="0" applyAlignment="0" applyProtection="0"/>
    <xf numFmtId="0" fontId="31" fillId="38" borderId="262">
      <alignment horizontal="right" vertical="center"/>
    </xf>
    <xf numFmtId="4" fontId="31" fillId="38" borderId="260">
      <alignment horizontal="right" vertical="center"/>
    </xf>
    <xf numFmtId="0" fontId="38" fillId="62" borderId="259" applyNumberFormat="0" applyFont="0" applyAlignment="0" applyProtection="0"/>
    <xf numFmtId="0" fontId="41" fillId="59" borderId="269" applyNumberFormat="0" applyAlignment="0" applyProtection="0"/>
    <xf numFmtId="0" fontId="19" fillId="62" borderId="298" applyNumberFormat="0" applyFont="0" applyAlignment="0" applyProtection="0"/>
    <xf numFmtId="0" fontId="1" fillId="30" borderId="0" applyNumberFormat="0" applyBorder="0" applyAlignment="0" applyProtection="0"/>
    <xf numFmtId="49" fontId="33" fillId="0" borderId="261" applyNumberFormat="0" applyFont="0" applyFill="0" applyBorder="0" applyProtection="0">
      <alignment horizontal="left" vertical="center" indent="5"/>
    </xf>
    <xf numFmtId="49" fontId="33" fillId="0" borderId="237" applyNumberFormat="0" applyFont="0" applyFill="0" applyBorder="0" applyProtection="0">
      <alignment horizontal="left" vertical="center" indent="5"/>
    </xf>
    <xf numFmtId="49" fontId="32" fillId="0" borderId="273" applyNumberFormat="0" applyFill="0" applyBorder="0" applyProtection="0">
      <alignment horizontal="left" vertical="center"/>
    </xf>
    <xf numFmtId="0" fontId="26" fillId="17" borderId="10" applyNumberFormat="0" applyAlignment="0" applyProtection="0"/>
    <xf numFmtId="0" fontId="28" fillId="0" borderId="0" applyNumberFormat="0" applyFill="0" applyBorder="0" applyAlignment="0" applyProtection="0"/>
    <xf numFmtId="0" fontId="48" fillId="0" borderId="284" applyNumberFormat="0" applyFill="0" applyAlignment="0" applyProtection="0"/>
    <xf numFmtId="4" fontId="33" fillId="37" borderId="286"/>
    <xf numFmtId="0" fontId="33" fillId="0" borderId="289">
      <alignment horizontal="left" vertical="center" wrapText="1" indent="2"/>
    </xf>
    <xf numFmtId="0" fontId="31" fillId="38" borderId="237">
      <alignment horizontal="right" vertical="center"/>
    </xf>
    <xf numFmtId="4" fontId="31" fillId="38" borderId="237">
      <alignment horizontal="right" vertical="center"/>
    </xf>
    <xf numFmtId="0" fontId="1" fillId="34" borderId="0" applyNumberFormat="0" applyBorder="0" applyAlignment="0" applyProtection="0"/>
    <xf numFmtId="0" fontId="44" fillId="59" borderId="283" applyNumberFormat="0" applyAlignment="0" applyProtection="0"/>
    <xf numFmtId="0" fontId="3" fillId="0" borderId="23" applyNumberFormat="0" applyFill="0" applyAlignment="0" applyProtection="0"/>
    <xf numFmtId="0" fontId="38" fillId="62" borderId="272" applyNumberFormat="0" applyFont="0" applyAlignment="0" applyProtection="0"/>
    <xf numFmtId="0" fontId="33" fillId="36" borderId="237">
      <alignment horizontal="left" vertical="center"/>
    </xf>
    <xf numFmtId="0" fontId="31" fillId="38" borderId="261">
      <alignment horizontal="right" vertical="center"/>
    </xf>
    <xf numFmtId="0" fontId="38" fillId="62" borderId="285" applyNumberFormat="0" applyFont="0" applyAlignment="0" applyProtection="0"/>
    <xf numFmtId="0" fontId="4" fillId="20" borderId="0" applyNumberFormat="0" applyBorder="0" applyAlignment="0" applyProtection="0"/>
    <xf numFmtId="4" fontId="35" fillId="36" borderId="273">
      <alignment horizontal="right" vertical="center"/>
    </xf>
    <xf numFmtId="4" fontId="33" fillId="0" borderId="286" applyFill="0" applyBorder="0" applyProtection="0">
      <alignment horizontal="right" vertical="center"/>
    </xf>
    <xf numFmtId="0" fontId="1" fillId="24" borderId="0" applyNumberFormat="0" applyBorder="0" applyAlignment="0" applyProtection="0"/>
    <xf numFmtId="0" fontId="43" fillId="59" borderId="270" applyNumberFormat="0" applyAlignment="0" applyProtection="0"/>
    <xf numFmtId="0" fontId="60" fillId="59" borderId="282" applyNumberFormat="0" applyAlignment="0" applyProtection="0"/>
    <xf numFmtId="0" fontId="26" fillId="17" borderId="10" applyNumberFormat="0" applyAlignment="0" applyProtection="0"/>
    <xf numFmtId="0" fontId="43" fillId="59" borderId="283" applyNumberFormat="0" applyAlignment="0" applyProtection="0"/>
    <xf numFmtId="0" fontId="31" fillId="38" borderId="288">
      <alignment horizontal="right" vertical="center"/>
    </xf>
    <xf numFmtId="4" fontId="35" fillId="36" borderId="260">
      <alignment horizontal="right" vertical="center"/>
    </xf>
    <xf numFmtId="4" fontId="31" fillId="38" borderId="299">
      <alignment horizontal="right" vertical="center"/>
    </xf>
    <xf numFmtId="0" fontId="31" fillId="38" borderId="262">
      <alignment horizontal="right" vertical="center"/>
    </xf>
    <xf numFmtId="0" fontId="1" fillId="25" borderId="0" applyNumberFormat="0" applyBorder="0" applyAlignment="0" applyProtection="0"/>
    <xf numFmtId="4" fontId="31" fillId="38" borderId="275">
      <alignment horizontal="right" vertical="center"/>
    </xf>
    <xf numFmtId="0" fontId="44" fillId="59" borderId="270" applyNumberFormat="0" applyAlignment="0" applyProtection="0"/>
    <xf numFmtId="0" fontId="60" fillId="59" borderId="256" applyNumberFormat="0" applyAlignment="0" applyProtection="0"/>
    <xf numFmtId="0" fontId="4" fillId="29" borderId="0" applyNumberFormat="0" applyBorder="0" applyAlignment="0" applyProtection="0"/>
    <xf numFmtId="0" fontId="4" fillId="23" borderId="0" applyNumberFormat="0" applyBorder="0" applyAlignment="0" applyProtection="0"/>
    <xf numFmtId="0" fontId="63" fillId="0" borderId="271" applyNumberFormat="0" applyFill="0" applyAlignment="0" applyProtection="0"/>
    <xf numFmtId="0" fontId="4" fillId="20" borderId="0" applyNumberFormat="0" applyBorder="0" applyAlignment="0" applyProtection="0"/>
    <xf numFmtId="0" fontId="47" fillId="46" borderId="257" applyNumberFormat="0" applyAlignment="0" applyProtection="0"/>
    <xf numFmtId="0" fontId="1" fillId="25" borderId="0" applyNumberFormat="0" applyBorder="0" applyAlignment="0" applyProtection="0"/>
    <xf numFmtId="0" fontId="1" fillId="19" borderId="0" applyNumberFormat="0" applyBorder="0" applyAlignment="0" applyProtection="0"/>
    <xf numFmtId="0" fontId="1" fillId="33" borderId="0" applyNumberFormat="0" applyBorder="0" applyAlignment="0" applyProtection="0"/>
    <xf numFmtId="0" fontId="44" fillId="59" borderId="270" applyNumberFormat="0" applyAlignment="0" applyProtection="0"/>
    <xf numFmtId="0" fontId="1" fillId="21" borderId="0" applyNumberFormat="0" applyBorder="0" applyAlignment="0" applyProtection="0"/>
    <xf numFmtId="0" fontId="44" fillId="59" borderId="257" applyNumberFormat="0" applyAlignment="0" applyProtection="0"/>
    <xf numFmtId="0" fontId="3" fillId="0" borderId="23" applyNumberFormat="0" applyFill="0" applyAlignment="0" applyProtection="0"/>
    <xf numFmtId="0" fontId="60" fillId="59" borderId="269" applyNumberFormat="0" applyAlignment="0" applyProtection="0"/>
    <xf numFmtId="4" fontId="31" fillId="38" borderId="286">
      <alignment horizontal="right" vertical="center"/>
    </xf>
    <xf numFmtId="0" fontId="4" fillId="20" borderId="0" applyNumberFormat="0" applyBorder="0" applyAlignment="0" applyProtection="0"/>
    <xf numFmtId="0" fontId="43" fillId="59" borderId="283" applyNumberFormat="0" applyAlignment="0" applyProtection="0"/>
    <xf numFmtId="0" fontId="31" fillId="38" borderId="288">
      <alignment horizontal="right" vertical="center"/>
    </xf>
    <xf numFmtId="0" fontId="63" fillId="0" borderId="284" applyNumberFormat="0" applyFill="0" applyAlignment="0" applyProtection="0"/>
    <xf numFmtId="0" fontId="56" fillId="46" borderId="283" applyNumberFormat="0" applyAlignment="0" applyProtection="0"/>
    <xf numFmtId="0" fontId="38" fillId="62" borderId="272" applyNumberFormat="0" applyFont="0" applyAlignment="0" applyProtection="0"/>
    <xf numFmtId="4" fontId="31" fillId="38" borderId="262">
      <alignment horizontal="right" vertical="center"/>
    </xf>
    <xf numFmtId="0" fontId="43" fillId="59" borderId="270" applyNumberFormat="0" applyAlignment="0" applyProtection="0"/>
    <xf numFmtId="0" fontId="4" fillId="32" borderId="0" applyNumberFormat="0" applyBorder="0" applyAlignment="0" applyProtection="0"/>
    <xf numFmtId="0" fontId="31" fillId="38" borderId="260">
      <alignment horizontal="right" vertical="center"/>
    </xf>
    <xf numFmtId="0" fontId="33" fillId="37" borderId="260"/>
    <xf numFmtId="0" fontId="33" fillId="0" borderId="263">
      <alignment horizontal="left" vertical="center" wrapText="1" indent="2"/>
    </xf>
    <xf numFmtId="0" fontId="56" fillId="46" borderId="257" applyNumberFormat="0" applyAlignment="0" applyProtection="0"/>
    <xf numFmtId="0" fontId="56" fillId="46" borderId="270" applyNumberFormat="0" applyAlignment="0" applyProtection="0"/>
    <xf numFmtId="183" fontId="139" fillId="0" borderId="268">
      <alignment horizontal="left" vertical="center"/>
    </xf>
    <xf numFmtId="0" fontId="1" fillId="30" borderId="0" applyNumberFormat="0" applyBorder="0" applyAlignment="0" applyProtection="0"/>
    <xf numFmtId="0" fontId="44" fillId="59" borderId="270" applyNumberFormat="0" applyAlignment="0" applyProtection="0"/>
    <xf numFmtId="0" fontId="35" fillId="36" borderId="260">
      <alignment horizontal="right" vertical="center"/>
    </xf>
    <xf numFmtId="0" fontId="44" fillId="59" borderId="270" applyNumberFormat="0" applyAlignment="0" applyProtection="0"/>
    <xf numFmtId="0" fontId="33" fillId="0" borderId="263">
      <alignment horizontal="left" vertical="center" wrapText="1" indent="2"/>
    </xf>
    <xf numFmtId="0" fontId="44" fillId="59" borderId="270" applyNumberFormat="0" applyAlignment="0" applyProtection="0"/>
    <xf numFmtId="0" fontId="44" fillId="59" borderId="270" applyNumberFormat="0" applyAlignment="0" applyProtection="0"/>
    <xf numFmtId="4" fontId="33" fillId="0" borderId="273">
      <alignment horizontal="right" vertical="center"/>
    </xf>
    <xf numFmtId="177" fontId="33" fillId="63" borderId="286" applyNumberFormat="0" applyFont="0" applyBorder="0" applyAlignment="0" applyProtection="0">
      <alignment horizontal="right" vertical="center"/>
    </xf>
    <xf numFmtId="0" fontId="4" fillId="29" borderId="0" applyNumberFormat="0" applyBorder="0" applyAlignment="0" applyProtection="0"/>
    <xf numFmtId="0" fontId="31" fillId="36" borderId="260">
      <alignment horizontal="right" vertical="center"/>
    </xf>
    <xf numFmtId="0" fontId="63" fillId="0" borderId="284" applyNumberFormat="0" applyFill="0" applyAlignment="0" applyProtection="0"/>
    <xf numFmtId="0" fontId="33" fillId="37" borderId="273"/>
    <xf numFmtId="0" fontId="31" fillId="36" borderId="273">
      <alignment horizontal="right" vertical="center"/>
    </xf>
    <xf numFmtId="0" fontId="1" fillId="22" borderId="0" applyNumberFormat="0" applyBorder="0" applyAlignment="0" applyProtection="0"/>
    <xf numFmtId="0" fontId="31" fillId="36" borderId="273">
      <alignment horizontal="right" vertical="center"/>
    </xf>
    <xf numFmtId="0" fontId="47" fillId="46" borderId="257" applyNumberFormat="0" applyAlignment="0" applyProtection="0"/>
    <xf numFmtId="0" fontId="4" fillId="32" borderId="0" applyNumberFormat="0" applyBorder="0" applyAlignment="0" applyProtection="0"/>
    <xf numFmtId="0" fontId="31" fillId="38" borderId="273">
      <alignment horizontal="right" vertical="center"/>
    </xf>
    <xf numFmtId="0" fontId="1" fillId="27" borderId="0" applyNumberFormat="0" applyBorder="0" applyAlignment="0" applyProtection="0"/>
    <xf numFmtId="0" fontId="38" fillId="62" borderId="298" applyNumberFormat="0" applyFont="0" applyAlignment="0" applyProtection="0"/>
    <xf numFmtId="0" fontId="4" fillId="20" borderId="0" applyNumberFormat="0" applyBorder="0" applyAlignment="0" applyProtection="0"/>
    <xf numFmtId="0" fontId="33" fillId="38" borderId="289">
      <alignment horizontal="left" vertical="center" wrapText="1" indent="2"/>
    </xf>
    <xf numFmtId="0" fontId="43" fillId="59" borderId="283" applyNumberFormat="0" applyAlignment="0" applyProtection="0"/>
    <xf numFmtId="4" fontId="31" fillId="36" borderId="299">
      <alignment horizontal="right" vertical="center"/>
    </xf>
    <xf numFmtId="0" fontId="1" fillId="21" borderId="0" applyNumberFormat="0" applyBorder="0" applyAlignment="0" applyProtection="0"/>
    <xf numFmtId="0" fontId="56" fillId="46" borderId="270" applyNumberFormat="0" applyAlignment="0" applyProtection="0"/>
    <xf numFmtId="49" fontId="33" fillId="0" borderId="274" applyNumberFormat="0" applyFont="0" applyFill="0" applyBorder="0" applyProtection="0">
      <alignment horizontal="left" vertical="center" indent="5"/>
    </xf>
    <xf numFmtId="0" fontId="63" fillId="0" borderId="258" applyNumberFormat="0" applyFill="0" applyAlignment="0" applyProtection="0"/>
    <xf numFmtId="49" fontId="33" fillId="0" borderId="261" applyNumberFormat="0" applyFont="0" applyFill="0" applyBorder="0" applyProtection="0">
      <alignment horizontal="left" vertical="center" indent="5"/>
    </xf>
    <xf numFmtId="0" fontId="63" fillId="0" borderId="297" applyNumberFormat="0" applyFill="0" applyAlignment="0" applyProtection="0"/>
    <xf numFmtId="0" fontId="33" fillId="38" borderId="302">
      <alignment horizontal="left" vertical="center" wrapText="1" indent="2"/>
    </xf>
    <xf numFmtId="0" fontId="4" fillId="23" borderId="0" applyNumberFormat="0" applyBorder="0" applyAlignment="0" applyProtection="0"/>
    <xf numFmtId="0" fontId="1" fillId="22" borderId="0" applyNumberFormat="0" applyBorder="0" applyAlignment="0" applyProtection="0"/>
    <xf numFmtId="4" fontId="31" fillId="38" borderId="287">
      <alignment horizontal="right" vertical="center"/>
    </xf>
    <xf numFmtId="0" fontId="41" fillId="59" borderId="295" applyNumberFormat="0" applyAlignment="0" applyProtection="0"/>
    <xf numFmtId="0" fontId="4" fillId="20" borderId="0" applyNumberFormat="0" applyBorder="0" applyAlignment="0" applyProtection="0"/>
    <xf numFmtId="0" fontId="19" fillId="62" borderId="272" applyNumberFormat="0" applyFont="0" applyAlignment="0" applyProtection="0"/>
    <xf numFmtId="0" fontId="48" fillId="0" borderId="258" applyNumberFormat="0" applyFill="0" applyAlignment="0" applyProtection="0"/>
    <xf numFmtId="0" fontId="63" fillId="0" borderId="284" applyNumberFormat="0" applyFill="0" applyAlignment="0" applyProtection="0"/>
    <xf numFmtId="0" fontId="44" fillId="59" borderId="257" applyNumberFormat="0" applyAlignment="0" applyProtection="0"/>
    <xf numFmtId="4" fontId="31" fillId="38" borderId="260">
      <alignment horizontal="right" vertical="center"/>
    </xf>
    <xf numFmtId="4" fontId="31" fillId="38" borderId="262">
      <alignment horizontal="right" vertical="center"/>
    </xf>
    <xf numFmtId="183" fontId="139" fillId="0" borderId="294">
      <alignment horizontal="left" vertical="center"/>
    </xf>
    <xf numFmtId="49" fontId="32" fillId="0" borderId="260" applyNumberFormat="0" applyFill="0" applyBorder="0" applyProtection="0">
      <alignment horizontal="left" vertical="center"/>
    </xf>
    <xf numFmtId="0" fontId="47" fillId="46" borderId="270" applyNumberFormat="0" applyAlignment="0" applyProtection="0"/>
    <xf numFmtId="0" fontId="31" fillId="38" borderId="273">
      <alignment horizontal="right" vertical="center"/>
    </xf>
    <xf numFmtId="0" fontId="1" fillId="18" borderId="0" applyNumberFormat="0" applyBorder="0" applyAlignment="0" applyProtection="0"/>
    <xf numFmtId="0" fontId="4" fillId="23" borderId="0" applyNumberFormat="0" applyBorder="0" applyAlignment="0" applyProtection="0"/>
    <xf numFmtId="0" fontId="48" fillId="0" borderId="271" applyNumberFormat="0" applyFill="0" applyAlignment="0" applyProtection="0"/>
    <xf numFmtId="4" fontId="31" fillId="38" borderId="300">
      <alignment horizontal="right" vertical="center"/>
    </xf>
    <xf numFmtId="0" fontId="4" fillId="29" borderId="0" applyNumberFormat="0" applyBorder="0" applyAlignment="0" applyProtection="0"/>
    <xf numFmtId="183" fontId="124" fillId="62" borderId="303" applyNumberFormat="0" applyFont="0" applyAlignment="0" applyProtection="0"/>
    <xf numFmtId="0" fontId="1" fillId="21" borderId="0" applyNumberFormat="0" applyBorder="0" applyAlignment="0" applyProtection="0"/>
    <xf numFmtId="0" fontId="31" fillId="38" borderId="260">
      <alignment horizontal="right" vertical="center"/>
    </xf>
    <xf numFmtId="0" fontId="33" fillId="37" borderId="260"/>
    <xf numFmtId="0" fontId="19" fillId="62" borderId="259" applyNumberFormat="0" applyFont="0" applyAlignment="0" applyProtection="0"/>
    <xf numFmtId="0" fontId="60" fillId="59" borderId="295" applyNumberFormat="0" applyAlignment="0" applyProtection="0"/>
    <xf numFmtId="0" fontId="19" fillId="62" borderId="285" applyNumberFormat="0" applyFont="0" applyAlignment="0" applyProtection="0"/>
    <xf numFmtId="0" fontId="31" fillId="38" borderId="275">
      <alignment horizontal="right" vertical="center"/>
    </xf>
    <xf numFmtId="183" fontId="139" fillId="0" borderId="268">
      <alignment horizontal="left" vertical="center"/>
    </xf>
    <xf numFmtId="0" fontId="33" fillId="37" borderId="273"/>
    <xf numFmtId="0" fontId="31" fillId="38" borderId="260">
      <alignment horizontal="right" vertical="center"/>
    </xf>
    <xf numFmtId="49" fontId="32" fillId="0" borderId="260" applyNumberFormat="0" applyFill="0" applyBorder="0" applyProtection="0">
      <alignment horizontal="left" vertical="center"/>
    </xf>
    <xf numFmtId="43" fontId="36" fillId="0" borderId="0" applyFont="0" applyFill="0" applyBorder="0" applyAlignment="0" applyProtection="0"/>
    <xf numFmtId="0" fontId="26" fillId="17" borderId="10" applyNumberFormat="0" applyAlignment="0" applyProtection="0"/>
    <xf numFmtId="0" fontId="4" fillId="20" borderId="0" applyNumberFormat="0" applyBorder="0" applyAlignment="0" applyProtection="0"/>
    <xf numFmtId="0" fontId="44" fillId="59" borderId="296" applyNumberFormat="0" applyAlignment="0" applyProtection="0"/>
    <xf numFmtId="0" fontId="3" fillId="0" borderId="23" applyNumberFormat="0" applyFill="0" applyAlignment="0" applyProtection="0"/>
    <xf numFmtId="0" fontId="35" fillId="36" borderId="286">
      <alignment horizontal="right" vertical="center"/>
    </xf>
    <xf numFmtId="0" fontId="44" fillId="59" borderId="257" applyNumberFormat="0" applyAlignment="0" applyProtection="0"/>
    <xf numFmtId="0" fontId="38" fillId="62" borderId="285" applyNumberFormat="0" applyFont="0" applyAlignment="0" applyProtection="0"/>
    <xf numFmtId="0" fontId="1" fillId="22" borderId="0" applyNumberFormat="0" applyBorder="0" applyAlignment="0" applyProtection="0"/>
    <xf numFmtId="4" fontId="33" fillId="0" borderId="299" applyFill="0" applyBorder="0" applyProtection="0">
      <alignment horizontal="right" vertical="center"/>
    </xf>
    <xf numFmtId="4" fontId="35" fillId="36" borderId="260">
      <alignment horizontal="right" vertical="center"/>
    </xf>
    <xf numFmtId="0" fontId="63" fillId="0" borderId="271" applyNumberFormat="0" applyFill="0" applyAlignment="0" applyProtection="0"/>
    <xf numFmtId="4" fontId="31" fillId="38" borderId="260">
      <alignment horizontal="right" vertical="center"/>
    </xf>
    <xf numFmtId="4" fontId="33" fillId="37" borderId="286"/>
    <xf numFmtId="0" fontId="60" fillId="59" borderId="256" applyNumberFormat="0" applyAlignment="0" applyProtection="0"/>
    <xf numFmtId="0" fontId="63" fillId="0" borderId="258" applyNumberFormat="0" applyFill="0" applyAlignment="0" applyProtection="0"/>
    <xf numFmtId="0" fontId="33" fillId="38" borderId="276">
      <alignment horizontal="left" vertical="center" wrapText="1" indent="2"/>
    </xf>
    <xf numFmtId="4" fontId="31" fillId="38" borderId="288">
      <alignment horizontal="right" vertical="center"/>
    </xf>
    <xf numFmtId="0" fontId="31" fillId="38" borderId="286">
      <alignment horizontal="right" vertical="center"/>
    </xf>
    <xf numFmtId="0" fontId="33" fillId="38" borderId="276">
      <alignment horizontal="left" vertical="center" wrapText="1" indent="2"/>
    </xf>
    <xf numFmtId="0" fontId="60" fillId="59" borderId="256" applyNumberFormat="0" applyAlignment="0" applyProtection="0"/>
    <xf numFmtId="0" fontId="4" fillId="35" borderId="0" applyNumberFormat="0" applyBorder="0" applyAlignment="0" applyProtection="0"/>
    <xf numFmtId="49" fontId="33" fillId="0" borderId="260" applyNumberFormat="0" applyFont="0" applyFill="0" applyBorder="0" applyProtection="0">
      <alignment horizontal="left" vertical="center" indent="2"/>
    </xf>
    <xf numFmtId="4" fontId="31" fillId="38" borderId="288">
      <alignment horizontal="right" vertical="center"/>
    </xf>
    <xf numFmtId="0" fontId="1" fillId="31" borderId="0" applyNumberFormat="0" applyBorder="0" applyAlignment="0" applyProtection="0"/>
    <xf numFmtId="4" fontId="35" fillId="36" borderId="299">
      <alignment horizontal="right" vertical="center"/>
    </xf>
    <xf numFmtId="0" fontId="47" fillId="46" borderId="283" applyNumberFormat="0" applyAlignment="0" applyProtection="0"/>
    <xf numFmtId="0" fontId="1" fillId="33" borderId="0" applyNumberFormat="0" applyBorder="0" applyAlignment="0" applyProtection="0"/>
    <xf numFmtId="0" fontId="63" fillId="0" borderId="284" applyNumberFormat="0" applyFill="0" applyAlignment="0" applyProtection="0"/>
    <xf numFmtId="0" fontId="41" fillId="59" borderId="295" applyNumberFormat="0" applyAlignment="0" applyProtection="0"/>
    <xf numFmtId="0" fontId="4" fillId="35" borderId="0" applyNumberFormat="0" applyBorder="0" applyAlignment="0" applyProtection="0"/>
    <xf numFmtId="49" fontId="33" fillId="0" borderId="286" applyNumberFormat="0" applyFont="0" applyFill="0" applyBorder="0" applyProtection="0">
      <alignment horizontal="left" vertical="center" indent="2"/>
    </xf>
    <xf numFmtId="0" fontId="48" fillId="0" borderId="271" applyNumberFormat="0" applyFill="0" applyAlignment="0" applyProtection="0"/>
    <xf numFmtId="0" fontId="47" fillId="46" borderId="257" applyNumberFormat="0" applyAlignment="0" applyProtection="0"/>
    <xf numFmtId="0" fontId="33" fillId="0" borderId="263">
      <alignment horizontal="left" vertical="center" wrapText="1" indent="2"/>
    </xf>
    <xf numFmtId="4" fontId="31" fillId="38" borderId="287">
      <alignment horizontal="right" vertical="center"/>
    </xf>
    <xf numFmtId="0" fontId="1" fillId="19" borderId="0" applyNumberFormat="0" applyBorder="0" applyAlignment="0" applyProtection="0"/>
    <xf numFmtId="0" fontId="44" fillId="59" borderId="257" applyNumberFormat="0" applyAlignment="0" applyProtection="0"/>
    <xf numFmtId="0" fontId="28" fillId="0" borderId="0" applyNumberFormat="0" applyFill="0" applyBorder="0" applyAlignment="0" applyProtection="0"/>
    <xf numFmtId="0" fontId="4" fillId="35" borderId="0" applyNumberFormat="0" applyBorder="0" applyAlignment="0" applyProtection="0"/>
    <xf numFmtId="0" fontId="48" fillId="0" borderId="258" applyNumberFormat="0" applyFill="0" applyAlignment="0" applyProtection="0"/>
    <xf numFmtId="0" fontId="31" fillId="36" borderId="273">
      <alignment horizontal="right" vertical="center"/>
    </xf>
    <xf numFmtId="0" fontId="35" fillId="36" borderId="273">
      <alignment horizontal="right" vertical="center"/>
    </xf>
    <xf numFmtId="0" fontId="41" fillId="59" borderId="256" applyNumberFormat="0" applyAlignment="0" applyProtection="0"/>
    <xf numFmtId="0" fontId="31" fillId="36" borderId="260">
      <alignment horizontal="right" vertical="center"/>
    </xf>
    <xf numFmtId="0" fontId="28" fillId="0" borderId="0" applyNumberFormat="0" applyFill="0" applyBorder="0" applyAlignment="0" applyProtection="0"/>
    <xf numFmtId="0" fontId="48" fillId="0" borderId="258" applyNumberFormat="0" applyFill="0" applyAlignment="0" applyProtection="0"/>
    <xf numFmtId="0" fontId="44" fillId="59" borderId="270" applyNumberFormat="0" applyAlignment="0" applyProtection="0"/>
    <xf numFmtId="49" fontId="33" fillId="0" borderId="299" applyNumberFormat="0" applyFont="0" applyFill="0" applyBorder="0" applyProtection="0">
      <alignment horizontal="left" vertical="center" indent="2"/>
    </xf>
    <xf numFmtId="0" fontId="1" fillId="24" borderId="0" applyNumberFormat="0" applyBorder="0" applyAlignment="0" applyProtection="0"/>
    <xf numFmtId="0" fontId="33" fillId="0" borderId="260" applyNumberFormat="0" applyFill="0" applyAlignment="0" applyProtection="0"/>
    <xf numFmtId="0" fontId="33" fillId="0" borderId="263">
      <alignment horizontal="left" vertical="center" wrapText="1" indent="2"/>
    </xf>
    <xf numFmtId="4" fontId="33" fillId="37" borderId="260"/>
    <xf numFmtId="0" fontId="33" fillId="36" borderId="261">
      <alignment horizontal="left" vertical="center"/>
    </xf>
    <xf numFmtId="4" fontId="33" fillId="37" borderId="260"/>
    <xf numFmtId="0" fontId="1" fillId="27" borderId="0" applyNumberFormat="0" applyBorder="0" applyAlignment="0" applyProtection="0"/>
    <xf numFmtId="4" fontId="33" fillId="0" borderId="260">
      <alignment horizontal="right" vertical="center"/>
    </xf>
    <xf numFmtId="4" fontId="31" fillId="38" borderId="275">
      <alignment horizontal="right" vertical="center"/>
    </xf>
    <xf numFmtId="4" fontId="33" fillId="0" borderId="260" applyFill="0" applyBorder="0" applyProtection="0">
      <alignment horizontal="right" vertical="center"/>
    </xf>
    <xf numFmtId="0" fontId="35" fillId="36" borderId="286">
      <alignment horizontal="right" vertical="center"/>
    </xf>
    <xf numFmtId="0" fontId="33" fillId="0" borderId="286" applyNumberFormat="0" applyFill="0" applyAlignment="0" applyProtection="0"/>
    <xf numFmtId="0" fontId="41" fillId="59" borderId="256" applyNumberFormat="0" applyAlignment="0" applyProtection="0"/>
    <xf numFmtId="4" fontId="31" fillId="38" borderId="286">
      <alignment horizontal="right" vertical="center"/>
    </xf>
    <xf numFmtId="0" fontId="4" fillId="26" borderId="0" applyNumberFormat="0" applyBorder="0" applyAlignment="0" applyProtection="0"/>
    <xf numFmtId="0" fontId="60" fillId="59" borderId="295" applyNumberFormat="0" applyAlignment="0" applyProtection="0"/>
    <xf numFmtId="0" fontId="48" fillId="0" borderId="258" applyNumberFormat="0" applyFill="0" applyAlignment="0" applyProtection="0"/>
    <xf numFmtId="0" fontId="63" fillId="0" borderId="271" applyNumberFormat="0" applyFill="0" applyAlignment="0" applyProtection="0"/>
    <xf numFmtId="17" fontId="127" fillId="82" borderId="260">
      <alignment horizontal="center"/>
      <protection locked="0"/>
    </xf>
    <xf numFmtId="0" fontId="48" fillId="0" borderId="258" applyNumberFormat="0" applyFill="0" applyAlignment="0" applyProtection="0"/>
    <xf numFmtId="0" fontId="44" fillId="59" borderId="270" applyNumberFormat="0" applyAlignment="0" applyProtection="0"/>
    <xf numFmtId="183" fontId="124" fillId="62" borderId="264" applyNumberFormat="0" applyFont="0" applyAlignment="0" applyProtection="0"/>
    <xf numFmtId="4" fontId="31" fillId="38" borderId="274">
      <alignment horizontal="right" vertical="center"/>
    </xf>
    <xf numFmtId="49" fontId="33" fillId="0" borderId="287" applyNumberFormat="0" applyFont="0" applyFill="0" applyBorder="0" applyProtection="0">
      <alignment horizontal="left" vertical="center" indent="5"/>
    </xf>
    <xf numFmtId="0" fontId="44" fillId="59" borderId="257" applyNumberFormat="0" applyAlignment="0" applyProtection="0"/>
    <xf numFmtId="0" fontId="41" fillId="59" borderId="295" applyNumberFormat="0" applyAlignment="0" applyProtection="0"/>
    <xf numFmtId="0" fontId="33" fillId="0" borderId="273">
      <alignment horizontal="right" vertical="center"/>
    </xf>
    <xf numFmtId="0" fontId="63" fillId="0" borderId="284" applyNumberFormat="0" applyFill="0" applyAlignment="0" applyProtection="0"/>
    <xf numFmtId="0" fontId="47" fillId="46" borderId="283" applyNumberFormat="0" applyAlignment="0" applyProtection="0"/>
    <xf numFmtId="4" fontId="35" fillId="36" borderId="260">
      <alignment horizontal="right" vertical="center"/>
    </xf>
    <xf numFmtId="0" fontId="76" fillId="83" borderId="259" applyNumberFormat="0" applyFont="0" applyAlignment="0" applyProtection="0"/>
    <xf numFmtId="0" fontId="63" fillId="0" borderId="297" applyNumberFormat="0" applyFill="0" applyAlignment="0" applyProtection="0"/>
    <xf numFmtId="0" fontId="44" fillId="59" borderId="270" applyNumberFormat="0" applyAlignment="0" applyProtection="0"/>
    <xf numFmtId="0" fontId="56" fillId="46" borderId="270" applyNumberFormat="0" applyAlignment="0" applyProtection="0"/>
    <xf numFmtId="0" fontId="1" fillId="31" borderId="0" applyNumberFormat="0" applyBorder="0" applyAlignment="0" applyProtection="0"/>
    <xf numFmtId="0" fontId="60" fillId="59" borderId="282" applyNumberFormat="0" applyAlignment="0" applyProtection="0"/>
    <xf numFmtId="183" fontId="124" fillId="62" borderId="264" applyNumberFormat="0" applyFont="0" applyAlignment="0" applyProtection="0"/>
    <xf numFmtId="4" fontId="31" fillId="36" borderId="273">
      <alignment horizontal="right" vertical="center"/>
    </xf>
    <xf numFmtId="0" fontId="31" fillId="38" borderId="261">
      <alignment horizontal="right" vertical="center"/>
    </xf>
    <xf numFmtId="4" fontId="35" fillId="36" borderId="260">
      <alignment horizontal="right" vertical="center"/>
    </xf>
    <xf numFmtId="3" fontId="126" fillId="82" borderId="260">
      <alignment horizontal="center"/>
      <protection locked="0"/>
    </xf>
    <xf numFmtId="0" fontId="33" fillId="0" borderId="260" applyNumberFormat="0" applyFill="0" applyAlignment="0" applyProtection="0"/>
    <xf numFmtId="0" fontId="33" fillId="36" borderId="261">
      <alignment horizontal="left" vertical="center"/>
    </xf>
    <xf numFmtId="4" fontId="31" fillId="38" borderId="274">
      <alignment horizontal="right" vertical="center"/>
    </xf>
    <xf numFmtId="4" fontId="33" fillId="0" borderId="273">
      <alignment horizontal="right" vertical="center"/>
    </xf>
    <xf numFmtId="0" fontId="56" fillId="46" borderId="283" applyNumberFormat="0" applyAlignment="0" applyProtection="0"/>
    <xf numFmtId="4" fontId="31" fillId="38" borderId="262">
      <alignment horizontal="right" vertical="center"/>
    </xf>
    <xf numFmtId="0" fontId="33" fillId="37" borderId="260"/>
    <xf numFmtId="0" fontId="31" fillId="38" borderId="237">
      <alignment horizontal="right" vertical="center"/>
    </xf>
    <xf numFmtId="4" fontId="31" fillId="38" borderId="237">
      <alignment horizontal="right" vertical="center"/>
    </xf>
    <xf numFmtId="49" fontId="32" fillId="0" borderId="286" applyNumberFormat="0" applyFill="0" applyBorder="0" applyProtection="0">
      <alignment horizontal="left" vertical="center"/>
    </xf>
    <xf numFmtId="0" fontId="4" fillId="32" borderId="0" applyNumberFormat="0" applyBorder="0" applyAlignment="0" applyProtection="0"/>
    <xf numFmtId="0" fontId="35" fillId="36" borderId="260">
      <alignment horizontal="right" vertical="center"/>
    </xf>
    <xf numFmtId="0" fontId="33" fillId="36" borderId="237">
      <alignment horizontal="left" vertical="center"/>
    </xf>
    <xf numFmtId="4" fontId="31" fillId="38" borderId="260">
      <alignment horizontal="right" vertical="center"/>
    </xf>
    <xf numFmtId="0" fontId="38" fillId="62" borderId="272" applyNumberFormat="0" applyFont="0" applyAlignment="0" applyProtection="0"/>
    <xf numFmtId="0" fontId="63" fillId="0" borderId="258" applyNumberFormat="0" applyFill="0" applyAlignment="0" applyProtection="0"/>
    <xf numFmtId="49" fontId="33" fillId="0" borderId="237" applyNumberFormat="0" applyFont="0" applyFill="0" applyBorder="0" applyProtection="0">
      <alignment horizontal="left" vertical="center" indent="5"/>
    </xf>
    <xf numFmtId="4" fontId="33" fillId="0" borderId="286">
      <alignment horizontal="right" vertical="center"/>
    </xf>
    <xf numFmtId="4" fontId="31" fillId="38" borderId="301">
      <alignment horizontal="right" vertical="center"/>
    </xf>
    <xf numFmtId="4" fontId="31" fillId="38" borderId="260">
      <alignment horizontal="right" vertical="center"/>
    </xf>
    <xf numFmtId="0" fontId="63" fillId="0" borderId="258" applyNumberFormat="0" applyFill="0" applyAlignment="0" applyProtection="0"/>
    <xf numFmtId="0" fontId="1" fillId="33" borderId="0" applyNumberFormat="0" applyBorder="0" applyAlignment="0" applyProtection="0"/>
    <xf numFmtId="0" fontId="44" fillId="59" borderId="283" applyNumberFormat="0" applyAlignment="0" applyProtection="0"/>
    <xf numFmtId="0" fontId="1" fillId="18" borderId="0" applyNumberFormat="0" applyBorder="0" applyAlignment="0" applyProtection="0"/>
    <xf numFmtId="0" fontId="56" fillId="46" borderId="283" applyNumberFormat="0" applyAlignment="0" applyProtection="0"/>
    <xf numFmtId="0" fontId="44" fillId="59" borderId="283" applyNumberFormat="0" applyAlignment="0" applyProtection="0"/>
    <xf numFmtId="0" fontId="48" fillId="0" borderId="297" applyNumberFormat="0" applyFill="0" applyAlignment="0" applyProtection="0"/>
    <xf numFmtId="0" fontId="35" fillId="36" borderId="260">
      <alignment horizontal="right" vertical="center"/>
    </xf>
    <xf numFmtId="0" fontId="33" fillId="38" borderId="302">
      <alignment horizontal="left" vertical="center" wrapText="1" indent="2"/>
    </xf>
    <xf numFmtId="0" fontId="47" fillId="46" borderId="283" applyNumberFormat="0" applyAlignment="0" applyProtection="0"/>
    <xf numFmtId="0" fontId="38" fillId="62" borderId="298" applyNumberFormat="0" applyFont="0" applyAlignment="0" applyProtection="0"/>
    <xf numFmtId="4" fontId="33" fillId="0" borderId="286" applyFill="0" applyBorder="0" applyProtection="0">
      <alignment horizontal="right" vertical="center"/>
    </xf>
    <xf numFmtId="0" fontId="63" fillId="0" borderId="258" applyNumberFormat="0" applyFill="0" applyAlignment="0" applyProtection="0"/>
    <xf numFmtId="0" fontId="4" fillId="32" borderId="0" applyNumberFormat="0" applyBorder="0" applyAlignment="0" applyProtection="0"/>
    <xf numFmtId="0" fontId="3" fillId="0" borderId="23" applyNumberFormat="0" applyFill="0" applyAlignment="0" applyProtection="0"/>
    <xf numFmtId="0" fontId="4" fillId="20" borderId="0" applyNumberFormat="0" applyBorder="0" applyAlignment="0" applyProtection="0"/>
    <xf numFmtId="0" fontId="4" fillId="32" borderId="0" applyNumberFormat="0" applyBorder="0" applyAlignment="0" applyProtection="0"/>
    <xf numFmtId="0" fontId="44" fillId="59" borderId="257" applyNumberFormat="0" applyAlignment="0" applyProtection="0"/>
    <xf numFmtId="49" fontId="32" fillId="0" borderId="260" applyNumberFormat="0" applyFill="0" applyBorder="0" applyProtection="0">
      <alignment horizontal="left" vertical="center"/>
    </xf>
    <xf numFmtId="0" fontId="56" fillId="46" borderId="257" applyNumberFormat="0" applyAlignment="0" applyProtection="0"/>
    <xf numFmtId="4" fontId="31" fillId="36" borderId="260">
      <alignment horizontal="right" vertical="center"/>
    </xf>
    <xf numFmtId="49" fontId="32" fillId="0" borderId="286" applyNumberFormat="0" applyFill="0" applyBorder="0" applyProtection="0">
      <alignment horizontal="left" vertical="center"/>
    </xf>
    <xf numFmtId="0" fontId="44" fillId="59" borderId="283" applyNumberFormat="0" applyAlignment="0" applyProtection="0"/>
    <xf numFmtId="0" fontId="3" fillId="0" borderId="23" applyNumberFormat="0" applyFill="0" applyAlignment="0" applyProtection="0"/>
    <xf numFmtId="0" fontId="3" fillId="0" borderId="23" applyNumberFormat="0" applyFill="0" applyAlignment="0" applyProtection="0"/>
    <xf numFmtId="0" fontId="56" fillId="46" borderId="283" applyNumberFormat="0" applyAlignment="0" applyProtection="0"/>
    <xf numFmtId="4" fontId="82" fillId="0" borderId="293" applyNumberFormat="0" applyFont="0" applyFill="0" applyAlignment="0" applyProtection="0"/>
    <xf numFmtId="0" fontId="76" fillId="83" borderId="259" applyNumberFormat="0" applyFont="0" applyAlignment="0" applyProtection="0"/>
    <xf numFmtId="0" fontId="44" fillId="59" borderId="257" applyNumberFormat="0" applyAlignment="0" applyProtection="0"/>
    <xf numFmtId="0" fontId="1" fillId="31" borderId="0" applyNumberFormat="0" applyBorder="0" applyAlignment="0" applyProtection="0"/>
    <xf numFmtId="0" fontId="38" fillId="62" borderId="259" applyNumberFormat="0" applyFont="0" applyAlignment="0" applyProtection="0"/>
    <xf numFmtId="0" fontId="41" fillId="59" borderId="256" applyNumberFormat="0" applyAlignment="0" applyProtection="0"/>
    <xf numFmtId="183" fontId="124" fillId="62" borderId="290" applyNumberFormat="0" applyFont="0" applyAlignment="0" applyProtection="0"/>
    <xf numFmtId="0" fontId="63" fillId="0" borderId="258" applyNumberFormat="0" applyFill="0" applyAlignment="0" applyProtection="0"/>
    <xf numFmtId="0" fontId="63" fillId="0" borderId="284" applyNumberFormat="0" applyFill="0" applyAlignment="0" applyProtection="0"/>
    <xf numFmtId="0" fontId="1" fillId="21" borderId="0" applyNumberFormat="0" applyBorder="0" applyAlignment="0" applyProtection="0"/>
    <xf numFmtId="0" fontId="4" fillId="23" borderId="0" applyNumberFormat="0" applyBorder="0" applyAlignment="0" applyProtection="0"/>
    <xf numFmtId="49" fontId="33" fillId="0" borderId="273" applyNumberFormat="0" applyFont="0" applyFill="0" applyBorder="0" applyProtection="0">
      <alignment horizontal="left" vertical="center" indent="2"/>
    </xf>
    <xf numFmtId="4" fontId="33" fillId="37" borderId="273"/>
    <xf numFmtId="0" fontId="31" fillId="38" borderId="300">
      <alignment horizontal="right" vertical="center"/>
    </xf>
    <xf numFmtId="0" fontId="1" fillId="25" borderId="0" applyNumberFormat="0" applyBorder="0" applyAlignment="0" applyProtection="0"/>
    <xf numFmtId="0" fontId="33" fillId="37" borderId="286"/>
    <xf numFmtId="0" fontId="33" fillId="37" borderId="260"/>
    <xf numFmtId="0" fontId="31" fillId="38" borderId="261">
      <alignment horizontal="right" vertical="center"/>
    </xf>
    <xf numFmtId="0" fontId="1" fillId="24" borderId="0" applyNumberFormat="0" applyBorder="0" applyAlignment="0" applyProtection="0"/>
    <xf numFmtId="0" fontId="33" fillId="0" borderId="286">
      <alignment horizontal="right" vertical="center"/>
    </xf>
    <xf numFmtId="0" fontId="1" fillId="22" borderId="0" applyNumberFormat="0" applyBorder="0" applyAlignment="0" applyProtection="0"/>
    <xf numFmtId="0" fontId="1" fillId="24" borderId="0" applyNumberFormat="0" applyBorder="0" applyAlignment="0" applyProtection="0"/>
    <xf numFmtId="0" fontId="1" fillId="18" borderId="0" applyNumberFormat="0" applyBorder="0" applyAlignment="0" applyProtection="0"/>
    <xf numFmtId="4" fontId="31" fillId="38" borderId="274">
      <alignment horizontal="right" vertical="center"/>
    </xf>
    <xf numFmtId="0" fontId="3" fillId="0" borderId="23" applyNumberFormat="0" applyFill="0" applyAlignment="0" applyProtection="0"/>
    <xf numFmtId="0" fontId="1" fillId="22" borderId="0" applyNumberFormat="0" applyBorder="0" applyAlignment="0" applyProtection="0"/>
    <xf numFmtId="0" fontId="31" fillId="38" borderId="261">
      <alignment horizontal="right" vertical="center"/>
    </xf>
    <xf numFmtId="0" fontId="38" fillId="62" borderId="259" applyNumberFormat="0" applyFont="0" applyAlignment="0" applyProtection="0"/>
    <xf numFmtId="0" fontId="1" fillId="21" borderId="0" applyNumberFormat="0" applyBorder="0" applyAlignment="0" applyProtection="0"/>
    <xf numFmtId="0" fontId="1" fillId="19" borderId="0" applyNumberFormat="0" applyBorder="0" applyAlignment="0" applyProtection="0"/>
    <xf numFmtId="0" fontId="28" fillId="0" borderId="0" applyNumberFormat="0" applyFill="0" applyBorder="0" applyAlignment="0" applyProtection="0"/>
    <xf numFmtId="0" fontId="33" fillId="38" borderId="276">
      <alignment horizontal="left" vertical="center" wrapText="1" indent="2"/>
    </xf>
    <xf numFmtId="49" fontId="33" fillId="0" borderId="260" applyNumberFormat="0" applyFont="0" applyFill="0" applyBorder="0" applyProtection="0">
      <alignment horizontal="left" vertical="center" indent="2"/>
    </xf>
    <xf numFmtId="0" fontId="33" fillId="38" borderId="302">
      <alignment horizontal="left" vertical="center" wrapText="1" indent="2"/>
    </xf>
    <xf numFmtId="0" fontId="44" fillId="59" borderId="283" applyNumberFormat="0" applyAlignment="0" applyProtection="0"/>
    <xf numFmtId="0" fontId="60" fillId="59" borderId="256" applyNumberFormat="0" applyAlignment="0" applyProtection="0"/>
    <xf numFmtId="4" fontId="31" fillId="38" borderId="287">
      <alignment horizontal="right" vertical="center"/>
    </xf>
    <xf numFmtId="0" fontId="63" fillId="0" borderId="258" applyNumberFormat="0" applyFill="0" applyAlignment="0" applyProtection="0"/>
    <xf numFmtId="0" fontId="43" fillId="59" borderId="257" applyNumberFormat="0" applyAlignment="0" applyProtection="0"/>
    <xf numFmtId="0" fontId="56" fillId="46" borderId="257" applyNumberFormat="0" applyAlignment="0" applyProtection="0"/>
    <xf numFmtId="0" fontId="33" fillId="0" borderId="273" applyNumberFormat="0" applyFill="0" applyAlignment="0" applyProtection="0"/>
    <xf numFmtId="0" fontId="33" fillId="38" borderId="289">
      <alignment horizontal="left" vertical="center" wrapText="1" indent="2"/>
    </xf>
    <xf numFmtId="0" fontId="1" fillId="18" borderId="0" applyNumberFormat="0" applyBorder="0" applyAlignment="0" applyProtection="0"/>
    <xf numFmtId="43" fontId="22" fillId="0" borderId="0" applyFont="0" applyFill="0" applyBorder="0" applyAlignment="0" applyProtection="0"/>
    <xf numFmtId="0" fontId="1" fillId="33" borderId="0" applyNumberFormat="0" applyBorder="0" applyAlignment="0" applyProtection="0"/>
    <xf numFmtId="0" fontId="63" fillId="0" borderId="258" applyNumberFormat="0" applyFill="0" applyAlignment="0" applyProtection="0"/>
    <xf numFmtId="0" fontId="43" fillId="59" borderId="257" applyNumberFormat="0" applyAlignment="0" applyProtection="0"/>
    <xf numFmtId="0" fontId="41" fillId="59" borderId="256" applyNumberFormat="0" applyAlignment="0" applyProtection="0"/>
    <xf numFmtId="0" fontId="1" fillId="27" borderId="0" applyNumberFormat="0" applyBorder="0" applyAlignment="0" applyProtection="0"/>
    <xf numFmtId="213" fontId="30" fillId="59" borderId="294" applyAlignment="0" applyProtection="0"/>
    <xf numFmtId="0" fontId="63" fillId="0" borderId="284" applyNumberFormat="0" applyFill="0" applyAlignment="0" applyProtection="0"/>
    <xf numFmtId="0" fontId="1" fillId="18" borderId="0" applyNumberFormat="0" applyBorder="0" applyAlignment="0" applyProtection="0"/>
    <xf numFmtId="4" fontId="33" fillId="0" borderId="286">
      <alignment horizontal="right" vertical="center"/>
    </xf>
    <xf numFmtId="0" fontId="33" fillId="0" borderId="289">
      <alignment horizontal="left" vertical="center" wrapText="1" indent="2"/>
    </xf>
    <xf numFmtId="0" fontId="33" fillId="0" borderId="299" applyNumberFormat="0" applyFill="0" applyAlignment="0" applyProtection="0"/>
    <xf numFmtId="4" fontId="33" fillId="37" borderId="286"/>
    <xf numFmtId="0" fontId="26" fillId="17" borderId="10" applyNumberFormat="0" applyAlignment="0" applyProtection="0"/>
    <xf numFmtId="0" fontId="33" fillId="38" borderId="263">
      <alignment horizontal="left" vertical="center" wrapText="1" indent="2"/>
    </xf>
    <xf numFmtId="0" fontId="31" fillId="38" borderId="260">
      <alignment horizontal="right" vertical="center"/>
    </xf>
    <xf numFmtId="0" fontId="4" fillId="35" borderId="0" applyNumberFormat="0" applyBorder="0" applyAlignment="0" applyProtection="0"/>
    <xf numFmtId="0" fontId="1" fillId="27" borderId="0" applyNumberFormat="0" applyBorder="0" applyAlignment="0" applyProtection="0"/>
    <xf numFmtId="0" fontId="44" fillId="59" borderId="283" applyNumberFormat="0" applyAlignment="0" applyProtection="0"/>
    <xf numFmtId="0" fontId="48" fillId="0" borderId="258" applyNumberFormat="0" applyFill="0" applyAlignment="0" applyProtection="0"/>
    <xf numFmtId="0" fontId="31" fillId="38" borderId="260">
      <alignment horizontal="right" vertical="center"/>
    </xf>
    <xf numFmtId="0" fontId="56" fillId="46" borderId="270" applyNumberFormat="0" applyAlignment="0" applyProtection="0"/>
    <xf numFmtId="0" fontId="31" fillId="38" borderId="287">
      <alignment horizontal="right" vertical="center"/>
    </xf>
    <xf numFmtId="0" fontId="1" fillId="33" borderId="0" applyNumberFormat="0" applyBorder="0" applyAlignment="0" applyProtection="0"/>
    <xf numFmtId="0" fontId="27" fillId="0" borderId="0" applyNumberFormat="0" applyFill="0" applyBorder="0" applyAlignment="0" applyProtection="0"/>
    <xf numFmtId="0" fontId="47" fillId="46" borderId="257" applyNumberFormat="0" applyAlignment="0" applyProtection="0"/>
    <xf numFmtId="0" fontId="47" fillId="46" borderId="270" applyNumberFormat="0" applyAlignment="0" applyProtection="0"/>
    <xf numFmtId="0" fontId="4" fillId="35" borderId="0" applyNumberFormat="0" applyBorder="0" applyAlignment="0" applyProtection="0"/>
    <xf numFmtId="0" fontId="4" fillId="20" borderId="0" applyNumberFormat="0" applyBorder="0" applyAlignment="0" applyProtection="0"/>
    <xf numFmtId="0" fontId="33" fillId="37" borderId="260"/>
    <xf numFmtId="0" fontId="1" fillId="28" borderId="0" applyNumberFormat="0" applyBorder="0" applyAlignment="0" applyProtection="0"/>
    <xf numFmtId="0" fontId="38" fillId="62" borderId="259" applyNumberFormat="0" applyFont="0" applyAlignment="0" applyProtection="0"/>
    <xf numFmtId="0" fontId="33" fillId="36" borderId="261">
      <alignment horizontal="left" vertical="center"/>
    </xf>
    <xf numFmtId="0" fontId="44" fillId="59" borderId="257" applyNumberFormat="0" applyAlignment="0" applyProtection="0"/>
    <xf numFmtId="0" fontId="1" fillId="30" borderId="0" applyNumberFormat="0" applyBorder="0" applyAlignment="0" applyProtection="0"/>
    <xf numFmtId="0" fontId="31" fillId="38" borderId="260">
      <alignment horizontal="right" vertical="center"/>
    </xf>
    <xf numFmtId="0" fontId="63" fillId="0" borderId="284" applyNumberFormat="0" applyFill="0" applyAlignment="0" applyProtection="0"/>
    <xf numFmtId="0" fontId="48" fillId="0" borderId="258" applyNumberFormat="0" applyFill="0" applyAlignment="0" applyProtection="0"/>
    <xf numFmtId="0" fontId="1" fillId="24" borderId="0" applyNumberFormat="0" applyBorder="0" applyAlignment="0" applyProtection="0"/>
    <xf numFmtId="4" fontId="33" fillId="37" borderId="273"/>
    <xf numFmtId="0" fontId="44" fillId="59" borderId="296" applyNumberFormat="0" applyAlignment="0" applyProtection="0"/>
    <xf numFmtId="0" fontId="43" fillId="59" borderId="257" applyNumberFormat="0" applyAlignment="0" applyProtection="0"/>
    <xf numFmtId="0" fontId="25" fillId="17" borderId="22" applyNumberFormat="0" applyAlignment="0" applyProtection="0"/>
    <xf numFmtId="0" fontId="33" fillId="36" borderId="287">
      <alignment horizontal="left" vertical="center"/>
    </xf>
    <xf numFmtId="0" fontId="38" fillId="62" borderId="259" applyNumberFormat="0" applyFont="0" applyAlignment="0" applyProtection="0"/>
    <xf numFmtId="0" fontId="43" fillId="59" borderId="270" applyNumberFormat="0" applyAlignment="0" applyProtection="0"/>
    <xf numFmtId="0" fontId="56" fillId="46" borderId="270" applyNumberFormat="0" applyAlignment="0" applyProtection="0"/>
    <xf numFmtId="0" fontId="43" fillId="59" borderId="296" applyNumberFormat="0" applyAlignment="0" applyProtection="0"/>
    <xf numFmtId="0" fontId="4" fillId="29" borderId="0" applyNumberFormat="0" applyBorder="0" applyAlignment="0" applyProtection="0"/>
    <xf numFmtId="0" fontId="43" fillId="59" borderId="257" applyNumberFormat="0" applyAlignment="0" applyProtection="0"/>
    <xf numFmtId="0" fontId="1" fillId="19" borderId="0" applyNumberFormat="0" applyBorder="0" applyAlignment="0" applyProtection="0"/>
    <xf numFmtId="0" fontId="44" fillId="59" borderId="270" applyNumberFormat="0" applyAlignment="0" applyProtection="0"/>
    <xf numFmtId="4" fontId="31" fillId="38" borderId="273">
      <alignment horizontal="right" vertical="center"/>
    </xf>
    <xf numFmtId="0" fontId="4" fillId="32" borderId="0" applyNumberFormat="0" applyBorder="0" applyAlignment="0" applyProtection="0"/>
    <xf numFmtId="0" fontId="31" fillId="38" borderId="286">
      <alignment horizontal="right" vertical="center"/>
    </xf>
    <xf numFmtId="0" fontId="43" fillId="59" borderId="257" applyNumberFormat="0" applyAlignment="0" applyProtection="0"/>
    <xf numFmtId="0" fontId="1" fillId="34" borderId="0" applyNumberFormat="0" applyBorder="0" applyAlignment="0" applyProtection="0"/>
    <xf numFmtId="0" fontId="1" fillId="30" borderId="0" applyNumberFormat="0" applyBorder="0" applyAlignment="0" applyProtection="0"/>
    <xf numFmtId="0" fontId="60" fillId="59" borderId="256" applyNumberFormat="0" applyAlignment="0" applyProtection="0"/>
    <xf numFmtId="0" fontId="36" fillId="62" borderId="259" applyNumberFormat="0" applyFont="0" applyAlignment="0" applyProtection="0"/>
    <xf numFmtId="0" fontId="1" fillId="30" borderId="0" applyNumberFormat="0" applyBorder="0" applyAlignment="0" applyProtection="0"/>
    <xf numFmtId="0" fontId="33" fillId="0" borderId="273" applyNumberFormat="0" applyFill="0" applyAlignment="0" applyProtection="0"/>
    <xf numFmtId="4" fontId="33" fillId="0" borderId="286" applyFill="0" applyBorder="0" applyProtection="0">
      <alignment horizontal="right" vertical="center"/>
    </xf>
    <xf numFmtId="0" fontId="1" fillId="31" borderId="0" applyNumberFormat="0" applyBorder="0" applyAlignment="0" applyProtection="0"/>
    <xf numFmtId="0" fontId="60" fillId="59" borderId="282" applyNumberFormat="0" applyAlignment="0" applyProtection="0"/>
    <xf numFmtId="0" fontId="43" fillId="59" borderId="257" applyNumberFormat="0" applyAlignment="0" applyProtection="0"/>
    <xf numFmtId="49" fontId="33" fillId="0" borderId="260" applyNumberFormat="0" applyFont="0" applyFill="0" applyBorder="0" applyProtection="0">
      <alignment horizontal="left" vertical="center" indent="2"/>
    </xf>
    <xf numFmtId="0" fontId="26" fillId="17" borderId="10" applyNumberFormat="0" applyAlignment="0" applyProtection="0"/>
    <xf numFmtId="0" fontId="63" fillId="0" borderId="284" applyNumberFormat="0" applyFill="0" applyAlignment="0" applyProtection="0"/>
    <xf numFmtId="0" fontId="56" fillId="46" borderId="283" applyNumberFormat="0" applyAlignment="0" applyProtection="0"/>
    <xf numFmtId="0" fontId="33" fillId="0" borderId="286">
      <alignment horizontal="right" vertical="center"/>
    </xf>
    <xf numFmtId="4" fontId="33" fillId="0" borderId="273">
      <alignment horizontal="right" vertical="center"/>
    </xf>
    <xf numFmtId="0" fontId="33" fillId="37" borderId="286"/>
    <xf numFmtId="0" fontId="44" fillId="59" borderId="283" applyNumberFormat="0" applyAlignment="0" applyProtection="0"/>
    <xf numFmtId="4" fontId="31" fillId="38" borderId="260">
      <alignment horizontal="right" vertical="center"/>
    </xf>
    <xf numFmtId="0" fontId="63" fillId="0" borderId="258" applyNumberFormat="0" applyFill="0" applyAlignment="0" applyProtection="0"/>
    <xf numFmtId="0" fontId="4" fillId="29" borderId="0" applyNumberFormat="0" applyBorder="0" applyAlignment="0" applyProtection="0"/>
    <xf numFmtId="0" fontId="47" fillId="46" borderId="283" applyNumberFormat="0" applyAlignment="0" applyProtection="0"/>
    <xf numFmtId="0" fontId="1" fillId="21" borderId="0" applyNumberFormat="0" applyBorder="0" applyAlignment="0" applyProtection="0"/>
    <xf numFmtId="0" fontId="63" fillId="0" borderId="284" applyNumberFormat="0" applyFill="0" applyAlignment="0" applyProtection="0"/>
    <xf numFmtId="0" fontId="31" fillId="36" borderId="260">
      <alignment horizontal="right" vertical="center"/>
    </xf>
    <xf numFmtId="0" fontId="4" fillId="23" borderId="0" applyNumberFormat="0" applyBorder="0" applyAlignment="0" applyProtection="0"/>
    <xf numFmtId="0" fontId="31" fillId="38" borderId="286">
      <alignment horizontal="right" vertical="center"/>
    </xf>
    <xf numFmtId="0" fontId="63" fillId="0" borderId="284" applyNumberFormat="0" applyFill="0" applyAlignment="0" applyProtection="0"/>
    <xf numFmtId="0" fontId="31" fillId="38" borderId="262">
      <alignment horizontal="right" vertical="center"/>
    </xf>
    <xf numFmtId="43" fontId="22" fillId="0" borderId="0" applyFont="0" applyFill="0" applyBorder="0" applyAlignment="0" applyProtection="0"/>
    <xf numFmtId="0" fontId="33" fillId="37" borderId="273"/>
    <xf numFmtId="0" fontId="33" fillId="37" borderId="286"/>
    <xf numFmtId="0" fontId="1" fillId="27" borderId="0" applyNumberFormat="0" applyBorder="0" applyAlignment="0" applyProtection="0"/>
    <xf numFmtId="4" fontId="31" fillId="38" borderId="287">
      <alignment horizontal="right" vertical="center"/>
    </xf>
    <xf numFmtId="0" fontId="63" fillId="0" borderId="271" applyNumberFormat="0" applyFill="0" applyAlignment="0" applyProtection="0"/>
    <xf numFmtId="4" fontId="35" fillId="36" borderId="260">
      <alignment horizontal="right" vertical="center"/>
    </xf>
    <xf numFmtId="0" fontId="44" fillId="59" borderId="257" applyNumberFormat="0" applyAlignment="0" applyProtection="0"/>
    <xf numFmtId="183" fontId="124" fillId="62" borderId="277" applyNumberFormat="0" applyFont="0" applyAlignment="0" applyProtection="0"/>
    <xf numFmtId="0" fontId="1" fillId="18"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47" fillId="46" borderId="283"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31" fillId="38" borderId="288">
      <alignment horizontal="right" vertical="center"/>
    </xf>
    <xf numFmtId="0" fontId="47" fillId="46" borderId="270" applyNumberFormat="0" applyAlignment="0" applyProtection="0"/>
    <xf numFmtId="4" fontId="31" fillId="38" borderId="262">
      <alignment horizontal="right" vertical="center"/>
    </xf>
    <xf numFmtId="0" fontId="56" fillId="46" borderId="257" applyNumberFormat="0" applyAlignment="0" applyProtection="0"/>
    <xf numFmtId="0" fontId="28" fillId="0" borderId="0" applyNumberFormat="0" applyFill="0" applyBorder="0" applyAlignment="0" applyProtection="0"/>
    <xf numFmtId="0" fontId="44" fillId="59" borderId="270" applyNumberFormat="0" applyAlignment="0" applyProtection="0"/>
    <xf numFmtId="0" fontId="63" fillId="0" borderId="258" applyNumberFormat="0" applyFill="0" applyAlignment="0" applyProtection="0"/>
    <xf numFmtId="49" fontId="33" fillId="0" borderId="260" applyNumberFormat="0" applyFont="0" applyFill="0" applyBorder="0" applyProtection="0">
      <alignment horizontal="left" vertical="center" indent="2"/>
    </xf>
    <xf numFmtId="4" fontId="35" fillId="36" borderId="273">
      <alignment horizontal="right" vertical="center"/>
    </xf>
    <xf numFmtId="0" fontId="1" fillId="27" borderId="0" applyNumberFormat="0" applyBorder="0" applyAlignment="0" applyProtection="0"/>
    <xf numFmtId="0" fontId="27" fillId="0" borderId="0" applyNumberFormat="0" applyFill="0" applyBorder="0" applyAlignment="0" applyProtection="0"/>
    <xf numFmtId="0" fontId="31" fillId="38" borderId="275">
      <alignment horizontal="right" vertical="center"/>
    </xf>
    <xf numFmtId="0" fontId="33" fillId="38" borderId="276">
      <alignment horizontal="left" vertical="center" wrapText="1" indent="2"/>
    </xf>
    <xf numFmtId="0" fontId="4" fillId="23" borderId="0" applyNumberFormat="0" applyBorder="0" applyAlignment="0" applyProtection="0"/>
    <xf numFmtId="0" fontId="33" fillId="0" borderId="260" applyNumberFormat="0" applyFill="0" applyAlignment="0" applyProtection="0"/>
    <xf numFmtId="0" fontId="31" fillId="38" borderId="273">
      <alignment horizontal="right" vertical="center"/>
    </xf>
    <xf numFmtId="0" fontId="56" fillId="46" borderId="257" applyNumberFormat="0" applyAlignment="0" applyProtection="0"/>
    <xf numFmtId="17" fontId="127" fillId="82" borderId="286">
      <alignment horizontal="center"/>
      <protection locked="0"/>
    </xf>
    <xf numFmtId="0" fontId="25" fillId="17" borderId="22" applyNumberFormat="0" applyAlignment="0" applyProtection="0"/>
    <xf numFmtId="0" fontId="3" fillId="0" borderId="23" applyNumberFormat="0" applyFill="0" applyAlignment="0" applyProtection="0"/>
    <xf numFmtId="0" fontId="4" fillId="20" borderId="0" applyNumberFormat="0" applyBorder="0" applyAlignment="0" applyProtection="0"/>
    <xf numFmtId="4" fontId="35" fillId="36" borderId="286">
      <alignment horizontal="right" vertical="center"/>
    </xf>
    <xf numFmtId="0" fontId="33" fillId="0" borderId="276">
      <alignment horizontal="left" vertical="center" wrapText="1" indent="2"/>
    </xf>
    <xf numFmtId="0" fontId="38" fillId="62" borderId="259" applyNumberFormat="0" applyFont="0" applyAlignment="0" applyProtection="0"/>
    <xf numFmtId="0" fontId="31" fillId="38" borderId="260">
      <alignment horizontal="right" vertical="center"/>
    </xf>
    <xf numFmtId="0" fontId="25" fillId="17" borderId="22" applyNumberFormat="0" applyAlignment="0" applyProtection="0"/>
    <xf numFmtId="0" fontId="28" fillId="0" borderId="0" applyNumberFormat="0" applyFill="0" applyBorder="0" applyAlignment="0" applyProtection="0"/>
    <xf numFmtId="0" fontId="33" fillId="38" borderId="263">
      <alignment horizontal="left" vertical="center" wrapText="1" indent="2"/>
    </xf>
    <xf numFmtId="0" fontId="3" fillId="0" borderId="23" applyNumberFormat="0" applyFill="0" applyAlignment="0" applyProtection="0"/>
    <xf numFmtId="0" fontId="1" fillId="33" borderId="0" applyNumberFormat="0" applyBorder="0" applyAlignment="0" applyProtection="0"/>
    <xf numFmtId="0" fontId="1" fillId="34" borderId="0" applyNumberFormat="0" applyBorder="0" applyAlignment="0" applyProtection="0"/>
    <xf numFmtId="0" fontId="96" fillId="38" borderId="283" applyNumberFormat="0" applyAlignment="0" applyProtection="0"/>
    <xf numFmtId="4" fontId="31" fillId="38" borderId="260">
      <alignment horizontal="right" vertical="center"/>
    </xf>
    <xf numFmtId="49" fontId="32" fillId="0" borderId="260" applyNumberFormat="0" applyFill="0" applyBorder="0" applyProtection="0">
      <alignment horizontal="left" vertical="center"/>
    </xf>
    <xf numFmtId="0" fontId="1" fillId="27" borderId="0" applyNumberFormat="0" applyBorder="0" applyAlignment="0" applyProtection="0"/>
    <xf numFmtId="0" fontId="41" fillId="59" borderId="295" applyNumberFormat="0" applyAlignment="0" applyProtection="0"/>
    <xf numFmtId="0" fontId="63" fillId="0" borderId="258" applyNumberFormat="0" applyFill="0" applyAlignment="0" applyProtection="0"/>
    <xf numFmtId="0" fontId="38" fillId="62" borderId="272" applyNumberFormat="0" applyFont="0" applyAlignment="0" applyProtection="0"/>
    <xf numFmtId="49" fontId="33" fillId="0" borderId="286" applyNumberFormat="0" applyFont="0" applyFill="0" applyBorder="0" applyProtection="0">
      <alignment horizontal="left" vertical="center" indent="2"/>
    </xf>
    <xf numFmtId="0" fontId="1" fillId="22" borderId="0" applyNumberFormat="0" applyBorder="0" applyAlignment="0" applyProtection="0"/>
    <xf numFmtId="0" fontId="4" fillId="29" borderId="0" applyNumberFormat="0" applyBorder="0" applyAlignment="0" applyProtection="0"/>
    <xf numFmtId="0" fontId="99" fillId="15" borderId="256" applyNumberFormat="0" applyAlignment="0" applyProtection="0"/>
    <xf numFmtId="0" fontId="41" fillId="59" borderId="269" applyNumberFormat="0" applyAlignment="0" applyProtection="0"/>
    <xf numFmtId="4" fontId="31" fillId="38" borderId="287">
      <alignment horizontal="right" vertical="center"/>
    </xf>
    <xf numFmtId="0" fontId="48" fillId="0" borderId="284" applyNumberFormat="0" applyFill="0" applyAlignment="0" applyProtection="0"/>
    <xf numFmtId="0" fontId="63" fillId="0" borderId="284" applyNumberFormat="0" applyFill="0" applyAlignment="0" applyProtection="0"/>
    <xf numFmtId="0" fontId="1" fillId="33" borderId="0" applyNumberFormat="0" applyBorder="0" applyAlignment="0" applyProtection="0"/>
    <xf numFmtId="0" fontId="1" fillId="24" borderId="0" applyNumberFormat="0" applyBorder="0" applyAlignment="0" applyProtection="0"/>
    <xf numFmtId="0" fontId="25" fillId="17" borderId="22" applyNumberFormat="0" applyAlignment="0" applyProtection="0"/>
    <xf numFmtId="177" fontId="33" fillId="63" borderId="260" applyNumberFormat="0" applyFont="0" applyBorder="0" applyAlignment="0" applyProtection="0">
      <alignment horizontal="right" vertical="center"/>
    </xf>
    <xf numFmtId="0" fontId="4" fillId="35" borderId="0" applyNumberFormat="0" applyBorder="0" applyAlignment="0" applyProtection="0"/>
    <xf numFmtId="4" fontId="33" fillId="0" borderId="273" applyFill="0" applyBorder="0" applyProtection="0">
      <alignment horizontal="right" vertical="center"/>
    </xf>
    <xf numFmtId="49" fontId="33" fillId="0" borderId="286" applyNumberFormat="0" applyFont="0" applyFill="0" applyBorder="0" applyProtection="0">
      <alignment horizontal="left" vertical="center" indent="2"/>
    </xf>
    <xf numFmtId="0" fontId="41" fillId="59" borderId="256" applyNumberFormat="0" applyAlignment="0" applyProtection="0"/>
    <xf numFmtId="0" fontId="33" fillId="0" borderId="263">
      <alignment horizontal="left" vertical="center" wrapText="1" indent="2"/>
    </xf>
    <xf numFmtId="0" fontId="33" fillId="38" borderId="263">
      <alignment horizontal="left" vertical="center" wrapText="1" indent="2"/>
    </xf>
    <xf numFmtId="4" fontId="33" fillId="0" borderId="286" applyFill="0" applyBorder="0" applyProtection="0">
      <alignment horizontal="right" vertical="center"/>
    </xf>
    <xf numFmtId="0" fontId="44" fillId="59" borderId="283" applyNumberFormat="0" applyAlignment="0" applyProtection="0"/>
    <xf numFmtId="0" fontId="4" fillId="35" borderId="0" applyNumberFormat="0" applyBorder="0" applyAlignment="0" applyProtection="0"/>
    <xf numFmtId="0" fontId="1" fillId="24"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7" borderId="0" applyNumberFormat="0" applyBorder="0" applyAlignment="0" applyProtection="0"/>
    <xf numFmtId="4" fontId="31" fillId="38" borderId="273">
      <alignment horizontal="right" vertical="center"/>
    </xf>
    <xf numFmtId="0" fontId="1" fillId="30" borderId="0" applyNumberFormat="0" applyBorder="0" applyAlignment="0" applyProtection="0"/>
    <xf numFmtId="0" fontId="33" fillId="0" borderId="302">
      <alignment horizontal="left" vertical="center" wrapText="1" indent="2"/>
    </xf>
    <xf numFmtId="4" fontId="33" fillId="37" borderId="260"/>
    <xf numFmtId="0" fontId="63" fillId="0" borderId="258" applyNumberFormat="0" applyFill="0" applyAlignment="0" applyProtection="0"/>
    <xf numFmtId="0" fontId="60" fillId="59" borderId="256" applyNumberFormat="0" applyAlignment="0" applyProtection="0"/>
    <xf numFmtId="0" fontId="38" fillId="62" borderId="285" applyNumberFormat="0" applyFont="0" applyAlignment="0" applyProtection="0"/>
    <xf numFmtId="0" fontId="1" fillId="25" borderId="0" applyNumberFormat="0" applyBorder="0" applyAlignment="0" applyProtection="0"/>
    <xf numFmtId="0" fontId="4" fillId="29" borderId="0" applyNumberFormat="0" applyBorder="0" applyAlignment="0" applyProtection="0"/>
    <xf numFmtId="0" fontId="26" fillId="17" borderId="10" applyNumberFormat="0" applyAlignment="0" applyProtection="0"/>
    <xf numFmtId="0" fontId="33" fillId="38" borderId="263">
      <alignment horizontal="left" vertical="center" wrapText="1" indent="2"/>
    </xf>
    <xf numFmtId="0" fontId="4" fillId="35" borderId="0" applyNumberFormat="0" applyBorder="0" applyAlignment="0" applyProtection="0"/>
    <xf numFmtId="0" fontId="56" fillId="46" borderId="283" applyNumberFormat="0" applyAlignment="0" applyProtection="0"/>
    <xf numFmtId="4" fontId="33" fillId="0" borderId="273">
      <alignment horizontal="right" vertical="center"/>
    </xf>
    <xf numFmtId="0" fontId="44" fillId="59" borderId="283" applyNumberFormat="0" applyAlignment="0" applyProtection="0"/>
    <xf numFmtId="0" fontId="47" fillId="46" borderId="257" applyNumberFormat="0" applyAlignment="0" applyProtection="0"/>
    <xf numFmtId="0" fontId="4" fillId="35" borderId="0" applyNumberFormat="0" applyBorder="0" applyAlignment="0" applyProtection="0"/>
    <xf numFmtId="0" fontId="27" fillId="0" borderId="0" applyNumberFormat="0" applyFill="0" applyBorder="0" applyAlignment="0" applyProtection="0"/>
    <xf numFmtId="0" fontId="25" fillId="17" borderId="22" applyNumberFormat="0" applyAlignment="0" applyProtection="0"/>
    <xf numFmtId="0" fontId="33" fillId="0" borderId="289">
      <alignment horizontal="left" vertical="center" wrapText="1" indent="2"/>
    </xf>
    <xf numFmtId="0" fontId="44" fillId="59" borderId="257" applyNumberFormat="0" applyAlignment="0" applyProtection="0"/>
    <xf numFmtId="4" fontId="35" fillId="36" borderId="286">
      <alignment horizontal="right" vertical="center"/>
    </xf>
    <xf numFmtId="0" fontId="19" fillId="62" borderId="298" applyNumberFormat="0" applyFont="0" applyAlignment="0" applyProtection="0"/>
    <xf numFmtId="0" fontId="4" fillId="32" borderId="0" applyNumberFormat="0" applyBorder="0" applyAlignment="0" applyProtection="0"/>
    <xf numFmtId="0" fontId="63" fillId="0" borderId="258" applyNumberFormat="0" applyFill="0" applyAlignment="0" applyProtection="0"/>
    <xf numFmtId="4" fontId="31" fillId="36" borderId="299">
      <alignment horizontal="right" vertical="center"/>
    </xf>
    <xf numFmtId="0" fontId="28" fillId="0" borderId="0" applyNumberFormat="0" applyFill="0" applyBorder="0" applyAlignment="0" applyProtection="0"/>
    <xf numFmtId="0" fontId="76" fillId="83" borderId="272" applyNumberFormat="0" applyFont="0" applyAlignment="0" applyProtection="0"/>
    <xf numFmtId="0" fontId="26" fillId="17" borderId="10" applyNumberFormat="0" applyAlignment="0" applyProtection="0"/>
    <xf numFmtId="4" fontId="33" fillId="0" borderId="260" applyFill="0" applyBorder="0" applyProtection="0">
      <alignment horizontal="right" vertical="center"/>
    </xf>
    <xf numFmtId="0" fontId="38" fillId="62" borderId="259" applyNumberFormat="0" applyFont="0" applyAlignment="0" applyProtection="0"/>
    <xf numFmtId="0" fontId="33" fillId="38" borderId="276">
      <alignment horizontal="left" vertical="center" wrapText="1" indent="2"/>
    </xf>
    <xf numFmtId="0" fontId="60" fillId="59" borderId="282" applyNumberFormat="0" applyAlignment="0" applyProtection="0"/>
    <xf numFmtId="0" fontId="44" fillId="59" borderId="257" applyNumberFormat="0" applyAlignment="0" applyProtection="0"/>
    <xf numFmtId="0" fontId="19" fillId="62" borderId="259" applyNumberFormat="0" applyFont="0" applyAlignment="0" applyProtection="0"/>
    <xf numFmtId="0" fontId="1" fillId="28" borderId="0" applyNumberFormat="0" applyBorder="0" applyAlignment="0" applyProtection="0"/>
    <xf numFmtId="0" fontId="33" fillId="0" borderId="263">
      <alignment horizontal="left" vertical="center" wrapText="1" indent="2"/>
    </xf>
    <xf numFmtId="0" fontId="33" fillId="38" borderId="263">
      <alignment horizontal="left" vertical="center" wrapText="1" indent="2"/>
    </xf>
    <xf numFmtId="0" fontId="44" fillId="59" borderId="257" applyNumberFormat="0" applyAlignment="0" applyProtection="0"/>
    <xf numFmtId="0" fontId="31" fillId="36" borderId="286">
      <alignment horizontal="right" vertical="center"/>
    </xf>
    <xf numFmtId="4" fontId="33" fillId="37" borderId="273"/>
    <xf numFmtId="0" fontId="48" fillId="0" borderId="258" applyNumberFormat="0" applyFill="0" applyAlignment="0" applyProtection="0"/>
    <xf numFmtId="0" fontId="33" fillId="38" borderId="289">
      <alignment horizontal="left" vertical="center" wrapText="1" indent="2"/>
    </xf>
    <xf numFmtId="0" fontId="31" fillId="38" borderId="288">
      <alignment horizontal="right" vertical="center"/>
    </xf>
    <xf numFmtId="0" fontId="31" fillId="38" borderId="273">
      <alignment horizontal="right" vertical="center"/>
    </xf>
    <xf numFmtId="0" fontId="63" fillId="0" borderId="297" applyNumberFormat="0" applyFill="0" applyAlignment="0" applyProtection="0"/>
    <xf numFmtId="0" fontId="1" fillId="25" borderId="0" applyNumberFormat="0" applyBorder="0" applyAlignment="0" applyProtection="0"/>
    <xf numFmtId="183" fontId="124" fillId="62" borderId="264" applyNumberFormat="0" applyFont="0" applyAlignment="0" applyProtection="0"/>
    <xf numFmtId="0" fontId="41" fillId="59" borderId="282" applyNumberFormat="0" applyAlignment="0" applyProtection="0"/>
    <xf numFmtId="0" fontId="56" fillId="46" borderId="270" applyNumberFormat="0" applyAlignment="0" applyProtection="0"/>
    <xf numFmtId="4" fontId="33" fillId="0" borderId="273">
      <alignment horizontal="right" vertical="center"/>
    </xf>
    <xf numFmtId="0" fontId="60" fillId="59" borderId="282" applyNumberFormat="0" applyAlignment="0" applyProtection="0"/>
    <xf numFmtId="0" fontId="31" fillId="38" borderId="260">
      <alignment horizontal="right" vertical="center"/>
    </xf>
    <xf numFmtId="0" fontId="31" fillId="38" borderId="288">
      <alignment horizontal="right" vertical="center"/>
    </xf>
    <xf numFmtId="0" fontId="33" fillId="0" borderId="263">
      <alignment horizontal="left" vertical="center" wrapText="1" indent="2"/>
    </xf>
    <xf numFmtId="0" fontId="56" fillId="46" borderId="296" applyNumberFormat="0" applyAlignment="0" applyProtection="0"/>
    <xf numFmtId="0" fontId="1" fillId="24" borderId="0" applyNumberFormat="0" applyBorder="0" applyAlignment="0" applyProtection="0"/>
    <xf numFmtId="0" fontId="1" fillId="21" borderId="0" applyNumberFormat="0" applyBorder="0" applyAlignment="0" applyProtection="0"/>
    <xf numFmtId="0" fontId="33" fillId="36" borderId="300">
      <alignment horizontal="left" vertical="center"/>
    </xf>
    <xf numFmtId="0" fontId="43" fillId="59" borderId="257" applyNumberFormat="0" applyAlignment="0" applyProtection="0"/>
    <xf numFmtId="0" fontId="56" fillId="46" borderId="257" applyNumberFormat="0" applyAlignment="0" applyProtection="0"/>
    <xf numFmtId="183" fontId="124" fillId="62" borderId="277" applyNumberFormat="0" applyFont="0" applyAlignment="0" applyProtection="0"/>
    <xf numFmtId="0" fontId="63" fillId="0" borderId="284" applyNumberFormat="0" applyFill="0" applyAlignment="0" applyProtection="0"/>
    <xf numFmtId="0" fontId="48" fillId="0" borderId="258" applyNumberFormat="0" applyFill="0" applyAlignment="0" applyProtection="0"/>
    <xf numFmtId="177" fontId="33" fillId="63" borderId="273" applyNumberFormat="0" applyFont="0" applyBorder="0" applyAlignment="0" applyProtection="0">
      <alignment horizontal="right" vertical="center"/>
    </xf>
    <xf numFmtId="0" fontId="33" fillId="36" borderId="261">
      <alignment horizontal="left" vertical="center"/>
    </xf>
    <xf numFmtId="0" fontId="44" fillId="59" borderId="296" applyNumberFormat="0" applyAlignment="0" applyProtection="0"/>
    <xf numFmtId="0" fontId="56" fillId="46" borderId="270" applyNumberFormat="0" applyAlignment="0" applyProtection="0"/>
    <xf numFmtId="0" fontId="1" fillId="27" borderId="0" applyNumberFormat="0" applyBorder="0" applyAlignment="0" applyProtection="0"/>
    <xf numFmtId="0" fontId="43" fillId="59" borderId="257" applyNumberFormat="0" applyAlignment="0" applyProtection="0"/>
    <xf numFmtId="0" fontId="33" fillId="36" borderId="274">
      <alignment horizontal="left" vertical="center"/>
    </xf>
    <xf numFmtId="0" fontId="47" fillId="46" borderId="257" applyNumberFormat="0" applyAlignment="0" applyProtection="0"/>
    <xf numFmtId="0" fontId="4" fillId="26" borderId="0" applyNumberFormat="0" applyBorder="0" applyAlignment="0" applyProtection="0"/>
    <xf numFmtId="4" fontId="33" fillId="0" borderId="260">
      <alignment horizontal="right" vertical="center"/>
    </xf>
    <xf numFmtId="0" fontId="41" fillId="59" borderId="282" applyNumberFormat="0" applyAlignment="0" applyProtection="0"/>
    <xf numFmtId="0" fontId="1" fillId="21" borderId="0" applyNumberFormat="0" applyBorder="0" applyAlignment="0" applyProtection="0"/>
    <xf numFmtId="0" fontId="47" fillId="46" borderId="283" applyNumberFormat="0" applyAlignment="0" applyProtection="0"/>
    <xf numFmtId="0" fontId="1" fillId="19" borderId="0" applyNumberFormat="0" applyBorder="0" applyAlignment="0" applyProtection="0"/>
    <xf numFmtId="4" fontId="33" fillId="0" borderId="286">
      <alignment horizontal="right" vertical="center"/>
    </xf>
    <xf numFmtId="0" fontId="19" fillId="62" borderId="272" applyNumberFormat="0" applyFont="0" applyAlignment="0" applyProtection="0"/>
    <xf numFmtId="0" fontId="31" fillId="38" borderId="260">
      <alignment horizontal="right" vertical="center"/>
    </xf>
    <xf numFmtId="0" fontId="33" fillId="0" borderId="302">
      <alignment horizontal="left" vertical="center" wrapText="1" indent="2"/>
    </xf>
    <xf numFmtId="0" fontId="1" fillId="25" borderId="0" applyNumberFormat="0" applyBorder="0" applyAlignment="0" applyProtection="0"/>
    <xf numFmtId="4" fontId="31" fillId="38" borderId="273">
      <alignment horizontal="right" vertical="center"/>
    </xf>
    <xf numFmtId="0" fontId="4" fillId="32" borderId="0" applyNumberFormat="0" applyBorder="0" applyAlignment="0" applyProtection="0"/>
    <xf numFmtId="0" fontId="60" fillId="59" borderId="269" applyNumberFormat="0" applyAlignment="0" applyProtection="0"/>
    <xf numFmtId="0" fontId="26" fillId="17" borderId="10" applyNumberFormat="0" applyAlignment="0" applyProtection="0"/>
    <xf numFmtId="0" fontId="44" fillId="59" borderId="257" applyNumberFormat="0" applyAlignment="0" applyProtection="0"/>
    <xf numFmtId="4" fontId="31" fillId="36" borderId="260">
      <alignment horizontal="right" vertical="center"/>
    </xf>
    <xf numFmtId="0" fontId="56" fillId="46" borderId="257" applyNumberFormat="0" applyAlignment="0" applyProtection="0"/>
    <xf numFmtId="0" fontId="41" fillId="59" borderId="256" applyNumberFormat="0" applyAlignment="0" applyProtection="0"/>
    <xf numFmtId="0" fontId="33" fillId="0" borderId="286">
      <alignment horizontal="right" vertical="center"/>
    </xf>
    <xf numFmtId="0" fontId="44" fillId="59" borderId="283" applyNumberFormat="0" applyAlignment="0" applyProtection="0"/>
    <xf numFmtId="0" fontId="27" fillId="0" borderId="0" applyNumberFormat="0" applyFill="0" applyBorder="0" applyAlignment="0" applyProtection="0"/>
    <xf numFmtId="0" fontId="33" fillId="37" borderId="260"/>
    <xf numFmtId="0" fontId="31" fillId="38" borderId="273">
      <alignment horizontal="right" vertical="center"/>
    </xf>
    <xf numFmtId="0" fontId="31" fillId="38" borderId="286">
      <alignment horizontal="right" vertical="center"/>
    </xf>
    <xf numFmtId="4" fontId="33" fillId="37" borderId="299"/>
    <xf numFmtId="4" fontId="31" fillId="38" borderId="286">
      <alignment horizontal="right" vertical="center"/>
    </xf>
    <xf numFmtId="0" fontId="31" fillId="38" borderId="260">
      <alignment horizontal="right" vertical="center"/>
    </xf>
    <xf numFmtId="0" fontId="63" fillId="0" borderId="258" applyNumberFormat="0" applyFill="0" applyAlignment="0" applyProtection="0"/>
    <xf numFmtId="0" fontId="33" fillId="0" borderId="286" applyNumberFormat="0" applyFill="0" applyAlignment="0" applyProtection="0"/>
    <xf numFmtId="0" fontId="1" fillId="18" borderId="0" applyNumberFormat="0" applyBorder="0" applyAlignment="0" applyProtection="0"/>
    <xf numFmtId="4" fontId="31" fillId="36" borderId="286">
      <alignment horizontal="right" vertical="center"/>
    </xf>
    <xf numFmtId="0" fontId="1" fillId="31" borderId="0" applyNumberFormat="0" applyBorder="0" applyAlignment="0" applyProtection="0"/>
    <xf numFmtId="0" fontId="33" fillId="37" borderId="273"/>
    <xf numFmtId="0" fontId="4" fillId="29" borderId="0" applyNumberFormat="0" applyBorder="0" applyAlignment="0" applyProtection="0"/>
    <xf numFmtId="0" fontId="60" fillId="59" borderId="282" applyNumberFormat="0" applyAlignment="0" applyProtection="0"/>
    <xf numFmtId="0" fontId="1" fillId="28" borderId="0" applyNumberFormat="0" applyBorder="0" applyAlignment="0" applyProtection="0"/>
    <xf numFmtId="0" fontId="4" fillId="26" borderId="0" applyNumberFormat="0" applyBorder="0" applyAlignment="0" applyProtection="0"/>
    <xf numFmtId="49" fontId="33" fillId="0" borderId="286" applyNumberFormat="0" applyFont="0" applyFill="0" applyBorder="0" applyProtection="0">
      <alignment horizontal="left" vertical="center" indent="2"/>
    </xf>
    <xf numFmtId="0" fontId="63" fillId="0" borderId="258" applyNumberFormat="0" applyFill="0" applyAlignment="0" applyProtection="0"/>
    <xf numFmtId="0" fontId="1" fillId="19" borderId="0" applyNumberFormat="0" applyBorder="0" applyAlignment="0" applyProtection="0"/>
    <xf numFmtId="0" fontId="47" fillId="46" borderId="296" applyNumberFormat="0" applyAlignment="0" applyProtection="0"/>
    <xf numFmtId="0" fontId="33" fillId="0" borderId="260">
      <alignment horizontal="right" vertical="center"/>
    </xf>
    <xf numFmtId="0" fontId="26" fillId="17" borderId="10" applyNumberFormat="0" applyAlignment="0" applyProtection="0"/>
    <xf numFmtId="0" fontId="4" fillId="32" borderId="0" applyNumberFormat="0" applyBorder="0" applyAlignment="0" applyProtection="0"/>
    <xf numFmtId="0" fontId="19" fillId="62" borderId="259" applyNumberFormat="0" applyFont="0" applyAlignment="0" applyProtection="0"/>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49" fontId="33" fillId="0" borderId="286" applyNumberFormat="0" applyFont="0" applyFill="0" applyBorder="0" applyProtection="0">
      <alignment horizontal="left" vertical="center" indent="2"/>
    </xf>
    <xf numFmtId="0" fontId="99" fillId="15" borderId="282" applyNumberFormat="0" applyAlignment="0" applyProtection="0"/>
    <xf numFmtId="0" fontId="33" fillId="37" borderId="273"/>
    <xf numFmtId="0" fontId="1" fillId="22" borderId="0" applyNumberFormat="0" applyBorder="0" applyAlignment="0" applyProtection="0"/>
    <xf numFmtId="4" fontId="31" fillId="38" borderId="260">
      <alignment horizontal="right" vertical="center"/>
    </xf>
    <xf numFmtId="0" fontId="1" fillId="18" borderId="0" applyNumberFormat="0" applyBorder="0" applyAlignment="0" applyProtection="0"/>
    <xf numFmtId="0" fontId="63" fillId="0" borderId="258" applyNumberFormat="0" applyFill="0" applyAlignment="0" applyProtection="0"/>
    <xf numFmtId="0" fontId="63" fillId="0" borderId="258" applyNumberFormat="0" applyFill="0" applyAlignment="0" applyProtection="0"/>
    <xf numFmtId="4" fontId="31" fillId="38" borderId="262">
      <alignment horizontal="right" vertical="center"/>
    </xf>
    <xf numFmtId="0" fontId="44" fillId="59" borderId="283" applyNumberFormat="0" applyAlignment="0" applyProtection="0"/>
    <xf numFmtId="0" fontId="4" fillId="23" borderId="0" applyNumberFormat="0" applyBorder="0" applyAlignment="0" applyProtection="0"/>
    <xf numFmtId="0" fontId="25" fillId="17" borderId="22" applyNumberFormat="0" applyAlignment="0" applyProtection="0"/>
    <xf numFmtId="49" fontId="32" fillId="0" borderId="286" applyNumberFormat="0" applyFill="0" applyBorder="0" applyProtection="0">
      <alignment horizontal="left" vertical="center"/>
    </xf>
    <xf numFmtId="0" fontId="41" fillId="59" borderId="282" applyNumberFormat="0" applyAlignment="0" applyProtection="0"/>
    <xf numFmtId="0" fontId="33" fillId="38" borderId="289">
      <alignment horizontal="left" vertical="center" wrapText="1" indent="2"/>
    </xf>
    <xf numFmtId="49" fontId="32" fillId="0" borderId="260" applyNumberFormat="0" applyFill="0" applyBorder="0" applyProtection="0">
      <alignment horizontal="left" vertical="center"/>
    </xf>
    <xf numFmtId="0" fontId="43" fillId="59" borderId="296" applyNumberFormat="0" applyAlignment="0" applyProtection="0"/>
    <xf numFmtId="0" fontId="1" fillId="34" borderId="0" applyNumberFormat="0" applyBorder="0" applyAlignment="0" applyProtection="0"/>
    <xf numFmtId="0" fontId="4" fillId="29" borderId="0" applyNumberFormat="0" applyBorder="0" applyAlignment="0" applyProtection="0"/>
    <xf numFmtId="0" fontId="35" fillId="36" borderId="299">
      <alignment horizontal="right" vertical="center"/>
    </xf>
    <xf numFmtId="198" fontId="19" fillId="82" borderId="273">
      <alignment horizontal="right"/>
      <protection locked="0"/>
    </xf>
    <xf numFmtId="0" fontId="33" fillId="38" borderId="289">
      <alignment horizontal="left" vertical="center" wrapText="1" indent="2"/>
    </xf>
    <xf numFmtId="4" fontId="31" fillId="38" borderId="273">
      <alignment horizontal="right" vertical="center"/>
    </xf>
    <xf numFmtId="0" fontId="25" fillId="17" borderId="22" applyNumberFormat="0" applyAlignment="0" applyProtection="0"/>
    <xf numFmtId="0" fontId="1" fillId="28" borderId="0" applyNumberFormat="0" applyBorder="0" applyAlignment="0" applyProtection="0"/>
    <xf numFmtId="0" fontId="56" fillId="46" borderId="257" applyNumberFormat="0" applyAlignment="0" applyProtection="0"/>
    <xf numFmtId="0" fontId="48" fillId="0" borderId="297" applyNumberFormat="0" applyFill="0" applyAlignment="0" applyProtection="0"/>
    <xf numFmtId="0" fontId="19" fillId="62" borderId="259" applyNumberFormat="0" applyFont="0" applyAlignment="0" applyProtection="0"/>
    <xf numFmtId="0" fontId="4" fillId="23" borderId="0" applyNumberFormat="0" applyBorder="0" applyAlignment="0" applyProtection="0"/>
    <xf numFmtId="4" fontId="31" fillId="38" borderId="301">
      <alignment horizontal="right" vertical="center"/>
    </xf>
    <xf numFmtId="0" fontId="56" fillId="46" borderId="270" applyNumberFormat="0" applyAlignment="0" applyProtection="0"/>
    <xf numFmtId="0" fontId="4" fillId="32" borderId="0" applyNumberFormat="0" applyBorder="0" applyAlignment="0" applyProtection="0"/>
    <xf numFmtId="49" fontId="32" fillId="0" borderId="260" applyNumberFormat="0" applyFill="0" applyBorder="0" applyProtection="0">
      <alignment horizontal="left" vertical="center"/>
    </xf>
    <xf numFmtId="0" fontId="43" fillId="59" borderId="257" applyNumberFormat="0" applyAlignment="0" applyProtection="0"/>
    <xf numFmtId="0" fontId="1" fillId="28"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3" fillId="0" borderId="23" applyNumberFormat="0" applyFill="0" applyAlignment="0" applyProtection="0"/>
    <xf numFmtId="0" fontId="1" fillId="19" borderId="0" applyNumberFormat="0" applyBorder="0" applyAlignment="0" applyProtection="0"/>
    <xf numFmtId="0" fontId="3" fillId="0" borderId="23" applyNumberFormat="0" applyFill="0" applyAlignment="0" applyProtection="0"/>
    <xf numFmtId="0" fontId="33" fillId="38" borderId="289">
      <alignment horizontal="left" vertical="center" wrapText="1" indent="2"/>
    </xf>
    <xf numFmtId="0" fontId="33" fillId="0" borderId="260" applyNumberFormat="0" applyFill="0" applyAlignment="0" applyProtection="0"/>
    <xf numFmtId="0" fontId="26" fillId="17" borderId="10" applyNumberFormat="0" applyAlignment="0" applyProtection="0"/>
    <xf numFmtId="4" fontId="33" fillId="37" borderId="286"/>
    <xf numFmtId="0" fontId="27" fillId="0" borderId="0" applyNumberFormat="0" applyFill="0" applyBorder="0" applyAlignment="0" applyProtection="0"/>
    <xf numFmtId="0" fontId="48" fillId="0" borderId="297" applyNumberFormat="0" applyFill="0" applyAlignment="0" applyProtection="0"/>
    <xf numFmtId="0" fontId="4" fillId="20" borderId="0" applyNumberFormat="0" applyBorder="0" applyAlignment="0" applyProtection="0"/>
    <xf numFmtId="0" fontId="48" fillId="0" borderId="271" applyNumberFormat="0" applyFill="0" applyAlignment="0" applyProtection="0"/>
    <xf numFmtId="0" fontId="31" fillId="38" borderId="288">
      <alignment horizontal="right" vertical="center"/>
    </xf>
    <xf numFmtId="0" fontId="44" fillId="59" borderId="257" applyNumberFormat="0" applyAlignment="0" applyProtection="0"/>
    <xf numFmtId="0" fontId="31" fillId="38" borderId="262">
      <alignment horizontal="right" vertical="center"/>
    </xf>
    <xf numFmtId="0" fontId="63" fillId="0" borderId="284" applyNumberFormat="0" applyFill="0" applyAlignment="0" applyProtection="0"/>
    <xf numFmtId="0" fontId="47" fillId="46" borderId="283" applyNumberFormat="0" applyAlignment="0" applyProtection="0"/>
    <xf numFmtId="0" fontId="3" fillId="0" borderId="23" applyNumberFormat="0" applyFill="0" applyAlignment="0" applyProtection="0"/>
    <xf numFmtId="4" fontId="31" fillId="38" borderId="274">
      <alignment horizontal="right" vertical="center"/>
    </xf>
    <xf numFmtId="0" fontId="56" fillId="46" borderId="270" applyNumberFormat="0" applyAlignment="0" applyProtection="0"/>
    <xf numFmtId="0" fontId="60" fillId="59" borderId="269" applyNumberFormat="0" applyAlignment="0" applyProtection="0"/>
    <xf numFmtId="0" fontId="63" fillId="0" borderId="271" applyNumberFormat="0" applyFill="0" applyAlignment="0" applyProtection="0"/>
    <xf numFmtId="0" fontId="56" fillId="46" borderId="296" applyNumberFormat="0" applyAlignment="0" applyProtection="0"/>
    <xf numFmtId="4" fontId="33" fillId="37" borderId="273"/>
    <xf numFmtId="0" fontId="33" fillId="0" borderId="289">
      <alignment horizontal="left" vertical="center" wrapText="1" indent="2"/>
    </xf>
    <xf numFmtId="0" fontId="1" fillId="31" borderId="0" applyNumberFormat="0" applyBorder="0" applyAlignment="0" applyProtection="0"/>
    <xf numFmtId="0" fontId="44" fillId="59" borderId="257" applyNumberFormat="0" applyAlignment="0" applyProtection="0"/>
    <xf numFmtId="0" fontId="48" fillId="0" borderId="297" applyNumberFormat="0" applyFill="0" applyAlignment="0" applyProtection="0"/>
    <xf numFmtId="0" fontId="63" fillId="0" borderId="271" applyNumberFormat="0" applyFill="0" applyAlignment="0" applyProtection="0"/>
    <xf numFmtId="0" fontId="63" fillId="0" borderId="271" applyNumberFormat="0" applyFill="0" applyAlignment="0" applyProtection="0"/>
    <xf numFmtId="0" fontId="3" fillId="0" borderId="23" applyNumberFormat="0" applyFill="0" applyAlignment="0" applyProtection="0"/>
    <xf numFmtId="0" fontId="1" fillId="21" borderId="0" applyNumberFormat="0" applyBorder="0" applyAlignment="0" applyProtection="0"/>
    <xf numFmtId="0" fontId="31" fillId="36" borderId="286">
      <alignment horizontal="right" vertical="center"/>
    </xf>
    <xf numFmtId="4" fontId="31" fillId="38" borderId="262">
      <alignment horizontal="right" vertical="center"/>
    </xf>
    <xf numFmtId="0" fontId="1" fillId="34" borderId="0" applyNumberFormat="0" applyBorder="0" applyAlignment="0" applyProtection="0"/>
    <xf numFmtId="0" fontId="31" fillId="38" borderId="273">
      <alignment horizontal="right" vertical="center"/>
    </xf>
    <xf numFmtId="0" fontId="1" fillId="25" borderId="0" applyNumberFormat="0" applyBorder="0" applyAlignment="0" applyProtection="0"/>
    <xf numFmtId="0" fontId="1" fillId="33" borderId="0" applyNumberFormat="0" applyBorder="0" applyAlignment="0" applyProtection="0"/>
    <xf numFmtId="0" fontId="31" fillId="38" borderId="262">
      <alignment horizontal="right" vertical="center"/>
    </xf>
    <xf numFmtId="0" fontId="26" fillId="17" borderId="10" applyNumberFormat="0" applyAlignment="0" applyProtection="0"/>
    <xf numFmtId="0" fontId="1" fillId="19" borderId="0" applyNumberFormat="0" applyBorder="0" applyAlignment="0" applyProtection="0"/>
    <xf numFmtId="0" fontId="33" fillId="0" borderId="286">
      <alignment horizontal="right" vertical="center"/>
    </xf>
    <xf numFmtId="0" fontId="1" fillId="1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4" fontId="31" fillId="38" borderId="273">
      <alignment horizontal="right" vertical="center"/>
    </xf>
    <xf numFmtId="0" fontId="28" fillId="0" borderId="0" applyNumberFormat="0" applyFill="0" applyBorder="0" applyAlignment="0" applyProtection="0"/>
    <xf numFmtId="0" fontId="4" fillId="29" borderId="0" applyNumberFormat="0" applyBorder="0" applyAlignment="0" applyProtection="0"/>
    <xf numFmtId="0" fontId="63" fillId="0" borderId="258" applyNumberFormat="0" applyFill="0" applyAlignment="0" applyProtection="0"/>
    <xf numFmtId="0" fontId="1" fillId="21" borderId="0" applyNumberFormat="0" applyBorder="0" applyAlignment="0" applyProtection="0"/>
    <xf numFmtId="0" fontId="33" fillId="0" borderId="273" applyNumberFormat="0" applyFill="0" applyAlignment="0" applyProtection="0"/>
    <xf numFmtId="177" fontId="33" fillId="63" borderId="260" applyNumberFormat="0" applyFont="0" applyBorder="0" applyAlignment="0" applyProtection="0">
      <alignment horizontal="right" vertical="center"/>
    </xf>
    <xf numFmtId="0" fontId="4" fillId="20" borderId="0" applyNumberFormat="0" applyBorder="0" applyAlignment="0" applyProtection="0"/>
    <xf numFmtId="0" fontId="1" fillId="33" borderId="0" applyNumberFormat="0" applyBorder="0" applyAlignment="0" applyProtection="0"/>
    <xf numFmtId="0" fontId="33" fillId="0" borderId="286">
      <alignment horizontal="right" vertical="center"/>
    </xf>
    <xf numFmtId="4" fontId="33" fillId="0" borderId="286" applyFill="0" applyBorder="0" applyProtection="0">
      <alignment horizontal="right" vertical="center"/>
    </xf>
    <xf numFmtId="4" fontId="31" fillId="38" borderId="286">
      <alignment horizontal="right" vertical="center"/>
    </xf>
    <xf numFmtId="4" fontId="31" fillId="38" borderId="262">
      <alignment horizontal="right" vertical="center"/>
    </xf>
    <xf numFmtId="4" fontId="31" fillId="38" borderId="275">
      <alignment horizontal="right" vertical="center"/>
    </xf>
    <xf numFmtId="0" fontId="60" fillId="59" borderId="256" applyNumberFormat="0" applyAlignment="0" applyProtection="0"/>
    <xf numFmtId="177" fontId="33" fillId="63" borderId="260" applyNumberFormat="0" applyFont="0" applyBorder="0" applyAlignment="0" applyProtection="0">
      <alignment horizontal="right" vertical="center"/>
    </xf>
    <xf numFmtId="0" fontId="1" fillId="25" borderId="0" applyNumberFormat="0" applyBorder="0" applyAlignment="0" applyProtection="0"/>
    <xf numFmtId="0" fontId="33" fillId="38" borderId="263">
      <alignment horizontal="left" vertical="center" wrapText="1" indent="2"/>
    </xf>
    <xf numFmtId="0" fontId="48" fillId="0" borderId="258" applyNumberFormat="0" applyFill="0" applyAlignment="0" applyProtection="0"/>
    <xf numFmtId="0" fontId="4" fillId="32" borderId="0" applyNumberFormat="0" applyBorder="0" applyAlignment="0" applyProtection="0"/>
    <xf numFmtId="0" fontId="33" fillId="0" borderId="263">
      <alignment horizontal="left" vertical="center" wrapText="1" indent="2"/>
    </xf>
    <xf numFmtId="0" fontId="76" fillId="83" borderId="259" applyNumberFormat="0" applyFont="0" applyAlignment="0" applyProtection="0"/>
    <xf numFmtId="0" fontId="1" fillId="22" borderId="0" applyNumberFormat="0" applyBorder="0" applyAlignment="0" applyProtection="0"/>
    <xf numFmtId="0" fontId="44" fillId="59" borderId="270" applyNumberFormat="0" applyAlignment="0" applyProtection="0"/>
    <xf numFmtId="0" fontId="4" fillId="26" borderId="0" applyNumberFormat="0" applyBorder="0" applyAlignment="0" applyProtection="0"/>
    <xf numFmtId="0" fontId="56" fillId="46" borderId="283" applyNumberFormat="0" applyAlignment="0" applyProtection="0"/>
    <xf numFmtId="4" fontId="31" fillId="36" borderId="273">
      <alignment horizontal="right" vertical="center"/>
    </xf>
    <xf numFmtId="0" fontId="1" fillId="27" borderId="0" applyNumberFormat="0" applyBorder="0" applyAlignment="0" applyProtection="0"/>
    <xf numFmtId="0" fontId="4" fillId="35" borderId="0" applyNumberFormat="0" applyBorder="0" applyAlignment="0" applyProtection="0"/>
    <xf numFmtId="0" fontId="27" fillId="0" borderId="0" applyNumberFormat="0" applyFill="0" applyBorder="0" applyAlignment="0" applyProtection="0"/>
    <xf numFmtId="0" fontId="1" fillId="21" borderId="0" applyNumberFormat="0" applyBorder="0" applyAlignment="0" applyProtection="0"/>
    <xf numFmtId="0" fontId="1" fillId="34" borderId="0" applyNumberFormat="0" applyBorder="0" applyAlignment="0" applyProtection="0"/>
    <xf numFmtId="0" fontId="63" fillId="0" borderId="284" applyNumberFormat="0" applyFill="0" applyAlignment="0" applyProtection="0"/>
    <xf numFmtId="0" fontId="33" fillId="0" borderId="299" applyNumberFormat="0" applyFill="0" applyAlignment="0" applyProtection="0"/>
    <xf numFmtId="49" fontId="33" fillId="0" borderId="260" applyNumberFormat="0" applyFont="0" applyFill="0" applyBorder="0" applyProtection="0">
      <alignment horizontal="left" vertical="center" indent="2"/>
    </xf>
    <xf numFmtId="4" fontId="33" fillId="37" borderId="260"/>
    <xf numFmtId="0" fontId="1" fillId="19" borderId="0" applyNumberFormat="0" applyBorder="0" applyAlignment="0" applyProtection="0"/>
    <xf numFmtId="0" fontId="41" fillId="59" borderId="256" applyNumberFormat="0" applyAlignment="0" applyProtection="0"/>
    <xf numFmtId="0" fontId="63" fillId="0" borderId="258" applyNumberFormat="0" applyFill="0" applyAlignment="0" applyProtection="0"/>
    <xf numFmtId="4" fontId="33" fillId="37" borderId="273"/>
    <xf numFmtId="0" fontId="1" fillId="30" borderId="0" applyNumberFormat="0" applyBorder="0" applyAlignment="0" applyProtection="0"/>
    <xf numFmtId="0" fontId="1" fillId="28" borderId="0" applyNumberFormat="0" applyBorder="0" applyAlignment="0" applyProtection="0"/>
    <xf numFmtId="0" fontId="1" fillId="18" borderId="0" applyNumberFormat="0" applyBorder="0" applyAlignment="0" applyProtection="0"/>
    <xf numFmtId="0" fontId="33" fillId="0" borderId="260" applyNumberFormat="0" applyFill="0" applyAlignment="0" applyProtection="0"/>
    <xf numFmtId="0" fontId="28" fillId="0" borderId="0" applyNumberFormat="0" applyFill="0" applyBorder="0" applyAlignment="0" applyProtection="0"/>
    <xf numFmtId="0" fontId="1" fillId="24" borderId="0" applyNumberFormat="0" applyBorder="0" applyAlignment="0" applyProtection="0"/>
    <xf numFmtId="0" fontId="4" fillId="26" borderId="0" applyNumberFormat="0" applyBorder="0" applyAlignment="0" applyProtection="0"/>
    <xf numFmtId="0" fontId="41" fillId="59" borderId="256" applyNumberFormat="0" applyAlignment="0" applyProtection="0"/>
    <xf numFmtId="4" fontId="33" fillId="0" borderId="286">
      <alignment horizontal="right" vertical="center"/>
    </xf>
    <xf numFmtId="49" fontId="33" fillId="0" borderId="273" applyNumberFormat="0" applyFont="0" applyFill="0" applyBorder="0" applyProtection="0">
      <alignment horizontal="left" vertical="center" indent="2"/>
    </xf>
    <xf numFmtId="0" fontId="1" fillId="30" borderId="0" applyNumberFormat="0" applyBorder="0" applyAlignment="0" applyProtection="0"/>
    <xf numFmtId="0" fontId="1" fillId="18" borderId="0" applyNumberFormat="0" applyBorder="0" applyAlignment="0" applyProtection="0"/>
    <xf numFmtId="49" fontId="32" fillId="0" borderId="286" applyNumberFormat="0" applyFill="0" applyBorder="0" applyProtection="0">
      <alignment horizontal="left" vertical="center"/>
    </xf>
    <xf numFmtId="0" fontId="4" fillId="20" borderId="0" applyNumberFormat="0" applyBorder="0" applyAlignment="0" applyProtection="0"/>
    <xf numFmtId="0" fontId="4" fillId="23" borderId="0" applyNumberFormat="0" applyBorder="0" applyAlignment="0" applyProtection="0"/>
    <xf numFmtId="0" fontId="60" fillId="59" borderId="256" applyNumberFormat="0" applyAlignment="0" applyProtection="0"/>
    <xf numFmtId="0" fontId="1" fillId="22" borderId="0" applyNumberFormat="0" applyBorder="0" applyAlignment="0" applyProtection="0"/>
    <xf numFmtId="4" fontId="31" fillId="38" borderId="286">
      <alignment horizontal="right" vertical="center"/>
    </xf>
    <xf numFmtId="0" fontId="1" fillId="30" borderId="0" applyNumberFormat="0" applyBorder="0" applyAlignment="0" applyProtection="0"/>
    <xf numFmtId="0" fontId="1" fillId="30" borderId="0" applyNumberFormat="0" applyBorder="0" applyAlignment="0" applyProtection="0"/>
    <xf numFmtId="0" fontId="60" fillId="59" borderId="256" applyNumberFormat="0" applyAlignment="0" applyProtection="0"/>
    <xf numFmtId="0" fontId="19" fillId="62" borderId="259" applyNumberFormat="0" applyFont="0" applyAlignment="0" applyProtection="0"/>
    <xf numFmtId="4" fontId="33" fillId="37" borderId="260"/>
    <xf numFmtId="4" fontId="31" fillId="38" borderId="286">
      <alignment horizontal="right" vertical="center"/>
    </xf>
    <xf numFmtId="0" fontId="31" fillId="38" borderId="262">
      <alignment horizontal="right" vertical="center"/>
    </xf>
    <xf numFmtId="0" fontId="33" fillId="37" borderId="260"/>
    <xf numFmtId="0" fontId="48" fillId="0" borderId="284" applyNumberFormat="0" applyFill="0" applyAlignment="0" applyProtection="0"/>
    <xf numFmtId="0" fontId="33" fillId="38" borderId="263">
      <alignment horizontal="left" vertical="center" wrapText="1" indent="2"/>
    </xf>
    <xf numFmtId="0" fontId="44" fillId="59" borderId="270" applyNumberFormat="0" applyAlignment="0" applyProtection="0"/>
    <xf numFmtId="4" fontId="35" fillId="36" borderId="286">
      <alignment horizontal="right" vertical="center"/>
    </xf>
    <xf numFmtId="4" fontId="31" fillId="38" borderId="273">
      <alignment horizontal="right" vertical="center"/>
    </xf>
    <xf numFmtId="0" fontId="35" fillId="36" borderId="260">
      <alignment horizontal="right" vertical="center"/>
    </xf>
    <xf numFmtId="0" fontId="76" fillId="83" borderId="259" applyNumberFormat="0" applyFont="0" applyAlignment="0" applyProtection="0"/>
    <xf numFmtId="4" fontId="33" fillId="0" borderId="273">
      <alignment horizontal="right" vertical="center"/>
    </xf>
    <xf numFmtId="0" fontId="56" fillId="46" borderId="283" applyNumberFormat="0" applyAlignment="0" applyProtection="0"/>
    <xf numFmtId="0" fontId="27" fillId="0" borderId="0" applyNumberFormat="0" applyFill="0" applyBorder="0" applyAlignment="0" applyProtection="0"/>
    <xf numFmtId="0" fontId="33" fillId="36" borderId="287">
      <alignment horizontal="left" vertical="center"/>
    </xf>
    <xf numFmtId="0" fontId="4" fillId="35" borderId="0" applyNumberFormat="0" applyBorder="0" applyAlignment="0" applyProtection="0"/>
    <xf numFmtId="4" fontId="31" fillId="38" borderId="260">
      <alignment horizontal="right" vertical="center"/>
    </xf>
    <xf numFmtId="0" fontId="4" fillId="29" borderId="0" applyNumberFormat="0" applyBorder="0" applyAlignment="0" applyProtection="0"/>
    <xf numFmtId="49" fontId="33" fillId="0" borderId="260" applyNumberFormat="0" applyFont="0" applyFill="0" applyBorder="0" applyProtection="0">
      <alignment horizontal="left" vertical="center" indent="2"/>
    </xf>
    <xf numFmtId="183" fontId="124" fillId="62" borderId="264" applyNumberFormat="0" applyFont="0" applyAlignment="0" applyProtection="0"/>
    <xf numFmtId="4" fontId="33" fillId="0" borderId="286">
      <alignment horizontal="right" vertical="center"/>
    </xf>
    <xf numFmtId="0" fontId="33" fillId="0" borderId="276">
      <alignment horizontal="left" vertical="center" wrapText="1" indent="2"/>
    </xf>
    <xf numFmtId="0" fontId="31" fillId="38" borderId="287">
      <alignment horizontal="right" vertical="center"/>
    </xf>
    <xf numFmtId="0" fontId="48" fillId="0" borderId="284" applyNumberFormat="0" applyFill="0" applyAlignment="0" applyProtection="0"/>
    <xf numFmtId="0" fontId="1" fillId="22" borderId="0" applyNumberFormat="0" applyBorder="0" applyAlignment="0" applyProtection="0"/>
    <xf numFmtId="0" fontId="4" fillId="23" borderId="0" applyNumberFormat="0" applyBorder="0" applyAlignment="0" applyProtection="0"/>
    <xf numFmtId="0" fontId="56" fillId="46" borderId="270" applyNumberFormat="0" applyAlignment="0" applyProtection="0"/>
    <xf numFmtId="0" fontId="60" fillId="59" borderId="256" applyNumberFormat="0" applyAlignment="0" applyProtection="0"/>
    <xf numFmtId="4" fontId="33" fillId="37" borderId="260"/>
    <xf numFmtId="0" fontId="63" fillId="0" borderId="258" applyNumberFormat="0" applyFill="0" applyAlignment="0" applyProtection="0"/>
    <xf numFmtId="0" fontId="44" fillId="59" borderId="257" applyNumberFormat="0" applyAlignment="0" applyProtection="0"/>
    <xf numFmtId="0" fontId="41" fillId="59" borderId="256" applyNumberFormat="0" applyAlignment="0" applyProtection="0"/>
    <xf numFmtId="0" fontId="31" fillId="38" borderId="262">
      <alignment horizontal="right" vertical="center"/>
    </xf>
    <xf numFmtId="4" fontId="31" fillId="36" borderId="260">
      <alignment horizontal="right" vertical="center"/>
    </xf>
    <xf numFmtId="0" fontId="43" fillId="59" borderId="257" applyNumberFormat="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4" fillId="35" borderId="0" applyNumberFormat="0" applyBorder="0" applyAlignment="0" applyProtection="0"/>
    <xf numFmtId="0" fontId="63" fillId="0" borderId="258" applyNumberFormat="0" applyFill="0" applyAlignment="0" applyProtection="0"/>
    <xf numFmtId="0" fontId="60" fillId="59" borderId="256" applyNumberFormat="0" applyAlignment="0" applyProtection="0"/>
    <xf numFmtId="4" fontId="33" fillId="0" borderId="260">
      <alignment horizontal="right" vertical="center"/>
    </xf>
    <xf numFmtId="0" fontId="33" fillId="36" borderId="261">
      <alignment horizontal="left" vertical="center"/>
    </xf>
    <xf numFmtId="0" fontId="31" fillId="36" borderId="260">
      <alignment horizontal="right" vertical="center"/>
    </xf>
    <xf numFmtId="0" fontId="56" fillId="46" borderId="257" applyNumberFormat="0" applyAlignment="0" applyProtection="0"/>
    <xf numFmtId="4" fontId="35" fillId="36" borderId="260">
      <alignment horizontal="right" vertical="center"/>
    </xf>
    <xf numFmtId="49" fontId="33" fillId="0" borderId="260" applyNumberFormat="0" applyFont="0" applyFill="0" applyBorder="0" applyProtection="0">
      <alignment horizontal="left" vertical="center" indent="2"/>
    </xf>
    <xf numFmtId="0" fontId="4" fillId="29" borderId="0" applyNumberFormat="0" applyBorder="0" applyAlignment="0" applyProtection="0"/>
    <xf numFmtId="0" fontId="33" fillId="37" borderId="260"/>
    <xf numFmtId="0" fontId="33" fillId="38" borderId="263">
      <alignment horizontal="left" vertical="center" wrapText="1" indent="2"/>
    </xf>
    <xf numFmtId="177" fontId="33" fillId="63" borderId="260" applyNumberFormat="0" applyFont="0" applyBorder="0" applyAlignment="0" applyProtection="0">
      <alignment horizontal="right" vertical="center"/>
    </xf>
    <xf numFmtId="4" fontId="33" fillId="37" borderId="260"/>
    <xf numFmtId="0" fontId="4" fillId="26" borderId="0" applyNumberFormat="0" applyBorder="0" applyAlignment="0" applyProtection="0"/>
    <xf numFmtId="0" fontId="33" fillId="0" borderId="260">
      <alignment horizontal="right" vertical="center"/>
    </xf>
    <xf numFmtId="0" fontId="27" fillId="0" borderId="0" applyNumberFormat="0" applyFill="0" applyBorder="0" applyAlignment="0" applyProtection="0"/>
    <xf numFmtId="0" fontId="63" fillId="0" borderId="258" applyNumberFormat="0" applyFill="0" applyAlignment="0" applyProtection="0"/>
    <xf numFmtId="0" fontId="63" fillId="0" borderId="258" applyNumberFormat="0" applyFill="0" applyAlignment="0" applyProtection="0"/>
    <xf numFmtId="0" fontId="44" fillId="59" borderId="257" applyNumberFormat="0" applyAlignment="0" applyProtection="0"/>
    <xf numFmtId="0" fontId="44" fillId="59" borderId="257" applyNumberFormat="0" applyAlignment="0" applyProtection="0"/>
    <xf numFmtId="0" fontId="63" fillId="0" borderId="258" applyNumberFormat="0" applyFill="0" applyAlignment="0" applyProtection="0"/>
    <xf numFmtId="0" fontId="31" fillId="36" borderId="260">
      <alignment horizontal="right" vertical="center"/>
    </xf>
    <xf numFmtId="0" fontId="25" fillId="17" borderId="22" applyNumberFormat="0" applyAlignment="0" applyProtection="0"/>
    <xf numFmtId="0" fontId="33" fillId="0" borderId="263">
      <alignment horizontal="left" vertical="center" wrapText="1" indent="2"/>
    </xf>
    <xf numFmtId="0" fontId="33" fillId="0" borderId="260">
      <alignment horizontal="right" vertical="center"/>
    </xf>
    <xf numFmtId="0" fontId="33" fillId="37" borderId="260"/>
    <xf numFmtId="0" fontId="56" fillId="46" borderId="257" applyNumberFormat="0" applyAlignment="0" applyProtection="0"/>
    <xf numFmtId="0" fontId="33" fillId="38" borderId="263">
      <alignment horizontal="left" vertical="center" wrapText="1" indent="2"/>
    </xf>
    <xf numFmtId="4" fontId="31" fillId="38" borderId="260">
      <alignment horizontal="right" vertical="center"/>
    </xf>
    <xf numFmtId="0" fontId="27" fillId="0" borderId="0" applyNumberFormat="0" applyFill="0" applyBorder="0" applyAlignment="0" applyProtection="0"/>
    <xf numFmtId="0" fontId="31" fillId="36" borderId="260">
      <alignment horizontal="right" vertical="center"/>
    </xf>
    <xf numFmtId="0" fontId="1" fillId="21" borderId="0" applyNumberFormat="0" applyBorder="0" applyAlignment="0" applyProtection="0"/>
    <xf numFmtId="0" fontId="31" fillId="38" borderId="260">
      <alignment horizontal="right" vertical="center"/>
    </xf>
    <xf numFmtId="177" fontId="33" fillId="63" borderId="260" applyNumberFormat="0" applyFont="0" applyBorder="0" applyAlignment="0" applyProtection="0">
      <alignment horizontal="right" vertical="center"/>
    </xf>
    <xf numFmtId="0" fontId="44" fillId="59" borderId="257" applyNumberFormat="0" applyAlignment="0" applyProtection="0"/>
    <xf numFmtId="0" fontId="38" fillId="62" borderId="259"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4" fillId="20" borderId="0" applyNumberFormat="0" applyBorder="0" applyAlignment="0" applyProtection="0"/>
    <xf numFmtId="0" fontId="1" fillId="30" borderId="0" applyNumberFormat="0" applyBorder="0" applyAlignment="0" applyProtection="0"/>
    <xf numFmtId="0" fontId="35" fillId="36" borderId="260">
      <alignment horizontal="right" vertical="center"/>
    </xf>
    <xf numFmtId="0" fontId="47" fillId="46" borderId="257" applyNumberFormat="0" applyAlignment="0" applyProtection="0"/>
    <xf numFmtId="0" fontId="47" fillId="46" borderId="257" applyNumberFormat="0" applyAlignment="0" applyProtection="0"/>
    <xf numFmtId="49" fontId="32" fillId="0" borderId="260" applyNumberFormat="0" applyFill="0" applyBorder="0" applyProtection="0">
      <alignment horizontal="left" vertical="center"/>
    </xf>
    <xf numFmtId="4" fontId="31" fillId="38" borderId="260">
      <alignment horizontal="right" vertical="center"/>
    </xf>
    <xf numFmtId="0" fontId="47" fillId="46" borderId="257" applyNumberFormat="0" applyAlignment="0" applyProtection="0"/>
    <xf numFmtId="4" fontId="33" fillId="0" borderId="260">
      <alignment horizontal="right" vertical="center"/>
    </xf>
    <xf numFmtId="0" fontId="43" fillId="59" borderId="257" applyNumberFormat="0" applyAlignment="0" applyProtection="0"/>
    <xf numFmtId="0" fontId="41" fillId="59" borderId="256" applyNumberFormat="0" applyAlignment="0" applyProtection="0"/>
    <xf numFmtId="0" fontId="31" fillId="38" borderId="262">
      <alignment horizontal="right" vertical="center"/>
    </xf>
    <xf numFmtId="4" fontId="31" fillId="36" borderId="260">
      <alignment horizontal="right" vertical="center"/>
    </xf>
    <xf numFmtId="0" fontId="43" fillId="59" borderId="257" applyNumberFormat="0" applyAlignment="0" applyProtection="0"/>
    <xf numFmtId="0" fontId="33" fillId="38" borderId="263">
      <alignment horizontal="left" vertical="center" wrapText="1" indent="2"/>
    </xf>
    <xf numFmtId="0" fontId="33" fillId="0" borderId="263">
      <alignment horizontal="left" vertical="center" wrapText="1" indent="2"/>
    </xf>
    <xf numFmtId="0" fontId="4" fillId="23" borderId="0" applyNumberFormat="0" applyBorder="0" applyAlignment="0" applyProtection="0"/>
    <xf numFmtId="0" fontId="1" fillId="18" borderId="0" applyNumberFormat="0" applyBorder="0" applyAlignment="0" applyProtection="0"/>
    <xf numFmtId="0" fontId="35" fillId="36" borderId="286">
      <alignment horizontal="right" vertical="center"/>
    </xf>
    <xf numFmtId="0" fontId="44" fillId="59" borderId="283" applyNumberFormat="0" applyAlignment="0" applyProtection="0"/>
    <xf numFmtId="0" fontId="38" fillId="62" borderId="285" applyNumberFormat="0" applyFont="0" applyAlignment="0" applyProtection="0"/>
    <xf numFmtId="4" fontId="33" fillId="0" borderId="273" applyFill="0" applyBorder="0" applyProtection="0">
      <alignment horizontal="right" vertical="center"/>
    </xf>
    <xf numFmtId="0" fontId="56" fillId="46" borderId="283" applyNumberFormat="0" applyAlignment="0" applyProtection="0"/>
    <xf numFmtId="0" fontId="31" fillId="36" borderId="273">
      <alignment horizontal="right" vertical="center"/>
    </xf>
    <xf numFmtId="0" fontId="38" fillId="62" borderId="272" applyNumberFormat="0" applyFont="0" applyAlignment="0" applyProtection="0"/>
    <xf numFmtId="4" fontId="31" fillId="36" borderId="273">
      <alignment horizontal="right" vertical="center"/>
    </xf>
    <xf numFmtId="4" fontId="33" fillId="0" borderId="273">
      <alignment horizontal="right" vertical="center"/>
    </xf>
    <xf numFmtId="0" fontId="44" fillId="59" borderId="270" applyNumberFormat="0" applyAlignment="0" applyProtection="0"/>
    <xf numFmtId="177" fontId="33" fillId="63" borderId="273" applyNumberFormat="0" applyFont="0" applyBorder="0" applyAlignment="0" applyProtection="0">
      <alignment horizontal="right" vertical="center"/>
    </xf>
    <xf numFmtId="4" fontId="33" fillId="0" borderId="273" applyFill="0" applyBorder="0" applyProtection="0">
      <alignment horizontal="right" vertical="center"/>
    </xf>
    <xf numFmtId="0" fontId="1" fillId="28" borderId="0" applyNumberFormat="0" applyBorder="0" applyAlignment="0" applyProtection="0"/>
    <xf numFmtId="0" fontId="33" fillId="0" borderId="286">
      <alignment horizontal="right" vertical="center"/>
    </xf>
    <xf numFmtId="0" fontId="1" fillId="34" borderId="0" applyNumberFormat="0" applyBorder="0" applyAlignment="0" applyProtection="0"/>
    <xf numFmtId="0" fontId="25" fillId="17" borderId="22" applyNumberFormat="0" applyAlignment="0" applyProtection="0"/>
    <xf numFmtId="4" fontId="31" fillId="38" borderId="286">
      <alignment horizontal="right" vertical="center"/>
    </xf>
    <xf numFmtId="0" fontId="26" fillId="17" borderId="10" applyNumberFormat="0" applyAlignment="0" applyProtection="0"/>
    <xf numFmtId="0" fontId="1" fillId="28" borderId="0" applyNumberFormat="0" applyBorder="0" applyAlignment="0" applyProtection="0"/>
    <xf numFmtId="4" fontId="33" fillId="0" borderId="286">
      <alignment horizontal="right" vertical="center"/>
    </xf>
    <xf numFmtId="4" fontId="35" fillId="36" borderId="286">
      <alignment horizontal="right" vertical="center"/>
    </xf>
    <xf numFmtId="0" fontId="19" fillId="62" borderId="272" applyNumberFormat="0" applyFont="0" applyAlignment="0" applyProtection="0"/>
    <xf numFmtId="0" fontId="33" fillId="0" borderId="276">
      <alignment horizontal="left" vertical="center" wrapText="1" indent="2"/>
    </xf>
    <xf numFmtId="0" fontId="35" fillId="36" borderId="273">
      <alignment horizontal="right" vertical="center"/>
    </xf>
    <xf numFmtId="4" fontId="33" fillId="0" borderId="273" applyFill="0" applyBorder="0" applyProtection="0">
      <alignment horizontal="right" vertical="center"/>
    </xf>
    <xf numFmtId="4" fontId="31" fillId="38" borderId="286">
      <alignment horizontal="right" vertical="center"/>
    </xf>
    <xf numFmtId="0" fontId="139" fillId="0" borderId="268">
      <alignment horizontal="left" vertical="center"/>
    </xf>
    <xf numFmtId="0" fontId="1" fillId="24" borderId="0" applyNumberFormat="0" applyBorder="0" applyAlignment="0" applyProtection="0"/>
    <xf numFmtId="0" fontId="56" fillId="46" borderId="283" applyNumberFormat="0" applyAlignment="0" applyProtection="0"/>
    <xf numFmtId="0" fontId="1" fillId="3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9" fontId="32" fillId="0" borderId="273" applyNumberFormat="0" applyFill="0" applyBorder="0" applyProtection="0">
      <alignment horizontal="left" vertical="center"/>
    </xf>
    <xf numFmtId="0" fontId="4" fillId="26" borderId="0" applyNumberFormat="0" applyBorder="0" applyAlignment="0" applyProtection="0"/>
    <xf numFmtId="43" fontId="19" fillId="0" borderId="0" applyFont="0" applyFill="0" applyBorder="0" applyAlignment="0" applyProtection="0"/>
    <xf numFmtId="0" fontId="33" fillId="0" borderId="299">
      <alignment horizontal="right" vertical="center"/>
    </xf>
    <xf numFmtId="0" fontId="41" fillId="59" borderId="282" applyNumberFormat="0" applyAlignment="0" applyProtection="0"/>
    <xf numFmtId="0" fontId="63" fillId="0" borderId="284" applyNumberFormat="0" applyFill="0" applyAlignment="0" applyProtection="0"/>
    <xf numFmtId="43" fontId="19" fillId="0" borderId="0" applyFont="0" applyFill="0" applyBorder="0" applyAlignment="0" applyProtection="0"/>
    <xf numFmtId="0" fontId="31" fillId="36" borderId="299">
      <alignment horizontal="right" vertical="center"/>
    </xf>
    <xf numFmtId="0" fontId="31" fillId="38" borderId="299">
      <alignment horizontal="right" vertical="center"/>
    </xf>
    <xf numFmtId="4" fontId="31" fillId="38" borderId="275">
      <alignment horizontal="right" vertical="center"/>
    </xf>
    <xf numFmtId="0" fontId="1" fillId="24" borderId="0" applyNumberFormat="0" applyBorder="0" applyAlignment="0" applyProtection="0"/>
    <xf numFmtId="4" fontId="31" fillId="38" borderId="299">
      <alignment horizontal="right" vertical="center"/>
    </xf>
    <xf numFmtId="0" fontId="1" fillId="33" borderId="0" applyNumberFormat="0" applyBorder="0" applyAlignment="0" applyProtection="0"/>
    <xf numFmtId="0" fontId="60" fillId="59" borderId="295" applyNumberFormat="0" applyAlignment="0" applyProtection="0"/>
    <xf numFmtId="4" fontId="31" fillId="38" borderId="287">
      <alignment horizontal="right" vertical="center"/>
    </xf>
    <xf numFmtId="43" fontId="1" fillId="0" borderId="0" applyFont="0" applyFill="0" applyBorder="0" applyAlignment="0" applyProtection="0"/>
    <xf numFmtId="43" fontId="22" fillId="0" borderId="0" applyFont="0" applyFill="0" applyBorder="0" applyAlignment="0" applyProtection="0"/>
    <xf numFmtId="0" fontId="31" fillId="38" borderId="287">
      <alignment horizontal="right" vertical="center"/>
    </xf>
    <xf numFmtId="0" fontId="33" fillId="37" borderId="273"/>
    <xf numFmtId="49" fontId="33" fillId="0" borderId="274" applyNumberFormat="0" applyFont="0" applyFill="0" applyBorder="0" applyProtection="0">
      <alignment horizontal="left" vertical="center" indent="5"/>
    </xf>
    <xf numFmtId="0" fontId="56" fillId="46" borderId="270" applyNumberFormat="0" applyAlignment="0" applyProtection="0"/>
    <xf numFmtId="0" fontId="56" fillId="46" borderId="270" applyNumberFormat="0" applyAlignment="0" applyProtection="0"/>
    <xf numFmtId="49" fontId="33" fillId="0" borderId="274" applyNumberFormat="0" applyFont="0" applyFill="0" applyBorder="0" applyProtection="0">
      <alignment horizontal="left" vertical="center" indent="5"/>
    </xf>
    <xf numFmtId="0" fontId="31" fillId="38" borderId="275">
      <alignment horizontal="right" vertical="center"/>
    </xf>
    <xf numFmtId="4" fontId="31" fillId="38" borderId="273">
      <alignment horizontal="right" vertical="center"/>
    </xf>
    <xf numFmtId="0" fontId="1" fillId="34" borderId="0" applyNumberFormat="0" applyBorder="0" applyAlignment="0" applyProtection="0"/>
    <xf numFmtId="0" fontId="38" fillId="62" borderId="298" applyNumberFormat="0" applyFont="0" applyAlignment="0" applyProtection="0"/>
    <xf numFmtId="4" fontId="35" fillId="36" borderId="260">
      <alignment horizontal="right" vertical="center"/>
    </xf>
    <xf numFmtId="0" fontId="63" fillId="0" borderId="258" applyNumberFormat="0" applyFill="0" applyAlignment="0" applyProtection="0"/>
    <xf numFmtId="0" fontId="31" fillId="38" borderId="260">
      <alignment horizontal="right" vertical="center"/>
    </xf>
    <xf numFmtId="0" fontId="44" fillId="59" borderId="257" applyNumberFormat="0" applyAlignment="0" applyProtection="0"/>
    <xf numFmtId="4" fontId="31" fillId="36" borderId="260">
      <alignment horizontal="right" vertical="center"/>
    </xf>
    <xf numFmtId="4" fontId="31" fillId="38" borderId="260">
      <alignment horizontal="right" vertical="center"/>
    </xf>
    <xf numFmtId="0" fontId="38" fillId="62" borderId="259" applyNumberFormat="0" applyFont="0" applyAlignment="0" applyProtection="0"/>
    <xf numFmtId="0" fontId="33" fillId="0" borderId="260" applyNumberFormat="0" applyFill="0" applyAlignment="0" applyProtection="0"/>
    <xf numFmtId="0" fontId="35" fillId="36" borderId="260">
      <alignment horizontal="right" vertical="center"/>
    </xf>
    <xf numFmtId="0" fontId="1" fillId="27" borderId="0" applyNumberFormat="0" applyBorder="0" applyAlignment="0" applyProtection="0"/>
    <xf numFmtId="0" fontId="1" fillId="34" borderId="0" applyNumberFormat="0" applyBorder="0" applyAlignment="0" applyProtection="0"/>
    <xf numFmtId="0" fontId="63" fillId="0" borderId="297" applyNumberFormat="0" applyFill="0" applyAlignment="0" applyProtection="0"/>
    <xf numFmtId="49" fontId="33" fillId="0" borderId="286" applyNumberFormat="0" applyFont="0" applyFill="0" applyBorder="0" applyProtection="0">
      <alignment horizontal="left" vertical="center" indent="2"/>
    </xf>
    <xf numFmtId="43" fontId="36" fillId="0" borderId="0" applyFont="0" applyFill="0" applyBorder="0" applyAlignment="0" applyProtection="0"/>
    <xf numFmtId="0" fontId="48" fillId="0" borderId="271" applyNumberFormat="0" applyFill="0" applyAlignment="0" applyProtection="0"/>
    <xf numFmtId="4" fontId="31" fillId="36" borderId="273">
      <alignment horizontal="right" vertical="center"/>
    </xf>
    <xf numFmtId="4" fontId="31" fillId="38" borderId="273">
      <alignment horizontal="right" vertical="center"/>
    </xf>
    <xf numFmtId="0" fontId="3" fillId="0" borderId="23" applyNumberFormat="0" applyFill="0" applyAlignment="0" applyProtection="0"/>
    <xf numFmtId="4" fontId="31" fillId="38" borderId="273">
      <alignment horizontal="right" vertical="center"/>
    </xf>
    <xf numFmtId="0" fontId="31" fillId="36" borderId="286">
      <alignment horizontal="right" vertical="center"/>
    </xf>
    <xf numFmtId="0" fontId="3" fillId="0" borderId="23" applyNumberFormat="0" applyFill="0" applyAlignment="0" applyProtection="0"/>
    <xf numFmtId="0" fontId="31" fillId="36" borderId="273">
      <alignment horizontal="right" vertical="center"/>
    </xf>
    <xf numFmtId="0" fontId="56" fillId="46" borderId="283" applyNumberFormat="0" applyAlignment="0" applyProtection="0"/>
    <xf numFmtId="0" fontId="31" fillId="38" borderId="288">
      <alignment horizontal="right" vertical="center"/>
    </xf>
    <xf numFmtId="0" fontId="33" fillId="0" borderId="302">
      <alignment horizontal="left" vertical="center" wrapText="1" indent="2"/>
    </xf>
    <xf numFmtId="0" fontId="43" fillId="59" borderId="283" applyNumberFormat="0" applyAlignment="0" applyProtection="0"/>
    <xf numFmtId="0" fontId="56" fillId="46" borderId="270" applyNumberFormat="0" applyAlignment="0" applyProtection="0"/>
    <xf numFmtId="0" fontId="41" fillId="59" borderId="269" applyNumberFormat="0" applyAlignment="0" applyProtection="0"/>
    <xf numFmtId="0" fontId="35" fillId="36" borderId="273">
      <alignment horizontal="right" vertical="center"/>
    </xf>
    <xf numFmtId="4" fontId="31" fillId="36" borderId="286">
      <alignment horizontal="right" vertical="center"/>
    </xf>
    <xf numFmtId="0" fontId="48" fillId="0" borderId="271" applyNumberFormat="0" applyFill="0" applyAlignment="0" applyProtection="0"/>
    <xf numFmtId="0" fontId="33" fillId="0" borderId="289">
      <alignment horizontal="left" vertical="center" wrapText="1" indent="2"/>
    </xf>
    <xf numFmtId="0" fontId="33" fillId="0" borderId="273">
      <alignment horizontal="right" vertical="center"/>
    </xf>
    <xf numFmtId="4" fontId="33" fillId="37" borderId="273"/>
    <xf numFmtId="0" fontId="33" fillId="38" borderId="263">
      <alignment horizontal="left" vertical="center" wrapText="1" indent="2"/>
    </xf>
    <xf numFmtId="0" fontId="25" fillId="17" borderId="22" applyNumberFormat="0" applyAlignment="0" applyProtection="0"/>
    <xf numFmtId="0" fontId="31" fillId="38" borderId="287">
      <alignment horizontal="right" vertical="center"/>
    </xf>
    <xf numFmtId="0" fontId="1" fillId="30" borderId="0" applyNumberFormat="0" applyBorder="0" applyAlignment="0" applyProtection="0"/>
    <xf numFmtId="0" fontId="4" fillId="29" borderId="0" applyNumberFormat="0" applyBorder="0" applyAlignment="0" applyProtection="0"/>
    <xf numFmtId="0" fontId="28" fillId="0" borderId="0" applyNumberFormat="0" applyFill="0" applyBorder="0" applyAlignment="0" applyProtection="0"/>
    <xf numFmtId="0" fontId="33" fillId="38" borderId="276">
      <alignment horizontal="left" vertical="center" wrapText="1" indent="2"/>
    </xf>
    <xf numFmtId="177" fontId="33" fillId="63" borderId="286" applyNumberFormat="0" applyFont="0" applyBorder="0" applyAlignment="0" applyProtection="0">
      <alignment horizontal="right" vertical="center"/>
    </xf>
    <xf numFmtId="0" fontId="44" fillId="59" borderId="283" applyNumberFormat="0" applyAlignment="0" applyProtection="0"/>
    <xf numFmtId="0" fontId="4" fillId="32" borderId="0" applyNumberFormat="0" applyBorder="0" applyAlignment="0" applyProtection="0"/>
    <xf numFmtId="49" fontId="32" fillId="0" borderId="299" applyNumberFormat="0" applyFill="0" applyBorder="0" applyProtection="0">
      <alignment horizontal="left" vertical="center"/>
    </xf>
    <xf numFmtId="0" fontId="63" fillId="0" borderId="284" applyNumberFormat="0" applyFill="0" applyAlignment="0" applyProtection="0"/>
    <xf numFmtId="0" fontId="96" fillId="38" borderId="257" applyNumberFormat="0" applyAlignment="0" applyProtection="0"/>
    <xf numFmtId="0" fontId="1" fillId="33" borderId="0" applyNumberFormat="0" applyBorder="0" applyAlignment="0" applyProtection="0"/>
    <xf numFmtId="49" fontId="33" fillId="0" borderId="300" applyNumberFormat="0" applyFont="0" applyFill="0" applyBorder="0" applyProtection="0">
      <alignment horizontal="left" vertical="center" indent="5"/>
    </xf>
    <xf numFmtId="0" fontId="1" fillId="22" borderId="0" applyNumberFormat="0" applyBorder="0" applyAlignment="0" applyProtection="0"/>
    <xf numFmtId="4" fontId="31" fillId="36" borderId="273">
      <alignment horizontal="right" vertical="center"/>
    </xf>
    <xf numFmtId="0" fontId="1" fillId="18" borderId="0" applyNumberFormat="0" applyBorder="0" applyAlignment="0" applyProtection="0"/>
    <xf numFmtId="0" fontId="1" fillId="27" borderId="0" applyNumberFormat="0" applyBorder="0" applyAlignment="0" applyProtection="0"/>
    <xf numFmtId="0" fontId="4" fillId="32" borderId="0" applyNumberFormat="0" applyBorder="0" applyAlignment="0" applyProtection="0"/>
    <xf numFmtId="49" fontId="32" fillId="0" borderId="260" applyNumberFormat="0" applyFill="0" applyBorder="0" applyProtection="0">
      <alignment horizontal="left" vertical="center"/>
    </xf>
    <xf numFmtId="0" fontId="1" fillId="18" borderId="0" applyNumberFormat="0" applyBorder="0" applyAlignment="0" applyProtection="0"/>
    <xf numFmtId="0" fontId="1" fillId="28" borderId="0" applyNumberFormat="0" applyBorder="0" applyAlignment="0" applyProtection="0"/>
    <xf numFmtId="4" fontId="35" fillId="36" borderId="299">
      <alignment horizontal="right" vertical="center"/>
    </xf>
    <xf numFmtId="0" fontId="41" fillId="59" borderId="295" applyNumberFormat="0" applyAlignment="0" applyProtection="0"/>
    <xf numFmtId="0" fontId="31" fillId="38" borderId="262">
      <alignment horizontal="right" vertical="center"/>
    </xf>
    <xf numFmtId="0" fontId="63" fillId="0" borderId="258" applyNumberFormat="0" applyFill="0" applyAlignment="0" applyProtection="0"/>
    <xf numFmtId="4" fontId="31" fillId="38" borderId="275">
      <alignment horizontal="right" vertical="center"/>
    </xf>
    <xf numFmtId="0" fontId="31" fillId="38" borderId="299">
      <alignment horizontal="right" vertical="center"/>
    </xf>
    <xf numFmtId="4" fontId="31" fillId="38" borderId="287">
      <alignment horizontal="right" vertical="center"/>
    </xf>
    <xf numFmtId="177" fontId="33" fillId="63" borderId="273" applyNumberFormat="0" applyFont="0" applyBorder="0" applyAlignment="0" applyProtection="0">
      <alignment horizontal="right" vertical="center"/>
    </xf>
    <xf numFmtId="0" fontId="1" fillId="19" borderId="0" applyNumberFormat="0" applyBorder="0" applyAlignment="0" applyProtection="0"/>
    <xf numFmtId="0" fontId="60" fillId="59" borderId="269" applyNumberFormat="0" applyAlignment="0" applyProtection="0"/>
    <xf numFmtId="0" fontId="1" fillId="34" borderId="0" applyNumberFormat="0" applyBorder="0" applyAlignment="0" applyProtection="0"/>
    <xf numFmtId="0" fontId="1" fillId="21" borderId="0" applyNumberFormat="0" applyBorder="0" applyAlignment="0" applyProtection="0"/>
    <xf numFmtId="0" fontId="3" fillId="0" borderId="23" applyNumberFormat="0" applyFill="0" applyAlignment="0" applyProtection="0"/>
    <xf numFmtId="0" fontId="44" fillId="59" borderId="283" applyNumberFormat="0" applyAlignment="0" applyProtection="0"/>
    <xf numFmtId="0" fontId="1" fillId="34" borderId="0" applyNumberFormat="0" applyBorder="0" applyAlignment="0" applyProtection="0"/>
    <xf numFmtId="0" fontId="31" fillId="36" borderId="299">
      <alignment horizontal="right" vertical="center"/>
    </xf>
    <xf numFmtId="0" fontId="44" fillId="59" borderId="296" applyNumberFormat="0" applyAlignment="0" applyProtection="0"/>
    <xf numFmtId="4" fontId="33" fillId="37" borderId="286"/>
    <xf numFmtId="0" fontId="1" fillId="28" borderId="0" applyNumberFormat="0" applyBorder="0" applyAlignment="0" applyProtection="0"/>
    <xf numFmtId="0" fontId="3" fillId="0" borderId="23" applyNumberFormat="0" applyFill="0" applyAlignment="0" applyProtection="0"/>
    <xf numFmtId="0" fontId="33" fillId="37" borderId="286"/>
    <xf numFmtId="0" fontId="1" fillId="28" borderId="0" applyNumberFormat="0" applyBorder="0" applyAlignment="0" applyProtection="0"/>
    <xf numFmtId="4" fontId="33" fillId="37" borderId="273"/>
    <xf numFmtId="4" fontId="33" fillId="0" borderId="299">
      <alignment horizontal="right" vertical="center"/>
    </xf>
    <xf numFmtId="0" fontId="33" fillId="0" borderId="276">
      <alignment horizontal="left" vertical="center" wrapText="1" indent="2"/>
    </xf>
    <xf numFmtId="0" fontId="25" fillId="17" borderId="22" applyNumberFormat="0" applyAlignment="0" applyProtection="0"/>
    <xf numFmtId="0" fontId="31" fillId="38" borderId="288">
      <alignment horizontal="right" vertical="center"/>
    </xf>
    <xf numFmtId="4" fontId="31" fillId="38" borderId="273">
      <alignment horizontal="right" vertical="center"/>
    </xf>
    <xf numFmtId="0" fontId="33" fillId="38" borderId="289">
      <alignment horizontal="left" vertical="center" wrapText="1" indent="2"/>
    </xf>
    <xf numFmtId="0" fontId="1" fillId="33" borderId="0" applyNumberFormat="0" applyBorder="0" applyAlignment="0" applyProtection="0"/>
    <xf numFmtId="177" fontId="33" fillId="63" borderId="260" applyNumberFormat="0" applyFont="0" applyBorder="0" applyAlignment="0" applyProtection="0">
      <alignment horizontal="right" vertical="center"/>
    </xf>
    <xf numFmtId="0" fontId="43" fillId="59" borderId="283" applyNumberFormat="0" applyAlignment="0" applyProtection="0"/>
    <xf numFmtId="0" fontId="31" fillId="38" borderId="260">
      <alignment horizontal="right" vertical="center"/>
    </xf>
    <xf numFmtId="0" fontId="3" fillId="0" borderId="23" applyNumberFormat="0" applyFill="0" applyAlignment="0" applyProtection="0"/>
    <xf numFmtId="0" fontId="27" fillId="0" borderId="0" applyNumberFormat="0" applyFill="0" applyBorder="0" applyAlignment="0" applyProtection="0"/>
    <xf numFmtId="43" fontId="22" fillId="0" borderId="0" applyFont="0" applyFill="0" applyBorder="0" applyAlignment="0" applyProtection="0"/>
    <xf numFmtId="177" fontId="33" fillId="63" borderId="286" applyNumberFormat="0" applyFont="0" applyBorder="0" applyAlignment="0" applyProtection="0">
      <alignment horizontal="right" vertical="center"/>
    </xf>
    <xf numFmtId="0" fontId="63" fillId="0" borderId="258" applyNumberFormat="0" applyFill="0" applyAlignment="0" applyProtection="0"/>
    <xf numFmtId="0" fontId="31" fillId="38" borderId="286">
      <alignment horizontal="right" vertical="center"/>
    </xf>
    <xf numFmtId="0" fontId="31" fillId="38" borderId="275">
      <alignment horizontal="right" vertical="center"/>
    </xf>
    <xf numFmtId="0" fontId="33" fillId="38" borderId="302">
      <alignment horizontal="left" vertical="center" wrapText="1" indent="2"/>
    </xf>
    <xf numFmtId="0" fontId="1" fillId="24" borderId="0" applyNumberFormat="0" applyBorder="0" applyAlignment="0" applyProtection="0"/>
    <xf numFmtId="0" fontId="31" fillId="38" borderId="261">
      <alignment horizontal="right" vertical="center"/>
    </xf>
    <xf numFmtId="4" fontId="33" fillId="0" borderId="299">
      <alignment horizontal="right" vertical="center"/>
    </xf>
    <xf numFmtId="4" fontId="33" fillId="0" borderId="260">
      <alignment horizontal="right" vertical="center"/>
    </xf>
    <xf numFmtId="0" fontId="4" fillId="32" borderId="0" applyNumberFormat="0" applyBorder="0" applyAlignment="0" applyProtection="0"/>
    <xf numFmtId="0" fontId="56" fillId="46" borderId="283" applyNumberFormat="0" applyAlignment="0" applyProtection="0"/>
    <xf numFmtId="0" fontId="19" fillId="62" borderId="272" applyNumberFormat="0" applyFont="0" applyAlignment="0" applyProtection="0"/>
    <xf numFmtId="0" fontId="1" fillId="27" borderId="0" applyNumberFormat="0" applyBorder="0" applyAlignment="0" applyProtection="0"/>
    <xf numFmtId="0" fontId="4" fillId="35" borderId="0" applyNumberFormat="0" applyBorder="0" applyAlignment="0" applyProtection="0"/>
    <xf numFmtId="0" fontId="1" fillId="28"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33" fillId="38" borderId="289">
      <alignment horizontal="left" vertical="center" wrapText="1" indent="2"/>
    </xf>
    <xf numFmtId="0" fontId="1" fillId="18" borderId="0" applyNumberFormat="0" applyBorder="0" applyAlignment="0" applyProtection="0"/>
    <xf numFmtId="0" fontId="60" fillId="59" borderId="269" applyNumberFormat="0" applyAlignment="0" applyProtection="0"/>
    <xf numFmtId="0" fontId="31" fillId="38" borderId="274">
      <alignment horizontal="right" vertical="center"/>
    </xf>
    <xf numFmtId="0" fontId="60" fillId="59" borderId="269" applyNumberFormat="0" applyAlignment="0" applyProtection="0"/>
    <xf numFmtId="0" fontId="1" fillId="28" borderId="0" applyNumberFormat="0" applyBorder="0" applyAlignment="0" applyProtection="0"/>
    <xf numFmtId="198" fontId="19" fillId="82" borderId="286">
      <alignment horizontal="right"/>
      <protection locked="0"/>
    </xf>
    <xf numFmtId="0" fontId="27" fillId="0" borderId="0" applyNumberFormat="0" applyFill="0" applyBorder="0" applyAlignment="0" applyProtection="0"/>
    <xf numFmtId="0" fontId="35" fillId="36" borderId="273">
      <alignment horizontal="right" vertical="center"/>
    </xf>
    <xf numFmtId="0" fontId="33" fillId="36" borderId="274">
      <alignment horizontal="left" vertical="center"/>
    </xf>
    <xf numFmtId="0" fontId="56" fillId="46" borderId="257" applyNumberFormat="0" applyAlignment="0" applyProtection="0"/>
    <xf numFmtId="4" fontId="31" fillId="38" borderId="260">
      <alignment horizontal="right" vertical="center"/>
    </xf>
    <xf numFmtId="0" fontId="19" fillId="62" borderId="259" applyNumberFormat="0" applyFont="0" applyAlignment="0" applyProtection="0"/>
    <xf numFmtId="0" fontId="33" fillId="37" borderId="260"/>
    <xf numFmtId="0" fontId="1" fillId="27" borderId="0" applyNumberFormat="0" applyBorder="0" applyAlignment="0" applyProtection="0"/>
    <xf numFmtId="4" fontId="33" fillId="37" borderId="260"/>
    <xf numFmtId="0" fontId="56" fillId="46" borderId="283" applyNumberFormat="0" applyAlignment="0" applyProtection="0"/>
    <xf numFmtId="0" fontId="1" fillId="19" borderId="0" applyNumberFormat="0" applyBorder="0" applyAlignment="0" applyProtection="0"/>
    <xf numFmtId="0" fontId="56" fillId="46" borderId="283" applyNumberFormat="0" applyAlignment="0" applyProtection="0"/>
    <xf numFmtId="0" fontId="33" fillId="38" borderId="276">
      <alignment horizontal="left" vertical="center" wrapText="1" indent="2"/>
    </xf>
    <xf numFmtId="0" fontId="4" fillId="20" borderId="0" applyNumberFormat="0" applyBorder="0" applyAlignment="0" applyProtection="0"/>
    <xf numFmtId="0" fontId="44" fillId="59" borderId="257" applyNumberFormat="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4" fillId="32" borderId="0" applyNumberFormat="0" applyBorder="0" applyAlignment="0" applyProtection="0"/>
    <xf numFmtId="0" fontId="1" fillId="30"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4" fillId="20" borderId="0" applyNumberFormat="0" applyBorder="0" applyAlignment="0" applyProtection="0"/>
    <xf numFmtId="0" fontId="27" fillId="0" borderId="0" applyNumberFormat="0" applyFill="0" applyBorder="0" applyAlignment="0" applyProtection="0"/>
    <xf numFmtId="0" fontId="33" fillId="37" borderId="273"/>
    <xf numFmtId="0" fontId="4" fillId="32" borderId="0" applyNumberFormat="0" applyBorder="0" applyAlignment="0" applyProtection="0"/>
    <xf numFmtId="0" fontId="47" fillId="46" borderId="296" applyNumberFormat="0" applyAlignment="0" applyProtection="0"/>
    <xf numFmtId="0" fontId="48" fillId="0" borderId="258" applyNumberFormat="0" applyFill="0" applyAlignment="0" applyProtection="0"/>
    <xf numFmtId="4" fontId="82" fillId="0" borderId="246" applyNumberFormat="0" applyFont="0" applyFill="0" applyAlignment="0" applyProtection="0"/>
    <xf numFmtId="0" fontId="4" fillId="35" borderId="0" applyNumberFormat="0" applyBorder="0" applyAlignment="0" applyProtection="0"/>
    <xf numFmtId="0" fontId="48" fillId="0" borderId="271" applyNumberFormat="0" applyFill="0" applyAlignment="0" applyProtection="0"/>
    <xf numFmtId="4" fontId="33" fillId="0" borderId="286" applyFill="0" applyBorder="0" applyProtection="0">
      <alignment horizontal="right" vertical="center"/>
    </xf>
    <xf numFmtId="0" fontId="33" fillId="0" borderId="286">
      <alignment horizontal="right" vertical="center"/>
    </xf>
    <xf numFmtId="0" fontId="44" fillId="59" borderId="270" applyNumberFormat="0" applyAlignment="0" applyProtection="0"/>
    <xf numFmtId="0" fontId="31" fillId="38" borderId="260">
      <alignment horizontal="right" vertical="center"/>
    </xf>
    <xf numFmtId="0" fontId="63" fillId="0" borderId="284" applyNumberFormat="0" applyFill="0" applyAlignment="0" applyProtection="0"/>
    <xf numFmtId="0" fontId="31" fillId="38" borderId="299">
      <alignment horizontal="right" vertical="center"/>
    </xf>
    <xf numFmtId="0" fontId="31" fillId="38" borderId="288">
      <alignment horizontal="right" vertical="center"/>
    </xf>
    <xf numFmtId="4" fontId="33" fillId="0" borderId="260">
      <alignment horizontal="right" vertical="center"/>
    </xf>
    <xf numFmtId="0" fontId="44" fillId="59" borderId="257" applyNumberFormat="0" applyAlignment="0" applyProtection="0"/>
    <xf numFmtId="0" fontId="1" fillId="34" borderId="0" applyNumberFormat="0" applyBorder="0" applyAlignment="0" applyProtection="0"/>
    <xf numFmtId="0" fontId="27" fillId="0" borderId="0" applyNumberFormat="0" applyFill="0" applyBorder="0" applyAlignment="0" applyProtection="0"/>
    <xf numFmtId="0" fontId="3" fillId="0" borderId="23" applyNumberFormat="0" applyFill="0" applyAlignment="0" applyProtection="0"/>
    <xf numFmtId="198" fontId="19" fillId="82" borderId="260">
      <alignment horizontal="right"/>
      <protection locked="0"/>
    </xf>
    <xf numFmtId="0" fontId="31" fillId="38" borderId="275">
      <alignment horizontal="right" vertical="center"/>
    </xf>
    <xf numFmtId="0" fontId="33" fillId="37" borderId="286"/>
    <xf numFmtId="4" fontId="33" fillId="0" borderId="273">
      <alignment horizontal="right" vertical="center"/>
    </xf>
    <xf numFmtId="4" fontId="35" fillId="36" borderId="299">
      <alignment horizontal="right" vertical="center"/>
    </xf>
    <xf numFmtId="0" fontId="33" fillId="0" borderId="276">
      <alignment horizontal="left" vertical="center" wrapText="1" indent="2"/>
    </xf>
    <xf numFmtId="0" fontId="1" fillId="21" borderId="0" applyNumberFormat="0" applyBorder="0" applyAlignment="0" applyProtection="0"/>
    <xf numFmtId="4" fontId="31" fillId="36" borderId="299">
      <alignment horizontal="right" vertical="center"/>
    </xf>
    <xf numFmtId="0" fontId="33" fillId="0" borderId="276">
      <alignment horizontal="left" vertical="center" wrapText="1" indent="2"/>
    </xf>
    <xf numFmtId="0" fontId="1" fillId="21" borderId="0" applyNumberFormat="0" applyBorder="0" applyAlignment="0" applyProtection="0"/>
    <xf numFmtId="0" fontId="1" fillId="21" borderId="0" applyNumberFormat="0" applyBorder="0" applyAlignment="0" applyProtection="0"/>
    <xf numFmtId="49" fontId="32" fillId="0" borderId="286" applyNumberFormat="0" applyFill="0" applyBorder="0" applyProtection="0">
      <alignment horizontal="left" vertical="center"/>
    </xf>
    <xf numFmtId="4" fontId="31" fillId="38" borderId="288">
      <alignment horizontal="right" vertical="center"/>
    </xf>
    <xf numFmtId="0" fontId="56" fillId="46" borderId="270" applyNumberFormat="0" applyAlignment="0" applyProtection="0"/>
    <xf numFmtId="0" fontId="31" fillId="36" borderId="286">
      <alignment horizontal="right" vertical="center"/>
    </xf>
    <xf numFmtId="0" fontId="1" fillId="28" borderId="0" applyNumberFormat="0" applyBorder="0" applyAlignment="0" applyProtection="0"/>
    <xf numFmtId="0" fontId="38" fillId="62" borderId="272" applyNumberFormat="0" applyFont="0" applyAlignment="0" applyProtection="0"/>
    <xf numFmtId="0" fontId="31" fillId="38" borderId="274">
      <alignment horizontal="right" vertical="center"/>
    </xf>
    <xf numFmtId="0" fontId="19" fillId="62" borderId="285" applyNumberFormat="0" applyFont="0" applyAlignment="0" applyProtection="0"/>
    <xf numFmtId="0" fontId="35" fillId="36" borderId="286">
      <alignment horizontal="right" vertical="center"/>
    </xf>
    <xf numFmtId="0" fontId="38" fillId="62" borderId="272" applyNumberFormat="0" applyFont="0" applyAlignment="0" applyProtection="0"/>
    <xf numFmtId="0" fontId="4" fillId="29" borderId="0" applyNumberFormat="0" applyBorder="0" applyAlignment="0" applyProtection="0"/>
    <xf numFmtId="0" fontId="44" fillId="59" borderId="270" applyNumberFormat="0" applyAlignment="0" applyProtection="0"/>
    <xf numFmtId="0" fontId="3" fillId="0" borderId="23" applyNumberFormat="0" applyFill="0" applyAlignment="0" applyProtection="0"/>
    <xf numFmtId="4" fontId="31" fillId="38" borderId="300">
      <alignment horizontal="right" vertical="center"/>
    </xf>
    <xf numFmtId="0" fontId="41" fillId="59" borderId="269" applyNumberFormat="0" applyAlignment="0" applyProtection="0"/>
    <xf numFmtId="49" fontId="33" fillId="0" borderId="300" applyNumberFormat="0" applyFont="0" applyFill="0" applyBorder="0" applyProtection="0">
      <alignment horizontal="left" vertical="center" indent="5"/>
    </xf>
    <xf numFmtId="0" fontId="56" fillId="46" borderId="270" applyNumberFormat="0" applyAlignment="0" applyProtection="0"/>
    <xf numFmtId="49" fontId="32" fillId="0" borderId="260" applyNumberFormat="0" applyFill="0" applyBorder="0" applyProtection="0">
      <alignment horizontal="left" vertical="center"/>
    </xf>
    <xf numFmtId="0" fontId="56" fillId="46" borderId="257" applyNumberFormat="0" applyAlignment="0" applyProtection="0"/>
    <xf numFmtId="0" fontId="44" fillId="59" borderId="257" applyNumberFormat="0" applyAlignment="0" applyProtection="0"/>
    <xf numFmtId="0" fontId="63" fillId="0" borderId="258" applyNumberFormat="0" applyFill="0" applyAlignment="0" applyProtection="0"/>
    <xf numFmtId="0" fontId="26" fillId="17" borderId="10" applyNumberFormat="0" applyAlignment="0" applyProtection="0"/>
    <xf numFmtId="4" fontId="33" fillId="0" borderId="260" applyFill="0" applyBorder="0" applyProtection="0">
      <alignment horizontal="right" vertical="center"/>
    </xf>
    <xf numFmtId="4" fontId="31" fillId="38" borderId="260">
      <alignment horizontal="right" vertical="center"/>
    </xf>
    <xf numFmtId="0" fontId="47" fillId="46" borderId="296" applyNumberFormat="0" applyAlignment="0" applyProtection="0"/>
    <xf numFmtId="0" fontId="4" fillId="26" borderId="0" applyNumberFormat="0" applyBorder="0" applyAlignment="0" applyProtection="0"/>
    <xf numFmtId="0" fontId="28" fillId="0" borderId="0" applyNumberFormat="0" applyFill="0" applyBorder="0" applyAlignment="0" applyProtection="0"/>
    <xf numFmtId="0" fontId="56" fillId="46" borderId="257" applyNumberFormat="0" applyAlignment="0" applyProtection="0"/>
    <xf numFmtId="4" fontId="31" fillId="36" borderId="260">
      <alignment horizontal="right" vertical="center"/>
    </xf>
    <xf numFmtId="0" fontId="33" fillId="38" borderId="263">
      <alignment horizontal="left" vertical="center" wrapText="1" indent="2"/>
    </xf>
    <xf numFmtId="0" fontId="56" fillId="46" borderId="257" applyNumberFormat="0" applyAlignment="0" applyProtection="0"/>
    <xf numFmtId="0" fontId="31" fillId="38" borderId="260">
      <alignment horizontal="right" vertical="center"/>
    </xf>
    <xf numFmtId="177" fontId="33" fillId="63" borderId="260" applyNumberFormat="0" applyFont="0" applyBorder="0" applyAlignment="0" applyProtection="0">
      <alignment horizontal="right" vertical="center"/>
    </xf>
    <xf numFmtId="0" fontId="41" fillId="59" borderId="256" applyNumberFormat="0" applyAlignment="0" applyProtection="0"/>
    <xf numFmtId="49" fontId="33" fillId="0" borderId="260" applyNumberFormat="0" applyFont="0" applyFill="0" applyBorder="0" applyProtection="0">
      <alignment horizontal="left" vertical="center" indent="2"/>
    </xf>
    <xf numFmtId="0" fontId="4" fillId="20" borderId="0" applyNumberFormat="0" applyBorder="0" applyAlignment="0" applyProtection="0"/>
    <xf numFmtId="0" fontId="1" fillId="27" borderId="0" applyNumberFormat="0" applyBorder="0" applyAlignment="0" applyProtection="0"/>
    <xf numFmtId="0" fontId="38" fillId="62" borderId="285" applyNumberFormat="0" applyFont="0" applyAlignment="0" applyProtection="0"/>
    <xf numFmtId="0" fontId="1" fillId="25" borderId="0" applyNumberFormat="0" applyBorder="0" applyAlignment="0" applyProtection="0"/>
    <xf numFmtId="0" fontId="4" fillId="26"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24" borderId="0" applyNumberFormat="0" applyBorder="0" applyAlignment="0" applyProtection="0"/>
    <xf numFmtId="0" fontId="41" fillId="59" borderId="295" applyNumberFormat="0" applyAlignment="0" applyProtection="0"/>
    <xf numFmtId="49" fontId="33" fillId="0" borderId="261" applyNumberFormat="0" applyFont="0" applyFill="0" applyBorder="0" applyProtection="0">
      <alignment horizontal="left" vertical="center" indent="5"/>
    </xf>
    <xf numFmtId="0" fontId="31" fillId="38" borderId="274">
      <alignment horizontal="right" vertical="center"/>
    </xf>
    <xf numFmtId="0" fontId="33" fillId="0" borderId="273">
      <alignment horizontal="right" vertical="center"/>
    </xf>
    <xf numFmtId="0" fontId="44" fillId="59" borderId="270" applyNumberFormat="0" applyAlignment="0" applyProtection="0"/>
    <xf numFmtId="0" fontId="1" fillId="22" borderId="0" applyNumberFormat="0" applyBorder="0" applyAlignment="0" applyProtection="0"/>
    <xf numFmtId="0" fontId="33" fillId="0" borderId="289">
      <alignment horizontal="left" vertical="center" wrapText="1" indent="2"/>
    </xf>
    <xf numFmtId="0" fontId="48" fillId="0" borderId="258" applyNumberFormat="0" applyFill="0" applyAlignment="0" applyProtection="0"/>
    <xf numFmtId="0" fontId="4" fillId="35" borderId="0" applyNumberFormat="0" applyBorder="0" applyAlignment="0" applyProtection="0"/>
    <xf numFmtId="0" fontId="33" fillId="0" borderId="260">
      <alignment horizontal="right" vertical="center"/>
    </xf>
    <xf numFmtId="0" fontId="31" fillId="38" borderId="261">
      <alignment horizontal="right" vertical="center"/>
    </xf>
    <xf numFmtId="0" fontId="38" fillId="62" borderId="259" applyNumberFormat="0" applyFont="0" applyAlignment="0" applyProtection="0"/>
    <xf numFmtId="0" fontId="56" fillId="46" borderId="257" applyNumberFormat="0" applyAlignment="0" applyProtection="0"/>
    <xf numFmtId="4" fontId="33" fillId="0" borderId="260" applyFill="0" applyBorder="0" applyProtection="0">
      <alignment horizontal="right" vertical="center"/>
    </xf>
    <xf numFmtId="4" fontId="31" fillId="36" borderId="260">
      <alignment horizontal="right" vertical="center"/>
    </xf>
    <xf numFmtId="4" fontId="35" fillId="36" borderId="286">
      <alignment horizontal="right" vertical="center"/>
    </xf>
    <xf numFmtId="4" fontId="31" fillId="38" borderId="273">
      <alignment horizontal="right" vertical="center"/>
    </xf>
    <xf numFmtId="4" fontId="31" fillId="38" borderId="287">
      <alignment horizontal="right" vertical="center"/>
    </xf>
    <xf numFmtId="0" fontId="1" fillId="25" borderId="0" applyNumberFormat="0" applyBorder="0" applyAlignment="0" applyProtection="0"/>
    <xf numFmtId="0" fontId="47" fillId="46" borderId="270" applyNumberFormat="0" applyAlignment="0" applyProtection="0"/>
    <xf numFmtId="0" fontId="43" fillId="59" borderId="270" applyNumberFormat="0" applyAlignment="0" applyProtection="0"/>
    <xf numFmtId="49" fontId="33" fillId="0" borderId="274" applyNumberFormat="0" applyFont="0" applyFill="0" applyBorder="0" applyProtection="0">
      <alignment horizontal="left" vertical="center" indent="5"/>
    </xf>
    <xf numFmtId="0" fontId="41" fillId="59" borderId="269" applyNumberFormat="0" applyAlignment="0" applyProtection="0"/>
    <xf numFmtId="0" fontId="48" fillId="0" borderId="271" applyNumberFormat="0" applyFill="0" applyAlignment="0" applyProtection="0"/>
    <xf numFmtId="0" fontId="44" fillId="59" borderId="283" applyNumberFormat="0" applyAlignment="0" applyProtection="0"/>
    <xf numFmtId="0" fontId="33" fillId="38" borderId="289">
      <alignment horizontal="left" vertical="center" wrapText="1" indent="2"/>
    </xf>
    <xf numFmtId="0" fontId="60" fillId="59" borderId="282" applyNumberFormat="0" applyAlignment="0" applyProtection="0"/>
    <xf numFmtId="0" fontId="1" fillId="27" borderId="0" applyNumberFormat="0" applyBorder="0" applyAlignment="0" applyProtection="0"/>
    <xf numFmtId="0" fontId="33" fillId="36" borderId="287">
      <alignment horizontal="left" vertical="center"/>
    </xf>
    <xf numFmtId="0" fontId="19" fillId="62" borderId="285" applyNumberFormat="0" applyFont="0" applyAlignment="0" applyProtection="0"/>
    <xf numFmtId="0" fontId="33" fillId="0" borderId="276">
      <alignment horizontal="left" vertical="center" wrapText="1" indent="2"/>
    </xf>
    <xf numFmtId="0" fontId="33" fillId="0" borderId="299" applyNumberFormat="0" applyFill="0" applyAlignment="0" applyProtection="0"/>
    <xf numFmtId="0" fontId="79" fillId="15" borderId="257" applyNumberFormat="0" applyAlignment="0" applyProtection="0"/>
    <xf numFmtId="0" fontId="1" fillId="21" borderId="0" applyNumberFormat="0" applyBorder="0" applyAlignment="0" applyProtection="0"/>
    <xf numFmtId="4" fontId="82" fillId="0" borderId="248" applyNumberFormat="0" applyFont="0" applyFill="0" applyAlignment="0" applyProtection="0"/>
    <xf numFmtId="2" fontId="80" fillId="1" borderId="247" applyNumberFormat="0" applyBorder="0" applyProtection="0">
      <alignment horizontal="left"/>
    </xf>
    <xf numFmtId="0" fontId="1" fillId="27" borderId="0" applyNumberFormat="0" applyBorder="0" applyAlignment="0" applyProtection="0"/>
    <xf numFmtId="0" fontId="4" fillId="26" borderId="0" applyNumberFormat="0" applyBorder="0" applyAlignment="0" applyProtection="0"/>
    <xf numFmtId="0" fontId="1" fillId="22" borderId="0" applyNumberFormat="0" applyBorder="0" applyAlignment="0" applyProtection="0"/>
    <xf numFmtId="0" fontId="38" fillId="62" borderId="259" applyNumberFormat="0" applyFont="0" applyAlignment="0" applyProtection="0"/>
    <xf numFmtId="183" fontId="124" fillId="62" borderId="277" applyNumberFormat="0" applyFont="0" applyAlignment="0" applyProtection="0"/>
    <xf numFmtId="0" fontId="4" fillId="20" borderId="0" applyNumberFormat="0" applyBorder="0" applyAlignment="0" applyProtection="0"/>
    <xf numFmtId="49" fontId="33" fillId="0" borderId="261" applyNumberFormat="0" applyFont="0" applyFill="0" applyBorder="0" applyProtection="0">
      <alignment horizontal="left" vertical="center" indent="5"/>
    </xf>
    <xf numFmtId="4" fontId="82" fillId="0" borderId="248" applyNumberFormat="0" applyFont="0" applyFill="0" applyAlignment="0" applyProtection="0"/>
    <xf numFmtId="0" fontId="4" fillId="32" borderId="0" applyNumberFormat="0" applyBorder="0" applyAlignment="0" applyProtection="0"/>
    <xf numFmtId="0" fontId="44" fillId="59" borderId="257" applyNumberFormat="0" applyAlignment="0" applyProtection="0"/>
    <xf numFmtId="0" fontId="1" fillId="28" borderId="0" applyNumberFormat="0" applyBorder="0" applyAlignment="0" applyProtection="0"/>
    <xf numFmtId="4" fontId="33" fillId="0" borderId="273" applyFill="0" applyBorder="0" applyProtection="0">
      <alignment horizontal="right" vertical="center"/>
    </xf>
    <xf numFmtId="0" fontId="4" fillId="29" borderId="0" applyNumberFormat="0" applyBorder="0" applyAlignment="0" applyProtection="0"/>
    <xf numFmtId="0" fontId="4" fillId="26" borderId="0" applyNumberFormat="0" applyBorder="0" applyAlignment="0" applyProtection="0"/>
    <xf numFmtId="0" fontId="31" fillId="38" borderId="288">
      <alignment horizontal="right" vertical="center"/>
    </xf>
    <xf numFmtId="4" fontId="31" fillId="36" borderId="286">
      <alignment horizontal="right" vertical="center"/>
    </xf>
    <xf numFmtId="0" fontId="33" fillId="0" borderId="263">
      <alignment horizontal="left" vertical="center" wrapText="1" indent="2"/>
    </xf>
    <xf numFmtId="0" fontId="1" fillId="25" borderId="0" applyNumberFormat="0" applyBorder="0" applyAlignment="0" applyProtection="0"/>
    <xf numFmtId="0" fontId="33" fillId="0" borderId="289">
      <alignment horizontal="left" vertical="center" wrapText="1" indent="2"/>
    </xf>
    <xf numFmtId="49" fontId="32" fillId="0" borderId="299" applyNumberFormat="0" applyFill="0" applyBorder="0" applyProtection="0">
      <alignment horizontal="left" vertical="center"/>
    </xf>
    <xf numFmtId="0" fontId="56" fillId="46" borderId="257" applyNumberFormat="0" applyAlignment="0" applyProtection="0"/>
    <xf numFmtId="0" fontId="41" fillId="59" borderId="256" applyNumberFormat="0" applyAlignment="0" applyProtection="0"/>
    <xf numFmtId="49" fontId="33" fillId="0" borderId="260" applyNumberFormat="0" applyFont="0" applyFill="0" applyBorder="0" applyProtection="0">
      <alignment horizontal="left" vertical="center" indent="2"/>
    </xf>
    <xf numFmtId="0" fontId="47" fillId="46" borderId="257" applyNumberFormat="0" applyAlignment="0" applyProtection="0"/>
    <xf numFmtId="4" fontId="33" fillId="0" borderId="260" applyFill="0" applyBorder="0" applyProtection="0">
      <alignment horizontal="right" vertical="center"/>
    </xf>
    <xf numFmtId="0" fontId="44" fillId="59" borderId="257" applyNumberFormat="0" applyAlignment="0" applyProtection="0"/>
    <xf numFmtId="0" fontId="48" fillId="0" borderId="258" applyNumberFormat="0" applyFill="0" applyAlignment="0" applyProtection="0"/>
    <xf numFmtId="0" fontId="63" fillId="0" borderId="258" applyNumberFormat="0" applyFill="0" applyAlignment="0" applyProtection="0"/>
    <xf numFmtId="0" fontId="19" fillId="62" borderId="259" applyNumberFormat="0" applyFont="0" applyAlignment="0" applyProtection="0"/>
    <xf numFmtId="0" fontId="60" fillId="59" borderId="256" applyNumberFormat="0" applyAlignment="0" applyProtection="0"/>
    <xf numFmtId="4" fontId="31" fillId="38" borderId="262">
      <alignment horizontal="right" vertical="center"/>
    </xf>
    <xf numFmtId="0" fontId="43" fillId="59" borderId="257" applyNumberFormat="0" applyAlignment="0" applyProtection="0"/>
    <xf numFmtId="177" fontId="33" fillId="63" borderId="260" applyNumberFormat="0" applyFont="0" applyBorder="0" applyAlignment="0" applyProtection="0">
      <alignment horizontal="right" vertical="center"/>
    </xf>
    <xf numFmtId="0" fontId="33" fillId="0" borderId="260" applyNumberFormat="0" applyFill="0" applyAlignment="0" applyProtection="0"/>
    <xf numFmtId="4" fontId="33" fillId="0" borderId="260" applyFill="0" applyBorder="0" applyProtection="0">
      <alignment horizontal="right" vertical="center"/>
    </xf>
    <xf numFmtId="0" fontId="56" fillId="46" borderId="257" applyNumberFormat="0" applyAlignment="0" applyProtection="0"/>
    <xf numFmtId="0" fontId="43" fillId="59" borderId="257" applyNumberFormat="0" applyAlignment="0" applyProtection="0"/>
    <xf numFmtId="0" fontId="33" fillId="0" borderId="263">
      <alignment horizontal="left" vertical="center" wrapText="1" indent="2"/>
    </xf>
    <xf numFmtId="0" fontId="33" fillId="0" borderId="263">
      <alignment horizontal="left" vertical="center" wrapText="1" indent="2"/>
    </xf>
    <xf numFmtId="0" fontId="41" fillId="59" borderId="256" applyNumberFormat="0" applyAlignment="0" applyProtection="0"/>
    <xf numFmtId="0" fontId="44" fillId="59" borderId="257" applyNumberFormat="0" applyAlignment="0" applyProtection="0"/>
    <xf numFmtId="0" fontId="47" fillId="46" borderId="257" applyNumberFormat="0" applyAlignment="0" applyProtection="0"/>
    <xf numFmtId="0" fontId="56" fillId="46" borderId="257" applyNumberFormat="0" applyAlignment="0" applyProtection="0"/>
    <xf numFmtId="0" fontId="38" fillId="62" borderId="259" applyNumberFormat="0" applyFont="0" applyAlignment="0" applyProtection="0"/>
    <xf numFmtId="0" fontId="60" fillId="59" borderId="256" applyNumberFormat="0" applyAlignment="0" applyProtection="0"/>
    <xf numFmtId="0" fontId="44" fillId="59" borderId="257" applyNumberFormat="0" applyAlignment="0" applyProtection="0"/>
    <xf numFmtId="0" fontId="38" fillId="62" borderId="259" applyNumberFormat="0" applyFont="0" applyAlignment="0" applyProtection="0"/>
    <xf numFmtId="0" fontId="63" fillId="0" borderId="258" applyNumberFormat="0" applyFill="0" applyAlignment="0" applyProtection="0"/>
    <xf numFmtId="4" fontId="33" fillId="0" borderId="273">
      <alignment horizontal="right" vertical="center"/>
    </xf>
    <xf numFmtId="0" fontId="19" fillId="62" borderId="272" applyNumberFormat="0" applyFont="0" applyAlignment="0" applyProtection="0"/>
    <xf numFmtId="0" fontId="35" fillId="36" borderId="286">
      <alignment horizontal="right" vertical="center"/>
    </xf>
    <xf numFmtId="0" fontId="60" fillId="59" borderId="256" applyNumberFormat="0" applyAlignment="0" applyProtection="0"/>
    <xf numFmtId="0" fontId="27" fillId="0" borderId="0" applyNumberFormat="0" applyFill="0" applyBorder="0" applyAlignment="0" applyProtection="0"/>
    <xf numFmtId="0" fontId="43" fillId="59" borderId="257" applyNumberFormat="0" applyAlignment="0" applyProtection="0"/>
    <xf numFmtId="0" fontId="48" fillId="0" borderId="258" applyNumberFormat="0" applyFill="0" applyAlignment="0" applyProtection="0"/>
    <xf numFmtId="49" fontId="33" fillId="0" borderId="260" applyNumberFormat="0" applyFont="0" applyFill="0" applyBorder="0" applyProtection="0">
      <alignment horizontal="left" vertical="center" indent="2"/>
    </xf>
    <xf numFmtId="0" fontId="31" fillId="36" borderId="260">
      <alignment horizontal="right" vertical="center"/>
    </xf>
    <xf numFmtId="4" fontId="31" fillId="36" borderId="260">
      <alignment horizontal="right" vertical="center"/>
    </xf>
    <xf numFmtId="0" fontId="35" fillId="36" borderId="260">
      <alignment horizontal="right" vertical="center"/>
    </xf>
    <xf numFmtId="0" fontId="31" fillId="38" borderId="260">
      <alignment horizontal="right" vertical="center"/>
    </xf>
    <xf numFmtId="4" fontId="31" fillId="38" borderId="260">
      <alignment horizontal="right" vertical="center"/>
    </xf>
    <xf numFmtId="4" fontId="31" fillId="38" borderId="260">
      <alignment horizontal="right" vertical="center"/>
    </xf>
    <xf numFmtId="0" fontId="43" fillId="59" borderId="257" applyNumberFormat="0" applyAlignment="0" applyProtection="0"/>
    <xf numFmtId="4" fontId="31" fillId="38" borderId="261">
      <alignment horizontal="right" vertical="center"/>
    </xf>
    <xf numFmtId="0" fontId="33" fillId="37" borderId="260"/>
    <xf numFmtId="0" fontId="33" fillId="0" borderId="260" applyNumberFormat="0" applyFill="0" applyAlignment="0" applyProtection="0"/>
    <xf numFmtId="4" fontId="31" fillId="36" borderId="260">
      <alignment horizontal="right" vertical="center"/>
    </xf>
    <xf numFmtId="0" fontId="33" fillId="0" borderId="263">
      <alignment horizontal="left" vertical="center" wrapText="1" indent="2"/>
    </xf>
    <xf numFmtId="0" fontId="31" fillId="38" borderId="262">
      <alignment horizontal="right" vertical="center"/>
    </xf>
    <xf numFmtId="0" fontId="31" fillId="38" borderId="262">
      <alignment horizontal="right" vertical="center"/>
    </xf>
    <xf numFmtId="0" fontId="31" fillId="38" borderId="260">
      <alignment horizontal="right" vertical="center"/>
    </xf>
    <xf numFmtId="0" fontId="43" fillId="59" borderId="257" applyNumberFormat="0" applyAlignment="0" applyProtection="0"/>
    <xf numFmtId="4" fontId="31" fillId="38" borderId="260">
      <alignment horizontal="right" vertical="center"/>
    </xf>
    <xf numFmtId="0" fontId="47" fillId="46" borderId="257" applyNumberFormat="0" applyAlignment="0" applyProtection="0"/>
    <xf numFmtId="4" fontId="33" fillId="0" borderId="260">
      <alignment horizontal="right" vertical="center"/>
    </xf>
    <xf numFmtId="0" fontId="33" fillId="0" borderId="263">
      <alignment horizontal="left" vertical="center" wrapText="1" indent="2"/>
    </xf>
    <xf numFmtId="0" fontId="60" fillId="59" borderId="256" applyNumberFormat="0" applyAlignment="0" applyProtection="0"/>
    <xf numFmtId="0" fontId="56" fillId="46" borderId="257" applyNumberFormat="0" applyAlignment="0" applyProtection="0"/>
    <xf numFmtId="4" fontId="31" fillId="38" borderId="260">
      <alignment horizontal="right" vertical="center"/>
    </xf>
    <xf numFmtId="0" fontId="33" fillId="0" borderId="260">
      <alignment horizontal="right" vertical="center"/>
    </xf>
    <xf numFmtId="49" fontId="33" fillId="0" borderId="261" applyNumberFormat="0" applyFont="0" applyFill="0" applyBorder="0" applyProtection="0">
      <alignment horizontal="left" vertical="center" indent="5"/>
    </xf>
    <xf numFmtId="0" fontId="38" fillId="62" borderId="259" applyNumberFormat="0" applyFont="0" applyAlignment="0" applyProtection="0"/>
    <xf numFmtId="0" fontId="35" fillId="36" borderId="260">
      <alignment horizontal="right" vertical="center"/>
    </xf>
    <xf numFmtId="4" fontId="31" fillId="38" borderId="262">
      <alignment horizontal="right" vertical="center"/>
    </xf>
    <xf numFmtId="0" fontId="56" fillId="46" borderId="257" applyNumberFormat="0" applyAlignment="0" applyProtection="0"/>
    <xf numFmtId="49" fontId="33" fillId="0" borderId="260" applyNumberFormat="0" applyFont="0" applyFill="0" applyBorder="0" applyProtection="0">
      <alignment horizontal="left" vertical="center" indent="2"/>
    </xf>
    <xf numFmtId="4" fontId="33" fillId="0" borderId="260">
      <alignment horizontal="right" vertical="center"/>
    </xf>
    <xf numFmtId="4" fontId="31" fillId="36" borderId="260">
      <alignment horizontal="right" vertical="center"/>
    </xf>
    <xf numFmtId="0" fontId="19" fillId="62" borderId="259" applyNumberFormat="0" applyFont="0" applyAlignment="0" applyProtection="0"/>
    <xf numFmtId="0" fontId="44" fillId="59" borderId="257" applyNumberFormat="0" applyAlignment="0" applyProtection="0"/>
    <xf numFmtId="0" fontId="60" fillId="59" borderId="256" applyNumberFormat="0" applyAlignment="0" applyProtection="0"/>
    <xf numFmtId="0" fontId="48" fillId="0" borderId="258" applyNumberFormat="0" applyFill="0" applyAlignment="0" applyProtection="0"/>
    <xf numFmtId="0" fontId="31" fillId="38" borderId="260">
      <alignment horizontal="right" vertical="center"/>
    </xf>
    <xf numFmtId="0" fontId="33" fillId="0" borderId="263">
      <alignment horizontal="left" vertical="center" wrapText="1" indent="2"/>
    </xf>
    <xf numFmtId="4" fontId="31" fillId="38" borderId="262">
      <alignment horizontal="right" vertical="center"/>
    </xf>
    <xf numFmtId="0" fontId="3" fillId="0" borderId="23" applyNumberFormat="0" applyFill="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3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6" fillId="46" borderId="257" applyNumberFormat="0" applyAlignment="0" applyProtection="0"/>
    <xf numFmtId="0" fontId="28" fillId="0" borderId="0" applyNumberFormat="0" applyFill="0" applyBorder="0" applyAlignment="0" applyProtection="0"/>
    <xf numFmtId="177" fontId="33" fillId="63" borderId="260" applyNumberFormat="0" applyFont="0" applyBorder="0" applyAlignment="0" applyProtection="0">
      <alignment horizontal="right" vertical="center"/>
    </xf>
    <xf numFmtId="0" fontId="19" fillId="62" borderId="259" applyNumberFormat="0" applyFont="0" applyAlignment="0" applyProtection="0"/>
    <xf numFmtId="0" fontId="33" fillId="0" borderId="263">
      <alignment horizontal="left" vertical="center" wrapText="1" indent="2"/>
    </xf>
    <xf numFmtId="0" fontId="1" fillId="27" borderId="0" applyNumberFormat="0" applyBorder="0" applyAlignment="0" applyProtection="0"/>
    <xf numFmtId="0" fontId="63" fillId="0" borderId="258" applyNumberFormat="0" applyFill="0" applyAlignment="0" applyProtection="0"/>
    <xf numFmtId="0" fontId="43" fillId="59" borderId="257" applyNumberFormat="0" applyAlignment="0" applyProtection="0"/>
    <xf numFmtId="0" fontId="33" fillId="0" borderId="260" applyNumberFormat="0" applyFill="0" applyAlignment="0" applyProtection="0"/>
    <xf numFmtId="49" fontId="33" fillId="0" borderId="260" applyNumberFormat="0" applyFont="0" applyFill="0" applyBorder="0" applyProtection="0">
      <alignment horizontal="left" vertical="center" indent="2"/>
    </xf>
    <xf numFmtId="4" fontId="35" fillId="36" borderId="260">
      <alignment horizontal="right" vertical="center"/>
    </xf>
    <xf numFmtId="0" fontId="56" fillId="46" borderId="257" applyNumberFormat="0" applyAlignment="0" applyProtection="0"/>
    <xf numFmtId="0" fontId="31" fillId="36" borderId="260">
      <alignment horizontal="right" vertical="center"/>
    </xf>
    <xf numFmtId="0" fontId="31" fillId="38" borderId="261">
      <alignment horizontal="right" vertical="center"/>
    </xf>
    <xf numFmtId="4" fontId="31" fillId="38" borderId="261">
      <alignment horizontal="right" vertical="center"/>
    </xf>
    <xf numFmtId="4" fontId="33" fillId="37" borderId="260"/>
    <xf numFmtId="0" fontId="33" fillId="0" borderId="260">
      <alignment horizontal="right" vertical="center"/>
    </xf>
    <xf numFmtId="0" fontId="1" fillId="24" borderId="0" applyNumberFormat="0" applyBorder="0" applyAlignment="0" applyProtection="0"/>
    <xf numFmtId="0" fontId="25" fillId="17" borderId="22" applyNumberFormat="0" applyAlignment="0" applyProtection="0"/>
    <xf numFmtId="0" fontId="43" fillId="59" borderId="257" applyNumberFormat="0" applyAlignment="0" applyProtection="0"/>
    <xf numFmtId="4" fontId="33" fillId="0" borderId="260" applyFill="0" applyBorder="0" applyProtection="0">
      <alignment horizontal="right" vertical="center"/>
    </xf>
    <xf numFmtId="0" fontId="48" fillId="0" borderId="258" applyNumberFormat="0" applyFill="0" applyAlignment="0" applyProtection="0"/>
    <xf numFmtId="0" fontId="4" fillId="35" borderId="0" applyNumberFormat="0" applyBorder="0" applyAlignment="0" applyProtection="0"/>
    <xf numFmtId="49" fontId="33" fillId="0" borderId="260" applyNumberFormat="0" applyFont="0" applyFill="0" applyBorder="0" applyProtection="0">
      <alignment horizontal="left" vertical="center" indent="2"/>
    </xf>
    <xf numFmtId="0" fontId="31" fillId="38" borderId="260">
      <alignment horizontal="right" vertical="center"/>
    </xf>
    <xf numFmtId="0" fontId="33" fillId="0" borderId="263">
      <alignment horizontal="left" vertical="center" wrapText="1" indent="2"/>
    </xf>
    <xf numFmtId="0" fontId="33" fillId="38" borderId="263">
      <alignment horizontal="left" vertical="center" wrapText="1" indent="2"/>
    </xf>
    <xf numFmtId="4" fontId="31" fillId="38" borderId="260">
      <alignment horizontal="right" vertical="center"/>
    </xf>
    <xf numFmtId="0" fontId="44" fillId="59" borderId="257" applyNumberFormat="0" applyAlignment="0" applyProtection="0"/>
    <xf numFmtId="0" fontId="48" fillId="0" borderId="258" applyNumberFormat="0" applyFill="0" applyAlignment="0" applyProtection="0"/>
    <xf numFmtId="4" fontId="31" fillId="38" borderId="260">
      <alignment horizontal="right" vertical="center"/>
    </xf>
    <xf numFmtId="4" fontId="31" fillId="38" borderId="262">
      <alignment horizontal="right" vertical="center"/>
    </xf>
    <xf numFmtId="0" fontId="26" fillId="17" borderId="10" applyNumberFormat="0" applyAlignment="0" applyProtection="0"/>
    <xf numFmtId="0" fontId="35" fillId="36" borderId="260">
      <alignment horizontal="right" vertical="center"/>
    </xf>
    <xf numFmtId="0" fontId="33" fillId="36" borderId="261">
      <alignment horizontal="left" vertical="center"/>
    </xf>
    <xf numFmtId="4" fontId="33" fillId="0" borderId="260" applyFill="0" applyBorder="0" applyProtection="0">
      <alignment horizontal="right" vertical="center"/>
    </xf>
    <xf numFmtId="0" fontId="48" fillId="0" borderId="258" applyNumberFormat="0" applyFill="0" applyAlignment="0" applyProtection="0"/>
    <xf numFmtId="0" fontId="31" fillId="38" borderId="261">
      <alignment horizontal="right" vertical="center"/>
    </xf>
    <xf numFmtId="0" fontId="63" fillId="0" borderId="258" applyNumberFormat="0" applyFill="0" applyAlignment="0" applyProtection="0"/>
    <xf numFmtId="0" fontId="56" fillId="46" borderId="257" applyNumberFormat="0" applyAlignment="0" applyProtection="0"/>
    <xf numFmtId="4" fontId="31" fillId="38" borderId="260">
      <alignment horizontal="right" vertical="center"/>
    </xf>
    <xf numFmtId="0" fontId="33" fillId="0" borderId="260">
      <alignment horizontal="right" vertical="center"/>
    </xf>
    <xf numFmtId="0" fontId="33" fillId="38" borderId="263">
      <alignment horizontal="left" vertical="center" wrapText="1" indent="2"/>
    </xf>
    <xf numFmtId="4" fontId="31" fillId="38" borderId="260">
      <alignment horizontal="right" vertical="center"/>
    </xf>
    <xf numFmtId="0" fontId="38" fillId="62" borderId="259" applyNumberFormat="0" applyFont="0" applyAlignment="0" applyProtection="0"/>
    <xf numFmtId="49" fontId="32" fillId="0" borderId="260" applyNumberFormat="0" applyFill="0" applyBorder="0" applyProtection="0">
      <alignment horizontal="left" vertical="center"/>
    </xf>
    <xf numFmtId="4" fontId="31" fillId="36" borderId="260">
      <alignment horizontal="right" vertical="center"/>
    </xf>
    <xf numFmtId="0" fontId="26" fillId="17" borderId="10" applyNumberFormat="0" applyAlignment="0" applyProtection="0"/>
    <xf numFmtId="0" fontId="19" fillId="62" borderId="259" applyNumberFormat="0" applyFont="0" applyAlignment="0" applyProtection="0"/>
    <xf numFmtId="0" fontId="56" fillId="46" borderId="257" applyNumberFormat="0" applyAlignment="0" applyProtection="0"/>
    <xf numFmtId="0" fontId="33" fillId="38" borderId="263">
      <alignment horizontal="left" vertical="center" wrapText="1" indent="2"/>
    </xf>
    <xf numFmtId="0" fontId="31" fillId="38" borderId="260">
      <alignment horizontal="right" vertical="center"/>
    </xf>
    <xf numFmtId="4" fontId="33" fillId="0" borderId="260">
      <alignment horizontal="right" vertical="center"/>
    </xf>
    <xf numFmtId="0" fontId="44" fillId="59" borderId="257" applyNumberFormat="0" applyAlignment="0" applyProtection="0"/>
    <xf numFmtId="4" fontId="33" fillId="0" borderId="260" applyFill="0" applyBorder="0" applyProtection="0">
      <alignment horizontal="right" vertical="center"/>
    </xf>
    <xf numFmtId="4" fontId="31" fillId="36" borderId="260">
      <alignment horizontal="right" vertical="center"/>
    </xf>
    <xf numFmtId="0" fontId="1" fillId="25" borderId="0" applyNumberFormat="0" applyBorder="0" applyAlignment="0" applyProtection="0"/>
    <xf numFmtId="0" fontId="56" fillId="46" borderId="257" applyNumberFormat="0" applyAlignment="0" applyProtection="0"/>
    <xf numFmtId="4" fontId="33" fillId="0" borderId="260">
      <alignment horizontal="right" vertical="center"/>
    </xf>
    <xf numFmtId="0" fontId="33" fillId="0" borderId="263">
      <alignment horizontal="left" vertical="center" wrapText="1" indent="2"/>
    </xf>
    <xf numFmtId="0" fontId="56" fillId="46" borderId="257" applyNumberFormat="0" applyAlignment="0" applyProtection="0"/>
    <xf numFmtId="49" fontId="33" fillId="0" borderId="261" applyNumberFormat="0" applyFont="0" applyFill="0" applyBorder="0" applyProtection="0">
      <alignment horizontal="left" vertical="center" indent="5"/>
    </xf>
    <xf numFmtId="0" fontId="31" fillId="38" borderId="260">
      <alignment horizontal="right" vertical="center"/>
    </xf>
    <xf numFmtId="0" fontId="43" fillId="59" borderId="257" applyNumberFormat="0" applyAlignment="0" applyProtection="0"/>
    <xf numFmtId="0" fontId="33" fillId="0" borderId="260" applyNumberFormat="0" applyFill="0" applyAlignment="0" applyProtection="0"/>
    <xf numFmtId="0" fontId="60" fillId="59" borderId="256" applyNumberFormat="0" applyAlignment="0" applyProtection="0"/>
    <xf numFmtId="0" fontId="60" fillId="59" borderId="256" applyNumberFormat="0" applyAlignment="0" applyProtection="0"/>
    <xf numFmtId="4" fontId="31" fillId="38" borderId="260">
      <alignment horizontal="right" vertical="center"/>
    </xf>
    <xf numFmtId="0" fontId="63" fillId="0" borderId="258" applyNumberFormat="0" applyFill="0" applyAlignment="0" applyProtection="0"/>
    <xf numFmtId="0" fontId="31" fillId="38" borderId="261">
      <alignment horizontal="right" vertical="center"/>
    </xf>
    <xf numFmtId="0" fontId="31" fillId="38" borderId="260">
      <alignment horizontal="right" vertical="center"/>
    </xf>
    <xf numFmtId="0" fontId="1" fillId="31" borderId="0" applyNumberFormat="0" applyBorder="0" applyAlignment="0" applyProtection="0"/>
    <xf numFmtId="0" fontId="31" fillId="38" borderId="260">
      <alignment horizontal="right" vertical="center"/>
    </xf>
    <xf numFmtId="0" fontId="31" fillId="38" borderId="262">
      <alignment horizontal="right" vertical="center"/>
    </xf>
    <xf numFmtId="4" fontId="35" fillId="36" borderId="260">
      <alignment horizontal="right" vertical="center"/>
    </xf>
    <xf numFmtId="0" fontId="31" fillId="38" borderId="261">
      <alignment horizontal="right" vertical="center"/>
    </xf>
    <xf numFmtId="0" fontId="43" fillId="59" borderId="257" applyNumberFormat="0" applyAlignment="0" applyProtection="0"/>
    <xf numFmtId="0" fontId="33" fillId="0" borderId="260">
      <alignment horizontal="right" vertical="center"/>
    </xf>
    <xf numFmtId="0" fontId="41" fillId="59" borderId="256" applyNumberFormat="0" applyAlignment="0" applyProtection="0"/>
    <xf numFmtId="4" fontId="33" fillId="0" borderId="260">
      <alignment horizontal="right" vertical="center"/>
    </xf>
    <xf numFmtId="49" fontId="33" fillId="0" borderId="261" applyNumberFormat="0" applyFont="0" applyFill="0" applyBorder="0" applyProtection="0">
      <alignment horizontal="left" vertical="center" indent="5"/>
    </xf>
    <xf numFmtId="0" fontId="28" fillId="0" borderId="0" applyNumberFormat="0" applyFill="0" applyBorder="0" applyAlignment="0" applyProtection="0"/>
    <xf numFmtId="0" fontId="1" fillId="34" borderId="0" applyNumberFormat="0" applyBorder="0" applyAlignment="0" applyProtection="0"/>
    <xf numFmtId="4" fontId="31" fillId="38" borderId="260">
      <alignment horizontal="right" vertical="center"/>
    </xf>
    <xf numFmtId="4" fontId="31" fillId="38" borderId="260">
      <alignment horizontal="right" vertical="center"/>
    </xf>
    <xf numFmtId="0" fontId="56" fillId="46" borderId="257" applyNumberFormat="0" applyAlignment="0" applyProtection="0"/>
    <xf numFmtId="0" fontId="44" fillId="59" borderId="257" applyNumberFormat="0" applyAlignment="0" applyProtection="0"/>
    <xf numFmtId="0" fontId="43" fillId="59" borderId="257" applyNumberFormat="0" applyAlignment="0" applyProtection="0"/>
    <xf numFmtId="0" fontId="33" fillId="0" borderId="263">
      <alignment horizontal="left" vertical="center" wrapText="1" indent="2"/>
    </xf>
    <xf numFmtId="0" fontId="47" fillId="46" borderId="257" applyNumberFormat="0" applyAlignment="0" applyProtection="0"/>
    <xf numFmtId="177" fontId="33" fillId="63" borderId="260" applyNumberFormat="0" applyFont="0" applyBorder="0" applyAlignment="0" applyProtection="0">
      <alignment horizontal="right" vertical="center"/>
    </xf>
    <xf numFmtId="0" fontId="56" fillId="46" borderId="257" applyNumberFormat="0" applyAlignment="0" applyProtection="0"/>
    <xf numFmtId="0" fontId="4" fillId="23" borderId="0" applyNumberFormat="0" applyBorder="0" applyAlignment="0" applyProtection="0"/>
    <xf numFmtId="0" fontId="33" fillId="0" borderId="263">
      <alignment horizontal="left" vertical="center" wrapText="1" indent="2"/>
    </xf>
    <xf numFmtId="0" fontId="31" fillId="38" borderId="260">
      <alignment horizontal="right" vertical="center"/>
    </xf>
    <xf numFmtId="4" fontId="33" fillId="0" borderId="260" applyFill="0" applyBorder="0" applyProtection="0">
      <alignment horizontal="right" vertical="center"/>
    </xf>
    <xf numFmtId="0" fontId="33" fillId="0" borderId="260">
      <alignment horizontal="right" vertical="center"/>
    </xf>
    <xf numFmtId="4" fontId="31" fillId="36" borderId="260">
      <alignment horizontal="right" vertical="center"/>
    </xf>
    <xf numFmtId="0" fontId="33" fillId="38" borderId="263">
      <alignment horizontal="left" vertical="center" wrapText="1" indent="2"/>
    </xf>
    <xf numFmtId="0" fontId="47" fillId="46" borderId="257" applyNumberFormat="0" applyAlignment="0" applyProtection="0"/>
    <xf numFmtId="4" fontId="35" fillId="36" borderId="260">
      <alignment horizontal="right" vertical="center"/>
    </xf>
    <xf numFmtId="0" fontId="4" fillId="23" borderId="0" applyNumberFormat="0" applyBorder="0" applyAlignment="0" applyProtection="0"/>
    <xf numFmtId="0" fontId="31" fillId="38" borderId="261">
      <alignment horizontal="right" vertical="center"/>
    </xf>
    <xf numFmtId="0" fontId="33" fillId="37" borderId="260"/>
    <xf numFmtId="0" fontId="35" fillId="36" borderId="260">
      <alignment horizontal="right" vertical="center"/>
    </xf>
    <xf numFmtId="0" fontId="60" fillId="59" borderId="256" applyNumberFormat="0" applyAlignment="0" applyProtection="0"/>
    <xf numFmtId="0" fontId="1" fillId="28" borderId="0" applyNumberFormat="0" applyBorder="0" applyAlignment="0" applyProtection="0"/>
    <xf numFmtId="0" fontId="48" fillId="0" borderId="258" applyNumberFormat="0" applyFill="0" applyAlignment="0" applyProtection="0"/>
    <xf numFmtId="0" fontId="1" fillId="31" borderId="0" applyNumberFormat="0" applyBorder="0" applyAlignment="0" applyProtection="0"/>
    <xf numFmtId="0" fontId="3" fillId="0" borderId="23" applyNumberFormat="0" applyFill="0" applyAlignment="0" applyProtection="0"/>
    <xf numFmtId="0" fontId="31" fillId="38" borderId="262">
      <alignment horizontal="right" vertical="center"/>
    </xf>
    <xf numFmtId="4" fontId="33" fillId="0" borderId="260">
      <alignment horizontal="right" vertical="center"/>
    </xf>
    <xf numFmtId="4" fontId="33" fillId="37" borderId="260"/>
    <xf numFmtId="0" fontId="4" fillId="20" borderId="0" applyNumberFormat="0" applyBorder="0" applyAlignment="0" applyProtection="0"/>
    <xf numFmtId="0" fontId="38" fillId="62" borderId="259" applyNumberFormat="0" applyFont="0" applyAlignment="0" applyProtection="0"/>
    <xf numFmtId="0" fontId="63" fillId="0" borderId="258" applyNumberFormat="0" applyFill="0" applyAlignment="0" applyProtection="0"/>
    <xf numFmtId="4" fontId="31" fillId="38" borderId="261">
      <alignment horizontal="right" vertical="center"/>
    </xf>
    <xf numFmtId="4" fontId="35" fillId="36" borderId="260">
      <alignment horizontal="right" vertical="center"/>
    </xf>
    <xf numFmtId="0" fontId="44" fillId="59" borderId="257" applyNumberFormat="0" applyAlignment="0" applyProtection="0"/>
    <xf numFmtId="0" fontId="43" fillId="59" borderId="257" applyNumberFormat="0" applyAlignment="0" applyProtection="0"/>
    <xf numFmtId="0" fontId="31" fillId="36" borderId="260">
      <alignment horizontal="right" vertical="center"/>
    </xf>
    <xf numFmtId="4" fontId="33" fillId="0" borderId="260" applyFill="0" applyBorder="0" applyProtection="0">
      <alignment horizontal="right" vertical="center"/>
    </xf>
    <xf numFmtId="0" fontId="1" fillId="31" borderId="0" applyNumberFormat="0" applyBorder="0" applyAlignment="0" applyProtection="0"/>
    <xf numFmtId="0" fontId="47" fillId="46" borderId="257" applyNumberFormat="0" applyAlignment="0" applyProtection="0"/>
    <xf numFmtId="49" fontId="32" fillId="0" borderId="260" applyNumberFormat="0" applyFill="0" applyBorder="0" applyProtection="0">
      <alignment horizontal="left" vertical="center"/>
    </xf>
    <xf numFmtId="0" fontId="33" fillId="38" borderId="263">
      <alignment horizontal="left" vertical="center" wrapText="1" indent="2"/>
    </xf>
    <xf numFmtId="0" fontId="33" fillId="38" borderId="263">
      <alignment horizontal="left" vertical="center" wrapText="1" indent="2"/>
    </xf>
    <xf numFmtId="0" fontId="44" fillId="59" borderId="257" applyNumberFormat="0" applyAlignment="0" applyProtection="0"/>
    <xf numFmtId="0" fontId="1" fillId="25" borderId="0" applyNumberFormat="0" applyBorder="0" applyAlignment="0" applyProtection="0"/>
    <xf numFmtId="0" fontId="63" fillId="0" borderId="258" applyNumberFormat="0" applyFill="0" applyAlignment="0" applyProtection="0"/>
    <xf numFmtId="0" fontId="31" fillId="36" borderId="260">
      <alignment horizontal="right" vertical="center"/>
    </xf>
    <xf numFmtId="0" fontId="1" fillId="19" borderId="0" applyNumberFormat="0" applyBorder="0" applyAlignment="0" applyProtection="0"/>
    <xf numFmtId="0" fontId="60" fillId="59" borderId="256" applyNumberFormat="0" applyAlignment="0" applyProtection="0"/>
    <xf numFmtId="0" fontId="1" fillId="19" borderId="0" applyNumberFormat="0" applyBorder="0" applyAlignment="0" applyProtection="0"/>
    <xf numFmtId="4" fontId="35" fillId="36" borderId="260">
      <alignment horizontal="right" vertical="center"/>
    </xf>
    <xf numFmtId="0" fontId="33" fillId="0" borderId="260" applyNumberFormat="0" applyFill="0" applyAlignment="0" applyProtection="0"/>
    <xf numFmtId="4" fontId="31" fillId="36" borderId="260">
      <alignment horizontal="right" vertical="center"/>
    </xf>
    <xf numFmtId="0" fontId="4" fillId="29" borderId="0" applyNumberFormat="0" applyBorder="0" applyAlignment="0" applyProtection="0"/>
    <xf numFmtId="0" fontId="1" fillId="21" borderId="0" applyNumberFormat="0" applyBorder="0" applyAlignment="0" applyProtection="0"/>
    <xf numFmtId="0" fontId="33" fillId="0" borderId="260" applyNumberFormat="0" applyFill="0" applyAlignment="0" applyProtection="0"/>
    <xf numFmtId="0" fontId="35" fillId="36" borderId="260">
      <alignment horizontal="right" vertical="center"/>
    </xf>
    <xf numFmtId="0" fontId="56" fillId="46" borderId="257" applyNumberFormat="0" applyAlignment="0" applyProtection="0"/>
    <xf numFmtId="4" fontId="35" fillId="36" borderId="260">
      <alignment horizontal="right" vertical="center"/>
    </xf>
    <xf numFmtId="0" fontId="31" fillId="38" borderId="262">
      <alignment horizontal="right" vertical="center"/>
    </xf>
    <xf numFmtId="0" fontId="38" fillId="62" borderId="259" applyNumberFormat="0" applyFont="0" applyAlignment="0" applyProtection="0"/>
    <xf numFmtId="0" fontId="4" fillId="23" borderId="0" applyNumberFormat="0" applyBorder="0" applyAlignment="0" applyProtection="0"/>
    <xf numFmtId="177" fontId="33" fillId="63" borderId="260" applyNumberFormat="0" applyFont="0" applyBorder="0" applyAlignment="0" applyProtection="0">
      <alignment horizontal="right" vertical="center"/>
    </xf>
    <xf numFmtId="4" fontId="33" fillId="0" borderId="260">
      <alignment horizontal="right" vertical="center"/>
    </xf>
    <xf numFmtId="0" fontId="44" fillId="59" borderId="257" applyNumberFormat="0" applyAlignment="0" applyProtection="0"/>
    <xf numFmtId="0" fontId="33" fillId="38" borderId="263">
      <alignment horizontal="left" vertical="center" wrapText="1" indent="2"/>
    </xf>
    <xf numFmtId="0" fontId="35" fillId="36" borderId="260">
      <alignment horizontal="right" vertical="center"/>
    </xf>
    <xf numFmtId="4" fontId="31" fillId="36" borderId="260">
      <alignment horizontal="right" vertical="center"/>
    </xf>
    <xf numFmtId="0" fontId="33" fillId="38" borderId="263">
      <alignment horizontal="left" vertical="center" wrapText="1" indent="2"/>
    </xf>
    <xf numFmtId="0" fontId="26" fillId="17" borderId="10" applyNumberFormat="0" applyAlignment="0" applyProtection="0"/>
    <xf numFmtId="0" fontId="47" fillId="46" borderId="296" applyNumberFormat="0" applyAlignment="0" applyProtection="0"/>
    <xf numFmtId="0" fontId="43" fillId="59" borderId="270" applyNumberFormat="0" applyAlignment="0" applyProtection="0"/>
    <xf numFmtId="0" fontId="63" fillId="0" borderId="271" applyNumberFormat="0" applyFill="0" applyAlignment="0" applyProtection="0"/>
    <xf numFmtId="0" fontId="44" fillId="59" borderId="270" applyNumberFormat="0" applyAlignment="0" applyProtection="0"/>
    <xf numFmtId="0" fontId="27" fillId="0" borderId="0" applyNumberFormat="0" applyFill="0" applyBorder="0" applyAlignment="0" applyProtection="0"/>
    <xf numFmtId="0" fontId="63" fillId="0" borderId="271" applyNumberFormat="0" applyFill="0" applyAlignment="0" applyProtection="0"/>
    <xf numFmtId="0" fontId="19" fillId="62" borderId="285" applyNumberFormat="0" applyFont="0" applyAlignment="0" applyProtection="0"/>
    <xf numFmtId="0" fontId="1" fillId="18" borderId="0" applyNumberFormat="0" applyBorder="0" applyAlignment="0" applyProtection="0"/>
    <xf numFmtId="0" fontId="4" fillId="26" borderId="0" applyNumberFormat="0" applyBorder="0" applyAlignment="0" applyProtection="0"/>
    <xf numFmtId="0" fontId="56" fillId="46" borderId="296" applyNumberFormat="0" applyAlignment="0" applyProtection="0"/>
    <xf numFmtId="0" fontId="33" fillId="0" borderId="276">
      <alignment horizontal="left" vertical="center" wrapText="1" indent="2"/>
    </xf>
    <xf numFmtId="0" fontId="60" fillId="59" borderId="295" applyNumberFormat="0" applyAlignment="0" applyProtection="0"/>
    <xf numFmtId="4" fontId="33" fillId="0" borderId="286" applyFill="0" applyBorder="0" applyProtection="0">
      <alignment horizontal="right" vertical="center"/>
    </xf>
    <xf numFmtId="49" fontId="32" fillId="0" borderId="286" applyNumberFormat="0" applyFill="0" applyBorder="0" applyProtection="0">
      <alignment horizontal="left" vertical="center"/>
    </xf>
    <xf numFmtId="4" fontId="33" fillId="37" borderId="286"/>
    <xf numFmtId="0" fontId="33" fillId="0" borderId="273">
      <alignment horizontal="right" vertical="center"/>
    </xf>
    <xf numFmtId="4" fontId="33" fillId="0" borderId="273">
      <alignment horizontal="right" vertical="center"/>
    </xf>
    <xf numFmtId="49" fontId="33" fillId="0" borderId="273" applyNumberFormat="0" applyFont="0" applyFill="0" applyBorder="0" applyProtection="0">
      <alignment horizontal="left" vertical="center" indent="2"/>
    </xf>
    <xf numFmtId="0" fontId="33" fillId="37" borderId="273"/>
    <xf numFmtId="0" fontId="43" fillId="59" borderId="270" applyNumberFormat="0" applyAlignment="0" applyProtection="0"/>
    <xf numFmtId="4" fontId="35" fillId="36" borderId="273">
      <alignment horizontal="right" vertical="center"/>
    </xf>
    <xf numFmtId="0" fontId="26" fillId="17" borderId="10" applyNumberFormat="0" applyAlignment="0" applyProtection="0"/>
    <xf numFmtId="0" fontId="33" fillId="37" borderId="299"/>
    <xf numFmtId="0" fontId="63" fillId="0" borderId="297" applyNumberFormat="0" applyFill="0" applyAlignment="0" applyProtection="0"/>
    <xf numFmtId="0" fontId="31" fillId="38" borderId="286">
      <alignment horizontal="right" vertical="center"/>
    </xf>
    <xf numFmtId="0" fontId="48" fillId="0" borderId="284" applyNumberFormat="0" applyFill="0" applyAlignment="0" applyProtection="0"/>
    <xf numFmtId="0" fontId="60" fillId="59" borderId="282" applyNumberFormat="0" applyAlignment="0" applyProtection="0"/>
    <xf numFmtId="43" fontId="129" fillId="0" borderId="0" applyFont="0" applyFill="0" applyBorder="0" applyAlignment="0" applyProtection="0"/>
    <xf numFmtId="43" fontId="19" fillId="0" borderId="0" applyFont="0" applyFill="0" applyBorder="0" applyAlignment="0" applyProtection="0"/>
    <xf numFmtId="0" fontId="60" fillId="59" borderId="295" applyNumberFormat="0" applyAlignment="0" applyProtection="0"/>
    <xf numFmtId="43" fontId="130" fillId="0" borderId="0" applyFont="0" applyFill="0" applyBorder="0" applyAlignment="0" applyProtection="0"/>
    <xf numFmtId="43" fontId="130" fillId="0" borderId="0" applyFont="0" applyFill="0" applyBorder="0" applyAlignment="0" applyProtection="0"/>
    <xf numFmtId="0" fontId="1" fillId="34" borderId="0" applyNumberFormat="0" applyBorder="0" applyAlignment="0" applyProtection="0"/>
    <xf numFmtId="43" fontId="130" fillId="0" borderId="0" applyFont="0" applyFill="0" applyBorder="0" applyAlignment="0" applyProtection="0"/>
    <xf numFmtId="43" fontId="98" fillId="0" borderId="0" applyFont="0" applyFill="0" applyBorder="0" applyAlignment="0" applyProtection="0">
      <alignment vertical="top"/>
    </xf>
    <xf numFmtId="0" fontId="33" fillId="38" borderId="302">
      <alignment horizontal="left" vertical="center" wrapText="1" indent="2"/>
    </xf>
    <xf numFmtId="43" fontId="130" fillId="0" borderId="0" applyFont="0" applyFill="0" applyBorder="0" applyAlignment="0" applyProtection="0"/>
    <xf numFmtId="43" fontId="131" fillId="0" borderId="0" applyFont="0" applyFill="0" applyBorder="0" applyAlignment="0" applyProtection="0"/>
    <xf numFmtId="0" fontId="3" fillId="0" borderId="23" applyNumberFormat="0" applyFill="0" applyAlignment="0" applyProtection="0"/>
    <xf numFmtId="43" fontId="132" fillId="0" borderId="0" applyFont="0" applyFill="0" applyBorder="0" applyAlignment="0" applyProtection="0"/>
    <xf numFmtId="0" fontId="25" fillId="17" borderId="22" applyNumberFormat="0" applyAlignment="0" applyProtection="0"/>
    <xf numFmtId="0" fontId="63" fillId="0" borderId="284" applyNumberFormat="0" applyFill="0" applyAlignment="0" applyProtection="0"/>
    <xf numFmtId="43" fontId="129" fillId="0" borderId="0" applyFont="0" applyFill="0" applyBorder="0" applyAlignment="0" applyProtection="0"/>
    <xf numFmtId="43" fontId="1" fillId="0" borderId="0" applyFont="0" applyFill="0" applyBorder="0" applyAlignment="0" applyProtection="0"/>
    <xf numFmtId="0" fontId="60" fillId="59" borderId="282" applyNumberFormat="0" applyAlignment="0" applyProtection="0"/>
    <xf numFmtId="43" fontId="1" fillId="0" borderId="0" applyFont="0" applyFill="0" applyBorder="0" applyAlignment="0" applyProtection="0"/>
    <xf numFmtId="0" fontId="1" fillId="25" borderId="0" applyNumberFormat="0" applyBorder="0" applyAlignment="0" applyProtection="0"/>
    <xf numFmtId="43" fontId="129" fillId="0" borderId="0" applyFont="0" applyFill="0" applyBorder="0" applyAlignment="0" applyProtection="0"/>
    <xf numFmtId="43" fontId="1" fillId="0" borderId="0" applyFont="0" applyFill="0" applyBorder="0" applyAlignment="0" applyProtection="0"/>
    <xf numFmtId="0" fontId="63" fillId="0" borderId="284" applyNumberFormat="0" applyFill="0" applyAlignment="0" applyProtection="0"/>
    <xf numFmtId="43" fontId="19" fillId="0" borderId="0" applyFont="0" applyFill="0" applyBorder="0" applyAlignment="0" applyProtection="0"/>
    <xf numFmtId="43" fontId="1" fillId="0" borderId="0" applyFont="0" applyFill="0" applyBorder="0" applyAlignment="0" applyProtection="0"/>
    <xf numFmtId="0" fontId="3" fillId="0" borderId="23" applyNumberFormat="0" applyFill="0" applyAlignment="0" applyProtection="0"/>
    <xf numFmtId="4" fontId="33" fillId="0" borderId="286">
      <alignment horizontal="right" vertical="center"/>
    </xf>
    <xf numFmtId="43" fontId="130" fillId="0" borderId="0" applyFont="0" applyFill="0" applyBorder="0" applyAlignment="0" applyProtection="0"/>
    <xf numFmtId="43" fontId="19" fillId="0" borderId="0" applyFont="0" applyFill="0" applyBorder="0" applyAlignment="0" applyProtection="0"/>
    <xf numFmtId="43" fontId="133" fillId="0" borderId="0" applyFont="0" applyFill="0" applyBorder="0" applyAlignment="0" applyProtection="0"/>
    <xf numFmtId="0" fontId="38" fillId="62" borderId="285" applyNumberFormat="0" applyFont="0" applyAlignment="0" applyProtection="0"/>
    <xf numFmtId="4" fontId="33" fillId="0" borderId="286" applyFill="0" applyBorder="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 fontId="35" fillId="36" borderId="299">
      <alignment horizontal="right" vertical="center"/>
    </xf>
    <xf numFmtId="43" fontId="130"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36" borderId="273">
      <alignment horizontal="right" vertical="center"/>
    </xf>
    <xf numFmtId="0" fontId="33" fillId="37" borderId="286"/>
    <xf numFmtId="4" fontId="31" fillId="38" borderId="299">
      <alignment horizontal="right" vertical="center"/>
    </xf>
    <xf numFmtId="43" fontId="36" fillId="0" borderId="0" applyFont="0" applyFill="0" applyBorder="0" applyAlignment="0" applyProtection="0"/>
    <xf numFmtId="43" fontId="36" fillId="0" borderId="0" applyFont="0" applyFill="0" applyBorder="0" applyAlignment="0" applyProtection="0"/>
    <xf numFmtId="43" fontId="19"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 fillId="26" borderId="0" applyNumberFormat="0" applyBorder="0" applyAlignment="0" applyProtection="0"/>
    <xf numFmtId="0" fontId="44" fillId="59" borderId="283" applyNumberFormat="0" applyAlignment="0" applyProtection="0"/>
    <xf numFmtId="43" fontId="19" fillId="0" borderId="0" applyFont="0" applyFill="0" applyBorder="0" applyAlignment="0" applyProtection="0"/>
    <xf numFmtId="43" fontId="130" fillId="0" borderId="0" applyFont="0" applyFill="0" applyBorder="0" applyAlignment="0" applyProtection="0"/>
    <xf numFmtId="43" fontId="18" fillId="0" borderId="0" applyFont="0" applyFill="0" applyBorder="0" applyAlignment="0" applyProtection="0"/>
    <xf numFmtId="43" fontId="130" fillId="0" borderId="0" applyFont="0" applyFill="0" applyBorder="0" applyAlignment="0" applyProtection="0"/>
    <xf numFmtId="43" fontId="19" fillId="0" borderId="0" applyFont="0" applyFill="0" applyBorder="0" applyAlignment="0" applyProtection="0"/>
    <xf numFmtId="4" fontId="31" fillId="38" borderId="286">
      <alignment horizontal="right" vertical="center"/>
    </xf>
    <xf numFmtId="43" fontId="19" fillId="0" borderId="0" applyFont="0" applyFill="0" applyBorder="0" applyAlignment="0" applyProtection="0"/>
    <xf numFmtId="183" fontId="124" fillId="62" borderId="303" applyNumberFormat="0" applyFont="0" applyAlignment="0" applyProtection="0"/>
    <xf numFmtId="0" fontId="1" fillId="33"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30" fillId="0" borderId="0" applyFont="0" applyFill="0" applyBorder="0" applyAlignment="0" applyProtection="0"/>
    <xf numFmtId="43" fontId="19"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43" fontId="19" fillId="0" borderId="0" applyFont="0" applyFill="0" applyBorder="0" applyAlignment="0" applyProtection="0"/>
    <xf numFmtId="0" fontId="4" fillId="23" borderId="0" applyNumberFormat="0" applyBorder="0" applyAlignment="0" applyProtection="0"/>
    <xf numFmtId="0" fontId="63" fillId="0" borderId="284" applyNumberFormat="0" applyFill="0" applyAlignment="0" applyProtection="0"/>
    <xf numFmtId="43" fontId="19" fillId="0" borderId="0" applyFont="0" applyFill="0" applyBorder="0" applyAlignment="0" applyProtection="0"/>
    <xf numFmtId="43" fontId="124" fillId="0" borderId="0" applyFont="0" applyFill="0" applyBorder="0" applyAlignment="0" applyProtection="0"/>
    <xf numFmtId="43" fontId="1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0" fontId="33" fillId="0" borderId="273">
      <alignment horizontal="right" vertical="center"/>
    </xf>
    <xf numFmtId="43" fontId="129" fillId="0" borderId="0" applyFont="0" applyFill="0" applyBorder="0" applyAlignment="0" applyProtection="0"/>
    <xf numFmtId="43" fontId="1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43" fontId="130" fillId="0" borderId="0" applyFont="0" applyFill="0" applyBorder="0" applyAlignment="0" applyProtection="0"/>
    <xf numFmtId="0" fontId="56" fillId="46" borderId="270" applyNumberFormat="0" applyAlignment="0" applyProtection="0"/>
    <xf numFmtId="43" fontId="129" fillId="0" borderId="0" applyFont="0" applyFill="0" applyBorder="0" applyAlignment="0" applyProtection="0"/>
    <xf numFmtId="43" fontId="98" fillId="0" borderId="0">
      <alignment vertical="top"/>
    </xf>
    <xf numFmtId="43" fontId="130"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43" fontId="129" fillId="0" borderId="0" applyFont="0" applyFill="0" applyBorder="0" applyAlignment="0" applyProtection="0"/>
    <xf numFmtId="43" fontId="134" fillId="0" borderId="0" applyFont="0" applyFill="0" applyBorder="0" applyAlignment="0" applyProtection="0"/>
    <xf numFmtId="49" fontId="32" fillId="0" borderId="273" applyNumberFormat="0" applyFill="0" applyBorder="0" applyProtection="0">
      <alignment horizontal="left" vertical="center"/>
    </xf>
    <xf numFmtId="43" fontId="129" fillId="0" borderId="0" applyFont="0" applyFill="0" applyBorder="0" applyAlignment="0" applyProtection="0"/>
    <xf numFmtId="43" fontId="19" fillId="0" borderId="0" applyFont="0" applyFill="0" applyBorder="0" applyAlignment="0" applyProtection="0"/>
    <xf numFmtId="43" fontId="129" fillId="0" borderId="0" applyFont="0" applyFill="0" applyBorder="0" applyAlignment="0" applyProtection="0"/>
    <xf numFmtId="43" fontId="19" fillId="0" borderId="0" applyFont="0" applyFill="0" applyBorder="0" applyAlignment="0" applyProtection="0"/>
    <xf numFmtId="0" fontId="33" fillId="36" borderId="274">
      <alignment horizontal="left" vertical="center"/>
    </xf>
    <xf numFmtId="43" fontId="129" fillId="0" borderId="0" applyFont="0" applyFill="0" applyBorder="0" applyAlignment="0" applyProtection="0"/>
    <xf numFmtId="0" fontId="38" fillId="62" borderId="272" applyNumberFormat="0" applyFont="0" applyAlignment="0" applyProtection="0"/>
    <xf numFmtId="0" fontId="35" fillId="36" borderId="273">
      <alignment horizontal="right" vertical="center"/>
    </xf>
    <xf numFmtId="0" fontId="33" fillId="0" borderId="276">
      <alignment horizontal="left" vertical="center" wrapText="1" indent="2"/>
    </xf>
    <xf numFmtId="49" fontId="33" fillId="0" borderId="274" applyNumberFormat="0" applyFont="0" applyFill="0" applyBorder="0" applyProtection="0">
      <alignment horizontal="left" vertical="center" indent="5"/>
    </xf>
    <xf numFmtId="4" fontId="35" fillId="36" borderId="273">
      <alignment horizontal="right" vertical="center"/>
    </xf>
    <xf numFmtId="0" fontId="1" fillId="28" borderId="0" applyNumberFormat="0" applyBorder="0" applyAlignment="0" applyProtection="0"/>
    <xf numFmtId="0" fontId="1" fillId="24" borderId="0" applyNumberFormat="0" applyBorder="0" applyAlignment="0" applyProtection="0"/>
    <xf numFmtId="0" fontId="1" fillId="34" borderId="0" applyNumberFormat="0" applyBorder="0" applyAlignment="0" applyProtection="0"/>
    <xf numFmtId="0" fontId="31" fillId="38" borderId="273">
      <alignment horizontal="right" vertical="center"/>
    </xf>
    <xf numFmtId="0" fontId="1" fillId="21" borderId="0" applyNumberFormat="0" applyBorder="0" applyAlignment="0" applyProtection="0"/>
    <xf numFmtId="0" fontId="47" fillId="46" borderId="257" applyNumberFormat="0" applyAlignment="0" applyProtection="0"/>
    <xf numFmtId="4" fontId="31" fillId="36" borderId="286">
      <alignment horizontal="right" vertical="center"/>
    </xf>
    <xf numFmtId="0" fontId="4" fillId="20" borderId="0" applyNumberFormat="0" applyBorder="0" applyAlignment="0" applyProtection="0"/>
    <xf numFmtId="0" fontId="47" fillId="46" borderId="270" applyNumberFormat="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0" fontId="63" fillId="0" borderId="271" applyNumberFormat="0" applyFill="0" applyAlignment="0" applyProtection="0"/>
    <xf numFmtId="44" fontId="130" fillId="0" borderId="0" applyFont="0" applyFill="0" applyBorder="0" applyAlignment="0" applyProtection="0"/>
    <xf numFmtId="0" fontId="48" fillId="0" borderId="271" applyNumberFormat="0" applyFill="0" applyAlignment="0" applyProtection="0"/>
    <xf numFmtId="44" fontId="98" fillId="0" borderId="0" applyFont="0" applyFill="0" applyBorder="0" applyAlignment="0" applyProtection="0">
      <alignment vertical="top"/>
    </xf>
    <xf numFmtId="44" fontId="130" fillId="0" borderId="0" applyFont="0" applyFill="0" applyBorder="0" applyAlignment="0" applyProtection="0"/>
    <xf numFmtId="44" fontId="130" fillId="0" borderId="0" applyFont="0" applyFill="0" applyBorder="0" applyAlignment="0" applyProtection="0"/>
    <xf numFmtId="44" fontId="98" fillId="0" borderId="0">
      <alignment vertical="top"/>
    </xf>
    <xf numFmtId="44" fontId="19" fillId="0" borderId="0" applyFont="0" applyFill="0" applyBorder="0" applyAlignment="0" applyProtection="0"/>
    <xf numFmtId="44" fontId="19" fillId="0" borderId="0" applyFont="0" applyFill="0" applyBorder="0" applyAlignment="0" applyProtection="0"/>
    <xf numFmtId="44" fontId="9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0" fontId="48" fillId="0" borderId="271" applyNumberFormat="0" applyFill="0" applyAlignment="0" applyProtection="0"/>
    <xf numFmtId="0" fontId="41" fillId="59" borderId="256" applyNumberFormat="0" applyAlignment="0" applyProtection="0"/>
    <xf numFmtId="0" fontId="33" fillId="0" borderId="260" applyNumberFormat="0" applyFill="0" applyAlignment="0" applyProtection="0"/>
    <xf numFmtId="0" fontId="33" fillId="37" borderId="260"/>
    <xf numFmtId="4" fontId="31" fillId="38" borderId="260">
      <alignment horizontal="right" vertical="center"/>
    </xf>
    <xf numFmtId="0" fontId="43" fillId="59" borderId="257" applyNumberFormat="0" applyAlignment="0" applyProtection="0"/>
    <xf numFmtId="0" fontId="33" fillId="0" borderId="260">
      <alignment horizontal="right" vertical="center"/>
    </xf>
    <xf numFmtId="0" fontId="33" fillId="36" borderId="261">
      <alignment horizontal="left" vertical="center"/>
    </xf>
    <xf numFmtId="177" fontId="33" fillId="63" borderId="260" applyNumberFormat="0" applyFont="0" applyBorder="0" applyAlignment="0" applyProtection="0">
      <alignment horizontal="right" vertical="center"/>
    </xf>
    <xf numFmtId="0" fontId="33" fillId="0" borderId="263">
      <alignment horizontal="left" vertical="center" wrapText="1" indent="2"/>
    </xf>
    <xf numFmtId="0" fontId="33" fillId="0" borderId="260">
      <alignment horizontal="right" vertical="center"/>
    </xf>
    <xf numFmtId="4" fontId="31" fillId="38" borderId="260">
      <alignment horizontal="right" vertical="center"/>
    </xf>
    <xf numFmtId="4" fontId="33" fillId="37" borderId="260"/>
    <xf numFmtId="4" fontId="31" fillId="38" borderId="262">
      <alignment horizontal="right" vertical="center"/>
    </xf>
    <xf numFmtId="0" fontId="60" fillId="59" borderId="256" applyNumberFormat="0" applyAlignment="0" applyProtection="0"/>
    <xf numFmtId="0" fontId="38" fillId="62" borderId="259" applyNumberFormat="0" applyFont="0" applyAlignment="0" applyProtection="0"/>
    <xf numFmtId="0" fontId="47" fillId="46" borderId="257" applyNumberFormat="0" applyAlignment="0" applyProtection="0"/>
    <xf numFmtId="0" fontId="31" fillId="38" borderId="260">
      <alignment horizontal="right" vertical="center"/>
    </xf>
    <xf numFmtId="0" fontId="1" fillId="22" borderId="0" applyNumberFormat="0" applyBorder="0" applyAlignment="0" applyProtection="0"/>
    <xf numFmtId="4" fontId="31" fillId="38" borderId="261">
      <alignment horizontal="right" vertical="center"/>
    </xf>
    <xf numFmtId="49" fontId="32" fillId="0" borderId="260" applyNumberFormat="0" applyFill="0" applyBorder="0" applyProtection="0">
      <alignment horizontal="left" vertical="center"/>
    </xf>
    <xf numFmtId="0" fontId="1" fillId="34" borderId="0" applyNumberFormat="0" applyBorder="0" applyAlignment="0" applyProtection="0"/>
    <xf numFmtId="177" fontId="33" fillId="63" borderId="260" applyNumberFormat="0" applyFont="0" applyBorder="0" applyAlignment="0" applyProtection="0">
      <alignment horizontal="right" vertical="center"/>
    </xf>
    <xf numFmtId="0" fontId="47" fillId="46" borderId="257" applyNumberFormat="0" applyAlignment="0" applyProtection="0"/>
    <xf numFmtId="0" fontId="1" fillId="19" borderId="0" applyNumberFormat="0" applyBorder="0" applyAlignment="0" applyProtection="0"/>
    <xf numFmtId="0" fontId="48" fillId="0" borderId="258" applyNumberFormat="0" applyFill="0" applyAlignment="0" applyProtection="0"/>
    <xf numFmtId="0" fontId="33" fillId="0" borderId="260">
      <alignment horizontal="right" vertical="center"/>
    </xf>
    <xf numFmtId="0" fontId="56" fillId="46" borderId="257" applyNumberFormat="0" applyAlignment="0" applyProtection="0"/>
    <xf numFmtId="0" fontId="63" fillId="0" borderId="271" applyNumberFormat="0" applyFill="0" applyAlignment="0" applyProtection="0"/>
    <xf numFmtId="0" fontId="44" fillId="59" borderId="283" applyNumberFormat="0" applyAlignment="0" applyProtection="0"/>
    <xf numFmtId="0" fontId="47" fillId="46" borderId="296" applyNumberFormat="0" applyAlignment="0" applyProtection="0"/>
    <xf numFmtId="0" fontId="1" fillId="30" borderId="0" applyNumberFormat="0" applyBorder="0" applyAlignment="0" applyProtection="0"/>
    <xf numFmtId="0" fontId="48" fillId="0" borderId="284" applyNumberFormat="0" applyFill="0" applyAlignment="0" applyProtection="0"/>
    <xf numFmtId="0" fontId="48" fillId="0" borderId="297" applyNumberFormat="0" applyFill="0" applyAlignment="0" applyProtection="0"/>
    <xf numFmtId="4" fontId="31" fillId="36" borderId="286">
      <alignment horizontal="right" vertical="center"/>
    </xf>
    <xf numFmtId="4" fontId="31" fillId="38" borderId="286">
      <alignment horizontal="right" vertical="center"/>
    </xf>
    <xf numFmtId="0" fontId="4" fillId="20" borderId="0" applyNumberFormat="0" applyBorder="0" applyAlignment="0" applyProtection="0"/>
    <xf numFmtId="0" fontId="60" fillId="59" borderId="282" applyNumberFormat="0" applyAlignment="0" applyProtection="0"/>
    <xf numFmtId="0" fontId="33" fillId="0" borderId="286" applyNumberFormat="0" applyFill="0" applyAlignment="0" applyProtection="0"/>
    <xf numFmtId="0" fontId="33" fillId="37" borderId="273"/>
    <xf numFmtId="0" fontId="96" fillId="38" borderId="257" applyNumberFormat="0" applyAlignment="0" applyProtection="0"/>
    <xf numFmtId="0" fontId="47" fillId="46" borderId="296" applyNumberFormat="0" applyAlignment="0" applyProtection="0"/>
    <xf numFmtId="0" fontId="44" fillId="59" borderId="270" applyNumberFormat="0" applyAlignment="0" applyProtection="0"/>
    <xf numFmtId="0" fontId="33" fillId="38" borderId="289">
      <alignment horizontal="left" vertical="center" wrapText="1" indent="2"/>
    </xf>
    <xf numFmtId="0" fontId="1" fillId="31" borderId="0" applyNumberFormat="0" applyBorder="0" applyAlignment="0" applyProtection="0"/>
    <xf numFmtId="44" fontId="19" fillId="98" borderId="0">
      <protection locked="0"/>
    </xf>
    <xf numFmtId="0" fontId="1" fillId="30" borderId="0" applyNumberFormat="0" applyBorder="0" applyAlignment="0" applyProtection="0"/>
    <xf numFmtId="0" fontId="44" fillId="59" borderId="296" applyNumberFormat="0" applyAlignment="0" applyProtection="0"/>
    <xf numFmtId="4" fontId="31" fillId="38" borderId="299">
      <alignment horizontal="right" vertical="center"/>
    </xf>
    <xf numFmtId="0" fontId="31" fillId="36" borderId="273">
      <alignment horizontal="right" vertical="center"/>
    </xf>
    <xf numFmtId="0" fontId="4" fillId="35" borderId="0" applyNumberFormat="0" applyBorder="0" applyAlignment="0" applyProtection="0"/>
    <xf numFmtId="0" fontId="4" fillId="20" borderId="0" applyNumberFormat="0" applyBorder="0" applyAlignment="0" applyProtection="0"/>
    <xf numFmtId="0" fontId="1" fillId="22"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4" fillId="32" borderId="0" applyNumberFormat="0" applyBorder="0" applyAlignment="0" applyProtection="0"/>
    <xf numFmtId="0" fontId="1" fillId="25" borderId="0" applyNumberFormat="0" applyBorder="0" applyAlignment="0" applyProtection="0"/>
    <xf numFmtId="0" fontId="27" fillId="0" borderId="0" applyNumberFormat="0" applyFill="0" applyBorder="0" applyAlignment="0" applyProtection="0"/>
    <xf numFmtId="0" fontId="63" fillId="0" borderId="284" applyNumberFormat="0" applyFill="0" applyAlignment="0" applyProtection="0"/>
    <xf numFmtId="4" fontId="33" fillId="0" borderId="286" applyFill="0" applyBorder="0" applyProtection="0">
      <alignment horizontal="right" vertical="center"/>
    </xf>
    <xf numFmtId="0" fontId="33" fillId="0" borderId="286">
      <alignment horizontal="right" vertical="center"/>
    </xf>
    <xf numFmtId="0" fontId="47" fillId="46" borderId="296" applyNumberFormat="0" applyAlignment="0" applyProtection="0"/>
    <xf numFmtId="0" fontId="1" fillId="24" borderId="0" applyNumberFormat="0" applyBorder="0" applyAlignment="0" applyProtection="0"/>
    <xf numFmtId="0" fontId="56" fillId="46" borderId="283" applyNumberFormat="0" applyAlignment="0" applyProtection="0"/>
    <xf numFmtId="0" fontId="4" fillId="20" borderId="0" applyNumberFormat="0" applyBorder="0" applyAlignment="0" applyProtection="0"/>
    <xf numFmtId="0" fontId="60" fillId="59" borderId="282" applyNumberFormat="0" applyAlignment="0" applyProtection="0"/>
    <xf numFmtId="0" fontId="31" fillId="38" borderId="299">
      <alignment horizontal="right" vertical="center"/>
    </xf>
    <xf numFmtId="49" fontId="32" fillId="0" borderId="273" applyNumberFormat="0" applyFill="0" applyBorder="0" applyProtection="0">
      <alignment horizontal="left" vertical="center"/>
    </xf>
    <xf numFmtId="0" fontId="1" fillId="28" borderId="0" applyNumberFormat="0" applyBorder="0" applyAlignment="0" applyProtection="0"/>
    <xf numFmtId="0" fontId="4" fillId="23" borderId="0" applyNumberFormat="0" applyBorder="0" applyAlignment="0" applyProtection="0"/>
    <xf numFmtId="0" fontId="1" fillId="27" borderId="0" applyNumberFormat="0" applyBorder="0" applyAlignment="0" applyProtection="0"/>
    <xf numFmtId="4" fontId="31" fillId="38" borderId="299">
      <alignment horizontal="right" vertical="center"/>
    </xf>
    <xf numFmtId="0" fontId="60" fillId="59" borderId="282" applyNumberFormat="0" applyAlignment="0" applyProtection="0"/>
    <xf numFmtId="0" fontId="56" fillId="46" borderId="283" applyNumberFormat="0" applyAlignment="0" applyProtection="0"/>
    <xf numFmtId="49" fontId="33" fillId="0" borderId="299" applyNumberFormat="0" applyFont="0" applyFill="0" applyBorder="0" applyProtection="0">
      <alignment horizontal="left" vertical="center" indent="2"/>
    </xf>
    <xf numFmtId="0" fontId="3" fillId="0" borderId="23" applyNumberFormat="0" applyFill="0" applyAlignment="0" applyProtection="0"/>
    <xf numFmtId="0" fontId="33" fillId="37" borderId="286"/>
    <xf numFmtId="4" fontId="31" fillId="38" borderId="286">
      <alignment horizontal="right" vertical="center"/>
    </xf>
    <xf numFmtId="0" fontId="4" fillId="23" borderId="0" applyNumberFormat="0" applyBorder="0" applyAlignment="0" applyProtection="0"/>
    <xf numFmtId="0" fontId="99" fillId="15" borderId="256" applyNumberFormat="0" applyAlignment="0" applyProtection="0"/>
    <xf numFmtId="0" fontId="56" fillId="46" borderId="270" applyNumberFormat="0" applyAlignment="0" applyProtection="0"/>
    <xf numFmtId="0" fontId="33" fillId="0" borderId="273">
      <alignment horizontal="right" vertical="center"/>
    </xf>
    <xf numFmtId="0" fontId="31" fillId="38" borderId="275">
      <alignment horizontal="right" vertical="center"/>
    </xf>
    <xf numFmtId="0" fontId="33" fillId="0" borderId="286">
      <alignment horizontal="right" vertical="center"/>
    </xf>
    <xf numFmtId="4" fontId="33" fillId="0" borderId="286" applyFill="0" applyBorder="0" applyProtection="0">
      <alignment horizontal="right" vertical="center"/>
    </xf>
    <xf numFmtId="0" fontId="4" fillId="35" borderId="0" applyNumberFormat="0" applyBorder="0" applyAlignment="0" applyProtection="0"/>
    <xf numFmtId="0" fontId="48" fillId="0" borderId="271" applyNumberFormat="0" applyFill="0" applyAlignment="0" applyProtection="0"/>
    <xf numFmtId="0" fontId="31" fillId="38" borderId="262">
      <alignment horizontal="right" vertical="center"/>
    </xf>
    <xf numFmtId="0" fontId="96" fillId="38" borderId="270" applyNumberFormat="0" applyAlignment="0" applyProtection="0"/>
    <xf numFmtId="0" fontId="1" fillId="34" borderId="0" applyNumberFormat="0" applyBorder="0" applyAlignment="0" applyProtection="0"/>
    <xf numFmtId="0" fontId="63" fillId="0" borderId="258" applyNumberFormat="0" applyFill="0" applyAlignment="0" applyProtection="0"/>
    <xf numFmtId="0" fontId="38" fillId="62" borderId="272" applyNumberFormat="0" applyFont="0" applyAlignment="0" applyProtection="0"/>
    <xf numFmtId="4" fontId="31" fillId="36" borderId="286">
      <alignment horizontal="right" vertical="center"/>
    </xf>
    <xf numFmtId="0" fontId="43" fillId="59" borderId="283" applyNumberFormat="0" applyAlignment="0" applyProtection="0"/>
    <xf numFmtId="0" fontId="33" fillId="38" borderId="276">
      <alignment horizontal="left" vertical="center" wrapText="1" indent="2"/>
    </xf>
    <xf numFmtId="0" fontId="31" fillId="38" borderId="273">
      <alignment horizontal="right" vertical="center"/>
    </xf>
    <xf numFmtId="0" fontId="1" fillId="22" borderId="0" applyNumberFormat="0" applyBorder="0" applyAlignment="0" applyProtection="0"/>
    <xf numFmtId="4" fontId="35" fillId="36" borderId="260">
      <alignment horizontal="right" vertical="center"/>
    </xf>
    <xf numFmtId="0" fontId="4" fillId="23" borderId="0" applyNumberFormat="0" applyBorder="0" applyAlignment="0" applyProtection="0"/>
    <xf numFmtId="0" fontId="4" fillId="20" borderId="0" applyNumberFormat="0" applyBorder="0" applyAlignment="0" applyProtection="0"/>
    <xf numFmtId="0" fontId="60" fillId="59" borderId="256" applyNumberFormat="0" applyAlignment="0" applyProtection="0"/>
    <xf numFmtId="0" fontId="1" fillId="30" borderId="0" applyNumberFormat="0" applyBorder="0" applyAlignment="0" applyProtection="0"/>
    <xf numFmtId="0" fontId="38" fillId="62" borderId="259" applyNumberFormat="0" applyFont="0" applyAlignment="0" applyProtection="0"/>
    <xf numFmtId="49" fontId="33" fillId="0" borderId="286" applyNumberFormat="0" applyFont="0" applyFill="0" applyBorder="0" applyProtection="0">
      <alignment horizontal="left" vertical="center" indent="2"/>
    </xf>
    <xf numFmtId="0" fontId="4" fillId="26" borderId="0" applyNumberFormat="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0" fontId="19" fillId="62" borderId="298" applyNumberFormat="0" applyFont="0" applyAlignment="0" applyProtection="0"/>
    <xf numFmtId="0" fontId="1" fillId="18"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4" fontId="33" fillId="0" borderId="260">
      <alignment horizontal="right" vertical="center"/>
    </xf>
    <xf numFmtId="0" fontId="25" fillId="17" borderId="22" applyNumberFormat="0" applyAlignment="0" applyProtection="0"/>
    <xf numFmtId="0" fontId="1" fillId="19" borderId="0" applyNumberFormat="0" applyBorder="0" applyAlignment="0" applyProtection="0"/>
    <xf numFmtId="0" fontId="47" fillId="46" borderId="270" applyNumberFormat="0" applyAlignment="0" applyProtection="0"/>
    <xf numFmtId="49" fontId="33" fillId="0" borderId="287" applyNumberFormat="0" applyFont="0" applyFill="0" applyBorder="0" applyProtection="0">
      <alignment horizontal="left" vertical="center" indent="5"/>
    </xf>
    <xf numFmtId="0" fontId="4"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26" fillId="17" borderId="10" applyNumberFormat="0" applyAlignment="0" applyProtection="0"/>
    <xf numFmtId="0" fontId="27" fillId="0" borderId="0" applyNumberFormat="0" applyFill="0" applyBorder="0" applyAlignment="0" applyProtection="0"/>
    <xf numFmtId="0" fontId="4" fillId="35" borderId="0" applyNumberFormat="0" applyBorder="0" applyAlignment="0" applyProtection="0"/>
    <xf numFmtId="0" fontId="19" fillId="62" borderId="259" applyNumberFormat="0" applyFont="0" applyAlignment="0" applyProtection="0"/>
    <xf numFmtId="0" fontId="60" fillId="59" borderId="282" applyNumberFormat="0" applyAlignment="0" applyProtection="0"/>
    <xf numFmtId="0" fontId="47" fillId="46" borderId="283" applyNumberFormat="0" applyAlignment="0" applyProtection="0"/>
    <xf numFmtId="0" fontId="44" fillId="59" borderId="257" applyNumberFormat="0" applyAlignment="0" applyProtection="0"/>
    <xf numFmtId="0" fontId="4" fillId="26" borderId="0" applyNumberFormat="0" applyBorder="0" applyAlignment="0" applyProtection="0"/>
    <xf numFmtId="0" fontId="60" fillId="59" borderId="269" applyNumberFormat="0" applyAlignment="0" applyProtection="0"/>
    <xf numFmtId="0" fontId="1" fillId="22" borderId="0" applyNumberFormat="0" applyBorder="0" applyAlignment="0" applyProtection="0"/>
    <xf numFmtId="0" fontId="33" fillId="0" borderId="273" applyNumberFormat="0" applyFill="0" applyAlignment="0" applyProtection="0"/>
    <xf numFmtId="0" fontId="33" fillId="0" borderId="289">
      <alignment horizontal="left" vertical="center" wrapText="1" indent="2"/>
    </xf>
    <xf numFmtId="0" fontId="1" fillId="18" borderId="0" applyNumberFormat="0" applyBorder="0" applyAlignment="0" applyProtection="0"/>
    <xf numFmtId="0" fontId="44" fillId="59" borderId="296" applyNumberFormat="0" applyAlignment="0" applyProtection="0"/>
    <xf numFmtId="0" fontId="56" fillId="46" borderId="270" applyNumberFormat="0" applyAlignment="0" applyProtection="0"/>
    <xf numFmtId="0" fontId="31" fillId="38" borderId="273">
      <alignment horizontal="right" vertical="center"/>
    </xf>
    <xf numFmtId="0" fontId="1" fillId="34"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3" fillId="59" borderId="257" applyNumberFormat="0" applyAlignment="0" applyProtection="0"/>
    <xf numFmtId="4" fontId="31" fillId="38" borderId="260">
      <alignment horizontal="right" vertical="center"/>
    </xf>
    <xf numFmtId="0" fontId="1" fillId="21" borderId="0" applyNumberFormat="0" applyBorder="0" applyAlignment="0" applyProtection="0"/>
    <xf numFmtId="0" fontId="47" fillId="46" borderId="296" applyNumberFormat="0" applyAlignment="0" applyProtection="0"/>
    <xf numFmtId="0" fontId="4" fillId="29" borderId="0" applyNumberFormat="0" applyBorder="0" applyAlignment="0" applyProtection="0"/>
    <xf numFmtId="0" fontId="48" fillId="0" borderId="297" applyNumberFormat="0" applyFill="0" applyAlignment="0" applyProtection="0"/>
    <xf numFmtId="4" fontId="31" fillId="38" borderId="261">
      <alignment horizontal="right" vertical="center"/>
    </xf>
    <xf numFmtId="0" fontId="38" fillId="62" borderId="285" applyNumberFormat="0" applyFont="0" applyAlignment="0" applyProtection="0"/>
    <xf numFmtId="0" fontId="1" fillId="19" borderId="0" applyNumberFormat="0" applyBorder="0" applyAlignment="0" applyProtection="0"/>
    <xf numFmtId="0" fontId="31" fillId="36" borderId="273">
      <alignment horizontal="right" vertical="center"/>
    </xf>
    <xf numFmtId="4" fontId="31" fillId="38" borderId="274">
      <alignment horizontal="right" vertical="center"/>
    </xf>
    <xf numFmtId="4" fontId="35" fillId="36" borderId="286">
      <alignment horizontal="right" vertical="center"/>
    </xf>
    <xf numFmtId="0" fontId="1" fillId="25" borderId="0" applyNumberFormat="0" applyBorder="0" applyAlignment="0" applyProtection="0"/>
    <xf numFmtId="0" fontId="4" fillId="23" borderId="0" applyNumberFormat="0" applyBorder="0" applyAlignment="0" applyProtection="0"/>
    <xf numFmtId="0" fontId="4" fillId="35" borderId="0" applyNumberFormat="0" applyBorder="0" applyAlignment="0" applyProtection="0"/>
    <xf numFmtId="4" fontId="82" fillId="0" borderId="246" applyNumberFormat="0" applyFont="0" applyFill="0" applyAlignment="0" applyProtection="0"/>
    <xf numFmtId="0" fontId="4" fillId="23" borderId="0" applyNumberFormat="0" applyBorder="0" applyAlignment="0" applyProtection="0"/>
    <xf numFmtId="177" fontId="33" fillId="63" borderId="260" applyNumberFormat="0" applyFont="0" applyBorder="0" applyAlignment="0" applyProtection="0">
      <alignment horizontal="right" vertical="center"/>
    </xf>
    <xf numFmtId="0" fontId="63" fillId="0" borderId="271" applyNumberFormat="0" applyFill="0" applyAlignment="0" applyProtection="0"/>
    <xf numFmtId="0" fontId="1" fillId="31" borderId="0" applyNumberFormat="0" applyBorder="0" applyAlignment="0" applyProtection="0"/>
    <xf numFmtId="0" fontId="47" fillId="46" borderId="257" applyNumberFormat="0" applyAlignment="0" applyProtection="0"/>
    <xf numFmtId="0" fontId="38" fillId="62" borderId="272" applyNumberFormat="0" applyFont="0" applyAlignment="0" applyProtection="0"/>
    <xf numFmtId="0" fontId="4" fillId="35" borderId="0" applyNumberFormat="0" applyBorder="0" applyAlignment="0" applyProtection="0"/>
    <xf numFmtId="0" fontId="1" fillId="19" borderId="0" applyNumberFormat="0" applyBorder="0" applyAlignment="0" applyProtection="0"/>
    <xf numFmtId="0" fontId="3" fillId="0" borderId="23" applyNumberFormat="0" applyFill="0" applyAlignment="0" applyProtection="0"/>
    <xf numFmtId="0" fontId="44" fillId="59" borderId="283" applyNumberFormat="0" applyAlignment="0" applyProtection="0"/>
    <xf numFmtId="4" fontId="33" fillId="37" borderId="260"/>
    <xf numFmtId="49" fontId="33" fillId="0" borderId="274" applyNumberFormat="0" applyFont="0" applyFill="0" applyBorder="0" applyProtection="0">
      <alignment horizontal="left" vertical="center" indent="5"/>
    </xf>
    <xf numFmtId="0" fontId="4" fillId="20" borderId="0" applyNumberFormat="0" applyBorder="0" applyAlignment="0" applyProtection="0"/>
    <xf numFmtId="0" fontId="1" fillId="33" borderId="0" applyNumberFormat="0" applyBorder="0" applyAlignment="0" applyProtection="0"/>
    <xf numFmtId="0" fontId="35" fillId="36" borderId="273">
      <alignment horizontal="right" vertical="center"/>
    </xf>
    <xf numFmtId="0" fontId="27" fillId="0" borderId="0" applyNumberFormat="0" applyFill="0" applyBorder="0" applyAlignment="0" applyProtection="0"/>
    <xf numFmtId="0" fontId="4" fillId="20" borderId="0" applyNumberFormat="0" applyBorder="0" applyAlignment="0" applyProtection="0"/>
    <xf numFmtId="0" fontId="63" fillId="0" borderId="271" applyNumberFormat="0" applyFill="0" applyAlignment="0" applyProtection="0"/>
    <xf numFmtId="0" fontId="63" fillId="0" borderId="284" applyNumberFormat="0" applyFill="0" applyAlignment="0" applyProtection="0"/>
    <xf numFmtId="4" fontId="31" fillId="38" borderId="288">
      <alignment horizontal="right" vertical="center"/>
    </xf>
    <xf numFmtId="0" fontId="1" fillId="30" borderId="0" applyNumberFormat="0" applyBorder="0" applyAlignment="0" applyProtection="0"/>
    <xf numFmtId="0" fontId="1" fillId="31" borderId="0" applyNumberFormat="0" applyBorder="0" applyAlignment="0" applyProtection="0"/>
    <xf numFmtId="0" fontId="31" fillId="38" borderId="273">
      <alignment horizontal="right" vertical="center"/>
    </xf>
    <xf numFmtId="4" fontId="31" fillId="36" borderId="273">
      <alignment horizontal="right" vertical="center"/>
    </xf>
    <xf numFmtId="183" fontId="139" fillId="0" borderId="294">
      <alignment horizontal="left" vertical="center"/>
    </xf>
    <xf numFmtId="0" fontId="4" fillId="23" borderId="0" applyNumberFormat="0" applyBorder="0" applyAlignment="0" applyProtection="0"/>
    <xf numFmtId="0" fontId="4" fillId="23" borderId="0" applyNumberFormat="0" applyBorder="0" applyAlignment="0" applyProtection="0"/>
    <xf numFmtId="3" fontId="126" fillId="82" borderId="273">
      <alignment horizontal="center"/>
      <protection locked="0"/>
    </xf>
    <xf numFmtId="0" fontId="48" fillId="0" borderId="271" applyNumberFormat="0" applyFill="0" applyAlignment="0" applyProtection="0"/>
    <xf numFmtId="0" fontId="1" fillId="28" borderId="0" applyNumberFormat="0" applyBorder="0" applyAlignment="0" applyProtection="0"/>
    <xf numFmtId="0" fontId="31" fillId="36" borderId="286">
      <alignment horizontal="right" vertical="center"/>
    </xf>
    <xf numFmtId="0" fontId="27" fillId="0" borderId="0" applyNumberFormat="0" applyFill="0" applyBorder="0" applyAlignment="0" applyProtection="0"/>
    <xf numFmtId="0" fontId="60" fillId="59" borderId="282" applyNumberFormat="0" applyAlignment="0" applyProtection="0"/>
    <xf numFmtId="0" fontId="27" fillId="0" borderId="0" applyNumberFormat="0" applyFill="0" applyBorder="0" applyAlignment="0" applyProtection="0"/>
    <xf numFmtId="4" fontId="31" fillId="36" borderId="273">
      <alignment horizontal="right" vertical="center"/>
    </xf>
    <xf numFmtId="0" fontId="33" fillId="0" borderId="263">
      <alignment horizontal="left" vertical="center" wrapText="1" indent="2"/>
    </xf>
    <xf numFmtId="4" fontId="33" fillId="0" borderId="286">
      <alignment horizontal="right" vertical="center"/>
    </xf>
    <xf numFmtId="0" fontId="27" fillId="0" borderId="0" applyNumberFormat="0" applyFill="0" applyBorder="0" applyAlignment="0" applyProtection="0"/>
    <xf numFmtId="0" fontId="4" fillId="23" borderId="0" applyNumberFormat="0" applyBorder="0" applyAlignment="0" applyProtection="0"/>
    <xf numFmtId="0" fontId="1" fillId="18" borderId="0" applyNumberFormat="0" applyBorder="0" applyAlignment="0" applyProtection="0"/>
    <xf numFmtId="0" fontId="43" fillId="59" borderId="283" applyNumberFormat="0" applyAlignment="0" applyProtection="0"/>
    <xf numFmtId="0" fontId="1" fillId="34" borderId="0" applyNumberFormat="0" applyBorder="0" applyAlignment="0" applyProtection="0"/>
    <xf numFmtId="0" fontId="28" fillId="0" borderId="0" applyNumberFormat="0" applyFill="0" applyBorder="0" applyAlignment="0" applyProtection="0"/>
    <xf numFmtId="0" fontId="25" fillId="17" borderId="22" applyNumberFormat="0" applyAlignment="0" applyProtection="0"/>
    <xf numFmtId="0" fontId="1" fillId="19" borderId="0" applyNumberFormat="0" applyBorder="0" applyAlignment="0" applyProtection="0"/>
    <xf numFmtId="0" fontId="1" fillId="25" borderId="0" applyNumberFormat="0" applyBorder="0" applyAlignment="0" applyProtection="0"/>
    <xf numFmtId="0" fontId="25" fillId="17" borderId="22" applyNumberFormat="0" applyAlignment="0" applyProtection="0"/>
    <xf numFmtId="0" fontId="31" fillId="38" borderId="299">
      <alignment horizontal="right" vertical="center"/>
    </xf>
    <xf numFmtId="0" fontId="48" fillId="0" borderId="258" applyNumberFormat="0" applyFill="0" applyAlignment="0" applyProtection="0"/>
    <xf numFmtId="0" fontId="33" fillId="38" borderId="302">
      <alignment horizontal="left" vertical="center" wrapText="1" indent="2"/>
    </xf>
    <xf numFmtId="43" fontId="22" fillId="0" borderId="0" applyFont="0" applyFill="0" applyBorder="0" applyAlignment="0" applyProtection="0"/>
    <xf numFmtId="49" fontId="32" fillId="0" borderId="273" applyNumberFormat="0" applyFill="0" applyBorder="0" applyProtection="0">
      <alignment horizontal="left" vertical="center"/>
    </xf>
    <xf numFmtId="0" fontId="33" fillId="38" borderId="302">
      <alignment horizontal="left" vertical="center" wrapText="1" indent="2"/>
    </xf>
    <xf numFmtId="0" fontId="4" fillId="29" borderId="0" applyNumberFormat="0" applyBorder="0" applyAlignment="0" applyProtection="0"/>
    <xf numFmtId="4" fontId="31" fillId="38" borderId="273">
      <alignment horizontal="right" vertical="center"/>
    </xf>
    <xf numFmtId="0" fontId="63" fillId="0" borderId="284" applyNumberFormat="0" applyFill="0" applyAlignment="0" applyProtection="0"/>
    <xf numFmtId="0" fontId="1" fillId="31" borderId="0" applyNumberFormat="0" applyBorder="0" applyAlignment="0" applyProtection="0"/>
    <xf numFmtId="0" fontId="4" fillId="29" borderId="0" applyNumberFormat="0" applyBorder="0" applyAlignment="0" applyProtection="0"/>
    <xf numFmtId="4" fontId="31" fillId="38" borderId="260">
      <alignment horizontal="right" vertical="center"/>
    </xf>
    <xf numFmtId="4" fontId="33" fillId="37" borderId="286"/>
    <xf numFmtId="4" fontId="31" fillId="38" borderId="274">
      <alignment horizontal="right" vertical="center"/>
    </xf>
    <xf numFmtId="0" fontId="43" fillId="59" borderId="270" applyNumberFormat="0" applyAlignment="0" applyProtection="0"/>
    <xf numFmtId="0" fontId="27" fillId="0" borderId="0" applyNumberForma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31" fillId="38" borderId="274">
      <alignment horizontal="right" vertical="center"/>
    </xf>
    <xf numFmtId="0" fontId="1" fillId="28" borderId="0" applyNumberFormat="0" applyBorder="0" applyAlignment="0" applyProtection="0"/>
    <xf numFmtId="0" fontId="1" fillId="25" borderId="0" applyNumberFormat="0" applyBorder="0" applyAlignment="0" applyProtection="0"/>
    <xf numFmtId="0" fontId="25" fillId="17" borderId="22" applyNumberFormat="0" applyAlignment="0" applyProtection="0"/>
    <xf numFmtId="0" fontId="60" fillId="59" borderId="282" applyNumberFormat="0" applyAlignment="0" applyProtection="0"/>
    <xf numFmtId="0" fontId="33" fillId="37" borderId="260"/>
    <xf numFmtId="0" fontId="31" fillId="36" borderId="273">
      <alignment horizontal="right" vertical="center"/>
    </xf>
    <xf numFmtId="4" fontId="31" fillId="38" borderId="261">
      <alignment horizontal="right" vertical="center"/>
    </xf>
    <xf numFmtId="0" fontId="1" fillId="30" borderId="0" applyNumberFormat="0" applyBorder="0" applyAlignment="0" applyProtection="0"/>
    <xf numFmtId="0" fontId="4" fillId="26" borderId="0" applyNumberFormat="0" applyBorder="0" applyAlignment="0" applyProtection="0"/>
    <xf numFmtId="0" fontId="33" fillId="0" borderId="289">
      <alignment horizontal="left" vertical="center" wrapText="1" indent="2"/>
    </xf>
    <xf numFmtId="0" fontId="56" fillId="46" borderId="257" applyNumberFormat="0" applyAlignment="0" applyProtection="0"/>
    <xf numFmtId="0" fontId="4" fillId="26" borderId="0" applyNumberFormat="0" applyBorder="0" applyAlignment="0" applyProtection="0"/>
    <xf numFmtId="0" fontId="33" fillId="38" borderId="276">
      <alignment horizontal="left" vertical="center" wrapText="1" indent="2"/>
    </xf>
    <xf numFmtId="177" fontId="33" fillId="63" borderId="286" applyNumberFormat="0" applyFont="0" applyBorder="0" applyAlignment="0" applyProtection="0">
      <alignment horizontal="right" vertical="center"/>
    </xf>
    <xf numFmtId="0" fontId="60" fillId="59" borderId="282" applyNumberFormat="0" applyAlignment="0" applyProtection="0"/>
    <xf numFmtId="49" fontId="32" fillId="0" borderId="273" applyNumberFormat="0" applyFill="0" applyBorder="0" applyProtection="0">
      <alignment horizontal="left" vertical="center"/>
    </xf>
    <xf numFmtId="0" fontId="1" fillId="22" borderId="0" applyNumberFormat="0" applyBorder="0" applyAlignment="0" applyProtection="0"/>
    <xf numFmtId="0" fontId="56" fillId="46" borderId="283" applyNumberFormat="0" applyAlignment="0" applyProtection="0"/>
    <xf numFmtId="0" fontId="31" fillId="38" borderId="273">
      <alignment horizontal="right" vertical="center"/>
    </xf>
    <xf numFmtId="0" fontId="63" fillId="0" borderId="284" applyNumberFormat="0" applyFill="0" applyAlignment="0" applyProtection="0"/>
    <xf numFmtId="0" fontId="1" fillId="25" borderId="0" applyNumberFormat="0" applyBorder="0" applyAlignment="0" applyProtection="0"/>
    <xf numFmtId="0" fontId="3" fillId="0" borderId="23" applyNumberFormat="0" applyFill="0" applyAlignment="0" applyProtection="0"/>
    <xf numFmtId="4" fontId="31" fillId="38" borderId="273">
      <alignment horizontal="right" vertical="center"/>
    </xf>
    <xf numFmtId="0" fontId="33" fillId="38" borderId="289">
      <alignment horizontal="left" vertical="center" wrapText="1" indent="2"/>
    </xf>
    <xf numFmtId="0" fontId="33" fillId="38" borderId="263">
      <alignment horizontal="left" vertical="center" wrapText="1" indent="2"/>
    </xf>
    <xf numFmtId="0" fontId="19" fillId="62" borderId="298" applyNumberFormat="0" applyFont="0" applyAlignment="0" applyProtection="0"/>
    <xf numFmtId="4" fontId="35" fillId="36" borderId="260">
      <alignment horizontal="right" vertical="center"/>
    </xf>
    <xf numFmtId="0" fontId="1" fillId="27" borderId="0" applyNumberFormat="0" applyBorder="0" applyAlignment="0" applyProtection="0"/>
    <xf numFmtId="0" fontId="33" fillId="0" borderId="260">
      <alignment horizontal="right" vertical="center"/>
    </xf>
    <xf numFmtId="0" fontId="1" fillId="27" borderId="0" applyNumberFormat="0" applyBorder="0" applyAlignment="0" applyProtection="0"/>
    <xf numFmtId="0" fontId="33" fillId="0" borderId="273" applyNumberFormat="0" applyFill="0" applyAlignment="0" applyProtection="0"/>
    <xf numFmtId="4" fontId="33" fillId="37" borderId="299"/>
    <xf numFmtId="0" fontId="1" fillId="19" borderId="0" applyNumberFormat="0" applyBorder="0" applyAlignment="0" applyProtection="0"/>
    <xf numFmtId="0" fontId="1" fillId="25" borderId="0" applyNumberFormat="0" applyBorder="0" applyAlignment="0" applyProtection="0"/>
    <xf numFmtId="0" fontId="31" fillId="38" borderId="261">
      <alignment horizontal="right" vertical="center"/>
    </xf>
    <xf numFmtId="4" fontId="35" fillId="36" borderId="260">
      <alignment horizontal="right" vertical="center"/>
    </xf>
    <xf numFmtId="0" fontId="33" fillId="38" borderId="263">
      <alignment horizontal="left" vertical="center" wrapText="1" indent="2"/>
    </xf>
    <xf numFmtId="4" fontId="35" fillId="36" borderId="273">
      <alignment horizontal="right" vertical="center"/>
    </xf>
    <xf numFmtId="0" fontId="33" fillId="0" borderId="276">
      <alignment horizontal="left" vertical="center" wrapText="1" indent="2"/>
    </xf>
    <xf numFmtId="0" fontId="35" fillId="36" borderId="260">
      <alignment horizontal="right" vertical="center"/>
    </xf>
    <xf numFmtId="0" fontId="1" fillId="18" borderId="0" applyNumberFormat="0" applyBorder="0" applyAlignment="0" applyProtection="0"/>
    <xf numFmtId="4" fontId="31" fillId="38" borderId="288">
      <alignment horizontal="right" vertical="center"/>
    </xf>
    <xf numFmtId="0" fontId="33" fillId="0" borderId="260">
      <alignment horizontal="right" vertical="center"/>
    </xf>
    <xf numFmtId="0" fontId="1" fillId="30"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60" fillId="59" borderId="256" applyNumberFormat="0" applyAlignment="0" applyProtection="0"/>
    <xf numFmtId="0" fontId="1" fillId="21" borderId="0" applyNumberFormat="0" applyBorder="0" applyAlignment="0" applyProtection="0"/>
    <xf numFmtId="0" fontId="56" fillId="46" borderId="283" applyNumberFormat="0" applyAlignment="0" applyProtection="0"/>
    <xf numFmtId="0" fontId="63" fillId="0" borderId="297" applyNumberFormat="0" applyFill="0" applyAlignment="0" applyProtection="0"/>
    <xf numFmtId="0" fontId="63" fillId="0" borderId="258" applyNumberFormat="0" applyFill="0" applyAlignment="0" applyProtection="0"/>
    <xf numFmtId="0" fontId="1" fillId="21" borderId="0" applyNumberFormat="0" applyBorder="0" applyAlignment="0" applyProtection="0"/>
    <xf numFmtId="0" fontId="1" fillId="24" borderId="0" applyNumberFormat="0" applyBorder="0" applyAlignment="0" applyProtection="0"/>
    <xf numFmtId="4" fontId="33" fillId="37" borderId="286"/>
    <xf numFmtId="4" fontId="33" fillId="0" borderId="260">
      <alignment horizontal="right" vertical="center"/>
    </xf>
    <xf numFmtId="0" fontId="1" fillId="28" borderId="0" applyNumberFormat="0" applyBorder="0" applyAlignment="0" applyProtection="0"/>
    <xf numFmtId="0" fontId="33" fillId="0" borderId="260">
      <alignment horizontal="right" vertical="center"/>
    </xf>
    <xf numFmtId="0" fontId="26" fillId="17" borderId="10" applyNumberFormat="0" applyAlignment="0" applyProtection="0"/>
    <xf numFmtId="0" fontId="3" fillId="0" borderId="23" applyNumberFormat="0" applyFill="0" applyAlignment="0" applyProtection="0"/>
    <xf numFmtId="0" fontId="4" fillId="29" borderId="0" applyNumberFormat="0" applyBorder="0" applyAlignment="0" applyProtection="0"/>
    <xf numFmtId="0" fontId="63" fillId="0" borderId="284" applyNumberFormat="0" applyFill="0" applyAlignment="0" applyProtection="0"/>
    <xf numFmtId="0" fontId="31" fillId="38" borderId="273">
      <alignment horizontal="right" vertical="center"/>
    </xf>
    <xf numFmtId="4" fontId="31" fillId="38" borderId="300">
      <alignment horizontal="right" vertical="center"/>
    </xf>
    <xf numFmtId="0" fontId="4" fillId="35" borderId="0" applyNumberFormat="0" applyBorder="0" applyAlignment="0" applyProtection="0"/>
    <xf numFmtId="177" fontId="33" fillId="63" borderId="286" applyNumberFormat="0" applyFont="0" applyBorder="0" applyAlignment="0" applyProtection="0">
      <alignment horizontal="right" vertical="center"/>
    </xf>
    <xf numFmtId="49" fontId="32" fillId="0" borderId="286" applyNumberFormat="0" applyFill="0" applyBorder="0" applyProtection="0">
      <alignment horizontal="left" vertical="center"/>
    </xf>
    <xf numFmtId="4" fontId="31" fillId="38" borderId="301">
      <alignment horizontal="right" vertical="center"/>
    </xf>
    <xf numFmtId="4" fontId="31" fillId="38" borderId="273">
      <alignment horizontal="right" vertical="center"/>
    </xf>
    <xf numFmtId="4" fontId="33" fillId="37" borderId="286"/>
    <xf numFmtId="0" fontId="4" fillId="20" borderId="0" applyNumberFormat="0" applyBorder="0" applyAlignment="0" applyProtection="0"/>
    <xf numFmtId="0" fontId="4" fillId="29" borderId="0" applyNumberFormat="0" applyBorder="0" applyAlignment="0" applyProtection="0"/>
    <xf numFmtId="0" fontId="47" fillId="46" borderId="270" applyNumberFormat="0" applyAlignment="0" applyProtection="0"/>
    <xf numFmtId="0" fontId="31" fillId="38" borderId="260">
      <alignment horizontal="right" vertical="center"/>
    </xf>
    <xf numFmtId="0" fontId="44" fillId="59" borderId="270" applyNumberFormat="0" applyAlignment="0" applyProtection="0"/>
    <xf numFmtId="0" fontId="4" fillId="35" borderId="0" applyNumberFormat="0" applyBorder="0" applyAlignment="0" applyProtection="0"/>
    <xf numFmtId="0" fontId="33" fillId="0" borderId="273" applyNumberFormat="0" applyFill="0" applyAlignment="0" applyProtection="0"/>
    <xf numFmtId="0" fontId="27" fillId="0" borderId="0" applyNumberFormat="0" applyFill="0" applyBorder="0" applyAlignment="0" applyProtection="0"/>
    <xf numFmtId="0" fontId="25" fillId="17" borderId="22" applyNumberFormat="0" applyAlignment="0" applyProtection="0"/>
    <xf numFmtId="0" fontId="1" fillId="33" borderId="0" applyNumberFormat="0" applyBorder="0" applyAlignment="0" applyProtection="0"/>
    <xf numFmtId="0" fontId="63" fillId="0" borderId="284" applyNumberFormat="0" applyFill="0" applyAlignment="0" applyProtection="0"/>
    <xf numFmtId="0" fontId="44" fillId="59" borderId="283" applyNumberFormat="0" applyAlignment="0" applyProtection="0"/>
    <xf numFmtId="4" fontId="31" fillId="38" borderId="286">
      <alignment horizontal="right" vertical="center"/>
    </xf>
    <xf numFmtId="0" fontId="33" fillId="38" borderId="289">
      <alignment horizontal="left" vertical="center" wrapText="1" indent="2"/>
    </xf>
    <xf numFmtId="177" fontId="33" fillId="63" borderId="273" applyNumberFormat="0" applyFont="0" applyBorder="0" applyAlignment="0" applyProtection="0">
      <alignment horizontal="right" vertical="center"/>
    </xf>
    <xf numFmtId="4" fontId="35" fillId="36" borderId="286">
      <alignment horizontal="right" vertical="center"/>
    </xf>
    <xf numFmtId="0" fontId="33" fillId="37" borderId="273"/>
    <xf numFmtId="0" fontId="99" fillId="15" borderId="269" applyNumberFormat="0" applyAlignment="0" applyProtection="0"/>
    <xf numFmtId="0" fontId="31" fillId="38" borderId="286">
      <alignment horizontal="right" vertical="center"/>
    </xf>
    <xf numFmtId="0" fontId="38" fillId="62" borderId="272" applyNumberFormat="0" applyFont="0" applyAlignment="0" applyProtection="0"/>
    <xf numFmtId="0" fontId="19" fillId="62" borderId="272" applyNumberFormat="0" applyFont="0" applyAlignment="0" applyProtection="0"/>
    <xf numFmtId="0" fontId="47" fillId="46" borderId="270" applyNumberFormat="0" applyAlignment="0" applyProtection="0"/>
    <xf numFmtId="0" fontId="38" fillId="62" borderId="272" applyNumberFormat="0" applyFont="0" applyAlignment="0" applyProtection="0"/>
    <xf numFmtId="4" fontId="31" fillId="36" borderId="286">
      <alignment horizontal="right" vertical="center"/>
    </xf>
    <xf numFmtId="0" fontId="33" fillId="36" borderId="261">
      <alignment horizontal="left" vertical="center"/>
    </xf>
    <xf numFmtId="0" fontId="4" fillId="35" borderId="0" applyNumberFormat="0" applyBorder="0" applyAlignment="0" applyProtection="0"/>
    <xf numFmtId="0" fontId="28" fillId="0" borderId="0" applyNumberFormat="0" applyFill="0" applyBorder="0" applyAlignment="0" applyProtection="0"/>
    <xf numFmtId="0" fontId="1" fillId="33" borderId="0" applyNumberFormat="0" applyBorder="0" applyAlignment="0" applyProtection="0"/>
    <xf numFmtId="0" fontId="1" fillId="31"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3" fillId="0" borderId="23" applyNumberFormat="0" applyFill="0" applyAlignment="0" applyProtection="0"/>
    <xf numFmtId="0" fontId="28" fillId="0" borderId="0" applyNumberFormat="0" applyFill="0" applyBorder="0" applyAlignment="0" applyProtection="0"/>
    <xf numFmtId="0" fontId="31" fillId="38" borderId="287">
      <alignment horizontal="right" vertical="center"/>
    </xf>
    <xf numFmtId="0" fontId="56" fillId="46" borderId="283" applyNumberFormat="0" applyAlignment="0" applyProtection="0"/>
    <xf numFmtId="0" fontId="26" fillId="17" borderId="10" applyNumberFormat="0" applyAlignment="0" applyProtection="0"/>
    <xf numFmtId="0" fontId="25" fillId="17" borderId="22" applyNumberFormat="0" applyAlignment="0" applyProtection="0"/>
    <xf numFmtId="0" fontId="43" fillId="59" borderId="283" applyNumberFormat="0" applyAlignment="0" applyProtection="0"/>
    <xf numFmtId="0" fontId="1" fillId="25" borderId="0" applyNumberFormat="0" applyBorder="0" applyAlignment="0" applyProtection="0"/>
    <xf numFmtId="0" fontId="63" fillId="0" borderId="271" applyNumberFormat="0" applyFill="0" applyAlignment="0" applyProtection="0"/>
    <xf numFmtId="0" fontId="1" fillId="24" borderId="0" applyNumberFormat="0" applyBorder="0" applyAlignment="0" applyProtection="0"/>
    <xf numFmtId="0" fontId="33" fillId="36" borderId="300">
      <alignment horizontal="left" vertical="center"/>
    </xf>
    <xf numFmtId="4" fontId="31" fillId="38" borderId="260">
      <alignment horizontal="right" vertical="center"/>
    </xf>
    <xf numFmtId="0" fontId="43" fillId="59" borderId="283" applyNumberFormat="0" applyAlignment="0" applyProtection="0"/>
    <xf numFmtId="177" fontId="33" fillId="63" borderId="273" applyNumberFormat="0" applyFont="0" applyBorder="0" applyAlignment="0" applyProtection="0">
      <alignment horizontal="right" vertical="center"/>
    </xf>
    <xf numFmtId="4" fontId="31" fillId="38" borderId="275">
      <alignment horizontal="right" vertical="center"/>
    </xf>
    <xf numFmtId="0" fontId="63" fillId="0" borderId="258" applyNumberFormat="0" applyFill="0" applyAlignment="0" applyProtection="0"/>
    <xf numFmtId="0" fontId="48" fillId="0" borderId="284" applyNumberFormat="0" applyFill="0" applyAlignment="0" applyProtection="0"/>
    <xf numFmtId="0" fontId="1" fillId="31" borderId="0" applyNumberFormat="0" applyBorder="0" applyAlignment="0" applyProtection="0"/>
    <xf numFmtId="43" fontId="36" fillId="0" borderId="0" applyFont="0" applyFill="0" applyBorder="0" applyAlignment="0" applyProtection="0"/>
    <xf numFmtId="0" fontId="4" fillId="29" borderId="0" applyNumberFormat="0" applyBorder="0" applyAlignment="0" applyProtection="0"/>
    <xf numFmtId="0" fontId="33" fillId="0" borderId="273" applyNumberFormat="0" applyFill="0" applyAlignment="0" applyProtection="0"/>
    <xf numFmtId="0" fontId="1" fillId="27" borderId="0" applyNumberFormat="0" applyBorder="0" applyAlignment="0" applyProtection="0"/>
    <xf numFmtId="0" fontId="38" fillId="62" borderId="285" applyNumberFormat="0" applyFont="0" applyAlignment="0" applyProtection="0"/>
    <xf numFmtId="0" fontId="56" fillId="46" borderId="270" applyNumberFormat="0" applyAlignment="0" applyProtection="0"/>
    <xf numFmtId="0" fontId="27" fillId="0" borderId="0" applyNumberFormat="0" applyFill="0" applyBorder="0" applyAlignment="0" applyProtection="0"/>
    <xf numFmtId="0" fontId="33" fillId="38" borderId="289">
      <alignment horizontal="left" vertical="center" wrapText="1" indent="2"/>
    </xf>
    <xf numFmtId="4" fontId="31" fillId="38" borderId="260">
      <alignment horizontal="right" vertical="center"/>
    </xf>
    <xf numFmtId="0" fontId="26" fillId="17" borderId="10" applyNumberFormat="0" applyAlignment="0" applyProtection="0"/>
    <xf numFmtId="4" fontId="35" fillId="36" borderId="273">
      <alignment horizontal="right" vertical="center"/>
    </xf>
    <xf numFmtId="0" fontId="60" fillId="59" borderId="269" applyNumberFormat="0" applyAlignment="0" applyProtection="0"/>
    <xf numFmtId="0" fontId="56" fillId="46" borderId="257" applyNumberFormat="0" applyAlignment="0" applyProtection="0"/>
    <xf numFmtId="0" fontId="1" fillId="30" borderId="0" applyNumberFormat="0" applyBorder="0" applyAlignment="0" applyProtection="0"/>
    <xf numFmtId="0" fontId="33" fillId="36" borderId="287">
      <alignment horizontal="left" vertical="center"/>
    </xf>
    <xf numFmtId="4" fontId="31" fillId="36" borderId="286">
      <alignment horizontal="right" vertical="center"/>
    </xf>
    <xf numFmtId="49" fontId="32" fillId="0" borderId="286" applyNumberFormat="0" applyFill="0" applyBorder="0" applyProtection="0">
      <alignment horizontal="left" vertical="center"/>
    </xf>
    <xf numFmtId="0" fontId="31" fillId="38" borderId="286">
      <alignment horizontal="right" vertical="center"/>
    </xf>
    <xf numFmtId="0" fontId="38" fillId="62" borderId="259" applyNumberFormat="0" applyFont="0" applyAlignment="0" applyProtection="0"/>
    <xf numFmtId="4" fontId="33" fillId="37" borderId="260"/>
    <xf numFmtId="177" fontId="33" fillId="63" borderId="273" applyNumberFormat="0" applyFont="0" applyBorder="0" applyAlignment="0" applyProtection="0">
      <alignment horizontal="right" vertical="center"/>
    </xf>
    <xf numFmtId="0" fontId="96" fillId="38" borderId="296" applyNumberFormat="0" applyAlignment="0" applyProtection="0"/>
    <xf numFmtId="0" fontId="31" fillId="36" borderId="273">
      <alignment horizontal="right" vertical="center"/>
    </xf>
    <xf numFmtId="0" fontId="1" fillId="22"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63" fillId="0" borderId="258" applyNumberFormat="0" applyFill="0" applyAlignment="0" applyProtection="0"/>
    <xf numFmtId="0" fontId="33" fillId="0" borderId="260">
      <alignment horizontal="right" vertical="center"/>
    </xf>
    <xf numFmtId="0" fontId="4" fillId="20" borderId="0" applyNumberFormat="0" applyBorder="0" applyAlignment="0" applyProtection="0"/>
    <xf numFmtId="0" fontId="43" fillId="59" borderId="270" applyNumberFormat="0" applyAlignment="0" applyProtection="0"/>
    <xf numFmtId="0" fontId="31" fillId="38" borderId="260">
      <alignment horizontal="right" vertical="center"/>
    </xf>
    <xf numFmtId="0" fontId="31" fillId="38" borderId="299">
      <alignment horizontal="right" vertical="center"/>
    </xf>
    <xf numFmtId="0" fontId="4" fillId="23" borderId="0" applyNumberFormat="0" applyBorder="0" applyAlignment="0" applyProtection="0"/>
    <xf numFmtId="0" fontId="63" fillId="0" borderId="271" applyNumberFormat="0" applyFill="0" applyAlignment="0" applyProtection="0"/>
    <xf numFmtId="0" fontId="56" fillId="46" borderId="296" applyNumberFormat="0" applyAlignment="0" applyProtection="0"/>
    <xf numFmtId="0" fontId="4" fillId="35" borderId="0" applyNumberFormat="0" applyBorder="0" applyAlignment="0" applyProtection="0"/>
    <xf numFmtId="4" fontId="31" fillId="38" borderId="287">
      <alignment horizontal="right" vertical="center"/>
    </xf>
    <xf numFmtId="0" fontId="1" fillId="18" borderId="0" applyNumberFormat="0" applyBorder="0" applyAlignment="0" applyProtection="0"/>
    <xf numFmtId="49" fontId="32" fillId="0" borderId="299" applyNumberFormat="0" applyFill="0" applyBorder="0" applyProtection="0">
      <alignment horizontal="left" vertical="center"/>
    </xf>
    <xf numFmtId="0" fontId="1" fillId="27" borderId="0" applyNumberFormat="0" applyBorder="0" applyAlignment="0" applyProtection="0"/>
    <xf numFmtId="0" fontId="31" fillId="36" borderId="260">
      <alignment horizontal="right" vertical="center"/>
    </xf>
    <xf numFmtId="0" fontId="1" fillId="19" borderId="0" applyNumberFormat="0" applyBorder="0" applyAlignment="0" applyProtection="0"/>
    <xf numFmtId="0" fontId="25" fillId="17" borderId="22" applyNumberFormat="0" applyAlignment="0" applyProtection="0"/>
    <xf numFmtId="4" fontId="31" fillId="38" borderId="286">
      <alignment horizontal="right" vertical="center"/>
    </xf>
    <xf numFmtId="10" fontId="18" fillId="83" borderId="273" applyNumberFormat="0" applyBorder="0" applyAlignment="0" applyProtection="0"/>
    <xf numFmtId="0" fontId="43" fillId="59" borderId="270" applyNumberFormat="0" applyAlignment="0" applyProtection="0"/>
    <xf numFmtId="0" fontId="1" fillId="21" borderId="0" applyNumberFormat="0" applyBorder="0" applyAlignment="0" applyProtection="0"/>
    <xf numFmtId="0" fontId="43" fillId="59" borderId="270" applyNumberFormat="0" applyAlignment="0" applyProtection="0"/>
    <xf numFmtId="4" fontId="31" fillId="38" borderId="288">
      <alignment horizontal="right" vertical="center"/>
    </xf>
    <xf numFmtId="0" fontId="47" fillId="46" borderId="270" applyNumberFormat="0" applyAlignment="0" applyProtection="0"/>
    <xf numFmtId="0" fontId="31" fillId="38" borderId="300">
      <alignment horizontal="right" vertical="center"/>
    </xf>
    <xf numFmtId="0" fontId="56" fillId="46" borderId="283" applyNumberFormat="0" applyAlignment="0" applyProtection="0"/>
    <xf numFmtId="49" fontId="32" fillId="0" borderId="286" applyNumberFormat="0" applyFill="0" applyBorder="0" applyProtection="0">
      <alignment horizontal="left" vertical="center"/>
    </xf>
    <xf numFmtId="0" fontId="35" fillId="36" borderId="273">
      <alignment horizontal="right" vertical="center"/>
    </xf>
    <xf numFmtId="0" fontId="33" fillId="0" borderId="260" applyNumberFormat="0" applyFill="0" applyAlignment="0" applyProtection="0"/>
    <xf numFmtId="0" fontId="1" fillId="19" borderId="0" applyNumberFormat="0" applyBorder="0" applyAlignment="0" applyProtection="0"/>
    <xf numFmtId="0" fontId="56" fillId="46" borderId="270" applyNumberFormat="0" applyAlignment="0" applyProtection="0"/>
    <xf numFmtId="0" fontId="33" fillId="36" borderId="261">
      <alignment horizontal="left" vertical="center"/>
    </xf>
    <xf numFmtId="49" fontId="32" fillId="0" borderId="260" applyNumberFormat="0" applyFill="0" applyBorder="0" applyProtection="0">
      <alignment horizontal="left" vertical="center"/>
    </xf>
    <xf numFmtId="0" fontId="4" fillId="29"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25" fillId="17" borderId="22" applyNumberFormat="0" applyAlignment="0" applyProtection="0"/>
    <xf numFmtId="0" fontId="33" fillId="0" borderId="273">
      <alignment horizontal="right" vertical="center"/>
    </xf>
    <xf numFmtId="0" fontId="1" fillId="28" borderId="0" applyNumberFormat="0" applyBorder="0" applyAlignment="0" applyProtection="0"/>
    <xf numFmtId="0" fontId="33" fillId="0" borderId="260" applyNumberFormat="0" applyFill="0" applyAlignment="0" applyProtection="0"/>
    <xf numFmtId="0" fontId="31" fillId="38" borderId="262">
      <alignment horizontal="right" vertical="center"/>
    </xf>
    <xf numFmtId="0" fontId="44" fillId="59" borderId="296" applyNumberFormat="0" applyAlignment="0" applyProtection="0"/>
    <xf numFmtId="0" fontId="38" fillId="62" borderId="285" applyNumberFormat="0" applyFont="0" applyAlignment="0" applyProtection="0"/>
    <xf numFmtId="0" fontId="31" fillId="38" borderId="300">
      <alignment horizontal="right" vertical="center"/>
    </xf>
    <xf numFmtId="0" fontId="56" fillId="46" borderId="283" applyNumberFormat="0" applyAlignment="0" applyProtection="0"/>
    <xf numFmtId="0" fontId="38" fillId="62" borderId="285" applyNumberFormat="0" applyFont="0" applyAlignment="0" applyProtection="0"/>
    <xf numFmtId="0" fontId="48" fillId="0" borderId="284" applyNumberFormat="0" applyFill="0" applyAlignment="0" applyProtection="0"/>
    <xf numFmtId="0" fontId="31" fillId="38" borderId="260">
      <alignment horizontal="right" vertical="center"/>
    </xf>
    <xf numFmtId="0" fontId="31" fillId="36" borderId="286">
      <alignment horizontal="right" vertical="center"/>
    </xf>
    <xf numFmtId="0" fontId="33" fillId="0" borderId="260" applyNumberFormat="0" applyFill="0" applyAlignment="0" applyProtection="0"/>
    <xf numFmtId="0" fontId="47" fillId="46" borderId="296" applyNumberFormat="0" applyAlignment="0" applyProtection="0"/>
    <xf numFmtId="0" fontId="44" fillId="59" borderId="257" applyNumberFormat="0" applyAlignment="0" applyProtection="0"/>
    <xf numFmtId="183" fontId="124" fillId="62" borderId="249" applyNumberFormat="0" applyFont="0" applyAlignment="0" applyProtection="0"/>
    <xf numFmtId="4" fontId="31" fillId="38" borderId="274">
      <alignment horizontal="right" vertical="center"/>
    </xf>
    <xf numFmtId="0" fontId="48" fillId="0" borderId="284" applyNumberFormat="0" applyFill="0" applyAlignment="0" applyProtection="0"/>
    <xf numFmtId="0" fontId="33" fillId="36" borderId="274">
      <alignment horizontal="left" vertical="center"/>
    </xf>
    <xf numFmtId="183" fontId="124" fillId="62" borderId="249" applyNumberFormat="0" applyFont="0" applyAlignment="0" applyProtection="0"/>
    <xf numFmtId="183" fontId="124" fillId="62" borderId="249" applyNumberFormat="0" applyFont="0" applyAlignment="0" applyProtection="0"/>
    <xf numFmtId="0" fontId="47" fillId="46" borderId="270" applyNumberFormat="0" applyAlignment="0" applyProtection="0"/>
    <xf numFmtId="183" fontId="124" fillId="62" borderId="249" applyNumberFormat="0" applyFont="0" applyAlignment="0" applyProtection="0"/>
    <xf numFmtId="0" fontId="33" fillId="37" borderId="286"/>
    <xf numFmtId="0" fontId="25" fillId="17" borderId="22" applyNumberFormat="0" applyAlignment="0" applyProtection="0"/>
    <xf numFmtId="0" fontId="56" fillId="46" borderId="257" applyNumberFormat="0" applyAlignment="0" applyProtection="0"/>
    <xf numFmtId="0" fontId="33" fillId="38" borderId="263">
      <alignment horizontal="left" vertical="center" wrapText="1" indent="2"/>
    </xf>
    <xf numFmtId="0" fontId="63" fillId="0" borderId="258" applyNumberFormat="0" applyFill="0" applyAlignment="0" applyProtection="0"/>
    <xf numFmtId="0" fontId="47" fillId="46" borderId="257" applyNumberFormat="0" applyAlignment="0" applyProtection="0"/>
    <xf numFmtId="0" fontId="31" fillId="38" borderId="299">
      <alignment horizontal="right" vertical="center"/>
    </xf>
    <xf numFmtId="0" fontId="48" fillId="0" borderId="258" applyNumberFormat="0" applyFill="0" applyAlignment="0" applyProtection="0"/>
    <xf numFmtId="4" fontId="33" fillId="0" borderId="260">
      <alignment horizontal="right" vertical="center"/>
    </xf>
    <xf numFmtId="0" fontId="44" fillId="59" borderId="257" applyNumberFormat="0" applyAlignment="0" applyProtection="0"/>
    <xf numFmtId="4" fontId="33" fillId="0" borderId="260" applyFill="0" applyBorder="0" applyProtection="0">
      <alignment horizontal="right" vertical="center"/>
    </xf>
    <xf numFmtId="0" fontId="1" fillId="22" borderId="0" applyNumberFormat="0" applyBorder="0" applyAlignment="0" applyProtection="0"/>
    <xf numFmtId="0" fontId="60" fillId="59" borderId="256" applyNumberFormat="0" applyAlignment="0" applyProtection="0"/>
    <xf numFmtId="0" fontId="27" fillId="0" borderId="0" applyNumberFormat="0" applyFill="0" applyBorder="0" applyAlignment="0" applyProtection="0"/>
    <xf numFmtId="0" fontId="48" fillId="0" borderId="297" applyNumberFormat="0" applyFill="0" applyAlignment="0" applyProtection="0"/>
    <xf numFmtId="0" fontId="33" fillId="38" borderId="289">
      <alignment horizontal="left" vertical="center" wrapText="1" indent="2"/>
    </xf>
    <xf numFmtId="4" fontId="33" fillId="37" borderId="286"/>
    <xf numFmtId="0" fontId="19" fillId="62" borderId="272" applyNumberFormat="0" applyFont="0" applyAlignment="0" applyProtection="0"/>
    <xf numFmtId="4" fontId="31" fillId="38" borderId="299">
      <alignment horizontal="right" vertical="center"/>
    </xf>
    <xf numFmtId="0" fontId="33" fillId="0" borderId="276">
      <alignment horizontal="left" vertical="center" wrapText="1" indent="2"/>
    </xf>
    <xf numFmtId="4" fontId="33" fillId="0" borderId="260" applyFill="0" applyBorder="0" applyProtection="0">
      <alignment horizontal="right" vertical="center"/>
    </xf>
    <xf numFmtId="4" fontId="35" fillId="36" borderId="286">
      <alignment horizontal="right" vertical="center"/>
    </xf>
    <xf numFmtId="0" fontId="44" fillId="59" borderId="257" applyNumberFormat="0" applyAlignment="0" applyProtection="0"/>
    <xf numFmtId="0" fontId="35" fillId="36" borderId="286">
      <alignment horizontal="right" vertical="center"/>
    </xf>
    <xf numFmtId="0" fontId="4" fillId="26" borderId="0" applyNumberFormat="0" applyBorder="0" applyAlignment="0" applyProtection="0"/>
    <xf numFmtId="0" fontId="60" fillId="59" borderId="295" applyNumberFormat="0" applyAlignment="0" applyProtection="0"/>
    <xf numFmtId="0" fontId="38" fillId="62" borderId="272" applyNumberFormat="0" applyFont="0" applyAlignment="0" applyProtection="0"/>
    <xf numFmtId="0" fontId="33" fillId="38" borderId="276">
      <alignment horizontal="left" vertical="center" wrapText="1" indent="2"/>
    </xf>
    <xf numFmtId="0" fontId="56" fillId="46" borderId="270" applyNumberFormat="0" applyAlignment="0" applyProtection="0"/>
    <xf numFmtId="0" fontId="31" fillId="38" borderId="273">
      <alignment horizontal="right" vertical="center"/>
    </xf>
    <xf numFmtId="0" fontId="1" fillId="28" borderId="0" applyNumberFormat="0" applyBorder="0" applyAlignment="0" applyProtection="0"/>
    <xf numFmtId="43" fontId="22" fillId="0" borderId="0" applyFont="0" applyFill="0" applyBorder="0" applyAlignment="0" applyProtection="0"/>
    <xf numFmtId="0" fontId="1" fillId="18" borderId="0" applyNumberFormat="0" applyBorder="0" applyAlignment="0" applyProtection="0"/>
    <xf numFmtId="0" fontId="33" fillId="0" borderId="286">
      <alignment horizontal="right" vertical="center"/>
    </xf>
    <xf numFmtId="0" fontId="33" fillId="0" borderId="276">
      <alignment horizontal="left" vertical="center" wrapText="1" indent="2"/>
    </xf>
    <xf numFmtId="0" fontId="31" fillId="38" borderId="301">
      <alignment horizontal="right" vertical="center"/>
    </xf>
    <xf numFmtId="0" fontId="63" fillId="0" borderId="271" applyNumberFormat="0" applyFill="0" applyAlignment="0" applyProtection="0"/>
    <xf numFmtId="0" fontId="31" fillId="38" borderId="286">
      <alignment horizontal="right" vertical="center"/>
    </xf>
    <xf numFmtId="4" fontId="35" fillId="36" borderId="273">
      <alignment horizontal="right" vertical="center"/>
    </xf>
    <xf numFmtId="0" fontId="33" fillId="0" borderId="273">
      <alignment horizontal="right" vertical="center"/>
    </xf>
    <xf numFmtId="0" fontId="38" fillId="62" borderId="298" applyNumberFormat="0" applyFont="0" applyAlignment="0" applyProtection="0"/>
    <xf numFmtId="0" fontId="33" fillId="36" borderId="261">
      <alignment horizontal="left" vertical="center"/>
    </xf>
    <xf numFmtId="0" fontId="35" fillId="36" borderId="260">
      <alignment horizontal="right" vertical="center"/>
    </xf>
    <xf numFmtId="0" fontId="56" fillId="46" borderId="257" applyNumberFormat="0" applyAlignment="0" applyProtection="0"/>
    <xf numFmtId="4" fontId="31" fillId="36" borderId="260">
      <alignment horizontal="right" vertical="center"/>
    </xf>
    <xf numFmtId="0" fontId="43" fillId="59" borderId="257" applyNumberFormat="0" applyAlignment="0" applyProtection="0"/>
    <xf numFmtId="4" fontId="33" fillId="0" borderId="273">
      <alignment horizontal="right" vertical="center"/>
    </xf>
    <xf numFmtId="0" fontId="19" fillId="62" borderId="298" applyNumberFormat="0" applyFont="0" applyAlignment="0" applyProtection="0"/>
    <xf numFmtId="0" fontId="1" fillId="27" borderId="0" applyNumberFormat="0" applyBorder="0" applyAlignment="0" applyProtection="0"/>
    <xf numFmtId="0" fontId="1" fillId="25" borderId="0" applyNumberFormat="0" applyBorder="0" applyAlignment="0" applyProtection="0"/>
    <xf numFmtId="4" fontId="33" fillId="0" borderId="273" applyFill="0" applyBorder="0" applyProtection="0">
      <alignment horizontal="right" vertical="center"/>
    </xf>
    <xf numFmtId="0" fontId="31" fillId="36" borderId="260">
      <alignment horizontal="right" vertical="center"/>
    </xf>
    <xf numFmtId="0" fontId="19" fillId="62" borderId="259" applyNumberFormat="0" applyFont="0" applyAlignment="0" applyProtection="0"/>
    <xf numFmtId="0" fontId="47" fillId="46" borderId="257" applyNumberFormat="0" applyAlignment="0" applyProtection="0"/>
    <xf numFmtId="0" fontId="60" fillId="59" borderId="256" applyNumberFormat="0" applyAlignment="0" applyProtection="0"/>
    <xf numFmtId="4" fontId="35" fillId="36" borderId="260">
      <alignment horizontal="right" vertical="center"/>
    </xf>
    <xf numFmtId="0" fontId="33" fillId="38" borderId="263">
      <alignment horizontal="left" vertical="center" wrapText="1" indent="2"/>
    </xf>
    <xf numFmtId="0" fontId="38" fillId="62" borderId="259" applyNumberFormat="0" applyFont="0" applyAlignment="0" applyProtection="0"/>
    <xf numFmtId="4" fontId="31" fillId="38" borderId="261">
      <alignment horizontal="right" vertical="center"/>
    </xf>
    <xf numFmtId="0" fontId="56" fillId="46" borderId="257" applyNumberFormat="0" applyAlignment="0" applyProtection="0"/>
    <xf numFmtId="0" fontId="31" fillId="38" borderId="260">
      <alignment horizontal="right" vertical="center"/>
    </xf>
    <xf numFmtId="0" fontId="31" fillId="36" borderId="260">
      <alignment horizontal="right" vertical="center"/>
    </xf>
    <xf numFmtId="0" fontId="31" fillId="38" borderId="260">
      <alignment horizontal="right" vertical="center"/>
    </xf>
    <xf numFmtId="0" fontId="33" fillId="36" borderId="261">
      <alignment horizontal="left" vertical="center"/>
    </xf>
    <xf numFmtId="0" fontId="44" fillId="59" borderId="257" applyNumberFormat="0" applyAlignment="0" applyProtection="0"/>
    <xf numFmtId="4" fontId="31" fillId="38" borderId="260">
      <alignment horizontal="right" vertical="center"/>
    </xf>
    <xf numFmtId="0" fontId="31" fillId="36" borderId="260">
      <alignment horizontal="right" vertical="center"/>
    </xf>
    <xf numFmtId="0" fontId="47" fillId="46" borderId="257" applyNumberFormat="0" applyAlignment="0" applyProtection="0"/>
    <xf numFmtId="4" fontId="33" fillId="37" borderId="260"/>
    <xf numFmtId="0" fontId="38" fillId="62" borderId="259" applyNumberFormat="0" applyFont="0" applyAlignment="0" applyProtection="0"/>
    <xf numFmtId="0" fontId="33" fillId="38" borderId="263">
      <alignment horizontal="left" vertical="center" wrapText="1" indent="2"/>
    </xf>
    <xf numFmtId="0" fontId="38" fillId="62" borderId="259" applyNumberFormat="0" applyFont="0" applyAlignment="0" applyProtection="0"/>
    <xf numFmtId="0" fontId="31" fillId="38" borderId="260">
      <alignment horizontal="right" vertical="center"/>
    </xf>
    <xf numFmtId="0" fontId="56" fillId="46" borderId="257" applyNumberFormat="0" applyAlignment="0" applyProtection="0"/>
    <xf numFmtId="0" fontId="33" fillId="0" borderId="263">
      <alignment horizontal="left" vertical="center" wrapText="1" indent="2"/>
    </xf>
    <xf numFmtId="4" fontId="33" fillId="0" borderId="260" applyFill="0" applyBorder="0" applyProtection="0">
      <alignment horizontal="right" vertical="center"/>
    </xf>
    <xf numFmtId="4" fontId="33" fillId="0" borderId="260">
      <alignment horizontal="right" vertical="center"/>
    </xf>
    <xf numFmtId="0" fontId="47" fillId="46" borderId="257" applyNumberFormat="0" applyAlignment="0" applyProtection="0"/>
    <xf numFmtId="0" fontId="44" fillId="59" borderId="257" applyNumberFormat="0" applyAlignment="0" applyProtection="0"/>
    <xf numFmtId="0" fontId="47" fillId="46" borderId="257" applyNumberFormat="0" applyAlignment="0" applyProtection="0"/>
    <xf numFmtId="4" fontId="31" fillId="38" borderId="261">
      <alignment horizontal="right" vertical="center"/>
    </xf>
    <xf numFmtId="177" fontId="33" fillId="63" borderId="260" applyNumberFormat="0" applyFont="0" applyBorder="0" applyAlignment="0" applyProtection="0">
      <alignment horizontal="right" vertical="center"/>
    </xf>
    <xf numFmtId="0" fontId="33" fillId="0" borderId="260" applyNumberFormat="0" applyFill="0" applyAlignment="0" applyProtection="0"/>
    <xf numFmtId="0" fontId="19" fillId="62" borderId="259" applyNumberFormat="0" applyFont="0" applyAlignment="0" applyProtection="0"/>
    <xf numFmtId="0" fontId="33" fillId="38" borderId="263">
      <alignment horizontal="left" vertical="center" wrapText="1" indent="2"/>
    </xf>
    <xf numFmtId="4" fontId="31" fillId="36" borderId="260">
      <alignment horizontal="right" vertical="center"/>
    </xf>
    <xf numFmtId="0" fontId="31" fillId="38" borderId="260">
      <alignment horizontal="right" vertical="center"/>
    </xf>
    <xf numFmtId="0" fontId="47" fillId="46" borderId="283" applyNumberFormat="0" applyAlignment="0" applyProtection="0"/>
    <xf numFmtId="0" fontId="33" fillId="0" borderId="260">
      <alignment horizontal="right" vertical="center"/>
    </xf>
    <xf numFmtId="0" fontId="33" fillId="0" borderId="263">
      <alignment horizontal="left" vertical="center" wrapText="1" indent="2"/>
    </xf>
    <xf numFmtId="0" fontId="48" fillId="0" borderId="258" applyNumberFormat="0" applyFill="0" applyAlignment="0" applyProtection="0"/>
    <xf numFmtId="0" fontId="56" fillId="46" borderId="257" applyNumberFormat="0" applyAlignment="0" applyProtection="0"/>
    <xf numFmtId="0" fontId="41" fillId="59" borderId="256" applyNumberFormat="0" applyAlignment="0" applyProtection="0"/>
    <xf numFmtId="0" fontId="35" fillId="36" borderId="260">
      <alignment horizontal="right" vertical="center"/>
    </xf>
    <xf numFmtId="0" fontId="33" fillId="37" borderId="260"/>
    <xf numFmtId="4" fontId="33" fillId="0" borderId="260">
      <alignment horizontal="right" vertical="center"/>
    </xf>
    <xf numFmtId="0" fontId="38" fillId="62" borderId="259" applyNumberFormat="0" applyFont="0" applyAlignment="0" applyProtection="0"/>
    <xf numFmtId="49" fontId="33" fillId="0" borderId="260" applyNumberFormat="0" applyFont="0" applyFill="0" applyBorder="0" applyProtection="0">
      <alignment horizontal="left" vertical="center" indent="2"/>
    </xf>
    <xf numFmtId="0" fontId="33" fillId="37" borderId="260"/>
    <xf numFmtId="4" fontId="31" fillId="38" borderId="260">
      <alignment horizontal="right" vertical="center"/>
    </xf>
    <xf numFmtId="4" fontId="31" fillId="36" borderId="273">
      <alignment horizontal="right" vertical="center"/>
    </xf>
    <xf numFmtId="0" fontId="1" fillId="22"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31" fillId="38" borderId="260">
      <alignment horizontal="right" vertical="center"/>
    </xf>
    <xf numFmtId="49" fontId="33" fillId="0" borderId="261" applyNumberFormat="0" applyFont="0" applyFill="0" applyBorder="0" applyProtection="0">
      <alignment horizontal="left" vertical="center" indent="5"/>
    </xf>
    <xf numFmtId="0" fontId="31" fillId="38" borderId="286">
      <alignment horizontal="right" vertical="center"/>
    </xf>
    <xf numFmtId="0" fontId="44" fillId="59" borderId="270" applyNumberFormat="0" applyAlignment="0" applyProtection="0"/>
    <xf numFmtId="0" fontId="1" fillId="18" borderId="0" applyNumberFormat="0" applyBorder="0" applyAlignment="0" applyProtection="0"/>
    <xf numFmtId="0" fontId="76" fillId="83" borderId="298" applyNumberFormat="0" applyFont="0" applyAlignment="0" applyProtection="0"/>
    <xf numFmtId="0" fontId="33" fillId="0" borderId="286" applyNumberFormat="0" applyFill="0" applyAlignment="0" applyProtection="0"/>
    <xf numFmtId="0" fontId="1" fillId="19" borderId="0" applyNumberFormat="0" applyBorder="0" applyAlignment="0" applyProtection="0"/>
    <xf numFmtId="0" fontId="4" fillId="26" borderId="0" applyNumberFormat="0" applyBorder="0" applyAlignment="0" applyProtection="0"/>
    <xf numFmtId="4" fontId="33" fillId="37" borderId="286"/>
    <xf numFmtId="4" fontId="31" fillId="38" borderId="299">
      <alignment horizontal="right" vertical="center"/>
    </xf>
    <xf numFmtId="0" fontId="48" fillId="0" borderId="284" applyNumberFormat="0" applyFill="0" applyAlignment="0" applyProtection="0"/>
    <xf numFmtId="0" fontId="56" fillId="46" borderId="283" applyNumberFormat="0" applyAlignment="0" applyProtection="0"/>
    <xf numFmtId="0" fontId="56" fillId="46" borderId="270" applyNumberFormat="0" applyAlignment="0" applyProtection="0"/>
    <xf numFmtId="0" fontId="33" fillId="0" borderId="289">
      <alignment horizontal="left" vertical="center" wrapText="1" indent="2"/>
    </xf>
    <xf numFmtId="0" fontId="25" fillId="17" borderId="22" applyNumberFormat="0" applyAlignment="0" applyProtection="0"/>
    <xf numFmtId="0" fontId="63" fillId="0" borderId="271" applyNumberFormat="0" applyFill="0" applyAlignment="0" applyProtection="0"/>
    <xf numFmtId="4" fontId="35" fillId="36" borderId="273">
      <alignment horizontal="right" vertical="center"/>
    </xf>
    <xf numFmtId="49" fontId="32" fillId="0" borderId="273" applyNumberFormat="0" applyFill="0" applyBorder="0" applyProtection="0">
      <alignment horizontal="left" vertical="center"/>
    </xf>
    <xf numFmtId="49" fontId="33" fillId="0" borderId="274" applyNumberFormat="0" applyFont="0" applyFill="0" applyBorder="0" applyProtection="0">
      <alignment horizontal="left" vertical="center" indent="5"/>
    </xf>
    <xf numFmtId="0" fontId="31" fillId="38" borderId="273">
      <alignment horizontal="right" vertical="center"/>
    </xf>
    <xf numFmtId="0" fontId="44" fillId="59" borderId="283" applyNumberFormat="0" applyAlignment="0" applyProtection="0"/>
    <xf numFmtId="0" fontId="44" fillId="59" borderId="283" applyNumberFormat="0" applyAlignment="0" applyProtection="0"/>
    <xf numFmtId="4" fontId="31" fillId="38" borderId="301">
      <alignment horizontal="right" vertical="center"/>
    </xf>
    <xf numFmtId="0" fontId="76" fillId="83" borderId="298" applyNumberFormat="0" applyFont="0" applyAlignment="0" applyProtection="0"/>
    <xf numFmtId="0" fontId="28" fillId="0" borderId="0" applyNumberFormat="0" applyFill="0" applyBorder="0" applyAlignment="0" applyProtection="0"/>
    <xf numFmtId="0" fontId="44" fillId="59" borderId="283" applyNumberFormat="0" applyAlignment="0" applyProtection="0"/>
    <xf numFmtId="0" fontId="47" fillId="46" borderId="257" applyNumberFormat="0" applyAlignment="0" applyProtection="0"/>
    <xf numFmtId="4" fontId="33" fillId="0" borderId="260" applyFill="0" applyBorder="0" applyProtection="0">
      <alignment horizontal="right" vertical="center"/>
    </xf>
    <xf numFmtId="0" fontId="1" fillId="24" borderId="0" applyNumberFormat="0" applyBorder="0" applyAlignment="0" applyProtection="0"/>
    <xf numFmtId="0" fontId="43" fillId="59" borderId="270" applyNumberFormat="0" applyAlignment="0" applyProtection="0"/>
    <xf numFmtId="0" fontId="35" fillId="36" borderId="286">
      <alignment horizontal="right" vertical="center"/>
    </xf>
    <xf numFmtId="0" fontId="33" fillId="38" borderId="276">
      <alignment horizontal="left" vertical="center" wrapText="1" indent="2"/>
    </xf>
    <xf numFmtId="49" fontId="32" fillId="0" borderId="273" applyNumberFormat="0" applyFill="0" applyBorder="0" applyProtection="0">
      <alignment horizontal="left" vertical="center"/>
    </xf>
    <xf numFmtId="0" fontId="26" fillId="17" borderId="10" applyNumberFormat="0" applyAlignment="0" applyProtection="0"/>
    <xf numFmtId="0" fontId="43" fillId="59" borderId="296" applyNumberFormat="0" applyAlignment="0" applyProtection="0"/>
    <xf numFmtId="0" fontId="33" fillId="0" borderId="276">
      <alignment horizontal="left" vertical="center" wrapText="1" indent="2"/>
    </xf>
    <xf numFmtId="4" fontId="33" fillId="37" borderId="286"/>
    <xf numFmtId="0" fontId="139" fillId="0" borderId="281">
      <alignment horizontal="left" vertical="center"/>
    </xf>
    <xf numFmtId="0" fontId="1" fillId="28" borderId="0" applyNumberFormat="0" applyBorder="0" applyAlignment="0" applyProtection="0"/>
    <xf numFmtId="0" fontId="1" fillId="33" borderId="0" applyNumberFormat="0" applyBorder="0" applyAlignment="0" applyProtection="0"/>
    <xf numFmtId="0" fontId="1" fillId="24" borderId="0" applyNumberFormat="0" applyBorder="0" applyAlignment="0" applyProtection="0"/>
    <xf numFmtId="0" fontId="27" fillId="0" borderId="0" applyNumberFormat="0" applyFill="0" applyBorder="0" applyAlignment="0" applyProtection="0"/>
    <xf numFmtId="0" fontId="1" fillId="25" borderId="0" applyNumberFormat="0" applyBorder="0" applyAlignment="0" applyProtection="0"/>
    <xf numFmtId="0" fontId="48" fillId="0" borderId="284" applyNumberFormat="0" applyFill="0" applyAlignment="0" applyProtection="0"/>
    <xf numFmtId="0" fontId="1" fillId="27" borderId="0" applyNumberFormat="0" applyBorder="0" applyAlignment="0" applyProtection="0"/>
    <xf numFmtId="4" fontId="35" fillId="36" borderId="286">
      <alignment horizontal="right" vertical="center"/>
    </xf>
    <xf numFmtId="0" fontId="25" fillId="17" borderId="22" applyNumberFormat="0" applyAlignment="0" applyProtection="0"/>
    <xf numFmtId="4" fontId="31" fillId="38" borderId="301">
      <alignment horizontal="right" vertical="center"/>
    </xf>
    <xf numFmtId="4" fontId="35" fillId="36" borderId="273">
      <alignment horizontal="right" vertical="center"/>
    </xf>
    <xf numFmtId="43" fontId="22" fillId="0" borderId="0" applyFont="0" applyFill="0" applyBorder="0" applyAlignment="0" applyProtection="0"/>
    <xf numFmtId="0" fontId="56" fillId="46" borderId="283" applyNumberFormat="0" applyAlignment="0" applyProtection="0"/>
    <xf numFmtId="0" fontId="31" fillId="38" borderId="273">
      <alignment horizontal="right" vertical="center"/>
    </xf>
    <xf numFmtId="0" fontId="38" fillId="62" borderId="272" applyNumberFormat="0" applyFont="0" applyAlignment="0" applyProtection="0"/>
    <xf numFmtId="0" fontId="60" fillId="59" borderId="282" applyNumberFormat="0" applyAlignment="0" applyProtection="0"/>
    <xf numFmtId="49" fontId="32" fillId="0" borderId="299" applyNumberFormat="0" applyFill="0" applyBorder="0" applyProtection="0">
      <alignment horizontal="left" vertical="center"/>
    </xf>
    <xf numFmtId="0" fontId="44" fillId="59" borderId="257" applyNumberFormat="0" applyAlignment="0" applyProtection="0"/>
    <xf numFmtId="0" fontId="35" fillId="36" borderId="260">
      <alignment horizontal="right" vertical="center"/>
    </xf>
    <xf numFmtId="0" fontId="33" fillId="38" borderId="263">
      <alignment horizontal="left" vertical="center" wrapText="1" indent="2"/>
    </xf>
    <xf numFmtId="4" fontId="31" fillId="38" borderId="300">
      <alignment horizontal="right" vertical="center"/>
    </xf>
    <xf numFmtId="0" fontId="4" fillId="35" borderId="0" applyNumberFormat="0" applyBorder="0" applyAlignment="0" applyProtection="0"/>
    <xf numFmtId="0" fontId="31" fillId="38" borderId="273">
      <alignment horizontal="right" vertical="center"/>
    </xf>
    <xf numFmtId="0" fontId="33" fillId="0" borderId="299" applyNumberFormat="0" applyFill="0" applyAlignment="0" applyProtection="0"/>
    <xf numFmtId="0" fontId="1" fillId="31" borderId="0" applyNumberFormat="0" applyBorder="0" applyAlignment="0" applyProtection="0"/>
    <xf numFmtId="0" fontId="56" fillId="46" borderId="283" applyNumberFormat="0" applyAlignment="0" applyProtection="0"/>
    <xf numFmtId="0" fontId="1" fillId="27" borderId="0" applyNumberFormat="0" applyBorder="0" applyAlignment="0" applyProtection="0"/>
    <xf numFmtId="4" fontId="35" fillId="36" borderId="299">
      <alignment horizontal="right" vertical="center"/>
    </xf>
    <xf numFmtId="0" fontId="33" fillId="36" borderId="274">
      <alignment horizontal="left" vertical="center"/>
    </xf>
    <xf numFmtId="0" fontId="38" fillId="62" borderId="272" applyNumberFormat="0" applyFont="0" applyAlignment="0" applyProtection="0"/>
    <xf numFmtId="4" fontId="31" fillId="38" borderId="273">
      <alignment horizontal="right" vertical="center"/>
    </xf>
    <xf numFmtId="0" fontId="33" fillId="38" borderId="276">
      <alignment horizontal="left" vertical="center" wrapText="1" indent="2"/>
    </xf>
    <xf numFmtId="0" fontId="4" fillId="32" borderId="0" applyNumberFormat="0" applyBorder="0" applyAlignment="0" applyProtection="0"/>
    <xf numFmtId="177" fontId="33" fillId="63" borderId="273" applyNumberFormat="0" applyFont="0" applyBorder="0" applyAlignment="0" applyProtection="0">
      <alignment horizontal="right" vertical="center"/>
    </xf>
    <xf numFmtId="0" fontId="4"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31" fillId="38" borderId="275">
      <alignment horizontal="right" vertical="center"/>
    </xf>
    <xf numFmtId="0" fontId="31" fillId="36" borderId="260">
      <alignment horizontal="right" vertical="center"/>
    </xf>
    <xf numFmtId="49" fontId="33" fillId="0" borderId="260" applyNumberFormat="0" applyFont="0" applyFill="0" applyBorder="0" applyProtection="0">
      <alignment horizontal="left" vertical="center" indent="2"/>
    </xf>
    <xf numFmtId="0" fontId="33" fillId="38" borderId="263">
      <alignment horizontal="left" vertical="center" wrapText="1" indent="2"/>
    </xf>
    <xf numFmtId="0" fontId="48" fillId="0" borderId="258" applyNumberFormat="0" applyFill="0" applyAlignment="0" applyProtection="0"/>
    <xf numFmtId="49" fontId="32" fillId="0" borderId="260" applyNumberFormat="0" applyFill="0" applyBorder="0" applyProtection="0">
      <alignment horizontal="left" vertical="center"/>
    </xf>
    <xf numFmtId="49" fontId="33" fillId="0" borderId="261" applyNumberFormat="0" applyFont="0" applyFill="0" applyBorder="0" applyProtection="0">
      <alignment horizontal="left" vertical="center" indent="5"/>
    </xf>
    <xf numFmtId="4" fontId="31" fillId="38" borderId="262">
      <alignment horizontal="right" vertical="center"/>
    </xf>
    <xf numFmtId="0" fontId="56" fillId="46" borderId="257" applyNumberFormat="0" applyAlignment="0" applyProtection="0"/>
    <xf numFmtId="0" fontId="56" fillId="46" borderId="257" applyNumberFormat="0" applyAlignment="0" applyProtection="0"/>
    <xf numFmtId="49" fontId="33" fillId="0" borderId="260" applyNumberFormat="0" applyFont="0" applyFill="0" applyBorder="0" applyProtection="0">
      <alignment horizontal="left" vertical="center" indent="2"/>
    </xf>
    <xf numFmtId="49" fontId="33" fillId="0" borderId="261" applyNumberFormat="0" applyFont="0" applyFill="0" applyBorder="0" applyProtection="0">
      <alignment horizontal="left" vertical="center" indent="5"/>
    </xf>
    <xf numFmtId="49" fontId="32" fillId="0" borderId="260" applyNumberFormat="0" applyFill="0" applyBorder="0" applyProtection="0">
      <alignment horizontal="left" vertical="center"/>
    </xf>
    <xf numFmtId="0" fontId="41" fillId="59" borderId="256" applyNumberFormat="0" applyAlignment="0" applyProtection="0"/>
    <xf numFmtId="0" fontId="31" fillId="38" borderId="262">
      <alignment horizontal="right" vertical="center"/>
    </xf>
    <xf numFmtId="49" fontId="32" fillId="0" borderId="260" applyNumberFormat="0" applyFill="0" applyBorder="0" applyProtection="0">
      <alignment horizontal="left" vertical="center"/>
    </xf>
    <xf numFmtId="0" fontId="33" fillId="0" borderId="263">
      <alignment horizontal="left" vertical="center" wrapText="1" indent="2"/>
    </xf>
    <xf numFmtId="177" fontId="33" fillId="63" borderId="260" applyNumberFormat="0" applyFont="0" applyBorder="0" applyAlignment="0" applyProtection="0">
      <alignment horizontal="right" vertical="center"/>
    </xf>
    <xf numFmtId="4" fontId="35" fillId="36" borderId="260">
      <alignment horizontal="right" vertical="center"/>
    </xf>
    <xf numFmtId="0" fontId="31" fillId="36" borderId="260">
      <alignment horizontal="right" vertical="center"/>
    </xf>
    <xf numFmtId="4" fontId="31" fillId="38" borderId="260">
      <alignment horizontal="right" vertical="center"/>
    </xf>
    <xf numFmtId="0" fontId="35" fillId="36" borderId="260">
      <alignment horizontal="right" vertical="center"/>
    </xf>
    <xf numFmtId="0" fontId="60" fillId="59" borderId="256" applyNumberFormat="0" applyAlignment="0" applyProtection="0"/>
    <xf numFmtId="0" fontId="1" fillId="18" borderId="0" applyNumberFormat="0" applyBorder="0" applyAlignment="0" applyProtection="0"/>
    <xf numFmtId="224" fontId="127" fillId="0" borderId="54">
      <alignment horizontal="right"/>
    </xf>
    <xf numFmtId="0" fontId="19" fillId="62" borderId="272" applyNumberFormat="0" applyFont="0" applyAlignment="0" applyProtection="0"/>
    <xf numFmtId="0" fontId="35" fillId="36" borderId="273">
      <alignment horizontal="right" vertical="center"/>
    </xf>
    <xf numFmtId="4" fontId="31" fillId="38" borderId="288">
      <alignment horizontal="right" vertical="center"/>
    </xf>
    <xf numFmtId="0" fontId="1" fillId="21" borderId="0" applyNumberFormat="0" applyBorder="0" applyAlignment="0" applyProtection="0"/>
    <xf numFmtId="0" fontId="1" fillId="22" borderId="0" applyNumberFormat="0" applyBorder="0" applyAlignment="0" applyProtection="0"/>
    <xf numFmtId="0" fontId="63" fillId="0" borderId="258" applyNumberFormat="0" applyFill="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2" fontId="80" fillId="1" borderId="247" applyNumberFormat="0" applyBorder="0" applyProtection="0">
      <alignment horizontal="left"/>
    </xf>
    <xf numFmtId="0" fontId="1" fillId="25" borderId="0" applyNumberFormat="0" applyBorder="0" applyAlignment="0" applyProtection="0"/>
    <xf numFmtId="0" fontId="1" fillId="24" borderId="0" applyNumberFormat="0" applyBorder="0" applyAlignment="0" applyProtection="0"/>
    <xf numFmtId="0" fontId="4" fillId="23" borderId="0" applyNumberFormat="0" applyBorder="0" applyAlignment="0" applyProtection="0"/>
    <xf numFmtId="210" fontId="159" fillId="0" borderId="245" applyFill="0"/>
    <xf numFmtId="210" fontId="138" fillId="0" borderId="246" applyFill="0"/>
    <xf numFmtId="224" fontId="127" fillId="36" borderId="54">
      <alignment horizontal="right"/>
    </xf>
    <xf numFmtId="0" fontId="1" fillId="24" borderId="0" applyNumberFormat="0" applyBorder="0" applyAlignment="0" applyProtection="0"/>
    <xf numFmtId="0" fontId="1" fillId="34" borderId="0" applyNumberFormat="0" applyBorder="0" applyAlignment="0" applyProtection="0"/>
    <xf numFmtId="224" fontId="127" fillId="0" borderId="54">
      <alignment horizontal="right"/>
    </xf>
    <xf numFmtId="4" fontId="33" fillId="0" borderId="273" applyFill="0" applyBorder="0" applyProtection="0">
      <alignment horizontal="right" vertical="center"/>
    </xf>
    <xf numFmtId="0" fontId="33" fillId="0" borderId="263">
      <alignment horizontal="left" vertical="center" wrapText="1" indent="2"/>
    </xf>
    <xf numFmtId="0" fontId="63" fillId="0" borderId="297" applyNumberFormat="0" applyFill="0" applyAlignment="0" applyProtection="0"/>
    <xf numFmtId="0" fontId="1" fillId="22" borderId="0" applyNumberFormat="0" applyBorder="0" applyAlignment="0" applyProtection="0"/>
    <xf numFmtId="49" fontId="33" fillId="0" borderId="260" applyNumberFormat="0" applyFont="0" applyFill="0" applyBorder="0" applyProtection="0">
      <alignment horizontal="left" vertical="center" indent="2"/>
    </xf>
    <xf numFmtId="0" fontId="31" fillId="38" borderId="274">
      <alignment horizontal="right" vertical="center"/>
    </xf>
    <xf numFmtId="0" fontId="43" fillId="59" borderId="270" applyNumberFormat="0" applyAlignment="0" applyProtection="0"/>
    <xf numFmtId="183" fontId="163" fillId="69" borderId="250">
      <alignment horizontal="center" wrapText="1"/>
    </xf>
    <xf numFmtId="183" fontId="163" fillId="69" borderId="250">
      <alignment horizontal="centerContinuous" wrapText="1"/>
    </xf>
    <xf numFmtId="183" fontId="163" fillId="69" borderId="250">
      <alignment horizontal="center" vertical="justify" textRotation="90"/>
    </xf>
    <xf numFmtId="4" fontId="31" fillId="36" borderId="299">
      <alignment horizontal="right" vertical="center"/>
    </xf>
    <xf numFmtId="0" fontId="4" fillId="20" borderId="0" applyNumberFormat="0" applyBorder="0" applyAlignment="0" applyProtection="0"/>
    <xf numFmtId="0" fontId="33" fillId="38" borderId="289">
      <alignment horizontal="left" vertical="center" wrapText="1" indent="2"/>
    </xf>
    <xf numFmtId="0" fontId="4" fillId="32"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4"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26" fillId="17" borderId="10" applyNumberFormat="0" applyAlignment="0" applyProtection="0"/>
    <xf numFmtId="0" fontId="1" fillId="21" borderId="0" applyNumberFormat="0" applyBorder="0" applyAlignment="0" applyProtection="0"/>
    <xf numFmtId="0" fontId="1" fillId="24" borderId="0" applyNumberFormat="0" applyBorder="0" applyAlignment="0" applyProtection="0"/>
    <xf numFmtId="0" fontId="3" fillId="0" borderId="23" applyNumberFormat="0" applyFill="0" applyAlignment="0" applyProtection="0"/>
    <xf numFmtId="0" fontId="4" fillId="29" borderId="0" applyNumberFormat="0" applyBorder="0" applyAlignment="0" applyProtection="0"/>
    <xf numFmtId="0" fontId="4" fillId="26" borderId="0" applyNumberFormat="0" applyBorder="0" applyAlignment="0" applyProtection="0"/>
    <xf numFmtId="0" fontId="4" fillId="20" borderId="0" applyNumberFormat="0" applyBorder="0" applyAlignment="0" applyProtection="0"/>
    <xf numFmtId="0" fontId="1" fillId="22" borderId="0" applyNumberFormat="0" applyBorder="0" applyAlignment="0" applyProtection="0"/>
    <xf numFmtId="0" fontId="25" fillId="17" borderId="22"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1" fillId="28" borderId="0" applyNumberFormat="0" applyBorder="0" applyAlignment="0" applyProtection="0"/>
    <xf numFmtId="0" fontId="4" fillId="20" borderId="0" applyNumberFormat="0" applyBorder="0" applyAlignment="0" applyProtection="0"/>
    <xf numFmtId="0" fontId="26" fillId="17" borderId="10" applyNumberFormat="0" applyAlignment="0" applyProtection="0"/>
    <xf numFmtId="0" fontId="4" fillId="35"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60" fillId="59" borderId="282" applyNumberFormat="0" applyAlignment="0" applyProtection="0"/>
    <xf numFmtId="0" fontId="33" fillId="0" borderId="286">
      <alignment horizontal="right" vertical="center"/>
    </xf>
    <xf numFmtId="0" fontId="76" fillId="83" borderId="272" applyNumberFormat="0" applyFont="0" applyAlignment="0" applyProtection="0"/>
    <xf numFmtId="4" fontId="33" fillId="0" borderId="260" applyFill="0" applyBorder="0" applyProtection="0">
      <alignment horizontal="right" vertical="center"/>
    </xf>
    <xf numFmtId="0" fontId="25" fillId="17" borderId="22" applyNumberFormat="0" applyAlignment="0" applyProtection="0"/>
    <xf numFmtId="0" fontId="4" fillId="23" borderId="0" applyNumberFormat="0" applyBorder="0" applyAlignment="0" applyProtection="0"/>
    <xf numFmtId="49" fontId="33" fillId="0" borderId="286" applyNumberFormat="0" applyFont="0" applyFill="0" applyBorder="0" applyProtection="0">
      <alignment horizontal="left" vertical="center" indent="2"/>
    </xf>
    <xf numFmtId="0" fontId="28" fillId="0" borderId="0" applyNumberFormat="0" applyFill="0" applyBorder="0" applyAlignment="0" applyProtection="0"/>
    <xf numFmtId="0" fontId="56" fillId="46" borderId="283" applyNumberFormat="0" applyAlignment="0" applyProtection="0"/>
    <xf numFmtId="0" fontId="31" fillId="36" borderId="273">
      <alignment horizontal="right" vertical="center"/>
    </xf>
    <xf numFmtId="0" fontId="1" fillId="30" borderId="0" applyNumberFormat="0" applyBorder="0" applyAlignment="0" applyProtection="0"/>
    <xf numFmtId="0" fontId="1" fillId="21"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1" fillId="19" borderId="0" applyNumberFormat="0" applyBorder="0" applyAlignment="0" applyProtection="0"/>
    <xf numFmtId="0" fontId="4" fillId="26" borderId="0" applyNumberFormat="0" applyBorder="0" applyAlignment="0" applyProtection="0"/>
    <xf numFmtId="0" fontId="1" fillId="34" borderId="0" applyNumberFormat="0" applyBorder="0" applyAlignment="0" applyProtection="0"/>
    <xf numFmtId="0" fontId="27" fillId="0" borderId="0" applyNumberFormat="0" applyFill="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0" fontId="1" fillId="25" borderId="0" applyNumberFormat="0" applyBorder="0" applyAlignment="0" applyProtection="0"/>
    <xf numFmtId="0" fontId="4" fillId="32" borderId="0" applyNumberFormat="0" applyBorder="0" applyAlignment="0" applyProtection="0"/>
    <xf numFmtId="0" fontId="1" fillId="21" borderId="0" applyNumberFormat="0" applyBorder="0" applyAlignment="0" applyProtection="0"/>
    <xf numFmtId="0" fontId="25" fillId="17" borderId="22" applyNumberFormat="0" applyAlignment="0" applyProtection="0"/>
    <xf numFmtId="0" fontId="1" fillId="31" borderId="0" applyNumberFormat="0" applyBorder="0" applyAlignment="0" applyProtection="0"/>
    <xf numFmtId="0" fontId="4" fillId="20"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3" fillId="0" borderId="23" applyNumberFormat="0" applyFill="0" applyAlignment="0" applyProtection="0"/>
    <xf numFmtId="0" fontId="1" fillId="34" borderId="0" applyNumberFormat="0" applyBorder="0" applyAlignment="0" applyProtection="0"/>
    <xf numFmtId="0" fontId="1" fillId="2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33" fillId="0" borderId="286" applyNumberFormat="0" applyFill="0" applyAlignment="0" applyProtection="0"/>
    <xf numFmtId="4" fontId="31" fillId="36" borderId="260">
      <alignment horizontal="right" vertical="center"/>
    </xf>
    <xf numFmtId="0" fontId="1" fillId="18" borderId="0" applyNumberFormat="0" applyBorder="0" applyAlignment="0" applyProtection="0"/>
    <xf numFmtId="0" fontId="27" fillId="0" borderId="0" applyNumberFormat="0" applyFill="0" applyBorder="0" applyAlignment="0" applyProtection="0"/>
    <xf numFmtId="0" fontId="1" fillId="33"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4" fillId="23"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31" fillId="36" borderId="273">
      <alignment horizontal="right" vertical="center"/>
    </xf>
    <xf numFmtId="49" fontId="33" fillId="0" borderId="274" applyNumberFormat="0" applyFont="0" applyFill="0" applyBorder="0" applyProtection="0">
      <alignment horizontal="left" vertical="center" indent="5"/>
    </xf>
    <xf numFmtId="0" fontId="33" fillId="0" borderId="273" applyNumberFormat="0" applyFill="0" applyAlignment="0" applyProtection="0"/>
    <xf numFmtId="49" fontId="33" fillId="0" borderId="273" applyNumberFormat="0" applyFont="0" applyFill="0" applyBorder="0" applyProtection="0">
      <alignment horizontal="left" vertical="center" indent="2"/>
    </xf>
    <xf numFmtId="0" fontId="33" fillId="38" borderId="276">
      <alignment horizontal="left" vertical="center" wrapText="1" indent="2"/>
    </xf>
    <xf numFmtId="0" fontId="44" fillId="59" borderId="270" applyNumberFormat="0" applyAlignment="0" applyProtection="0"/>
    <xf numFmtId="4" fontId="33" fillId="0" borderId="273" applyFill="0" applyBorder="0" applyProtection="0">
      <alignment horizontal="right" vertical="center"/>
    </xf>
    <xf numFmtId="0" fontId="44" fillId="59" borderId="270" applyNumberFormat="0" applyAlignment="0" applyProtection="0"/>
    <xf numFmtId="0" fontId="1" fillId="24" borderId="0" applyNumberFormat="0" applyBorder="0" applyAlignment="0" applyProtection="0"/>
    <xf numFmtId="0" fontId="38" fillId="62" borderId="298" applyNumberFormat="0" applyFont="0" applyAlignment="0" applyProtection="0"/>
    <xf numFmtId="0" fontId="1" fillId="25" borderId="0" applyNumberFormat="0" applyBorder="0" applyAlignment="0" applyProtection="0"/>
    <xf numFmtId="0" fontId="48" fillId="0" borderId="297" applyNumberFormat="0" applyFill="0" applyAlignment="0" applyProtection="0"/>
    <xf numFmtId="0" fontId="48" fillId="0" borderId="258" applyNumberFormat="0" applyFill="0" applyAlignment="0" applyProtection="0"/>
    <xf numFmtId="0" fontId="43" fillId="59" borderId="257" applyNumberFormat="0" applyAlignment="0" applyProtection="0"/>
    <xf numFmtId="0" fontId="41" fillId="59" borderId="256" applyNumberFormat="0" applyAlignment="0" applyProtection="0"/>
    <xf numFmtId="0" fontId="43" fillId="59" borderId="283" applyNumberFormat="0" applyAlignment="0" applyProtection="0"/>
    <xf numFmtId="49" fontId="33" fillId="0" borderId="274" applyNumberFormat="0" applyFont="0" applyFill="0" applyBorder="0" applyProtection="0">
      <alignment horizontal="left" vertical="center" indent="5"/>
    </xf>
    <xf numFmtId="0" fontId="4" fillId="29" borderId="0" applyNumberFormat="0" applyBorder="0" applyAlignment="0" applyProtection="0"/>
    <xf numFmtId="0" fontId="31" fillId="38" borderId="299">
      <alignment horizontal="right" vertical="center"/>
    </xf>
    <xf numFmtId="0" fontId="60" fillId="59" borderId="295" applyNumberFormat="0" applyAlignment="0" applyProtection="0"/>
    <xf numFmtId="0" fontId="41" fillId="59" borderId="295" applyNumberFormat="0" applyAlignment="0" applyProtection="0"/>
    <xf numFmtId="0" fontId="33" fillId="36" borderId="287">
      <alignment horizontal="left" vertical="center"/>
    </xf>
    <xf numFmtId="0" fontId="41" fillId="59" borderId="282" applyNumberFormat="0" applyAlignment="0" applyProtection="0"/>
    <xf numFmtId="0" fontId="26" fillId="17" borderId="10" applyNumberFormat="0" applyAlignment="0" applyProtection="0"/>
    <xf numFmtId="0" fontId="4" fillId="23" borderId="0" applyNumberFormat="0" applyBorder="0" applyAlignment="0" applyProtection="0"/>
    <xf numFmtId="0" fontId="33" fillId="0" borderId="299" applyNumberFormat="0" applyFill="0" applyAlignment="0" applyProtection="0"/>
    <xf numFmtId="0" fontId="63" fillId="0" borderId="297" applyNumberFormat="0" applyFill="0" applyAlignment="0" applyProtection="0"/>
    <xf numFmtId="0" fontId="1" fillId="34" borderId="0" applyNumberFormat="0" applyBorder="0" applyAlignment="0" applyProtection="0"/>
    <xf numFmtId="0" fontId="3" fillId="0" borderId="23" applyNumberFormat="0" applyFill="0" applyAlignment="0" applyProtection="0"/>
    <xf numFmtId="0" fontId="33" fillId="0" borderId="299" applyNumberFormat="0" applyFill="0" applyAlignment="0" applyProtection="0"/>
    <xf numFmtId="4" fontId="31" fillId="38" borderId="273">
      <alignment horizontal="right" vertical="center"/>
    </xf>
    <xf numFmtId="0" fontId="4" fillId="23" borderId="0" applyNumberFormat="0" applyBorder="0" applyAlignment="0" applyProtection="0"/>
    <xf numFmtId="49" fontId="32" fillId="0" borderId="260" applyNumberFormat="0" applyFill="0" applyBorder="0" applyProtection="0">
      <alignment horizontal="left" vertical="center"/>
    </xf>
    <xf numFmtId="4" fontId="33" fillId="0" borderId="260" applyFill="0" applyBorder="0" applyProtection="0">
      <alignment horizontal="right" vertical="center"/>
    </xf>
    <xf numFmtId="49" fontId="33" fillId="0" borderId="273" applyNumberFormat="0" applyFont="0" applyFill="0" applyBorder="0" applyProtection="0">
      <alignment horizontal="left" vertical="center" indent="2"/>
    </xf>
    <xf numFmtId="4" fontId="33" fillId="0" borderId="286">
      <alignment horizontal="right" vertical="center"/>
    </xf>
    <xf numFmtId="0" fontId="1" fillId="18" borderId="0" applyNumberFormat="0" applyBorder="0" applyAlignment="0" applyProtection="0"/>
    <xf numFmtId="0" fontId="33" fillId="37" borderId="273"/>
    <xf numFmtId="0" fontId="1" fillId="28" borderId="0" applyNumberFormat="0" applyBorder="0" applyAlignment="0" applyProtection="0"/>
    <xf numFmtId="4" fontId="33" fillId="0" borderId="273">
      <alignment horizontal="right" vertical="center"/>
    </xf>
    <xf numFmtId="4" fontId="31" fillId="36" borderId="273">
      <alignment horizontal="right" vertical="center"/>
    </xf>
    <xf numFmtId="4" fontId="31" fillId="38" borderId="273">
      <alignment horizontal="right" vertical="center"/>
    </xf>
    <xf numFmtId="177" fontId="33" fillId="63" borderId="273" applyNumberFormat="0" applyFont="0" applyBorder="0" applyAlignment="0" applyProtection="0">
      <alignment horizontal="right" vertical="center"/>
    </xf>
    <xf numFmtId="49" fontId="33" fillId="0" borderId="261" applyNumberFormat="0" applyFont="0" applyFill="0" applyBorder="0" applyProtection="0">
      <alignment horizontal="left" vertical="center" indent="5"/>
    </xf>
    <xf numFmtId="0" fontId="56" fillId="46" borderId="270" applyNumberFormat="0" applyAlignment="0" applyProtection="0"/>
    <xf numFmtId="0" fontId="1" fillId="31" borderId="0" applyNumberFormat="0" applyBorder="0" applyAlignment="0" applyProtection="0"/>
    <xf numFmtId="0" fontId="33" fillId="36" borderId="274">
      <alignment horizontal="left" vertical="center"/>
    </xf>
    <xf numFmtId="0" fontId="43" fillId="59" borderId="296" applyNumberFormat="0" applyAlignment="0" applyProtection="0"/>
    <xf numFmtId="0" fontId="56" fillId="46" borderId="270" applyNumberFormat="0" applyAlignment="0" applyProtection="0"/>
    <xf numFmtId="0" fontId="4" fillId="20" borderId="0" applyNumberFormat="0" applyBorder="0" applyAlignment="0" applyProtection="0"/>
    <xf numFmtId="0" fontId="1" fillId="24" borderId="0" applyNumberFormat="0" applyBorder="0" applyAlignment="0" applyProtection="0"/>
    <xf numFmtId="43" fontId="36" fillId="0" borderId="0" applyFont="0" applyFill="0" applyBorder="0" applyAlignment="0" applyProtection="0"/>
    <xf numFmtId="0" fontId="48" fillId="0" borderId="271" applyNumberFormat="0" applyFill="0" applyAlignment="0" applyProtection="0"/>
    <xf numFmtId="0" fontId="4" fillId="32" borderId="0" applyNumberFormat="0" applyBorder="0" applyAlignment="0" applyProtection="0"/>
    <xf numFmtId="0" fontId="63" fillId="0" borderId="271" applyNumberFormat="0" applyFill="0" applyAlignment="0" applyProtection="0"/>
    <xf numFmtId="0" fontId="47" fillId="46" borderId="270" applyNumberFormat="0" applyAlignment="0" applyProtection="0"/>
    <xf numFmtId="43" fontId="36" fillId="0" borderId="0" applyFont="0" applyFill="0" applyBorder="0" applyAlignment="0" applyProtection="0"/>
    <xf numFmtId="0" fontId="1" fillId="25" borderId="0" applyNumberFormat="0" applyBorder="0" applyAlignment="0" applyProtection="0"/>
    <xf numFmtId="4" fontId="31" fillId="38" borderId="273">
      <alignment horizontal="right" vertical="center"/>
    </xf>
    <xf numFmtId="0" fontId="1" fillId="21" borderId="0" applyNumberFormat="0" applyBorder="0" applyAlignment="0" applyProtection="0"/>
    <xf numFmtId="0" fontId="26" fillId="17" borderId="10" applyNumberFormat="0" applyAlignment="0" applyProtection="0"/>
    <xf numFmtId="0" fontId="33" fillId="36" borderId="287">
      <alignment horizontal="left" vertical="center"/>
    </xf>
    <xf numFmtId="0" fontId="4" fillId="29" borderId="0" applyNumberFormat="0" applyBorder="0" applyAlignment="0" applyProtection="0"/>
    <xf numFmtId="4" fontId="33" fillId="0" borderId="273" applyFill="0" applyBorder="0" applyProtection="0">
      <alignment horizontal="right" vertical="center"/>
    </xf>
    <xf numFmtId="49" fontId="33" fillId="0" borderId="299" applyNumberFormat="0" applyFont="0" applyFill="0" applyBorder="0" applyProtection="0">
      <alignment horizontal="left" vertical="center" indent="2"/>
    </xf>
    <xf numFmtId="0" fontId="1" fillId="19" borderId="0" applyNumberFormat="0" applyBorder="0" applyAlignment="0" applyProtection="0"/>
    <xf numFmtId="0" fontId="38" fillId="62" borderId="285" applyNumberFormat="0" applyFont="0" applyAlignment="0" applyProtection="0"/>
    <xf numFmtId="0" fontId="33" fillId="0" borderId="286" applyNumberFormat="0" applyFill="0" applyAlignment="0" applyProtection="0"/>
    <xf numFmtId="0" fontId="31" fillId="38" borderId="299">
      <alignment horizontal="right" vertical="center"/>
    </xf>
    <xf numFmtId="0" fontId="41" fillId="59" borderId="282" applyNumberFormat="0" applyAlignment="0" applyProtection="0"/>
    <xf numFmtId="0" fontId="4" fillId="20" borderId="0" applyNumberFormat="0" applyBorder="0" applyAlignment="0" applyProtection="0"/>
    <xf numFmtId="0" fontId="28" fillId="0" borderId="0" applyNumberFormat="0" applyFill="0" applyBorder="0" applyAlignment="0" applyProtection="0"/>
    <xf numFmtId="0" fontId="48" fillId="0" borderId="271" applyNumberFormat="0" applyFill="0" applyAlignment="0" applyProtection="0"/>
    <xf numFmtId="0" fontId="33" fillId="0" borderId="286">
      <alignment horizontal="right" vertical="center"/>
    </xf>
    <xf numFmtId="0" fontId="36" fillId="62" borderId="298" applyNumberFormat="0" applyFont="0" applyAlignment="0" applyProtection="0"/>
    <xf numFmtId="0" fontId="56" fillId="46" borderId="270" applyNumberFormat="0" applyAlignment="0" applyProtection="0"/>
    <xf numFmtId="49" fontId="32" fillId="0" borderId="286" applyNumberFormat="0" applyFill="0" applyBorder="0" applyProtection="0">
      <alignment horizontal="left" vertical="center"/>
    </xf>
    <xf numFmtId="0" fontId="56" fillId="46" borderId="283" applyNumberFormat="0" applyAlignment="0" applyProtection="0"/>
    <xf numFmtId="49" fontId="33" fillId="0" borderId="299" applyNumberFormat="0" applyFont="0" applyFill="0" applyBorder="0" applyProtection="0">
      <alignment horizontal="left" vertical="center" indent="2"/>
    </xf>
    <xf numFmtId="49" fontId="33" fillId="0" borderId="273" applyNumberFormat="0" applyFont="0" applyFill="0" applyBorder="0" applyProtection="0">
      <alignment horizontal="left" vertical="center" indent="2"/>
    </xf>
    <xf numFmtId="0" fontId="25" fillId="17" borderId="22" applyNumberFormat="0" applyAlignment="0" applyProtection="0"/>
    <xf numFmtId="0" fontId="63" fillId="0" borderId="258" applyNumberFormat="0" applyFill="0" applyAlignment="0" applyProtection="0"/>
    <xf numFmtId="4" fontId="33" fillId="37" borderId="260"/>
    <xf numFmtId="0" fontId="33" fillId="37" borderId="260"/>
    <xf numFmtId="177" fontId="33" fillId="63" borderId="260" applyNumberFormat="0" applyFont="0" applyBorder="0" applyAlignment="0" applyProtection="0">
      <alignment horizontal="right" vertical="center"/>
    </xf>
    <xf numFmtId="0" fontId="60" fillId="59" borderId="256" applyNumberFormat="0" applyAlignment="0" applyProtection="0"/>
    <xf numFmtId="0" fontId="33" fillId="0" borderId="260" applyNumberFormat="0" applyFill="0" applyAlignment="0" applyProtection="0"/>
    <xf numFmtId="0" fontId="38" fillId="62" borderId="285" applyNumberFormat="0" applyFont="0" applyAlignment="0" applyProtection="0"/>
    <xf numFmtId="4" fontId="33" fillId="0" borderId="260">
      <alignment horizontal="right" vertical="center"/>
    </xf>
    <xf numFmtId="0" fontId="33" fillId="0" borderId="260">
      <alignment horizontal="right" vertical="center"/>
    </xf>
    <xf numFmtId="0" fontId="56" fillId="46" borderId="257" applyNumberFormat="0" applyAlignment="0" applyProtection="0"/>
    <xf numFmtId="49" fontId="32" fillId="0" borderId="286" applyNumberFormat="0" applyFill="0" applyBorder="0" applyProtection="0">
      <alignment horizontal="left" vertical="center"/>
    </xf>
    <xf numFmtId="0" fontId="33" fillId="36" borderId="261">
      <alignment horizontal="left" vertical="center"/>
    </xf>
    <xf numFmtId="0" fontId="33" fillId="0" borderId="263">
      <alignment horizontal="left" vertical="center" wrapText="1" indent="2"/>
    </xf>
    <xf numFmtId="0" fontId="33" fillId="38" borderId="263">
      <alignment horizontal="left" vertical="center" wrapText="1" indent="2"/>
    </xf>
    <xf numFmtId="0" fontId="44" fillId="59" borderId="257" applyNumberFormat="0" applyAlignment="0" applyProtection="0"/>
    <xf numFmtId="4" fontId="31" fillId="38" borderId="262">
      <alignment horizontal="right" vertical="center"/>
    </xf>
    <xf numFmtId="0" fontId="31" fillId="38" borderId="262">
      <alignment horizontal="right" vertical="center"/>
    </xf>
    <xf numFmtId="4" fontId="31" fillId="38" borderId="261">
      <alignment horizontal="right" vertical="center"/>
    </xf>
    <xf numFmtId="0" fontId="31" fillId="38" borderId="261">
      <alignment horizontal="right" vertical="center"/>
    </xf>
    <xf numFmtId="4" fontId="31" fillId="38" borderId="260">
      <alignment horizontal="right" vertical="center"/>
    </xf>
    <xf numFmtId="0" fontId="31" fillId="38" borderId="260">
      <alignment horizontal="right" vertical="center"/>
    </xf>
    <xf numFmtId="4" fontId="31" fillId="38" borderId="260">
      <alignment horizontal="right" vertical="center"/>
    </xf>
    <xf numFmtId="0" fontId="31" fillId="38" borderId="260">
      <alignment horizontal="right" vertical="center"/>
    </xf>
    <xf numFmtId="4" fontId="35" fillId="36" borderId="260">
      <alignment horizontal="right" vertical="center"/>
    </xf>
    <xf numFmtId="0" fontId="35" fillId="36" borderId="260">
      <alignment horizontal="right" vertical="center"/>
    </xf>
    <xf numFmtId="4" fontId="31" fillId="36" borderId="260">
      <alignment horizontal="right" vertical="center"/>
    </xf>
    <xf numFmtId="0" fontId="31" fillId="36" borderId="260">
      <alignment horizontal="right" vertical="center"/>
    </xf>
    <xf numFmtId="0" fontId="26" fillId="17" borderId="10" applyNumberFormat="0" applyAlignment="0" applyProtection="0"/>
    <xf numFmtId="0" fontId="33" fillId="0" borderId="286" applyNumberFormat="0" applyFill="0" applyAlignment="0" applyProtection="0"/>
    <xf numFmtId="0" fontId="33" fillId="0" borderId="299">
      <alignment horizontal="right" vertical="center"/>
    </xf>
    <xf numFmtId="0" fontId="31" fillId="38" borderId="288">
      <alignment horizontal="right" vertical="center"/>
    </xf>
    <xf numFmtId="0" fontId="33" fillId="0" borderId="299" applyNumberFormat="0" applyFill="0" applyAlignment="0" applyProtection="0"/>
    <xf numFmtId="0" fontId="31" fillId="38" borderId="286">
      <alignment horizontal="right" vertical="center"/>
    </xf>
    <xf numFmtId="0" fontId="31" fillId="36" borderId="286">
      <alignment horizontal="right" vertical="center"/>
    </xf>
    <xf numFmtId="0" fontId="63" fillId="0" borderId="284" applyNumberFormat="0" applyFill="0" applyAlignment="0" applyProtection="0"/>
    <xf numFmtId="0" fontId="56" fillId="46" borderId="296" applyNumberFormat="0" applyAlignment="0" applyProtection="0"/>
    <xf numFmtId="0" fontId="1" fillId="18" borderId="0" applyNumberFormat="0" applyBorder="0" applyAlignment="0" applyProtection="0"/>
    <xf numFmtId="0" fontId="44" fillId="59" borderId="296" applyNumberFormat="0" applyAlignment="0" applyProtection="0"/>
    <xf numFmtId="0" fontId="25" fillId="17" borderId="22" applyNumberFormat="0" applyAlignment="0" applyProtection="0"/>
    <xf numFmtId="0" fontId="63" fillId="0" borderId="258" applyNumberFormat="0" applyFill="0" applyAlignment="0" applyProtection="0"/>
    <xf numFmtId="4" fontId="31" fillId="38" borderId="273">
      <alignment horizontal="right" vertical="center"/>
    </xf>
    <xf numFmtId="0" fontId="60" fillId="59" borderId="256" applyNumberFormat="0" applyAlignment="0" applyProtection="0"/>
    <xf numFmtId="0" fontId="38" fillId="62" borderId="259" applyNumberFormat="0" applyFont="0" applyAlignment="0" applyProtection="0"/>
    <xf numFmtId="0" fontId="31" fillId="36" borderId="273">
      <alignment horizontal="right" vertical="center"/>
    </xf>
    <xf numFmtId="0" fontId="48" fillId="0" borderId="297" applyNumberFormat="0" applyFill="0" applyAlignment="0" applyProtection="0"/>
    <xf numFmtId="0" fontId="56" fillId="46" borderId="257" applyNumberFormat="0" applyAlignment="0" applyProtection="0"/>
    <xf numFmtId="0" fontId="33" fillId="0" borderId="273">
      <alignment horizontal="right" vertical="center"/>
    </xf>
    <xf numFmtId="0" fontId="1" fillId="22" borderId="0" applyNumberFormat="0" applyBorder="0" applyAlignment="0" applyProtection="0"/>
    <xf numFmtId="3" fontId="126" fillId="82" borderId="299">
      <alignment horizontal="center"/>
      <protection locked="0"/>
    </xf>
    <xf numFmtId="0" fontId="44" fillId="59" borderId="296" applyNumberFormat="0" applyAlignment="0" applyProtection="0"/>
    <xf numFmtId="0" fontId="31" fillId="38" borderId="273">
      <alignment horizontal="right" vertical="center"/>
    </xf>
    <xf numFmtId="0" fontId="43" fillId="59" borderId="270" applyNumberFormat="0" applyAlignment="0" applyProtection="0"/>
    <xf numFmtId="0" fontId="44" fillId="59" borderId="257" applyNumberFormat="0" applyAlignment="0" applyProtection="0"/>
    <xf numFmtId="0" fontId="33" fillId="0" borderId="273" applyNumberFormat="0" applyFill="0" applyAlignment="0" applyProtection="0"/>
    <xf numFmtId="0" fontId="31" fillId="38" borderId="273">
      <alignment horizontal="right" vertical="center"/>
    </xf>
    <xf numFmtId="0" fontId="4" fillId="32" borderId="0" applyNumberFormat="0" applyBorder="0" applyAlignment="0" applyProtection="0"/>
    <xf numFmtId="0" fontId="47" fillId="46" borderId="270" applyNumberFormat="0" applyAlignment="0" applyProtection="0"/>
    <xf numFmtId="0" fontId="33" fillId="0" borderId="273" applyNumberFormat="0" applyFill="0" applyAlignment="0" applyProtection="0"/>
    <xf numFmtId="4" fontId="31" fillId="38" borderId="275">
      <alignment horizontal="right" vertical="center"/>
    </xf>
    <xf numFmtId="0" fontId="31" fillId="38" borderId="273">
      <alignment horizontal="right" vertical="center"/>
    </xf>
    <xf numFmtId="0" fontId="63" fillId="0" borderId="271" applyNumberFormat="0" applyFill="0" applyAlignment="0" applyProtection="0"/>
    <xf numFmtId="0" fontId="19" fillId="62" borderId="285" applyNumberFormat="0" applyFont="0" applyAlignment="0" applyProtection="0"/>
    <xf numFmtId="0" fontId="1" fillId="18" borderId="0" applyNumberFormat="0" applyBorder="0" applyAlignment="0" applyProtection="0"/>
    <xf numFmtId="0" fontId="31" fillId="36" borderId="286">
      <alignment horizontal="right" vertical="center"/>
    </xf>
    <xf numFmtId="49" fontId="33" fillId="0" borderId="286" applyNumberFormat="0" applyFont="0" applyFill="0" applyBorder="0" applyProtection="0">
      <alignment horizontal="left" vertical="center" indent="2"/>
    </xf>
    <xf numFmtId="0" fontId="44" fillId="59" borderId="283" applyNumberFormat="0" applyAlignment="0" applyProtection="0"/>
    <xf numFmtId="0" fontId="48" fillId="0" borderId="284" applyNumberFormat="0" applyFill="0" applyAlignment="0" applyProtection="0"/>
    <xf numFmtId="0" fontId="43" fillId="59" borderId="283" applyNumberFormat="0" applyAlignment="0" applyProtection="0"/>
    <xf numFmtId="0" fontId="1" fillId="19" borderId="0" applyNumberFormat="0" applyBorder="0" applyAlignment="0" applyProtection="0"/>
    <xf numFmtId="0" fontId="4" fillId="26" borderId="0" applyNumberFormat="0" applyBorder="0" applyAlignment="0" applyProtection="0"/>
    <xf numFmtId="0" fontId="1" fillId="31" borderId="0" applyNumberFormat="0" applyBorder="0" applyAlignment="0" applyProtection="0"/>
    <xf numFmtId="0" fontId="33" fillId="0" borderId="286" applyNumberFormat="0" applyFill="0" applyAlignment="0" applyProtection="0"/>
    <xf numFmtId="0" fontId="19" fillId="62" borderId="285" applyNumberFormat="0" applyFont="0" applyAlignment="0" applyProtection="0"/>
    <xf numFmtId="4" fontId="33" fillId="37" borderId="273"/>
    <xf numFmtId="4" fontId="31" fillId="38" borderId="274">
      <alignment horizontal="right" vertical="center"/>
    </xf>
    <xf numFmtId="0" fontId="4" fillId="23" borderId="0" applyNumberFormat="0" applyBorder="0" applyAlignment="0" applyProtection="0"/>
    <xf numFmtId="4" fontId="33" fillId="0" borderId="273">
      <alignment horizontal="right" vertical="center"/>
    </xf>
    <xf numFmtId="0" fontId="3" fillId="0" borderId="23" applyNumberFormat="0" applyFill="0" applyAlignment="0" applyProtection="0"/>
    <xf numFmtId="4" fontId="33" fillId="0" borderId="273" applyFill="0" applyBorder="0" applyProtection="0">
      <alignment horizontal="right" vertical="center"/>
    </xf>
    <xf numFmtId="4" fontId="33" fillId="0" borderId="273" applyFill="0" applyBorder="0" applyProtection="0">
      <alignment horizontal="right" vertical="center"/>
    </xf>
    <xf numFmtId="0" fontId="33" fillId="36" borderId="274">
      <alignment horizontal="left" vertical="center"/>
    </xf>
    <xf numFmtId="0" fontId="31" fillId="38" borderId="286">
      <alignment horizontal="right" vertical="center"/>
    </xf>
    <xf numFmtId="0" fontId="79" fillId="15" borderId="270" applyNumberFormat="0" applyAlignment="0" applyProtection="0"/>
    <xf numFmtId="177" fontId="33" fillId="63" borderId="273" applyNumberFormat="0" applyFont="0" applyBorder="0" applyAlignment="0" applyProtection="0">
      <alignment horizontal="right" vertical="center"/>
    </xf>
    <xf numFmtId="0" fontId="63" fillId="0" borderId="258" applyNumberFormat="0" applyFill="0" applyAlignment="0" applyProtection="0"/>
    <xf numFmtId="0" fontId="33" fillId="37" borderId="299"/>
    <xf numFmtId="0" fontId="1" fillId="27" borderId="0" applyNumberFormat="0" applyBorder="0" applyAlignment="0" applyProtection="0"/>
    <xf numFmtId="0" fontId="56" fillId="46" borderId="270" applyNumberFormat="0" applyAlignment="0" applyProtection="0"/>
    <xf numFmtId="0" fontId="60" fillId="59" borderId="256" applyNumberFormat="0" applyAlignment="0" applyProtection="0"/>
    <xf numFmtId="0" fontId="19" fillId="62" borderId="259" applyNumberFormat="0" applyFont="0" applyAlignment="0" applyProtection="0"/>
    <xf numFmtId="0" fontId="38" fillId="62" borderId="259" applyNumberFormat="0" applyFont="0" applyAlignment="0" applyProtection="0"/>
    <xf numFmtId="49" fontId="32" fillId="0" borderId="286" applyNumberFormat="0" applyFill="0" applyBorder="0" applyProtection="0">
      <alignment horizontal="left" vertical="center"/>
    </xf>
    <xf numFmtId="0" fontId="1" fillId="19" borderId="0" applyNumberFormat="0" applyBorder="0" applyAlignment="0" applyProtection="0"/>
    <xf numFmtId="0" fontId="33" fillId="0" borderId="273">
      <alignment horizontal="right" vertical="center"/>
    </xf>
    <xf numFmtId="49" fontId="32" fillId="0" borderId="273" applyNumberFormat="0" applyFill="0" applyBorder="0" applyProtection="0">
      <alignment horizontal="left" vertical="center"/>
    </xf>
    <xf numFmtId="4" fontId="33" fillId="37" borderId="273"/>
    <xf numFmtId="4" fontId="33" fillId="37" borderId="273"/>
    <xf numFmtId="4" fontId="33" fillId="37" borderId="286"/>
    <xf numFmtId="0" fontId="31" fillId="36" borderId="286">
      <alignment horizontal="right" vertical="center"/>
    </xf>
    <xf numFmtId="0" fontId="1" fillId="24" borderId="0" applyNumberFormat="0" applyBorder="0" applyAlignment="0" applyProtection="0"/>
    <xf numFmtId="4" fontId="33" fillId="37" borderId="273"/>
    <xf numFmtId="0" fontId="43" fillId="59" borderId="283" applyNumberFormat="0" applyAlignment="0" applyProtection="0"/>
    <xf numFmtId="0" fontId="4" fillId="35" borderId="0" applyNumberFormat="0" applyBorder="0" applyAlignment="0" applyProtection="0"/>
    <xf numFmtId="0" fontId="1" fillId="33" borderId="0" applyNumberFormat="0" applyBorder="0" applyAlignment="0" applyProtection="0"/>
    <xf numFmtId="210" fontId="138" fillId="0" borderId="248" applyFill="0"/>
    <xf numFmtId="0" fontId="47" fillId="46" borderId="270" applyNumberFormat="0" applyAlignment="0" applyProtection="0"/>
    <xf numFmtId="49" fontId="33" fillId="0" borderId="273" applyNumberFormat="0" applyFont="0" applyFill="0" applyBorder="0" applyProtection="0">
      <alignment horizontal="left" vertical="center" indent="2"/>
    </xf>
    <xf numFmtId="0" fontId="1" fillId="22" borderId="0" applyNumberFormat="0" applyBorder="0" applyAlignment="0" applyProtection="0"/>
    <xf numFmtId="0" fontId="41" fillId="59" borderId="269" applyNumberFormat="0" applyAlignment="0" applyProtection="0"/>
    <xf numFmtId="0" fontId="63" fillId="0" borderId="271" applyNumberFormat="0" applyFill="0" applyAlignment="0" applyProtection="0"/>
    <xf numFmtId="0" fontId="4" fillId="23" borderId="0" applyNumberFormat="0" applyBorder="0" applyAlignment="0" applyProtection="0"/>
    <xf numFmtId="0" fontId="43" fillId="59" borderId="283" applyNumberFormat="0" applyAlignment="0" applyProtection="0"/>
    <xf numFmtId="0" fontId="28" fillId="0" borderId="0" applyNumberFormat="0" applyFill="0" applyBorder="0" applyAlignment="0" applyProtection="0"/>
    <xf numFmtId="0" fontId="56" fillId="46" borderId="270" applyNumberFormat="0" applyAlignment="0" applyProtection="0"/>
    <xf numFmtId="0" fontId="31" fillId="38" borderId="275">
      <alignment horizontal="right" vertical="center"/>
    </xf>
    <xf numFmtId="4" fontId="31" fillId="38" borderId="275">
      <alignment horizontal="right" vertical="center"/>
    </xf>
    <xf numFmtId="0" fontId="44" fillId="59" borderId="296" applyNumberFormat="0" applyAlignment="0" applyProtection="0"/>
    <xf numFmtId="49" fontId="33" fillId="0" borderId="261" applyNumberFormat="0" applyFont="0" applyFill="0" applyBorder="0" applyProtection="0">
      <alignment horizontal="left" vertical="center" indent="5"/>
    </xf>
    <xf numFmtId="0" fontId="96" fillId="38" borderId="270" applyNumberFormat="0" applyAlignment="0" applyProtection="0"/>
    <xf numFmtId="0" fontId="4" fillId="32"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4"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26" fillId="17" borderId="10" applyNumberFormat="0" applyAlignment="0" applyProtection="0"/>
    <xf numFmtId="0" fontId="1" fillId="21" borderId="0" applyNumberFormat="0" applyBorder="0" applyAlignment="0" applyProtection="0"/>
    <xf numFmtId="0" fontId="1" fillId="24" borderId="0" applyNumberFormat="0" applyBorder="0" applyAlignment="0" applyProtection="0"/>
    <xf numFmtId="0" fontId="3" fillId="0" borderId="23" applyNumberFormat="0" applyFill="0" applyAlignment="0" applyProtection="0"/>
    <xf numFmtId="0" fontId="4" fillId="29" borderId="0" applyNumberFormat="0" applyBorder="0" applyAlignment="0" applyProtection="0"/>
    <xf numFmtId="0" fontId="4" fillId="26" borderId="0" applyNumberFormat="0" applyBorder="0" applyAlignment="0" applyProtection="0"/>
    <xf numFmtId="0" fontId="4" fillId="20" borderId="0" applyNumberFormat="0" applyBorder="0" applyAlignment="0" applyProtection="0"/>
    <xf numFmtId="0" fontId="1" fillId="22" borderId="0" applyNumberFormat="0" applyBorder="0" applyAlignment="0" applyProtection="0"/>
    <xf numFmtId="0" fontId="25" fillId="17" borderId="22"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1" fillId="28" borderId="0" applyNumberFormat="0" applyBorder="0" applyAlignment="0" applyProtection="0"/>
    <xf numFmtId="0" fontId="4" fillId="20" borderId="0" applyNumberFormat="0" applyBorder="0" applyAlignment="0" applyProtection="0"/>
    <xf numFmtId="0" fontId="26" fillId="17" borderId="10" applyNumberFormat="0" applyAlignment="0" applyProtection="0"/>
    <xf numFmtId="0" fontId="4" fillId="35"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60" fillId="59" borderId="256" applyNumberFormat="0" applyAlignment="0" applyProtection="0"/>
    <xf numFmtId="0" fontId="31" fillId="38" borderId="275">
      <alignment horizontal="right" vertical="center"/>
    </xf>
    <xf numFmtId="0" fontId="1" fillId="22" borderId="0" applyNumberFormat="0" applyBorder="0" applyAlignment="0" applyProtection="0"/>
    <xf numFmtId="49" fontId="33" fillId="0" borderId="273" applyNumberFormat="0" applyFont="0" applyFill="0" applyBorder="0" applyProtection="0">
      <alignment horizontal="left" vertical="center" indent="2"/>
    </xf>
    <xf numFmtId="0" fontId="1" fillId="30" borderId="0" applyNumberFormat="0" applyBorder="0" applyAlignment="0" applyProtection="0"/>
    <xf numFmtId="0" fontId="79" fillId="15" borderId="257" applyNumberFormat="0" applyAlignment="0" applyProtection="0"/>
    <xf numFmtId="0" fontId="38" fillId="62" borderId="272" applyNumberFormat="0" applyFont="0" applyAlignment="0" applyProtection="0"/>
    <xf numFmtId="0" fontId="60" fillId="59" borderId="269" applyNumberFormat="0" applyAlignment="0" applyProtection="0"/>
    <xf numFmtId="0" fontId="31" fillId="38" borderId="273">
      <alignment horizontal="right" vertical="center"/>
    </xf>
    <xf numFmtId="4" fontId="33" fillId="0" borderId="260" applyFill="0" applyBorder="0" applyProtection="0">
      <alignment horizontal="right" vertical="center"/>
    </xf>
    <xf numFmtId="0" fontId="1" fillId="30" borderId="0" applyNumberFormat="0" applyBorder="0" applyAlignment="0" applyProtection="0"/>
    <xf numFmtId="0" fontId="1" fillId="21"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1" fillId="19" borderId="0" applyNumberFormat="0" applyBorder="0" applyAlignment="0" applyProtection="0"/>
    <xf numFmtId="0" fontId="4" fillId="26" borderId="0" applyNumberFormat="0" applyBorder="0" applyAlignment="0" applyProtection="0"/>
    <xf numFmtId="0" fontId="1" fillId="34" borderId="0" applyNumberFormat="0" applyBorder="0" applyAlignment="0" applyProtection="0"/>
    <xf numFmtId="0" fontId="27" fillId="0" borderId="0" applyNumberFormat="0" applyFill="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0" fontId="1" fillId="25" borderId="0" applyNumberFormat="0" applyBorder="0" applyAlignment="0" applyProtection="0"/>
    <xf numFmtId="0" fontId="4" fillId="32" borderId="0" applyNumberFormat="0" applyBorder="0" applyAlignment="0" applyProtection="0"/>
    <xf numFmtId="0" fontId="1" fillId="21" borderId="0" applyNumberFormat="0" applyBorder="0" applyAlignment="0" applyProtection="0"/>
    <xf numFmtId="0" fontId="25" fillId="17" borderId="22" applyNumberFormat="0" applyAlignment="0" applyProtection="0"/>
    <xf numFmtId="0" fontId="1" fillId="31" borderId="0" applyNumberFormat="0" applyBorder="0" applyAlignment="0" applyProtection="0"/>
    <xf numFmtId="0" fontId="4" fillId="20"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3" fillId="0" borderId="23" applyNumberFormat="0" applyFill="0" applyAlignment="0" applyProtection="0"/>
    <xf numFmtId="0" fontId="1" fillId="34" borderId="0" applyNumberFormat="0" applyBorder="0" applyAlignment="0" applyProtection="0"/>
    <xf numFmtId="0" fontId="1" fillId="2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27" fillId="0" borderId="0" applyNumberFormat="0" applyFill="0" applyBorder="0" applyAlignment="0" applyProtection="0"/>
    <xf numFmtId="0" fontId="1" fillId="22" borderId="0" applyNumberFormat="0" applyBorder="0" applyAlignment="0" applyProtection="0"/>
    <xf numFmtId="0" fontId="33" fillId="0" borderId="273" applyNumberFormat="0" applyFill="0" applyAlignment="0" applyProtection="0"/>
    <xf numFmtId="0" fontId="1" fillId="18" borderId="0" applyNumberFormat="0" applyBorder="0" applyAlignment="0" applyProtection="0"/>
    <xf numFmtId="0" fontId="27" fillId="0" borderId="0" applyNumberFormat="0" applyFill="0" applyBorder="0" applyAlignment="0" applyProtection="0"/>
    <xf numFmtId="0" fontId="1" fillId="33"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4" fillId="23"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2" borderId="0" applyNumberFormat="0" applyBorder="0" applyAlignment="0" applyProtection="0"/>
    <xf numFmtId="0" fontId="4" fillId="29" borderId="0" applyNumberFormat="0" applyBorder="0" applyAlignment="0" applyProtection="0"/>
    <xf numFmtId="4" fontId="31" fillId="36" borderId="286">
      <alignment horizontal="right" vertical="center"/>
    </xf>
    <xf numFmtId="0" fontId="1" fillId="19" borderId="0" applyNumberFormat="0" applyBorder="0" applyAlignment="0" applyProtection="0"/>
    <xf numFmtId="0" fontId="3" fillId="0" borderId="23" applyNumberFormat="0" applyFill="0" applyAlignment="0" applyProtection="0"/>
    <xf numFmtId="0" fontId="28" fillId="0" borderId="0" applyNumberFormat="0" applyFill="0" applyBorder="0" applyAlignment="0" applyProtection="0"/>
    <xf numFmtId="4" fontId="35" fillId="36" borderId="286">
      <alignment horizontal="right" vertical="center"/>
    </xf>
    <xf numFmtId="0" fontId="1" fillId="19" borderId="0" applyNumberFormat="0" applyBorder="0" applyAlignment="0" applyProtection="0"/>
    <xf numFmtId="0" fontId="31" fillId="38" borderId="286">
      <alignment horizontal="right" vertical="center"/>
    </xf>
    <xf numFmtId="0" fontId="31" fillId="38" borderId="286">
      <alignment horizontal="right" vertical="center"/>
    </xf>
    <xf numFmtId="0" fontId="25" fillId="17" borderId="22" applyNumberFormat="0" applyAlignment="0" applyProtection="0"/>
    <xf numFmtId="4" fontId="31" fillId="38" borderId="286">
      <alignment horizontal="right" vertical="center"/>
    </xf>
    <xf numFmtId="43" fontId="36" fillId="0" borderId="0" applyFont="0" applyFill="0" applyBorder="0" applyAlignment="0" applyProtection="0"/>
    <xf numFmtId="0" fontId="56" fillId="46" borderId="283" applyNumberFormat="0" applyAlignment="0" applyProtection="0"/>
    <xf numFmtId="0" fontId="19" fillId="62" borderId="298" applyNumberFormat="0" applyFont="0" applyAlignment="0" applyProtection="0"/>
    <xf numFmtId="0" fontId="28" fillId="0" borderId="0" applyNumberFormat="0" applyFill="0" applyBorder="0" applyAlignment="0" applyProtection="0"/>
    <xf numFmtId="49" fontId="33" fillId="0" borderId="287" applyNumberFormat="0" applyFont="0" applyFill="0" applyBorder="0" applyProtection="0">
      <alignment horizontal="left" vertical="center" indent="5"/>
    </xf>
    <xf numFmtId="0" fontId="31" fillId="36" borderId="286">
      <alignment horizontal="right" vertical="center"/>
    </xf>
    <xf numFmtId="0" fontId="19" fillId="62" borderId="285" applyNumberFormat="0" applyFont="0" applyAlignment="0" applyProtection="0"/>
    <xf numFmtId="0" fontId="33" fillId="0" borderId="286">
      <alignment horizontal="right" vertical="center"/>
    </xf>
    <xf numFmtId="0" fontId="43" fillId="59" borderId="283" applyNumberFormat="0" applyAlignment="0" applyProtection="0"/>
    <xf numFmtId="0" fontId="1" fillId="30" borderId="0" applyNumberFormat="0" applyBorder="0" applyAlignment="0" applyProtection="0"/>
    <xf numFmtId="4" fontId="35" fillId="36" borderId="286">
      <alignment horizontal="right" vertical="center"/>
    </xf>
    <xf numFmtId="0" fontId="27" fillId="0" borderId="0" applyNumberFormat="0" applyFill="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4" fillId="26" borderId="0" applyNumberFormat="0" applyBorder="0" applyAlignment="0" applyProtection="0"/>
    <xf numFmtId="0" fontId="41" fillId="59" borderId="295" applyNumberFormat="0" applyAlignment="0" applyProtection="0"/>
    <xf numFmtId="177" fontId="33" fillId="63" borderId="286" applyNumberFormat="0" applyFont="0" applyBorder="0" applyAlignment="0" applyProtection="0">
      <alignment horizontal="right" vertical="center"/>
    </xf>
    <xf numFmtId="0" fontId="4" fillId="29" borderId="0" applyNumberFormat="0" applyBorder="0" applyAlignment="0" applyProtection="0"/>
    <xf numFmtId="0" fontId="1" fillId="19" borderId="0" applyNumberFormat="0" applyBorder="0" applyAlignment="0" applyProtection="0"/>
    <xf numFmtId="0" fontId="41" fillId="59" borderId="295" applyNumberFormat="0" applyAlignment="0" applyProtection="0"/>
    <xf numFmtId="4" fontId="35" fillId="36" borderId="286">
      <alignment horizontal="right" vertical="center"/>
    </xf>
    <xf numFmtId="4" fontId="31" fillId="38" borderId="286">
      <alignment horizontal="right" vertical="center"/>
    </xf>
    <xf numFmtId="0" fontId="63" fillId="0" borderId="297" applyNumberFormat="0" applyFill="0" applyAlignment="0" applyProtection="0"/>
    <xf numFmtId="0" fontId="41" fillId="59" borderId="282" applyNumberFormat="0" applyAlignment="0" applyProtection="0"/>
    <xf numFmtId="4" fontId="35" fillId="36" borderId="286">
      <alignment horizontal="right" vertical="center"/>
    </xf>
    <xf numFmtId="0" fontId="48" fillId="0" borderId="284" applyNumberFormat="0" applyFill="0" applyAlignment="0" applyProtection="0"/>
    <xf numFmtId="213" fontId="30" fillId="59" borderId="268" applyAlignment="0" applyProtection="0"/>
    <xf numFmtId="0" fontId="31" fillId="38" borderId="273">
      <alignment horizontal="right" vertical="center"/>
    </xf>
    <xf numFmtId="0" fontId="1" fillId="19" borderId="0" applyNumberFormat="0" applyBorder="0" applyAlignment="0" applyProtection="0"/>
    <xf numFmtId="0" fontId="1" fillId="18" borderId="0" applyNumberFormat="0" applyBorder="0" applyAlignment="0" applyProtection="0"/>
    <xf numFmtId="0" fontId="3" fillId="0" borderId="23" applyNumberFormat="0" applyFill="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6" fillId="17" borderId="10" applyNumberFormat="0" applyAlignment="0" applyProtection="0"/>
    <xf numFmtId="0" fontId="25" fillId="17" borderId="22" applyNumberFormat="0" applyAlignment="0" applyProtection="0"/>
    <xf numFmtId="0" fontId="1" fillId="33" borderId="0" applyNumberFormat="0" applyBorder="0" applyAlignment="0" applyProtection="0"/>
    <xf numFmtId="0" fontId="41" fillId="59" borderId="269" applyNumberFormat="0" applyAlignment="0" applyProtection="0"/>
    <xf numFmtId="0" fontId="35" fillId="36" borderId="273">
      <alignment horizontal="right" vertical="center"/>
    </xf>
    <xf numFmtId="0" fontId="1" fillId="21" borderId="0" applyNumberFormat="0" applyBorder="0" applyAlignment="0" applyProtection="0"/>
    <xf numFmtId="0" fontId="56" fillId="46" borderId="283" applyNumberFormat="0" applyAlignment="0" applyProtection="0"/>
    <xf numFmtId="183" fontId="124" fillId="62" borderId="303" applyNumberFormat="0" applyFont="0" applyAlignment="0" applyProtection="0"/>
    <xf numFmtId="0" fontId="1" fillId="31" borderId="0" applyNumberFormat="0" applyBorder="0" applyAlignment="0" applyProtection="0"/>
    <xf numFmtId="0" fontId="4" fillId="26" borderId="0" applyNumberFormat="0" applyBorder="0" applyAlignment="0" applyProtection="0"/>
    <xf numFmtId="177" fontId="33" fillId="63" borderId="286" applyNumberFormat="0" applyFont="0" applyBorder="0" applyAlignment="0" applyProtection="0">
      <alignment horizontal="right" vertical="center"/>
    </xf>
    <xf numFmtId="0" fontId="33" fillId="38" borderId="289">
      <alignment horizontal="left" vertical="center" wrapText="1" indent="2"/>
    </xf>
    <xf numFmtId="0" fontId="60" fillId="59" borderId="282" applyNumberFormat="0" applyAlignment="0" applyProtection="0"/>
    <xf numFmtId="0" fontId="3" fillId="0" borderId="23" applyNumberFormat="0" applyFill="0" applyAlignment="0" applyProtection="0"/>
    <xf numFmtId="0" fontId="25" fillId="17" borderId="22" applyNumberFormat="0" applyAlignment="0" applyProtection="0"/>
    <xf numFmtId="0" fontId="33" fillId="37" borderId="286"/>
    <xf numFmtId="0" fontId="1" fillId="19" borderId="0" applyNumberFormat="0" applyBorder="0" applyAlignment="0" applyProtection="0"/>
    <xf numFmtId="49" fontId="33" fillId="0" borderId="286" applyNumberFormat="0" applyFont="0" applyFill="0" applyBorder="0" applyProtection="0">
      <alignment horizontal="left" vertical="center" indent="2"/>
    </xf>
    <xf numFmtId="183" fontId="163" fillId="69" borderId="265">
      <alignment horizontal="center" wrapText="1"/>
    </xf>
    <xf numFmtId="183" fontId="163" fillId="69" borderId="265">
      <alignment horizontal="centerContinuous" wrapText="1"/>
    </xf>
    <xf numFmtId="183" fontId="163" fillId="69" borderId="265">
      <alignment horizontal="center" vertical="justify" textRotation="90"/>
    </xf>
    <xf numFmtId="0" fontId="47" fillId="46" borderId="283" applyNumberFormat="0" applyAlignment="0" applyProtection="0"/>
    <xf numFmtId="0" fontId="35" fillId="36" borderId="286">
      <alignment horizontal="right" vertical="center"/>
    </xf>
    <xf numFmtId="0" fontId="4" fillId="32"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4"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26" fillId="17" borderId="10" applyNumberFormat="0" applyAlignment="0" applyProtection="0"/>
    <xf numFmtId="0" fontId="1" fillId="21" borderId="0" applyNumberFormat="0" applyBorder="0" applyAlignment="0" applyProtection="0"/>
    <xf numFmtId="0" fontId="1" fillId="24" borderId="0" applyNumberFormat="0" applyBorder="0" applyAlignment="0" applyProtection="0"/>
    <xf numFmtId="0" fontId="3" fillId="0" borderId="23" applyNumberFormat="0" applyFill="0" applyAlignment="0" applyProtection="0"/>
    <xf numFmtId="0" fontId="4" fillId="29" borderId="0" applyNumberFormat="0" applyBorder="0" applyAlignment="0" applyProtection="0"/>
    <xf numFmtId="0" fontId="4" fillId="26" borderId="0" applyNumberFormat="0" applyBorder="0" applyAlignment="0" applyProtection="0"/>
    <xf numFmtId="0" fontId="4" fillId="20" borderId="0" applyNumberFormat="0" applyBorder="0" applyAlignment="0" applyProtection="0"/>
    <xf numFmtId="0" fontId="1" fillId="22" borderId="0" applyNumberFormat="0" applyBorder="0" applyAlignment="0" applyProtection="0"/>
    <xf numFmtId="0" fontId="25" fillId="17" borderId="22"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1" fillId="28" borderId="0" applyNumberFormat="0" applyBorder="0" applyAlignment="0" applyProtection="0"/>
    <xf numFmtId="0" fontId="4" fillId="20" borderId="0" applyNumberFormat="0" applyBorder="0" applyAlignment="0" applyProtection="0"/>
    <xf numFmtId="0" fontId="26" fillId="17" borderId="10" applyNumberFormat="0" applyAlignment="0" applyProtection="0"/>
    <xf numFmtId="0" fontId="4" fillId="35"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33" fillId="0" borderId="260" applyNumberFormat="0" applyFill="0" applyAlignment="0" applyProtection="0"/>
    <xf numFmtId="0" fontId="31" fillId="38" borderId="260">
      <alignment horizontal="right" vertical="center"/>
    </xf>
    <xf numFmtId="0" fontId="31" fillId="38" borderId="260">
      <alignment horizontal="right" vertical="center"/>
    </xf>
    <xf numFmtId="0" fontId="33" fillId="0" borderId="263">
      <alignment horizontal="left" vertical="center" wrapText="1" indent="2"/>
    </xf>
    <xf numFmtId="0" fontId="31" fillId="38" borderId="262">
      <alignment horizontal="right" vertical="center"/>
    </xf>
    <xf numFmtId="0" fontId="33" fillId="0" borderId="260">
      <alignment horizontal="right" vertical="center"/>
    </xf>
    <xf numFmtId="0" fontId="35" fillId="36" borderId="260">
      <alignment horizontal="right" vertical="center"/>
    </xf>
    <xf numFmtId="0" fontId="33" fillId="37" borderId="260"/>
    <xf numFmtId="0" fontId="31" fillId="36" borderId="260">
      <alignment horizontal="right" vertical="center"/>
    </xf>
    <xf numFmtId="4" fontId="33" fillId="0" borderId="260" applyFill="0" applyBorder="0" applyProtection="0">
      <alignment horizontal="right" vertical="center"/>
    </xf>
    <xf numFmtId="0" fontId="1" fillId="30" borderId="0" applyNumberFormat="0" applyBorder="0" applyAlignment="0" applyProtection="0"/>
    <xf numFmtId="0" fontId="1" fillId="21"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1" fillId="19" borderId="0" applyNumberFormat="0" applyBorder="0" applyAlignment="0" applyProtection="0"/>
    <xf numFmtId="0" fontId="4" fillId="26" borderId="0" applyNumberFormat="0" applyBorder="0" applyAlignment="0" applyProtection="0"/>
    <xf numFmtId="0" fontId="1" fillId="34" borderId="0" applyNumberFormat="0" applyBorder="0" applyAlignment="0" applyProtection="0"/>
    <xf numFmtId="0" fontId="27" fillId="0" borderId="0" applyNumberFormat="0" applyFill="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0" fontId="1" fillId="25" borderId="0" applyNumberFormat="0" applyBorder="0" applyAlignment="0" applyProtection="0"/>
    <xf numFmtId="0" fontId="4" fillId="32" borderId="0" applyNumberFormat="0" applyBorder="0" applyAlignment="0" applyProtection="0"/>
    <xf numFmtId="0" fontId="1" fillId="21" borderId="0" applyNumberFormat="0" applyBorder="0" applyAlignment="0" applyProtection="0"/>
    <xf numFmtId="0" fontId="25" fillId="17" borderId="22" applyNumberFormat="0" applyAlignment="0" applyProtection="0"/>
    <xf numFmtId="0" fontId="1" fillId="31" borderId="0" applyNumberFormat="0" applyBorder="0" applyAlignment="0" applyProtection="0"/>
    <xf numFmtId="0" fontId="4" fillId="20"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3" fillId="0" borderId="23" applyNumberFormat="0" applyFill="0" applyAlignment="0" applyProtection="0"/>
    <xf numFmtId="0" fontId="1" fillId="34" borderId="0" applyNumberFormat="0" applyBorder="0" applyAlignment="0" applyProtection="0"/>
    <xf numFmtId="0" fontId="1" fillId="2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31" fillId="38" borderId="262">
      <alignment horizontal="right" vertical="center"/>
    </xf>
    <xf numFmtId="4" fontId="31" fillId="38" borderId="262">
      <alignment horizontal="right" vertical="center"/>
    </xf>
    <xf numFmtId="0" fontId="33" fillId="38" borderId="263">
      <alignment horizontal="left" vertical="center" wrapText="1" indent="2"/>
    </xf>
    <xf numFmtId="0" fontId="33" fillId="0" borderId="263">
      <alignment horizontal="left" vertical="center" wrapText="1" indent="2"/>
    </xf>
    <xf numFmtId="0" fontId="1" fillId="18" borderId="0" applyNumberFormat="0" applyBorder="0" applyAlignment="0" applyProtection="0"/>
    <xf numFmtId="0" fontId="27" fillId="0" borderId="0" applyNumberFormat="0" applyFill="0" applyBorder="0" applyAlignment="0" applyProtection="0"/>
    <xf numFmtId="0" fontId="1" fillId="33"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4" fillId="23"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4" fillId="35" borderId="0" applyNumberFormat="0" applyBorder="0" applyAlignment="0" applyProtection="0"/>
    <xf numFmtId="0" fontId="31" fillId="38" borderId="286">
      <alignment horizontal="right" vertical="center"/>
    </xf>
    <xf numFmtId="0" fontId="31" fillId="38" borderId="287">
      <alignment horizontal="right" vertical="center"/>
    </xf>
    <xf numFmtId="0" fontId="33" fillId="36" borderId="287">
      <alignment horizontal="left" vertical="center"/>
    </xf>
    <xf numFmtId="4" fontId="33" fillId="0" borderId="286">
      <alignment horizontal="right" vertical="center"/>
    </xf>
    <xf numFmtId="0" fontId="60" fillId="59" borderId="282" applyNumberFormat="0" applyAlignment="0" applyProtection="0"/>
    <xf numFmtId="177" fontId="33" fillId="63" borderId="286" applyNumberFormat="0" applyFont="0" applyBorder="0" applyAlignment="0" applyProtection="0">
      <alignment horizontal="right" vertical="center"/>
    </xf>
    <xf numFmtId="0" fontId="33" fillId="37" borderId="286"/>
    <xf numFmtId="0" fontId="63" fillId="0" borderId="284" applyNumberFormat="0" applyFill="0" applyAlignment="0" applyProtection="0"/>
    <xf numFmtId="0" fontId="41" fillId="59" borderId="282" applyNumberFormat="0" applyAlignment="0" applyProtection="0"/>
    <xf numFmtId="0" fontId="48" fillId="0" borderId="284" applyNumberFormat="0" applyFill="0" applyAlignment="0" applyProtection="0"/>
    <xf numFmtId="0" fontId="1" fillId="30" borderId="0" applyNumberFormat="0" applyBorder="0" applyAlignment="0" applyProtection="0"/>
    <xf numFmtId="0" fontId="33" fillId="0" borderId="289">
      <alignment horizontal="left" vertical="center" wrapText="1" indent="2"/>
    </xf>
    <xf numFmtId="0" fontId="4" fillId="23" borderId="0" applyNumberFormat="0" applyBorder="0" applyAlignment="0" applyProtection="0"/>
    <xf numFmtId="0" fontId="27" fillId="0" borderId="0" applyNumberFormat="0" applyFill="0" applyBorder="0" applyAlignment="0" applyProtection="0"/>
    <xf numFmtId="4" fontId="33" fillId="0" borderId="299">
      <alignment horizontal="right" vertical="center"/>
    </xf>
    <xf numFmtId="0" fontId="38" fillId="62" borderId="285" applyNumberFormat="0" applyFont="0" applyAlignment="0" applyProtection="0"/>
    <xf numFmtId="0" fontId="31" fillId="38" borderId="286">
      <alignment horizontal="right" vertical="center"/>
    </xf>
    <xf numFmtId="0" fontId="63" fillId="0" borderId="284" applyNumberFormat="0" applyFill="0" applyAlignment="0" applyProtection="0"/>
    <xf numFmtId="0" fontId="33" fillId="38" borderId="289">
      <alignment horizontal="left" vertical="center" wrapText="1" indent="2"/>
    </xf>
    <xf numFmtId="0" fontId="33" fillId="37" borderId="286"/>
    <xf numFmtId="177" fontId="33" fillId="63" borderId="286" applyNumberFormat="0" applyFont="0" applyBorder="0" applyAlignment="0" applyProtection="0">
      <alignment horizontal="right" vertical="center"/>
    </xf>
    <xf numFmtId="0" fontId="43" fillId="59" borderId="283" applyNumberFormat="0" applyAlignment="0" applyProtection="0"/>
    <xf numFmtId="0" fontId="33" fillId="0" borderId="289">
      <alignment horizontal="left" vertical="center" wrapText="1" indent="2"/>
    </xf>
    <xf numFmtId="0" fontId="33" fillId="38" borderId="289">
      <alignment horizontal="left" vertical="center" wrapText="1" indent="2"/>
    </xf>
    <xf numFmtId="0" fontId="41" fillId="59" borderId="282" applyNumberFormat="0" applyAlignment="0" applyProtection="0"/>
    <xf numFmtId="4" fontId="33" fillId="0" borderId="286" applyFill="0" applyBorder="0" applyProtection="0">
      <alignment horizontal="right" vertical="center"/>
    </xf>
    <xf numFmtId="0" fontId="33" fillId="0" borderId="289">
      <alignment horizontal="left" vertical="center" wrapText="1" indent="2"/>
    </xf>
    <xf numFmtId="0" fontId="31" fillId="38" borderId="288">
      <alignment horizontal="right" vertical="center"/>
    </xf>
    <xf numFmtId="0" fontId="31" fillId="38" borderId="286">
      <alignment horizontal="right" vertical="center"/>
    </xf>
    <xf numFmtId="0" fontId="33" fillId="38" borderId="289">
      <alignment horizontal="left" vertical="center" wrapText="1" indent="2"/>
    </xf>
    <xf numFmtId="0" fontId="33" fillId="0" borderId="289">
      <alignment horizontal="left" vertical="center" wrapText="1" indent="2"/>
    </xf>
    <xf numFmtId="0" fontId="60" fillId="59" borderId="282" applyNumberFormat="0" applyAlignment="0" applyProtection="0"/>
    <xf numFmtId="0" fontId="56" fillId="46" borderId="283" applyNumberFormat="0" applyAlignment="0" applyProtection="0"/>
    <xf numFmtId="0" fontId="43" fillId="59" borderId="283" applyNumberFormat="0" applyAlignment="0" applyProtection="0"/>
    <xf numFmtId="0" fontId="31" fillId="38" borderId="288">
      <alignment horizontal="right" vertical="center"/>
    </xf>
    <xf numFmtId="0" fontId="38" fillId="62" borderId="285" applyNumberFormat="0" applyFont="0" applyAlignment="0" applyProtection="0"/>
    <xf numFmtId="0" fontId="35" fillId="36" borderId="286">
      <alignment horizontal="right" vertical="center"/>
    </xf>
    <xf numFmtId="4" fontId="31" fillId="38" borderId="288">
      <alignment horizontal="right" vertical="center"/>
    </xf>
    <xf numFmtId="49" fontId="33" fillId="0" borderId="286" applyNumberFormat="0" applyFont="0" applyFill="0" applyBorder="0" applyProtection="0">
      <alignment horizontal="left" vertical="center" indent="2"/>
    </xf>
    <xf numFmtId="0" fontId="33" fillId="0" borderId="289">
      <alignment horizontal="left" vertical="center" wrapText="1" indent="2"/>
    </xf>
    <xf numFmtId="0" fontId="19" fillId="62" borderId="285" applyNumberFormat="0" applyFont="0" applyAlignment="0" applyProtection="0"/>
    <xf numFmtId="0" fontId="31" fillId="38" borderId="286">
      <alignment horizontal="right" vertical="center"/>
    </xf>
    <xf numFmtId="0" fontId="31" fillId="38" borderId="286">
      <alignment horizontal="right" vertical="center"/>
    </xf>
    <xf numFmtId="0" fontId="1" fillId="18" borderId="0" applyNumberFormat="0" applyBorder="0" applyAlignment="0" applyProtection="0"/>
    <xf numFmtId="0" fontId="4" fillId="20"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4" fillId="35" borderId="0" applyNumberFormat="0" applyBorder="0" applyAlignment="0" applyProtection="0"/>
    <xf numFmtId="0" fontId="38" fillId="62" borderId="285" applyNumberFormat="0" applyFont="0" applyAlignment="0" applyProtection="0"/>
    <xf numFmtId="0" fontId="19" fillId="62" borderId="285" applyNumberFormat="0" applyFont="0" applyAlignment="0" applyProtection="0"/>
    <xf numFmtId="49" fontId="33" fillId="0" borderId="286" applyNumberFormat="0" applyFont="0" applyFill="0" applyBorder="0" applyProtection="0">
      <alignment horizontal="left" vertical="center" indent="2"/>
    </xf>
    <xf numFmtId="0" fontId="60" fillId="59" borderId="282" applyNumberFormat="0" applyAlignment="0" applyProtection="0"/>
    <xf numFmtId="0" fontId="33" fillId="37" borderId="286"/>
    <xf numFmtId="0" fontId="60" fillId="59" borderId="282" applyNumberFormat="0" applyAlignment="0" applyProtection="0"/>
    <xf numFmtId="0" fontId="31" fillId="38" borderId="287">
      <alignment horizontal="right" vertical="center"/>
    </xf>
    <xf numFmtId="0" fontId="31" fillId="38" borderId="287">
      <alignment horizontal="right" vertical="center"/>
    </xf>
    <xf numFmtId="0" fontId="1" fillId="22" borderId="0" applyNumberFormat="0" applyBorder="0" applyAlignment="0" applyProtection="0"/>
    <xf numFmtId="0" fontId="35" fillId="36" borderId="286">
      <alignment horizontal="right" vertical="center"/>
    </xf>
    <xf numFmtId="4" fontId="31" fillId="38" borderId="286">
      <alignment horizontal="right" vertical="center"/>
    </xf>
    <xf numFmtId="0" fontId="31" fillId="36" borderId="286">
      <alignment horizontal="right" vertical="center"/>
    </xf>
    <xf numFmtId="0" fontId="48" fillId="0" borderId="284" applyNumberFormat="0" applyFill="0" applyAlignment="0" applyProtection="0"/>
    <xf numFmtId="0" fontId="38" fillId="62" borderId="285" applyNumberFormat="0" applyFont="0" applyAlignment="0" applyProtection="0"/>
    <xf numFmtId="4" fontId="31" fillId="36" borderId="286">
      <alignment horizontal="right" vertical="center"/>
    </xf>
    <xf numFmtId="0" fontId="31" fillId="38" borderId="286">
      <alignment horizontal="right" vertical="center"/>
    </xf>
    <xf numFmtId="0" fontId="26" fillId="17" borderId="10" applyNumberFormat="0" applyAlignment="0" applyProtection="0"/>
    <xf numFmtId="0" fontId="56" fillId="46" borderId="283" applyNumberFormat="0" applyAlignment="0" applyProtection="0"/>
    <xf numFmtId="0" fontId="38" fillId="62" borderId="285" applyNumberFormat="0" applyFont="0" applyAlignment="0" applyProtection="0"/>
    <xf numFmtId="0" fontId="47" fillId="46" borderId="283" applyNumberFormat="0" applyAlignment="0" applyProtection="0"/>
    <xf numFmtId="0" fontId="33" fillId="0" borderId="286">
      <alignment horizontal="right" vertical="center"/>
    </xf>
    <xf numFmtId="4" fontId="33" fillId="0" borderId="286" applyFill="0" applyBorder="0" applyProtection="0">
      <alignment horizontal="right" vertical="center"/>
    </xf>
    <xf numFmtId="4" fontId="31" fillId="36" borderId="286">
      <alignment horizontal="right" vertical="center"/>
    </xf>
    <xf numFmtId="49" fontId="33" fillId="0" borderId="287" applyNumberFormat="0" applyFont="0" applyFill="0" applyBorder="0" applyProtection="0">
      <alignment horizontal="left" vertical="center" indent="5"/>
    </xf>
    <xf numFmtId="0" fontId="31" fillId="38" borderId="286">
      <alignment horizontal="right" vertical="center"/>
    </xf>
    <xf numFmtId="0" fontId="33" fillId="0" borderId="286" applyNumberFormat="0" applyFill="0" applyAlignment="0" applyProtection="0"/>
    <xf numFmtId="0" fontId="41" fillId="59" borderId="282" applyNumberFormat="0" applyAlignment="0" applyProtection="0"/>
    <xf numFmtId="0" fontId="1" fillId="31" borderId="0" applyNumberFormat="0" applyBorder="0" applyAlignment="0" applyProtection="0"/>
    <xf numFmtId="0" fontId="33" fillId="37" borderId="286"/>
    <xf numFmtId="0" fontId="31" fillId="38" borderId="287">
      <alignment horizontal="right" vertical="center"/>
    </xf>
    <xf numFmtId="0" fontId="1" fillId="33" borderId="0" applyNumberFormat="0" applyBorder="0" applyAlignment="0" applyProtection="0"/>
    <xf numFmtId="4" fontId="31" fillId="38" borderId="286">
      <alignment horizontal="right" vertical="center"/>
    </xf>
    <xf numFmtId="0" fontId="48" fillId="0" borderId="284" applyNumberFormat="0" applyFill="0" applyAlignment="0" applyProtection="0"/>
    <xf numFmtId="0" fontId="4" fillId="23" borderId="0" applyNumberFormat="0" applyBorder="0" applyAlignment="0" applyProtection="0"/>
    <xf numFmtId="0" fontId="33" fillId="0" borderId="286">
      <alignment horizontal="right" vertical="center"/>
    </xf>
    <xf numFmtId="0" fontId="33" fillId="0" borderId="289">
      <alignment horizontal="left" vertical="center" wrapText="1" indent="2"/>
    </xf>
    <xf numFmtId="0" fontId="33" fillId="37" borderId="286"/>
    <xf numFmtId="0" fontId="35" fillId="36" borderId="286">
      <alignment horizontal="right" vertical="center"/>
    </xf>
    <xf numFmtId="0" fontId="31" fillId="36" borderId="286">
      <alignment horizontal="right" vertical="center"/>
    </xf>
    <xf numFmtId="49" fontId="33" fillId="0" borderId="286" applyNumberFormat="0" applyFont="0" applyFill="0" applyBorder="0" applyProtection="0">
      <alignment horizontal="left" vertical="center" indent="2"/>
    </xf>
    <xf numFmtId="0" fontId="63" fillId="0" borderId="284" applyNumberFormat="0" applyFill="0" applyAlignment="0" applyProtection="0"/>
    <xf numFmtId="0" fontId="31" fillId="38" borderId="286">
      <alignment horizontal="right" vertical="center"/>
    </xf>
    <xf numFmtId="0" fontId="33" fillId="0" borderId="302">
      <alignment horizontal="left" vertical="center" wrapText="1" indent="2"/>
    </xf>
    <xf numFmtId="177" fontId="33" fillId="63" borderId="286" applyNumberFormat="0" applyFont="0" applyBorder="0" applyAlignment="0" applyProtection="0">
      <alignment horizontal="right" vertical="center"/>
    </xf>
    <xf numFmtId="0" fontId="33" fillId="37" borderId="286"/>
    <xf numFmtId="0" fontId="99" fillId="15" borderId="269" applyNumberFormat="0" applyAlignment="0" applyProtection="0"/>
    <xf numFmtId="0" fontId="76" fillId="83" borderId="272" applyNumberFormat="0" applyFont="0" applyAlignment="0" applyProtection="0"/>
    <xf numFmtId="0" fontId="33" fillId="0" borderId="289">
      <alignment horizontal="left" vertical="center" wrapText="1" indent="2"/>
    </xf>
    <xf numFmtId="0" fontId="44" fillId="59" borderId="283" applyNumberFormat="0" applyAlignment="0" applyProtection="0"/>
    <xf numFmtId="0" fontId="41" fillId="59" borderId="282" applyNumberFormat="0" applyAlignment="0" applyProtection="0"/>
    <xf numFmtId="0" fontId="1" fillId="28" borderId="0" applyNumberFormat="0" applyBorder="0" applyAlignment="0" applyProtection="0"/>
    <xf numFmtId="4" fontId="31" fillId="38" borderId="287">
      <alignment horizontal="right" vertical="center"/>
    </xf>
    <xf numFmtId="0" fontId="4" fillId="23" borderId="0" applyNumberFormat="0" applyBorder="0" applyAlignment="0" applyProtection="0"/>
    <xf numFmtId="0" fontId="19" fillId="62" borderId="285" applyNumberFormat="0" applyFont="0" applyAlignment="0" applyProtection="0"/>
    <xf numFmtId="0" fontId="1" fillId="27" borderId="0" applyNumberFormat="0" applyBorder="0" applyAlignment="0" applyProtection="0"/>
    <xf numFmtId="0" fontId="31" fillId="38" borderId="286">
      <alignment horizontal="right" vertical="center"/>
    </xf>
    <xf numFmtId="0" fontId="38" fillId="62" borderId="285" applyNumberFormat="0" applyFont="0" applyAlignment="0" applyProtection="0"/>
    <xf numFmtId="0" fontId="1" fillId="18" borderId="0" applyNumberFormat="0" applyBorder="0" applyAlignment="0" applyProtection="0"/>
    <xf numFmtId="0" fontId="4" fillId="32" borderId="0" applyNumberFormat="0" applyBorder="0" applyAlignment="0" applyProtection="0"/>
    <xf numFmtId="4" fontId="33" fillId="37" borderId="299"/>
    <xf numFmtId="4" fontId="31" fillId="38" borderId="286">
      <alignment horizontal="right" vertical="center"/>
    </xf>
    <xf numFmtId="0" fontId="4" fillId="32" borderId="0" applyNumberFormat="0" applyBorder="0" applyAlignment="0" applyProtection="0"/>
    <xf numFmtId="0" fontId="26" fillId="17" borderId="10" applyNumberFormat="0" applyAlignment="0" applyProtection="0"/>
    <xf numFmtId="0" fontId="41" fillId="59" borderId="282" applyNumberFormat="0" applyAlignment="0" applyProtection="0"/>
    <xf numFmtId="49" fontId="33" fillId="0" borderId="286" applyNumberFormat="0" applyFont="0" applyFill="0" applyBorder="0" applyProtection="0">
      <alignment horizontal="left" vertical="center" indent="2"/>
    </xf>
    <xf numFmtId="0" fontId="27" fillId="0" borderId="0" applyNumberFormat="0" applyFill="0" applyBorder="0" applyAlignment="0" applyProtection="0"/>
    <xf numFmtId="0" fontId="1" fillId="27" borderId="0" applyNumberFormat="0" applyBorder="0" applyAlignment="0" applyProtection="0"/>
    <xf numFmtId="0" fontId="1" fillId="31" borderId="0" applyNumberFormat="0" applyBorder="0" applyAlignment="0" applyProtection="0"/>
    <xf numFmtId="0" fontId="56" fillId="46" borderId="296" applyNumberFormat="0" applyAlignment="0" applyProtection="0"/>
    <xf numFmtId="0" fontId="4" fillId="29" borderId="0" applyNumberFormat="0" applyBorder="0" applyAlignment="0" applyProtection="0"/>
    <xf numFmtId="4" fontId="33" fillId="0" borderId="286">
      <alignment horizontal="right" vertical="center"/>
    </xf>
    <xf numFmtId="3" fontId="126" fillId="82" borderId="286">
      <alignment horizontal="center"/>
      <protection locked="0"/>
    </xf>
    <xf numFmtId="0" fontId="33" fillId="36" borderId="300">
      <alignment horizontal="left" vertical="center"/>
    </xf>
    <xf numFmtId="0" fontId="4" fillId="23" borderId="0" applyNumberFormat="0" applyBorder="0" applyAlignment="0" applyProtection="0"/>
    <xf numFmtId="0" fontId="27" fillId="0" borderId="0" applyNumberFormat="0" applyFill="0" applyBorder="0" applyAlignment="0" applyProtection="0"/>
    <xf numFmtId="0" fontId="38" fillId="62" borderId="285" applyNumberFormat="0" applyFont="0" applyAlignment="0" applyProtection="0"/>
    <xf numFmtId="0" fontId="25" fillId="17" borderId="22" applyNumberFormat="0" applyAlignment="0" applyProtection="0"/>
    <xf numFmtId="0" fontId="1" fillId="34" borderId="0" applyNumberFormat="0" applyBorder="0" applyAlignment="0" applyProtection="0"/>
    <xf numFmtId="0" fontId="33" fillId="0" borderId="302">
      <alignment horizontal="left" vertical="center" wrapText="1" indent="2"/>
    </xf>
    <xf numFmtId="4" fontId="31" fillId="36" borderId="299">
      <alignment horizontal="right" vertical="center"/>
    </xf>
    <xf numFmtId="0" fontId="33" fillId="0" borderId="302">
      <alignment horizontal="left" vertical="center" wrapText="1" indent="2"/>
    </xf>
    <xf numFmtId="0" fontId="4" fillId="20" borderId="0" applyNumberFormat="0" applyBorder="0" applyAlignment="0" applyProtection="0"/>
    <xf numFmtId="4" fontId="82" fillId="0" borderId="293" applyNumberFormat="0" applyFont="0" applyFill="0" applyAlignment="0" applyProtection="0"/>
    <xf numFmtId="0" fontId="33" fillId="0" borderId="289">
      <alignment horizontal="left" vertical="center" wrapText="1" indent="2"/>
    </xf>
    <xf numFmtId="0" fontId="1" fillId="34" borderId="0" applyNumberFormat="0" applyBorder="0" applyAlignment="0" applyProtection="0"/>
    <xf numFmtId="0" fontId="25" fillId="17" borderId="22" applyNumberFormat="0" applyAlignment="0" applyProtection="0"/>
    <xf numFmtId="0" fontId="33" fillId="37" borderId="299"/>
    <xf numFmtId="0" fontId="1" fillId="28" borderId="0" applyNumberFormat="0" applyBorder="0" applyAlignment="0" applyProtection="0"/>
    <xf numFmtId="4" fontId="33" fillId="0" borderId="286">
      <alignment horizontal="right" vertical="center"/>
    </xf>
    <xf numFmtId="0" fontId="33" fillId="37" borderId="299"/>
    <xf numFmtId="177" fontId="33" fillId="63" borderId="299" applyNumberFormat="0" applyFont="0" applyBorder="0" applyAlignment="0" applyProtection="0">
      <alignment horizontal="right" vertical="center"/>
    </xf>
    <xf numFmtId="4" fontId="31" fillId="38" borderId="286">
      <alignment horizontal="right" vertical="center"/>
    </xf>
    <xf numFmtId="0" fontId="35" fillId="36" borderId="286">
      <alignment horizontal="right" vertical="center"/>
    </xf>
    <xf numFmtId="0" fontId="38" fillId="62" borderId="285" applyNumberFormat="0" applyFont="0" applyAlignment="0" applyProtection="0"/>
    <xf numFmtId="0" fontId="43" fillId="59" borderId="283" applyNumberFormat="0" applyAlignment="0" applyProtection="0"/>
    <xf numFmtId="0" fontId="33" fillId="0" borderId="286">
      <alignment horizontal="right" vertical="center"/>
    </xf>
    <xf numFmtId="0" fontId="31" fillId="38" borderId="286">
      <alignment horizontal="right" vertical="center"/>
    </xf>
    <xf numFmtId="0" fontId="33" fillId="0" borderId="286" applyNumberFormat="0" applyFill="0" applyAlignment="0" applyProtection="0"/>
    <xf numFmtId="4" fontId="33" fillId="0" borderId="286" applyFill="0" applyBorder="0" applyProtection="0">
      <alignment horizontal="right" vertical="center"/>
    </xf>
    <xf numFmtId="4" fontId="31" fillId="38" borderId="286">
      <alignment horizontal="right" vertical="center"/>
    </xf>
    <xf numFmtId="0" fontId="1" fillId="31" borderId="0" applyNumberFormat="0" applyBorder="0" applyAlignment="0" applyProtection="0"/>
    <xf numFmtId="4" fontId="31" fillId="38" borderId="288">
      <alignment horizontal="right" vertical="center"/>
    </xf>
    <xf numFmtId="0" fontId="1" fillId="30" borderId="0" applyNumberFormat="0" applyBorder="0" applyAlignment="0" applyProtection="0"/>
    <xf numFmtId="0" fontId="63" fillId="0" borderId="297" applyNumberFormat="0" applyFill="0" applyAlignment="0" applyProtection="0"/>
    <xf numFmtId="0" fontId="31" fillId="38" borderId="301">
      <alignment horizontal="right" vertical="center"/>
    </xf>
    <xf numFmtId="0" fontId="43" fillId="59" borderId="283" applyNumberFormat="0" applyAlignment="0" applyProtection="0"/>
    <xf numFmtId="0" fontId="56" fillId="46" borderId="283" applyNumberFormat="0" applyAlignment="0" applyProtection="0"/>
    <xf numFmtId="0" fontId="63" fillId="0" borderId="284" applyNumberFormat="0" applyFill="0" applyAlignment="0" applyProtection="0"/>
    <xf numFmtId="0" fontId="63" fillId="0" borderId="284" applyNumberFormat="0" applyFill="0" applyAlignment="0" applyProtection="0"/>
    <xf numFmtId="0" fontId="33" fillId="38" borderId="276">
      <alignment horizontal="left" vertical="center" wrapText="1" indent="2"/>
    </xf>
    <xf numFmtId="0" fontId="33" fillId="0" borderId="276">
      <alignment horizontal="left" vertical="center" wrapText="1" indent="2"/>
    </xf>
    <xf numFmtId="0" fontId="33" fillId="38" borderId="276">
      <alignment horizontal="left" vertical="center" wrapText="1" indent="2"/>
    </xf>
    <xf numFmtId="0" fontId="43" fillId="59" borderId="270" applyNumberFormat="0" applyAlignment="0" applyProtection="0"/>
    <xf numFmtId="0" fontId="47" fillId="46" borderId="270" applyNumberFormat="0" applyAlignment="0" applyProtection="0"/>
    <xf numFmtId="0" fontId="56" fillId="46" borderId="270" applyNumberFormat="0" applyAlignment="0" applyProtection="0"/>
    <xf numFmtId="4" fontId="31" fillId="38" borderId="273">
      <alignment horizontal="right" vertical="center"/>
    </xf>
    <xf numFmtId="4" fontId="31" fillId="36" borderId="273">
      <alignment horizontal="right" vertical="center"/>
    </xf>
    <xf numFmtId="0" fontId="35" fillId="36" borderId="273">
      <alignment horizontal="right" vertical="center"/>
    </xf>
    <xf numFmtId="0" fontId="31" fillId="38" borderId="275">
      <alignment horizontal="right" vertical="center"/>
    </xf>
    <xf numFmtId="0" fontId="41" fillId="59" borderId="269" applyNumberFormat="0" applyAlignment="0" applyProtection="0"/>
    <xf numFmtId="0" fontId="56" fillId="46" borderId="270" applyNumberFormat="0" applyAlignment="0" applyProtection="0"/>
    <xf numFmtId="0" fontId="60" fillId="59" borderId="269" applyNumberFormat="0" applyAlignment="0" applyProtection="0"/>
    <xf numFmtId="0" fontId="33" fillId="0" borderId="276">
      <alignment horizontal="left" vertical="center" wrapText="1" indent="2"/>
    </xf>
    <xf numFmtId="0" fontId="33" fillId="38" borderId="276">
      <alignment horizontal="left" vertical="center" wrapText="1" indent="2"/>
    </xf>
    <xf numFmtId="4" fontId="33" fillId="0" borderId="273">
      <alignment horizontal="right" vertical="center"/>
    </xf>
    <xf numFmtId="0" fontId="44" fillId="59" borderId="270" applyNumberFormat="0" applyAlignment="0" applyProtection="0"/>
    <xf numFmtId="0" fontId="47" fillId="46" borderId="270" applyNumberFormat="0" applyAlignment="0" applyProtection="0"/>
    <xf numFmtId="4" fontId="31" fillId="38" borderId="273">
      <alignment horizontal="right" vertical="center"/>
    </xf>
    <xf numFmtId="49" fontId="32" fillId="0" borderId="273" applyNumberFormat="0" applyFill="0" applyBorder="0" applyProtection="0">
      <alignment horizontal="left" vertical="center"/>
    </xf>
    <xf numFmtId="177" fontId="33" fillId="63" borderId="273" applyNumberFormat="0" applyFont="0" applyBorder="0" applyAlignment="0" applyProtection="0">
      <alignment horizontal="right" vertical="center"/>
    </xf>
    <xf numFmtId="49" fontId="33" fillId="0" borderId="273" applyNumberFormat="0" applyFont="0" applyFill="0" applyBorder="0" applyProtection="0">
      <alignment horizontal="left" vertical="center" indent="2"/>
    </xf>
    <xf numFmtId="4" fontId="33" fillId="0" borderId="273">
      <alignment horizontal="right" vertical="center"/>
    </xf>
    <xf numFmtId="0" fontId="47" fillId="46" borderId="270" applyNumberFormat="0" applyAlignment="0" applyProtection="0"/>
    <xf numFmtId="177" fontId="33" fillId="63" borderId="273" applyNumberFormat="0" applyFont="0" applyBorder="0" applyAlignment="0" applyProtection="0">
      <alignment horizontal="right" vertical="center"/>
    </xf>
    <xf numFmtId="0" fontId="47" fillId="46" borderId="270" applyNumberFormat="0" applyAlignment="0" applyProtection="0"/>
    <xf numFmtId="0" fontId="35" fillId="36" borderId="273">
      <alignment horizontal="right" vertical="center"/>
    </xf>
    <xf numFmtId="0" fontId="1" fillId="30" borderId="0" applyNumberFormat="0" applyBorder="0" applyAlignment="0" applyProtection="0"/>
    <xf numFmtId="0" fontId="1" fillId="30" borderId="0" applyNumberFormat="0" applyBorder="0" applyAlignment="0" applyProtection="0"/>
    <xf numFmtId="0" fontId="33" fillId="0" borderId="273" applyNumberFormat="0" applyFill="0" applyAlignment="0" applyProtection="0"/>
    <xf numFmtId="0" fontId="4" fillId="23" borderId="0" applyNumberFormat="0" applyBorder="0" applyAlignment="0" applyProtection="0"/>
    <xf numFmtId="0" fontId="4" fillId="20" borderId="0" applyNumberFormat="0" applyBorder="0" applyAlignment="0" applyProtection="0"/>
    <xf numFmtId="0" fontId="38" fillId="62" borderId="272"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33" fillId="0" borderId="273">
      <alignment horizontal="right" vertical="center"/>
    </xf>
    <xf numFmtId="4" fontId="31" fillId="38" borderId="275">
      <alignment horizontal="right" vertical="center"/>
    </xf>
    <xf numFmtId="0" fontId="48" fillId="0" borderId="271" applyNumberFormat="0" applyFill="0" applyAlignment="0" applyProtection="0"/>
    <xf numFmtId="0" fontId="4" fillId="26" borderId="0" applyNumberFormat="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177" fontId="33" fillId="63" borderId="273" applyNumberFormat="0" applyFont="0" applyBorder="0" applyAlignment="0" applyProtection="0">
      <alignment horizontal="right" vertical="center"/>
    </xf>
    <xf numFmtId="0" fontId="1" fillId="18" borderId="0" applyNumberFormat="0" applyBorder="0" applyAlignment="0" applyProtection="0"/>
    <xf numFmtId="0" fontId="1" fillId="28" borderId="0" applyNumberFormat="0" applyBorder="0" applyAlignment="0" applyProtection="0"/>
    <xf numFmtId="0" fontId="33" fillId="0" borderId="273">
      <alignment horizontal="right" vertical="center"/>
    </xf>
    <xf numFmtId="0" fontId="33" fillId="0" borderId="273" applyNumberFormat="0" applyFill="0" applyAlignment="0" applyProtection="0"/>
    <xf numFmtId="177" fontId="33" fillId="63" borderId="273" applyNumberFormat="0" applyFont="0" applyBorder="0" applyAlignment="0" applyProtection="0">
      <alignment horizontal="right" vertical="center"/>
    </xf>
    <xf numFmtId="0" fontId="31" fillId="38" borderId="273">
      <alignment horizontal="right" vertical="center"/>
    </xf>
    <xf numFmtId="4" fontId="31" fillId="38" borderId="274">
      <alignment horizontal="right" vertical="center"/>
    </xf>
    <xf numFmtId="0" fontId="1" fillId="34" borderId="0" applyNumberFormat="0" applyBorder="0" applyAlignment="0" applyProtection="0"/>
    <xf numFmtId="0" fontId="1" fillId="21" borderId="0" applyNumberFormat="0" applyBorder="0" applyAlignment="0" applyProtection="0"/>
    <xf numFmtId="0" fontId="27" fillId="0" borderId="0" applyNumberFormat="0" applyFill="0" applyBorder="0" applyAlignment="0" applyProtection="0"/>
    <xf numFmtId="4" fontId="31" fillId="38" borderId="274">
      <alignment horizontal="right" vertical="center"/>
    </xf>
    <xf numFmtId="0" fontId="43" fillId="59" borderId="270" applyNumberFormat="0" applyAlignment="0" applyProtection="0"/>
    <xf numFmtId="0" fontId="4" fillId="26" borderId="0" applyNumberFormat="0" applyBorder="0" applyAlignment="0" applyProtection="0"/>
    <xf numFmtId="0" fontId="1" fillId="22" borderId="0" applyNumberFormat="0" applyBorder="0" applyAlignment="0" applyProtection="0"/>
    <xf numFmtId="0" fontId="56" fillId="46" borderId="270" applyNumberFormat="0" applyAlignment="0" applyProtection="0"/>
    <xf numFmtId="0" fontId="43" fillId="59" borderId="270" applyNumberFormat="0" applyAlignment="0" applyProtection="0"/>
    <xf numFmtId="0" fontId="60" fillId="59" borderId="269" applyNumberFormat="0" applyAlignment="0" applyProtection="0"/>
    <xf numFmtId="0" fontId="4" fillId="32" borderId="0" applyNumberFormat="0" applyBorder="0" applyAlignment="0" applyProtection="0"/>
    <xf numFmtId="0" fontId="19" fillId="62" borderId="272" applyNumberFormat="0" applyFont="0" applyAlignment="0" applyProtection="0"/>
    <xf numFmtId="0" fontId="47" fillId="46" borderId="270" applyNumberFormat="0" applyAlignment="0" applyProtection="0"/>
    <xf numFmtId="0" fontId="33" fillId="36" borderId="274">
      <alignment horizontal="left" vertical="center"/>
    </xf>
    <xf numFmtId="0" fontId="44" fillId="59" borderId="270" applyNumberFormat="0" applyAlignment="0" applyProtection="0"/>
    <xf numFmtId="0" fontId="47" fillId="46" borderId="270" applyNumberFormat="0" applyAlignment="0" applyProtection="0"/>
    <xf numFmtId="4" fontId="33" fillId="37" borderId="273"/>
    <xf numFmtId="0" fontId="41" fillId="59" borderId="269" applyNumberFormat="0" applyAlignment="0" applyProtection="0"/>
    <xf numFmtId="4" fontId="31" fillId="38" borderId="273">
      <alignment horizontal="right" vertical="center"/>
    </xf>
    <xf numFmtId="0" fontId="38" fillId="62" borderId="272" applyNumberFormat="0" applyFont="0" applyAlignment="0" applyProtection="0"/>
    <xf numFmtId="4" fontId="35" fillId="36" borderId="273">
      <alignment horizontal="right" vertical="center"/>
    </xf>
    <xf numFmtId="0" fontId="38" fillId="62" borderId="272" applyNumberFormat="0" applyFont="0" applyAlignment="0" applyProtection="0"/>
    <xf numFmtId="0" fontId="35" fillId="36" borderId="273">
      <alignment horizontal="right" vertical="center"/>
    </xf>
    <xf numFmtId="0" fontId="33" fillId="0" borderId="273" applyNumberFormat="0" applyFill="0" applyAlignment="0" applyProtection="0"/>
    <xf numFmtId="0" fontId="1" fillId="21" borderId="0" applyNumberFormat="0" applyBorder="0" applyAlignment="0" applyProtection="0"/>
    <xf numFmtId="0" fontId="48" fillId="0" borderId="271" applyNumberFormat="0" applyFill="0" applyAlignment="0" applyProtection="0"/>
    <xf numFmtId="0" fontId="4" fillId="29" borderId="0" applyNumberFormat="0" applyBorder="0" applyAlignment="0" applyProtection="0"/>
    <xf numFmtId="4" fontId="31" fillId="36" borderId="273">
      <alignment horizontal="right" vertical="center"/>
    </xf>
    <xf numFmtId="4" fontId="31" fillId="36" borderId="273">
      <alignment horizontal="right" vertical="center"/>
    </xf>
    <xf numFmtId="4" fontId="35" fillId="36" borderId="273">
      <alignment horizontal="right" vertical="center"/>
    </xf>
    <xf numFmtId="0" fontId="1" fillId="19" borderId="0" applyNumberFormat="0" applyBorder="0" applyAlignment="0" applyProtection="0"/>
    <xf numFmtId="0" fontId="60" fillId="59" borderId="269" applyNumberFormat="0" applyAlignment="0" applyProtection="0"/>
    <xf numFmtId="0" fontId="1" fillId="19" borderId="0" applyNumberFormat="0" applyBorder="0" applyAlignment="0" applyProtection="0"/>
    <xf numFmtId="0" fontId="31" fillId="36" borderId="273">
      <alignment horizontal="right" vertical="center"/>
    </xf>
    <xf numFmtId="0" fontId="60" fillId="59" borderId="269" applyNumberFormat="0" applyAlignment="0" applyProtection="0"/>
    <xf numFmtId="0" fontId="44" fillId="59" borderId="270" applyNumberFormat="0" applyAlignment="0" applyProtection="0"/>
    <xf numFmtId="0" fontId="1" fillId="34" borderId="0" applyNumberFormat="0" applyBorder="0" applyAlignment="0" applyProtection="0"/>
    <xf numFmtId="177" fontId="33" fillId="63" borderId="273" applyNumberFormat="0" applyFont="0" applyBorder="0" applyAlignment="0" applyProtection="0">
      <alignment horizontal="right" vertical="center"/>
    </xf>
    <xf numFmtId="0" fontId="31" fillId="38" borderId="273">
      <alignment horizontal="right" vertical="center"/>
    </xf>
    <xf numFmtId="0" fontId="1" fillId="21" borderId="0" applyNumberFormat="0" applyBorder="0" applyAlignment="0" applyProtection="0"/>
    <xf numFmtId="0" fontId="3" fillId="0" borderId="23" applyNumberFormat="0" applyFill="0" applyAlignment="0" applyProtection="0"/>
    <xf numFmtId="0" fontId="44" fillId="59" borderId="270" applyNumberFormat="0" applyAlignment="0" applyProtection="0"/>
    <xf numFmtId="0" fontId="33" fillId="38" borderId="276">
      <alignment horizontal="left" vertical="center" wrapText="1" indent="2"/>
    </xf>
    <xf numFmtId="0" fontId="33" fillId="38" borderId="276">
      <alignment horizontal="left" vertical="center" wrapText="1" indent="2"/>
    </xf>
    <xf numFmtId="49" fontId="32" fillId="0" borderId="273" applyNumberFormat="0" applyFill="0" applyBorder="0" applyProtection="0">
      <alignment horizontal="left" vertical="center"/>
    </xf>
    <xf numFmtId="0" fontId="47" fillId="46" borderId="270" applyNumberFormat="0" applyAlignment="0" applyProtection="0"/>
    <xf numFmtId="4" fontId="33" fillId="37" borderId="273"/>
    <xf numFmtId="0" fontId="33" fillId="38" borderId="276">
      <alignment horizontal="left" vertical="center" wrapText="1" indent="2"/>
    </xf>
    <xf numFmtId="0" fontId="44" fillId="59" borderId="270" applyNumberFormat="0" applyAlignment="0" applyProtection="0"/>
    <xf numFmtId="0" fontId="31" fillId="36" borderId="273">
      <alignment horizontal="right" vertical="center"/>
    </xf>
    <xf numFmtId="0" fontId="43" fillId="59" borderId="270" applyNumberFormat="0" applyAlignment="0" applyProtection="0"/>
    <xf numFmtId="0" fontId="31" fillId="38" borderId="273">
      <alignment horizontal="right" vertical="center"/>
    </xf>
    <xf numFmtId="4" fontId="35" fillId="36" borderId="273">
      <alignment horizontal="right" vertical="center"/>
    </xf>
    <xf numFmtId="0" fontId="63" fillId="0" borderId="271" applyNumberFormat="0" applyFill="0" applyAlignment="0" applyProtection="0"/>
    <xf numFmtId="0" fontId="63" fillId="0" borderId="271" applyNumberFormat="0" applyFill="0" applyAlignment="0" applyProtection="0"/>
    <xf numFmtId="4" fontId="31" fillId="38" borderId="273">
      <alignment horizontal="right" vertical="center"/>
    </xf>
    <xf numFmtId="0" fontId="4" fillId="20" borderId="0" applyNumberFormat="0" applyBorder="0" applyAlignment="0" applyProtection="0"/>
    <xf numFmtId="0" fontId="31" fillId="36" borderId="273">
      <alignment horizontal="right" vertical="center"/>
    </xf>
    <xf numFmtId="4" fontId="33" fillId="37" borderId="273"/>
    <xf numFmtId="0" fontId="27" fillId="0" borderId="0" applyNumberFormat="0" applyFill="0" applyBorder="0" applyAlignment="0" applyProtection="0"/>
    <xf numFmtId="4" fontId="31" fillId="38" borderId="273">
      <alignment horizontal="right" vertical="center"/>
    </xf>
    <xf numFmtId="0" fontId="33" fillId="38" borderId="276">
      <alignment horizontal="left" vertical="center" wrapText="1" indent="2"/>
    </xf>
    <xf numFmtId="49" fontId="33" fillId="0" borderId="273" applyNumberFormat="0" applyFont="0" applyFill="0" applyBorder="0" applyProtection="0">
      <alignment horizontal="left" vertical="center" indent="2"/>
    </xf>
    <xf numFmtId="0" fontId="41" fillId="59" borderId="269" applyNumberFormat="0" applyAlignment="0" applyProtection="0"/>
    <xf numFmtId="0" fontId="31" fillId="38" borderId="275">
      <alignment horizontal="right" vertical="center"/>
    </xf>
    <xf numFmtId="0" fontId="60" fillId="59" borderId="269" applyNumberFormat="0" applyAlignment="0" applyProtection="0"/>
    <xf numFmtId="0" fontId="1" fillId="31" borderId="0" applyNumberFormat="0" applyBorder="0" applyAlignment="0" applyProtection="0"/>
    <xf numFmtId="0" fontId="48" fillId="0" borderId="271" applyNumberFormat="0" applyFill="0" applyAlignment="0" applyProtection="0"/>
    <xf numFmtId="0" fontId="1" fillId="28" borderId="0" applyNumberFormat="0" applyBorder="0" applyAlignment="0" applyProtection="0"/>
    <xf numFmtId="49" fontId="33" fillId="0" borderId="273" applyNumberFormat="0" applyFont="0" applyFill="0" applyBorder="0" applyProtection="0">
      <alignment horizontal="left" vertical="center" indent="2"/>
    </xf>
    <xf numFmtId="0" fontId="60" fillId="59" borderId="269" applyNumberFormat="0" applyAlignment="0" applyProtection="0"/>
    <xf numFmtId="4" fontId="35" fillId="36" borderId="273">
      <alignment horizontal="right" vertical="center"/>
    </xf>
    <xf numFmtId="0" fontId="41" fillId="59" borderId="269" applyNumberFormat="0" applyAlignment="0" applyProtection="0"/>
    <xf numFmtId="0" fontId="31" fillId="38" borderId="274">
      <alignment horizontal="right" vertical="center"/>
    </xf>
    <xf numFmtId="0" fontId="48" fillId="0" borderId="271" applyNumberFormat="0" applyFill="0" applyAlignment="0" applyProtection="0"/>
    <xf numFmtId="4" fontId="35" fillId="36" borderId="273">
      <alignment horizontal="right" vertical="center"/>
    </xf>
    <xf numFmtId="0" fontId="60" fillId="59" borderId="269" applyNumberFormat="0" applyAlignment="0" applyProtection="0"/>
    <xf numFmtId="0" fontId="33" fillId="38" borderId="276">
      <alignment horizontal="left" vertical="center" wrapText="1" indent="2"/>
    </xf>
    <xf numFmtId="4" fontId="31" fillId="36" borderId="273">
      <alignment horizontal="right" vertical="center"/>
    </xf>
    <xf numFmtId="0" fontId="33" fillId="0" borderId="276">
      <alignment horizontal="left" vertical="center" wrapText="1" indent="2"/>
    </xf>
    <xf numFmtId="0" fontId="33" fillId="0" borderId="273">
      <alignment horizontal="right" vertical="center"/>
    </xf>
    <xf numFmtId="0" fontId="33" fillId="37" borderId="273"/>
    <xf numFmtId="0" fontId="33" fillId="37" borderId="273"/>
    <xf numFmtId="0" fontId="33" fillId="0" borderId="276">
      <alignment horizontal="left" vertical="center" wrapText="1" indent="2"/>
    </xf>
    <xf numFmtId="0" fontId="56" fillId="46" borderId="270" applyNumberFormat="0" applyAlignment="0" applyProtection="0"/>
    <xf numFmtId="4" fontId="33" fillId="0" borderId="273" applyFill="0" applyBorder="0" applyProtection="0">
      <alignment horizontal="right" vertical="center"/>
    </xf>
    <xf numFmtId="0" fontId="31" fillId="38" borderId="273">
      <alignment horizontal="right" vertical="center"/>
    </xf>
    <xf numFmtId="0" fontId="25" fillId="17" borderId="22" applyNumberFormat="0" applyAlignment="0" applyProtection="0"/>
    <xf numFmtId="0" fontId="4" fillId="23" borderId="0" applyNumberFormat="0" applyBorder="0" applyAlignment="0" applyProtection="0"/>
    <xf numFmtId="0" fontId="56" fillId="46" borderId="270" applyNumberFormat="0" applyAlignment="0" applyProtection="0"/>
    <xf numFmtId="177" fontId="33" fillId="63" borderId="273" applyNumberFormat="0" applyFont="0" applyBorder="0" applyAlignment="0" applyProtection="0">
      <alignment horizontal="right" vertical="center"/>
    </xf>
    <xf numFmtId="0" fontId="48" fillId="0" borderId="271" applyNumberFormat="0" applyFill="0" applyAlignment="0" applyProtection="0"/>
    <xf numFmtId="0" fontId="1" fillId="18" borderId="0" applyNumberFormat="0" applyBorder="0" applyAlignment="0" applyProtection="0"/>
    <xf numFmtId="0" fontId="33" fillId="0" borderId="276">
      <alignment horizontal="left" vertical="center" wrapText="1" indent="2"/>
    </xf>
    <xf numFmtId="0" fontId="43" fillId="59" borderId="270" applyNumberFormat="0" applyAlignment="0" applyProtection="0"/>
    <xf numFmtId="0" fontId="44" fillId="59" borderId="270" applyNumberFormat="0" applyAlignment="0" applyProtection="0"/>
    <xf numFmtId="0" fontId="56" fillId="46" borderId="270" applyNumberFormat="0" applyAlignment="0" applyProtection="0"/>
    <xf numFmtId="4" fontId="31" fillId="38" borderId="273">
      <alignment horizontal="right" vertical="center"/>
    </xf>
    <xf numFmtId="4" fontId="31" fillId="38" borderId="273">
      <alignment horizontal="right" vertical="center"/>
    </xf>
    <xf numFmtId="0" fontId="1" fillId="33" borderId="0" applyNumberFormat="0" applyBorder="0" applyAlignment="0" applyProtection="0"/>
    <xf numFmtId="0" fontId="28" fillId="0" borderId="0" applyNumberFormat="0" applyFill="0" applyBorder="0" applyAlignment="0" applyProtection="0"/>
    <xf numFmtId="0" fontId="25" fillId="17" borderId="22" applyNumberFormat="0" applyAlignment="0" applyProtection="0"/>
    <xf numFmtId="0" fontId="31" fillId="36" borderId="273">
      <alignment horizontal="right" vertical="center"/>
    </xf>
    <xf numFmtId="0" fontId="31" fillId="36" borderId="273">
      <alignment horizontal="right" vertical="center"/>
    </xf>
    <xf numFmtId="0" fontId="63" fillId="0" borderId="271" applyNumberFormat="0" applyFill="0" applyAlignment="0" applyProtection="0"/>
    <xf numFmtId="0" fontId="44" fillId="59" borderId="270" applyNumberFormat="0" applyAlignment="0" applyProtection="0"/>
    <xf numFmtId="0" fontId="31" fillId="38" borderId="274">
      <alignment horizontal="right" vertical="center"/>
    </xf>
    <xf numFmtId="4" fontId="33" fillId="0" borderId="273">
      <alignment horizontal="right" vertical="center"/>
    </xf>
    <xf numFmtId="0" fontId="41" fillId="59" borderId="269" applyNumberFormat="0" applyAlignment="0" applyProtection="0"/>
    <xf numFmtId="0" fontId="33" fillId="0" borderId="273">
      <alignment horizontal="right" vertical="center"/>
    </xf>
    <xf numFmtId="0" fontId="43" fillId="59" borderId="270" applyNumberFormat="0" applyAlignment="0" applyProtection="0"/>
    <xf numFmtId="0" fontId="31" fillId="38" borderId="274">
      <alignment horizontal="right" vertical="center"/>
    </xf>
    <xf numFmtId="4" fontId="35" fillId="36" borderId="273">
      <alignment horizontal="right" vertical="center"/>
    </xf>
    <xf numFmtId="0" fontId="33" fillId="37" borderId="273"/>
    <xf numFmtId="0" fontId="31" fillId="38" borderId="275">
      <alignment horizontal="right" vertical="center"/>
    </xf>
    <xf numFmtId="0" fontId="31" fillId="38" borderId="273">
      <alignment horizontal="right" vertical="center"/>
    </xf>
    <xf numFmtId="0" fontId="1" fillId="31" borderId="0" applyNumberFormat="0" applyBorder="0" applyAlignment="0" applyProtection="0"/>
    <xf numFmtId="0" fontId="31" fillId="38" borderId="273">
      <alignment horizontal="right" vertical="center"/>
    </xf>
    <xf numFmtId="0" fontId="31" fillId="38" borderId="274">
      <alignment horizontal="right" vertical="center"/>
    </xf>
    <xf numFmtId="0" fontId="63" fillId="0" borderId="271" applyNumberFormat="0" applyFill="0" applyAlignment="0" applyProtection="0"/>
    <xf numFmtId="4" fontId="31" fillId="38" borderId="273">
      <alignment horizontal="right" vertical="center"/>
    </xf>
    <xf numFmtId="0" fontId="41" fillId="59" borderId="269" applyNumberFormat="0" applyAlignment="0" applyProtection="0"/>
    <xf numFmtId="0" fontId="60" fillId="59" borderId="269" applyNumberFormat="0" applyAlignment="0" applyProtection="0"/>
    <xf numFmtId="0" fontId="44" fillId="59" borderId="270" applyNumberFormat="0" applyAlignment="0" applyProtection="0"/>
    <xf numFmtId="0" fontId="33" fillId="0" borderId="273" applyNumberFormat="0" applyFill="0" applyAlignment="0" applyProtection="0"/>
    <xf numFmtId="0" fontId="44" fillId="59" borderId="270" applyNumberFormat="0" applyAlignment="0" applyProtection="0"/>
    <xf numFmtId="0" fontId="63" fillId="0" borderId="271" applyNumberFormat="0" applyFill="0" applyAlignment="0" applyProtection="0"/>
    <xf numFmtId="0" fontId="27" fillId="0" borderId="0" applyNumberFormat="0" applyFill="0" applyBorder="0" applyAlignment="0" applyProtection="0"/>
    <xf numFmtId="0" fontId="31" fillId="38" borderId="273">
      <alignment horizontal="right" vertical="center"/>
    </xf>
    <xf numFmtId="0" fontId="43" fillId="59" borderId="270" applyNumberFormat="0" applyAlignment="0" applyProtection="0"/>
    <xf numFmtId="0" fontId="63" fillId="0" borderId="271" applyNumberFormat="0" applyFill="0" applyAlignment="0" applyProtection="0"/>
    <xf numFmtId="49" fontId="33" fillId="0" borderId="274" applyNumberFormat="0" applyFont="0" applyFill="0" applyBorder="0" applyProtection="0">
      <alignment horizontal="left" vertical="center" indent="5"/>
    </xf>
    <xf numFmtId="0" fontId="56" fillId="46" borderId="270" applyNumberFormat="0" applyAlignment="0" applyProtection="0"/>
    <xf numFmtId="0" fontId="33" fillId="0" borderId="276">
      <alignment horizontal="left" vertical="center" wrapText="1" indent="2"/>
    </xf>
    <xf numFmtId="0" fontId="31" fillId="38" borderId="275">
      <alignment horizontal="right" vertical="center"/>
    </xf>
    <xf numFmtId="49" fontId="33" fillId="0" borderId="274" applyNumberFormat="0" applyFont="0" applyFill="0" applyBorder="0" applyProtection="0">
      <alignment horizontal="left" vertical="center" indent="5"/>
    </xf>
    <xf numFmtId="0" fontId="56" fillId="46" borderId="270" applyNumberFormat="0" applyAlignment="0" applyProtection="0"/>
    <xf numFmtId="0" fontId="1" fillId="25" borderId="0" applyNumberFormat="0" applyBorder="0" applyAlignment="0" applyProtection="0"/>
    <xf numFmtId="4" fontId="33" fillId="37" borderId="273"/>
    <xf numFmtId="4" fontId="33" fillId="0" borderId="273" applyFill="0" applyBorder="0" applyProtection="0">
      <alignment horizontal="right" vertical="center"/>
    </xf>
    <xf numFmtId="0" fontId="44" fillId="59" borderId="270" applyNumberFormat="0" applyAlignment="0" applyProtection="0"/>
    <xf numFmtId="0" fontId="38" fillId="62" borderId="272" applyNumberFormat="0" applyFont="0" applyAlignment="0" applyProtection="0"/>
    <xf numFmtId="0" fontId="31" fillId="38" borderId="273">
      <alignment horizontal="right" vertical="center"/>
    </xf>
    <xf numFmtId="0" fontId="33" fillId="38" borderId="276">
      <alignment horizontal="left" vertical="center" wrapText="1" indent="2"/>
    </xf>
    <xf numFmtId="49" fontId="32" fillId="0" borderId="273" applyNumberFormat="0" applyFill="0" applyBorder="0" applyProtection="0">
      <alignment horizontal="left" vertical="center"/>
    </xf>
    <xf numFmtId="0" fontId="33" fillId="0" borderId="273">
      <alignment horizontal="right" vertical="center"/>
    </xf>
    <xf numFmtId="0" fontId="19" fillId="62" borderId="272" applyNumberFormat="0" applyFont="0" applyAlignment="0" applyProtection="0"/>
    <xf numFmtId="0" fontId="47" fillId="46" borderId="270" applyNumberFormat="0" applyAlignment="0" applyProtection="0"/>
    <xf numFmtId="4" fontId="33" fillId="37" borderId="273"/>
    <xf numFmtId="177" fontId="33" fillId="63" borderId="273" applyNumberFormat="0" applyFont="0" applyBorder="0" applyAlignment="0" applyProtection="0">
      <alignment horizontal="right" vertical="center"/>
    </xf>
    <xf numFmtId="0" fontId="33" fillId="38" borderId="276">
      <alignment horizontal="left" vertical="center" wrapText="1" indent="2"/>
    </xf>
    <xf numFmtId="4" fontId="31" fillId="38" borderId="273">
      <alignment horizontal="right" vertical="center"/>
    </xf>
    <xf numFmtId="4" fontId="31" fillId="38" borderId="274">
      <alignment horizontal="right" vertical="center"/>
    </xf>
    <xf numFmtId="0" fontId="56" fillId="46" borderId="270" applyNumberFormat="0" applyAlignment="0" applyProtection="0"/>
    <xf numFmtId="0" fontId="60" fillId="59" borderId="269" applyNumberFormat="0" applyAlignment="0" applyProtection="0"/>
    <xf numFmtId="0" fontId="48" fillId="0" borderId="271" applyNumberFormat="0" applyFill="0" applyAlignment="0" applyProtection="0"/>
    <xf numFmtId="0" fontId="43" fillId="59" borderId="270" applyNumberFormat="0" applyAlignment="0" applyProtection="0"/>
    <xf numFmtId="0" fontId="31" fillId="38" borderId="273">
      <alignment horizontal="right" vertical="center"/>
    </xf>
    <xf numFmtId="0" fontId="33" fillId="0" borderId="276">
      <alignment horizontal="left" vertical="center" wrapText="1" indent="2"/>
    </xf>
    <xf numFmtId="0" fontId="33" fillId="36" borderId="274">
      <alignment horizontal="left" vertical="center"/>
    </xf>
    <xf numFmtId="0" fontId="33" fillId="36" borderId="274">
      <alignment horizontal="left" vertical="center"/>
    </xf>
    <xf numFmtId="4" fontId="33" fillId="0" borderId="273" applyFill="0" applyBorder="0" applyProtection="0">
      <alignment horizontal="right" vertical="center"/>
    </xf>
    <xf numFmtId="0" fontId="44" fillId="59" borderId="270" applyNumberFormat="0" applyAlignment="0" applyProtection="0"/>
    <xf numFmtId="0" fontId="33" fillId="0" borderId="273" applyNumberFormat="0" applyFill="0" applyAlignment="0" applyProtection="0"/>
    <xf numFmtId="0" fontId="31" fillId="38" borderId="273">
      <alignment horizontal="right" vertical="center"/>
    </xf>
    <xf numFmtId="49" fontId="32" fillId="0" borderId="273" applyNumberFormat="0" applyFill="0" applyBorder="0" applyProtection="0">
      <alignment horizontal="left" vertical="center"/>
    </xf>
    <xf numFmtId="0" fontId="63" fillId="0" borderId="271" applyNumberFormat="0" applyFill="0" applyAlignment="0" applyProtection="0"/>
    <xf numFmtId="0" fontId="44" fillId="59" borderId="270" applyNumberFormat="0" applyAlignment="0" applyProtection="0"/>
    <xf numFmtId="0" fontId="31" fillId="38" borderId="275">
      <alignment horizontal="right" vertical="center"/>
    </xf>
    <xf numFmtId="0" fontId="43" fillId="59" borderId="270" applyNumberFormat="0" applyAlignment="0" applyProtection="0"/>
    <xf numFmtId="0" fontId="44" fillId="59" borderId="270" applyNumberFormat="0" applyAlignment="0" applyProtection="0"/>
    <xf numFmtId="4" fontId="33" fillId="37" borderId="273"/>
    <xf numFmtId="0" fontId="43" fillId="59" borderId="270" applyNumberFormat="0" applyAlignment="0" applyProtection="0"/>
    <xf numFmtId="0" fontId="1" fillId="25" borderId="0" applyNumberFormat="0" applyBorder="0" applyAlignment="0" applyProtection="0"/>
    <xf numFmtId="0" fontId="38" fillId="62" borderId="272" applyNumberFormat="0" applyFont="0" applyAlignment="0" applyProtection="0"/>
    <xf numFmtId="49" fontId="32" fillId="0" borderId="273" applyNumberFormat="0" applyFill="0" applyBorder="0" applyProtection="0">
      <alignment horizontal="left" vertical="center"/>
    </xf>
    <xf numFmtId="0" fontId="47" fillId="46" borderId="270" applyNumberFormat="0" applyAlignment="0" applyProtection="0"/>
    <xf numFmtId="0" fontId="33" fillId="0" borderId="276">
      <alignment horizontal="left" vertical="center" wrapText="1" indent="2"/>
    </xf>
    <xf numFmtId="0" fontId="63" fillId="0" borderId="271" applyNumberFormat="0" applyFill="0" applyAlignment="0" applyProtection="0"/>
    <xf numFmtId="0" fontId="63" fillId="0" borderId="271" applyNumberFormat="0" applyFill="0" applyAlignment="0" applyProtection="0"/>
    <xf numFmtId="177" fontId="33" fillId="63" borderId="273" applyNumberFormat="0" applyFont="0" applyBorder="0" applyAlignment="0" applyProtection="0">
      <alignment horizontal="right" vertical="center"/>
    </xf>
    <xf numFmtId="0" fontId="44" fillId="59" borderId="270" applyNumberFormat="0" applyAlignment="0" applyProtection="0"/>
    <xf numFmtId="0" fontId="48" fillId="0" borderId="271" applyNumberFormat="0" applyFill="0" applyAlignment="0" applyProtection="0"/>
    <xf numFmtId="0" fontId="31" fillId="38" borderId="275">
      <alignment horizontal="right" vertical="center"/>
    </xf>
    <xf numFmtId="4" fontId="31" fillId="38" borderId="275">
      <alignment horizontal="right" vertical="center"/>
    </xf>
    <xf numFmtId="0" fontId="38" fillId="62" borderId="272" applyNumberFormat="0" applyFont="0" applyAlignment="0" applyProtection="0"/>
    <xf numFmtId="0" fontId="38" fillId="62" borderId="272" applyNumberFormat="0" applyFont="0" applyAlignment="0" applyProtection="0"/>
    <xf numFmtId="0" fontId="56" fillId="46" borderId="270" applyNumberFormat="0" applyAlignment="0" applyProtection="0"/>
    <xf numFmtId="0" fontId="31" fillId="38" borderId="273">
      <alignment horizontal="right" vertical="center"/>
    </xf>
    <xf numFmtId="4" fontId="31" fillId="36" borderId="273">
      <alignment horizontal="right" vertical="center"/>
    </xf>
    <xf numFmtId="49" fontId="32" fillId="0" borderId="273" applyNumberFormat="0" applyFill="0" applyBorder="0" applyProtection="0">
      <alignment horizontal="left" vertical="center"/>
    </xf>
    <xf numFmtId="0" fontId="38" fillId="62" borderId="272" applyNumberFormat="0" applyFont="0" applyAlignment="0" applyProtection="0"/>
    <xf numFmtId="0" fontId="48" fillId="0" borderId="271" applyNumberFormat="0" applyFill="0" applyAlignment="0" applyProtection="0"/>
    <xf numFmtId="0" fontId="33" fillId="38" borderId="276">
      <alignment horizontal="left" vertical="center" wrapText="1" indent="2"/>
    </xf>
    <xf numFmtId="0" fontId="4" fillId="32" borderId="0" applyNumberFormat="0" applyBorder="0" applyAlignment="0" applyProtection="0"/>
    <xf numFmtId="0" fontId="33" fillId="0" borderId="273">
      <alignment horizontal="right" vertical="center"/>
    </xf>
    <xf numFmtId="0" fontId="19" fillId="62" borderId="272" applyNumberFormat="0" applyFont="0" applyAlignment="0" applyProtection="0"/>
    <xf numFmtId="0" fontId="56" fillId="46" borderId="270" applyNumberFormat="0" applyAlignment="0" applyProtection="0"/>
    <xf numFmtId="0" fontId="63" fillId="0" borderId="271" applyNumberFormat="0" applyFill="0" applyAlignment="0" applyProtection="0"/>
    <xf numFmtId="0" fontId="31" fillId="38" borderId="274">
      <alignment horizontal="right" vertical="center"/>
    </xf>
    <xf numFmtId="0" fontId="63" fillId="0" borderId="271" applyNumberFormat="0" applyFill="0" applyAlignment="0" applyProtection="0"/>
    <xf numFmtId="4" fontId="33" fillId="0" borderId="273" applyFill="0" applyBorder="0" applyProtection="0">
      <alignment horizontal="right" vertical="center"/>
    </xf>
    <xf numFmtId="0" fontId="33" fillId="36" borderId="274">
      <alignment horizontal="left" vertical="center"/>
    </xf>
    <xf numFmtId="0" fontId="35" fillId="36" borderId="273">
      <alignment horizontal="right" vertical="center"/>
    </xf>
    <xf numFmtId="0" fontId="19" fillId="62" borderId="272" applyNumberFormat="0" applyFont="0" applyAlignment="0" applyProtection="0"/>
    <xf numFmtId="0" fontId="26" fillId="17" borderId="10" applyNumberFormat="0" applyAlignment="0" applyProtection="0"/>
    <xf numFmtId="0" fontId="33" fillId="37" borderId="273"/>
    <xf numFmtId="0" fontId="4" fillId="29" borderId="0" applyNumberFormat="0" applyBorder="0" applyAlignment="0" applyProtection="0"/>
    <xf numFmtId="4" fontId="31" fillId="38" borderId="273">
      <alignment horizontal="right" vertical="center"/>
    </xf>
    <xf numFmtId="0" fontId="47" fillId="46" borderId="270" applyNumberFormat="0" applyAlignment="0" applyProtection="0"/>
    <xf numFmtId="4" fontId="31" fillId="38" borderId="275">
      <alignment horizontal="right" vertical="center"/>
    </xf>
    <xf numFmtId="4" fontId="31" fillId="38" borderId="273">
      <alignment horizontal="right" vertical="center"/>
    </xf>
    <xf numFmtId="0" fontId="63" fillId="0" borderId="271" applyNumberFormat="0" applyFill="0" applyAlignment="0" applyProtection="0"/>
    <xf numFmtId="0" fontId="44" fillId="59" borderId="270" applyNumberFormat="0" applyAlignment="0" applyProtection="0"/>
    <xf numFmtId="4" fontId="31" fillId="38" borderId="273">
      <alignment horizontal="right" vertical="center"/>
    </xf>
    <xf numFmtId="0" fontId="33" fillId="38" borderId="276">
      <alignment horizontal="left" vertical="center" wrapText="1" indent="2"/>
    </xf>
    <xf numFmtId="0" fontId="63" fillId="0" borderId="271" applyNumberFormat="0" applyFill="0" applyAlignment="0" applyProtection="0"/>
    <xf numFmtId="0" fontId="33" fillId="0" borderId="276">
      <alignment horizontal="left" vertical="center" wrapText="1" indent="2"/>
    </xf>
    <xf numFmtId="0" fontId="31" fillId="38" borderId="273">
      <alignment horizontal="right" vertical="center"/>
    </xf>
    <xf numFmtId="49" fontId="33" fillId="0" borderId="273" applyNumberFormat="0" applyFont="0" applyFill="0" applyBorder="0" applyProtection="0">
      <alignment horizontal="left" vertical="center" indent="2"/>
    </xf>
    <xf numFmtId="49" fontId="33" fillId="0" borderId="273" applyNumberFormat="0" applyFont="0" applyFill="0" applyBorder="0" applyProtection="0">
      <alignment horizontal="left" vertical="center" indent="2"/>
    </xf>
    <xf numFmtId="0" fontId="48" fillId="0" borderId="271" applyNumberFormat="0" applyFill="0" applyAlignment="0" applyProtection="0"/>
    <xf numFmtId="0" fontId="63" fillId="0" borderId="271" applyNumberFormat="0" applyFill="0" applyAlignment="0" applyProtection="0"/>
    <xf numFmtId="4" fontId="31" fillId="38" borderId="273">
      <alignment horizontal="right" vertical="center"/>
    </xf>
    <xf numFmtId="0" fontId="25" fillId="17" borderId="22" applyNumberFormat="0" applyAlignment="0" applyProtection="0"/>
    <xf numFmtId="0" fontId="1" fillId="33" borderId="0" applyNumberFormat="0" applyBorder="0" applyAlignment="0" applyProtection="0"/>
    <xf numFmtId="0" fontId="43" fillId="59" borderId="270" applyNumberFormat="0" applyAlignment="0" applyProtection="0"/>
    <xf numFmtId="0" fontId="41" fillId="59" borderId="269" applyNumberFormat="0" applyAlignment="0" applyProtection="0"/>
    <xf numFmtId="0" fontId="56" fillId="46" borderId="270" applyNumberFormat="0" applyAlignment="0" applyProtection="0"/>
    <xf numFmtId="4" fontId="31" fillId="38" borderId="274">
      <alignment horizontal="right" vertical="center"/>
    </xf>
    <xf numFmtId="0" fontId="31" fillId="38" borderId="274">
      <alignment horizontal="right" vertical="center"/>
    </xf>
    <xf numFmtId="49" fontId="33" fillId="0" borderId="273" applyNumberFormat="0" applyFont="0" applyFill="0" applyBorder="0" applyProtection="0">
      <alignment horizontal="left" vertical="center" indent="2"/>
    </xf>
    <xf numFmtId="0" fontId="60" fillId="59" borderId="269" applyNumberFormat="0" applyAlignment="0" applyProtection="0"/>
    <xf numFmtId="4" fontId="35" fillId="36" borderId="273">
      <alignment horizontal="right" vertical="center"/>
    </xf>
    <xf numFmtId="0" fontId="47" fillId="46" borderId="270" applyNumberFormat="0" applyAlignment="0" applyProtection="0"/>
    <xf numFmtId="0" fontId="60" fillId="59" borderId="269" applyNumberFormat="0" applyAlignment="0" applyProtection="0"/>
    <xf numFmtId="4" fontId="31" fillId="36" borderId="273">
      <alignment horizontal="right" vertical="center"/>
    </xf>
    <xf numFmtId="4" fontId="31" fillId="38" borderId="273">
      <alignment horizontal="right" vertical="center"/>
    </xf>
    <xf numFmtId="49" fontId="32" fillId="0" borderId="273" applyNumberFormat="0" applyFill="0" applyBorder="0" applyProtection="0">
      <alignment horizontal="left" vertical="center"/>
    </xf>
    <xf numFmtId="4" fontId="33" fillId="0" borderId="273" applyFill="0" applyBorder="0" applyProtection="0">
      <alignment horizontal="right" vertical="center"/>
    </xf>
    <xf numFmtId="0" fontId="33" fillId="0" borderId="273" applyNumberFormat="0" applyFill="0" applyAlignment="0" applyProtection="0"/>
    <xf numFmtId="0" fontId="43" fillId="59" borderId="270" applyNumberFormat="0" applyAlignment="0" applyProtection="0"/>
    <xf numFmtId="49" fontId="32" fillId="0" borderId="273" applyNumberFormat="0" applyFill="0" applyBorder="0" applyProtection="0">
      <alignment horizontal="left" vertical="center"/>
    </xf>
    <xf numFmtId="0" fontId="1" fillId="27" borderId="0" applyNumberFormat="0" applyBorder="0" applyAlignment="0" applyProtection="0"/>
    <xf numFmtId="0" fontId="33" fillId="0" borderId="276">
      <alignment horizontal="left" vertical="center" wrapText="1" indent="2"/>
    </xf>
    <xf numFmtId="0" fontId="19" fillId="62" borderId="272" applyNumberFormat="0" applyFont="0" applyAlignment="0" applyProtection="0"/>
    <xf numFmtId="0" fontId="63" fillId="0" borderId="271" applyNumberFormat="0" applyFill="0" applyAlignment="0" applyProtection="0"/>
    <xf numFmtId="0" fontId="28" fillId="0" borderId="0" applyNumberFormat="0" applyFill="0" applyBorder="0" applyAlignment="0" applyProtection="0"/>
    <xf numFmtId="4" fontId="33" fillId="0" borderId="273">
      <alignment horizontal="right" vertical="center"/>
    </xf>
    <xf numFmtId="0" fontId="56" fillId="46" borderId="270" applyNumberFormat="0" applyAlignment="0" applyProtection="0"/>
    <xf numFmtId="0" fontId="60" fillId="59" borderId="269" applyNumberFormat="0" applyAlignment="0" applyProtection="0"/>
    <xf numFmtId="0" fontId="38" fillId="62" borderId="272" applyNumberFormat="0" applyFont="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4" fillId="2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4" fillId="20" borderId="0" applyNumberFormat="0" applyBorder="0" applyAlignment="0" applyProtection="0"/>
    <xf numFmtId="0" fontId="1" fillId="18" borderId="0" applyNumberFormat="0" applyBorder="0" applyAlignment="0" applyProtection="0"/>
    <xf numFmtId="0" fontId="3" fillId="0" borderId="23" applyNumberFormat="0" applyFill="0" applyAlignment="0" applyProtection="0"/>
    <xf numFmtId="0" fontId="28" fillId="0" borderId="0" applyNumberFormat="0" applyFill="0" applyBorder="0" applyAlignment="0" applyProtection="0"/>
    <xf numFmtId="4" fontId="31" fillId="38" borderId="275">
      <alignment horizontal="right" vertical="center"/>
    </xf>
    <xf numFmtId="0" fontId="33" fillId="36" borderId="274">
      <alignment horizontal="left" vertical="center"/>
    </xf>
    <xf numFmtId="0" fontId="26" fillId="17" borderId="10" applyNumberFormat="0" applyAlignment="0" applyProtection="0"/>
    <xf numFmtId="0" fontId="25" fillId="17" borderId="22" applyNumberFormat="0" applyAlignment="0" applyProtection="0"/>
    <xf numFmtId="0" fontId="48" fillId="0" borderId="271" applyNumberFormat="0" applyFill="0" applyAlignment="0" applyProtection="0"/>
    <xf numFmtId="0" fontId="56" fillId="46" borderId="270" applyNumberFormat="0" applyAlignment="0" applyProtection="0"/>
    <xf numFmtId="0" fontId="31" fillId="38" borderId="273">
      <alignment horizontal="right" vertical="center"/>
    </xf>
    <xf numFmtId="0" fontId="48" fillId="0" borderId="271" applyNumberFormat="0" applyFill="0" applyAlignment="0" applyProtection="0"/>
    <xf numFmtId="0" fontId="60" fillId="59" borderId="269" applyNumberFormat="0" applyAlignment="0" applyProtection="0"/>
    <xf numFmtId="0" fontId="31" fillId="38" borderId="273">
      <alignment horizontal="right" vertical="center"/>
    </xf>
    <xf numFmtId="0" fontId="19" fillId="62" borderId="272" applyNumberFormat="0" applyFont="0" applyAlignment="0" applyProtection="0"/>
    <xf numFmtId="4" fontId="33" fillId="0" borderId="273">
      <alignment horizontal="right" vertical="center"/>
    </xf>
    <xf numFmtId="4" fontId="31" fillId="36" borderId="273">
      <alignment horizontal="right" vertical="center"/>
    </xf>
    <xf numFmtId="0" fontId="33" fillId="0" borderId="276">
      <alignment horizontal="left" vertical="center" wrapText="1" indent="2"/>
    </xf>
    <xf numFmtId="49" fontId="33" fillId="0" borderId="273" applyNumberFormat="0" applyFont="0" applyFill="0" applyBorder="0" applyProtection="0">
      <alignment horizontal="left" vertical="center" indent="2"/>
    </xf>
    <xf numFmtId="0" fontId="56" fillId="46" borderId="270" applyNumberFormat="0" applyAlignment="0" applyProtection="0"/>
    <xf numFmtId="4" fontId="31" fillId="38" borderId="275">
      <alignment horizontal="right" vertical="center"/>
    </xf>
    <xf numFmtId="0" fontId="35" fillId="36" borderId="273">
      <alignment horizontal="right" vertical="center"/>
    </xf>
    <xf numFmtId="0" fontId="38" fillId="62" borderId="272" applyNumberFormat="0" applyFont="0" applyAlignment="0" applyProtection="0"/>
    <xf numFmtId="4" fontId="31" fillId="38" borderId="275">
      <alignment horizontal="right" vertical="center"/>
    </xf>
    <xf numFmtId="0" fontId="33" fillId="38" borderId="276">
      <alignment horizontal="left" vertical="center" wrapText="1" indent="2"/>
    </xf>
    <xf numFmtId="49" fontId="33" fillId="0" borderId="274" applyNumberFormat="0" applyFont="0" applyFill="0" applyBorder="0" applyProtection="0">
      <alignment horizontal="left" vertical="center" indent="5"/>
    </xf>
    <xf numFmtId="4" fontId="31" fillId="38" borderId="273">
      <alignment horizontal="right" vertical="center"/>
    </xf>
    <xf numFmtId="0" fontId="35" fillId="36" borderId="273">
      <alignment horizontal="right" vertical="center"/>
    </xf>
    <xf numFmtId="0" fontId="31" fillId="38" borderId="275">
      <alignment horizontal="right" vertical="center"/>
    </xf>
    <xf numFmtId="0" fontId="41" fillId="59" borderId="269" applyNumberFormat="0" applyAlignment="0" applyProtection="0"/>
    <xf numFmtId="0" fontId="43" fillId="59" borderId="270" applyNumberFormat="0" applyAlignment="0" applyProtection="0"/>
    <xf numFmtId="0" fontId="56" fillId="46" borderId="270" applyNumberFormat="0" applyAlignment="0" applyProtection="0"/>
    <xf numFmtId="0" fontId="60" fillId="59" borderId="269" applyNumberFormat="0" applyAlignment="0" applyProtection="0"/>
    <xf numFmtId="0" fontId="33" fillId="38" borderId="276">
      <alignment horizontal="left" vertical="center" wrapText="1" indent="2"/>
    </xf>
    <xf numFmtId="0" fontId="44" fillId="59" borderId="270" applyNumberFormat="0" applyAlignment="0" applyProtection="0"/>
    <xf numFmtId="0" fontId="35" fillId="36" borderId="273">
      <alignment horizontal="right" vertical="center"/>
    </xf>
    <xf numFmtId="4" fontId="33" fillId="37" borderId="273"/>
    <xf numFmtId="0" fontId="48" fillId="0" borderId="271" applyNumberFormat="0" applyFill="0" applyAlignment="0" applyProtection="0"/>
    <xf numFmtId="0" fontId="41" fillId="59" borderId="269" applyNumberFormat="0" applyAlignment="0" applyProtection="0"/>
    <xf numFmtId="4" fontId="31" fillId="38" borderId="273">
      <alignment horizontal="right" vertical="center"/>
    </xf>
    <xf numFmtId="0" fontId="47" fillId="46" borderId="270" applyNumberFormat="0" applyAlignment="0" applyProtection="0"/>
    <xf numFmtId="0" fontId="60" fillId="59" borderId="269" applyNumberFormat="0" applyAlignment="0" applyProtection="0"/>
    <xf numFmtId="0" fontId="48" fillId="0" borderId="271" applyNumberFormat="0" applyFill="0" applyAlignment="0" applyProtection="0"/>
    <xf numFmtId="4" fontId="33" fillId="0" borderId="273" applyFill="0" applyBorder="0" applyProtection="0">
      <alignment horizontal="right" vertical="center"/>
    </xf>
    <xf numFmtId="177" fontId="33" fillId="63" borderId="273" applyNumberFormat="0" applyFont="0" applyBorder="0" applyAlignment="0" applyProtection="0">
      <alignment horizontal="right" vertical="center"/>
    </xf>
    <xf numFmtId="0" fontId="33" fillId="38" borderId="276">
      <alignment horizontal="left" vertical="center" wrapText="1" indent="2"/>
    </xf>
    <xf numFmtId="0" fontId="48" fillId="0" borderId="271" applyNumberFormat="0" applyFill="0" applyAlignment="0" applyProtection="0"/>
    <xf numFmtId="0" fontId="31" fillId="38" borderId="274">
      <alignment horizontal="right" vertical="center"/>
    </xf>
    <xf numFmtId="4" fontId="31" fillId="38" borderId="275">
      <alignment horizontal="right" vertical="center"/>
    </xf>
    <xf numFmtId="0" fontId="31" fillId="38" borderId="273">
      <alignment horizontal="right" vertical="center"/>
    </xf>
    <xf numFmtId="0" fontId="63" fillId="0" borderId="271" applyNumberFormat="0" applyFill="0" applyAlignment="0" applyProtection="0"/>
    <xf numFmtId="4" fontId="31" fillId="38" borderId="273">
      <alignment horizontal="right" vertical="center"/>
    </xf>
    <xf numFmtId="0" fontId="33" fillId="0" borderId="273">
      <alignment horizontal="right" vertical="center"/>
    </xf>
    <xf numFmtId="49" fontId="32" fillId="0" borderId="273" applyNumberFormat="0" applyFill="0" applyBorder="0" applyProtection="0">
      <alignment horizontal="left" vertical="center"/>
    </xf>
    <xf numFmtId="0" fontId="33" fillId="0" borderId="276">
      <alignment horizontal="left" vertical="center" wrapText="1" indent="2"/>
    </xf>
    <xf numFmtId="177" fontId="33" fillId="63" borderId="273" applyNumberFormat="0" applyFont="0" applyBorder="0" applyAlignment="0" applyProtection="0">
      <alignment horizontal="right" vertical="center"/>
    </xf>
    <xf numFmtId="0" fontId="33" fillId="36" borderId="274">
      <alignment horizontal="left" vertical="center"/>
    </xf>
    <xf numFmtId="0" fontId="33" fillId="0" borderId="273">
      <alignment horizontal="right" vertical="center"/>
    </xf>
    <xf numFmtId="0" fontId="43" fillId="59" borderId="270" applyNumberFormat="0" applyAlignment="0" applyProtection="0"/>
    <xf numFmtId="4" fontId="31" fillId="38" borderId="273">
      <alignment horizontal="right" vertical="center"/>
    </xf>
    <xf numFmtId="0" fontId="33" fillId="37" borderId="273"/>
    <xf numFmtId="0" fontId="33" fillId="0" borderId="273" applyNumberFormat="0" applyFill="0" applyAlignment="0" applyProtection="0"/>
    <xf numFmtId="4" fontId="33" fillId="0" borderId="273">
      <alignment horizontal="right" vertical="center"/>
    </xf>
    <xf numFmtId="0" fontId="33" fillId="0" borderId="273">
      <alignment horizontal="right" vertical="center"/>
    </xf>
    <xf numFmtId="0" fontId="47" fillId="46" borderId="270" applyNumberFormat="0" applyAlignment="0" applyProtection="0"/>
    <xf numFmtId="0" fontId="31" fillId="38" borderId="273">
      <alignment horizontal="right" vertical="center"/>
    </xf>
    <xf numFmtId="4" fontId="31" fillId="38" borderId="273">
      <alignment horizontal="right" vertical="center"/>
    </xf>
    <xf numFmtId="4" fontId="35" fillId="36" borderId="273">
      <alignment horizontal="right" vertical="center"/>
    </xf>
    <xf numFmtId="0" fontId="35" fillId="36" borderId="273">
      <alignment horizontal="right" vertical="center"/>
    </xf>
    <xf numFmtId="4" fontId="31" fillId="36" borderId="273">
      <alignment horizontal="right" vertical="center"/>
    </xf>
    <xf numFmtId="0" fontId="31" fillId="36" borderId="273">
      <alignment horizontal="right" vertical="center"/>
    </xf>
    <xf numFmtId="49" fontId="33" fillId="0" borderId="273" applyNumberFormat="0" applyFont="0" applyFill="0" applyBorder="0" applyProtection="0">
      <alignment horizontal="left" vertical="center" indent="2"/>
    </xf>
    <xf numFmtId="0" fontId="48" fillId="0" borderId="271" applyNumberFormat="0" applyFill="0" applyAlignment="0" applyProtection="0"/>
    <xf numFmtId="0" fontId="41" fillId="59" borderId="269" applyNumberFormat="0" applyAlignment="0" applyProtection="0"/>
    <xf numFmtId="0" fontId="63" fillId="0" borderId="271" applyNumberFormat="0" applyFill="0" applyAlignment="0" applyProtection="0"/>
    <xf numFmtId="0" fontId="56" fillId="46" borderId="270" applyNumberFormat="0" applyAlignment="0" applyProtection="0"/>
    <xf numFmtId="0" fontId="31" fillId="38" borderId="299">
      <alignment horizontal="right" vertical="center"/>
    </xf>
    <xf numFmtId="0" fontId="44" fillId="59" borderId="270" applyNumberFormat="0" applyAlignment="0" applyProtection="0"/>
    <xf numFmtId="0" fontId="60" fillId="59" borderId="282" applyNumberFormat="0" applyAlignment="0" applyProtection="0"/>
    <xf numFmtId="43" fontId="36" fillId="0" borderId="0" applyFont="0" applyFill="0" applyBorder="0" applyAlignment="0" applyProtection="0"/>
    <xf numFmtId="0" fontId="60" fillId="59" borderId="269" applyNumberFormat="0" applyAlignment="0" applyProtection="0"/>
    <xf numFmtId="0" fontId="56" fillId="46" borderId="270" applyNumberFormat="0" applyAlignment="0" applyProtection="0"/>
    <xf numFmtId="0" fontId="63" fillId="0" borderId="271" applyNumberFormat="0" applyFill="0" applyAlignment="0" applyProtection="0"/>
    <xf numFmtId="0" fontId="19" fillId="62" borderId="272" applyNumberFormat="0" applyFont="0" applyAlignment="0" applyProtection="0"/>
    <xf numFmtId="0" fontId="38" fillId="62" borderId="272" applyNumberFormat="0" applyFont="0" applyAlignment="0" applyProtection="0"/>
    <xf numFmtId="0" fontId="48" fillId="0" borderId="271" applyNumberFormat="0" applyFill="0" applyAlignment="0" applyProtection="0"/>
    <xf numFmtId="0" fontId="47" fillId="46" borderId="270" applyNumberFormat="0" applyAlignment="0" applyProtection="0"/>
    <xf numFmtId="0" fontId="43" fillId="59" borderId="270" applyNumberFormat="0" applyAlignment="0" applyProtection="0"/>
    <xf numFmtId="0" fontId="41" fillId="59" borderId="269" applyNumberFormat="0" applyAlignment="0" applyProtection="0"/>
    <xf numFmtId="0" fontId="33" fillId="38" borderId="276">
      <alignment horizontal="left" vertical="center" wrapText="1" indent="2"/>
    </xf>
    <xf numFmtId="0" fontId="33" fillId="38" borderId="276">
      <alignment horizontal="left" vertical="center" wrapText="1" indent="2"/>
    </xf>
    <xf numFmtId="0" fontId="47" fillId="46" borderId="270" applyNumberFormat="0" applyAlignment="0" applyProtection="0"/>
    <xf numFmtId="4" fontId="31" fillId="36" borderId="273">
      <alignment horizontal="right" vertical="center"/>
    </xf>
    <xf numFmtId="4" fontId="33" fillId="0" borderId="273" applyFill="0" applyBorder="0" applyProtection="0">
      <alignment horizontal="right" vertical="center"/>
    </xf>
    <xf numFmtId="0" fontId="33" fillId="0" borderId="273" applyNumberFormat="0" applyFill="0" applyAlignment="0" applyProtection="0"/>
    <xf numFmtId="0" fontId="31" fillId="38" borderId="274">
      <alignment horizontal="right" vertical="center"/>
    </xf>
    <xf numFmtId="0" fontId="43" fillId="59" borderId="270" applyNumberFormat="0" applyAlignment="0" applyProtection="0"/>
    <xf numFmtId="0" fontId="63" fillId="0" borderId="271" applyNumberFormat="0" applyFill="0" applyAlignment="0" applyProtection="0"/>
    <xf numFmtId="0" fontId="60" fillId="59" borderId="269" applyNumberFormat="0" applyAlignment="0" applyProtection="0"/>
    <xf numFmtId="0" fontId="38" fillId="62" borderId="272" applyNumberFormat="0" applyFont="0" applyAlignment="0" applyProtection="0"/>
    <xf numFmtId="0" fontId="63" fillId="0" borderId="271" applyNumberFormat="0" applyFill="0" applyAlignment="0" applyProtection="0"/>
    <xf numFmtId="0" fontId="63" fillId="0" borderId="271" applyNumberFormat="0" applyFill="0" applyAlignment="0" applyProtection="0"/>
    <xf numFmtId="0" fontId="44" fillId="59" borderId="270" applyNumberFormat="0" applyAlignment="0" applyProtection="0"/>
    <xf numFmtId="4" fontId="33" fillId="0" borderId="273" applyFill="0" applyBorder="0" applyProtection="0">
      <alignment horizontal="right" vertical="center"/>
    </xf>
    <xf numFmtId="0" fontId="47" fillId="46" borderId="270" applyNumberFormat="0" applyAlignment="0" applyProtection="0"/>
    <xf numFmtId="49" fontId="33" fillId="0" borderId="273" applyNumberFormat="0" applyFont="0" applyFill="0" applyBorder="0" applyProtection="0">
      <alignment horizontal="left" vertical="center" indent="2"/>
    </xf>
    <xf numFmtId="0" fontId="41" fillId="59" borderId="269" applyNumberFormat="0" applyAlignment="0" applyProtection="0"/>
    <xf numFmtId="4" fontId="31" fillId="38" borderId="286">
      <alignment horizontal="right" vertical="center"/>
    </xf>
    <xf numFmtId="0" fontId="60" fillId="59" borderId="295" applyNumberFormat="0" applyAlignment="0" applyProtection="0"/>
    <xf numFmtId="0" fontId="25" fillId="17" borderId="22" applyNumberFormat="0" applyAlignment="0" applyProtection="0"/>
    <xf numFmtId="0" fontId="1" fillId="25" borderId="0" applyNumberFormat="0" applyBorder="0" applyAlignment="0" applyProtection="0"/>
    <xf numFmtId="4" fontId="33" fillId="37" borderId="299"/>
    <xf numFmtId="4" fontId="33" fillId="37" borderId="286"/>
    <xf numFmtId="0" fontId="33" fillId="0" borderId="286" applyNumberFormat="0" applyFill="0" applyAlignment="0" applyProtection="0"/>
    <xf numFmtId="0" fontId="33" fillId="38" borderId="276">
      <alignment horizontal="left" vertical="center" wrapText="1" indent="2"/>
    </xf>
    <xf numFmtId="0" fontId="56" fillId="46" borderId="296" applyNumberFormat="0" applyAlignment="0" applyProtection="0"/>
    <xf numFmtId="0" fontId="4" fillId="26" borderId="0" applyNumberFormat="0" applyBorder="0" applyAlignment="0" applyProtection="0"/>
    <xf numFmtId="4" fontId="33" fillId="0" borderId="299" applyFill="0" applyBorder="0" applyProtection="0">
      <alignment horizontal="right" vertical="center"/>
    </xf>
    <xf numFmtId="4" fontId="35" fillId="36" borderId="286">
      <alignment horizontal="right" vertical="center"/>
    </xf>
    <xf numFmtId="0" fontId="47" fillId="46" borderId="270" applyNumberFormat="0" applyAlignment="0" applyProtection="0"/>
    <xf numFmtId="4" fontId="33" fillId="37" borderId="286"/>
    <xf numFmtId="0" fontId="1" fillId="19" borderId="0" applyNumberFormat="0" applyBorder="0" applyAlignment="0" applyProtection="0"/>
    <xf numFmtId="0" fontId="26" fillId="17" borderId="10" applyNumberFormat="0" applyAlignment="0" applyProtection="0"/>
    <xf numFmtId="0" fontId="25" fillId="17" borderId="22" applyNumberFormat="0" applyAlignment="0" applyProtection="0"/>
    <xf numFmtId="0" fontId="4" fillId="29" borderId="0" applyNumberFormat="0" applyBorder="0" applyAlignment="0" applyProtection="0"/>
    <xf numFmtId="0" fontId="4" fillId="26" borderId="0" applyNumberFormat="0" applyBorder="0" applyAlignment="0" applyProtection="0"/>
    <xf numFmtId="0" fontId="63" fillId="0" borderId="284" applyNumberFormat="0" applyFill="0" applyAlignment="0" applyProtection="0"/>
    <xf numFmtId="0" fontId="27" fillId="0" borderId="0" applyNumberFormat="0" applyFill="0" applyBorder="0" applyAlignment="0" applyProtection="0"/>
    <xf numFmtId="0" fontId="33" fillId="0" borderId="302">
      <alignment horizontal="left" vertical="center" wrapText="1" indent="2"/>
    </xf>
    <xf numFmtId="177" fontId="33" fillId="63" borderId="286" applyNumberFormat="0" applyFont="0" applyBorder="0" applyAlignment="0" applyProtection="0">
      <alignment horizontal="right" vertical="center"/>
    </xf>
    <xf numFmtId="0" fontId="1" fillId="18" borderId="0" applyNumberFormat="0" applyBorder="0" applyAlignment="0" applyProtection="0"/>
    <xf numFmtId="0" fontId="48" fillId="0" borderId="271" applyNumberFormat="0" applyFill="0" applyAlignment="0" applyProtection="0"/>
    <xf numFmtId="0" fontId="43" fillId="59" borderId="270" applyNumberFormat="0" applyAlignment="0" applyProtection="0"/>
    <xf numFmtId="0" fontId="41" fillId="59" borderId="269" applyNumberFormat="0" applyAlignment="0" applyProtection="0"/>
    <xf numFmtId="0" fontId="25" fillId="17" borderId="22" applyNumberFormat="0" applyAlignment="0" applyProtection="0"/>
    <xf numFmtId="0" fontId="41" fillId="59" borderId="295" applyNumberFormat="0" applyAlignment="0" applyProtection="0"/>
    <xf numFmtId="49" fontId="33" fillId="0" borderId="287" applyNumberFormat="0" applyFont="0" applyFill="0" applyBorder="0" applyProtection="0">
      <alignment horizontal="left" vertical="center" indent="5"/>
    </xf>
    <xf numFmtId="49" fontId="32" fillId="0" borderId="299" applyNumberFormat="0" applyFill="0" applyBorder="0" applyProtection="0">
      <alignment horizontal="left" vertical="center"/>
    </xf>
    <xf numFmtId="0" fontId="31" fillId="38" borderId="300">
      <alignment horizontal="right" vertical="center"/>
    </xf>
    <xf numFmtId="0" fontId="47" fillId="46" borderId="283" applyNumberFormat="0" applyAlignment="0" applyProtection="0"/>
    <xf numFmtId="49" fontId="33" fillId="0" borderId="286" applyNumberFormat="0" applyFont="0" applyFill="0" applyBorder="0" applyProtection="0">
      <alignment horizontal="left" vertical="center" indent="2"/>
    </xf>
    <xf numFmtId="0" fontId="63" fillId="0" borderId="284" applyNumberFormat="0" applyFill="0" applyAlignment="0" applyProtection="0"/>
    <xf numFmtId="0" fontId="31" fillId="38" borderId="287">
      <alignment horizontal="right" vertical="center"/>
    </xf>
    <xf numFmtId="0" fontId="19" fillId="62" borderId="285" applyNumberFormat="0" applyFont="0" applyAlignment="0" applyProtection="0"/>
    <xf numFmtId="0" fontId="33" fillId="0" borderId="286">
      <alignment horizontal="right" vertical="center"/>
    </xf>
    <xf numFmtId="0" fontId="4" fillId="20" borderId="0" applyNumberFormat="0" applyBorder="0" applyAlignment="0" applyProtection="0"/>
    <xf numFmtId="0" fontId="33" fillId="0" borderId="289">
      <alignment horizontal="left" vertical="center" wrapText="1" indent="2"/>
    </xf>
    <xf numFmtId="4" fontId="31" fillId="38" borderId="286">
      <alignment horizontal="right" vertical="center"/>
    </xf>
    <xf numFmtId="0" fontId="60" fillId="59" borderId="282" applyNumberFormat="0" applyAlignment="0" applyProtection="0"/>
    <xf numFmtId="0" fontId="4" fillId="32" borderId="0" applyNumberFormat="0" applyBorder="0" applyAlignment="0" applyProtection="0"/>
    <xf numFmtId="49" fontId="32" fillId="0" borderId="273" applyNumberFormat="0" applyFill="0" applyBorder="0" applyProtection="0">
      <alignment horizontal="left" vertical="center"/>
    </xf>
    <xf numFmtId="4" fontId="33" fillId="0" borderId="273" applyFill="0" applyBorder="0" applyProtection="0">
      <alignment horizontal="right" vertical="center"/>
    </xf>
    <xf numFmtId="49" fontId="33" fillId="0" borderId="286" applyNumberFormat="0" applyFont="0" applyFill="0" applyBorder="0" applyProtection="0">
      <alignment horizontal="left" vertical="center" indent="2"/>
    </xf>
    <xf numFmtId="0" fontId="41" fillId="59" borderId="282" applyNumberFormat="0" applyAlignment="0" applyProtection="0"/>
    <xf numFmtId="4" fontId="33" fillId="0" borderId="299" applyFill="0" applyBorder="0" applyProtection="0">
      <alignment horizontal="right" vertical="center"/>
    </xf>
    <xf numFmtId="49" fontId="33" fillId="0" borderId="273" applyNumberFormat="0" applyFont="0" applyFill="0" applyBorder="0" applyProtection="0">
      <alignment horizontal="left" vertical="center" indent="2"/>
    </xf>
    <xf numFmtId="0" fontId="1" fillId="27" borderId="0" applyNumberFormat="0" applyBorder="0" applyAlignment="0" applyProtection="0"/>
    <xf numFmtId="4" fontId="31" fillId="38" borderId="299">
      <alignment horizontal="right" vertical="center"/>
    </xf>
    <xf numFmtId="0" fontId="35" fillId="36" borderId="299">
      <alignment horizontal="right" vertical="center"/>
    </xf>
    <xf numFmtId="0" fontId="3" fillId="0" borderId="23" applyNumberFormat="0" applyFill="0" applyAlignment="0" applyProtection="0"/>
    <xf numFmtId="0" fontId="31" fillId="38" borderId="286">
      <alignment horizontal="right" vertical="center"/>
    </xf>
    <xf numFmtId="4" fontId="31" fillId="38" borderId="299">
      <alignment horizontal="right" vertical="center"/>
    </xf>
    <xf numFmtId="0" fontId="1" fillId="21" borderId="0" applyNumberFormat="0" applyBorder="0" applyAlignment="0" applyProtection="0"/>
    <xf numFmtId="0" fontId="33" fillId="36" borderId="287">
      <alignment horizontal="left" vertical="center"/>
    </xf>
    <xf numFmtId="0" fontId="1" fillId="31"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47" fillId="46" borderId="283" applyNumberFormat="0" applyAlignment="0" applyProtection="0"/>
    <xf numFmtId="0" fontId="63" fillId="0" borderId="297" applyNumberFormat="0" applyFill="0" applyAlignment="0" applyProtection="0"/>
    <xf numFmtId="4" fontId="31" fillId="38" borderId="286">
      <alignment horizontal="right" vertical="center"/>
    </xf>
    <xf numFmtId="0" fontId="63" fillId="0" borderId="297" applyNumberFormat="0" applyFill="0" applyAlignment="0" applyProtection="0"/>
    <xf numFmtId="49" fontId="32" fillId="0" borderId="286" applyNumberFormat="0" applyFill="0" applyBorder="0" applyProtection="0">
      <alignment horizontal="left" vertical="center"/>
    </xf>
    <xf numFmtId="0" fontId="4" fillId="23" borderId="0" applyNumberFormat="0" applyBorder="0" applyAlignment="0" applyProtection="0"/>
    <xf numFmtId="4" fontId="33" fillId="37" borderId="286"/>
    <xf numFmtId="0" fontId="33" fillId="0" borderId="299">
      <alignment horizontal="right" vertical="center"/>
    </xf>
    <xf numFmtId="4" fontId="33" fillId="0" borderId="286" applyFill="0" applyBorder="0" applyProtection="0">
      <alignment horizontal="right" vertical="center"/>
    </xf>
    <xf numFmtId="4" fontId="31" fillId="38" borderId="286">
      <alignment horizontal="right" vertical="center"/>
    </xf>
    <xf numFmtId="0" fontId="33" fillId="38" borderId="289">
      <alignment horizontal="left" vertical="center" wrapText="1" indent="2"/>
    </xf>
    <xf numFmtId="0" fontId="1" fillId="30" borderId="0" applyNumberFormat="0" applyBorder="0" applyAlignment="0" applyProtection="0"/>
    <xf numFmtId="0" fontId="4" fillId="20" borderId="0" applyNumberFormat="0" applyBorder="0" applyAlignment="0" applyProtection="0"/>
    <xf numFmtId="0" fontId="35" fillId="36" borderId="299">
      <alignment horizontal="right" vertical="center"/>
    </xf>
    <xf numFmtId="0" fontId="43" fillId="59" borderId="283" applyNumberFormat="0" applyAlignment="0" applyProtection="0"/>
    <xf numFmtId="0" fontId="4" fillId="32" borderId="0" applyNumberFormat="0" applyBorder="0" applyAlignment="0" applyProtection="0"/>
    <xf numFmtId="0" fontId="33" fillId="36" borderId="287">
      <alignment horizontal="left" vertical="center"/>
    </xf>
    <xf numFmtId="0" fontId="31" fillId="38" borderId="299">
      <alignment horizontal="right" vertical="center"/>
    </xf>
    <xf numFmtId="0" fontId="27" fillId="0" borderId="0" applyNumberFormat="0" applyFill="0" applyBorder="0" applyAlignment="0" applyProtection="0"/>
    <xf numFmtId="0" fontId="44" fillId="59" borderId="283" applyNumberFormat="0" applyAlignment="0" applyProtection="0"/>
    <xf numFmtId="0" fontId="63" fillId="0" borderId="271" applyNumberFormat="0" applyFill="0" applyAlignment="0" applyProtection="0"/>
    <xf numFmtId="4" fontId="33" fillId="37" borderId="273"/>
    <xf numFmtId="0" fontId="33" fillId="37" borderId="273"/>
    <xf numFmtId="177" fontId="33" fillId="63" borderId="273" applyNumberFormat="0" applyFont="0" applyBorder="0" applyAlignment="0" applyProtection="0">
      <alignment horizontal="right" vertical="center"/>
    </xf>
    <xf numFmtId="0" fontId="60" fillId="59" borderId="269" applyNumberFormat="0" applyAlignment="0" applyProtection="0"/>
    <xf numFmtId="0" fontId="33" fillId="0" borderId="273" applyNumberFormat="0" applyFill="0" applyAlignment="0" applyProtection="0"/>
    <xf numFmtId="4" fontId="33" fillId="0" borderId="273">
      <alignment horizontal="right" vertical="center"/>
    </xf>
    <xf numFmtId="0" fontId="33" fillId="0" borderId="273">
      <alignment horizontal="right" vertical="center"/>
    </xf>
    <xf numFmtId="0" fontId="56" fillId="46" borderId="270" applyNumberFormat="0" applyAlignment="0" applyProtection="0"/>
    <xf numFmtId="0" fontId="1" fillId="30" borderId="0" applyNumberFormat="0" applyBorder="0" applyAlignment="0" applyProtection="0"/>
    <xf numFmtId="0" fontId="33" fillId="36" borderId="274">
      <alignment horizontal="left" vertical="center"/>
    </xf>
    <xf numFmtId="0" fontId="33" fillId="0" borderId="276">
      <alignment horizontal="left" vertical="center" wrapText="1" indent="2"/>
    </xf>
    <xf numFmtId="0" fontId="33" fillId="38" borderId="276">
      <alignment horizontal="left" vertical="center" wrapText="1" indent="2"/>
    </xf>
    <xf numFmtId="0" fontId="44" fillId="59" borderId="270" applyNumberFormat="0" applyAlignment="0" applyProtection="0"/>
    <xf numFmtId="4" fontId="31" fillId="38" borderId="275">
      <alignment horizontal="right" vertical="center"/>
    </xf>
    <xf numFmtId="0" fontId="31" fillId="38" borderId="275">
      <alignment horizontal="right" vertical="center"/>
    </xf>
    <xf numFmtId="4" fontId="31" fillId="38" borderId="274">
      <alignment horizontal="right" vertical="center"/>
    </xf>
    <xf numFmtId="0" fontId="31" fillId="38" borderId="274">
      <alignment horizontal="right" vertical="center"/>
    </xf>
    <xf numFmtId="4" fontId="31" fillId="38" borderId="273">
      <alignment horizontal="right" vertical="center"/>
    </xf>
    <xf numFmtId="0" fontId="31" fillId="38" borderId="273">
      <alignment horizontal="right" vertical="center"/>
    </xf>
    <xf numFmtId="4" fontId="31" fillId="38" borderId="273">
      <alignment horizontal="right" vertical="center"/>
    </xf>
    <xf numFmtId="0" fontId="31" fillId="38" borderId="273">
      <alignment horizontal="right" vertical="center"/>
    </xf>
    <xf numFmtId="4" fontId="35" fillId="36" borderId="273">
      <alignment horizontal="right" vertical="center"/>
    </xf>
    <xf numFmtId="0" fontId="35" fillId="36" borderId="273">
      <alignment horizontal="right" vertical="center"/>
    </xf>
    <xf numFmtId="4" fontId="31" fillId="36" borderId="273">
      <alignment horizontal="right" vertical="center"/>
    </xf>
    <xf numFmtId="0" fontId="31" fillId="36" borderId="273">
      <alignment horizontal="right" vertical="center"/>
    </xf>
    <xf numFmtId="0" fontId="43" fillId="59" borderId="283" applyNumberFormat="0" applyAlignment="0" applyProtection="0"/>
    <xf numFmtId="49" fontId="33" fillId="0" borderId="287" applyNumberFormat="0" applyFont="0" applyFill="0" applyBorder="0" applyProtection="0">
      <alignment horizontal="left" vertical="center" indent="5"/>
    </xf>
    <xf numFmtId="4" fontId="31" fillId="38" borderId="287">
      <alignment horizontal="right" vertical="center"/>
    </xf>
    <xf numFmtId="4" fontId="31" fillId="36" borderId="286">
      <alignment horizontal="right" vertical="center"/>
    </xf>
    <xf numFmtId="49" fontId="33" fillId="0" borderId="286" applyNumberFormat="0" applyFont="0" applyFill="0" applyBorder="0" applyProtection="0">
      <alignment horizontal="left" vertical="center" indent="2"/>
    </xf>
    <xf numFmtId="0" fontId="47" fillId="46" borderId="296" applyNumberFormat="0" applyAlignment="0" applyProtection="0"/>
    <xf numFmtId="0" fontId="60" fillId="59" borderId="295" applyNumberFormat="0" applyAlignment="0" applyProtection="0"/>
    <xf numFmtId="0" fontId="63" fillId="0" borderId="297" applyNumberFormat="0" applyFill="0" applyAlignment="0" applyProtection="0"/>
    <xf numFmtId="0" fontId="31" fillId="38" borderId="301">
      <alignment horizontal="right" vertical="center"/>
    </xf>
    <xf numFmtId="4" fontId="31" fillId="38" borderId="286">
      <alignment horizontal="right" vertical="center"/>
    </xf>
    <xf numFmtId="4" fontId="31" fillId="38" borderId="286">
      <alignment horizontal="right" vertical="center"/>
    </xf>
    <xf numFmtId="0" fontId="35" fillId="36" borderId="286">
      <alignment horizontal="right" vertical="center"/>
    </xf>
    <xf numFmtId="0" fontId="48" fillId="0" borderId="284" applyNumberFormat="0" applyFill="0" applyAlignment="0" applyProtection="0"/>
    <xf numFmtId="0" fontId="56" fillId="46" borderId="283" applyNumberFormat="0" applyAlignment="0" applyProtection="0"/>
    <xf numFmtId="4" fontId="31" fillId="38" borderId="286">
      <alignment horizontal="right" vertical="center"/>
    </xf>
    <xf numFmtId="49" fontId="33" fillId="0" borderId="287" applyNumberFormat="0" applyFont="0" applyFill="0" applyBorder="0" applyProtection="0">
      <alignment horizontal="left" vertical="center" indent="5"/>
    </xf>
    <xf numFmtId="0" fontId="47" fillId="46" borderId="283" applyNumberFormat="0" applyAlignment="0" applyProtection="0"/>
    <xf numFmtId="0" fontId="63" fillId="0" borderId="271" applyNumberFormat="0" applyFill="0" applyAlignment="0" applyProtection="0"/>
    <xf numFmtId="0" fontId="1" fillId="28" borderId="0" applyNumberFormat="0" applyBorder="0" applyAlignment="0" applyProtection="0"/>
    <xf numFmtId="0" fontId="60" fillId="59" borderId="269" applyNumberFormat="0" applyAlignment="0" applyProtection="0"/>
    <xf numFmtId="0" fontId="38" fillId="62" borderId="272" applyNumberFormat="0" applyFont="0" applyAlignment="0" applyProtection="0"/>
    <xf numFmtId="0" fontId="38" fillId="62" borderId="285" applyNumberFormat="0" applyFont="0" applyAlignment="0" applyProtection="0"/>
    <xf numFmtId="0" fontId="1" fillId="31" borderId="0" applyNumberFormat="0" applyBorder="0" applyAlignment="0" applyProtection="0"/>
    <xf numFmtId="0" fontId="56" fillId="46" borderId="270" applyNumberFormat="0" applyAlignment="0" applyProtection="0"/>
    <xf numFmtId="4" fontId="31" fillId="38" borderId="286">
      <alignment horizontal="right" vertical="center"/>
    </xf>
    <xf numFmtId="0" fontId="47" fillId="46" borderId="283" applyNumberFormat="0" applyAlignment="0" applyProtection="0"/>
    <xf numFmtId="0" fontId="56" fillId="46" borderId="283" applyNumberFormat="0" applyAlignment="0" applyProtection="0"/>
    <xf numFmtId="0" fontId="28" fillId="0" borderId="0" applyNumberFormat="0" applyFill="0" applyBorder="0" applyAlignment="0" applyProtection="0"/>
    <xf numFmtId="0" fontId="44" fillId="59" borderId="270" applyNumberFormat="0" applyAlignment="0" applyProtection="0"/>
    <xf numFmtId="0" fontId="4" fillId="26" borderId="0" applyNumberFormat="0" applyBorder="0" applyAlignment="0" applyProtection="0"/>
    <xf numFmtId="10" fontId="18" fillId="83" borderId="286" applyNumberFormat="0" applyBorder="0" applyAlignment="0" applyProtection="0"/>
    <xf numFmtId="0" fontId="44" fillId="59" borderId="296" applyNumberFormat="0" applyAlignment="0" applyProtection="0"/>
    <xf numFmtId="4" fontId="33" fillId="0" borderId="299" applyFill="0" applyBorder="0" applyProtection="0">
      <alignment horizontal="right" vertical="center"/>
    </xf>
    <xf numFmtId="0" fontId="48" fillId="0" borderId="284" applyNumberFormat="0" applyFill="0" applyAlignment="0" applyProtection="0"/>
    <xf numFmtId="4" fontId="33" fillId="0" borderId="286">
      <alignment horizontal="right" vertical="center"/>
    </xf>
    <xf numFmtId="0" fontId="1" fillId="25" borderId="0" applyNumberFormat="0" applyBorder="0" applyAlignment="0" applyProtection="0"/>
    <xf numFmtId="4" fontId="33" fillId="0" borderId="299">
      <alignment horizontal="right" vertical="center"/>
    </xf>
    <xf numFmtId="0" fontId="60" fillId="59" borderId="282" applyNumberFormat="0" applyAlignment="0" applyProtection="0"/>
    <xf numFmtId="0" fontId="33" fillId="0" borderId="286" applyNumberFormat="0" applyFill="0" applyAlignment="0" applyProtection="0"/>
    <xf numFmtId="0" fontId="19" fillId="62" borderId="298" applyNumberFormat="0" applyFont="0" applyAlignment="0" applyProtection="0"/>
    <xf numFmtId="0" fontId="56" fillId="46" borderId="283" applyNumberFormat="0" applyAlignment="0" applyProtection="0"/>
    <xf numFmtId="0" fontId="33" fillId="0" borderId="289">
      <alignment horizontal="left" vertical="center" wrapText="1" indent="2"/>
    </xf>
    <xf numFmtId="0" fontId="4" fillId="26" borderId="0" applyNumberFormat="0" applyBorder="0" applyAlignment="0" applyProtection="0"/>
    <xf numFmtId="49" fontId="33" fillId="0" borderId="286" applyNumberFormat="0" applyFont="0" applyFill="0" applyBorder="0" applyProtection="0">
      <alignment horizontal="left" vertical="center" indent="2"/>
    </xf>
    <xf numFmtId="0" fontId="44" fillId="59" borderId="283" applyNumberFormat="0" applyAlignment="0" applyProtection="0"/>
    <xf numFmtId="0" fontId="47" fillId="46" borderId="283" applyNumberFormat="0" applyAlignment="0" applyProtection="0"/>
    <xf numFmtId="0" fontId="48" fillId="0" borderId="297" applyNumberFormat="0" applyFill="0" applyAlignment="0" applyProtection="0"/>
    <xf numFmtId="0" fontId="1" fillId="24" borderId="0" applyNumberFormat="0" applyBorder="0" applyAlignment="0" applyProtection="0"/>
    <xf numFmtId="4" fontId="31" fillId="38" borderId="286">
      <alignment horizontal="right" vertical="center"/>
    </xf>
    <xf numFmtId="0" fontId="1" fillId="31" borderId="0" applyNumberFormat="0" applyBorder="0" applyAlignment="0" applyProtection="0"/>
    <xf numFmtId="0" fontId="43" fillId="59" borderId="296" applyNumberFormat="0" applyAlignment="0" applyProtection="0"/>
    <xf numFmtId="0" fontId="28" fillId="0" borderId="0" applyNumberFormat="0" applyFill="0" applyBorder="0" applyAlignment="0" applyProtection="0"/>
    <xf numFmtId="0" fontId="4" fillId="26" borderId="0" applyNumberFormat="0" applyBorder="0" applyAlignment="0" applyProtection="0"/>
    <xf numFmtId="0" fontId="48" fillId="0" borderId="284" applyNumberFormat="0" applyFill="0" applyAlignment="0" applyProtection="0"/>
    <xf numFmtId="0" fontId="44" fillId="59" borderId="283" applyNumberFormat="0" applyAlignment="0" applyProtection="0"/>
    <xf numFmtId="0" fontId="1" fillId="24" borderId="0" applyNumberFormat="0" applyBorder="0" applyAlignment="0" applyProtection="0"/>
    <xf numFmtId="0" fontId="63" fillId="0" borderId="271" applyNumberFormat="0" applyFill="0" applyAlignment="0" applyProtection="0"/>
    <xf numFmtId="0" fontId="56" fillId="46" borderId="283" applyNumberFormat="0" applyAlignment="0" applyProtection="0"/>
    <xf numFmtId="177" fontId="33" fillId="63" borderId="286" applyNumberFormat="0" applyFont="0" applyBorder="0" applyAlignment="0" applyProtection="0">
      <alignment horizontal="right" vertical="center"/>
    </xf>
    <xf numFmtId="0" fontId="1" fillId="34" borderId="0" applyNumberFormat="0" applyBorder="0" applyAlignment="0" applyProtection="0"/>
    <xf numFmtId="0" fontId="33" fillId="0" borderId="289">
      <alignment horizontal="left" vertical="center" wrapText="1" indent="2"/>
    </xf>
    <xf numFmtId="0" fontId="44" fillId="59" borderId="283" applyNumberFormat="0" applyAlignment="0" applyProtection="0"/>
    <xf numFmtId="0" fontId="60" fillId="59" borderId="269" applyNumberFormat="0" applyAlignment="0" applyProtection="0"/>
    <xf numFmtId="0" fontId="19" fillId="62" borderId="272" applyNumberFormat="0" applyFont="0" applyAlignment="0" applyProtection="0"/>
    <xf numFmtId="0" fontId="38" fillId="62" borderId="272" applyNumberFormat="0" applyFont="0" applyAlignment="0" applyProtection="0"/>
    <xf numFmtId="0" fontId="3" fillId="0" borderId="23" applyNumberFormat="0" applyFill="0" applyAlignment="0" applyProtection="0"/>
    <xf numFmtId="177" fontId="33" fillId="63" borderId="286" applyNumberFormat="0" applyFont="0" applyBorder="0" applyAlignment="0" applyProtection="0">
      <alignment horizontal="right" vertical="center"/>
    </xf>
    <xf numFmtId="0" fontId="60" fillId="59" borderId="282" applyNumberFormat="0" applyAlignment="0" applyProtection="0"/>
    <xf numFmtId="0" fontId="47" fillId="46" borderId="283" applyNumberFormat="0" applyAlignment="0" applyProtection="0"/>
    <xf numFmtId="0" fontId="1" fillId="31" borderId="0" applyNumberFormat="0" applyBorder="0" applyAlignment="0" applyProtection="0"/>
    <xf numFmtId="0" fontId="25" fillId="17" borderId="22" applyNumberFormat="0" applyAlignment="0" applyProtection="0"/>
    <xf numFmtId="0" fontId="33" fillId="0" borderId="302">
      <alignment horizontal="left" vertical="center" wrapText="1" indent="2"/>
    </xf>
    <xf numFmtId="0" fontId="33" fillId="0" borderId="289">
      <alignment horizontal="left" vertical="center" wrapText="1" indent="2"/>
    </xf>
    <xf numFmtId="0" fontId="47" fillId="46" borderId="283" applyNumberFormat="0" applyAlignment="0" applyProtection="0"/>
    <xf numFmtId="0" fontId="26" fillId="17" borderId="10" applyNumberFormat="0" applyAlignment="0" applyProtection="0"/>
    <xf numFmtId="0" fontId="33" fillId="0" borderId="286" applyNumberFormat="0" applyFill="0" applyAlignment="0" applyProtection="0"/>
    <xf numFmtId="0" fontId="1" fillId="22" borderId="0" applyNumberFormat="0" applyBorder="0" applyAlignment="0" applyProtection="0"/>
    <xf numFmtId="0" fontId="43" fillId="59" borderId="296" applyNumberFormat="0" applyAlignment="0" applyProtection="0"/>
    <xf numFmtId="0" fontId="33" fillId="0" borderId="286">
      <alignment horizontal="right" vertical="center"/>
    </xf>
    <xf numFmtId="0" fontId="1" fillId="34" borderId="0" applyNumberFormat="0" applyBorder="0" applyAlignment="0" applyProtection="0"/>
    <xf numFmtId="0" fontId="38" fillId="62" borderId="298" applyNumberFormat="0" applyFont="0" applyAlignment="0" applyProtection="0"/>
    <xf numFmtId="4" fontId="35" fillId="36" borderId="299">
      <alignment horizontal="right" vertical="center"/>
    </xf>
    <xf numFmtId="0" fontId="4" fillId="32" borderId="0" applyNumberFormat="0" applyBorder="0" applyAlignment="0" applyProtection="0"/>
    <xf numFmtId="4" fontId="33" fillId="0" borderId="286">
      <alignment horizontal="right" vertical="center"/>
    </xf>
    <xf numFmtId="0" fontId="1" fillId="22" borderId="0" applyNumberFormat="0" applyBorder="0" applyAlignment="0" applyProtection="0"/>
    <xf numFmtId="4" fontId="33" fillId="0" borderId="286">
      <alignment horizontal="right" vertical="center"/>
    </xf>
    <xf numFmtId="0" fontId="1" fillId="19" borderId="0" applyNumberFormat="0" applyBorder="0" applyAlignment="0" applyProtection="0"/>
    <xf numFmtId="0" fontId="27" fillId="0" borderId="0" applyNumberFormat="0" applyFill="0" applyBorder="0" applyAlignment="0" applyProtection="0"/>
    <xf numFmtId="0" fontId="4" fillId="23" borderId="0" applyNumberFormat="0" applyBorder="0" applyAlignment="0" applyProtection="0"/>
    <xf numFmtId="49" fontId="33" fillId="0" borderId="274" applyNumberFormat="0" applyFont="0" applyFill="0" applyBorder="0" applyProtection="0">
      <alignment horizontal="left" vertical="center" indent="5"/>
    </xf>
    <xf numFmtId="0" fontId="35" fillId="36" borderId="299">
      <alignment horizontal="right" vertical="center"/>
    </xf>
    <xf numFmtId="0" fontId="4" fillId="32"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4"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26" fillId="17" borderId="10" applyNumberFormat="0" applyAlignment="0" applyProtection="0"/>
    <xf numFmtId="0" fontId="1" fillId="21" borderId="0" applyNumberFormat="0" applyBorder="0" applyAlignment="0" applyProtection="0"/>
    <xf numFmtId="0" fontId="1" fillId="24" borderId="0" applyNumberFormat="0" applyBorder="0" applyAlignment="0" applyProtection="0"/>
    <xf numFmtId="0" fontId="3" fillId="0" borderId="23" applyNumberFormat="0" applyFill="0" applyAlignment="0" applyProtection="0"/>
    <xf numFmtId="0" fontId="4" fillId="29" borderId="0" applyNumberFormat="0" applyBorder="0" applyAlignment="0" applyProtection="0"/>
    <xf numFmtId="0" fontId="4" fillId="26" borderId="0" applyNumberFormat="0" applyBorder="0" applyAlignment="0" applyProtection="0"/>
    <xf numFmtId="0" fontId="4" fillId="20" borderId="0" applyNumberFormat="0" applyBorder="0" applyAlignment="0" applyProtection="0"/>
    <xf numFmtId="0" fontId="1" fillId="22" borderId="0" applyNumberFormat="0" applyBorder="0" applyAlignment="0" applyProtection="0"/>
    <xf numFmtId="0" fontId="25" fillId="17" borderId="22"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1" fillId="28" borderId="0" applyNumberFormat="0" applyBorder="0" applyAlignment="0" applyProtection="0"/>
    <xf numFmtId="0" fontId="4" fillId="20" borderId="0" applyNumberFormat="0" applyBorder="0" applyAlignment="0" applyProtection="0"/>
    <xf numFmtId="0" fontId="26" fillId="17" borderId="10" applyNumberFormat="0" applyAlignment="0" applyProtection="0"/>
    <xf numFmtId="0" fontId="4" fillId="35"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63" fillId="0" borderId="271" applyNumberFormat="0" applyFill="0" applyAlignment="0" applyProtection="0"/>
    <xf numFmtId="0" fontId="1" fillId="24" borderId="0" applyNumberFormat="0" applyBorder="0" applyAlignment="0" applyProtection="0"/>
    <xf numFmtId="0" fontId="31" fillId="38" borderId="299">
      <alignment horizontal="right" vertical="center"/>
    </xf>
    <xf numFmtId="0" fontId="31" fillId="38" borderId="287">
      <alignment horizontal="right" vertical="center"/>
    </xf>
    <xf numFmtId="0" fontId="79" fillId="15" borderId="270" applyNumberFormat="0" applyAlignment="0" applyProtection="0"/>
    <xf numFmtId="49" fontId="33" fillId="0" borderId="299" applyNumberFormat="0" applyFont="0" applyFill="0" applyBorder="0" applyProtection="0">
      <alignment horizontal="left" vertical="center" indent="2"/>
    </xf>
    <xf numFmtId="49" fontId="32" fillId="0" borderId="273" applyNumberFormat="0" applyFill="0" applyBorder="0" applyProtection="0">
      <alignment horizontal="left" vertical="center"/>
    </xf>
    <xf numFmtId="0" fontId="1" fillId="30" borderId="0" applyNumberFormat="0" applyBorder="0" applyAlignment="0" applyProtection="0"/>
    <xf numFmtId="0" fontId="1" fillId="21"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1" fillId="19" borderId="0" applyNumberFormat="0" applyBorder="0" applyAlignment="0" applyProtection="0"/>
    <xf numFmtId="0" fontId="4" fillId="26" borderId="0" applyNumberFormat="0" applyBorder="0" applyAlignment="0" applyProtection="0"/>
    <xf numFmtId="0" fontId="1" fillId="34" borderId="0" applyNumberFormat="0" applyBorder="0" applyAlignment="0" applyProtection="0"/>
    <xf numFmtId="0" fontId="27" fillId="0" borderId="0" applyNumberFormat="0" applyFill="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0" fontId="1" fillId="25" borderId="0" applyNumberFormat="0" applyBorder="0" applyAlignment="0" applyProtection="0"/>
    <xf numFmtId="0" fontId="4" fillId="32" borderId="0" applyNumberFormat="0" applyBorder="0" applyAlignment="0" applyProtection="0"/>
    <xf numFmtId="0" fontId="1" fillId="21" borderId="0" applyNumberFormat="0" applyBorder="0" applyAlignment="0" applyProtection="0"/>
    <xf numFmtId="0" fontId="25" fillId="17" borderId="22" applyNumberFormat="0" applyAlignment="0" applyProtection="0"/>
    <xf numFmtId="0" fontId="1" fillId="31" borderId="0" applyNumberFormat="0" applyBorder="0" applyAlignment="0" applyProtection="0"/>
    <xf numFmtId="0" fontId="4" fillId="20"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3" fillId="0" borderId="23" applyNumberFormat="0" applyFill="0" applyAlignment="0" applyProtection="0"/>
    <xf numFmtId="0" fontId="1" fillId="34" borderId="0" applyNumberFormat="0" applyBorder="0" applyAlignment="0" applyProtection="0"/>
    <xf numFmtId="0" fontId="1" fillId="2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63" fillId="0" borderId="284" applyNumberFormat="0" applyFill="0" applyAlignment="0" applyProtection="0"/>
    <xf numFmtId="0" fontId="28" fillId="0" borderId="0" applyNumberFormat="0" applyFill="0" applyBorder="0" applyAlignment="0" applyProtection="0"/>
    <xf numFmtId="0" fontId="27" fillId="0" borderId="0" applyNumberFormat="0" applyFill="0" applyBorder="0" applyAlignment="0" applyProtection="0"/>
    <xf numFmtId="43" fontId="22" fillId="0" borderId="0" applyFont="0" applyFill="0" applyBorder="0" applyAlignment="0" applyProtection="0"/>
    <xf numFmtId="0" fontId="1" fillId="18" borderId="0" applyNumberFormat="0" applyBorder="0" applyAlignment="0" applyProtection="0"/>
    <xf numFmtId="0" fontId="27" fillId="0" borderId="0" applyNumberFormat="0" applyFill="0" applyBorder="0" applyAlignment="0" applyProtection="0"/>
    <xf numFmtId="0" fontId="1" fillId="33"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4" fillId="23"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31" fillId="38" borderId="286">
      <alignment horizontal="right" vertical="center"/>
    </xf>
    <xf numFmtId="0" fontId="43" fillId="59" borderId="283" applyNumberFormat="0" applyAlignment="0" applyProtection="0"/>
    <xf numFmtId="0" fontId="47" fillId="46" borderId="283" applyNumberFormat="0" applyAlignment="0" applyProtection="0"/>
    <xf numFmtId="0" fontId="33" fillId="0" borderId="286" applyNumberFormat="0" applyFill="0" applyAlignment="0" applyProtection="0"/>
    <xf numFmtId="0" fontId="4" fillId="20" borderId="0" applyNumberFormat="0" applyBorder="0" applyAlignment="0" applyProtection="0"/>
    <xf numFmtId="4" fontId="33" fillId="0" borderId="286">
      <alignment horizontal="right" vertical="center"/>
    </xf>
    <xf numFmtId="0" fontId="19" fillId="62" borderId="285" applyNumberFormat="0" applyFont="0" applyAlignment="0" applyProtection="0"/>
    <xf numFmtId="0" fontId="31" fillId="36" borderId="299">
      <alignment horizontal="right" vertical="center"/>
    </xf>
    <xf numFmtId="4" fontId="33" fillId="0" borderId="299" applyFill="0" applyBorder="0" applyProtection="0">
      <alignment horizontal="right" vertical="center"/>
    </xf>
    <xf numFmtId="43" fontId="36" fillId="0" borderId="0" applyFont="0" applyFill="0" applyBorder="0" applyAlignment="0" applyProtection="0"/>
    <xf numFmtId="0" fontId="4" fillId="26" borderId="0" applyNumberFormat="0" applyBorder="0" applyAlignment="0" applyProtection="0"/>
    <xf numFmtId="4" fontId="31" fillId="38" borderId="288">
      <alignment horizontal="right" vertical="center"/>
    </xf>
    <xf numFmtId="0" fontId="60" fillId="59" borderId="282" applyNumberFormat="0" applyAlignment="0" applyProtection="0"/>
    <xf numFmtId="0" fontId="3" fillId="0" borderId="23" applyNumberFormat="0" applyFill="0" applyAlignment="0" applyProtection="0"/>
    <xf numFmtId="49" fontId="32" fillId="0" borderId="286" applyNumberFormat="0" applyFill="0" applyBorder="0" applyProtection="0">
      <alignment horizontal="left" vertical="center"/>
    </xf>
    <xf numFmtId="4" fontId="31" fillId="38" borderId="288">
      <alignment horizontal="right" vertical="center"/>
    </xf>
    <xf numFmtId="0" fontId="44" fillId="59" borderId="283" applyNumberFormat="0" applyAlignment="0" applyProtection="0"/>
    <xf numFmtId="0" fontId="31" fillId="36" borderId="286">
      <alignment horizontal="right" vertical="center"/>
    </xf>
    <xf numFmtId="0" fontId="27" fillId="0" borderId="0" applyNumberFormat="0" applyFill="0" applyBorder="0" applyAlignment="0" applyProtection="0"/>
    <xf numFmtId="0" fontId="1" fillId="28" borderId="0" applyNumberFormat="0" applyBorder="0" applyAlignment="0" applyProtection="0"/>
    <xf numFmtId="0" fontId="1" fillId="28" borderId="0" applyNumberFormat="0" applyBorder="0" applyAlignment="0" applyProtection="0"/>
    <xf numFmtId="0" fontId="31" fillId="38" borderId="286">
      <alignment horizontal="right" vertical="center"/>
    </xf>
    <xf numFmtId="0" fontId="44" fillId="59" borderId="283" applyNumberFormat="0" applyAlignment="0" applyProtection="0"/>
    <xf numFmtId="0" fontId="31" fillId="36" borderId="286">
      <alignment horizontal="right" vertical="center"/>
    </xf>
    <xf numFmtId="4" fontId="35" fillId="36" borderId="286">
      <alignment horizontal="right" vertical="center"/>
    </xf>
    <xf numFmtId="4" fontId="31" fillId="38" borderId="286">
      <alignment horizontal="right" vertical="center"/>
    </xf>
    <xf numFmtId="0" fontId="31" fillId="38" borderId="286">
      <alignment horizontal="right" vertical="center"/>
    </xf>
    <xf numFmtId="49" fontId="33" fillId="0" borderId="287" applyNumberFormat="0" applyFont="0" applyFill="0" applyBorder="0" applyProtection="0">
      <alignment horizontal="left" vertical="center" indent="5"/>
    </xf>
    <xf numFmtId="0" fontId="56" fillId="46" borderId="283" applyNumberFormat="0" applyAlignment="0" applyProtection="0"/>
    <xf numFmtId="4" fontId="31" fillId="38" borderId="286">
      <alignment horizontal="right" vertical="center"/>
    </xf>
    <xf numFmtId="0" fontId="48" fillId="0" borderId="284" applyNumberFormat="0" applyFill="0" applyAlignment="0" applyProtection="0"/>
    <xf numFmtId="49" fontId="33" fillId="0" borderId="287" applyNumberFormat="0" applyFont="0" applyFill="0" applyBorder="0" applyProtection="0">
      <alignment horizontal="left" vertical="center" indent="5"/>
    </xf>
    <xf numFmtId="0" fontId="31" fillId="38" borderId="288">
      <alignment horizontal="right" vertical="center"/>
    </xf>
    <xf numFmtId="0" fontId="4" fillId="29" borderId="0" applyNumberFormat="0" applyBorder="0" applyAlignment="0" applyProtection="0"/>
    <xf numFmtId="0" fontId="56" fillId="46" borderId="283" applyNumberFormat="0" applyAlignment="0" applyProtection="0"/>
    <xf numFmtId="0" fontId="63" fillId="0" borderId="284" applyNumberFormat="0" applyFill="0" applyAlignment="0" applyProtection="0"/>
    <xf numFmtId="0" fontId="33" fillId="36" borderId="287">
      <alignment horizontal="left" vertical="center"/>
    </xf>
    <xf numFmtId="0" fontId="35" fillId="36" borderId="286">
      <alignment horizontal="right" vertical="center"/>
    </xf>
    <xf numFmtId="0" fontId="63" fillId="0" borderId="284" applyNumberFormat="0" applyFill="0" applyAlignment="0" applyProtection="0"/>
    <xf numFmtId="0" fontId="60" fillId="59" borderId="282" applyNumberFormat="0" applyAlignment="0" applyProtection="0"/>
    <xf numFmtId="0" fontId="38" fillId="62" borderId="285" applyNumberFormat="0" applyFont="0" applyAlignment="0" applyProtection="0"/>
    <xf numFmtId="0" fontId="48" fillId="0" borderId="284" applyNumberFormat="0" applyFill="0" applyAlignment="0" applyProtection="0"/>
    <xf numFmtId="0" fontId="31" fillId="36" borderId="286">
      <alignment horizontal="right" vertical="center"/>
    </xf>
    <xf numFmtId="224" fontId="127" fillId="0" borderId="260">
      <alignment horizontal="right"/>
    </xf>
    <xf numFmtId="0" fontId="4"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25" fillId="17" borderId="22" applyNumberFormat="0" applyAlignment="0" applyProtection="0"/>
    <xf numFmtId="0" fontId="76" fillId="83" borderId="298" applyNumberFormat="0" applyFont="0" applyAlignment="0" applyProtection="0"/>
    <xf numFmtId="0" fontId="1" fillId="22" borderId="0" applyNumberFormat="0" applyBorder="0" applyAlignment="0" applyProtection="0"/>
    <xf numFmtId="2" fontId="80" fillId="1" borderId="266" applyNumberFormat="0" applyBorder="0" applyProtection="0">
      <alignment horizontal="left"/>
    </xf>
    <xf numFmtId="4" fontId="33" fillId="37" borderId="286"/>
    <xf numFmtId="0" fontId="1" fillId="31" borderId="0" applyNumberFormat="0" applyBorder="0" applyAlignment="0" applyProtection="0"/>
    <xf numFmtId="210" fontId="159" fillId="0" borderId="268" applyFill="0"/>
    <xf numFmtId="210" fontId="138" fillId="0" borderId="267" applyFill="0"/>
    <xf numFmtId="0" fontId="26" fillId="17" borderId="10" applyNumberFormat="0" applyAlignment="0" applyProtection="0"/>
    <xf numFmtId="224" fontId="127" fillId="36" borderId="260">
      <alignment horizontal="right"/>
    </xf>
    <xf numFmtId="224" fontId="127" fillId="0" borderId="260">
      <alignment horizontal="right"/>
    </xf>
    <xf numFmtId="177" fontId="33" fillId="63" borderId="299" applyNumberFormat="0" applyFont="0" applyBorder="0" applyAlignment="0" applyProtection="0">
      <alignment horizontal="right" vertical="center"/>
    </xf>
    <xf numFmtId="0" fontId="47" fillId="46" borderId="283" applyNumberFormat="0" applyAlignment="0" applyProtection="0"/>
    <xf numFmtId="0" fontId="44" fillId="59" borderId="283" applyNumberFormat="0" applyAlignment="0" applyProtection="0"/>
    <xf numFmtId="0" fontId="47" fillId="46" borderId="283" applyNumberFormat="0" applyAlignment="0" applyProtection="0"/>
    <xf numFmtId="0" fontId="33" fillId="36" borderId="300">
      <alignment horizontal="left" vertical="center"/>
    </xf>
    <xf numFmtId="183" fontId="163" fillId="69" borderId="278">
      <alignment horizontal="center" wrapText="1"/>
    </xf>
    <xf numFmtId="183" fontId="163" fillId="69" borderId="278">
      <alignment horizontal="centerContinuous" wrapText="1"/>
    </xf>
    <xf numFmtId="183" fontId="163" fillId="69" borderId="278">
      <alignment horizontal="center" vertical="justify" textRotation="90"/>
    </xf>
    <xf numFmtId="0" fontId="31" fillId="38" borderId="286">
      <alignment horizontal="right" vertical="center"/>
    </xf>
    <xf numFmtId="0" fontId="31" fillId="38" borderId="301">
      <alignment horizontal="right" vertical="center"/>
    </xf>
    <xf numFmtId="0" fontId="4" fillId="32"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4"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26" fillId="17" borderId="10" applyNumberFormat="0" applyAlignment="0" applyProtection="0"/>
    <xf numFmtId="0" fontId="1" fillId="21" borderId="0" applyNumberFormat="0" applyBorder="0" applyAlignment="0" applyProtection="0"/>
    <xf numFmtId="0" fontId="1" fillId="24" borderId="0" applyNumberFormat="0" applyBorder="0" applyAlignment="0" applyProtection="0"/>
    <xf numFmtId="0" fontId="3" fillId="0" borderId="23" applyNumberFormat="0" applyFill="0" applyAlignment="0" applyProtection="0"/>
    <xf numFmtId="0" fontId="4" fillId="29" borderId="0" applyNumberFormat="0" applyBorder="0" applyAlignment="0" applyProtection="0"/>
    <xf numFmtId="0" fontId="4" fillId="26" borderId="0" applyNumberFormat="0" applyBorder="0" applyAlignment="0" applyProtection="0"/>
    <xf numFmtId="0" fontId="4" fillId="20" borderId="0" applyNumberFormat="0" applyBorder="0" applyAlignment="0" applyProtection="0"/>
    <xf numFmtId="0" fontId="1" fillId="22" borderId="0" applyNumberFormat="0" applyBorder="0" applyAlignment="0" applyProtection="0"/>
    <xf numFmtId="0" fontId="25" fillId="17" borderId="22"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1" fillId="28" borderId="0" applyNumberFormat="0" applyBorder="0" applyAlignment="0" applyProtection="0"/>
    <xf numFmtId="0" fontId="4" fillId="20" borderId="0" applyNumberFormat="0" applyBorder="0" applyAlignment="0" applyProtection="0"/>
    <xf numFmtId="0" fontId="26" fillId="17" borderId="10" applyNumberFormat="0" applyAlignment="0" applyProtection="0"/>
    <xf numFmtId="0" fontId="4" fillId="35"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33" fillId="0" borderId="273" applyNumberFormat="0" applyFill="0" applyAlignment="0" applyProtection="0"/>
    <xf numFmtId="0" fontId="31" fillId="38" borderId="273">
      <alignment horizontal="right" vertical="center"/>
    </xf>
    <xf numFmtId="0" fontId="31" fillId="38" borderId="273">
      <alignment horizontal="right" vertical="center"/>
    </xf>
    <xf numFmtId="0" fontId="33" fillId="0" borderId="276">
      <alignment horizontal="left" vertical="center" wrapText="1" indent="2"/>
    </xf>
    <xf numFmtId="0" fontId="31" fillId="38" borderId="275">
      <alignment horizontal="right" vertical="center"/>
    </xf>
    <xf numFmtId="0" fontId="33" fillId="0" borderId="273">
      <alignment horizontal="right" vertical="center"/>
    </xf>
    <xf numFmtId="0" fontId="35" fillId="36" borderId="273">
      <alignment horizontal="right" vertical="center"/>
    </xf>
    <xf numFmtId="0" fontId="33" fillId="37" borderId="273"/>
    <xf numFmtId="0" fontId="31" fillId="36" borderId="273">
      <alignment horizontal="right" vertical="center"/>
    </xf>
    <xf numFmtId="4" fontId="33" fillId="0" borderId="273" applyFill="0" applyBorder="0" applyProtection="0">
      <alignment horizontal="right" vertical="center"/>
    </xf>
    <xf numFmtId="0" fontId="1" fillId="30" borderId="0" applyNumberFormat="0" applyBorder="0" applyAlignment="0" applyProtection="0"/>
    <xf numFmtId="0" fontId="1" fillId="21"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1" fillId="19" borderId="0" applyNumberFormat="0" applyBorder="0" applyAlignment="0" applyProtection="0"/>
    <xf numFmtId="0" fontId="4" fillId="26" borderId="0" applyNumberFormat="0" applyBorder="0" applyAlignment="0" applyProtection="0"/>
    <xf numFmtId="0" fontId="1" fillId="34" borderId="0" applyNumberFormat="0" applyBorder="0" applyAlignment="0" applyProtection="0"/>
    <xf numFmtId="0" fontId="27" fillId="0" borderId="0" applyNumberFormat="0" applyFill="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0" fontId="1" fillId="25" borderId="0" applyNumberFormat="0" applyBorder="0" applyAlignment="0" applyProtection="0"/>
    <xf numFmtId="0" fontId="4" fillId="32" borderId="0" applyNumberFormat="0" applyBorder="0" applyAlignment="0" applyProtection="0"/>
    <xf numFmtId="0" fontId="1" fillId="21" borderId="0" applyNumberFormat="0" applyBorder="0" applyAlignment="0" applyProtection="0"/>
    <xf numFmtId="0" fontId="25" fillId="17" borderId="22" applyNumberFormat="0" applyAlignment="0" applyProtection="0"/>
    <xf numFmtId="0" fontId="1" fillId="31" borderId="0" applyNumberFormat="0" applyBorder="0" applyAlignment="0" applyProtection="0"/>
    <xf numFmtId="0" fontId="4" fillId="20"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3" fillId="0" borderId="23" applyNumberFormat="0" applyFill="0" applyAlignment="0" applyProtection="0"/>
    <xf numFmtId="0" fontId="1" fillId="34" borderId="0" applyNumberFormat="0" applyBorder="0" applyAlignment="0" applyProtection="0"/>
    <xf numFmtId="0" fontId="1" fillId="2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31" fillId="38" borderId="275">
      <alignment horizontal="right" vertical="center"/>
    </xf>
    <xf numFmtId="4" fontId="31" fillId="38" borderId="275">
      <alignment horizontal="right" vertical="center"/>
    </xf>
    <xf numFmtId="0" fontId="33" fillId="38" borderId="276">
      <alignment horizontal="left" vertical="center" wrapText="1" indent="2"/>
    </xf>
    <xf numFmtId="0" fontId="33" fillId="0" borderId="276">
      <alignment horizontal="left" vertical="center" wrapText="1" indent="2"/>
    </xf>
    <xf numFmtId="0" fontId="1" fillId="18" borderId="0" applyNumberFormat="0" applyBorder="0" applyAlignment="0" applyProtection="0"/>
    <xf numFmtId="0" fontId="27" fillId="0" borderId="0" applyNumberFormat="0" applyFill="0" applyBorder="0" applyAlignment="0" applyProtection="0"/>
    <xf numFmtId="0" fontId="1" fillId="33"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4" fillId="23"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2" borderId="0" applyNumberFormat="0" applyBorder="0" applyAlignment="0" applyProtection="0"/>
    <xf numFmtId="0" fontId="99" fillId="15" borderId="282" applyNumberFormat="0" applyAlignment="0" applyProtection="0"/>
    <xf numFmtId="0" fontId="35" fillId="36" borderId="299">
      <alignment horizontal="right" vertical="center"/>
    </xf>
    <xf numFmtId="0" fontId="4" fillId="26"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33" fillId="36" borderId="300">
      <alignment horizontal="left" vertical="center"/>
    </xf>
    <xf numFmtId="0" fontId="1" fillId="19" borderId="0" applyNumberFormat="0" applyBorder="0" applyAlignment="0" applyProtection="0"/>
    <xf numFmtId="0" fontId="63" fillId="0" borderId="297" applyNumberFormat="0" applyFill="0" applyAlignment="0" applyProtection="0"/>
    <xf numFmtId="177" fontId="33" fillId="63" borderId="299" applyNumberFormat="0" applyFont="0" applyBorder="0" applyAlignment="0" applyProtection="0">
      <alignment horizontal="right" vertical="center"/>
    </xf>
    <xf numFmtId="49" fontId="33" fillId="0" borderId="299" applyNumberFormat="0" applyFont="0" applyFill="0" applyBorder="0" applyProtection="0">
      <alignment horizontal="left" vertical="center" indent="2"/>
    </xf>
    <xf numFmtId="183" fontId="124" fillId="62" borderId="290" applyNumberFormat="0" applyFont="0" applyAlignment="0" applyProtection="0"/>
    <xf numFmtId="0" fontId="76" fillId="83" borderId="285" applyNumberFormat="0" applyFont="0" applyAlignment="0" applyProtection="0"/>
    <xf numFmtId="0" fontId="76" fillId="83" borderId="285" applyNumberFormat="0" applyFont="0" applyAlignment="0" applyProtection="0"/>
    <xf numFmtId="0" fontId="76" fillId="83" borderId="285" applyNumberFormat="0" applyFont="0" applyAlignment="0" applyProtection="0"/>
    <xf numFmtId="0" fontId="36" fillId="62" borderId="285" applyNumberFormat="0" applyFont="0" applyAlignment="0" applyProtection="0"/>
    <xf numFmtId="183" fontId="124" fillId="62" borderId="290" applyNumberFormat="0" applyFont="0" applyAlignment="0" applyProtection="0"/>
    <xf numFmtId="0" fontId="4" fillId="26" borderId="0" applyNumberFormat="0" applyBorder="0" applyAlignment="0" applyProtection="0"/>
    <xf numFmtId="0" fontId="31" fillId="36" borderId="299">
      <alignment horizontal="right" vertical="center"/>
    </xf>
    <xf numFmtId="0" fontId="33" fillId="0" borderId="299">
      <alignment horizontal="right" vertical="center"/>
    </xf>
    <xf numFmtId="0" fontId="60" fillId="59" borderId="295" applyNumberFormat="0" applyAlignment="0" applyProtection="0"/>
    <xf numFmtId="0" fontId="31" fillId="38" borderId="300">
      <alignment horizontal="right" vertical="center"/>
    </xf>
    <xf numFmtId="0" fontId="33" fillId="38" borderId="302">
      <alignment horizontal="left" vertical="center" wrapText="1" indent="2"/>
    </xf>
    <xf numFmtId="0" fontId="31" fillId="38" borderId="299">
      <alignment horizontal="right" vertical="center"/>
    </xf>
    <xf numFmtId="0" fontId="56" fillId="46" borderId="296" applyNumberFormat="0" applyAlignment="0" applyProtection="0"/>
    <xf numFmtId="0" fontId="33" fillId="0" borderId="302">
      <alignment horizontal="left" vertical="center" wrapText="1" indent="2"/>
    </xf>
    <xf numFmtId="4" fontId="33" fillId="0" borderId="299" applyFill="0" applyBorder="0" applyProtection="0">
      <alignment horizontal="right" vertical="center"/>
    </xf>
    <xf numFmtId="4" fontId="33" fillId="0" borderId="299">
      <alignment horizontal="right" vertical="center"/>
    </xf>
    <xf numFmtId="0" fontId="56" fillId="46" borderId="296" applyNumberFormat="0" applyAlignment="0" applyProtection="0"/>
    <xf numFmtId="0" fontId="44" fillId="59" borderId="296" applyNumberFormat="0" applyAlignment="0" applyProtection="0"/>
    <xf numFmtId="0" fontId="47" fillId="46" borderId="296" applyNumberFormat="0" applyAlignment="0" applyProtection="0"/>
    <xf numFmtId="0" fontId="56" fillId="46" borderId="296" applyNumberFormat="0" applyAlignment="0" applyProtection="0"/>
    <xf numFmtId="4" fontId="31" fillId="38" borderId="300">
      <alignment horizontal="right" vertical="center"/>
    </xf>
    <xf numFmtId="177" fontId="33" fillId="63" borderId="299" applyNumberFormat="0" applyFont="0" applyBorder="0" applyAlignment="0" applyProtection="0">
      <alignment horizontal="right" vertical="center"/>
    </xf>
    <xf numFmtId="0" fontId="33" fillId="0" borderId="299" applyNumberFormat="0" applyFill="0" applyAlignment="0" applyProtection="0"/>
    <xf numFmtId="0" fontId="33" fillId="0" borderId="299">
      <alignment horizontal="right" vertical="center"/>
    </xf>
    <xf numFmtId="4" fontId="33" fillId="0" borderId="299">
      <alignment horizontal="right" vertical="center"/>
    </xf>
    <xf numFmtId="0" fontId="38" fillId="62" borderId="298" applyNumberFormat="0" applyFont="0" applyAlignment="0" applyProtection="0"/>
    <xf numFmtId="49" fontId="33" fillId="0" borderId="299" applyNumberFormat="0" applyFont="0" applyFill="0" applyBorder="0" applyProtection="0">
      <alignment horizontal="left" vertical="center" indent="2"/>
    </xf>
    <xf numFmtId="0" fontId="33" fillId="37" borderId="299"/>
    <xf numFmtId="4" fontId="31" fillId="38" borderId="299">
      <alignment horizontal="right" vertical="center"/>
    </xf>
    <xf numFmtId="0" fontId="1" fillId="24" borderId="0" applyNumberFormat="0" applyBorder="0" applyAlignment="0" applyProtection="0"/>
    <xf numFmtId="0" fontId="31" fillId="38" borderId="299">
      <alignment horizontal="right" vertical="center"/>
    </xf>
    <xf numFmtId="49" fontId="33" fillId="0" borderId="300" applyNumberFormat="0" applyFont="0" applyFill="0" applyBorder="0" applyProtection="0">
      <alignment horizontal="left" vertical="center" indent="5"/>
    </xf>
    <xf numFmtId="0" fontId="1" fillId="24" borderId="0" applyNumberFormat="0" applyBorder="0" applyAlignment="0" applyProtection="0"/>
    <xf numFmtId="0" fontId="4" fillId="32"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44" fillId="59" borderId="296" applyNumberFormat="0" applyAlignment="0" applyProtection="0"/>
    <xf numFmtId="0" fontId="35" fillId="36" borderId="299">
      <alignment horizontal="right" vertical="center"/>
    </xf>
    <xf numFmtId="0" fontId="33" fillId="38" borderId="302">
      <alignment horizontal="left" vertical="center" wrapText="1" indent="2"/>
    </xf>
    <xf numFmtId="0" fontId="25" fillId="17" borderId="22" applyNumberFormat="0" applyAlignment="0" applyProtection="0"/>
    <xf numFmtId="0" fontId="4" fillId="20" borderId="0" applyNumberFormat="0" applyBorder="0" applyAlignment="0" applyProtection="0"/>
    <xf numFmtId="0" fontId="4" fillId="32" borderId="0" applyNumberFormat="0" applyBorder="0" applyAlignment="0" applyProtection="0"/>
    <xf numFmtId="0" fontId="31" fillId="36" borderId="299">
      <alignment horizontal="right" vertical="center"/>
    </xf>
    <xf numFmtId="49" fontId="33" fillId="0" borderId="299" applyNumberFormat="0" applyFont="0" applyFill="0" applyBorder="0" applyProtection="0">
      <alignment horizontal="left" vertical="center" indent="2"/>
    </xf>
    <xf numFmtId="0" fontId="33" fillId="38" borderId="302">
      <alignment horizontal="left" vertical="center" wrapText="1" indent="2"/>
    </xf>
    <xf numFmtId="0" fontId="48" fillId="0" borderId="297" applyNumberFormat="0" applyFill="0" applyAlignment="0" applyProtection="0"/>
    <xf numFmtId="49" fontId="32" fillId="0" borderId="299" applyNumberFormat="0" applyFill="0" applyBorder="0" applyProtection="0">
      <alignment horizontal="left" vertical="center"/>
    </xf>
    <xf numFmtId="49" fontId="33" fillId="0" borderId="300" applyNumberFormat="0" applyFont="0" applyFill="0" applyBorder="0" applyProtection="0">
      <alignment horizontal="left" vertical="center" indent="5"/>
    </xf>
    <xf numFmtId="4" fontId="31" fillId="38" borderId="301">
      <alignment horizontal="right" vertical="center"/>
    </xf>
    <xf numFmtId="0" fontId="56" fillId="46" borderId="296" applyNumberFormat="0" applyAlignment="0" applyProtection="0"/>
    <xf numFmtId="0" fontId="56" fillId="46" borderId="296" applyNumberFormat="0" applyAlignment="0" applyProtection="0"/>
    <xf numFmtId="49" fontId="33" fillId="0" borderId="299" applyNumberFormat="0" applyFont="0" applyFill="0" applyBorder="0" applyProtection="0">
      <alignment horizontal="left" vertical="center" indent="2"/>
    </xf>
    <xf numFmtId="49" fontId="33" fillId="0" borderId="300" applyNumberFormat="0" applyFont="0" applyFill="0" applyBorder="0" applyProtection="0">
      <alignment horizontal="left" vertical="center" indent="5"/>
    </xf>
    <xf numFmtId="49" fontId="32" fillId="0" borderId="299" applyNumberFormat="0" applyFill="0" applyBorder="0" applyProtection="0">
      <alignment horizontal="left" vertical="center"/>
    </xf>
    <xf numFmtId="0" fontId="41" fillId="59" borderId="295" applyNumberFormat="0" applyAlignment="0" applyProtection="0"/>
    <xf numFmtId="0" fontId="31" fillId="38" borderId="301">
      <alignment horizontal="right" vertical="center"/>
    </xf>
    <xf numFmtId="49" fontId="32" fillId="0" borderId="299" applyNumberFormat="0" applyFill="0" applyBorder="0" applyProtection="0">
      <alignment horizontal="left" vertical="center"/>
    </xf>
    <xf numFmtId="177" fontId="33" fillId="63" borderId="299" applyNumberFormat="0" applyFont="0" applyBorder="0" applyAlignment="0" applyProtection="0">
      <alignment horizontal="right" vertical="center"/>
    </xf>
    <xf numFmtId="0" fontId="44" fillId="59" borderId="296" applyNumberFormat="0" applyAlignment="0" applyProtection="0"/>
    <xf numFmtId="0" fontId="43" fillId="59" borderId="283" applyNumberFormat="0" applyAlignment="0" applyProtection="0"/>
    <xf numFmtId="0" fontId="41" fillId="59" borderId="282" applyNumberFormat="0" applyAlignment="0" applyProtection="0"/>
    <xf numFmtId="0" fontId="31" fillId="38" borderId="288">
      <alignment horizontal="right" vertical="center"/>
    </xf>
    <xf numFmtId="0" fontId="35" fillId="36" borderId="286">
      <alignment horizontal="right" vertical="center"/>
    </xf>
    <xf numFmtId="4" fontId="31" fillId="36" borderId="286">
      <alignment horizontal="right" vertical="center"/>
    </xf>
    <xf numFmtId="4" fontId="31" fillId="38" borderId="286">
      <alignment horizontal="right" vertical="center"/>
    </xf>
    <xf numFmtId="0" fontId="44" fillId="59" borderId="283" applyNumberFormat="0" applyAlignment="0" applyProtection="0"/>
    <xf numFmtId="0" fontId="56" fillId="46" borderId="283" applyNumberFormat="0" applyAlignment="0" applyProtection="0"/>
    <xf numFmtId="0" fontId="44" fillId="59" borderId="283" applyNumberFormat="0" applyAlignment="0" applyProtection="0"/>
    <xf numFmtId="0" fontId="41" fillId="59" borderId="282" applyNumberFormat="0" applyAlignment="0" applyProtection="0"/>
    <xf numFmtId="0" fontId="43" fillId="59" borderId="283" applyNumberFormat="0" applyAlignment="0" applyProtection="0"/>
    <xf numFmtId="0" fontId="33" fillId="37" borderId="286"/>
    <xf numFmtId="0" fontId="60" fillId="59" borderId="282" applyNumberFormat="0" applyAlignment="0" applyProtection="0"/>
    <xf numFmtId="0" fontId="41" fillId="59" borderId="282" applyNumberFormat="0" applyAlignment="0" applyProtection="0"/>
    <xf numFmtId="0" fontId="3" fillId="0" borderId="23" applyNumberFormat="0" applyFill="0" applyAlignment="0" applyProtection="0"/>
    <xf numFmtId="0" fontId="38" fillId="62" borderId="285" applyNumberFormat="0" applyFont="0" applyAlignment="0" applyProtection="0"/>
    <xf numFmtId="4" fontId="31" fillId="38" borderId="287">
      <alignment horizontal="right" vertical="center"/>
    </xf>
    <xf numFmtId="4" fontId="35" fillId="36" borderId="286">
      <alignment horizontal="right" vertical="center"/>
    </xf>
    <xf numFmtId="0" fontId="43" fillId="59" borderId="283" applyNumberFormat="0" applyAlignment="0" applyProtection="0"/>
    <xf numFmtId="4" fontId="33" fillId="0" borderId="286" applyFill="0" applyBorder="0" applyProtection="0">
      <alignment horizontal="right" vertical="center"/>
    </xf>
    <xf numFmtId="0" fontId="33" fillId="38" borderId="289">
      <alignment horizontal="left" vertical="center" wrapText="1" indent="2"/>
    </xf>
    <xf numFmtId="0" fontId="31" fillId="38" borderId="286">
      <alignment horizontal="right" vertical="center"/>
    </xf>
    <xf numFmtId="177" fontId="33" fillId="63" borderId="286" applyNumberFormat="0" applyFont="0" applyBorder="0" applyAlignment="0" applyProtection="0">
      <alignment horizontal="right" vertical="center"/>
    </xf>
    <xf numFmtId="0" fontId="1" fillId="25" borderId="0" applyNumberFormat="0" applyBorder="0" applyAlignment="0" applyProtection="0"/>
    <xf numFmtId="0" fontId="35" fillId="36" borderId="286">
      <alignment horizontal="right" vertical="center"/>
    </xf>
    <xf numFmtId="0" fontId="38" fillId="62" borderId="285" applyNumberFormat="0" applyFont="0" applyAlignment="0" applyProtection="0"/>
    <xf numFmtId="0" fontId="56" fillId="46" borderId="283" applyNumberFormat="0" applyAlignment="0" applyProtection="0"/>
    <xf numFmtId="4" fontId="35" fillId="36" borderId="286">
      <alignment horizontal="right" vertical="center"/>
    </xf>
    <xf numFmtId="0" fontId="43" fillId="59" borderId="283" applyNumberFormat="0" applyAlignment="0" applyProtection="0"/>
    <xf numFmtId="0" fontId="1" fillId="22" borderId="0" applyNumberFormat="0" applyBorder="0" applyAlignment="0" applyProtection="0"/>
    <xf numFmtId="4" fontId="31" fillId="38" borderId="287">
      <alignment horizontal="right" vertical="center"/>
    </xf>
    <xf numFmtId="0" fontId="1" fillId="27" borderId="0" applyNumberFormat="0" applyBorder="0" applyAlignment="0" applyProtection="0"/>
    <xf numFmtId="177" fontId="33" fillId="63" borderId="286" applyNumberFormat="0" applyFont="0" applyBorder="0" applyAlignment="0" applyProtection="0">
      <alignment horizontal="right" vertical="center"/>
    </xf>
    <xf numFmtId="0" fontId="47" fillId="46" borderId="283" applyNumberFormat="0" applyAlignment="0" applyProtection="0"/>
    <xf numFmtId="4" fontId="33" fillId="0" borderId="299" applyFill="0" applyBorder="0" applyProtection="0">
      <alignment horizontal="right" vertical="center"/>
    </xf>
    <xf numFmtId="0" fontId="33" fillId="38" borderId="302">
      <alignment horizontal="left" vertical="center" wrapText="1" indent="2"/>
    </xf>
    <xf numFmtId="0" fontId="56" fillId="46" borderId="296" applyNumberFormat="0" applyAlignment="0" applyProtection="0"/>
    <xf numFmtId="0" fontId="1" fillId="28" borderId="0" applyNumberFormat="0" applyBorder="0" applyAlignment="0" applyProtection="0"/>
    <xf numFmtId="0" fontId="4" fillId="20" borderId="0" applyNumberFormat="0" applyBorder="0" applyAlignment="0" applyProtection="0"/>
    <xf numFmtId="0" fontId="56" fillId="46" borderId="296" applyNumberFormat="0" applyAlignment="0" applyProtection="0"/>
    <xf numFmtId="0" fontId="4" fillId="26" borderId="0" applyNumberFormat="0" applyBorder="0" applyAlignment="0" applyProtection="0"/>
    <xf numFmtId="0" fontId="1" fillId="27" borderId="0" applyNumberFormat="0" applyBorder="0" applyAlignment="0" applyProtection="0"/>
    <xf numFmtId="0" fontId="1" fillId="25" borderId="0" applyNumberFormat="0" applyBorder="0" applyAlignment="0" applyProtection="0"/>
    <xf numFmtId="0" fontId="3" fillId="0" borderId="23" applyNumberFormat="0" applyFill="0" applyAlignment="0" applyProtection="0"/>
    <xf numFmtId="0" fontId="28" fillId="0" borderId="0" applyNumberFormat="0" applyFill="0" applyBorder="0" applyAlignment="0" applyProtection="0"/>
    <xf numFmtId="0" fontId="63" fillId="0" borderId="297" applyNumberFormat="0" applyFill="0" applyAlignment="0" applyProtection="0"/>
    <xf numFmtId="0" fontId="31" fillId="38" borderId="299">
      <alignment horizontal="right" vertical="center"/>
    </xf>
    <xf numFmtId="0" fontId="1" fillId="19" borderId="0" applyNumberFormat="0" applyBorder="0" applyAlignment="0" applyProtection="0"/>
    <xf numFmtId="0" fontId="47" fillId="46" borderId="296" applyNumberFormat="0" applyAlignment="0" applyProtection="0"/>
    <xf numFmtId="0" fontId="1" fillId="24" borderId="0" applyNumberFormat="0" applyBorder="0" applyAlignment="0" applyProtection="0"/>
    <xf numFmtId="0" fontId="31" fillId="38" borderId="299">
      <alignment horizontal="right" vertical="center"/>
    </xf>
    <xf numFmtId="0" fontId="28" fillId="0" borderId="0" applyNumberFormat="0" applyFill="0" applyBorder="0" applyAlignment="0" applyProtection="0"/>
    <xf numFmtId="4" fontId="35" fillId="36" borderId="299">
      <alignment horizontal="right" vertical="center"/>
    </xf>
    <xf numFmtId="0" fontId="31" fillId="36" borderId="299">
      <alignment horizontal="right" vertical="center"/>
    </xf>
    <xf numFmtId="0" fontId="1" fillId="18" borderId="0" applyNumberFormat="0" applyBorder="0" applyAlignment="0" applyProtection="0"/>
    <xf numFmtId="0" fontId="33" fillId="0" borderId="289">
      <alignment horizontal="left" vertical="center" wrapText="1" indent="2"/>
    </xf>
    <xf numFmtId="0" fontId="1" fillId="34" borderId="0" applyNumberFormat="0" applyBorder="0" applyAlignment="0" applyProtection="0"/>
    <xf numFmtId="0" fontId="48" fillId="0" borderId="297" applyNumberFormat="0" applyFill="0" applyAlignment="0" applyProtection="0"/>
    <xf numFmtId="0" fontId="56" fillId="46" borderId="296" applyNumberFormat="0" applyAlignment="0" applyProtection="0"/>
    <xf numFmtId="0" fontId="33" fillId="0" borderId="286" applyNumberFormat="0" applyFill="0" applyAlignment="0" applyProtection="0"/>
    <xf numFmtId="0" fontId="33" fillId="37" borderId="299"/>
    <xf numFmtId="17" fontId="127" fillId="82" borderId="299">
      <alignment horizontal="center"/>
      <protection locked="0"/>
    </xf>
    <xf numFmtId="0" fontId="1" fillId="30" borderId="0" applyNumberFormat="0" applyBorder="0" applyAlignment="0" applyProtection="0"/>
    <xf numFmtId="0" fontId="1" fillId="30" borderId="0" applyNumberFormat="0" applyBorder="0" applyAlignment="0" applyProtection="0"/>
    <xf numFmtId="49" fontId="32" fillId="0" borderId="286" applyNumberFormat="0" applyFill="0" applyBorder="0" applyProtection="0">
      <alignment horizontal="left" vertical="center"/>
    </xf>
    <xf numFmtId="0" fontId="1" fillId="22" borderId="0" applyNumberFormat="0" applyBorder="0" applyAlignment="0" applyProtection="0"/>
    <xf numFmtId="4" fontId="31" fillId="36" borderId="286">
      <alignment horizontal="right" vertical="center"/>
    </xf>
    <xf numFmtId="0" fontId="44" fillId="59" borderId="283" applyNumberFormat="0" applyAlignment="0" applyProtection="0"/>
    <xf numFmtId="0" fontId="1" fillId="18" borderId="0" applyNumberFormat="0" applyBorder="0" applyAlignment="0" applyProtection="0"/>
    <xf numFmtId="0" fontId="1" fillId="30" borderId="0" applyNumberFormat="0" applyBorder="0" applyAlignment="0" applyProtection="0"/>
    <xf numFmtId="0" fontId="48" fillId="0" borderId="284" applyNumberFormat="0" applyFill="0" applyAlignment="0" applyProtection="0"/>
    <xf numFmtId="0" fontId="4" fillId="26" borderId="0" applyNumberFormat="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0" fontId="43" fillId="59" borderId="296" applyNumberFormat="0" applyAlignment="0" applyProtection="0"/>
    <xf numFmtId="0" fontId="1" fillId="18" borderId="0" applyNumberFormat="0" applyBorder="0" applyAlignment="0" applyProtection="0"/>
    <xf numFmtId="0" fontId="1" fillId="28" borderId="0" applyNumberFormat="0" applyBorder="0" applyAlignment="0" applyProtection="0"/>
    <xf numFmtId="0" fontId="31" fillId="38" borderId="286">
      <alignment horizontal="right" vertical="center"/>
    </xf>
    <xf numFmtId="0" fontId="1" fillId="34" borderId="0" applyNumberFormat="0" applyBorder="0" applyAlignment="0" applyProtection="0"/>
    <xf numFmtId="0" fontId="1" fillId="1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27" fillId="0" borderId="0" applyNumberFormat="0" applyFill="0" applyBorder="0" applyAlignment="0" applyProtection="0"/>
    <xf numFmtId="0" fontId="4" fillId="35" borderId="0" applyNumberFormat="0" applyBorder="0" applyAlignment="0" applyProtection="0"/>
    <xf numFmtId="4" fontId="33" fillId="37" borderId="286"/>
    <xf numFmtId="0" fontId="63" fillId="0" borderId="284" applyNumberFormat="0" applyFill="0" applyAlignment="0" applyProtection="0"/>
    <xf numFmtId="0" fontId="4" fillId="26" borderId="0" applyNumberFormat="0" applyBorder="0" applyAlignment="0" applyProtection="0"/>
    <xf numFmtId="0" fontId="1" fillId="28" borderId="0" applyNumberFormat="0" applyBorder="0" applyAlignment="0" applyProtection="0"/>
    <xf numFmtId="49" fontId="33" fillId="0" borderId="299" applyNumberFormat="0" applyFont="0" applyFill="0" applyBorder="0" applyProtection="0">
      <alignment horizontal="left" vertical="center" indent="2"/>
    </xf>
    <xf numFmtId="0" fontId="4" fillId="32" borderId="0" applyNumberFormat="0" applyBorder="0" applyAlignment="0" applyProtection="0"/>
    <xf numFmtId="0" fontId="33" fillId="0" borderId="289">
      <alignment horizontal="left" vertical="center" wrapText="1" indent="2"/>
    </xf>
    <xf numFmtId="0" fontId="28" fillId="0" borderId="0" applyNumberFormat="0" applyFill="0" applyBorder="0" applyAlignment="0" applyProtection="0"/>
    <xf numFmtId="0" fontId="4" fillId="35" borderId="0" applyNumberFormat="0" applyBorder="0" applyAlignment="0" applyProtection="0"/>
    <xf numFmtId="0" fontId="31" fillId="38" borderId="286">
      <alignment horizontal="right" vertical="center"/>
    </xf>
    <xf numFmtId="0" fontId="31" fillId="38" borderId="287">
      <alignment horizontal="right" vertical="center"/>
    </xf>
    <xf numFmtId="0" fontId="19" fillId="62" borderId="285" applyNumberFormat="0" applyFont="0" applyAlignment="0" applyProtection="0"/>
    <xf numFmtId="0" fontId="1" fillId="21" borderId="0" applyNumberFormat="0" applyBorder="0" applyAlignment="0" applyProtection="0"/>
    <xf numFmtId="0" fontId="1" fillId="31" borderId="0" applyNumberFormat="0" applyBorder="0" applyAlignment="0" applyProtection="0"/>
    <xf numFmtId="0" fontId="4" fillId="29" borderId="0" applyNumberFormat="0" applyBorder="0" applyAlignment="0" applyProtection="0"/>
    <xf numFmtId="4" fontId="31" fillId="38" borderId="286">
      <alignment horizontal="right" vertical="center"/>
    </xf>
    <xf numFmtId="0" fontId="1" fillId="19" borderId="0" applyNumberFormat="0" applyBorder="0" applyAlignment="0" applyProtection="0"/>
    <xf numFmtId="4" fontId="35" fillId="36" borderId="299">
      <alignment horizontal="right" vertical="center"/>
    </xf>
    <xf numFmtId="0" fontId="1" fillId="34" borderId="0" applyNumberFormat="0" applyBorder="0" applyAlignment="0" applyProtection="0"/>
    <xf numFmtId="0" fontId="1" fillId="21" borderId="0" applyNumberFormat="0" applyBorder="0" applyAlignment="0" applyProtection="0"/>
    <xf numFmtId="0" fontId="3" fillId="0" borderId="23" applyNumberFormat="0" applyFill="0" applyAlignment="0" applyProtection="0"/>
    <xf numFmtId="4" fontId="31" fillId="36" borderId="299">
      <alignment horizontal="right" vertical="center"/>
    </xf>
    <xf numFmtId="0" fontId="33" fillId="0" borderId="286" applyNumberFormat="0" applyFill="0" applyAlignment="0" applyProtection="0"/>
    <xf numFmtId="0" fontId="31" fillId="38" borderId="301">
      <alignment horizontal="right" vertical="center"/>
    </xf>
    <xf numFmtId="0" fontId="1" fillId="31" borderId="0" applyNumberFormat="0" applyBorder="0" applyAlignment="0" applyProtection="0"/>
    <xf numFmtId="0" fontId="35" fillId="36" borderId="299">
      <alignment horizontal="right" vertical="center"/>
    </xf>
    <xf numFmtId="0" fontId="33" fillId="37" borderId="299"/>
    <xf numFmtId="0" fontId="3" fillId="0" borderId="23" applyNumberFormat="0" applyFill="0" applyAlignment="0" applyProtection="0"/>
    <xf numFmtId="0" fontId="4" fillId="32" borderId="0" applyNumberFormat="0" applyBorder="0" applyAlignment="0" applyProtection="0"/>
    <xf numFmtId="177" fontId="33" fillId="63" borderId="299" applyNumberFormat="0" applyFont="0" applyBorder="0" applyAlignment="0" applyProtection="0">
      <alignment horizontal="right" vertical="center"/>
    </xf>
    <xf numFmtId="0" fontId="1" fillId="25" borderId="0" applyNumberFormat="0" applyBorder="0" applyAlignment="0" applyProtection="0"/>
    <xf numFmtId="0" fontId="27" fillId="0" borderId="0" applyNumberFormat="0" applyFill="0" applyBorder="0" applyAlignment="0" applyProtection="0"/>
    <xf numFmtId="0" fontId="33" fillId="37" borderId="299"/>
    <xf numFmtId="0" fontId="1" fillId="34" borderId="0" applyNumberFormat="0" applyBorder="0" applyAlignment="0" applyProtection="0"/>
    <xf numFmtId="0" fontId="1" fillId="28" borderId="0" applyNumberFormat="0" applyBorder="0" applyAlignment="0" applyProtection="0"/>
    <xf numFmtId="0" fontId="56" fillId="46" borderId="296" applyNumberFormat="0" applyAlignment="0" applyProtection="0"/>
    <xf numFmtId="0" fontId="63" fillId="0" borderId="297" applyNumberFormat="0" applyFill="0" applyAlignment="0" applyProtection="0"/>
    <xf numFmtId="4" fontId="31" fillId="38" borderId="299">
      <alignment horizontal="right" vertical="center"/>
    </xf>
    <xf numFmtId="0" fontId="1" fillId="28" borderId="0" applyNumberFormat="0" applyBorder="0" applyAlignment="0" applyProtection="0"/>
    <xf numFmtId="4" fontId="31" fillId="36" borderId="299">
      <alignment horizontal="right" vertical="center"/>
    </xf>
    <xf numFmtId="4" fontId="33" fillId="0" borderId="286" applyFill="0" applyBorder="0" applyProtection="0">
      <alignment horizontal="right" vertical="center"/>
    </xf>
    <xf numFmtId="0" fontId="28" fillId="0" borderId="0" applyNumberFormat="0" applyFill="0" applyBorder="0" applyAlignment="0" applyProtection="0"/>
    <xf numFmtId="0" fontId="25" fillId="17" borderId="22" applyNumberFormat="0" applyAlignment="0" applyProtection="0"/>
    <xf numFmtId="0" fontId="4" fillId="23" borderId="0" applyNumberFormat="0" applyBorder="0" applyAlignment="0" applyProtection="0"/>
    <xf numFmtId="0" fontId="1" fillId="18" borderId="0" applyNumberFormat="0" applyBorder="0" applyAlignment="0" applyProtection="0"/>
    <xf numFmtId="0" fontId="31" fillId="36" borderId="299">
      <alignment horizontal="right" vertical="center"/>
    </xf>
    <xf numFmtId="0" fontId="47" fillId="46" borderId="296" applyNumberFormat="0" applyAlignment="0" applyProtection="0"/>
    <xf numFmtId="4" fontId="31" fillId="38" borderId="299">
      <alignment horizontal="right" vertical="center"/>
    </xf>
    <xf numFmtId="0" fontId="1" fillId="2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28" fillId="0" borderId="0" applyNumberFormat="0" applyFill="0" applyBorder="0" applyAlignment="0" applyProtection="0"/>
    <xf numFmtId="0" fontId="33" fillId="0" borderId="299">
      <alignment horizontal="right" vertical="center"/>
    </xf>
    <xf numFmtId="0" fontId="35" fillId="36" borderId="299">
      <alignment horizontal="right" vertical="center"/>
    </xf>
    <xf numFmtId="0" fontId="41" fillId="59" borderId="282" applyNumberFormat="0" applyAlignment="0" applyProtection="0"/>
    <xf numFmtId="0" fontId="33" fillId="36" borderId="287">
      <alignment horizontal="left" vertical="center"/>
    </xf>
    <xf numFmtId="0" fontId="33" fillId="38" borderId="302">
      <alignment horizontal="left" vertical="center" wrapText="1" indent="2"/>
    </xf>
    <xf numFmtId="0" fontId="79" fillId="15" borderId="283" applyNumberFormat="0" applyAlignment="0" applyProtection="0"/>
    <xf numFmtId="0" fontId="4" fillId="29" borderId="0" applyNumberFormat="0" applyBorder="0" applyAlignment="0" applyProtection="0"/>
    <xf numFmtId="0" fontId="35" fillId="36" borderId="299">
      <alignment horizontal="right" vertical="center"/>
    </xf>
    <xf numFmtId="0" fontId="1" fillId="31" borderId="0" applyNumberFormat="0" applyBorder="0" applyAlignment="0" applyProtection="0"/>
    <xf numFmtId="0" fontId="1" fillId="22" borderId="0" applyNumberFormat="0" applyBorder="0" applyAlignment="0" applyProtection="0"/>
    <xf numFmtId="2" fontId="80" fillId="1" borderId="292" applyNumberFormat="0" applyBorder="0" applyProtection="0">
      <alignment horizontal="left"/>
    </xf>
    <xf numFmtId="0" fontId="1" fillId="27" borderId="0" applyNumberFormat="0" applyBorder="0" applyAlignment="0" applyProtection="0"/>
    <xf numFmtId="0" fontId="63" fillId="0" borderId="297" applyNumberFormat="0" applyFill="0" applyAlignment="0" applyProtection="0"/>
    <xf numFmtId="0" fontId="4" fillId="23" borderId="0" applyNumberFormat="0" applyBorder="0" applyAlignment="0" applyProtection="0"/>
    <xf numFmtId="0" fontId="63" fillId="0" borderId="284" applyNumberFormat="0" applyFill="0" applyAlignment="0" applyProtection="0"/>
    <xf numFmtId="0" fontId="31" fillId="38" borderId="299">
      <alignment horizontal="right" vertical="center"/>
    </xf>
    <xf numFmtId="0" fontId="27" fillId="0" borderId="0" applyNumberFormat="0" applyFill="0" applyBorder="0" applyAlignment="0" applyProtection="0"/>
    <xf numFmtId="0" fontId="1" fillId="27" borderId="0" applyNumberFormat="0" applyBorder="0" applyAlignment="0" applyProtection="0"/>
    <xf numFmtId="4" fontId="33" fillId="0" borderId="299">
      <alignment horizontal="right" vertical="center"/>
    </xf>
    <xf numFmtId="0" fontId="47" fillId="46" borderId="296" applyNumberFormat="0" applyAlignment="0" applyProtection="0"/>
    <xf numFmtId="0" fontId="31" fillId="38" borderId="299">
      <alignment horizontal="right" vertical="center"/>
    </xf>
    <xf numFmtId="0" fontId="1" fillId="25" borderId="0" applyNumberFormat="0" applyBorder="0" applyAlignment="0" applyProtection="0"/>
    <xf numFmtId="0" fontId="43" fillId="59" borderId="283" applyNumberFormat="0" applyAlignment="0" applyProtection="0"/>
    <xf numFmtId="0" fontId="44" fillId="59" borderId="283" applyNumberFormat="0" applyAlignment="0" applyProtection="0"/>
    <xf numFmtId="0" fontId="1" fillId="19" borderId="0" applyNumberFormat="0" applyBorder="0" applyAlignment="0" applyProtection="0"/>
    <xf numFmtId="0" fontId="33" fillId="37" borderId="286"/>
    <xf numFmtId="0" fontId="4" fillId="26" borderId="0" applyNumberFormat="0" applyBorder="0" applyAlignment="0" applyProtection="0"/>
    <xf numFmtId="0" fontId="56" fillId="46" borderId="296" applyNumberFormat="0" applyAlignment="0" applyProtection="0"/>
    <xf numFmtId="0" fontId="56" fillId="46" borderId="283" applyNumberFormat="0" applyAlignment="0" applyProtection="0"/>
    <xf numFmtId="0" fontId="79" fillId="15" borderId="283" applyNumberFormat="0" applyAlignment="0" applyProtection="0"/>
    <xf numFmtId="0" fontId="56" fillId="46" borderId="296" applyNumberFormat="0" applyAlignment="0" applyProtection="0"/>
    <xf numFmtId="0" fontId="139" fillId="0" borderId="294">
      <alignment horizontal="left" vertical="center"/>
    </xf>
    <xf numFmtId="0" fontId="44" fillId="59" borderId="283" applyNumberFormat="0" applyAlignment="0" applyProtection="0"/>
    <xf numFmtId="0" fontId="31" fillId="38" borderId="286">
      <alignment horizontal="right" vertical="center"/>
    </xf>
    <xf numFmtId="0" fontId="1" fillId="24" borderId="0" applyNumberFormat="0" applyBorder="0" applyAlignment="0" applyProtection="0"/>
    <xf numFmtId="0" fontId="1" fillId="22" borderId="0" applyNumberFormat="0" applyBorder="0" applyAlignment="0" applyProtection="0"/>
    <xf numFmtId="183" fontId="139" fillId="0" borderId="281">
      <alignment horizontal="left" vertical="center"/>
    </xf>
    <xf numFmtId="49" fontId="32" fillId="0" borderId="299" applyNumberFormat="0" applyFill="0" applyBorder="0" applyProtection="0">
      <alignment horizontal="left" vertical="center"/>
    </xf>
    <xf numFmtId="0" fontId="27" fillId="0" borderId="0" applyNumberFormat="0" applyFill="0" applyBorder="0" applyAlignment="0" applyProtection="0"/>
    <xf numFmtId="0" fontId="1" fillId="25" borderId="0" applyNumberFormat="0" applyBorder="0" applyAlignment="0" applyProtection="0"/>
    <xf numFmtId="0" fontId="47" fillId="46" borderId="283" applyNumberFormat="0" applyAlignment="0" applyProtection="0"/>
    <xf numFmtId="0" fontId="41" fillId="59" borderId="282" applyNumberFormat="0" applyAlignment="0" applyProtection="0"/>
    <xf numFmtId="0" fontId="19" fillId="62" borderId="298" applyNumberFormat="0" applyFont="0" applyAlignment="0" applyProtection="0"/>
    <xf numFmtId="0" fontId="31" fillId="36" borderId="286">
      <alignment horizontal="right" vertical="center"/>
    </xf>
    <xf numFmtId="0" fontId="28" fillId="0" borderId="0" applyNumberFormat="0" applyFill="0" applyBorder="0" applyAlignment="0" applyProtection="0"/>
    <xf numFmtId="0" fontId="41" fillId="59" borderId="295" applyNumberFormat="0" applyAlignment="0" applyProtection="0"/>
    <xf numFmtId="0" fontId="33" fillId="0" borderId="286" applyNumberFormat="0" applyFill="0" applyAlignment="0" applyProtection="0"/>
    <xf numFmtId="0" fontId="26" fillId="17" borderId="10" applyNumberFormat="0" applyAlignment="0" applyProtection="0"/>
    <xf numFmtId="0" fontId="31" fillId="38" borderId="299">
      <alignment horizontal="right" vertical="center"/>
    </xf>
    <xf numFmtId="0" fontId="56" fillId="46" borderId="283" applyNumberFormat="0" applyAlignment="0" applyProtection="0"/>
    <xf numFmtId="0" fontId="33" fillId="37" borderId="299"/>
    <xf numFmtId="0" fontId="31" fillId="36" borderId="286">
      <alignment horizontal="right" vertical="center"/>
    </xf>
    <xf numFmtId="0" fontId="1" fillId="25" borderId="0" applyNumberFormat="0" applyBorder="0" applyAlignment="0" applyProtection="0"/>
    <xf numFmtId="0" fontId="47" fillId="46" borderId="283" applyNumberFormat="0" applyAlignment="0" applyProtection="0"/>
    <xf numFmtId="4" fontId="31" fillId="38" borderId="299">
      <alignment horizontal="right" vertical="center"/>
    </xf>
    <xf numFmtId="2" fontId="80" fillId="1" borderId="279" applyNumberFormat="0" applyBorder="0" applyProtection="0">
      <alignment horizontal="left"/>
    </xf>
    <xf numFmtId="0" fontId="43" fillId="59" borderId="283" applyNumberFormat="0" applyAlignment="0" applyProtection="0"/>
    <xf numFmtId="0" fontId="26" fillId="17" borderId="10" applyNumberFormat="0" applyAlignment="0" applyProtection="0"/>
    <xf numFmtId="0" fontId="4" fillId="29" borderId="0" applyNumberFormat="0" applyBorder="0" applyAlignment="0" applyProtection="0"/>
    <xf numFmtId="4" fontId="31" fillId="38" borderId="301">
      <alignment horizontal="right" vertical="center"/>
    </xf>
    <xf numFmtId="0" fontId="1" fillId="28" borderId="0" applyNumberFormat="0" applyBorder="0" applyAlignment="0" applyProtection="0"/>
    <xf numFmtId="0" fontId="63" fillId="0" borderId="297" applyNumberFormat="0" applyFill="0" applyAlignment="0" applyProtection="0"/>
    <xf numFmtId="0" fontId="33" fillId="0" borderId="302">
      <alignment horizontal="left" vertical="center" wrapText="1" indent="2"/>
    </xf>
    <xf numFmtId="198" fontId="19" fillId="82" borderId="299">
      <alignment horizontal="right"/>
      <protection locked="0"/>
    </xf>
    <xf numFmtId="0" fontId="96" fillId="38" borderId="296" applyNumberFormat="0" applyAlignment="0" applyProtection="0"/>
    <xf numFmtId="0" fontId="1" fillId="27" borderId="0" applyNumberFormat="0" applyBorder="0" applyAlignment="0" applyProtection="0"/>
    <xf numFmtId="0" fontId="4" fillId="26" borderId="0" applyNumberFormat="0" applyBorder="0" applyAlignment="0" applyProtection="0"/>
    <xf numFmtId="0" fontId="4" fillId="35" borderId="0" applyNumberFormat="0" applyBorder="0" applyAlignment="0" applyProtection="0"/>
    <xf numFmtId="0" fontId="63" fillId="0" borderId="297" applyNumberFormat="0" applyFill="0" applyAlignment="0" applyProtection="0"/>
    <xf numFmtId="0" fontId="4" fillId="35" borderId="0" applyNumberFormat="0" applyBorder="0" applyAlignment="0" applyProtection="0"/>
    <xf numFmtId="0" fontId="31" fillId="38" borderId="300">
      <alignment horizontal="right" vertical="center"/>
    </xf>
    <xf numFmtId="0" fontId="1" fillId="33" borderId="0" applyNumberFormat="0" applyBorder="0" applyAlignment="0" applyProtection="0"/>
    <xf numFmtId="0" fontId="4" fillId="35" borderId="0" applyNumberFormat="0" applyBorder="0" applyAlignment="0" applyProtection="0"/>
    <xf numFmtId="0" fontId="28" fillId="0" borderId="0" applyNumberFormat="0" applyFill="0" applyBorder="0" applyAlignment="0" applyProtection="0"/>
    <xf numFmtId="0" fontId="1" fillId="33" borderId="0" applyNumberFormat="0" applyBorder="0" applyAlignment="0" applyProtection="0"/>
    <xf numFmtId="0" fontId="38" fillId="62" borderId="298" applyNumberFormat="0" applyFont="0" applyAlignment="0" applyProtection="0"/>
    <xf numFmtId="0" fontId="1" fillId="19" borderId="0" applyNumberFormat="0" applyBorder="0" applyAlignment="0" applyProtection="0"/>
    <xf numFmtId="0" fontId="1" fillId="22" borderId="0" applyNumberFormat="0" applyBorder="0" applyAlignment="0" applyProtection="0"/>
    <xf numFmtId="0" fontId="44" fillId="59" borderId="296" applyNumberFormat="0" applyAlignment="0" applyProtection="0"/>
    <xf numFmtId="0" fontId="1" fillId="30" borderId="0" applyNumberFormat="0" applyBorder="0" applyAlignment="0" applyProtection="0"/>
    <xf numFmtId="0" fontId="4" fillId="26" borderId="0" applyNumberFormat="0" applyBorder="0" applyAlignment="0" applyProtection="0"/>
    <xf numFmtId="0" fontId="1" fillId="22" borderId="0" applyNumberFormat="0" applyBorder="0" applyAlignment="0" applyProtection="0"/>
    <xf numFmtId="4" fontId="31" fillId="38" borderId="299">
      <alignment horizontal="right" vertical="center"/>
    </xf>
    <xf numFmtId="0" fontId="4" fillId="29" borderId="0" applyNumberFormat="0" applyBorder="0" applyAlignment="0" applyProtection="0"/>
    <xf numFmtId="0" fontId="26" fillId="17" borderId="10" applyNumberFormat="0" applyAlignment="0" applyProtection="0"/>
    <xf numFmtId="0" fontId="63" fillId="0" borderId="284" applyNumberFormat="0" applyFill="0" applyAlignment="0" applyProtection="0"/>
    <xf numFmtId="0" fontId="44" fillId="59" borderId="296" applyNumberFormat="0" applyAlignment="0" applyProtection="0"/>
    <xf numFmtId="0" fontId="33" fillId="38" borderId="289">
      <alignment horizontal="left" vertical="center" wrapText="1" indent="2"/>
    </xf>
    <xf numFmtId="0" fontId="1" fillId="27" borderId="0" applyNumberFormat="0" applyBorder="0" applyAlignment="0" applyProtection="0"/>
    <xf numFmtId="0" fontId="38" fillId="62" borderId="285" applyNumberFormat="0" applyFont="0" applyAlignment="0" applyProtection="0"/>
    <xf numFmtId="0" fontId="44" fillId="59" borderId="296" applyNumberFormat="0" applyAlignment="0" applyProtection="0"/>
    <xf numFmtId="0" fontId="28" fillId="0" borderId="0" applyNumberFormat="0" applyFill="0" applyBorder="0" applyAlignment="0" applyProtection="0"/>
    <xf numFmtId="0" fontId="63" fillId="0" borderId="297" applyNumberFormat="0" applyFill="0" applyAlignment="0" applyProtection="0"/>
    <xf numFmtId="0" fontId="33" fillId="38" borderId="302">
      <alignment horizontal="left" vertical="center" wrapText="1" indent="2"/>
    </xf>
    <xf numFmtId="0" fontId="1" fillId="18" borderId="0" applyNumberFormat="0" applyBorder="0" applyAlignment="0" applyProtection="0"/>
    <xf numFmtId="49" fontId="32" fillId="0" borderId="286" applyNumberFormat="0" applyFill="0" applyBorder="0" applyProtection="0">
      <alignment horizontal="left" vertical="center"/>
    </xf>
    <xf numFmtId="0" fontId="4" fillId="3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4"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4" fillId="26" borderId="0" applyNumberFormat="0" applyBorder="0" applyAlignment="0" applyProtection="0"/>
    <xf numFmtId="0" fontId="1" fillId="24"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1" fillId="22" borderId="0" applyNumberFormat="0" applyBorder="0" applyAlignment="0" applyProtection="0"/>
    <xf numFmtId="0" fontId="4" fillId="2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3" fillId="0" borderId="23" applyNumberFormat="0" applyFill="0" applyAlignment="0" applyProtection="0"/>
    <xf numFmtId="0" fontId="27" fillId="0" borderId="0" applyNumberFormat="0" applyFill="0" applyBorder="0" applyAlignment="0" applyProtection="0"/>
    <xf numFmtId="0" fontId="26" fillId="17" borderId="10" applyNumberFormat="0" applyAlignment="0" applyProtection="0"/>
    <xf numFmtId="0" fontId="1" fillId="34" borderId="0" applyNumberFormat="0" applyBorder="0" applyAlignment="0" applyProtection="0"/>
    <xf numFmtId="0" fontId="1" fillId="21" borderId="0" applyNumberFormat="0" applyBorder="0" applyAlignment="0" applyProtection="0"/>
    <xf numFmtId="0" fontId="33" fillId="38" borderId="302">
      <alignment horizontal="left" vertical="center" wrapText="1" indent="2"/>
    </xf>
    <xf numFmtId="213" fontId="30" fillId="59" borderId="281" applyAlignment="0" applyProtection="0"/>
    <xf numFmtId="4" fontId="31" fillId="38" borderId="288">
      <alignment horizontal="right" vertical="center"/>
    </xf>
    <xf numFmtId="4" fontId="33" fillId="37" borderId="299"/>
    <xf numFmtId="49" fontId="33" fillId="0" borderId="300" applyNumberFormat="0" applyFont="0" applyFill="0" applyBorder="0" applyProtection="0">
      <alignment horizontal="left" vertical="center" indent="5"/>
    </xf>
    <xf numFmtId="0" fontId="99" fillId="15" borderId="295" applyNumberFormat="0" applyAlignment="0" applyProtection="0"/>
    <xf numFmtId="4" fontId="33" fillId="0" borderId="286" applyFill="0" applyBorder="0" applyProtection="0">
      <alignment horizontal="right" vertical="center"/>
    </xf>
    <xf numFmtId="0" fontId="1" fillId="19" borderId="0" applyNumberFormat="0" applyBorder="0" applyAlignment="0" applyProtection="0"/>
    <xf numFmtId="0" fontId="44" fillId="59" borderId="283" applyNumberFormat="0" applyAlignment="0" applyProtection="0"/>
    <xf numFmtId="4" fontId="82" fillId="0" borderId="280" applyNumberFormat="0" applyFont="0" applyFill="0" applyAlignment="0" applyProtection="0"/>
    <xf numFmtId="0" fontId="4" fillId="35" borderId="0" applyNumberFormat="0" applyBorder="0" applyAlignment="0" applyProtection="0"/>
    <xf numFmtId="0" fontId="96" fillId="38" borderId="283" applyNumberFormat="0" applyAlignment="0" applyProtection="0"/>
    <xf numFmtId="0" fontId="44" fillId="59" borderId="296" applyNumberFormat="0" applyAlignment="0" applyProtection="0"/>
    <xf numFmtId="0" fontId="1" fillId="21" borderId="0" applyNumberFormat="0" applyBorder="0" applyAlignment="0" applyProtection="0"/>
    <xf numFmtId="0" fontId="1" fillId="19" borderId="0" applyNumberFormat="0" applyBorder="0" applyAlignment="0" applyProtection="0"/>
    <xf numFmtId="4" fontId="31" fillId="38" borderId="300">
      <alignment horizontal="right" vertical="center"/>
    </xf>
    <xf numFmtId="0" fontId="4" fillId="23" borderId="0" applyNumberFormat="0" applyBorder="0" applyAlignment="0" applyProtection="0"/>
    <xf numFmtId="4" fontId="31" fillId="36" borderId="299">
      <alignment horizontal="right" vertical="center"/>
    </xf>
    <xf numFmtId="0" fontId="48" fillId="0" borderId="284" applyNumberFormat="0" applyFill="0" applyAlignment="0" applyProtection="0"/>
    <xf numFmtId="4" fontId="31" fillId="38" borderId="287">
      <alignment horizontal="right" vertical="center"/>
    </xf>
    <xf numFmtId="0" fontId="1" fillId="28" borderId="0" applyNumberFormat="0" applyBorder="0" applyAlignment="0" applyProtection="0"/>
    <xf numFmtId="0" fontId="44" fillId="59" borderId="283" applyNumberFormat="0" applyAlignment="0" applyProtection="0"/>
    <xf numFmtId="0" fontId="44" fillId="59" borderId="283" applyNumberFormat="0" applyAlignment="0" applyProtection="0"/>
    <xf numFmtId="0" fontId="1" fillId="33" borderId="0" applyNumberFormat="0" applyBorder="0" applyAlignment="0" applyProtection="0"/>
    <xf numFmtId="0" fontId="33" fillId="38" borderId="289">
      <alignment horizontal="left" vertical="center" wrapText="1" indent="2"/>
    </xf>
    <xf numFmtId="0" fontId="4" fillId="20" borderId="0" applyNumberFormat="0" applyBorder="0" applyAlignment="0" applyProtection="0"/>
    <xf numFmtId="0" fontId="33" fillId="0" borderId="299">
      <alignment horizontal="right" vertical="center"/>
    </xf>
    <xf numFmtId="0" fontId="38" fillId="62" borderId="298" applyNumberFormat="0" applyFont="0" applyAlignment="0" applyProtection="0"/>
    <xf numFmtId="0" fontId="48" fillId="0" borderId="284" applyNumberFormat="0" applyFill="0" applyAlignment="0" applyProtection="0"/>
    <xf numFmtId="0" fontId="26" fillId="17" borderId="10" applyNumberFormat="0" applyAlignment="0" applyProtection="0"/>
    <xf numFmtId="183" fontId="139" fillId="0" borderId="281">
      <alignment horizontal="left" vertical="center"/>
    </xf>
    <xf numFmtId="0" fontId="4" fillId="20" borderId="0" applyNumberFormat="0" applyBorder="0" applyAlignment="0" applyProtection="0"/>
    <xf numFmtId="0" fontId="1" fillId="24" borderId="0" applyNumberFormat="0" applyBorder="0" applyAlignment="0" applyProtection="0"/>
    <xf numFmtId="0" fontId="44" fillId="59" borderId="296" applyNumberFormat="0" applyAlignment="0" applyProtection="0"/>
    <xf numFmtId="0" fontId="31" fillId="36" borderId="299">
      <alignment horizontal="right" vertical="center"/>
    </xf>
    <xf numFmtId="0" fontId="26" fillId="17" borderId="10" applyNumberFormat="0" applyAlignment="0" applyProtection="0"/>
    <xf numFmtId="0" fontId="63" fillId="0" borderId="284" applyNumberFormat="0" applyFill="0" applyAlignment="0" applyProtection="0"/>
    <xf numFmtId="0" fontId="33" fillId="38" borderId="302">
      <alignment horizontal="left" vertical="center" wrapText="1" indent="2"/>
    </xf>
    <xf numFmtId="49" fontId="32" fillId="0" borderId="299" applyNumberFormat="0" applyFill="0" applyBorder="0" applyProtection="0">
      <alignment horizontal="left" vertical="center"/>
    </xf>
    <xf numFmtId="0" fontId="38" fillId="62" borderId="285" applyNumberFormat="0" applyFont="0" applyAlignment="0" applyProtection="0"/>
    <xf numFmtId="2" fontId="80" fillId="1" borderId="279" applyNumberFormat="0" applyBorder="0" applyProtection="0">
      <alignment horizontal="left"/>
    </xf>
    <xf numFmtId="0" fontId="28" fillId="0" borderId="0" applyNumberFormat="0" applyFill="0" applyBorder="0" applyAlignment="0" applyProtection="0"/>
    <xf numFmtId="0" fontId="1" fillId="25" borderId="0" applyNumberFormat="0" applyBorder="0" applyAlignment="0" applyProtection="0"/>
    <xf numFmtId="0" fontId="4" fillId="29" borderId="0" applyNumberFormat="0" applyBorder="0" applyAlignment="0" applyProtection="0"/>
    <xf numFmtId="0" fontId="48" fillId="0" borderId="284" applyNumberFormat="0" applyFill="0" applyAlignment="0" applyProtection="0"/>
    <xf numFmtId="4" fontId="33" fillId="0" borderId="299" applyFill="0" applyBorder="0" applyProtection="0">
      <alignment horizontal="right" vertical="center"/>
    </xf>
    <xf numFmtId="0" fontId="63" fillId="0" borderId="297" applyNumberFormat="0" applyFill="0" applyAlignment="0" applyProtection="0"/>
    <xf numFmtId="0" fontId="33" fillId="0" borderId="299" applyNumberFormat="0" applyFill="0" applyAlignment="0" applyProtection="0"/>
    <xf numFmtId="0" fontId="1" fillId="33" borderId="0" applyNumberFormat="0" applyBorder="0" applyAlignment="0" applyProtection="0"/>
    <xf numFmtId="0" fontId="1" fillId="18" borderId="0" applyNumberFormat="0" applyBorder="0" applyAlignment="0" applyProtection="0"/>
    <xf numFmtId="0" fontId="60" fillId="59" borderId="282" applyNumberFormat="0" applyAlignment="0" applyProtection="0"/>
    <xf numFmtId="0" fontId="33" fillId="0" borderId="286" applyNumberFormat="0" applyFill="0" applyAlignment="0" applyProtection="0"/>
    <xf numFmtId="0" fontId="47" fillId="46" borderId="283" applyNumberFormat="0" applyAlignment="0" applyProtection="0"/>
    <xf numFmtId="0" fontId="63" fillId="0" borderId="284" applyNumberFormat="0" applyFill="0" applyAlignment="0" applyProtection="0"/>
    <xf numFmtId="0" fontId="33" fillId="37" borderId="286"/>
    <xf numFmtId="0" fontId="43" fillId="59" borderId="283" applyNumberFormat="0" applyAlignment="0" applyProtection="0"/>
    <xf numFmtId="0" fontId="31" fillId="38" borderId="286">
      <alignment horizontal="right" vertical="center"/>
    </xf>
    <xf numFmtId="0" fontId="47" fillId="46" borderId="283" applyNumberFormat="0" applyAlignment="0" applyProtection="0"/>
    <xf numFmtId="0" fontId="33" fillId="38" borderId="289">
      <alignment horizontal="left" vertical="center" wrapText="1" indent="2"/>
    </xf>
    <xf numFmtId="0" fontId="35" fillId="36" borderId="286">
      <alignment horizontal="right" vertical="center"/>
    </xf>
    <xf numFmtId="0" fontId="26" fillId="17" borderId="10" applyNumberFormat="0" applyAlignment="0" applyProtection="0"/>
    <xf numFmtId="49" fontId="33" fillId="0" borderId="300" applyNumberFormat="0" applyFont="0" applyFill="0" applyBorder="0" applyProtection="0">
      <alignment horizontal="left" vertical="center" indent="5"/>
    </xf>
    <xf numFmtId="0" fontId="33" fillId="0" borderId="289">
      <alignment horizontal="left" vertical="center" wrapText="1" indent="2"/>
    </xf>
    <xf numFmtId="0" fontId="47" fillId="46" borderId="283" applyNumberFormat="0" applyAlignment="0" applyProtection="0"/>
    <xf numFmtId="0" fontId="31" fillId="38" borderId="286">
      <alignment horizontal="right" vertical="center"/>
    </xf>
    <xf numFmtId="0" fontId="38" fillId="62" borderId="298" applyNumberFormat="0" applyFont="0" applyAlignment="0" applyProtection="0"/>
    <xf numFmtId="0" fontId="25" fillId="17" borderId="22" applyNumberFormat="0" applyAlignment="0" applyProtection="0"/>
    <xf numFmtId="4" fontId="35" fillId="36" borderId="299">
      <alignment horizontal="right" vertical="center"/>
    </xf>
    <xf numFmtId="0" fontId="48" fillId="0" borderId="297" applyNumberFormat="0" applyFill="0" applyAlignment="0" applyProtection="0"/>
    <xf numFmtId="0" fontId="31" fillId="38" borderId="299">
      <alignment horizontal="right" vertical="center"/>
    </xf>
    <xf numFmtId="0" fontId="48" fillId="0" borderId="284" applyNumberFormat="0" applyFill="0" applyAlignment="0" applyProtection="0"/>
    <xf numFmtId="0" fontId="4" fillId="35" borderId="0" applyNumberFormat="0" applyBorder="0" applyAlignment="0" applyProtection="0"/>
    <xf numFmtId="49" fontId="33" fillId="0" borderId="287" applyNumberFormat="0" applyFont="0" applyFill="0" applyBorder="0" applyProtection="0">
      <alignment horizontal="left" vertical="center" indent="5"/>
    </xf>
    <xf numFmtId="0" fontId="1" fillId="21" borderId="0" applyNumberFormat="0" applyBorder="0" applyAlignment="0" applyProtection="0"/>
    <xf numFmtId="4" fontId="31" fillId="38" borderId="301">
      <alignment horizontal="right" vertical="center"/>
    </xf>
    <xf numFmtId="0" fontId="60" fillId="59" borderId="295" applyNumberFormat="0" applyAlignment="0" applyProtection="0"/>
    <xf numFmtId="4" fontId="33" fillId="0" borderId="299">
      <alignment horizontal="right" vertical="center"/>
    </xf>
    <xf numFmtId="4" fontId="31" fillId="38" borderId="301">
      <alignment horizontal="right" vertical="center"/>
    </xf>
    <xf numFmtId="4" fontId="35" fillId="36" borderId="299">
      <alignment horizontal="right" vertical="center"/>
    </xf>
    <xf numFmtId="0" fontId="60" fillId="59" borderId="295" applyNumberFormat="0" applyAlignment="0" applyProtection="0"/>
    <xf numFmtId="4" fontId="33" fillId="37" borderId="299"/>
    <xf numFmtId="4" fontId="33" fillId="0" borderId="299">
      <alignment horizontal="right" vertical="center"/>
    </xf>
    <xf numFmtId="0" fontId="4" fillId="32" borderId="0" applyNumberFormat="0" applyBorder="0" applyAlignment="0" applyProtection="0"/>
    <xf numFmtId="0" fontId="26" fillId="17" borderId="10" applyNumberFormat="0" applyAlignment="0" applyProtection="0"/>
    <xf numFmtId="49" fontId="32" fillId="0" borderId="286" applyNumberFormat="0" applyFill="0" applyBorder="0" applyProtection="0">
      <alignment horizontal="left" vertical="center"/>
    </xf>
    <xf numFmtId="0" fontId="38" fillId="62" borderId="285" applyNumberFormat="0" applyFont="0" applyAlignment="0" applyProtection="0"/>
    <xf numFmtId="4" fontId="33" fillId="37" borderId="286"/>
    <xf numFmtId="0" fontId="44" fillId="59" borderId="283" applyNumberFormat="0" applyAlignment="0" applyProtection="0"/>
    <xf numFmtId="49" fontId="33" fillId="0" borderId="287" applyNumberFormat="0" applyFont="0" applyFill="0" applyBorder="0" applyProtection="0">
      <alignment horizontal="left" vertical="center" indent="5"/>
    </xf>
    <xf numFmtId="0" fontId="38" fillId="62" borderId="285" applyNumberFormat="0" applyFont="0" applyAlignment="0" applyProtection="0"/>
    <xf numFmtId="0" fontId="4" fillId="23" borderId="0" applyNumberFormat="0" applyBorder="0" applyAlignment="0" applyProtection="0"/>
    <xf numFmtId="0" fontId="33" fillId="37" borderId="299"/>
    <xf numFmtId="0" fontId="44" fillId="59" borderId="296" applyNumberFormat="0" applyAlignment="0" applyProtection="0"/>
    <xf numFmtId="0" fontId="4" fillId="32" borderId="0" applyNumberFormat="0" applyBorder="0" applyAlignment="0" applyProtection="0"/>
    <xf numFmtId="0" fontId="33" fillId="38" borderId="302">
      <alignment horizontal="left" vertical="center" wrapText="1" indent="2"/>
    </xf>
    <xf numFmtId="4" fontId="31" fillId="38" borderId="286">
      <alignment horizontal="right" vertical="center"/>
    </xf>
    <xf numFmtId="0" fontId="25" fillId="17" borderId="22" applyNumberFormat="0" applyAlignment="0" applyProtection="0"/>
    <xf numFmtId="0" fontId="41" fillId="59" borderId="282" applyNumberFormat="0" applyAlignment="0" applyProtection="0"/>
    <xf numFmtId="0" fontId="33" fillId="0" borderId="286" applyNumberFormat="0" applyFill="0" applyAlignment="0" applyProtection="0"/>
    <xf numFmtId="0" fontId="44" fillId="59" borderId="283" applyNumberFormat="0" applyAlignment="0" applyProtection="0"/>
    <xf numFmtId="0" fontId="31" fillId="38" borderId="287">
      <alignment horizontal="right" vertical="center"/>
    </xf>
    <xf numFmtId="0" fontId="56" fillId="46" borderId="283" applyNumberFormat="0" applyAlignment="0" applyProtection="0"/>
    <xf numFmtId="0" fontId="48" fillId="0" borderId="284" applyNumberFormat="0" applyFill="0" applyAlignment="0" applyProtection="0"/>
    <xf numFmtId="0" fontId="44" fillId="59" borderId="283" applyNumberFormat="0" applyAlignment="0" applyProtection="0"/>
    <xf numFmtId="0" fontId="31" fillId="36" borderId="286">
      <alignment horizontal="right" vertical="center"/>
    </xf>
    <xf numFmtId="0" fontId="60" fillId="59" borderId="282" applyNumberFormat="0" applyAlignment="0" applyProtection="0"/>
    <xf numFmtId="0" fontId="31" fillId="38" borderId="286">
      <alignment horizontal="right" vertical="center"/>
    </xf>
    <xf numFmtId="4" fontId="33" fillId="0" borderId="286">
      <alignment horizontal="right" vertical="center"/>
    </xf>
    <xf numFmtId="0" fontId="31" fillId="38" borderId="286">
      <alignment horizontal="right" vertical="center"/>
    </xf>
    <xf numFmtId="0" fontId="31" fillId="38" borderId="288">
      <alignment horizontal="right" vertical="center"/>
    </xf>
    <xf numFmtId="4" fontId="35" fillId="36" borderId="286">
      <alignment horizontal="right" vertical="center"/>
    </xf>
    <xf numFmtId="177" fontId="33" fillId="63" borderId="286" applyNumberFormat="0" applyFont="0" applyBorder="0" applyAlignment="0" applyProtection="0">
      <alignment horizontal="right" vertical="center"/>
    </xf>
    <xf numFmtId="0" fontId="56" fillId="46" borderId="283" applyNumberFormat="0" applyAlignment="0" applyProtection="0"/>
    <xf numFmtId="0" fontId="33" fillId="38" borderId="289">
      <alignment horizontal="left" vertical="center" wrapText="1" indent="2"/>
    </xf>
    <xf numFmtId="4" fontId="31" fillId="38" borderId="288">
      <alignment horizontal="right" vertical="center"/>
    </xf>
    <xf numFmtId="4" fontId="31" fillId="38" borderId="288">
      <alignment horizontal="right" vertical="center"/>
    </xf>
    <xf numFmtId="0" fontId="63" fillId="0" borderId="284" applyNumberFormat="0" applyFill="0" applyAlignment="0" applyProtection="0"/>
    <xf numFmtId="0" fontId="44" fillId="59" borderId="283" applyNumberFormat="0" applyAlignment="0" applyProtection="0"/>
    <xf numFmtId="0" fontId="63" fillId="0" borderId="284" applyNumberFormat="0" applyFill="0" applyAlignment="0" applyProtection="0"/>
    <xf numFmtId="0" fontId="41" fillId="59" borderId="282" applyNumberFormat="0" applyAlignment="0" applyProtection="0"/>
    <xf numFmtId="4" fontId="31" fillId="36" borderId="286">
      <alignment horizontal="right" vertical="center"/>
    </xf>
    <xf numFmtId="4" fontId="33" fillId="0" borderId="286">
      <alignment horizontal="right" vertical="center"/>
    </xf>
    <xf numFmtId="49" fontId="32" fillId="0" borderId="286" applyNumberFormat="0" applyFill="0" applyBorder="0" applyProtection="0">
      <alignment horizontal="left" vertical="center"/>
    </xf>
    <xf numFmtId="0" fontId="31" fillId="38" borderId="286">
      <alignment horizontal="right" vertical="center"/>
    </xf>
    <xf numFmtId="49" fontId="33" fillId="0" borderId="286" applyNumberFormat="0" applyFont="0" applyFill="0" applyBorder="0" applyProtection="0">
      <alignment horizontal="left" vertical="center" indent="2"/>
    </xf>
    <xf numFmtId="4" fontId="35" fillId="36" borderId="286">
      <alignment horizontal="right" vertical="center"/>
    </xf>
    <xf numFmtId="0" fontId="33" fillId="0" borderId="289">
      <alignment horizontal="left" vertical="center" wrapText="1" indent="2"/>
    </xf>
    <xf numFmtId="4" fontId="31" fillId="38" borderId="286">
      <alignment horizontal="right" vertical="center"/>
    </xf>
    <xf numFmtId="4" fontId="35" fillId="36" borderId="286">
      <alignment horizontal="right" vertical="center"/>
    </xf>
    <xf numFmtId="0" fontId="19" fillId="62" borderId="285" applyNumberFormat="0" applyFont="0" applyAlignment="0" applyProtection="0"/>
    <xf numFmtId="0" fontId="63" fillId="0" borderId="284" applyNumberFormat="0" applyFill="0" applyAlignment="0" applyProtection="0"/>
    <xf numFmtId="0" fontId="33" fillId="37" borderId="286"/>
    <xf numFmtId="0" fontId="56" fillId="46" borderId="283" applyNumberFormat="0" applyAlignment="0" applyProtection="0"/>
    <xf numFmtId="0" fontId="33" fillId="38" borderId="289">
      <alignment horizontal="left" vertical="center" wrapText="1" indent="2"/>
    </xf>
    <xf numFmtId="0" fontId="33" fillId="0" borderId="289">
      <alignment horizontal="left" vertical="center" wrapText="1" indent="2"/>
    </xf>
    <xf numFmtId="0" fontId="33" fillId="36" borderId="287">
      <alignment horizontal="left" vertical="center"/>
    </xf>
    <xf numFmtId="0" fontId="33" fillId="38" borderId="289">
      <alignment horizontal="left" vertical="center" wrapText="1" indent="2"/>
    </xf>
    <xf numFmtId="0" fontId="31" fillId="36" borderId="286">
      <alignment horizontal="right" vertical="center"/>
    </xf>
    <xf numFmtId="0" fontId="33" fillId="0" borderId="289">
      <alignment horizontal="left" vertical="center" wrapText="1" indent="2"/>
    </xf>
    <xf numFmtId="0" fontId="33" fillId="0" borderId="286">
      <alignment horizontal="right" vertical="center"/>
    </xf>
    <xf numFmtId="0" fontId="31" fillId="36" borderId="286">
      <alignment horizontal="right" vertical="center"/>
    </xf>
    <xf numFmtId="0" fontId="38" fillId="62" borderId="285" applyNumberFormat="0" applyFont="0" applyAlignment="0" applyProtection="0"/>
    <xf numFmtId="0" fontId="56" fillId="46" borderId="283" applyNumberFormat="0" applyAlignment="0" applyProtection="0"/>
    <xf numFmtId="0" fontId="44" fillId="59" borderId="283" applyNumberFormat="0" applyAlignment="0" applyProtection="0"/>
    <xf numFmtId="177" fontId="33" fillId="63" borderId="286" applyNumberFormat="0" applyFont="0" applyBorder="0" applyAlignment="0" applyProtection="0">
      <alignment horizontal="right" vertical="center"/>
    </xf>
    <xf numFmtId="4" fontId="31" fillId="36" borderId="286">
      <alignment horizontal="right" vertical="center"/>
    </xf>
    <xf numFmtId="4" fontId="31" fillId="38" borderId="288">
      <alignment horizontal="right" vertical="center"/>
    </xf>
    <xf numFmtId="0" fontId="63" fillId="0" borderId="297" applyNumberFormat="0" applyFill="0" applyAlignment="0" applyProtection="0"/>
    <xf numFmtId="0" fontId="1" fillId="25" borderId="0" applyNumberFormat="0" applyBorder="0" applyAlignment="0" applyProtection="0"/>
    <xf numFmtId="0" fontId="31" fillId="38" borderId="286">
      <alignment horizontal="right" vertical="center"/>
    </xf>
    <xf numFmtId="4" fontId="31" fillId="36" borderId="286">
      <alignment horizontal="right" vertical="center"/>
    </xf>
    <xf numFmtId="0" fontId="31" fillId="38" borderId="299">
      <alignment horizontal="right" vertical="center"/>
    </xf>
    <xf numFmtId="0" fontId="33" fillId="38" borderId="302">
      <alignment horizontal="left" vertical="center" wrapText="1" indent="2"/>
    </xf>
    <xf numFmtId="0" fontId="1" fillId="22" borderId="0" applyNumberFormat="0" applyBorder="0" applyAlignment="0" applyProtection="0"/>
    <xf numFmtId="0" fontId="1" fillId="28" borderId="0" applyNumberFormat="0" applyBorder="0" applyAlignment="0" applyProtection="0"/>
    <xf numFmtId="0" fontId="33" fillId="0" borderId="299">
      <alignment horizontal="right" vertical="center"/>
    </xf>
    <xf numFmtId="0" fontId="56" fillId="46" borderId="296" applyNumberFormat="0" applyAlignment="0" applyProtection="0"/>
    <xf numFmtId="0" fontId="44" fillId="59" borderId="296" applyNumberFormat="0" applyAlignment="0" applyProtection="0"/>
    <xf numFmtId="177" fontId="33" fillId="63" borderId="299" applyNumberFormat="0" applyFont="0" applyBorder="0" applyAlignment="0" applyProtection="0">
      <alignment horizontal="right" vertical="center"/>
    </xf>
    <xf numFmtId="0" fontId="63" fillId="0" borderId="297" applyNumberFormat="0" applyFill="0" applyAlignment="0" applyProtection="0"/>
    <xf numFmtId="4" fontId="35" fillId="36" borderId="299">
      <alignment horizontal="right" vertical="center"/>
    </xf>
    <xf numFmtId="4" fontId="31" fillId="38" borderId="299">
      <alignment horizontal="right" vertical="center"/>
    </xf>
    <xf numFmtId="0" fontId="33" fillId="38" borderId="302">
      <alignment horizontal="left" vertical="center" wrapText="1" indent="2"/>
    </xf>
    <xf numFmtId="0" fontId="26" fillId="17" borderId="10" applyNumberFormat="0" applyAlignment="0" applyProtection="0"/>
    <xf numFmtId="0" fontId="33" fillId="0" borderId="299" applyNumberFormat="0" applyFill="0" applyAlignment="0" applyProtection="0"/>
    <xf numFmtId="0" fontId="31" fillId="38" borderId="286">
      <alignment horizontal="right" vertical="center"/>
    </xf>
    <xf numFmtId="0" fontId="33" fillId="0" borderId="286">
      <alignment horizontal="right" vertical="center"/>
    </xf>
    <xf numFmtId="0" fontId="44" fillId="59" borderId="296" applyNumberFormat="0" applyAlignment="0" applyProtection="0"/>
    <xf numFmtId="49" fontId="32" fillId="0" borderId="299" applyNumberFormat="0" applyFill="0" applyBorder="0" applyProtection="0">
      <alignment horizontal="left" vertical="center"/>
    </xf>
    <xf numFmtId="0" fontId="31" fillId="38" borderId="300">
      <alignment horizontal="right" vertical="center"/>
    </xf>
    <xf numFmtId="0" fontId="63" fillId="0" borderId="297" applyNumberFormat="0" applyFill="0" applyAlignment="0" applyProtection="0"/>
    <xf numFmtId="0" fontId="4" fillId="20" borderId="0" applyNumberFormat="0" applyBorder="0" applyAlignment="0" applyProtection="0"/>
    <xf numFmtId="0" fontId="33" fillId="36" borderId="300">
      <alignment horizontal="left" vertical="center"/>
    </xf>
    <xf numFmtId="0" fontId="1" fillId="33" borderId="0" applyNumberFormat="0" applyBorder="0" applyAlignment="0" applyProtection="0"/>
    <xf numFmtId="0" fontId="4" fillId="23" borderId="0" applyNumberFormat="0" applyBorder="0" applyAlignment="0" applyProtection="0"/>
    <xf numFmtId="0" fontId="26" fillId="17" borderId="10" applyNumberFormat="0" applyAlignment="0" applyProtection="0"/>
    <xf numFmtId="4" fontId="31" fillId="38" borderId="299">
      <alignment horizontal="right" vertical="center"/>
    </xf>
    <xf numFmtId="0" fontId="1" fillId="22" borderId="0" applyNumberFormat="0" applyBorder="0" applyAlignment="0" applyProtection="0"/>
    <xf numFmtId="4" fontId="31" fillId="38" borderId="299">
      <alignment horizontal="right" vertical="center"/>
    </xf>
    <xf numFmtId="0" fontId="28" fillId="0" borderId="0" applyNumberFormat="0" applyFill="0" applyBorder="0" applyAlignment="0" applyProtection="0"/>
    <xf numFmtId="0" fontId="43" fillId="59" borderId="296" applyNumberFormat="0" applyAlignment="0" applyProtection="0"/>
    <xf numFmtId="0" fontId="47" fillId="46" borderId="296" applyNumberFormat="0" applyAlignment="0" applyProtection="0"/>
    <xf numFmtId="49" fontId="33" fillId="0" borderId="287" applyNumberFormat="0" applyFont="0" applyFill="0" applyBorder="0" applyProtection="0">
      <alignment horizontal="left" vertical="center" indent="5"/>
    </xf>
    <xf numFmtId="0" fontId="31" fillId="38" borderId="288">
      <alignment horizontal="right" vertical="center"/>
    </xf>
    <xf numFmtId="49" fontId="32" fillId="0" borderId="286" applyNumberFormat="0" applyFill="0" applyBorder="0" applyProtection="0">
      <alignment horizontal="left" vertical="center"/>
    </xf>
    <xf numFmtId="0" fontId="1" fillId="33" borderId="0" applyNumberFormat="0" applyBorder="0" applyAlignment="0" applyProtection="0"/>
    <xf numFmtId="4" fontId="31" fillId="38" borderId="300">
      <alignment horizontal="right" vertical="center"/>
    </xf>
    <xf numFmtId="4" fontId="33" fillId="0" borderId="299" applyFill="0" applyBorder="0" applyProtection="0">
      <alignment horizontal="right" vertical="center"/>
    </xf>
    <xf numFmtId="0" fontId="1" fillId="31" borderId="0" applyNumberFormat="0" applyBorder="0" applyAlignment="0" applyProtection="0"/>
    <xf numFmtId="0" fontId="63" fillId="0" borderId="297" applyNumberFormat="0" applyFill="0" applyAlignment="0" applyProtection="0"/>
    <xf numFmtId="49" fontId="32" fillId="0" borderId="299" applyNumberFormat="0" applyFill="0" applyBorder="0" applyProtection="0">
      <alignment horizontal="left" vertical="center"/>
    </xf>
    <xf numFmtId="0" fontId="1" fillId="30" borderId="0" applyNumberFormat="0" applyBorder="0" applyAlignment="0" applyProtection="0"/>
    <xf numFmtId="4" fontId="31" fillId="36" borderId="299">
      <alignment horizontal="right" vertical="center"/>
    </xf>
    <xf numFmtId="0" fontId="33" fillId="37" borderId="299"/>
    <xf numFmtId="0" fontId="44" fillId="59" borderId="296" applyNumberFormat="0" applyAlignment="0" applyProtection="0"/>
    <xf numFmtId="0" fontId="35" fillId="36" borderId="299">
      <alignment horizontal="right" vertical="center"/>
    </xf>
    <xf numFmtId="0" fontId="33" fillId="37" borderId="286"/>
    <xf numFmtId="0" fontId="35" fillId="36" borderId="286">
      <alignment horizontal="right" vertical="center"/>
    </xf>
    <xf numFmtId="0" fontId="38" fillId="62" borderId="285" applyNumberFormat="0" applyFont="0" applyAlignment="0" applyProtection="0"/>
    <xf numFmtId="4" fontId="33" fillId="0" borderId="286" applyFill="0" applyBorder="0" applyProtection="0">
      <alignment horizontal="right" vertical="center"/>
    </xf>
    <xf numFmtId="4" fontId="31" fillId="36" borderId="286">
      <alignment horizontal="right" vertical="center"/>
    </xf>
    <xf numFmtId="0" fontId="48" fillId="0" borderId="284" applyNumberFormat="0" applyFill="0" applyAlignment="0" applyProtection="0"/>
    <xf numFmtId="0" fontId="33" fillId="36" borderId="287">
      <alignment horizontal="left" vertical="center"/>
    </xf>
    <xf numFmtId="0" fontId="44" fillId="59" borderId="283" applyNumberFormat="0" applyAlignment="0" applyProtection="0"/>
    <xf numFmtId="177" fontId="33" fillId="63" borderId="286" applyNumberFormat="0" applyFont="0" applyBorder="0" applyAlignment="0" applyProtection="0">
      <alignment horizontal="right" vertical="center"/>
    </xf>
    <xf numFmtId="0" fontId="27" fillId="0" borderId="0" applyNumberFormat="0" applyFill="0" applyBorder="0" applyAlignment="0" applyProtection="0"/>
    <xf numFmtId="0" fontId="38" fillId="62" borderId="298" applyNumberFormat="0" applyFont="0" applyAlignment="0" applyProtection="0"/>
    <xf numFmtId="0" fontId="33" fillId="37" borderId="299"/>
    <xf numFmtId="0" fontId="1" fillId="30" borderId="0" applyNumberFormat="0" applyBorder="0" applyAlignment="0" applyProtection="0"/>
    <xf numFmtId="0" fontId="1" fillId="24" borderId="0" applyNumberFormat="0" applyBorder="0" applyAlignment="0" applyProtection="0"/>
    <xf numFmtId="4" fontId="35" fillId="36" borderId="299">
      <alignment horizontal="right" vertical="center"/>
    </xf>
    <xf numFmtId="177" fontId="33" fillId="63" borderId="299" applyNumberFormat="0" applyFont="0" applyBorder="0" applyAlignment="0" applyProtection="0">
      <alignment horizontal="right" vertical="center"/>
    </xf>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60" fillId="59" borderId="295" applyNumberFormat="0" applyAlignment="0" applyProtection="0"/>
    <xf numFmtId="0" fontId="47" fillId="46" borderId="296" applyNumberFormat="0" applyAlignment="0" applyProtection="0"/>
    <xf numFmtId="0" fontId="31" fillId="38" borderId="299">
      <alignment horizontal="right" vertical="center"/>
    </xf>
    <xf numFmtId="0" fontId="38" fillId="62" borderId="298" applyNumberFormat="0" applyFont="0" applyAlignment="0" applyProtection="0"/>
    <xf numFmtId="4" fontId="31" fillId="36" borderId="286">
      <alignment horizontal="right" vertical="center"/>
    </xf>
    <xf numFmtId="0" fontId="4" fillId="32"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4"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26" fillId="17" borderId="10" applyNumberFormat="0" applyAlignment="0" applyProtection="0"/>
    <xf numFmtId="0" fontId="1" fillId="21" borderId="0" applyNumberFormat="0" applyBorder="0" applyAlignment="0" applyProtection="0"/>
    <xf numFmtId="0" fontId="1" fillId="24" borderId="0" applyNumberFormat="0" applyBorder="0" applyAlignment="0" applyProtection="0"/>
    <xf numFmtId="0" fontId="3" fillId="0" borderId="23" applyNumberFormat="0" applyFill="0" applyAlignment="0" applyProtection="0"/>
    <xf numFmtId="0" fontId="4" fillId="29" borderId="0" applyNumberFormat="0" applyBorder="0" applyAlignment="0" applyProtection="0"/>
    <xf numFmtId="0" fontId="4" fillId="26" borderId="0" applyNumberFormat="0" applyBorder="0" applyAlignment="0" applyProtection="0"/>
    <xf numFmtId="0" fontId="4" fillId="20" borderId="0" applyNumberFormat="0" applyBorder="0" applyAlignment="0" applyProtection="0"/>
    <xf numFmtId="0" fontId="1" fillId="22" borderId="0" applyNumberFormat="0" applyBorder="0" applyAlignment="0" applyProtection="0"/>
    <xf numFmtId="0" fontId="25" fillId="17" borderId="22"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1" fillId="28" borderId="0" applyNumberFormat="0" applyBorder="0" applyAlignment="0" applyProtection="0"/>
    <xf numFmtId="0" fontId="4" fillId="20" borderId="0" applyNumberFormat="0" applyBorder="0" applyAlignment="0" applyProtection="0"/>
    <xf numFmtId="0" fontId="26" fillId="17" borderId="10" applyNumberFormat="0" applyAlignment="0" applyProtection="0"/>
    <xf numFmtId="0" fontId="4" fillId="35"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44" fillId="59" borderId="296" applyNumberFormat="0" applyAlignment="0" applyProtection="0"/>
    <xf numFmtId="0" fontId="1" fillId="25" borderId="0" applyNumberFormat="0" applyBorder="0" applyAlignment="0" applyProtection="0"/>
    <xf numFmtId="0" fontId="28" fillId="0" borderId="0" applyNumberForma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1" fillId="19" borderId="0" applyNumberFormat="0" applyBorder="0" applyAlignment="0" applyProtection="0"/>
    <xf numFmtId="0" fontId="4" fillId="26" borderId="0" applyNumberFormat="0" applyBorder="0" applyAlignment="0" applyProtection="0"/>
    <xf numFmtId="0" fontId="1" fillId="34" borderId="0" applyNumberFormat="0" applyBorder="0" applyAlignment="0" applyProtection="0"/>
    <xf numFmtId="0" fontId="27" fillId="0" borderId="0" applyNumberFormat="0" applyFill="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0" fontId="1" fillId="25" borderId="0" applyNumberFormat="0" applyBorder="0" applyAlignment="0" applyProtection="0"/>
    <xf numFmtId="0" fontId="4" fillId="32" borderId="0" applyNumberFormat="0" applyBorder="0" applyAlignment="0" applyProtection="0"/>
    <xf numFmtId="0" fontId="1" fillId="21" borderId="0" applyNumberFormat="0" applyBorder="0" applyAlignment="0" applyProtection="0"/>
    <xf numFmtId="0" fontId="25" fillId="17" borderId="22" applyNumberFormat="0" applyAlignment="0" applyProtection="0"/>
    <xf numFmtId="0" fontId="1" fillId="31" borderId="0" applyNumberFormat="0" applyBorder="0" applyAlignment="0" applyProtection="0"/>
    <xf numFmtId="0" fontId="4" fillId="20"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3" fillId="0" borderId="23" applyNumberFormat="0" applyFill="0" applyAlignment="0" applyProtection="0"/>
    <xf numFmtId="0" fontId="1" fillId="34" borderId="0" applyNumberFormat="0" applyBorder="0" applyAlignment="0" applyProtection="0"/>
    <xf numFmtId="0" fontId="1" fillId="2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27" fillId="0" borderId="0" applyNumberFormat="0" applyFill="0" applyBorder="0" applyAlignment="0" applyProtection="0"/>
    <xf numFmtId="0" fontId="1" fillId="33"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4" fillId="23"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2" borderId="0" applyNumberFormat="0" applyBorder="0" applyAlignment="0" applyProtection="0"/>
    <xf numFmtId="0" fontId="19" fillId="62" borderId="298" applyNumberFormat="0" applyFont="0" applyAlignment="0" applyProtection="0"/>
    <xf numFmtId="0" fontId="1" fillId="19" borderId="0" applyNumberFormat="0" applyBorder="0" applyAlignment="0" applyProtection="0"/>
    <xf numFmtId="0" fontId="44" fillId="59" borderId="283" applyNumberFormat="0" applyAlignment="0" applyProtection="0"/>
    <xf numFmtId="0" fontId="48" fillId="0" borderId="297" applyNumberFormat="0" applyFill="0" applyAlignment="0" applyProtection="0"/>
    <xf numFmtId="4" fontId="31" fillId="38" borderId="299">
      <alignment horizontal="right" vertical="center"/>
    </xf>
    <xf numFmtId="0" fontId="56" fillId="46" borderId="296" applyNumberFormat="0" applyAlignment="0" applyProtection="0"/>
    <xf numFmtId="4" fontId="31" fillId="38" borderId="299">
      <alignment horizontal="right" vertical="center"/>
    </xf>
    <xf numFmtId="0" fontId="63" fillId="0" borderId="297" applyNumberFormat="0" applyFill="0" applyAlignment="0" applyProtection="0"/>
    <xf numFmtId="0" fontId="35" fillId="36" borderId="299">
      <alignment horizontal="right" vertical="center"/>
    </xf>
    <xf numFmtId="0" fontId="60" fillId="59" borderId="295" applyNumberFormat="0" applyAlignment="0" applyProtection="0"/>
    <xf numFmtId="4" fontId="31" fillId="38" borderId="301">
      <alignment horizontal="right" vertical="center"/>
    </xf>
    <xf numFmtId="0" fontId="33" fillId="0" borderId="299">
      <alignment horizontal="right" vertical="center"/>
    </xf>
    <xf numFmtId="0" fontId="56" fillId="46" borderId="296" applyNumberFormat="0" applyAlignment="0" applyProtection="0"/>
    <xf numFmtId="0" fontId="43" fillId="59" borderId="296" applyNumberFormat="0" applyAlignment="0" applyProtection="0"/>
    <xf numFmtId="4" fontId="31" fillId="38" borderId="299">
      <alignment horizontal="right" vertical="center"/>
    </xf>
    <xf numFmtId="183" fontId="124" fillId="62" borderId="303" applyNumberFormat="0" applyFont="0" applyAlignment="0" applyProtection="0"/>
    <xf numFmtId="43" fontId="22" fillId="0" borderId="0" applyFont="0" applyFill="0" applyBorder="0" applyAlignment="0" applyProtection="0"/>
    <xf numFmtId="4" fontId="33" fillId="37" borderId="299"/>
    <xf numFmtId="4" fontId="33" fillId="37" borderId="299"/>
    <xf numFmtId="0" fontId="48" fillId="0" borderId="297" applyNumberFormat="0" applyFill="0" applyAlignment="0" applyProtection="0"/>
    <xf numFmtId="4" fontId="31" fillId="38" borderId="299">
      <alignment horizontal="right" vertical="center"/>
    </xf>
    <xf numFmtId="0" fontId="33" fillId="0" borderId="302">
      <alignment horizontal="left" vertical="center" wrapText="1" indent="2"/>
    </xf>
    <xf numFmtId="0" fontId="27" fillId="0" borderId="0" applyNumberFormat="0" applyFill="0" applyBorder="0" applyAlignment="0" applyProtection="0"/>
    <xf numFmtId="0" fontId="63" fillId="0" borderId="284" applyNumberFormat="0" applyFill="0" applyAlignment="0" applyProtection="0"/>
    <xf numFmtId="0" fontId="63" fillId="0" borderId="297" applyNumberFormat="0" applyFill="0" applyAlignment="0" applyProtection="0"/>
    <xf numFmtId="0" fontId="79" fillId="15" borderId="296" applyNumberFormat="0" applyAlignment="0" applyProtection="0"/>
    <xf numFmtId="0" fontId="60" fillId="59" borderId="282" applyNumberFormat="0" applyAlignment="0" applyProtection="0"/>
    <xf numFmtId="0" fontId="19" fillId="62" borderId="285" applyNumberFormat="0" applyFont="0" applyAlignment="0" applyProtection="0"/>
    <xf numFmtId="0" fontId="38" fillId="62" borderId="285" applyNumberFormat="0" applyFont="0" applyAlignment="0" applyProtection="0"/>
    <xf numFmtId="0" fontId="63" fillId="0" borderId="297" applyNumberFormat="0" applyFill="0" applyAlignment="0" applyProtection="0"/>
    <xf numFmtId="4" fontId="31" fillId="38" borderId="299">
      <alignment horizontal="right" vertical="center"/>
    </xf>
    <xf numFmtId="0" fontId="31" fillId="38" borderId="300">
      <alignment horizontal="right" vertical="center"/>
    </xf>
    <xf numFmtId="0" fontId="33" fillId="36" borderId="300">
      <alignment horizontal="left" vertical="center"/>
    </xf>
    <xf numFmtId="0" fontId="31" fillId="38" borderId="299">
      <alignment horizontal="right" vertical="center"/>
    </xf>
    <xf numFmtId="0" fontId="44" fillId="59" borderId="296" applyNumberFormat="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31" fillId="36" borderId="299">
      <alignment horizontal="right" vertical="center"/>
    </xf>
    <xf numFmtId="0" fontId="48" fillId="0" borderId="297" applyNumberFormat="0" applyFill="0" applyAlignment="0" applyProtection="0"/>
    <xf numFmtId="0" fontId="38" fillId="62" borderId="298" applyNumberFormat="0" applyFont="0" applyAlignment="0" applyProtection="0"/>
    <xf numFmtId="0" fontId="1" fillId="24" borderId="0" applyNumberFormat="0" applyBorder="0" applyAlignment="0" applyProtection="0"/>
    <xf numFmtId="0" fontId="4" fillId="20" borderId="0" applyNumberFormat="0" applyBorder="0" applyAlignment="0" applyProtection="0"/>
    <xf numFmtId="0" fontId="3" fillId="0" borderId="23" applyNumberFormat="0" applyFill="0" applyAlignment="0" applyProtection="0"/>
    <xf numFmtId="0" fontId="41" fillId="59" borderId="295" applyNumberFormat="0" applyAlignment="0" applyProtection="0"/>
    <xf numFmtId="0" fontId="1" fillId="33" borderId="0" applyNumberFormat="0" applyBorder="0" applyAlignment="0" applyProtection="0"/>
    <xf numFmtId="0" fontId="31" fillId="38" borderId="301">
      <alignment horizontal="right" vertical="center"/>
    </xf>
    <xf numFmtId="0" fontId="63" fillId="0" borderId="297" applyNumberFormat="0" applyFill="0" applyAlignment="0" applyProtection="0"/>
    <xf numFmtId="49" fontId="33" fillId="0" borderId="287" applyNumberFormat="0" applyFont="0" applyFill="0" applyBorder="0" applyProtection="0">
      <alignment horizontal="left" vertical="center" indent="5"/>
    </xf>
    <xf numFmtId="43" fontId="22" fillId="0" borderId="0" applyFont="0" applyFill="0" applyBorder="0" applyAlignment="0" applyProtection="0"/>
    <xf numFmtId="0" fontId="4" fillId="32"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4"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26" fillId="17" borderId="10" applyNumberFormat="0" applyAlignment="0" applyProtection="0"/>
    <xf numFmtId="0" fontId="1" fillId="21" borderId="0" applyNumberFormat="0" applyBorder="0" applyAlignment="0" applyProtection="0"/>
    <xf numFmtId="0" fontId="1" fillId="24" borderId="0" applyNumberFormat="0" applyBorder="0" applyAlignment="0" applyProtection="0"/>
    <xf numFmtId="0" fontId="3" fillId="0" borderId="23" applyNumberFormat="0" applyFill="0" applyAlignment="0" applyProtection="0"/>
    <xf numFmtId="0" fontId="4" fillId="29" borderId="0" applyNumberFormat="0" applyBorder="0" applyAlignment="0" applyProtection="0"/>
    <xf numFmtId="0" fontId="4" fillId="26" borderId="0" applyNumberFormat="0" applyBorder="0" applyAlignment="0" applyProtection="0"/>
    <xf numFmtId="0" fontId="4" fillId="20" borderId="0" applyNumberFormat="0" applyBorder="0" applyAlignment="0" applyProtection="0"/>
    <xf numFmtId="0" fontId="1" fillId="22" borderId="0" applyNumberFormat="0" applyBorder="0" applyAlignment="0" applyProtection="0"/>
    <xf numFmtId="0" fontId="25" fillId="17" borderId="22"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1" fillId="28" borderId="0" applyNumberFormat="0" applyBorder="0" applyAlignment="0" applyProtection="0"/>
    <xf numFmtId="0" fontId="4" fillId="20" borderId="0" applyNumberFormat="0" applyBorder="0" applyAlignment="0" applyProtection="0"/>
    <xf numFmtId="0" fontId="26" fillId="17" borderId="10" applyNumberFormat="0" applyAlignment="0" applyProtection="0"/>
    <xf numFmtId="0" fontId="4" fillId="35"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56" fillId="46" borderId="283" applyNumberFormat="0" applyAlignment="0" applyProtection="0"/>
    <xf numFmtId="0" fontId="1" fillId="18" borderId="0" applyNumberFormat="0" applyBorder="0" applyAlignment="0" applyProtection="0"/>
    <xf numFmtId="0" fontId="56" fillId="46" borderId="296" applyNumberFormat="0" applyAlignment="0" applyProtection="0"/>
    <xf numFmtId="0" fontId="27" fillId="0" borderId="0" applyNumberFormat="0" applyFill="0" applyBorder="0" applyAlignment="0" applyProtection="0"/>
    <xf numFmtId="0" fontId="1" fillId="18" borderId="0" applyNumberFormat="0" applyBorder="0" applyAlignment="0" applyProtection="0"/>
    <xf numFmtId="0" fontId="33" fillId="38" borderId="302">
      <alignment horizontal="left" vertical="center" wrapText="1" indent="2"/>
    </xf>
    <xf numFmtId="49" fontId="33" fillId="0" borderId="287" applyNumberFormat="0" applyFont="0" applyFill="0" applyBorder="0" applyProtection="0">
      <alignment horizontal="left" vertical="center" indent="5"/>
    </xf>
    <xf numFmtId="0" fontId="1" fillId="30" borderId="0" applyNumberFormat="0" applyBorder="0" applyAlignment="0" applyProtection="0"/>
    <xf numFmtId="0" fontId="1" fillId="21"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1" fillId="19" borderId="0" applyNumberFormat="0" applyBorder="0" applyAlignment="0" applyProtection="0"/>
    <xf numFmtId="0" fontId="4" fillId="26" borderId="0" applyNumberFormat="0" applyBorder="0" applyAlignment="0" applyProtection="0"/>
    <xf numFmtId="0" fontId="1" fillId="34" borderId="0" applyNumberFormat="0" applyBorder="0" applyAlignment="0" applyProtection="0"/>
    <xf numFmtId="0" fontId="27" fillId="0" borderId="0" applyNumberFormat="0" applyFill="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0" fontId="1" fillId="25" borderId="0" applyNumberFormat="0" applyBorder="0" applyAlignment="0" applyProtection="0"/>
    <xf numFmtId="0" fontId="4" fillId="32" borderId="0" applyNumberFormat="0" applyBorder="0" applyAlignment="0" applyProtection="0"/>
    <xf numFmtId="0" fontId="1" fillId="21" borderId="0" applyNumberFormat="0" applyBorder="0" applyAlignment="0" applyProtection="0"/>
    <xf numFmtId="0" fontId="25" fillId="17" borderId="22" applyNumberFormat="0" applyAlignment="0" applyProtection="0"/>
    <xf numFmtId="0" fontId="1" fillId="31" borderId="0" applyNumberFormat="0" applyBorder="0" applyAlignment="0" applyProtection="0"/>
    <xf numFmtId="0" fontId="4" fillId="20"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3" fillId="0" borderId="23" applyNumberFormat="0" applyFill="0" applyAlignment="0" applyProtection="0"/>
    <xf numFmtId="0" fontId="1" fillId="34" borderId="0" applyNumberFormat="0" applyBorder="0" applyAlignment="0" applyProtection="0"/>
    <xf numFmtId="0" fontId="1" fillId="2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31" fillId="38" borderId="299">
      <alignment horizontal="right" vertical="center"/>
    </xf>
    <xf numFmtId="0" fontId="1" fillId="18" borderId="0" applyNumberFormat="0" applyBorder="0" applyAlignment="0" applyProtection="0"/>
    <xf numFmtId="0" fontId="27" fillId="0" borderId="0" applyNumberFormat="0" applyFill="0" applyBorder="0" applyAlignment="0" applyProtection="0"/>
    <xf numFmtId="0" fontId="1" fillId="33"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4" fillId="23"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2" borderId="0" applyNumberFormat="0" applyBorder="0" applyAlignment="0" applyProtection="0"/>
    <xf numFmtId="43" fontId="36" fillId="0" borderId="0" applyFont="0" applyFill="0" applyBorder="0" applyAlignment="0" applyProtection="0"/>
    <xf numFmtId="0" fontId="1" fillId="31" borderId="0" applyNumberFormat="0" applyBorder="0" applyAlignment="0" applyProtection="0"/>
    <xf numFmtId="0" fontId="4" fillId="35"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3" fillId="0" borderId="23" applyNumberFormat="0" applyFill="0" applyAlignment="0" applyProtection="0"/>
    <xf numFmtId="224" fontId="127" fillId="0" borderId="273">
      <alignment horizontal="right"/>
    </xf>
    <xf numFmtId="0" fontId="4" fillId="32" borderId="0" applyNumberFormat="0" applyBorder="0" applyAlignment="0" applyProtection="0"/>
    <xf numFmtId="0" fontId="1" fillId="24" borderId="0" applyNumberFormat="0" applyBorder="0" applyAlignment="0" applyProtection="0"/>
    <xf numFmtId="0" fontId="4" fillId="23" borderId="0" applyNumberFormat="0" applyBorder="0" applyAlignment="0" applyProtection="0"/>
    <xf numFmtId="0" fontId="1" fillId="22" borderId="0" applyNumberFormat="0" applyBorder="0" applyAlignment="0" applyProtection="0"/>
    <xf numFmtId="0" fontId="43" fillId="59" borderId="296" applyNumberFormat="0" applyAlignment="0" applyProtection="0"/>
    <xf numFmtId="0" fontId="33" fillId="0" borderId="299">
      <alignment horizontal="right" vertical="center"/>
    </xf>
    <xf numFmtId="0" fontId="19" fillId="62" borderId="298" applyNumberFormat="0" applyFont="0" applyAlignment="0" applyProtection="0"/>
    <xf numFmtId="0" fontId="1" fillId="22" borderId="0" applyNumberFormat="0" applyBorder="0" applyAlignment="0" applyProtection="0"/>
    <xf numFmtId="2" fontId="80" fillId="1" borderId="279" applyNumberFormat="0" applyBorder="0" applyProtection="0">
      <alignment horizontal="left"/>
    </xf>
    <xf numFmtId="0" fontId="33" fillId="37" borderId="299"/>
    <xf numFmtId="0" fontId="1" fillId="25" borderId="0" applyNumberFormat="0" applyBorder="0" applyAlignment="0" applyProtection="0"/>
    <xf numFmtId="210" fontId="159" fillId="0" borderId="281" applyFill="0"/>
    <xf numFmtId="210" fontId="138" fillId="0" borderId="280" applyFill="0"/>
    <xf numFmtId="224" fontId="127" fillId="36" borderId="273">
      <alignment horizontal="right"/>
    </xf>
    <xf numFmtId="0" fontId="38" fillId="62" borderId="298" applyNumberFormat="0" applyFont="0" applyAlignment="0" applyProtection="0"/>
    <xf numFmtId="224" fontId="127" fillId="0" borderId="273">
      <alignment horizontal="right"/>
    </xf>
    <xf numFmtId="0" fontId="1" fillId="33" borderId="0" applyNumberFormat="0" applyBorder="0" applyAlignment="0" applyProtection="0"/>
    <xf numFmtId="183" fontId="163" fillId="69" borderId="291">
      <alignment horizontal="center" wrapText="1"/>
    </xf>
    <xf numFmtId="183" fontId="163" fillId="69" borderId="291">
      <alignment horizontal="centerContinuous" wrapText="1"/>
    </xf>
    <xf numFmtId="183" fontId="163" fillId="69" borderId="291">
      <alignment horizontal="center" vertical="justify" textRotation="90"/>
    </xf>
    <xf numFmtId="4" fontId="33" fillId="37" borderId="299"/>
    <xf numFmtId="0" fontId="31" fillId="36" borderId="299">
      <alignment horizontal="right" vertical="center"/>
    </xf>
    <xf numFmtId="0" fontId="4" fillId="32"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4"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26" fillId="17" borderId="10" applyNumberFormat="0" applyAlignment="0" applyProtection="0"/>
    <xf numFmtId="0" fontId="1" fillId="21" borderId="0" applyNumberFormat="0" applyBorder="0" applyAlignment="0" applyProtection="0"/>
    <xf numFmtId="0" fontId="1" fillId="24" borderId="0" applyNumberFormat="0" applyBorder="0" applyAlignment="0" applyProtection="0"/>
    <xf numFmtId="0" fontId="3" fillId="0" borderId="23" applyNumberFormat="0" applyFill="0" applyAlignment="0" applyProtection="0"/>
    <xf numFmtId="0" fontId="4" fillId="29" borderId="0" applyNumberFormat="0" applyBorder="0" applyAlignment="0" applyProtection="0"/>
    <xf numFmtId="0" fontId="4" fillId="26" borderId="0" applyNumberFormat="0" applyBorder="0" applyAlignment="0" applyProtection="0"/>
    <xf numFmtId="0" fontId="4" fillId="20" borderId="0" applyNumberFormat="0" applyBorder="0" applyAlignment="0" applyProtection="0"/>
    <xf numFmtId="0" fontId="1" fillId="22" borderId="0" applyNumberFormat="0" applyBorder="0" applyAlignment="0" applyProtection="0"/>
    <xf numFmtId="0" fontId="25" fillId="17" borderId="22"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1" fillId="28" borderId="0" applyNumberFormat="0" applyBorder="0" applyAlignment="0" applyProtection="0"/>
    <xf numFmtId="0" fontId="4" fillId="20" borderId="0" applyNumberFormat="0" applyBorder="0" applyAlignment="0" applyProtection="0"/>
    <xf numFmtId="0" fontId="26" fillId="17" borderId="10" applyNumberFormat="0" applyAlignment="0" applyProtection="0"/>
    <xf numFmtId="0" fontId="4" fillId="35"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33" fillId="0" borderId="286" applyNumberFormat="0" applyFill="0" applyAlignment="0" applyProtection="0"/>
    <xf numFmtId="0" fontId="31" fillId="38" borderId="286">
      <alignment horizontal="right" vertical="center"/>
    </xf>
    <xf numFmtId="0" fontId="31" fillId="38" borderId="286">
      <alignment horizontal="right" vertical="center"/>
    </xf>
    <xf numFmtId="0" fontId="33" fillId="0" borderId="289">
      <alignment horizontal="left" vertical="center" wrapText="1" indent="2"/>
    </xf>
    <xf numFmtId="0" fontId="31" fillId="38" borderId="288">
      <alignment horizontal="right" vertical="center"/>
    </xf>
    <xf numFmtId="0" fontId="33" fillId="0" borderId="286">
      <alignment horizontal="right" vertical="center"/>
    </xf>
    <xf numFmtId="0" fontId="35" fillId="36" borderId="286">
      <alignment horizontal="right" vertical="center"/>
    </xf>
    <xf numFmtId="0" fontId="33" fillId="37" borderId="286"/>
    <xf numFmtId="0" fontId="31" fillId="36" borderId="286">
      <alignment horizontal="right" vertical="center"/>
    </xf>
    <xf numFmtId="4" fontId="33" fillId="0" borderId="286" applyFill="0" applyBorder="0" applyProtection="0">
      <alignment horizontal="right" vertical="center"/>
    </xf>
    <xf numFmtId="0" fontId="1" fillId="30" borderId="0" applyNumberFormat="0" applyBorder="0" applyAlignment="0" applyProtection="0"/>
    <xf numFmtId="0" fontId="1" fillId="21"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1" fillId="19" borderId="0" applyNumberFormat="0" applyBorder="0" applyAlignment="0" applyProtection="0"/>
    <xf numFmtId="0" fontId="4" fillId="26" borderId="0" applyNumberFormat="0" applyBorder="0" applyAlignment="0" applyProtection="0"/>
    <xf numFmtId="0" fontId="1" fillId="34" borderId="0" applyNumberFormat="0" applyBorder="0" applyAlignment="0" applyProtection="0"/>
    <xf numFmtId="0" fontId="27" fillId="0" borderId="0" applyNumberFormat="0" applyFill="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0" fontId="1" fillId="25" borderId="0" applyNumberFormat="0" applyBorder="0" applyAlignment="0" applyProtection="0"/>
    <xf numFmtId="0" fontId="4" fillId="32" borderId="0" applyNumberFormat="0" applyBorder="0" applyAlignment="0" applyProtection="0"/>
    <xf numFmtId="0" fontId="1" fillId="21" borderId="0" applyNumberFormat="0" applyBorder="0" applyAlignment="0" applyProtection="0"/>
    <xf numFmtId="0" fontId="25" fillId="17" borderId="22" applyNumberFormat="0" applyAlignment="0" applyProtection="0"/>
    <xf numFmtId="0" fontId="1" fillId="31" borderId="0" applyNumberFormat="0" applyBorder="0" applyAlignment="0" applyProtection="0"/>
    <xf numFmtId="0" fontId="4" fillId="20"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3" fillId="0" borderId="23" applyNumberFormat="0" applyFill="0" applyAlignment="0" applyProtection="0"/>
    <xf numFmtId="0" fontId="1" fillId="34" borderId="0" applyNumberFormat="0" applyBorder="0" applyAlignment="0" applyProtection="0"/>
    <xf numFmtId="0" fontId="1" fillId="2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31" fillId="38" borderId="288">
      <alignment horizontal="right" vertical="center"/>
    </xf>
    <xf numFmtId="4" fontId="31" fillId="38" borderId="288">
      <alignment horizontal="right" vertical="center"/>
    </xf>
    <xf numFmtId="0" fontId="33" fillId="38" borderId="289">
      <alignment horizontal="left" vertical="center" wrapText="1" indent="2"/>
    </xf>
    <xf numFmtId="0" fontId="33" fillId="0" borderId="289">
      <alignment horizontal="left" vertical="center" wrapText="1" indent="2"/>
    </xf>
    <xf numFmtId="0" fontId="1" fillId="18" borderId="0" applyNumberFormat="0" applyBorder="0" applyAlignment="0" applyProtection="0"/>
    <xf numFmtId="0" fontId="27" fillId="0" borderId="0" applyNumberFormat="0" applyFill="0" applyBorder="0" applyAlignment="0" applyProtection="0"/>
    <xf numFmtId="0" fontId="1" fillId="33"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4" fillId="23"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2" borderId="0" applyNumberFormat="0" applyBorder="0" applyAlignment="0" applyProtection="0"/>
    <xf numFmtId="0" fontId="99" fillId="15" borderId="295" applyNumberFormat="0" applyAlignment="0" applyProtection="0"/>
    <xf numFmtId="0" fontId="76" fillId="83" borderId="298" applyNumberFormat="0" applyFont="0" applyAlignment="0" applyProtection="0"/>
    <xf numFmtId="0" fontId="26" fillId="17" borderId="10" applyNumberFormat="0" applyAlignment="0" applyProtection="0"/>
    <xf numFmtId="0" fontId="4" fillId="20"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33" fillId="38" borderId="302">
      <alignment horizontal="left" vertical="center" wrapText="1" indent="2"/>
    </xf>
    <xf numFmtId="0" fontId="33" fillId="0" borderId="302">
      <alignment horizontal="left" vertical="center" wrapText="1" indent="2"/>
    </xf>
    <xf numFmtId="0" fontId="33" fillId="38" borderId="302">
      <alignment horizontal="left" vertical="center" wrapText="1" indent="2"/>
    </xf>
    <xf numFmtId="0" fontId="43" fillId="59" borderId="296" applyNumberFormat="0" applyAlignment="0" applyProtection="0"/>
    <xf numFmtId="0" fontId="47" fillId="46" borderId="296" applyNumberFormat="0" applyAlignment="0" applyProtection="0"/>
    <xf numFmtId="0" fontId="56" fillId="46" borderId="296" applyNumberFormat="0" applyAlignment="0" applyProtection="0"/>
    <xf numFmtId="4" fontId="31" fillId="36" borderId="299">
      <alignment horizontal="right" vertical="center"/>
    </xf>
    <xf numFmtId="4" fontId="31" fillId="36" borderId="299">
      <alignment horizontal="right" vertical="center"/>
    </xf>
    <xf numFmtId="0" fontId="35" fillId="36" borderId="299">
      <alignment horizontal="right" vertical="center"/>
    </xf>
    <xf numFmtId="0" fontId="31" fillId="38" borderId="301">
      <alignment horizontal="right" vertical="center"/>
    </xf>
    <xf numFmtId="0" fontId="41" fillId="59" borderId="295" applyNumberFormat="0" applyAlignment="0" applyProtection="0"/>
    <xf numFmtId="0" fontId="43" fillId="59" borderId="296" applyNumberFormat="0" applyAlignment="0" applyProtection="0"/>
    <xf numFmtId="0" fontId="60" fillId="59" borderId="295" applyNumberFormat="0" applyAlignment="0" applyProtection="0"/>
    <xf numFmtId="0" fontId="33" fillId="0" borderId="302">
      <alignment horizontal="left" vertical="center" wrapText="1" indent="2"/>
    </xf>
    <xf numFmtId="0" fontId="33" fillId="38" borderId="302">
      <alignment horizontal="left" vertical="center" wrapText="1" indent="2"/>
    </xf>
    <xf numFmtId="4" fontId="33" fillId="0" borderId="299">
      <alignment horizontal="right" vertical="center"/>
    </xf>
    <xf numFmtId="0" fontId="44" fillId="59" borderId="296" applyNumberFormat="0" applyAlignment="0" applyProtection="0"/>
    <xf numFmtId="0" fontId="47" fillId="46" borderId="296" applyNumberFormat="0" applyAlignment="0" applyProtection="0"/>
    <xf numFmtId="4" fontId="31" fillId="38" borderId="299">
      <alignment horizontal="right" vertical="center"/>
    </xf>
    <xf numFmtId="49" fontId="32" fillId="0" borderId="299" applyNumberFormat="0" applyFill="0" applyBorder="0" applyProtection="0">
      <alignment horizontal="left" vertical="center"/>
    </xf>
    <xf numFmtId="177" fontId="33" fillId="63" borderId="299" applyNumberFormat="0" applyFont="0" applyBorder="0" applyAlignment="0" applyProtection="0">
      <alignment horizontal="right" vertical="center"/>
    </xf>
    <xf numFmtId="49" fontId="33" fillId="0" borderId="299" applyNumberFormat="0" applyFont="0" applyFill="0" applyBorder="0" applyProtection="0">
      <alignment horizontal="left" vertical="center" indent="2"/>
    </xf>
    <xf numFmtId="4" fontId="33" fillId="0" borderId="299">
      <alignment horizontal="right" vertical="center"/>
    </xf>
    <xf numFmtId="0" fontId="47" fillId="46" borderId="296" applyNumberFormat="0" applyAlignment="0" applyProtection="0"/>
    <xf numFmtId="177" fontId="33" fillId="63" borderId="299" applyNumberFormat="0" applyFont="0" applyBorder="0" applyAlignment="0" applyProtection="0">
      <alignment horizontal="right" vertical="center"/>
    </xf>
    <xf numFmtId="0" fontId="47" fillId="46" borderId="296" applyNumberFormat="0" applyAlignment="0" applyProtection="0"/>
    <xf numFmtId="0" fontId="35" fillId="36" borderId="299">
      <alignment horizontal="right" vertical="center"/>
    </xf>
    <xf numFmtId="0" fontId="1" fillId="30" borderId="0" applyNumberFormat="0" applyBorder="0" applyAlignment="0" applyProtection="0"/>
    <xf numFmtId="0" fontId="1" fillId="30" borderId="0" applyNumberFormat="0" applyBorder="0" applyAlignment="0" applyProtection="0"/>
    <xf numFmtId="4" fontId="33" fillId="0" borderId="299" applyFill="0" applyBorder="0" applyProtection="0">
      <alignment horizontal="right" vertical="center"/>
    </xf>
    <xf numFmtId="0" fontId="4" fillId="23" borderId="0" applyNumberFormat="0" applyBorder="0" applyAlignment="0" applyProtection="0"/>
    <xf numFmtId="0" fontId="4" fillId="20" borderId="0" applyNumberFormat="0" applyBorder="0" applyAlignment="0" applyProtection="0"/>
    <xf numFmtId="0" fontId="38" fillId="62" borderId="29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38" fillId="62" borderId="298" applyNumberFormat="0" applyFont="0" applyAlignment="0" applyProtection="0"/>
    <xf numFmtId="4" fontId="31" fillId="38" borderId="301">
      <alignment horizontal="right" vertical="center"/>
    </xf>
    <xf numFmtId="0" fontId="48" fillId="0" borderId="297" applyNumberFormat="0" applyFill="0" applyAlignment="0" applyProtection="0"/>
    <xf numFmtId="0" fontId="4" fillId="26" borderId="0" applyNumberFormat="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177" fontId="33" fillId="63" borderId="299" applyNumberFormat="0" applyFont="0" applyBorder="0" applyAlignment="0" applyProtection="0">
      <alignment horizontal="right" vertical="center"/>
    </xf>
    <xf numFmtId="0" fontId="1" fillId="18" borderId="0" applyNumberFormat="0" applyBorder="0" applyAlignment="0" applyProtection="0"/>
    <xf numFmtId="0" fontId="1" fillId="28" borderId="0" applyNumberFormat="0" applyBorder="0" applyAlignment="0" applyProtection="0"/>
    <xf numFmtId="0" fontId="33" fillId="0" borderId="299">
      <alignment horizontal="right" vertical="center"/>
    </xf>
    <xf numFmtId="0" fontId="33" fillId="0" borderId="299" applyNumberFormat="0" applyFill="0" applyAlignment="0" applyProtection="0"/>
    <xf numFmtId="0" fontId="63" fillId="0" borderId="297" applyNumberFormat="0" applyFill="0" applyAlignment="0" applyProtection="0"/>
    <xf numFmtId="0" fontId="31" fillId="38" borderId="299">
      <alignment horizontal="right" vertical="center"/>
    </xf>
    <xf numFmtId="4" fontId="31" fillId="38" borderId="300">
      <alignment horizontal="right" vertical="center"/>
    </xf>
    <xf numFmtId="0" fontId="56" fillId="46" borderId="296" applyNumberFormat="0" applyAlignment="0" applyProtection="0"/>
    <xf numFmtId="0" fontId="1" fillId="21" borderId="0" applyNumberFormat="0" applyBorder="0" applyAlignment="0" applyProtection="0"/>
    <xf numFmtId="0" fontId="31" fillId="36" borderId="299">
      <alignment horizontal="right" vertical="center"/>
    </xf>
    <xf numFmtId="0" fontId="4" fillId="35" borderId="0" applyNumberFormat="0" applyBorder="0" applyAlignment="0" applyProtection="0"/>
    <xf numFmtId="0" fontId="43" fillId="59" borderId="296" applyNumberFormat="0" applyAlignment="0" applyProtection="0"/>
    <xf numFmtId="0" fontId="44" fillId="59" borderId="296" applyNumberFormat="0" applyAlignment="0" applyProtection="0"/>
    <xf numFmtId="0" fontId="44" fillId="59" borderId="296" applyNumberFormat="0" applyAlignment="0" applyProtection="0"/>
    <xf numFmtId="0" fontId="56" fillId="46" borderId="296" applyNumberFormat="0" applyAlignment="0" applyProtection="0"/>
    <xf numFmtId="0" fontId="43" fillId="59" borderId="296" applyNumberFormat="0" applyAlignment="0" applyProtection="0"/>
    <xf numFmtId="0" fontId="60" fillId="59" borderId="295" applyNumberFormat="0" applyAlignment="0" applyProtection="0"/>
    <xf numFmtId="0" fontId="4" fillId="32" borderId="0" applyNumberFormat="0" applyBorder="0" applyAlignment="0" applyProtection="0"/>
    <xf numFmtId="0" fontId="19" fillId="62" borderId="298" applyNumberFormat="0" applyFont="0" applyAlignment="0" applyProtection="0"/>
    <xf numFmtId="0" fontId="33" fillId="36" borderId="300">
      <alignment horizontal="left" vertical="center"/>
    </xf>
    <xf numFmtId="0" fontId="33" fillId="36" borderId="300">
      <alignment horizontal="left" vertical="center"/>
    </xf>
    <xf numFmtId="0" fontId="44" fillId="59" borderId="296" applyNumberFormat="0" applyAlignment="0" applyProtection="0"/>
    <xf numFmtId="0" fontId="47" fillId="46" borderId="296" applyNumberFormat="0" applyAlignment="0" applyProtection="0"/>
    <xf numFmtId="4" fontId="33" fillId="37" borderId="299"/>
    <xf numFmtId="0" fontId="41" fillId="59" borderId="295" applyNumberFormat="0" applyAlignment="0" applyProtection="0"/>
    <xf numFmtId="4" fontId="31" fillId="38" borderId="299">
      <alignment horizontal="right" vertical="center"/>
    </xf>
    <xf numFmtId="0" fontId="31" fillId="38" borderId="301">
      <alignment horizontal="right" vertical="center"/>
    </xf>
    <xf numFmtId="4" fontId="35" fillId="36" borderId="299">
      <alignment horizontal="right" vertical="center"/>
    </xf>
    <xf numFmtId="0" fontId="56" fillId="46" borderId="296" applyNumberFormat="0" applyAlignment="0" applyProtection="0"/>
    <xf numFmtId="0" fontId="35" fillId="36" borderId="299">
      <alignment horizontal="right" vertical="center"/>
    </xf>
    <xf numFmtId="0" fontId="33" fillId="0" borderId="299" applyNumberFormat="0" applyFill="0" applyAlignment="0" applyProtection="0"/>
    <xf numFmtId="0" fontId="1" fillId="21" borderId="0" applyNumberFormat="0" applyBorder="0" applyAlignment="0" applyProtection="0"/>
    <xf numFmtId="0" fontId="48" fillId="0" borderId="297" applyNumberFormat="0" applyFill="0" applyAlignment="0" applyProtection="0"/>
    <xf numFmtId="0" fontId="4" fillId="29" borderId="0" applyNumberFormat="0" applyBorder="0" applyAlignment="0" applyProtection="0"/>
    <xf numFmtId="4" fontId="31" fillId="36" borderId="299">
      <alignment horizontal="right" vertical="center"/>
    </xf>
    <xf numFmtId="0" fontId="33" fillId="0" borderId="299" applyNumberFormat="0" applyFill="0" applyAlignment="0" applyProtection="0"/>
    <xf numFmtId="4" fontId="35" fillId="36" borderId="299">
      <alignment horizontal="right" vertical="center"/>
    </xf>
    <xf numFmtId="0" fontId="1" fillId="19" borderId="0" applyNumberFormat="0" applyBorder="0" applyAlignment="0" applyProtection="0"/>
    <xf numFmtId="0" fontId="60" fillId="59" borderId="295" applyNumberFormat="0" applyAlignment="0" applyProtection="0"/>
    <xf numFmtId="0" fontId="1" fillId="19" borderId="0" applyNumberFormat="0" applyBorder="0" applyAlignment="0" applyProtection="0"/>
    <xf numFmtId="0" fontId="31" fillId="36" borderId="299">
      <alignment horizontal="right" vertical="center"/>
    </xf>
    <xf numFmtId="0" fontId="63" fillId="0" borderId="297" applyNumberFormat="0" applyFill="0" applyAlignment="0" applyProtection="0"/>
    <xf numFmtId="0" fontId="44" fillId="59" borderId="296" applyNumberFormat="0" applyAlignment="0" applyProtection="0"/>
    <xf numFmtId="0" fontId="1" fillId="25" borderId="0" applyNumberFormat="0" applyBorder="0" applyAlignment="0" applyProtection="0"/>
    <xf numFmtId="177" fontId="33" fillId="63" borderId="299" applyNumberFormat="0" applyFont="0" applyBorder="0" applyAlignment="0" applyProtection="0">
      <alignment horizontal="right" vertical="center"/>
    </xf>
    <xf numFmtId="0" fontId="31" fillId="38" borderId="299">
      <alignment horizontal="right" vertical="center"/>
    </xf>
    <xf numFmtId="0" fontId="1" fillId="21" borderId="0" applyNumberFormat="0" applyBorder="0" applyAlignment="0" applyProtection="0"/>
    <xf numFmtId="0" fontId="3" fillId="0" borderId="23" applyNumberFormat="0" applyFill="0" applyAlignment="0" applyProtection="0"/>
    <xf numFmtId="0" fontId="44" fillId="59" borderId="296" applyNumberFormat="0" applyAlignment="0" applyProtection="0"/>
    <xf numFmtId="0" fontId="33" fillId="38" borderId="302">
      <alignment horizontal="left" vertical="center" wrapText="1" indent="2"/>
    </xf>
    <xf numFmtId="0" fontId="33" fillId="38" borderId="302">
      <alignment horizontal="left" vertical="center" wrapText="1" indent="2"/>
    </xf>
    <xf numFmtId="49" fontId="32" fillId="0" borderId="299" applyNumberFormat="0" applyFill="0" applyBorder="0" applyProtection="0">
      <alignment horizontal="left" vertical="center"/>
    </xf>
    <xf numFmtId="0" fontId="47" fillId="46" borderId="296" applyNumberFormat="0" applyAlignment="0" applyProtection="0"/>
    <xf numFmtId="0" fontId="1" fillId="31" borderId="0" applyNumberFormat="0" applyBorder="0" applyAlignment="0" applyProtection="0"/>
    <xf numFmtId="0" fontId="33" fillId="38" borderId="302">
      <alignment horizontal="left" vertical="center" wrapText="1" indent="2"/>
    </xf>
    <xf numFmtId="4" fontId="33" fillId="0" borderId="299" applyFill="0" applyBorder="0" applyProtection="0">
      <alignment horizontal="right" vertical="center"/>
    </xf>
    <xf numFmtId="0" fontId="31" fillId="36" borderId="299">
      <alignment horizontal="right" vertical="center"/>
    </xf>
    <xf numFmtId="0" fontId="43" fillId="59" borderId="296" applyNumberFormat="0" applyAlignment="0" applyProtection="0"/>
    <xf numFmtId="0" fontId="44" fillId="59" borderId="296" applyNumberFormat="0" applyAlignment="0" applyProtection="0"/>
    <xf numFmtId="4" fontId="35" fillId="36" borderId="299">
      <alignment horizontal="right" vertical="center"/>
    </xf>
    <xf numFmtId="4" fontId="31" fillId="38" borderId="300">
      <alignment horizontal="right" vertical="center"/>
    </xf>
    <xf numFmtId="0" fontId="63" fillId="0" borderId="297" applyNumberFormat="0" applyFill="0" applyAlignment="0" applyProtection="0"/>
    <xf numFmtId="0" fontId="38" fillId="62" borderId="298" applyNumberFormat="0" applyFont="0" applyAlignment="0" applyProtection="0"/>
    <xf numFmtId="0" fontId="4" fillId="20" borderId="0" applyNumberFormat="0" applyBorder="0" applyAlignment="0" applyProtection="0"/>
    <xf numFmtId="0" fontId="31" fillId="36" borderId="299">
      <alignment horizontal="right" vertical="center"/>
    </xf>
    <xf numFmtId="4" fontId="33" fillId="37" borderId="299"/>
    <xf numFmtId="0" fontId="27" fillId="0" borderId="0" applyNumberFormat="0" applyFill="0" applyBorder="0" applyAlignment="0" applyProtection="0"/>
    <xf numFmtId="4" fontId="31" fillId="38" borderId="299">
      <alignment horizontal="right" vertical="center"/>
    </xf>
    <xf numFmtId="0" fontId="33" fillId="38" borderId="302">
      <alignment horizontal="left" vertical="center" wrapText="1" indent="2"/>
    </xf>
    <xf numFmtId="49" fontId="33" fillId="0" borderId="299" applyNumberFormat="0" applyFont="0" applyFill="0" applyBorder="0" applyProtection="0">
      <alignment horizontal="left" vertical="center" indent="2"/>
    </xf>
    <xf numFmtId="4" fontId="33" fillId="0" borderId="299">
      <alignment horizontal="right" vertical="center"/>
    </xf>
    <xf numFmtId="0" fontId="31" fillId="38" borderId="301">
      <alignment horizontal="right" vertical="center"/>
    </xf>
    <xf numFmtId="0" fontId="3" fillId="0" borderId="23" applyNumberFormat="0" applyFill="0" applyAlignment="0" applyProtection="0"/>
    <xf numFmtId="0" fontId="1" fillId="31" borderId="0" applyNumberFormat="0" applyBorder="0" applyAlignment="0" applyProtection="0"/>
    <xf numFmtId="0" fontId="48" fillId="0" borderId="297" applyNumberFormat="0" applyFill="0" applyAlignment="0" applyProtection="0"/>
    <xf numFmtId="0" fontId="1" fillId="28" borderId="0" applyNumberFormat="0" applyBorder="0" applyAlignment="0" applyProtection="0"/>
    <xf numFmtId="49" fontId="33" fillId="0" borderId="299" applyNumberFormat="0" applyFont="0" applyFill="0" applyBorder="0" applyProtection="0">
      <alignment horizontal="left" vertical="center" indent="2"/>
    </xf>
    <xf numFmtId="0" fontId="60" fillId="59" borderId="295" applyNumberFormat="0" applyAlignment="0" applyProtection="0"/>
    <xf numFmtId="0" fontId="35" fillId="36" borderId="299">
      <alignment horizontal="right" vertical="center"/>
    </xf>
    <xf numFmtId="0" fontId="33" fillId="37" borderId="299"/>
    <xf numFmtId="0" fontId="31" fillId="38" borderId="300">
      <alignment horizontal="right" vertical="center"/>
    </xf>
    <xf numFmtId="0" fontId="4" fillId="23" borderId="0" applyNumberFormat="0" applyBorder="0" applyAlignment="0" applyProtection="0"/>
    <xf numFmtId="4" fontId="35" fillId="36" borderId="299">
      <alignment horizontal="right" vertical="center"/>
    </xf>
    <xf numFmtId="0" fontId="47" fillId="46" borderId="296" applyNumberFormat="0" applyAlignment="0" applyProtection="0"/>
    <xf numFmtId="0" fontId="33" fillId="38" borderId="302">
      <alignment horizontal="left" vertical="center" wrapText="1" indent="2"/>
    </xf>
    <xf numFmtId="4" fontId="31" fillId="36" borderId="299">
      <alignment horizontal="right" vertical="center"/>
    </xf>
    <xf numFmtId="0" fontId="56" fillId="46" borderId="296" applyNumberFormat="0" applyAlignment="0" applyProtection="0"/>
    <xf numFmtId="0" fontId="33" fillId="0" borderId="299">
      <alignment horizontal="right" vertical="center"/>
    </xf>
    <xf numFmtId="0" fontId="33" fillId="37" borderId="299"/>
    <xf numFmtId="0" fontId="33" fillId="0" borderId="299">
      <alignment horizontal="right" vertical="center"/>
    </xf>
    <xf numFmtId="0" fontId="33" fillId="0" borderId="302">
      <alignment horizontal="left" vertical="center" wrapText="1" indent="2"/>
    </xf>
    <xf numFmtId="0" fontId="56" fillId="46" borderId="296" applyNumberFormat="0" applyAlignment="0" applyProtection="0"/>
    <xf numFmtId="4" fontId="33" fillId="0" borderId="299" applyFill="0" applyBorder="0" applyProtection="0">
      <alignment horizontal="right" vertical="center"/>
    </xf>
    <xf numFmtId="0" fontId="31" fillId="38" borderId="299">
      <alignment horizontal="right" vertical="center"/>
    </xf>
    <xf numFmtId="0" fontId="33" fillId="0" borderId="302">
      <alignment horizontal="left" vertical="center" wrapText="1" indent="2"/>
    </xf>
    <xf numFmtId="0" fontId="4" fillId="23" borderId="0" applyNumberFormat="0" applyBorder="0" applyAlignment="0" applyProtection="0"/>
    <xf numFmtId="0" fontId="56" fillId="46" borderId="296" applyNumberFormat="0" applyAlignment="0" applyProtection="0"/>
    <xf numFmtId="177" fontId="33" fillId="63" borderId="299" applyNumberFormat="0" applyFont="0" applyBorder="0" applyAlignment="0" applyProtection="0">
      <alignment horizontal="right" vertical="center"/>
    </xf>
    <xf numFmtId="0" fontId="48" fillId="0" borderId="297" applyNumberFormat="0" applyFill="0" applyAlignment="0" applyProtection="0"/>
    <xf numFmtId="0" fontId="47" fillId="46" borderId="296" applyNumberFormat="0" applyAlignment="0" applyProtection="0"/>
    <xf numFmtId="0" fontId="33" fillId="0" borderId="302">
      <alignment horizontal="left" vertical="center" wrapText="1" indent="2"/>
    </xf>
    <xf numFmtId="0" fontId="43" fillId="59" borderId="296" applyNumberFormat="0" applyAlignment="0" applyProtection="0"/>
    <xf numFmtId="0" fontId="44" fillId="59" borderId="296" applyNumberFormat="0" applyAlignment="0" applyProtection="0"/>
    <xf numFmtId="0" fontId="56" fillId="46" borderId="296" applyNumberFormat="0" applyAlignment="0" applyProtection="0"/>
    <xf numFmtId="4" fontId="31" fillId="38" borderId="299">
      <alignment horizontal="right" vertical="center"/>
    </xf>
    <xf numFmtId="4" fontId="31" fillId="38" borderId="299">
      <alignment horizontal="right" vertical="center"/>
    </xf>
    <xf numFmtId="0" fontId="1" fillId="34" borderId="0" applyNumberFormat="0" applyBorder="0" applyAlignment="0" applyProtection="0"/>
    <xf numFmtId="0" fontId="28" fillId="0" borderId="0" applyNumberFormat="0" applyFill="0" applyBorder="0" applyAlignment="0" applyProtection="0"/>
    <xf numFmtId="0" fontId="25" fillId="17" borderId="22" applyNumberFormat="0" applyAlignment="0" applyProtection="0"/>
    <xf numFmtId="49" fontId="33" fillId="0" borderId="300" applyNumberFormat="0" applyFont="0" applyFill="0" applyBorder="0" applyProtection="0">
      <alignment horizontal="left" vertical="center" indent="5"/>
    </xf>
    <xf numFmtId="0" fontId="31" fillId="36" borderId="299">
      <alignment horizontal="right" vertical="center"/>
    </xf>
    <xf numFmtId="0" fontId="63" fillId="0" borderId="297" applyNumberFormat="0" applyFill="0" applyAlignment="0" applyProtection="0"/>
    <xf numFmtId="0" fontId="44" fillId="59" borderId="296" applyNumberFormat="0" applyAlignment="0" applyProtection="0"/>
    <xf numFmtId="0" fontId="38" fillId="62" borderId="298" applyNumberFormat="0" applyFont="0" applyAlignment="0" applyProtection="0"/>
    <xf numFmtId="4" fontId="33" fillId="0" borderId="299">
      <alignment horizontal="right" vertical="center"/>
    </xf>
    <xf numFmtId="0" fontId="41" fillId="59" borderId="295" applyNumberFormat="0" applyAlignment="0" applyProtection="0"/>
    <xf numFmtId="0" fontId="33" fillId="0" borderId="299">
      <alignment horizontal="right" vertical="center"/>
    </xf>
    <xf numFmtId="0" fontId="43" fillId="59" borderId="296" applyNumberFormat="0" applyAlignment="0" applyProtection="0"/>
    <xf numFmtId="0" fontId="31" fillId="38" borderId="300">
      <alignment horizontal="right" vertical="center"/>
    </xf>
    <xf numFmtId="4" fontId="35" fillId="36" borderId="299">
      <alignment horizontal="right" vertical="center"/>
    </xf>
    <xf numFmtId="0" fontId="4" fillId="29" borderId="0" applyNumberFormat="0" applyBorder="0" applyAlignment="0" applyProtection="0"/>
    <xf numFmtId="0" fontId="31" fillId="38" borderId="301">
      <alignment horizontal="right" vertical="center"/>
    </xf>
    <xf numFmtId="0" fontId="31" fillId="38" borderId="299">
      <alignment horizontal="right" vertical="center"/>
    </xf>
    <xf numFmtId="0" fontId="1" fillId="31" borderId="0" applyNumberFormat="0" applyBorder="0" applyAlignment="0" applyProtection="0"/>
    <xf numFmtId="0" fontId="31" fillId="38" borderId="299">
      <alignment horizontal="right" vertical="center"/>
    </xf>
    <xf numFmtId="0" fontId="31" fillId="38" borderId="300">
      <alignment horizontal="right" vertical="center"/>
    </xf>
    <xf numFmtId="0" fontId="63" fillId="0" borderId="297" applyNumberFormat="0" applyFill="0" applyAlignment="0" applyProtection="0"/>
    <xf numFmtId="4" fontId="31" fillId="38" borderId="299">
      <alignment horizontal="right" vertical="center"/>
    </xf>
    <xf numFmtId="0" fontId="60" fillId="59" borderId="295" applyNumberFormat="0" applyAlignment="0" applyProtection="0"/>
    <xf numFmtId="0" fontId="60" fillId="59" borderId="295" applyNumberFormat="0" applyAlignment="0" applyProtection="0"/>
    <xf numFmtId="0" fontId="44" fillId="59" borderId="296" applyNumberFormat="0" applyAlignment="0" applyProtection="0"/>
    <xf numFmtId="0" fontId="33" fillId="0" borderId="299" applyNumberFormat="0" applyFill="0" applyAlignment="0" applyProtection="0"/>
    <xf numFmtId="0" fontId="63" fillId="0" borderId="297" applyNumberFormat="0" applyFill="0" applyAlignment="0" applyProtection="0"/>
    <xf numFmtId="0" fontId="63" fillId="0" borderId="297" applyNumberFormat="0" applyFill="0" applyAlignment="0" applyProtection="0"/>
    <xf numFmtId="0" fontId="27" fillId="0" borderId="0" applyNumberFormat="0" applyFill="0" applyBorder="0" applyAlignment="0" applyProtection="0"/>
    <xf numFmtId="0" fontId="31" fillId="38" borderId="299">
      <alignment horizontal="right" vertical="center"/>
    </xf>
    <xf numFmtId="0" fontId="43" fillId="59" borderId="296" applyNumberFormat="0" applyAlignment="0" applyProtection="0"/>
    <xf numFmtId="0" fontId="31" fillId="38" borderId="299">
      <alignment horizontal="right" vertical="center"/>
    </xf>
    <xf numFmtId="49" fontId="33" fillId="0" borderId="300" applyNumberFormat="0" applyFont="0" applyFill="0" applyBorder="0" applyProtection="0">
      <alignment horizontal="left" vertical="center" indent="5"/>
    </xf>
    <xf numFmtId="0" fontId="56" fillId="46" borderId="296" applyNumberFormat="0" applyAlignment="0" applyProtection="0"/>
    <xf numFmtId="0" fontId="33" fillId="0" borderId="302">
      <alignment horizontal="left" vertical="center" wrapText="1" indent="2"/>
    </xf>
    <xf numFmtId="4" fontId="33" fillId="0" borderId="299">
      <alignment horizontal="right" vertical="center"/>
    </xf>
    <xf numFmtId="49" fontId="33" fillId="0" borderId="300" applyNumberFormat="0" applyFont="0" applyFill="0" applyBorder="0" applyProtection="0">
      <alignment horizontal="left" vertical="center" indent="5"/>
    </xf>
    <xf numFmtId="0" fontId="56" fillId="46" borderId="296" applyNumberFormat="0" applyAlignment="0" applyProtection="0"/>
    <xf numFmtId="0" fontId="1" fillId="25" borderId="0" applyNumberFormat="0" applyBorder="0" applyAlignment="0" applyProtection="0"/>
    <xf numFmtId="4" fontId="31" fillId="36" borderId="299">
      <alignment horizontal="right" vertical="center"/>
    </xf>
    <xf numFmtId="4" fontId="33" fillId="0" borderId="299" applyFill="0" applyBorder="0" applyProtection="0">
      <alignment horizontal="right" vertical="center"/>
    </xf>
    <xf numFmtId="0" fontId="44" fillId="59" borderId="296" applyNumberFormat="0" applyAlignment="0" applyProtection="0"/>
    <xf numFmtId="4" fontId="33" fillId="0" borderId="299">
      <alignment horizontal="right" vertical="center"/>
    </xf>
    <xf numFmtId="0" fontId="31" fillId="38" borderId="299">
      <alignment horizontal="right" vertical="center"/>
    </xf>
    <xf numFmtId="0" fontId="33" fillId="38" borderId="302">
      <alignment horizontal="left" vertical="center" wrapText="1" indent="2"/>
    </xf>
    <xf numFmtId="0" fontId="56" fillId="46" borderId="296" applyNumberFormat="0" applyAlignment="0" applyProtection="0"/>
    <xf numFmtId="0" fontId="33" fillId="0" borderId="299">
      <alignment horizontal="right" vertical="center"/>
    </xf>
    <xf numFmtId="0" fontId="19" fillId="62" borderId="298" applyNumberFormat="0" applyFont="0" applyAlignment="0" applyProtection="0"/>
    <xf numFmtId="0" fontId="4" fillId="26" borderId="0" applyNumberFormat="0" applyBorder="0" applyAlignment="0" applyProtection="0"/>
    <xf numFmtId="4" fontId="33" fillId="37" borderId="299"/>
    <xf numFmtId="177" fontId="33" fillId="63" borderId="299" applyNumberFormat="0" applyFont="0" applyBorder="0" applyAlignment="0" applyProtection="0">
      <alignment horizontal="right" vertical="center"/>
    </xf>
    <xf numFmtId="0" fontId="35" fillId="36" borderId="299">
      <alignment horizontal="right" vertical="center"/>
    </xf>
    <xf numFmtId="4" fontId="31" fillId="38" borderId="299">
      <alignment horizontal="right" vertical="center"/>
    </xf>
    <xf numFmtId="4" fontId="31" fillId="38" borderId="300">
      <alignment horizontal="right" vertical="center"/>
    </xf>
    <xf numFmtId="0" fontId="56" fillId="46" borderId="296" applyNumberFormat="0" applyAlignment="0" applyProtection="0"/>
    <xf numFmtId="0" fontId="60" fillId="59" borderId="295" applyNumberFormat="0" applyAlignment="0" applyProtection="0"/>
    <xf numFmtId="0" fontId="48" fillId="0" borderId="297" applyNumberFormat="0" applyFill="0" applyAlignment="0" applyProtection="0"/>
    <xf numFmtId="0" fontId="43" fillId="59" borderId="296" applyNumberFormat="0" applyAlignment="0" applyProtection="0"/>
    <xf numFmtId="0" fontId="31" fillId="38" borderId="299">
      <alignment horizontal="right" vertical="center"/>
    </xf>
    <xf numFmtId="0" fontId="33" fillId="0" borderId="302">
      <alignment horizontal="left" vertical="center" wrapText="1" indent="2"/>
    </xf>
    <xf numFmtId="0" fontId="33" fillId="36" borderId="300">
      <alignment horizontal="left" vertical="center"/>
    </xf>
    <xf numFmtId="0" fontId="33" fillId="36" borderId="300">
      <alignment horizontal="left" vertical="center"/>
    </xf>
    <xf numFmtId="4" fontId="33" fillId="0" borderId="299" applyFill="0" applyBorder="0" applyProtection="0">
      <alignment horizontal="right" vertical="center"/>
    </xf>
    <xf numFmtId="0" fontId="44" fillId="59" borderId="296" applyNumberFormat="0" applyAlignment="0" applyProtection="0"/>
    <xf numFmtId="0" fontId="33" fillId="0" borderId="299" applyNumberFormat="0" applyFill="0" applyAlignment="0" applyProtection="0"/>
    <xf numFmtId="0" fontId="1" fillId="24" borderId="0" applyNumberFormat="0" applyBorder="0" applyAlignment="0" applyProtection="0"/>
    <xf numFmtId="49" fontId="32" fillId="0" borderId="299" applyNumberFormat="0" applyFill="0" applyBorder="0" applyProtection="0">
      <alignment horizontal="left" vertical="center"/>
    </xf>
    <xf numFmtId="0" fontId="38" fillId="62" borderId="298" applyNumberFormat="0" applyFont="0" applyAlignment="0" applyProtection="0"/>
    <xf numFmtId="0" fontId="44" fillId="59" borderId="296" applyNumberFormat="0" applyAlignment="0" applyProtection="0"/>
    <xf numFmtId="0" fontId="31" fillId="38" borderId="301">
      <alignment horizontal="right" vertical="center"/>
    </xf>
    <xf numFmtId="0" fontId="43" fillId="59" borderId="296" applyNumberFormat="0" applyAlignment="0" applyProtection="0"/>
    <xf numFmtId="0" fontId="44" fillId="59" borderId="296" applyNumberFormat="0" applyAlignment="0" applyProtection="0"/>
    <xf numFmtId="4" fontId="33" fillId="37" borderId="299"/>
    <xf numFmtId="0" fontId="31" fillId="38" borderId="301">
      <alignment horizontal="right" vertical="center"/>
    </xf>
    <xf numFmtId="0" fontId="1" fillId="25" borderId="0" applyNumberFormat="0" applyBorder="0" applyAlignment="0" applyProtection="0"/>
    <xf numFmtId="0" fontId="38" fillId="62" borderId="298" applyNumberFormat="0" applyFont="0" applyAlignment="0" applyProtection="0"/>
    <xf numFmtId="4" fontId="33" fillId="37" borderId="299"/>
    <xf numFmtId="0" fontId="38" fillId="62" borderId="298" applyNumberFormat="0" applyFont="0" applyAlignment="0" applyProtection="0"/>
    <xf numFmtId="0" fontId="33" fillId="0" borderId="302">
      <alignment horizontal="left" vertical="center" wrapText="1" indent="2"/>
    </xf>
    <xf numFmtId="0" fontId="63" fillId="0" borderId="297" applyNumberFormat="0" applyFill="0" applyAlignment="0" applyProtection="0"/>
    <xf numFmtId="0" fontId="33" fillId="0" borderId="299" applyNumberFormat="0" applyFill="0" applyAlignment="0" applyProtection="0"/>
    <xf numFmtId="177" fontId="33" fillId="63" borderId="299" applyNumberFormat="0" applyFont="0" applyBorder="0" applyAlignment="0" applyProtection="0">
      <alignment horizontal="right" vertical="center"/>
    </xf>
    <xf numFmtId="0" fontId="44" fillId="59" borderId="296" applyNumberFormat="0" applyAlignment="0" applyProtection="0"/>
    <xf numFmtId="0" fontId="48" fillId="0" borderId="297" applyNumberFormat="0" applyFill="0" applyAlignment="0" applyProtection="0"/>
    <xf numFmtId="49" fontId="33" fillId="0" borderId="300" applyNumberFormat="0" applyFont="0" applyFill="0" applyBorder="0" applyProtection="0">
      <alignment horizontal="left" vertical="center" indent="5"/>
    </xf>
    <xf numFmtId="4" fontId="31" fillId="38" borderId="301">
      <alignment horizontal="right" vertical="center"/>
    </xf>
    <xf numFmtId="0" fontId="38" fillId="62" borderId="298" applyNumberFormat="0" applyFont="0" applyAlignment="0" applyProtection="0"/>
    <xf numFmtId="0" fontId="38" fillId="62" borderId="298" applyNumberFormat="0" applyFont="0" applyAlignment="0" applyProtection="0"/>
    <xf numFmtId="0" fontId="56" fillId="46" borderId="296" applyNumberFormat="0" applyAlignment="0" applyProtection="0"/>
    <xf numFmtId="0" fontId="26" fillId="17" borderId="10" applyNumberFormat="0" applyAlignment="0" applyProtection="0"/>
    <xf numFmtId="4" fontId="31" fillId="36" borderId="299">
      <alignment horizontal="right" vertical="center"/>
    </xf>
    <xf numFmtId="49" fontId="32" fillId="0" borderId="299" applyNumberFormat="0" applyFill="0" applyBorder="0" applyProtection="0">
      <alignment horizontal="left" vertical="center"/>
    </xf>
    <xf numFmtId="0" fontId="38" fillId="62" borderId="298" applyNumberFormat="0" applyFont="0" applyAlignment="0" applyProtection="0"/>
    <xf numFmtId="4" fontId="31" fillId="38" borderId="299">
      <alignment horizontal="right" vertical="center"/>
    </xf>
    <xf numFmtId="0" fontId="33" fillId="38" borderId="302">
      <alignment horizontal="left" vertical="center" wrapText="1" indent="2"/>
    </xf>
    <xf numFmtId="0" fontId="4" fillId="32" borderId="0" applyNumberFormat="0" applyBorder="0" applyAlignment="0" applyProtection="0"/>
    <xf numFmtId="0" fontId="33" fillId="0" borderId="299">
      <alignment horizontal="right" vertical="center"/>
    </xf>
    <xf numFmtId="4" fontId="31" fillId="38" borderId="299">
      <alignment horizontal="right" vertical="center"/>
    </xf>
    <xf numFmtId="0" fontId="56" fillId="46" borderId="296" applyNumberFormat="0" applyAlignment="0" applyProtection="0"/>
    <xf numFmtId="0" fontId="63" fillId="0" borderId="297" applyNumberFormat="0" applyFill="0" applyAlignment="0" applyProtection="0"/>
    <xf numFmtId="0" fontId="31" fillId="38" borderId="300">
      <alignment horizontal="right" vertical="center"/>
    </xf>
    <xf numFmtId="0" fontId="48" fillId="0" borderId="297" applyNumberFormat="0" applyFill="0" applyAlignment="0" applyProtection="0"/>
    <xf numFmtId="4" fontId="33" fillId="0" borderId="299" applyFill="0" applyBorder="0" applyProtection="0">
      <alignment horizontal="right" vertical="center"/>
    </xf>
    <xf numFmtId="0" fontId="33" fillId="36" borderId="300">
      <alignment horizontal="left" vertical="center"/>
    </xf>
    <xf numFmtId="0" fontId="35" fillId="36" borderId="299">
      <alignment horizontal="right" vertical="center"/>
    </xf>
    <xf numFmtId="0" fontId="33" fillId="38" borderId="302">
      <alignment horizontal="left" vertical="center" wrapText="1" indent="2"/>
    </xf>
    <xf numFmtId="0" fontId="26" fillId="17" borderId="10" applyNumberFormat="0" applyAlignment="0" applyProtection="0"/>
    <xf numFmtId="0" fontId="33" fillId="37" borderId="299"/>
    <xf numFmtId="0" fontId="4" fillId="29" borderId="0" applyNumberFormat="0" applyBorder="0" applyAlignment="0" applyProtection="0"/>
    <xf numFmtId="49" fontId="33" fillId="0" borderId="299" applyNumberFormat="0" applyFont="0" applyFill="0" applyBorder="0" applyProtection="0">
      <alignment horizontal="left" vertical="center" indent="2"/>
    </xf>
    <xf numFmtId="0" fontId="47" fillId="46" borderId="296" applyNumberFormat="0" applyAlignment="0" applyProtection="0"/>
    <xf numFmtId="4" fontId="31" fillId="38" borderId="301">
      <alignment horizontal="right" vertical="center"/>
    </xf>
    <xf numFmtId="4" fontId="31" fillId="38" borderId="299">
      <alignment horizontal="right" vertical="center"/>
    </xf>
    <xf numFmtId="0" fontId="48" fillId="0" borderId="297" applyNumberFormat="0" applyFill="0" applyAlignment="0" applyProtection="0"/>
    <xf numFmtId="0" fontId="44" fillId="59" borderId="296" applyNumberFormat="0" applyAlignment="0" applyProtection="0"/>
    <xf numFmtId="4" fontId="31" fillId="38" borderId="299">
      <alignment horizontal="right" vertical="center"/>
    </xf>
    <xf numFmtId="0" fontId="33" fillId="38" borderId="302">
      <alignment horizontal="left" vertical="center" wrapText="1" indent="2"/>
    </xf>
    <xf numFmtId="0" fontId="1" fillId="27" borderId="0" applyNumberFormat="0" applyBorder="0" applyAlignment="0" applyProtection="0"/>
    <xf numFmtId="0" fontId="33" fillId="0" borderId="302">
      <alignment horizontal="left" vertical="center" wrapText="1" indent="2"/>
    </xf>
    <xf numFmtId="0" fontId="31" fillId="38" borderId="299">
      <alignment horizontal="right" vertical="center"/>
    </xf>
    <xf numFmtId="49" fontId="33" fillId="0" borderId="299" applyNumberFormat="0" applyFont="0" applyFill="0" applyBorder="0" applyProtection="0">
      <alignment horizontal="left" vertical="center" indent="2"/>
    </xf>
    <xf numFmtId="0" fontId="4" fillId="35" borderId="0" applyNumberFormat="0" applyBorder="0" applyAlignment="0" applyProtection="0"/>
    <xf numFmtId="0" fontId="48" fillId="0" borderId="297" applyNumberFormat="0" applyFill="0" applyAlignment="0" applyProtection="0"/>
    <xf numFmtId="4" fontId="33" fillId="0" borderId="299" applyFill="0" applyBorder="0" applyProtection="0">
      <alignment horizontal="right" vertical="center"/>
    </xf>
    <xf numFmtId="0" fontId="43" fillId="59" borderId="296" applyNumberFormat="0" applyAlignment="0" applyProtection="0"/>
    <xf numFmtId="0" fontId="25" fillId="17" borderId="22" applyNumberFormat="0" applyAlignment="0" applyProtection="0"/>
    <xf numFmtId="0" fontId="1" fillId="24" borderId="0" applyNumberFormat="0" applyBorder="0" applyAlignment="0" applyProtection="0"/>
    <xf numFmtId="4" fontId="35" fillId="36" borderId="299">
      <alignment horizontal="right" vertical="center"/>
    </xf>
    <xf numFmtId="0" fontId="33" fillId="0" borderId="299">
      <alignment horizontal="right" vertical="center"/>
    </xf>
    <xf numFmtId="0" fontId="56" fillId="46" borderId="296" applyNumberFormat="0" applyAlignment="0" applyProtection="0"/>
    <xf numFmtId="0" fontId="31" fillId="36" borderId="299">
      <alignment horizontal="right" vertical="center"/>
    </xf>
    <xf numFmtId="0" fontId="33" fillId="36" borderId="300">
      <alignment horizontal="left" vertical="center"/>
    </xf>
    <xf numFmtId="4" fontId="31" fillId="38" borderId="300">
      <alignment horizontal="right" vertical="center"/>
    </xf>
    <xf numFmtId="4" fontId="33" fillId="37" borderId="299"/>
    <xf numFmtId="4" fontId="31" fillId="38" borderId="300">
      <alignment horizontal="right" vertical="center"/>
    </xf>
    <xf numFmtId="0" fontId="31" fillId="38" borderId="300">
      <alignment horizontal="right" vertical="center"/>
    </xf>
    <xf numFmtId="0" fontId="31" fillId="36" borderId="299">
      <alignment horizontal="right" vertical="center"/>
    </xf>
    <xf numFmtId="0" fontId="56" fillId="46" borderId="296" applyNumberFormat="0" applyAlignment="0" applyProtection="0"/>
    <xf numFmtId="4" fontId="35" fillId="36" borderId="299">
      <alignment horizontal="right" vertical="center"/>
    </xf>
    <xf numFmtId="0" fontId="60" fillId="59" borderId="295" applyNumberFormat="0" applyAlignment="0" applyProtection="0"/>
    <xf numFmtId="49" fontId="33" fillId="0" borderId="299" applyNumberFormat="0" applyFont="0" applyFill="0" applyBorder="0" applyProtection="0">
      <alignment horizontal="left" vertical="center" indent="2"/>
    </xf>
    <xf numFmtId="0" fontId="33" fillId="0" borderId="299" applyNumberFormat="0" applyFill="0" applyAlignment="0" applyProtection="0"/>
    <xf numFmtId="0" fontId="43" fillId="59" borderId="296" applyNumberFormat="0" applyAlignment="0" applyProtection="0"/>
    <xf numFmtId="0" fontId="63" fillId="0" borderId="297" applyNumberFormat="0" applyFill="0" applyAlignment="0" applyProtection="0"/>
    <xf numFmtId="0" fontId="1" fillId="27" borderId="0" applyNumberFormat="0" applyBorder="0" applyAlignment="0" applyProtection="0"/>
    <xf numFmtId="0" fontId="33" fillId="0" borderId="302">
      <alignment horizontal="left" vertical="center" wrapText="1" indent="2"/>
    </xf>
    <xf numFmtId="0" fontId="19" fillId="62" borderId="298" applyNumberFormat="0" applyFont="0" applyAlignment="0" applyProtection="0"/>
    <xf numFmtId="177" fontId="33" fillId="63" borderId="299" applyNumberFormat="0" applyFont="0" applyBorder="0" applyAlignment="0" applyProtection="0">
      <alignment horizontal="right" vertical="center"/>
    </xf>
    <xf numFmtId="0" fontId="28" fillId="0" borderId="0" applyNumberFormat="0" applyFill="0" applyBorder="0" applyAlignment="0" applyProtection="0"/>
    <xf numFmtId="4" fontId="33" fillId="0" borderId="299">
      <alignment horizontal="right" vertical="center"/>
    </xf>
    <xf numFmtId="0" fontId="56" fillId="46" borderId="296" applyNumberFormat="0" applyAlignment="0" applyProtection="0"/>
    <xf numFmtId="0" fontId="60" fillId="59" borderId="295" applyNumberFormat="0" applyAlignment="0" applyProtection="0"/>
    <xf numFmtId="0" fontId="63" fillId="0" borderId="297" applyNumberFormat="0" applyFill="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 fillId="3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4" fillId="29" borderId="0" applyNumberFormat="0" applyBorder="0" applyAlignment="0" applyProtection="0"/>
    <xf numFmtId="0" fontId="1" fillId="28"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4" fillId="3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4" fillId="20" borderId="0" applyNumberFormat="0" applyBorder="0" applyAlignment="0" applyProtection="0"/>
    <xf numFmtId="0" fontId="1" fillId="19" borderId="0" applyNumberFormat="0" applyBorder="0" applyAlignment="0" applyProtection="0"/>
    <xf numFmtId="0" fontId="3" fillId="0" borderId="23" applyNumberFormat="0" applyFill="0" applyAlignment="0" applyProtection="0"/>
    <xf numFmtId="0" fontId="28" fillId="0" borderId="0" applyNumberFormat="0" applyFill="0" applyBorder="0" applyAlignment="0" applyProtection="0"/>
    <xf numFmtId="4" fontId="31" fillId="38" borderId="301">
      <alignment horizontal="right" vertical="center"/>
    </xf>
    <xf numFmtId="0" fontId="27" fillId="0" borderId="0" applyNumberFormat="0" applyFill="0" applyBorder="0" applyAlignment="0" applyProtection="0"/>
    <xf numFmtId="0" fontId="26" fillId="17" borderId="10" applyNumberFormat="0" applyAlignment="0" applyProtection="0"/>
    <xf numFmtId="0" fontId="25" fillId="17" borderId="22" applyNumberFormat="0" applyAlignment="0" applyProtection="0"/>
    <xf numFmtId="0" fontId="48" fillId="0" borderId="297" applyNumberFormat="0" applyFill="0" applyAlignment="0" applyProtection="0"/>
    <xf numFmtId="0" fontId="33" fillId="0" borderId="302">
      <alignment horizontal="left" vertical="center" wrapText="1" indent="2"/>
    </xf>
    <xf numFmtId="0" fontId="31" fillId="38" borderId="299">
      <alignment horizontal="right" vertical="center"/>
    </xf>
    <xf numFmtId="0" fontId="48" fillId="0" borderId="297" applyNumberFormat="0" applyFill="0" applyAlignment="0" applyProtection="0"/>
    <xf numFmtId="0" fontId="60" fillId="59" borderId="295" applyNumberFormat="0" applyAlignment="0" applyProtection="0"/>
    <xf numFmtId="0" fontId="44" fillId="59" borderId="296" applyNumberFormat="0" applyAlignment="0" applyProtection="0"/>
    <xf numFmtId="0" fontId="19" fillId="62" borderId="298" applyNumberFormat="0" applyFont="0" applyAlignment="0" applyProtection="0"/>
    <xf numFmtId="4" fontId="33" fillId="0" borderId="299">
      <alignment horizontal="right" vertical="center"/>
    </xf>
    <xf numFmtId="4" fontId="31" fillId="36" borderId="299">
      <alignment horizontal="right" vertical="center"/>
    </xf>
    <xf numFmtId="4" fontId="33" fillId="0" borderId="299">
      <alignment horizontal="right" vertical="center"/>
    </xf>
    <xf numFmtId="49" fontId="33" fillId="0" borderId="299" applyNumberFormat="0" applyFont="0" applyFill="0" applyBorder="0" applyProtection="0">
      <alignment horizontal="left" vertical="center" indent="2"/>
    </xf>
    <xf numFmtId="0" fontId="56" fillId="46" borderId="296" applyNumberFormat="0" applyAlignment="0" applyProtection="0"/>
    <xf numFmtId="4" fontId="31" fillId="38" borderId="301">
      <alignment horizontal="right" vertical="center"/>
    </xf>
    <xf numFmtId="0" fontId="35" fillId="36" borderId="299">
      <alignment horizontal="right" vertical="center"/>
    </xf>
    <xf numFmtId="0" fontId="38" fillId="62" borderId="298" applyNumberFormat="0" applyFont="0" applyAlignment="0" applyProtection="0"/>
    <xf numFmtId="49" fontId="33" fillId="0" borderId="300" applyNumberFormat="0" applyFont="0" applyFill="0" applyBorder="0" applyProtection="0">
      <alignment horizontal="left" vertical="center" indent="5"/>
    </xf>
    <xf numFmtId="0" fontId="33" fillId="0" borderId="299">
      <alignment horizontal="right" vertical="center"/>
    </xf>
    <xf numFmtId="0" fontId="43" fillId="59" borderId="296" applyNumberFormat="0" applyAlignment="0" applyProtection="0"/>
    <xf numFmtId="4" fontId="31" fillId="38" borderId="299">
      <alignment horizontal="right" vertical="center"/>
    </xf>
    <xf numFmtId="4" fontId="31" fillId="36" borderId="299">
      <alignment horizontal="right" vertical="center"/>
    </xf>
    <xf numFmtId="0" fontId="31" fillId="38" borderId="301">
      <alignment horizontal="right" vertical="center"/>
    </xf>
    <xf numFmtId="0" fontId="41" fillId="59" borderId="295" applyNumberFormat="0" applyAlignment="0" applyProtection="0"/>
    <xf numFmtId="0" fontId="43" fillId="59" borderId="296" applyNumberFormat="0" applyAlignment="0" applyProtection="0"/>
    <xf numFmtId="0" fontId="56" fillId="46" borderId="296" applyNumberFormat="0" applyAlignment="0" applyProtection="0"/>
    <xf numFmtId="0" fontId="60" fillId="59" borderId="295" applyNumberFormat="0" applyAlignment="0" applyProtection="0"/>
    <xf numFmtId="0" fontId="33" fillId="0" borderId="302">
      <alignment horizontal="left" vertical="center" wrapText="1" indent="2"/>
    </xf>
    <xf numFmtId="4" fontId="33" fillId="0" borderId="299">
      <alignment horizontal="right" vertical="center"/>
    </xf>
    <xf numFmtId="0" fontId="47" fillId="46" borderId="296" applyNumberFormat="0" applyAlignment="0" applyProtection="0"/>
    <xf numFmtId="4" fontId="31" fillId="38" borderId="299">
      <alignment horizontal="right" vertical="center"/>
    </xf>
    <xf numFmtId="0" fontId="33" fillId="37" borderId="299"/>
    <xf numFmtId="0" fontId="43" fillId="59" borderId="296" applyNumberFormat="0" applyAlignment="0" applyProtection="0"/>
    <xf numFmtId="0" fontId="31" fillId="38" borderId="299">
      <alignment horizontal="right" vertical="center"/>
    </xf>
    <xf numFmtId="0" fontId="31" fillId="38" borderId="301">
      <alignment horizontal="right" vertical="center"/>
    </xf>
    <xf numFmtId="0" fontId="31" fillId="38" borderId="301">
      <alignment horizontal="right" vertical="center"/>
    </xf>
    <xf numFmtId="0" fontId="33" fillId="0" borderId="302">
      <alignment horizontal="left" vertical="center" wrapText="1" indent="2"/>
    </xf>
    <xf numFmtId="4" fontId="31" fillId="36" borderId="299">
      <alignment horizontal="right" vertical="center"/>
    </xf>
    <xf numFmtId="0" fontId="33" fillId="0" borderId="299" applyNumberFormat="0" applyFill="0" applyAlignment="0" applyProtection="0"/>
    <xf numFmtId="0" fontId="33" fillId="37" borderId="299"/>
    <xf numFmtId="4" fontId="31" fillId="38" borderId="300">
      <alignment horizontal="right" vertical="center"/>
    </xf>
    <xf numFmtId="0" fontId="44" fillId="59" borderId="296" applyNumberFormat="0" applyAlignment="0" applyProtection="0"/>
    <xf numFmtId="0" fontId="43" fillId="59" borderId="296" applyNumberFormat="0" applyAlignment="0" applyProtection="0"/>
    <xf numFmtId="0" fontId="63" fillId="0" borderId="297" applyNumberFormat="0" applyFill="0" applyAlignment="0" applyProtection="0"/>
    <xf numFmtId="4" fontId="33" fillId="37" borderId="299"/>
    <xf numFmtId="0" fontId="60" fillId="59" borderId="295" applyNumberFormat="0" applyAlignment="0" applyProtection="0"/>
    <xf numFmtId="4" fontId="31" fillId="38" borderId="301">
      <alignment horizontal="right" vertical="center"/>
    </xf>
    <xf numFmtId="49" fontId="32" fillId="0" borderId="299" applyNumberFormat="0" applyFill="0" applyBorder="0" applyProtection="0">
      <alignment horizontal="left" vertical="center"/>
    </xf>
    <xf numFmtId="4" fontId="33" fillId="37" borderId="299"/>
    <xf numFmtId="0" fontId="38" fillId="62" borderId="298" applyNumberFormat="0" applyFont="0" applyAlignment="0" applyProtection="0"/>
    <xf numFmtId="0" fontId="56" fillId="46" borderId="296" applyNumberFormat="0" applyAlignment="0" applyProtection="0"/>
    <xf numFmtId="0" fontId="63" fillId="0" borderId="297" applyNumberFormat="0" applyFill="0" applyAlignment="0" applyProtection="0"/>
    <xf numFmtId="0" fontId="31" fillId="36" borderId="299">
      <alignment horizontal="right" vertical="center"/>
    </xf>
    <xf numFmtId="0" fontId="33" fillId="37" borderId="299"/>
    <xf numFmtId="4" fontId="33" fillId="37" borderId="299"/>
    <xf numFmtId="177" fontId="33" fillId="63" borderId="299" applyNumberFormat="0" applyFont="0" applyBorder="0" applyAlignment="0" applyProtection="0">
      <alignment horizontal="right" vertical="center"/>
    </xf>
    <xf numFmtId="49" fontId="32" fillId="0" borderId="299" applyNumberFormat="0" applyFill="0" applyBorder="0" applyProtection="0">
      <alignment horizontal="left" vertical="center"/>
    </xf>
    <xf numFmtId="0" fontId="33" fillId="0" borderId="299">
      <alignment horizontal="right" vertical="center"/>
    </xf>
    <xf numFmtId="0" fontId="47" fillId="46" borderId="296" applyNumberFormat="0" applyAlignment="0" applyProtection="0"/>
    <xf numFmtId="4" fontId="31" fillId="38" borderId="299">
      <alignment horizontal="right" vertical="center"/>
    </xf>
    <xf numFmtId="4" fontId="31" fillId="38" borderId="299">
      <alignment horizontal="right" vertical="center"/>
    </xf>
    <xf numFmtId="0" fontId="31" fillId="38" borderId="299">
      <alignment horizontal="right" vertical="center"/>
    </xf>
    <xf numFmtId="0" fontId="35" fillId="36" borderId="299">
      <alignment horizontal="right" vertical="center"/>
    </xf>
    <xf numFmtId="4" fontId="31" fillId="36" borderId="299">
      <alignment horizontal="right" vertical="center"/>
    </xf>
    <xf numFmtId="0" fontId="31" fillId="36" borderId="299">
      <alignment horizontal="right" vertical="center"/>
    </xf>
    <xf numFmtId="49" fontId="33" fillId="0" borderId="299" applyNumberFormat="0" applyFont="0" applyFill="0" applyBorder="0" applyProtection="0">
      <alignment horizontal="left" vertical="center" indent="2"/>
    </xf>
    <xf numFmtId="0" fontId="48" fillId="0" borderId="297" applyNumberFormat="0" applyFill="0" applyAlignment="0" applyProtection="0"/>
    <xf numFmtId="0" fontId="43" fillId="59" borderId="296" applyNumberFormat="0" applyAlignment="0" applyProtection="0"/>
    <xf numFmtId="0" fontId="60" fillId="59" borderId="295" applyNumberFormat="0" applyAlignment="0" applyProtection="0"/>
    <xf numFmtId="0" fontId="63" fillId="0" borderId="297" applyNumberFormat="0" applyFill="0" applyAlignment="0" applyProtection="0"/>
    <xf numFmtId="0" fontId="38" fillId="62" borderId="298" applyNumberFormat="0" applyFont="0" applyAlignment="0" applyProtection="0"/>
    <xf numFmtId="0" fontId="44" fillId="59" borderId="296" applyNumberFormat="0" applyAlignment="0" applyProtection="0"/>
    <xf numFmtId="0" fontId="60" fillId="59" borderId="295" applyNumberFormat="0" applyAlignment="0" applyProtection="0"/>
    <xf numFmtId="0" fontId="38" fillId="62" borderId="298" applyNumberFormat="0" applyFont="0" applyAlignment="0" applyProtection="0"/>
    <xf numFmtId="0" fontId="56" fillId="46" borderId="296" applyNumberFormat="0" applyAlignment="0" applyProtection="0"/>
    <xf numFmtId="0" fontId="47" fillId="46" borderId="296" applyNumberFormat="0" applyAlignment="0" applyProtection="0"/>
    <xf numFmtId="0" fontId="44" fillId="59" borderId="296" applyNumberFormat="0" applyAlignment="0" applyProtection="0"/>
    <xf numFmtId="0" fontId="41" fillId="59" borderId="295" applyNumberFormat="0" applyAlignment="0" applyProtection="0"/>
    <xf numFmtId="0" fontId="33" fillId="0" borderId="302">
      <alignment horizontal="left" vertical="center" wrapText="1" indent="2"/>
    </xf>
    <xf numFmtId="0" fontId="33" fillId="0" borderId="302">
      <alignment horizontal="left" vertical="center" wrapText="1" indent="2"/>
    </xf>
    <xf numFmtId="0" fontId="43" fillId="59" borderId="296" applyNumberFormat="0" applyAlignment="0" applyProtection="0"/>
    <xf numFmtId="0" fontId="56" fillId="46" borderId="296" applyNumberFormat="0" applyAlignment="0" applyProtection="0"/>
    <xf numFmtId="4" fontId="33" fillId="0" borderId="299" applyFill="0" applyBorder="0" applyProtection="0">
      <alignment horizontal="right" vertical="center"/>
    </xf>
    <xf numFmtId="0" fontId="33" fillId="0" borderId="299" applyNumberFormat="0" applyFill="0" applyAlignment="0" applyProtection="0"/>
    <xf numFmtId="177" fontId="33" fillId="63" borderId="299" applyNumberFormat="0" applyFont="0" applyBorder="0" applyAlignment="0" applyProtection="0">
      <alignment horizontal="right" vertical="center"/>
    </xf>
    <xf numFmtId="0" fontId="43" fillId="59" borderId="296" applyNumberFormat="0" applyAlignment="0" applyProtection="0"/>
    <xf numFmtId="4" fontId="31" fillId="38" borderId="301">
      <alignment horizontal="right" vertical="center"/>
    </xf>
    <xf numFmtId="0" fontId="60" fillId="59" borderId="295" applyNumberFormat="0" applyAlignment="0" applyProtection="0"/>
    <xf numFmtId="0" fontId="19" fillId="62" borderId="298" applyNumberFormat="0" applyFont="0" applyAlignment="0" applyProtection="0"/>
    <xf numFmtId="0" fontId="63" fillId="0" borderId="297" applyNumberFormat="0" applyFill="0" applyAlignment="0" applyProtection="0"/>
    <xf numFmtId="0" fontId="48" fillId="0" borderId="297" applyNumberFormat="0" applyFill="0" applyAlignment="0" applyProtection="0"/>
    <xf numFmtId="0" fontId="44" fillId="59" borderId="296" applyNumberFormat="0" applyAlignment="0" applyProtection="0"/>
    <xf numFmtId="4" fontId="33" fillId="0" borderId="299" applyFill="0" applyBorder="0" applyProtection="0">
      <alignment horizontal="right" vertical="center"/>
    </xf>
    <xf numFmtId="0" fontId="47" fillId="46" borderId="296" applyNumberFormat="0" applyAlignment="0" applyProtection="0"/>
    <xf numFmtId="49" fontId="33" fillId="0" borderId="299" applyNumberFormat="0" applyFont="0" applyFill="0" applyBorder="0" applyProtection="0">
      <alignment horizontal="left" vertical="center" indent="2"/>
    </xf>
    <xf numFmtId="0" fontId="41" fillId="59" borderId="295" applyNumberFormat="0" applyAlignment="0" applyProtection="0"/>
    <xf numFmtId="0" fontId="56" fillId="46" borderId="296" applyNumberFormat="0" applyAlignment="0" applyProtection="0"/>
    <xf numFmtId="0" fontId="33" fillId="0" borderId="302">
      <alignment horizontal="left" vertical="center" wrapText="1" indent="2"/>
    </xf>
    <xf numFmtId="0" fontId="47" fillId="46" borderId="296" applyNumberFormat="0" applyAlignment="0" applyProtection="0"/>
    <xf numFmtId="0" fontId="4" fillId="35" borderId="0" applyNumberFormat="0" applyBorder="0" applyAlignment="0" applyProtection="0"/>
    <xf numFmtId="0" fontId="48" fillId="0" borderId="297" applyNumberFormat="0" applyFill="0" applyAlignment="0" applyProtection="0"/>
    <xf numFmtId="0" fontId="43" fillId="59" borderId="296" applyNumberFormat="0" applyAlignment="0" applyProtection="0"/>
    <xf numFmtId="0" fontId="41" fillId="59" borderId="295" applyNumberFormat="0" applyAlignment="0" applyProtection="0"/>
    <xf numFmtId="0" fontId="1" fillId="30" borderId="0" applyNumberFormat="0" applyBorder="0" applyAlignment="0" applyProtection="0"/>
    <xf numFmtId="49" fontId="32" fillId="0" borderId="299" applyNumberFormat="0" applyFill="0" applyBorder="0" applyProtection="0">
      <alignment horizontal="left" vertical="center"/>
    </xf>
    <xf numFmtId="4" fontId="33" fillId="0" borderId="299" applyFill="0" applyBorder="0" applyProtection="0">
      <alignment horizontal="right" vertical="center"/>
    </xf>
    <xf numFmtId="49" fontId="33" fillId="0" borderId="300" applyNumberFormat="0" applyFont="0" applyFill="0" applyBorder="0" applyProtection="0">
      <alignment horizontal="left" vertical="center" indent="5"/>
    </xf>
    <xf numFmtId="0" fontId="63" fillId="0" borderId="297" applyNumberFormat="0" applyFill="0" applyAlignment="0" applyProtection="0"/>
    <xf numFmtId="4" fontId="33" fillId="37" borderId="299"/>
    <xf numFmtId="0" fontId="33" fillId="37" borderId="299"/>
    <xf numFmtId="177" fontId="33" fillId="63" borderId="299" applyNumberFormat="0" applyFont="0" applyBorder="0" applyAlignment="0" applyProtection="0">
      <alignment horizontal="right" vertical="center"/>
    </xf>
    <xf numFmtId="0" fontId="60" fillId="59" borderId="295" applyNumberFormat="0" applyAlignment="0" applyProtection="0"/>
    <xf numFmtId="0" fontId="33" fillId="0" borderId="299" applyNumberFormat="0" applyFill="0" applyAlignment="0" applyProtection="0"/>
    <xf numFmtId="4" fontId="33" fillId="0" borderId="299">
      <alignment horizontal="right" vertical="center"/>
    </xf>
    <xf numFmtId="0" fontId="33" fillId="0" borderId="299">
      <alignment horizontal="right" vertical="center"/>
    </xf>
    <xf numFmtId="0" fontId="56" fillId="46" borderId="296" applyNumberFormat="0" applyAlignment="0" applyProtection="0"/>
    <xf numFmtId="0" fontId="33" fillId="36" borderId="300">
      <alignment horizontal="left" vertical="center"/>
    </xf>
    <xf numFmtId="0" fontId="33" fillId="0" borderId="302">
      <alignment horizontal="left" vertical="center" wrapText="1" indent="2"/>
    </xf>
    <xf numFmtId="0" fontId="33" fillId="38" borderId="302">
      <alignment horizontal="left" vertical="center" wrapText="1" indent="2"/>
    </xf>
    <xf numFmtId="0" fontId="44" fillId="59" borderId="296" applyNumberFormat="0" applyAlignment="0" applyProtection="0"/>
    <xf numFmtId="4" fontId="31" fillId="38" borderId="301">
      <alignment horizontal="right" vertical="center"/>
    </xf>
    <xf numFmtId="0" fontId="31" fillId="38" borderId="301">
      <alignment horizontal="right" vertical="center"/>
    </xf>
    <xf numFmtId="4" fontId="31" fillId="38" borderId="300">
      <alignment horizontal="right" vertical="center"/>
    </xf>
    <xf numFmtId="0" fontId="31" fillId="38" borderId="300">
      <alignment horizontal="right" vertical="center"/>
    </xf>
    <xf numFmtId="4" fontId="31" fillId="38" borderId="299">
      <alignment horizontal="right" vertical="center"/>
    </xf>
    <xf numFmtId="0" fontId="31" fillId="38" borderId="299">
      <alignment horizontal="right" vertical="center"/>
    </xf>
    <xf numFmtId="4" fontId="31" fillId="38" borderId="299">
      <alignment horizontal="right" vertical="center"/>
    </xf>
    <xf numFmtId="0" fontId="31" fillId="38" borderId="299">
      <alignment horizontal="right" vertical="center"/>
    </xf>
    <xf numFmtId="4" fontId="35" fillId="36" borderId="299">
      <alignment horizontal="right" vertical="center"/>
    </xf>
    <xf numFmtId="0" fontId="35" fillId="36" borderId="299">
      <alignment horizontal="right" vertical="center"/>
    </xf>
    <xf numFmtId="4" fontId="31" fillId="36" borderId="299">
      <alignment horizontal="right" vertical="center"/>
    </xf>
    <xf numFmtId="0" fontId="31" fillId="36" borderId="299">
      <alignment horizontal="right" vertical="center"/>
    </xf>
    <xf numFmtId="0" fontId="63" fillId="0" borderId="297" applyNumberFormat="0" applyFill="0" applyAlignment="0" applyProtection="0"/>
    <xf numFmtId="0" fontId="60" fillId="59" borderId="295" applyNumberFormat="0" applyAlignment="0" applyProtection="0"/>
    <xf numFmtId="0" fontId="38" fillId="62" borderId="298" applyNumberFormat="0" applyFont="0" applyAlignment="0" applyProtection="0"/>
    <xf numFmtId="0" fontId="56" fillId="46" borderId="296" applyNumberFormat="0" applyAlignment="0" applyProtection="0"/>
    <xf numFmtId="0" fontId="1" fillId="21" borderId="0" applyNumberFormat="0" applyBorder="0" applyAlignment="0" applyProtection="0"/>
    <xf numFmtId="0" fontId="1" fillId="28" borderId="0" applyNumberFormat="0" applyBorder="0" applyAlignment="0" applyProtection="0"/>
    <xf numFmtId="0" fontId="44" fillId="59" borderId="296" applyNumberFormat="0" applyAlignment="0" applyProtection="0"/>
    <xf numFmtId="0" fontId="63" fillId="0" borderId="297" applyNumberFormat="0" applyFill="0" applyAlignment="0" applyProtection="0"/>
    <xf numFmtId="0" fontId="60" fillId="59" borderId="295" applyNumberFormat="0" applyAlignment="0" applyProtection="0"/>
    <xf numFmtId="0" fontId="19" fillId="62" borderId="298" applyNumberFormat="0" applyFont="0" applyAlignment="0" applyProtection="0"/>
    <xf numFmtId="0" fontId="38" fillId="62" borderId="298" applyNumberFormat="0" applyFont="0" applyAlignment="0" applyProtection="0"/>
    <xf numFmtId="0" fontId="4" fillId="35"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49" fontId="33" fillId="0" borderId="300" applyNumberFormat="0" applyFont="0" applyFill="0" applyBorder="0" applyProtection="0">
      <alignment horizontal="left" vertical="center" indent="5"/>
    </xf>
    <xf numFmtId="0" fontId="4" fillId="32"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4"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26" fillId="17" borderId="10" applyNumberFormat="0" applyAlignment="0" applyProtection="0"/>
    <xf numFmtId="0" fontId="1" fillId="21" borderId="0" applyNumberFormat="0" applyBorder="0" applyAlignment="0" applyProtection="0"/>
    <xf numFmtId="0" fontId="1" fillId="24" borderId="0" applyNumberFormat="0" applyBorder="0" applyAlignment="0" applyProtection="0"/>
    <xf numFmtId="0" fontId="3" fillId="0" borderId="23" applyNumberFormat="0" applyFill="0" applyAlignment="0" applyProtection="0"/>
    <xf numFmtId="0" fontId="4" fillId="29" borderId="0" applyNumberFormat="0" applyBorder="0" applyAlignment="0" applyProtection="0"/>
    <xf numFmtId="0" fontId="4" fillId="26" borderId="0" applyNumberFormat="0" applyBorder="0" applyAlignment="0" applyProtection="0"/>
    <xf numFmtId="0" fontId="4" fillId="20" borderId="0" applyNumberFormat="0" applyBorder="0" applyAlignment="0" applyProtection="0"/>
    <xf numFmtId="0" fontId="1" fillId="22" borderId="0" applyNumberFormat="0" applyBorder="0" applyAlignment="0" applyProtection="0"/>
    <xf numFmtId="0" fontId="25" fillId="17" borderId="22"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1" fillId="28" borderId="0" applyNumberFormat="0" applyBorder="0" applyAlignment="0" applyProtection="0"/>
    <xf numFmtId="0" fontId="4" fillId="20" borderId="0" applyNumberFormat="0" applyBorder="0" applyAlignment="0" applyProtection="0"/>
    <xf numFmtId="0" fontId="26" fillId="17" borderId="10" applyNumberFormat="0" applyAlignment="0" applyProtection="0"/>
    <xf numFmtId="0" fontId="4" fillId="35"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60" fillId="59" borderId="295" applyNumberFormat="0" applyAlignment="0" applyProtection="0"/>
    <xf numFmtId="0" fontId="79" fillId="15" borderId="296" applyNumberFormat="0" applyAlignment="0" applyProtection="0"/>
    <xf numFmtId="4" fontId="33" fillId="0" borderId="299" applyFill="0" applyBorder="0" applyProtection="0">
      <alignment horizontal="right" vertical="center"/>
    </xf>
    <xf numFmtId="0" fontId="1" fillId="30" borderId="0" applyNumberFormat="0" applyBorder="0" applyAlignment="0" applyProtection="0"/>
    <xf numFmtId="0" fontId="1" fillId="21"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1" fillId="19" borderId="0" applyNumberFormat="0" applyBorder="0" applyAlignment="0" applyProtection="0"/>
    <xf numFmtId="0" fontId="4" fillId="26" borderId="0" applyNumberFormat="0" applyBorder="0" applyAlignment="0" applyProtection="0"/>
    <xf numFmtId="0" fontId="1" fillId="34" borderId="0" applyNumberFormat="0" applyBorder="0" applyAlignment="0" applyProtection="0"/>
    <xf numFmtId="0" fontId="27" fillId="0" borderId="0" applyNumberFormat="0" applyFill="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0" fontId="1" fillId="25" borderId="0" applyNumberFormat="0" applyBorder="0" applyAlignment="0" applyProtection="0"/>
    <xf numFmtId="0" fontId="4" fillId="32" borderId="0" applyNumberFormat="0" applyBorder="0" applyAlignment="0" applyProtection="0"/>
    <xf numFmtId="0" fontId="1" fillId="21" borderId="0" applyNumberFormat="0" applyBorder="0" applyAlignment="0" applyProtection="0"/>
    <xf numFmtId="0" fontId="25" fillId="17" borderId="22" applyNumberFormat="0" applyAlignment="0" applyProtection="0"/>
    <xf numFmtId="0" fontId="1" fillId="31" borderId="0" applyNumberFormat="0" applyBorder="0" applyAlignment="0" applyProtection="0"/>
    <xf numFmtId="0" fontId="4" fillId="20"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3" fillId="0" borderId="23" applyNumberFormat="0" applyFill="0" applyAlignment="0" applyProtection="0"/>
    <xf numFmtId="0" fontId="1" fillId="34" borderId="0" applyNumberFormat="0" applyBorder="0" applyAlignment="0" applyProtection="0"/>
    <xf numFmtId="0" fontId="1" fillId="2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25" fillId="17" borderId="22" applyNumberFormat="0" applyAlignment="0" applyProtection="0"/>
    <xf numFmtId="0" fontId="1" fillId="18" borderId="0" applyNumberFormat="0" applyBorder="0" applyAlignment="0" applyProtection="0"/>
    <xf numFmtId="0" fontId="27" fillId="0" borderId="0" applyNumberFormat="0" applyFill="0" applyBorder="0" applyAlignment="0" applyProtection="0"/>
    <xf numFmtId="0" fontId="1" fillId="33"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4" fillId="23"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2" borderId="0" applyNumberFormat="0" applyBorder="0" applyAlignment="0" applyProtection="0"/>
    <xf numFmtId="43" fontId="36" fillId="0" borderId="0" applyFont="0" applyFill="0" applyBorder="0" applyAlignment="0" applyProtection="0"/>
    <xf numFmtId="224" fontId="127" fillId="0" borderId="286">
      <alignment horizontal="right"/>
    </xf>
    <xf numFmtId="0" fontId="4" fillId="29"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2" fontId="80" fillId="1" borderId="292" applyNumberFormat="0" applyBorder="0" applyProtection="0">
      <alignment horizontal="left"/>
    </xf>
    <xf numFmtId="210" fontId="159" fillId="0" borderId="294" applyFill="0"/>
    <xf numFmtId="210" fontId="138" fillId="0" borderId="293" applyFill="0"/>
    <xf numFmtId="224" fontId="127" fillId="36" borderId="286">
      <alignment horizontal="right"/>
    </xf>
    <xf numFmtId="224" fontId="127" fillId="0" borderId="286">
      <alignment horizontal="right"/>
    </xf>
    <xf numFmtId="183" fontId="163" fillId="69" borderId="304">
      <alignment horizontal="center" wrapText="1"/>
    </xf>
    <xf numFmtId="183" fontId="163" fillId="69" borderId="304">
      <alignment horizontal="centerContinuous" wrapText="1"/>
    </xf>
    <xf numFmtId="183" fontId="163" fillId="69" borderId="304">
      <alignment horizontal="center" vertical="justify" textRotation="90"/>
    </xf>
    <xf numFmtId="0" fontId="4" fillId="32"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4"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26" fillId="17" borderId="10" applyNumberFormat="0" applyAlignment="0" applyProtection="0"/>
    <xf numFmtId="0" fontId="1" fillId="21" borderId="0" applyNumberFormat="0" applyBorder="0" applyAlignment="0" applyProtection="0"/>
    <xf numFmtId="0" fontId="1" fillId="24" borderId="0" applyNumberFormat="0" applyBorder="0" applyAlignment="0" applyProtection="0"/>
    <xf numFmtId="0" fontId="3" fillId="0" borderId="23" applyNumberFormat="0" applyFill="0" applyAlignment="0" applyProtection="0"/>
    <xf numFmtId="0" fontId="4" fillId="29" borderId="0" applyNumberFormat="0" applyBorder="0" applyAlignment="0" applyProtection="0"/>
    <xf numFmtId="0" fontId="4" fillId="26" borderId="0" applyNumberFormat="0" applyBorder="0" applyAlignment="0" applyProtection="0"/>
    <xf numFmtId="0" fontId="4" fillId="20" borderId="0" applyNumberFormat="0" applyBorder="0" applyAlignment="0" applyProtection="0"/>
    <xf numFmtId="0" fontId="1" fillId="22" borderId="0" applyNumberFormat="0" applyBorder="0" applyAlignment="0" applyProtection="0"/>
    <xf numFmtId="0" fontId="25" fillId="17" borderId="22"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1" fillId="28" borderId="0" applyNumberFormat="0" applyBorder="0" applyAlignment="0" applyProtection="0"/>
    <xf numFmtId="0" fontId="4" fillId="20" borderId="0" applyNumberFormat="0" applyBorder="0" applyAlignment="0" applyProtection="0"/>
    <xf numFmtId="0" fontId="26" fillId="17" borderId="10" applyNumberFormat="0" applyAlignment="0" applyProtection="0"/>
    <xf numFmtId="0" fontId="4" fillId="35"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33" fillId="0" borderId="299" applyNumberFormat="0" applyFill="0" applyAlignment="0" applyProtection="0"/>
    <xf numFmtId="0" fontId="31" fillId="38" borderId="299">
      <alignment horizontal="right" vertical="center"/>
    </xf>
    <xf numFmtId="0" fontId="31" fillId="38" borderId="299">
      <alignment horizontal="right" vertical="center"/>
    </xf>
    <xf numFmtId="0" fontId="33" fillId="0" borderId="302">
      <alignment horizontal="left" vertical="center" wrapText="1" indent="2"/>
    </xf>
    <xf numFmtId="0" fontId="31" fillId="38" borderId="301">
      <alignment horizontal="right" vertical="center"/>
    </xf>
    <xf numFmtId="0" fontId="33" fillId="0" borderId="299">
      <alignment horizontal="right" vertical="center"/>
    </xf>
    <xf numFmtId="0" fontId="35" fillId="36" borderId="299">
      <alignment horizontal="right" vertical="center"/>
    </xf>
    <xf numFmtId="0" fontId="33" fillId="37" borderId="299"/>
    <xf numFmtId="0" fontId="31" fillId="36" borderId="299">
      <alignment horizontal="right" vertical="center"/>
    </xf>
    <xf numFmtId="4" fontId="33" fillId="0" borderId="299" applyFill="0" applyBorder="0" applyProtection="0">
      <alignment horizontal="right" vertical="center"/>
    </xf>
    <xf numFmtId="0" fontId="1" fillId="30" borderId="0" applyNumberFormat="0" applyBorder="0" applyAlignment="0" applyProtection="0"/>
    <xf numFmtId="0" fontId="1" fillId="21"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1" fillId="19" borderId="0" applyNumberFormat="0" applyBorder="0" applyAlignment="0" applyProtection="0"/>
    <xf numFmtId="0" fontId="4" fillId="26" borderId="0" applyNumberFormat="0" applyBorder="0" applyAlignment="0" applyProtection="0"/>
    <xf numFmtId="0" fontId="1" fillId="34" borderId="0" applyNumberFormat="0" applyBorder="0" applyAlignment="0" applyProtection="0"/>
    <xf numFmtId="0" fontId="27" fillId="0" borderId="0" applyNumberFormat="0" applyFill="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0" fontId="1" fillId="25" borderId="0" applyNumberFormat="0" applyBorder="0" applyAlignment="0" applyProtection="0"/>
    <xf numFmtId="0" fontId="4" fillId="32" borderId="0" applyNumberFormat="0" applyBorder="0" applyAlignment="0" applyProtection="0"/>
    <xf numFmtId="0" fontId="1" fillId="21" borderId="0" applyNumberFormat="0" applyBorder="0" applyAlignment="0" applyProtection="0"/>
    <xf numFmtId="0" fontId="25" fillId="17" borderId="22" applyNumberFormat="0" applyAlignment="0" applyProtection="0"/>
    <xf numFmtId="0" fontId="1" fillId="31" borderId="0" applyNumberFormat="0" applyBorder="0" applyAlignment="0" applyProtection="0"/>
    <xf numFmtId="0" fontId="4" fillId="20"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3" fillId="0" borderId="23" applyNumberFormat="0" applyFill="0" applyAlignment="0" applyProtection="0"/>
    <xf numFmtId="0" fontId="1" fillId="34" borderId="0" applyNumberFormat="0" applyBorder="0" applyAlignment="0" applyProtection="0"/>
    <xf numFmtId="0" fontId="1" fillId="2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31" fillId="38" borderId="301">
      <alignment horizontal="right" vertical="center"/>
    </xf>
    <xf numFmtId="4" fontId="31" fillId="38" borderId="301">
      <alignment horizontal="right" vertical="center"/>
    </xf>
    <xf numFmtId="0" fontId="33" fillId="38" borderId="302">
      <alignment horizontal="left" vertical="center" wrapText="1" indent="2"/>
    </xf>
    <xf numFmtId="0" fontId="33" fillId="0" borderId="302">
      <alignment horizontal="left" vertical="center" wrapText="1" indent="2"/>
    </xf>
    <xf numFmtId="0" fontId="1" fillId="18" borderId="0" applyNumberFormat="0" applyBorder="0" applyAlignment="0" applyProtection="0"/>
    <xf numFmtId="0" fontId="27" fillId="0" borderId="0" applyNumberFormat="0" applyFill="0" applyBorder="0" applyAlignment="0" applyProtection="0"/>
    <xf numFmtId="0" fontId="1" fillId="33"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4" fillId="23"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2" borderId="0" applyNumberFormat="0" applyBorder="0" applyAlignment="0" applyProtection="0"/>
    <xf numFmtId="210" fontId="138" fillId="0" borderId="305" applyFill="0"/>
    <xf numFmtId="0" fontId="4" fillId="32"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4"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26" fillId="17" borderId="10" applyNumberFormat="0" applyAlignment="0" applyProtection="0"/>
    <xf numFmtId="0" fontId="1" fillId="21" borderId="0" applyNumberFormat="0" applyBorder="0" applyAlignment="0" applyProtection="0"/>
    <xf numFmtId="0" fontId="1" fillId="24" borderId="0" applyNumberFormat="0" applyBorder="0" applyAlignment="0" applyProtection="0"/>
    <xf numFmtId="0" fontId="3" fillId="0" borderId="23" applyNumberFormat="0" applyFill="0" applyAlignment="0" applyProtection="0"/>
    <xf numFmtId="0" fontId="4" fillId="29" borderId="0" applyNumberFormat="0" applyBorder="0" applyAlignment="0" applyProtection="0"/>
    <xf numFmtId="0" fontId="4" fillId="26" borderId="0" applyNumberFormat="0" applyBorder="0" applyAlignment="0" applyProtection="0"/>
    <xf numFmtId="0" fontId="4" fillId="20" borderId="0" applyNumberFormat="0" applyBorder="0" applyAlignment="0" applyProtection="0"/>
    <xf numFmtId="0" fontId="1" fillId="22" borderId="0" applyNumberFormat="0" applyBorder="0" applyAlignment="0" applyProtection="0"/>
    <xf numFmtId="0" fontId="25" fillId="17" borderId="22"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1" fillId="28" borderId="0" applyNumberFormat="0" applyBorder="0" applyAlignment="0" applyProtection="0"/>
    <xf numFmtId="0" fontId="4" fillId="20" borderId="0" applyNumberFormat="0" applyBorder="0" applyAlignment="0" applyProtection="0"/>
    <xf numFmtId="0" fontId="26" fillId="17" borderId="10" applyNumberFormat="0" applyAlignment="0" applyProtection="0"/>
    <xf numFmtId="0" fontId="4" fillId="35" borderId="0" applyNumberFormat="0" applyBorder="0" applyAlignment="0" applyProtection="0"/>
    <xf numFmtId="0" fontId="25" fillId="17" borderId="22" applyNumberFormat="0" applyAlignment="0" applyProtection="0"/>
    <xf numFmtId="0" fontId="26" fillId="17"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 fillId="0" borderId="23" applyNumberFormat="0" applyFill="0" applyAlignment="0" applyProtection="0"/>
    <xf numFmtId="0" fontId="1" fillId="18" borderId="0" applyNumberFormat="0" applyBorder="0" applyAlignment="0" applyProtection="0"/>
    <xf numFmtId="0" fontId="1" fillId="19" borderId="0" applyNumberFormat="0" applyBorder="0" applyAlignment="0" applyProtection="0"/>
    <xf numFmtId="0" fontId="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 fillId="35"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26" fillId="17" borderId="10" applyNumberFormat="0" applyAlignment="0" applyProtection="0"/>
    <xf numFmtId="0" fontId="3" fillId="0" borderId="23" applyNumberFormat="0" applyFill="0" applyAlignment="0" applyProtection="0"/>
    <xf numFmtId="0" fontId="1" fillId="19" borderId="0" applyNumberFormat="0" applyBorder="0" applyAlignment="0" applyProtection="0"/>
    <xf numFmtId="0" fontId="4" fillId="26" borderId="0" applyNumberFormat="0" applyBorder="0" applyAlignment="0" applyProtection="0"/>
    <xf numFmtId="0" fontId="1" fillId="34" borderId="0" applyNumberFormat="0" applyBorder="0" applyAlignment="0" applyProtection="0"/>
    <xf numFmtId="0" fontId="27" fillId="0" borderId="0" applyNumberFormat="0" applyFill="0" applyBorder="0" applyAlignment="0" applyProtection="0"/>
    <xf numFmtId="0" fontId="1" fillId="24" borderId="0" applyNumberFormat="0" applyBorder="0" applyAlignment="0" applyProtection="0"/>
    <xf numFmtId="0" fontId="28" fillId="0" borderId="0" applyNumberFormat="0" applyFill="0" applyBorder="0" applyAlignment="0" applyProtection="0"/>
    <xf numFmtId="0" fontId="1" fillId="25" borderId="0" applyNumberFormat="0" applyBorder="0" applyAlignment="0" applyProtection="0"/>
    <xf numFmtId="0" fontId="4" fillId="32" borderId="0" applyNumberFormat="0" applyBorder="0" applyAlignment="0" applyProtection="0"/>
    <xf numFmtId="0" fontId="1" fillId="21" borderId="0" applyNumberFormat="0" applyBorder="0" applyAlignment="0" applyProtection="0"/>
    <xf numFmtId="0" fontId="25" fillId="17" borderId="22" applyNumberFormat="0" applyAlignment="0" applyProtection="0"/>
    <xf numFmtId="0" fontId="1" fillId="31" borderId="0" applyNumberFormat="0" applyBorder="0" applyAlignment="0" applyProtection="0"/>
    <xf numFmtId="0" fontId="4" fillId="20" borderId="0" applyNumberFormat="0" applyBorder="0" applyAlignment="0" applyProtection="0"/>
    <xf numFmtId="0" fontId="4"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3" fillId="0" borderId="23" applyNumberFormat="0" applyFill="0" applyAlignment="0" applyProtection="0"/>
    <xf numFmtId="0" fontId="1" fillId="34" borderId="0" applyNumberFormat="0" applyBorder="0" applyAlignment="0" applyProtection="0"/>
    <xf numFmtId="0" fontId="1" fillId="2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27" fillId="0" borderId="0" applyNumberFormat="0" applyFill="0" applyBorder="0" applyAlignment="0" applyProtection="0"/>
    <xf numFmtId="0" fontId="1" fillId="33" borderId="0" applyNumberFormat="0" applyBorder="0" applyAlignment="0" applyProtection="0"/>
    <xf numFmtId="0" fontId="1" fillId="27"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1" fillId="19" borderId="0" applyNumberFormat="0" applyBorder="0" applyAlignment="0" applyProtection="0"/>
    <xf numFmtId="0" fontId="1" fillId="24" borderId="0" applyNumberFormat="0" applyBorder="0" applyAlignment="0" applyProtection="0"/>
    <xf numFmtId="0" fontId="4" fillId="32" borderId="0" applyNumberFormat="0" applyBorder="0" applyAlignment="0" applyProtection="0"/>
    <xf numFmtId="0" fontId="4" fillId="23" borderId="0" applyNumberFormat="0" applyBorder="0" applyAlignment="0" applyProtection="0"/>
    <xf numFmtId="0" fontId="25" fillId="17" borderId="22" applyNumberFormat="0" applyAlignment="0" applyProtection="0"/>
    <xf numFmtId="0" fontId="28" fillId="0" borderId="0" applyNumberFormat="0" applyFill="0" applyBorder="0" applyAlignment="0" applyProtection="0"/>
    <xf numFmtId="0" fontId="1" fillId="33" borderId="0" applyNumberFormat="0" applyBorder="0" applyAlignment="0" applyProtection="0"/>
    <xf numFmtId="0" fontId="4" fillId="23" borderId="0" applyNumberFormat="0" applyBorder="0" applyAlignment="0" applyProtection="0"/>
    <xf numFmtId="0" fontId="4" fillId="29"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2" borderId="0" applyNumberFormat="0" applyBorder="0" applyAlignment="0" applyProtection="0"/>
    <xf numFmtId="0" fontId="22" fillId="0" borderId="0"/>
    <xf numFmtId="0" fontId="22" fillId="0" borderId="0"/>
    <xf numFmtId="0" fontId="22" fillId="0" borderId="0"/>
    <xf numFmtId="0" fontId="22" fillId="0" borderId="0"/>
    <xf numFmtId="0" fontId="22" fillId="0" borderId="0"/>
  </cellStyleXfs>
  <cellXfs count="2293">
    <xf numFmtId="0" fontId="0" fillId="0" borderId="0" xfId="0"/>
    <xf numFmtId="0" fontId="0" fillId="0" borderId="0" xfId="0" applyAlignment="1">
      <alignment wrapText="1"/>
    </xf>
    <xf numFmtId="0" fontId="5" fillId="0" borderId="0" xfId="0" applyFont="1"/>
    <xf numFmtId="165" fontId="0" fillId="0" borderId="0" xfId="0" applyNumberFormat="1"/>
    <xf numFmtId="0" fontId="10" fillId="0" borderId="0" xfId="0" applyFont="1"/>
    <xf numFmtId="9" fontId="10" fillId="0" borderId="0" xfId="0" applyNumberFormat="1" applyFont="1"/>
    <xf numFmtId="0" fontId="0" fillId="0" borderId="0" xfId="0" applyAlignment="1">
      <alignment horizontal="center"/>
    </xf>
    <xf numFmtId="0" fontId="12" fillId="0" borderId="0" xfId="0" applyFont="1"/>
    <xf numFmtId="0" fontId="0" fillId="3" borderId="0" xfId="0" applyFill="1"/>
    <xf numFmtId="0" fontId="0" fillId="4" borderId="0" xfId="0" applyFill="1"/>
    <xf numFmtId="0" fontId="0" fillId="3" borderId="0" xfId="0" applyFill="1" applyAlignment="1">
      <alignment horizontal="center" wrapText="1"/>
    </xf>
    <xf numFmtId="0" fontId="14" fillId="4" borderId="0" xfId="0" applyFont="1" applyFill="1" applyAlignment="1">
      <alignment horizontal="center" wrapText="1"/>
    </xf>
    <xf numFmtId="0" fontId="14" fillId="2" borderId="0" xfId="0" applyFont="1" applyFill="1" applyAlignment="1">
      <alignment horizontal="center" wrapText="1"/>
    </xf>
    <xf numFmtId="0" fontId="0" fillId="0" borderId="0" xfId="0" applyAlignment="1">
      <alignment horizontal="right"/>
    </xf>
    <xf numFmtId="0" fontId="0" fillId="3" borderId="0" xfId="0" applyFill="1" applyAlignment="1">
      <alignment horizontal="center"/>
    </xf>
    <xf numFmtId="0" fontId="14" fillId="4" borderId="0" xfId="0" applyFont="1" applyFill="1" applyAlignment="1">
      <alignment horizontal="center"/>
    </xf>
    <xf numFmtId="0" fontId="14" fillId="0" borderId="0" xfId="0" applyFont="1"/>
    <xf numFmtId="2" fontId="14" fillId="2" borderId="0" xfId="0" applyNumberFormat="1" applyFont="1" applyFill="1" applyAlignment="1">
      <alignment horizontal="center"/>
    </xf>
    <xf numFmtId="9" fontId="14" fillId="4" borderId="0" xfId="1" applyFont="1" applyFill="1" applyBorder="1" applyAlignment="1">
      <alignment horizontal="center"/>
    </xf>
    <xf numFmtId="0" fontId="0" fillId="3" borderId="7" xfId="0" applyFill="1" applyBorder="1" applyAlignment="1">
      <alignment horizontal="center"/>
    </xf>
    <xf numFmtId="0" fontId="14" fillId="4" borderId="7" xfId="0" applyFont="1" applyFill="1" applyBorder="1" applyAlignment="1">
      <alignment horizontal="center"/>
    </xf>
    <xf numFmtId="0" fontId="14" fillId="0" borderId="7" xfId="0" applyFont="1" applyBorder="1"/>
    <xf numFmtId="2" fontId="14" fillId="2" borderId="7" xfId="0" applyNumberFormat="1" applyFont="1" applyFill="1" applyBorder="1" applyAlignment="1">
      <alignment horizontal="center"/>
    </xf>
    <xf numFmtId="9" fontId="14" fillId="4" borderId="7" xfId="1" applyFont="1" applyFill="1" applyBorder="1" applyAlignment="1">
      <alignment horizontal="center"/>
    </xf>
    <xf numFmtId="0" fontId="14" fillId="0" borderId="0" xfId="0" applyFont="1" applyAlignment="1">
      <alignment horizontal="center"/>
    </xf>
    <xf numFmtId="0" fontId="0" fillId="0" borderId="8" xfId="0" applyBorder="1" applyAlignment="1">
      <alignment horizontal="right"/>
    </xf>
    <xf numFmtId="0" fontId="15" fillId="0" borderId="8" xfId="0" applyFont="1" applyBorder="1" applyAlignment="1">
      <alignment horizontal="center"/>
    </xf>
    <xf numFmtId="0" fontId="14" fillId="0" borderId="8" xfId="0" applyFont="1" applyBorder="1" applyAlignment="1">
      <alignment horizontal="center"/>
    </xf>
    <xf numFmtId="0" fontId="14" fillId="0" borderId="8" xfId="0" applyFont="1" applyBorder="1"/>
    <xf numFmtId="2" fontId="4" fillId="0" borderId="8" xfId="0" applyNumberFormat="1" applyFont="1" applyBorder="1" applyAlignment="1">
      <alignment horizontal="center"/>
    </xf>
    <xf numFmtId="2" fontId="14" fillId="0" borderId="8" xfId="0" applyNumberFormat="1" applyFont="1" applyBorder="1" applyAlignment="1">
      <alignment horizontal="center"/>
    </xf>
    <xf numFmtId="0" fontId="12" fillId="0" borderId="0" xfId="0" applyFont="1" applyAlignment="1">
      <alignment horizontal="left" vertical="center"/>
    </xf>
    <xf numFmtId="0" fontId="0" fillId="0" borderId="7" xfId="0" applyBorder="1"/>
    <xf numFmtId="0" fontId="16" fillId="0" borderId="0" xfId="0" applyFont="1" applyAlignment="1">
      <alignment horizontal="left"/>
    </xf>
    <xf numFmtId="0" fontId="13" fillId="0" borderId="0" xfId="0" applyFont="1" applyAlignment="1">
      <alignment horizontal="right"/>
    </xf>
    <xf numFmtId="0" fontId="13" fillId="0" borderId="0" xfId="0" applyFont="1" applyAlignment="1">
      <alignment horizontal="center"/>
    </xf>
    <xf numFmtId="0" fontId="0" fillId="0" borderId="0" xfId="0" applyAlignment="1">
      <alignment horizontal="left"/>
    </xf>
    <xf numFmtId="0" fontId="0" fillId="0" borderId="0" xfId="0" applyAlignment="1">
      <alignment horizontal="right" vertical="center" wrapText="1"/>
    </xf>
    <xf numFmtId="9" fontId="0" fillId="0" borderId="0" xfId="0" applyNumberFormat="1" applyAlignment="1">
      <alignment horizontal="center"/>
    </xf>
    <xf numFmtId="0" fontId="0" fillId="0" borderId="5" xfId="0" applyBorder="1" applyAlignment="1">
      <alignment horizontal="right"/>
    </xf>
    <xf numFmtId="0" fontId="0" fillId="0" borderId="5" xfId="0" applyBorder="1" applyAlignment="1">
      <alignment horizontal="center"/>
    </xf>
    <xf numFmtId="0" fontId="0" fillId="0" borderId="5" xfId="0" applyBorder="1" applyAlignment="1">
      <alignment horizontal="left"/>
    </xf>
    <xf numFmtId="0" fontId="0" fillId="0" borderId="0" xfId="0" applyAlignment="1">
      <alignment horizontal="right" wrapText="1"/>
    </xf>
    <xf numFmtId="0" fontId="0" fillId="0" borderId="7" xfId="0" applyBorder="1" applyAlignment="1">
      <alignment horizontal="right" wrapText="1"/>
    </xf>
    <xf numFmtId="168" fontId="0" fillId="0" borderId="0" xfId="0" applyNumberFormat="1"/>
    <xf numFmtId="169" fontId="0" fillId="0" borderId="0" xfId="0" applyNumberFormat="1"/>
    <xf numFmtId="3" fontId="21" fillId="0" borderId="0" xfId="0" applyNumberFormat="1" applyFont="1" applyAlignment="1">
      <alignment horizontal="center"/>
    </xf>
    <xf numFmtId="2" fontId="21" fillId="0" borderId="0" xfId="0" applyNumberFormat="1" applyFont="1" applyAlignment="1">
      <alignment horizontal="center"/>
    </xf>
    <xf numFmtId="9" fontId="0" fillId="0" borderId="0" xfId="1" applyFont="1"/>
    <xf numFmtId="0" fontId="3" fillId="0" borderId="0" xfId="0" applyFont="1" applyAlignment="1">
      <alignment wrapText="1"/>
    </xf>
    <xf numFmtId="0" fontId="0" fillId="0" borderId="0" xfId="0" applyAlignment="1">
      <alignment vertical="top"/>
    </xf>
    <xf numFmtId="0" fontId="3" fillId="2" borderId="0" xfId="0" applyFont="1" applyFill="1" applyAlignment="1">
      <alignment vertical="top"/>
    </xf>
    <xf numFmtId="0" fontId="3" fillId="2" borderId="0" xfId="0" applyFont="1" applyFill="1"/>
    <xf numFmtId="0" fontId="3" fillId="0" borderId="0" xfId="0" applyFont="1" applyAlignment="1">
      <alignment vertical="top"/>
    </xf>
    <xf numFmtId="11" fontId="0" fillId="0" borderId="0" xfId="0" applyNumberFormat="1"/>
    <xf numFmtId="0" fontId="0" fillId="88" borderId="0" xfId="0" applyFill="1"/>
    <xf numFmtId="0" fontId="0" fillId="11" borderId="0" xfId="0" applyFill="1" applyAlignment="1">
      <alignment horizontal="center" vertical="center"/>
    </xf>
    <xf numFmtId="0" fontId="0" fillId="0" borderId="0" xfId="0" applyAlignment="1">
      <alignment horizontal="center" vertical="center"/>
    </xf>
    <xf numFmtId="3" fontId="0" fillId="11" borderId="0" xfId="0" applyNumberFormat="1" applyFill="1" applyAlignment="1">
      <alignment horizontal="center" vertical="center"/>
    </xf>
    <xf numFmtId="2" fontId="0" fillId="11" borderId="0" xfId="0" applyNumberFormat="1" applyFill="1" applyAlignment="1">
      <alignment horizontal="center" vertical="center"/>
    </xf>
    <xf numFmtId="0" fontId="0" fillId="11" borderId="0" xfId="0" applyFill="1" applyAlignment="1">
      <alignment horizontal="center" vertical="center" wrapText="1"/>
    </xf>
    <xf numFmtId="0" fontId="3" fillId="0" borderId="0" xfId="0" applyFont="1"/>
    <xf numFmtId="0" fontId="0" fillId="0" borderId="0" xfId="0" applyAlignment="1">
      <alignment horizontal="left" vertical="top" wrapText="1"/>
    </xf>
    <xf numFmtId="168" fontId="0" fillId="11" borderId="0" xfId="0" applyNumberFormat="1" applyFill="1" applyAlignment="1">
      <alignment horizontal="center" vertical="center"/>
    </xf>
    <xf numFmtId="0" fontId="169" fillId="0" borderId="0" xfId="0" applyFont="1"/>
    <xf numFmtId="0" fontId="170" fillId="0" borderId="0" xfId="0" applyFont="1"/>
    <xf numFmtId="0" fontId="120" fillId="9" borderId="85" xfId="0" applyFont="1" applyFill="1" applyBorder="1"/>
    <xf numFmtId="0" fontId="0" fillId="0" borderId="85" xfId="0" applyBorder="1"/>
    <xf numFmtId="0" fontId="0" fillId="0" borderId="87" xfId="0" applyBorder="1"/>
    <xf numFmtId="0" fontId="120" fillId="113" borderId="0" xfId="0" applyFont="1" applyFill="1"/>
    <xf numFmtId="0" fontId="0" fillId="0" borderId="93" xfId="0" applyBorder="1"/>
    <xf numFmtId="0" fontId="167" fillId="12" borderId="12" xfId="3" applyFont="1" applyFill="1" applyBorder="1" applyAlignment="1">
      <alignment horizontal="center" wrapText="1"/>
    </xf>
    <xf numFmtId="0" fontId="167" fillId="12" borderId="14" xfId="3" applyFont="1" applyFill="1" applyBorder="1" applyAlignment="1">
      <alignment horizontal="center" wrapText="1"/>
    </xf>
    <xf numFmtId="0" fontId="167" fillId="13" borderId="14" xfId="3" applyFont="1" applyFill="1" applyBorder="1"/>
    <xf numFmtId="0" fontId="0" fillId="0" borderId="0" xfId="0" applyAlignment="1">
      <alignment vertical="center"/>
    </xf>
    <xf numFmtId="167" fontId="0" fillId="0" borderId="0" xfId="0" applyNumberFormat="1"/>
    <xf numFmtId="10" fontId="0" fillId="0" borderId="0" xfId="0" applyNumberFormat="1"/>
    <xf numFmtId="0" fontId="167" fillId="0" borderId="14" xfId="3" applyFont="1" applyBorder="1"/>
    <xf numFmtId="0" fontId="0" fillId="66" borderId="0" xfId="0" applyFill="1" applyAlignment="1">
      <alignment vertical="center"/>
    </xf>
    <xf numFmtId="0" fontId="0" fillId="66" borderId="0" xfId="0" applyFill="1"/>
    <xf numFmtId="167" fontId="0" fillId="66" borderId="0" xfId="0" applyNumberFormat="1" applyFill="1"/>
    <xf numFmtId="168" fontId="0" fillId="0" borderId="0" xfId="0" applyNumberFormat="1" applyAlignment="1">
      <alignment vertical="center"/>
    </xf>
    <xf numFmtId="2" fontId="0" fillId="0" borderId="0" xfId="0" applyNumberFormat="1" applyAlignment="1">
      <alignment vertical="center"/>
    </xf>
    <xf numFmtId="0" fontId="14" fillId="13" borderId="14" xfId="3" applyFont="1" applyFill="1" applyBorder="1" applyAlignment="1">
      <alignment horizontal="center"/>
    </xf>
    <xf numFmtId="0" fontId="14" fillId="0" borderId="13" xfId="3" applyFont="1" applyBorder="1" applyAlignment="1">
      <alignment horizontal="center"/>
    </xf>
    <xf numFmtId="0" fontId="14" fillId="0" borderId="0" xfId="3" applyFont="1"/>
    <xf numFmtId="0" fontId="14" fillId="0" borderId="0" xfId="3" applyFont="1" applyAlignment="1">
      <alignment horizontal="center"/>
    </xf>
    <xf numFmtId="0" fontId="173" fillId="0" borderId="24" xfId="0" applyFont="1" applyBorder="1" applyAlignment="1">
      <alignment vertical="center" wrapText="1"/>
    </xf>
    <xf numFmtId="0" fontId="173" fillId="0" borderId="30" xfId="0" applyFont="1" applyBorder="1" applyAlignment="1">
      <alignment vertical="center" wrapText="1"/>
    </xf>
    <xf numFmtId="0" fontId="173" fillId="0" borderId="19" xfId="0" applyFont="1" applyBorder="1" applyAlignment="1">
      <alignment vertical="center" wrapText="1"/>
    </xf>
    <xf numFmtId="0" fontId="173" fillId="0" borderId="0" xfId="0" applyFont="1" applyAlignment="1">
      <alignment vertical="center" wrapText="1"/>
    </xf>
    <xf numFmtId="0" fontId="173" fillId="0" borderId="14" xfId="0" applyFont="1" applyBorder="1" applyAlignment="1">
      <alignment vertical="center" wrapText="1"/>
    </xf>
    <xf numFmtId="9" fontId="173" fillId="0" borderId="14" xfId="0" applyNumberFormat="1" applyFont="1" applyBorder="1" applyAlignment="1">
      <alignment vertical="center" wrapText="1"/>
    </xf>
    <xf numFmtId="0" fontId="173" fillId="2" borderId="14" xfId="0" applyFont="1" applyFill="1" applyBorder="1" applyAlignment="1">
      <alignment vertical="center" wrapText="1"/>
    </xf>
    <xf numFmtId="0" fontId="0" fillId="2" borderId="0" xfId="0" applyFill="1"/>
    <xf numFmtId="0" fontId="0" fillId="0" borderId="17" xfId="0" applyBorder="1"/>
    <xf numFmtId="0" fontId="0" fillId="0" borderId="12" xfId="0" applyBorder="1"/>
    <xf numFmtId="0" fontId="0" fillId="0" borderId="18" xfId="0" applyBorder="1"/>
    <xf numFmtId="0" fontId="0" fillId="0" borderId="19" xfId="0" applyBorder="1"/>
    <xf numFmtId="170" fontId="0" fillId="0" borderId="0" xfId="0" applyNumberFormat="1"/>
    <xf numFmtId="2" fontId="0" fillId="0" borderId="0" xfId="0" applyNumberFormat="1"/>
    <xf numFmtId="0" fontId="0" fillId="0" borderId="20" xfId="0" applyBorder="1"/>
    <xf numFmtId="0" fontId="0" fillId="0" borderId="21" xfId="0" applyBorder="1"/>
    <xf numFmtId="0" fontId="0" fillId="0" borderId="14" xfId="0" applyBorder="1"/>
    <xf numFmtId="2" fontId="14" fillId="0" borderId="14" xfId="3" applyNumberFormat="1" applyFont="1" applyBorder="1" applyAlignment="1">
      <alignment horizontal="center"/>
    </xf>
    <xf numFmtId="2" fontId="14" fillId="0" borderId="14" xfId="3" applyNumberFormat="1" applyFont="1" applyBorder="1"/>
    <xf numFmtId="0" fontId="14" fillId="0" borderId="14" xfId="3" applyFont="1" applyBorder="1"/>
    <xf numFmtId="170" fontId="14" fillId="0" borderId="14" xfId="3" applyNumberFormat="1" applyFont="1" applyBorder="1" applyAlignment="1">
      <alignment horizontal="center"/>
    </xf>
    <xf numFmtId="166" fontId="14" fillId="0" borderId="14" xfId="3" applyNumberFormat="1" applyFont="1" applyBorder="1" applyAlignment="1">
      <alignment horizontal="center"/>
    </xf>
    <xf numFmtId="165" fontId="14" fillId="0" borderId="14" xfId="3" applyNumberFormat="1" applyFont="1" applyBorder="1" applyAlignment="1">
      <alignment horizontal="center"/>
    </xf>
    <xf numFmtId="2" fontId="14" fillId="14" borderId="14" xfId="3" applyNumberFormat="1" applyFont="1" applyFill="1" applyBorder="1" applyAlignment="1">
      <alignment horizontal="center"/>
    </xf>
    <xf numFmtId="170" fontId="14" fillId="14" borderId="14" xfId="3" applyNumberFormat="1" applyFont="1" applyFill="1" applyBorder="1" applyAlignment="1">
      <alignment horizontal="center"/>
    </xf>
    <xf numFmtId="167" fontId="14" fillId="0" borderId="14" xfId="3" applyNumberFormat="1" applyFont="1" applyBorder="1" applyAlignment="1">
      <alignment horizontal="center"/>
    </xf>
    <xf numFmtId="168" fontId="14" fillId="0" borderId="14" xfId="3" applyNumberFormat="1" applyFont="1" applyBorder="1" applyAlignment="1">
      <alignment horizontal="center"/>
    </xf>
    <xf numFmtId="0" fontId="0" fillId="0" borderId="59" xfId="0"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indent="4"/>
    </xf>
    <xf numFmtId="0" fontId="0" fillId="0" borderId="61" xfId="0" applyBorder="1" applyAlignment="1">
      <alignment horizontal="left" vertical="center" wrapText="1" indent="2"/>
    </xf>
    <xf numFmtId="0" fontId="0" fillId="0" borderId="61" xfId="0" applyBorder="1" applyAlignment="1">
      <alignment horizontal="left" vertical="center" wrapText="1" indent="3"/>
    </xf>
    <xf numFmtId="10" fontId="0" fillId="0" borderId="61" xfId="0" applyNumberFormat="1" applyBorder="1" applyAlignment="1">
      <alignment horizontal="left" vertical="center" wrapText="1" indent="3"/>
    </xf>
    <xf numFmtId="0" fontId="0" fillId="0" borderId="60" xfId="0" applyBorder="1" applyAlignment="1">
      <alignment vertical="center" wrapText="1"/>
    </xf>
    <xf numFmtId="0" fontId="0" fillId="0" borderId="62" xfId="0" applyBorder="1" applyAlignment="1">
      <alignment vertical="center" wrapText="1"/>
    </xf>
    <xf numFmtId="0" fontId="0" fillId="0" borderId="62" xfId="0" applyBorder="1" applyAlignment="1">
      <alignment horizontal="left" vertical="center" wrapText="1" indent="4"/>
    </xf>
    <xf numFmtId="0" fontId="0" fillId="0" borderId="62" xfId="0" applyBorder="1" applyAlignment="1">
      <alignment horizontal="left" vertical="center" wrapText="1" indent="2"/>
    </xf>
    <xf numFmtId="0" fontId="0" fillId="0" borderId="62" xfId="0" applyBorder="1" applyAlignment="1">
      <alignment horizontal="left" vertical="center" wrapText="1" indent="3"/>
    </xf>
    <xf numFmtId="10" fontId="0" fillId="0" borderId="62" xfId="0" applyNumberFormat="1" applyBorder="1" applyAlignment="1">
      <alignment horizontal="left" vertical="center" wrapText="1" indent="3"/>
    </xf>
    <xf numFmtId="171" fontId="14" fillId="0" borderId="14" xfId="3" applyNumberFormat="1" applyFont="1" applyBorder="1" applyAlignment="1">
      <alignment horizontal="center"/>
    </xf>
    <xf numFmtId="0" fontId="167" fillId="0" borderId="0" xfId="3" applyFont="1"/>
    <xf numFmtId="2" fontId="14" fillId="14" borderId="0" xfId="3" applyNumberFormat="1" applyFont="1" applyFill="1"/>
    <xf numFmtId="0" fontId="167" fillId="0" borderId="13" xfId="3" applyFont="1" applyBorder="1" applyAlignment="1">
      <alignment horizontal="left" vertical="top"/>
    </xf>
    <xf numFmtId="0" fontId="167" fillId="13" borderId="14" xfId="3" applyFont="1" applyFill="1" applyBorder="1" applyAlignment="1">
      <alignment horizontal="left" vertical="top"/>
    </xf>
    <xf numFmtId="0" fontId="14" fillId="0" borderId="14" xfId="3" applyFont="1" applyBorder="1" applyAlignment="1">
      <alignment horizontal="left" vertical="top"/>
    </xf>
    <xf numFmtId="0" fontId="14" fillId="14" borderId="13" xfId="3" applyFont="1" applyFill="1" applyBorder="1" applyAlignment="1">
      <alignment horizontal="left" vertical="top"/>
    </xf>
    <xf numFmtId="0" fontId="14" fillId="14" borderId="14" xfId="3" applyFont="1" applyFill="1" applyBorder="1" applyAlignment="1">
      <alignment horizontal="left" vertical="top"/>
    </xf>
    <xf numFmtId="0" fontId="14" fillId="13" borderId="14" xfId="3" applyFont="1" applyFill="1" applyBorder="1" applyAlignment="1">
      <alignment horizontal="left" vertical="top"/>
    </xf>
    <xf numFmtId="0" fontId="172" fillId="113" borderId="0" xfId="0" applyFont="1" applyFill="1" applyAlignment="1">
      <alignment vertical="center"/>
    </xf>
    <xf numFmtId="0" fontId="120" fillId="113" borderId="0" xfId="0" applyFont="1" applyFill="1" applyAlignment="1">
      <alignment vertical="center"/>
    </xf>
    <xf numFmtId="0" fontId="0" fillId="0" borderId="86" xfId="0" applyBorder="1" applyAlignment="1">
      <alignment horizontal="left" vertical="top"/>
    </xf>
    <xf numFmtId="0" fontId="0" fillId="110" borderId="100" xfId="0" applyFill="1" applyBorder="1"/>
    <xf numFmtId="0" fontId="9" fillId="0" borderId="0" xfId="2"/>
    <xf numFmtId="0" fontId="0" fillId="0" borderId="18" xfId="0" applyBorder="1" applyAlignment="1">
      <alignment horizontal="center"/>
    </xf>
    <xf numFmtId="0" fontId="14" fillId="0" borderId="16" xfId="0" applyFont="1" applyBorder="1"/>
    <xf numFmtId="0" fontId="14" fillId="0" borderId="18" xfId="0" applyFont="1" applyBorder="1"/>
    <xf numFmtId="0" fontId="14" fillId="0" borderId="18" xfId="0" applyFont="1" applyBorder="1" applyAlignment="1">
      <alignment horizontal="center"/>
    </xf>
    <xf numFmtId="166" fontId="21" fillId="0" borderId="0" xfId="0" applyNumberFormat="1" applyFont="1" applyAlignment="1">
      <alignment horizontal="center"/>
    </xf>
    <xf numFmtId="0" fontId="14" fillId="0" borderId="20" xfId="0" applyFont="1" applyBorder="1" applyAlignment="1">
      <alignment horizontal="center"/>
    </xf>
    <xf numFmtId="0" fontId="14" fillId="0" borderId="21" xfId="0" applyFont="1" applyBorder="1" applyAlignment="1">
      <alignment horizontal="center"/>
    </xf>
    <xf numFmtId="0" fontId="14" fillId="0" borderId="21" xfId="0" applyFont="1" applyBorder="1" applyAlignment="1">
      <alignment horizontal="left"/>
    </xf>
    <xf numFmtId="0" fontId="167" fillId="0" borderId="0" xfId="0" applyFont="1" applyAlignment="1">
      <alignment horizontal="left"/>
    </xf>
    <xf numFmtId="0" fontId="14" fillId="0" borderId="16" xfId="0" applyFont="1" applyBorder="1" applyAlignment="1">
      <alignment wrapText="1"/>
    </xf>
    <xf numFmtId="1" fontId="21" fillId="0" borderId="17" xfId="0" applyNumberFormat="1" applyFont="1" applyBorder="1" applyAlignment="1">
      <alignment horizontal="center"/>
    </xf>
    <xf numFmtId="0" fontId="21" fillId="0" borderId="17" xfId="0" applyFont="1" applyBorder="1"/>
    <xf numFmtId="173" fontId="27" fillId="0" borderId="0" xfId="0" applyNumberFormat="1" applyFont="1" applyAlignment="1">
      <alignment horizontal="center"/>
    </xf>
    <xf numFmtId="0" fontId="27" fillId="0" borderId="0" xfId="0" applyFont="1"/>
    <xf numFmtId="3" fontId="27" fillId="0" borderId="0" xfId="0" applyNumberFormat="1" applyFont="1" applyAlignment="1">
      <alignment horizontal="center"/>
    </xf>
    <xf numFmtId="0" fontId="14" fillId="0" borderId="0" xfId="0" quotePrefix="1" applyFont="1"/>
    <xf numFmtId="0" fontId="3" fillId="111" borderId="85" xfId="0" applyFont="1" applyFill="1" applyBorder="1" applyAlignment="1">
      <alignment horizontal="left" vertical="top"/>
    </xf>
    <xf numFmtId="168" fontId="0" fillId="0" borderId="85" xfId="0" applyNumberFormat="1" applyBorder="1" applyAlignment="1">
      <alignment horizontal="right" vertical="top"/>
    </xf>
    <xf numFmtId="2" fontId="0" fillId="0" borderId="85" xfId="0" applyNumberFormat="1" applyBorder="1" applyAlignment="1">
      <alignment horizontal="right" vertical="top"/>
    </xf>
    <xf numFmtId="170" fontId="0" fillId="0" borderId="85" xfId="0" applyNumberFormat="1" applyBorder="1" applyAlignment="1">
      <alignment horizontal="right" vertical="top"/>
    </xf>
    <xf numFmtId="169" fontId="0" fillId="0" borderId="85" xfId="0" applyNumberFormat="1" applyBorder="1" applyAlignment="1">
      <alignment horizontal="right" vertical="top"/>
    </xf>
    <xf numFmtId="196" fontId="0" fillId="0" borderId="0" xfId="0" applyNumberFormat="1"/>
    <xf numFmtId="0" fontId="167" fillId="38" borderId="80" xfId="21" applyFont="1" applyFill="1" applyBorder="1" applyAlignment="1">
      <alignment horizontal="center" vertical="center"/>
    </xf>
    <xf numFmtId="0" fontId="180" fillId="0" borderId="0" xfId="0" applyFont="1"/>
    <xf numFmtId="0" fontId="0" fillId="0" borderId="85" xfId="0" applyBorder="1" applyAlignment="1">
      <alignment horizontal="left" vertical="top" wrapText="1"/>
    </xf>
    <xf numFmtId="0" fontId="0" fillId="0" borderId="103" xfId="0" applyBorder="1" applyAlignment="1">
      <alignment horizontal="left" vertical="top" wrapText="1"/>
    </xf>
    <xf numFmtId="0" fontId="0" fillId="0" borderId="0" xfId="0" applyAlignment="1">
      <alignment horizontal="left" vertical="top"/>
    </xf>
    <xf numFmtId="0" fontId="0" fillId="0" borderId="0" xfId="0" applyAlignment="1">
      <alignment horizontal="center" vertical="top"/>
    </xf>
    <xf numFmtId="43" fontId="0" fillId="0" borderId="0" xfId="0" applyNumberFormat="1"/>
    <xf numFmtId="0" fontId="0" fillId="0" borderId="85" xfId="0" applyBorder="1" applyAlignment="1">
      <alignment horizontal="left" vertical="top"/>
    </xf>
    <xf numFmtId="0" fontId="0" fillId="0" borderId="85" xfId="0" applyBorder="1" applyAlignment="1">
      <alignment vertical="top"/>
    </xf>
    <xf numFmtId="0" fontId="0" fillId="0" borderId="86" xfId="0" applyBorder="1" applyAlignment="1">
      <alignment vertical="top"/>
    </xf>
    <xf numFmtId="0" fontId="120" fillId="9" borderId="94" xfId="0" applyFont="1" applyFill="1" applyBorder="1"/>
    <xf numFmtId="165" fontId="0" fillId="4" borderId="85" xfId="0" applyNumberFormat="1" applyFill="1" applyBorder="1" applyAlignment="1">
      <alignment horizontal="right" vertical="top"/>
    </xf>
    <xf numFmtId="168" fontId="0" fillId="4" borderId="85" xfId="0" applyNumberFormat="1" applyFill="1" applyBorder="1" applyAlignment="1">
      <alignment horizontal="right" vertical="top"/>
    </xf>
    <xf numFmtId="2" fontId="0" fillId="111" borderId="85" xfId="0" applyNumberFormat="1" applyFill="1" applyBorder="1" applyAlignment="1">
      <alignment horizontal="right" vertical="top"/>
    </xf>
    <xf numFmtId="170" fontId="0" fillId="0" borderId="0" xfId="0" applyNumberFormat="1" applyAlignment="1">
      <alignment horizontal="right" vertical="top"/>
    </xf>
    <xf numFmtId="0" fontId="0" fillId="0" borderId="94" xfId="0" applyBorder="1" applyAlignment="1">
      <alignment horizontal="left" vertical="top"/>
    </xf>
    <xf numFmtId="168" fontId="0" fillId="0" borderId="94" xfId="0" applyNumberFormat="1" applyBorder="1" applyAlignment="1">
      <alignment horizontal="right" vertical="top"/>
    </xf>
    <xf numFmtId="0" fontId="3" fillId="112" borderId="103" xfId="0" applyFont="1" applyFill="1" applyBorder="1" applyAlignment="1">
      <alignment horizontal="left" vertical="top"/>
    </xf>
    <xf numFmtId="0" fontId="14" fillId="0" borderId="0" xfId="23" applyFont="1" applyFill="1" applyBorder="1">
      <alignment horizontal="left" vertical="center" indent="5"/>
    </xf>
    <xf numFmtId="0" fontId="33" fillId="16" borderId="0" xfId="3" applyFont="1" applyFill="1"/>
    <xf numFmtId="0" fontId="0" fillId="0" borderId="108" xfId="0" applyBorder="1" applyAlignment="1">
      <alignment vertical="top" wrapText="1"/>
    </xf>
    <xf numFmtId="0" fontId="0" fillId="0" borderId="102" xfId="0" applyBorder="1" applyAlignment="1">
      <alignment horizontal="left" vertical="top"/>
    </xf>
    <xf numFmtId="0" fontId="0" fillId="0" borderId="110" xfId="0" applyBorder="1" applyAlignment="1">
      <alignment vertical="top" wrapText="1"/>
    </xf>
    <xf numFmtId="0" fontId="0" fillId="0" borderId="111" xfId="0" applyBorder="1" applyAlignment="1">
      <alignment horizontal="left" vertical="top"/>
    </xf>
    <xf numFmtId="166" fontId="0" fillId="0" borderId="85" xfId="0" applyNumberFormat="1" applyBorder="1" applyAlignment="1">
      <alignment horizontal="right" vertical="top"/>
    </xf>
    <xf numFmtId="43" fontId="0" fillId="0" borderId="0" xfId="10" applyFont="1"/>
    <xf numFmtId="0" fontId="0" fillId="0" borderId="0" xfId="0" applyAlignment="1">
      <alignment horizontal="right" vertical="top" wrapText="1"/>
    </xf>
    <xf numFmtId="9" fontId="0" fillId="0" borderId="0" xfId="0" applyNumberFormat="1" applyAlignment="1">
      <alignment horizontal="right" vertical="top" wrapText="1"/>
    </xf>
    <xf numFmtId="0" fontId="4" fillId="2" borderId="89" xfId="0" applyFont="1" applyFill="1" applyBorder="1" applyAlignment="1">
      <alignment vertical="top"/>
    </xf>
    <xf numFmtId="1" fontId="0" fillId="111" borderId="85" xfId="0" applyNumberFormat="1" applyFill="1" applyBorder="1" applyAlignment="1">
      <alignment horizontal="right" vertical="top"/>
    </xf>
    <xf numFmtId="10" fontId="0" fillId="11" borderId="0" xfId="1" applyNumberFormat="1" applyFont="1" applyFill="1" applyBorder="1" applyAlignment="1">
      <alignment wrapText="1"/>
    </xf>
    <xf numFmtId="166" fontId="0" fillId="111" borderId="85" xfId="0" applyNumberFormat="1" applyFill="1" applyBorder="1" applyAlignment="1">
      <alignment horizontal="right" vertical="top"/>
    </xf>
    <xf numFmtId="166" fontId="0" fillId="0" borderId="94" xfId="0" applyNumberFormat="1" applyBorder="1" applyAlignment="1">
      <alignment horizontal="right" vertical="top"/>
    </xf>
    <xf numFmtId="0" fontId="185" fillId="11" borderId="0" xfId="0" applyFont="1" applyFill="1"/>
    <xf numFmtId="0" fontId="3" fillId="111" borderId="94" xfId="0" applyFont="1" applyFill="1" applyBorder="1" applyAlignment="1">
      <alignment horizontal="left" vertical="top"/>
    </xf>
    <xf numFmtId="0" fontId="14" fillId="0" borderId="114" xfId="0" applyFont="1" applyBorder="1" applyAlignment="1">
      <alignment vertical="top"/>
    </xf>
    <xf numFmtId="0" fontId="14" fillId="11" borderId="114" xfId="0" applyFont="1" applyFill="1" applyBorder="1"/>
    <xf numFmtId="0" fontId="150" fillId="2" borderId="0" xfId="0" applyFont="1" applyFill="1"/>
    <xf numFmtId="3" fontId="0" fillId="0" borderId="0" xfId="0" applyNumberFormat="1"/>
    <xf numFmtId="0" fontId="186" fillId="0" borderId="30" xfId="0" applyFont="1" applyBorder="1" applyAlignment="1">
      <alignment vertical="center"/>
    </xf>
    <xf numFmtId="0" fontId="186" fillId="0" borderId="30" xfId="0" applyFont="1" applyBorder="1" applyAlignment="1">
      <alignment horizontal="right" vertical="center"/>
    </xf>
    <xf numFmtId="3" fontId="186" fillId="0" borderId="30" xfId="0" applyNumberFormat="1" applyFont="1" applyBorder="1" applyAlignment="1">
      <alignment horizontal="right" vertical="center"/>
    </xf>
    <xf numFmtId="0" fontId="186" fillId="0" borderId="14" xfId="0" applyFont="1" applyBorder="1" applyAlignment="1">
      <alignment vertical="center"/>
    </xf>
    <xf numFmtId="3" fontId="186" fillId="0" borderId="14" xfId="0" applyNumberFormat="1" applyFont="1" applyBorder="1" applyAlignment="1">
      <alignment horizontal="right" vertical="center"/>
    </xf>
    <xf numFmtId="0" fontId="186" fillId="0" borderId="14" xfId="0" applyFont="1" applyBorder="1" applyAlignment="1">
      <alignment horizontal="right" vertical="center"/>
    </xf>
    <xf numFmtId="0" fontId="186" fillId="0" borderId="14" xfId="0" applyFont="1" applyBorder="1" applyAlignment="1">
      <alignment vertical="center" wrapText="1"/>
    </xf>
    <xf numFmtId="0" fontId="189" fillId="0" borderId="0" xfId="0" applyFont="1" applyAlignment="1">
      <alignment horizontal="justify" vertical="center"/>
    </xf>
    <xf numFmtId="0" fontId="186" fillId="0" borderId="30" xfId="0" applyFont="1" applyBorder="1" applyAlignment="1">
      <alignment vertical="center" wrapText="1"/>
    </xf>
    <xf numFmtId="0" fontId="189" fillId="0" borderId="14" xfId="0" applyFont="1" applyBorder="1" applyAlignment="1">
      <alignment vertical="center" wrapText="1"/>
    </xf>
    <xf numFmtId="0" fontId="190" fillId="0" borderId="13" xfId="0" applyFont="1" applyBorder="1" applyAlignment="1">
      <alignment vertical="center" wrapText="1"/>
    </xf>
    <xf numFmtId="0" fontId="190" fillId="0" borderId="14" xfId="0" applyFont="1" applyBorder="1" applyAlignment="1">
      <alignment vertical="center" wrapText="1"/>
    </xf>
    <xf numFmtId="0" fontId="190" fillId="0" borderId="14" xfId="0" applyFont="1" applyBorder="1" applyAlignment="1">
      <alignment vertical="center"/>
    </xf>
    <xf numFmtId="3" fontId="190" fillId="0" borderId="14" xfId="0" applyNumberFormat="1" applyFont="1" applyBorder="1" applyAlignment="1">
      <alignment horizontal="right" vertical="center"/>
    </xf>
    <xf numFmtId="0" fontId="190" fillId="0" borderId="14" xfId="0" applyFont="1" applyBorder="1" applyAlignment="1">
      <alignment horizontal="right" vertical="center"/>
    </xf>
    <xf numFmtId="0" fontId="0" fillId="0" borderId="96" xfId="0" applyBorder="1" applyAlignment="1">
      <alignment horizontal="left" vertical="top"/>
    </xf>
    <xf numFmtId="168" fontId="14" fillId="0" borderId="0" xfId="0" applyNumberFormat="1" applyFont="1" applyAlignment="1">
      <alignment horizontal="center"/>
    </xf>
    <xf numFmtId="0" fontId="0" fillId="0" borderId="90" xfId="0" applyBorder="1" applyAlignment="1">
      <alignment vertical="top"/>
    </xf>
    <xf numFmtId="0" fontId="0" fillId="0" borderId="0" xfId="0" applyAlignment="1">
      <alignment horizontal="left" vertical="center"/>
    </xf>
    <xf numFmtId="169" fontId="0" fillId="0" borderId="94" xfId="0" applyNumberFormat="1" applyBorder="1" applyAlignment="1">
      <alignment horizontal="right" vertical="top"/>
    </xf>
    <xf numFmtId="0" fontId="0" fillId="2" borderId="17" xfId="0" applyFill="1" applyBorder="1"/>
    <xf numFmtId="0" fontId="14" fillId="0" borderId="0" xfId="0" applyFont="1" applyAlignment="1">
      <alignment wrapText="1"/>
    </xf>
    <xf numFmtId="0" fontId="0" fillId="0" borderId="0" xfId="0" applyAlignment="1">
      <alignment horizontal="center" vertical="top" wrapText="1"/>
    </xf>
    <xf numFmtId="0" fontId="4" fillId="117" borderId="0" xfId="0" applyFont="1" applyFill="1"/>
    <xf numFmtId="0" fontId="120" fillId="119" borderId="0" xfId="0" applyFont="1" applyFill="1"/>
    <xf numFmtId="0" fontId="0" fillId="120" borderId="0" xfId="0" applyFill="1"/>
    <xf numFmtId="0" fontId="0" fillId="0" borderId="117" xfId="0" applyBorder="1" applyAlignment="1">
      <alignment horizontal="left" vertical="top"/>
    </xf>
    <xf numFmtId="0" fontId="121" fillId="0" borderId="0" xfId="0" applyFont="1"/>
    <xf numFmtId="166" fontId="0" fillId="0" borderId="0" xfId="0" applyNumberFormat="1"/>
    <xf numFmtId="171" fontId="0" fillId="0" borderId="0" xfId="0" applyNumberFormat="1"/>
    <xf numFmtId="0" fontId="121" fillId="120" borderId="0" xfId="0" applyFont="1" applyFill="1"/>
    <xf numFmtId="1" fontId="14" fillId="169" borderId="0" xfId="4174" applyNumberFormat="1" applyFont="1" applyFill="1" applyAlignment="1">
      <alignment horizontal="center"/>
    </xf>
    <xf numFmtId="0" fontId="14" fillId="169" borderId="0" xfId="7515" applyFont="1" applyFill="1" applyAlignment="1">
      <alignment horizontal="left" vertical="center" wrapText="1"/>
    </xf>
    <xf numFmtId="0" fontId="1" fillId="168" borderId="0" xfId="8239" applyFont="1" applyFill="1"/>
    <xf numFmtId="41" fontId="1" fillId="168" borderId="0" xfId="8234" applyNumberFormat="1" applyFont="1" applyFill="1"/>
    <xf numFmtId="0" fontId="1" fillId="168" borderId="0" xfId="8237" applyFont="1" applyFill="1"/>
    <xf numFmtId="41" fontId="1" fillId="168" borderId="0" xfId="8236" applyNumberFormat="1" applyFont="1" applyFill="1"/>
    <xf numFmtId="233" fontId="0" fillId="0" borderId="0" xfId="0" applyNumberFormat="1"/>
    <xf numFmtId="228" fontId="0" fillId="0" borderId="0" xfId="0" applyNumberFormat="1"/>
    <xf numFmtId="41" fontId="0" fillId="0" borderId="0" xfId="0" applyNumberFormat="1"/>
    <xf numFmtId="0" fontId="32" fillId="38" borderId="33" xfId="21" applyFont="1" applyFill="1" applyBorder="1" applyAlignment="1">
      <alignment horizontal="left" vertical="center"/>
    </xf>
    <xf numFmtId="0" fontId="32" fillId="38" borderId="80" xfId="21" applyFont="1" applyFill="1" applyBorder="1" applyAlignment="1">
      <alignment horizontal="center" vertical="center"/>
    </xf>
    <xf numFmtId="0" fontId="3" fillId="4" borderId="102" xfId="0" applyFont="1" applyFill="1" applyBorder="1" applyAlignment="1">
      <alignment horizontal="center" vertical="top" wrapText="1"/>
    </xf>
    <xf numFmtId="166" fontId="27" fillId="0" borderId="0" xfId="0" applyNumberFormat="1" applyFont="1"/>
    <xf numFmtId="0" fontId="153" fillId="0" borderId="0" xfId="8533"/>
    <xf numFmtId="166" fontId="18" fillId="0" borderId="0" xfId="8533" applyNumberFormat="1" applyFont="1"/>
    <xf numFmtId="1" fontId="221" fillId="0" borderId="0" xfId="8533" applyNumberFormat="1" applyFont="1" applyAlignment="1">
      <alignment vertical="center" wrapText="1"/>
    </xf>
    <xf numFmtId="1" fontId="18" fillId="0" borderId="0" xfId="8533" applyNumberFormat="1" applyFont="1" applyAlignment="1">
      <alignment horizontal="right"/>
    </xf>
    <xf numFmtId="0" fontId="222" fillId="7" borderId="0" xfId="8533" applyFont="1" applyFill="1" applyAlignment="1">
      <alignment wrapText="1"/>
    </xf>
    <xf numFmtId="166" fontId="18" fillId="169" borderId="0" xfId="8533" applyNumberFormat="1" applyFont="1" applyFill="1"/>
    <xf numFmtId="166" fontId="18" fillId="8" borderId="0" xfId="8533" applyNumberFormat="1" applyFont="1" applyFill="1"/>
    <xf numFmtId="166" fontId="18" fillId="9" borderId="0" xfId="8533" applyNumberFormat="1" applyFont="1" applyFill="1"/>
    <xf numFmtId="0" fontId="222" fillId="6" borderId="0" xfId="8533" applyFont="1" applyFill="1"/>
    <xf numFmtId="0" fontId="222" fillId="5" borderId="0" xfId="8533" applyFont="1" applyFill="1"/>
    <xf numFmtId="1" fontId="18" fillId="9" borderId="0" xfId="8533" applyNumberFormat="1" applyFont="1" applyFill="1" applyAlignment="1">
      <alignment horizontal="right"/>
    </xf>
    <xf numFmtId="166" fontId="18" fillId="168" borderId="0" xfId="8533" applyNumberFormat="1" applyFont="1" applyFill="1"/>
    <xf numFmtId="1" fontId="221" fillId="6" borderId="0" xfId="8533" applyNumberFormat="1" applyFont="1" applyFill="1" applyAlignment="1">
      <alignment vertical="center" wrapText="1"/>
    </xf>
    <xf numFmtId="1" fontId="221" fillId="5" borderId="0" xfId="8533" applyNumberFormat="1" applyFont="1" applyFill="1" applyAlignment="1">
      <alignment vertical="center" wrapText="1"/>
    </xf>
    <xf numFmtId="0" fontId="222" fillId="7" borderId="0" xfId="8533" applyFont="1" applyFill="1"/>
    <xf numFmtId="1" fontId="221" fillId="7" borderId="0" xfId="8533" applyNumberFormat="1" applyFont="1" applyFill="1" applyAlignment="1">
      <alignment vertical="center" wrapText="1"/>
    </xf>
    <xf numFmtId="0" fontId="222" fillId="5" borderId="0" xfId="8533" applyFont="1" applyFill="1" applyAlignment="1">
      <alignment wrapText="1"/>
    </xf>
    <xf numFmtId="0" fontId="222" fillId="0" borderId="0" xfId="8533" applyFont="1" applyAlignment="1">
      <alignment horizontal="center" vertical="center" wrapText="1"/>
    </xf>
    <xf numFmtId="0" fontId="222" fillId="0" borderId="0" xfId="8533" applyFont="1" applyAlignment="1">
      <alignment horizontal="center" vertical="center"/>
    </xf>
    <xf numFmtId="0" fontId="0" fillId="117" borderId="0" xfId="0" applyFill="1"/>
    <xf numFmtId="0" fontId="0" fillId="0" borderId="102" xfId="0" applyBorder="1" applyAlignment="1">
      <alignment vertical="top"/>
    </xf>
    <xf numFmtId="0" fontId="0" fillId="0" borderId="147" xfId="0" quotePrefix="1" applyBorder="1" applyAlignment="1">
      <alignment horizontal="left" vertical="top"/>
    </xf>
    <xf numFmtId="0" fontId="0" fillId="0" borderId="147" xfId="0" applyBorder="1" applyAlignment="1">
      <alignment horizontal="left" vertical="top"/>
    </xf>
    <xf numFmtId="0" fontId="0" fillId="0" borderId="147" xfId="0" applyBorder="1" applyAlignment="1">
      <alignment vertical="top"/>
    </xf>
    <xf numFmtId="0" fontId="0" fillId="0" borderId="148" xfId="0" applyBorder="1" applyAlignment="1">
      <alignment vertical="top"/>
    </xf>
    <xf numFmtId="0" fontId="222" fillId="5" borderId="21" xfId="8533" applyFont="1" applyFill="1" applyBorder="1"/>
    <xf numFmtId="1" fontId="221" fillId="5" borderId="21" xfId="8533" applyNumberFormat="1" applyFont="1" applyFill="1" applyBorder="1" applyAlignment="1">
      <alignment vertical="center" wrapText="1"/>
    </xf>
    <xf numFmtId="166" fontId="0" fillId="0" borderId="21" xfId="0" applyNumberFormat="1" applyBorder="1"/>
    <xf numFmtId="166" fontId="27" fillId="111" borderId="85" xfId="0" applyNumberFormat="1" applyFont="1" applyFill="1" applyBorder="1" applyAlignment="1">
      <alignment horizontal="right" vertical="top"/>
    </xf>
    <xf numFmtId="0" fontId="27" fillId="0" borderId="117" xfId="0" applyFont="1" applyBorder="1" applyAlignment="1">
      <alignment horizontal="left" vertical="top"/>
    </xf>
    <xf numFmtId="0" fontId="14" fillId="0" borderId="0" xfId="0" applyFont="1" applyAlignment="1">
      <alignment horizontal="left" vertical="center" wrapText="1"/>
    </xf>
    <xf numFmtId="0" fontId="1" fillId="168" borderId="0" xfId="0" applyFont="1" applyFill="1"/>
    <xf numFmtId="41" fontId="1" fillId="168" borderId="0" xfId="0" applyNumberFormat="1" applyFont="1" applyFill="1"/>
    <xf numFmtId="0" fontId="185" fillId="12" borderId="152" xfId="0" applyFont="1" applyFill="1" applyBorder="1" applyAlignment="1">
      <alignment horizontal="left" wrapText="1"/>
    </xf>
    <xf numFmtId="0" fontId="185" fillId="12" borderId="153" xfId="0" applyFont="1" applyFill="1" applyBorder="1" applyAlignment="1">
      <alignment horizontal="left" wrapText="1"/>
    </xf>
    <xf numFmtId="237" fontId="185" fillId="0" borderId="154" xfId="0" applyNumberFormat="1" applyFont="1" applyBorder="1" applyAlignment="1">
      <alignment horizontal="center" wrapText="1"/>
    </xf>
    <xf numFmtId="238" fontId="185" fillId="0" borderId="154" xfId="0" applyNumberFormat="1" applyFont="1" applyBorder="1" applyAlignment="1">
      <alignment horizontal="center" wrapText="1"/>
    </xf>
    <xf numFmtId="0" fontId="185" fillId="12" borderId="154" xfId="0" applyFont="1" applyFill="1" applyBorder="1" applyAlignment="1">
      <alignment horizontal="left" wrapText="1"/>
    </xf>
    <xf numFmtId="0" fontId="185" fillId="12" borderId="155" xfId="0" applyFont="1" applyFill="1" applyBorder="1" applyAlignment="1">
      <alignment horizontal="left" wrapText="1"/>
    </xf>
    <xf numFmtId="0" fontId="185" fillId="12" borderId="156" xfId="0" applyFont="1" applyFill="1" applyBorder="1" applyAlignment="1">
      <alignment horizontal="left" wrapText="1"/>
    </xf>
    <xf numFmtId="0" fontId="185" fillId="12" borderId="157" xfId="0" applyFont="1" applyFill="1" applyBorder="1" applyAlignment="1">
      <alignment horizontal="left" wrapText="1"/>
    </xf>
    <xf numFmtId="0" fontId="0" fillId="0" borderId="21" xfId="0" applyBorder="1" applyAlignment="1">
      <alignment horizontal="center"/>
    </xf>
    <xf numFmtId="17" fontId="27" fillId="11" borderId="75" xfId="0" applyNumberFormat="1" applyFont="1" applyFill="1" applyBorder="1" applyAlignment="1">
      <alignment horizontal="center" vertical="center" wrapText="1"/>
    </xf>
    <xf numFmtId="0" fontId="121" fillId="11" borderId="30" xfId="0" applyFont="1" applyFill="1" applyBorder="1" applyAlignment="1">
      <alignment horizontal="center" vertical="center" wrapText="1"/>
    </xf>
    <xf numFmtId="17" fontId="121" fillId="11" borderId="76" xfId="0" applyNumberFormat="1" applyFont="1" applyFill="1" applyBorder="1" applyAlignment="1">
      <alignment horizontal="center" vertical="center"/>
    </xf>
    <xf numFmtId="0" fontId="121" fillId="11" borderId="24" xfId="0" applyFont="1" applyFill="1" applyBorder="1" applyAlignment="1">
      <alignment horizontal="center" vertical="center"/>
    </xf>
    <xf numFmtId="0" fontId="27" fillId="11" borderId="18" xfId="0" applyFont="1" applyFill="1" applyBorder="1" applyAlignment="1">
      <alignment horizontal="center" vertical="center" wrapText="1"/>
    </xf>
    <xf numFmtId="0" fontId="27" fillId="11" borderId="19" xfId="0" applyFont="1" applyFill="1" applyBorder="1" applyAlignment="1">
      <alignment horizontal="center" vertical="center" wrapText="1"/>
    </xf>
    <xf numFmtId="3" fontId="27" fillId="11" borderId="0" xfId="0" applyNumberFormat="1" applyFont="1" applyFill="1" applyAlignment="1">
      <alignment horizontal="center" vertical="center"/>
    </xf>
    <xf numFmtId="3" fontId="27" fillId="11" borderId="15" xfId="0" applyNumberFormat="1" applyFont="1" applyFill="1" applyBorder="1" applyAlignment="1">
      <alignment horizontal="center" vertical="center"/>
    </xf>
    <xf numFmtId="175" fontId="27" fillId="11" borderId="0" xfId="8534" applyNumberFormat="1" applyFont="1" applyFill="1" applyAlignment="1">
      <alignment horizontal="center" vertical="center"/>
    </xf>
    <xf numFmtId="0" fontId="27" fillId="11" borderId="15" xfId="0" applyFont="1" applyFill="1" applyBorder="1" applyAlignment="1">
      <alignment horizontal="center" vertical="center"/>
    </xf>
    <xf numFmtId="17" fontId="27" fillId="11" borderId="0" xfId="0" applyNumberFormat="1" applyFont="1" applyFill="1" applyAlignment="1">
      <alignment horizontal="center" vertical="center"/>
    </xf>
    <xf numFmtId="1" fontId="27" fillId="11" borderId="15" xfId="0" applyNumberFormat="1" applyFont="1" applyFill="1" applyBorder="1" applyAlignment="1">
      <alignment horizontal="center" vertical="center"/>
    </xf>
    <xf numFmtId="0" fontId="121" fillId="11" borderId="15" xfId="0" applyFont="1" applyFill="1" applyBorder="1" applyAlignment="1">
      <alignment horizontal="center" vertical="center"/>
    </xf>
    <xf numFmtId="0" fontId="121" fillId="11" borderId="18" xfId="0" applyFont="1" applyFill="1" applyBorder="1" applyAlignment="1">
      <alignment horizontal="center" vertical="center" wrapText="1"/>
    </xf>
    <xf numFmtId="0" fontId="121" fillId="11" borderId="19" xfId="0" applyFont="1" applyFill="1" applyBorder="1" applyAlignment="1">
      <alignment horizontal="center" vertical="center" wrapText="1"/>
    </xf>
    <xf numFmtId="0" fontId="121" fillId="11" borderId="0" xfId="0" applyFont="1" applyFill="1" applyAlignment="1">
      <alignment horizontal="center" vertical="center"/>
    </xf>
    <xf numFmtId="0" fontId="121" fillId="2" borderId="0" xfId="0" applyFont="1" applyFill="1" applyAlignment="1">
      <alignment horizontal="center" vertical="center"/>
    </xf>
    <xf numFmtId="0" fontId="27" fillId="11" borderId="0" xfId="0" applyFont="1" applyFill="1" applyAlignment="1">
      <alignment horizontal="center" vertical="center"/>
    </xf>
    <xf numFmtId="0" fontId="27" fillId="2" borderId="0" xfId="0" applyFont="1" applyFill="1" applyAlignment="1">
      <alignment horizontal="center" vertical="center"/>
    </xf>
    <xf numFmtId="2" fontId="27" fillId="11" borderId="0" xfId="0" applyNumberFormat="1" applyFont="1" applyFill="1" applyAlignment="1">
      <alignment horizontal="center" vertical="center"/>
    </xf>
    <xf numFmtId="2" fontId="27" fillId="2" borderId="0" xfId="0" applyNumberFormat="1" applyFont="1" applyFill="1" applyAlignment="1">
      <alignment horizontal="center" vertical="center"/>
    </xf>
    <xf numFmtId="165" fontId="27" fillId="11" borderId="0" xfId="1881" applyNumberFormat="1" applyFont="1" applyFill="1" applyAlignment="1">
      <alignment horizontal="center" vertical="center"/>
    </xf>
    <xf numFmtId="165" fontId="27" fillId="2" borderId="0" xfId="1881" applyNumberFormat="1" applyFont="1" applyFill="1" applyAlignment="1">
      <alignment horizontal="center" vertical="center"/>
    </xf>
    <xf numFmtId="0" fontId="27" fillId="11" borderId="13" xfId="0" applyFont="1" applyFill="1" applyBorder="1" applyAlignment="1">
      <alignment horizontal="center" vertical="center"/>
    </xf>
    <xf numFmtId="0" fontId="121" fillId="11" borderId="75" xfId="0" applyFont="1" applyFill="1" applyBorder="1" applyAlignment="1">
      <alignment horizontal="center" vertical="center" wrapText="1"/>
    </xf>
    <xf numFmtId="2" fontId="27" fillId="11" borderId="76" xfId="0" applyNumberFormat="1" applyFont="1" applyFill="1" applyBorder="1" applyAlignment="1">
      <alignment horizontal="center" vertical="center"/>
    </xf>
    <xf numFmtId="2" fontId="121" fillId="11" borderId="24" xfId="0" applyNumberFormat="1" applyFont="1" applyFill="1" applyBorder="1" applyAlignment="1">
      <alignment horizontal="center" vertical="center"/>
    </xf>
    <xf numFmtId="0" fontId="27" fillId="11" borderId="0" xfId="0" applyFont="1" applyFill="1" applyAlignment="1">
      <alignment horizontal="center" vertical="center" wrapText="1"/>
    </xf>
    <xf numFmtId="0" fontId="172" fillId="170" borderId="0" xfId="0" applyFont="1" applyFill="1" applyAlignment="1">
      <alignment vertical="center"/>
    </xf>
    <xf numFmtId="0" fontId="120" fillId="170" borderId="0" xfId="0" applyFont="1" applyFill="1" applyAlignment="1">
      <alignment vertical="center"/>
    </xf>
    <xf numFmtId="0" fontId="120" fillId="170" borderId="0" xfId="0" applyFont="1" applyFill="1"/>
    <xf numFmtId="0" fontId="27" fillId="0" borderId="85" xfId="0" applyFont="1" applyBorder="1" applyAlignment="1">
      <alignment horizontal="left" vertical="top"/>
    </xf>
    <xf numFmtId="0" fontId="14" fillId="2" borderId="17" xfId="0" applyFont="1" applyFill="1" applyBorder="1"/>
    <xf numFmtId="0" fontId="14" fillId="2" borderId="0" xfId="0" applyFont="1" applyFill="1"/>
    <xf numFmtId="0" fontId="176" fillId="2" borderId="0" xfId="0" applyFont="1" applyFill="1"/>
    <xf numFmtId="0" fontId="225" fillId="0" borderId="0" xfId="0" applyFont="1"/>
    <xf numFmtId="0" fontId="27" fillId="0" borderId="0" xfId="0" applyFont="1" applyAlignment="1">
      <alignment horizontal="center"/>
    </xf>
    <xf numFmtId="0" fontId="225" fillId="0" borderId="0" xfId="2" applyFont="1" applyFill="1"/>
    <xf numFmtId="1" fontId="27" fillId="0" borderId="0" xfId="0" applyNumberFormat="1" applyFont="1" applyAlignment="1">
      <alignment horizontal="center"/>
    </xf>
    <xf numFmtId="0" fontId="225" fillId="0" borderId="0" xfId="2" applyFont="1" applyFill="1" applyBorder="1" applyAlignment="1">
      <alignment horizontal="left"/>
    </xf>
    <xf numFmtId="166" fontId="27" fillId="0" borderId="0" xfId="0" applyNumberFormat="1" applyFont="1" applyAlignment="1">
      <alignment horizontal="center"/>
    </xf>
    <xf numFmtId="172" fontId="27" fillId="0" borderId="0" xfId="0" applyNumberFormat="1" applyFont="1" applyAlignment="1">
      <alignment horizontal="center"/>
    </xf>
    <xf numFmtId="0" fontId="27" fillId="0" borderId="0" xfId="0" applyFont="1" applyAlignment="1">
      <alignment horizontal="left"/>
    </xf>
    <xf numFmtId="165" fontId="27" fillId="0" borderId="0" xfId="0" applyNumberFormat="1" applyFont="1" applyAlignment="1">
      <alignment horizontal="center"/>
    </xf>
    <xf numFmtId="0" fontId="4" fillId="170" borderId="0" xfId="21" applyFont="1" applyFill="1" applyAlignment="1">
      <alignment horizontal="left" vertical="center" indent="1"/>
    </xf>
    <xf numFmtId="0" fontId="4" fillId="170" borderId="0" xfId="0" applyFont="1" applyFill="1"/>
    <xf numFmtId="0" fontId="14" fillId="169" borderId="0" xfId="0" applyFont="1" applyFill="1" applyAlignment="1">
      <alignment horizontal="left" vertical="center" wrapText="1"/>
    </xf>
    <xf numFmtId="0" fontId="14" fillId="168" borderId="0" xfId="0" applyFont="1" applyFill="1" applyAlignment="1">
      <alignment horizontal="left" vertical="center" wrapText="1"/>
    </xf>
    <xf numFmtId="0" fontId="1" fillId="0" borderId="0" xfId="0" applyFont="1" applyAlignment="1">
      <alignment horizontal="left" indent="1"/>
    </xf>
    <xf numFmtId="0" fontId="1" fillId="168" borderId="0" xfId="0" applyFont="1" applyFill="1" applyAlignment="1">
      <alignment horizontal="left"/>
    </xf>
    <xf numFmtId="1" fontId="14" fillId="169" borderId="0" xfId="0" applyNumberFormat="1" applyFont="1" applyFill="1" applyAlignment="1">
      <alignment horizontal="center"/>
    </xf>
    <xf numFmtId="164" fontId="14" fillId="169" borderId="0" xfId="1819" applyNumberFormat="1" applyFont="1" applyFill="1" applyBorder="1" applyAlignment="1">
      <alignment horizontal="center"/>
    </xf>
    <xf numFmtId="1" fontId="14" fillId="0" borderId="0" xfId="0" applyNumberFormat="1" applyFont="1" applyAlignment="1">
      <alignment horizontal="right"/>
    </xf>
    <xf numFmtId="164" fontId="14" fillId="0" borderId="0" xfId="1819" applyNumberFormat="1" applyFont="1" applyFill="1" applyBorder="1" applyAlignment="1">
      <alignment horizontal="right"/>
    </xf>
    <xf numFmtId="41" fontId="14" fillId="168" borderId="0" xfId="0" applyNumberFormat="1" applyFont="1" applyFill="1" applyAlignment="1">
      <alignment horizontal="right"/>
    </xf>
    <xf numFmtId="164" fontId="14" fillId="168" borderId="0" xfId="1819" applyNumberFormat="1" applyFont="1" applyFill="1" applyBorder="1" applyAlignment="1">
      <alignment horizontal="right"/>
    </xf>
    <xf numFmtId="41" fontId="1" fillId="0" borderId="0" xfId="0" applyNumberFormat="1" applyFont="1"/>
    <xf numFmtId="164" fontId="1" fillId="168" borderId="0" xfId="0" applyNumberFormat="1" applyFont="1" applyFill="1"/>
    <xf numFmtId="0" fontId="10" fillId="0" borderId="0" xfId="0" applyFont="1" applyAlignment="1">
      <alignment horizontal="left" indent="2"/>
    </xf>
    <xf numFmtId="0" fontId="1" fillId="0" borderId="0" xfId="0" applyFont="1" applyAlignment="1">
      <alignment horizontal="left"/>
    </xf>
    <xf numFmtId="164" fontId="1" fillId="168" borderId="0" xfId="1819" applyNumberFormat="1" applyFont="1" applyFill="1" applyBorder="1"/>
    <xf numFmtId="164" fontId="1" fillId="0" borderId="0" xfId="1819" applyNumberFormat="1" applyFont="1" applyFill="1" applyBorder="1"/>
    <xf numFmtId="41" fontId="1" fillId="4" borderId="0" xfId="0" applyNumberFormat="1" applyFont="1" applyFill="1"/>
    <xf numFmtId="41" fontId="27" fillId="0" borderId="0" xfId="0" applyNumberFormat="1" applyFont="1"/>
    <xf numFmtId="166" fontId="27" fillId="11" borderId="85" xfId="0" applyNumberFormat="1" applyFont="1" applyFill="1" applyBorder="1" applyAlignment="1">
      <alignment horizontal="right" vertical="top"/>
    </xf>
    <xf numFmtId="165" fontId="27" fillId="11" borderId="85" xfId="0" applyNumberFormat="1" applyFont="1" applyFill="1" applyBorder="1" applyAlignment="1">
      <alignment horizontal="right" vertical="top"/>
    </xf>
    <xf numFmtId="2" fontId="27" fillId="0" borderId="0" xfId="0" applyNumberFormat="1" applyFont="1"/>
    <xf numFmtId="0" fontId="3" fillId="0" borderId="29" xfId="0" applyFont="1" applyBorder="1"/>
    <xf numFmtId="0" fontId="149" fillId="0" borderId="4" xfId="0" applyFont="1" applyBorder="1"/>
    <xf numFmtId="0" fontId="0" fillId="0" borderId="29" xfId="0" applyBorder="1"/>
    <xf numFmtId="0" fontId="27" fillId="0" borderId="158" xfId="0" applyFont="1" applyBorder="1"/>
    <xf numFmtId="0" fontId="121" fillId="0" borderId="158" xfId="0" applyFont="1" applyBorder="1"/>
    <xf numFmtId="0" fontId="0" fillId="0" borderId="158" xfId="0" applyBorder="1"/>
    <xf numFmtId="14" fontId="121" fillId="0" borderId="158" xfId="0" applyNumberFormat="1" applyFont="1" applyBorder="1"/>
    <xf numFmtId="0" fontId="0" fillId="170" borderId="0" xfId="0" applyFill="1"/>
    <xf numFmtId="0" fontId="3" fillId="170" borderId="0" xfId="0" applyFont="1" applyFill="1"/>
    <xf numFmtId="0" fontId="3" fillId="170" borderId="0" xfId="0" applyFont="1" applyFill="1" applyAlignment="1">
      <alignment vertical="top"/>
    </xf>
    <xf numFmtId="0" fontId="0" fillId="170" borderId="0" xfId="0" applyFill="1" applyAlignment="1">
      <alignment vertical="top"/>
    </xf>
    <xf numFmtId="3" fontId="228" fillId="0" borderId="14" xfId="0" applyNumberFormat="1" applyFont="1" applyBorder="1" applyAlignment="1">
      <alignment vertical="center"/>
    </xf>
    <xf numFmtId="1" fontId="227" fillId="0" borderId="14" xfId="0" applyNumberFormat="1" applyFont="1" applyBorder="1" applyAlignment="1">
      <alignment vertical="center"/>
    </xf>
    <xf numFmtId="3" fontId="227" fillId="0" borderId="14" xfId="0" applyNumberFormat="1" applyFont="1" applyBorder="1" applyAlignment="1">
      <alignment vertical="center"/>
    </xf>
    <xf numFmtId="3" fontId="230" fillId="0" borderId="67" xfId="166" applyNumberFormat="1" applyFont="1" applyBorder="1" applyAlignment="1">
      <alignment vertical="top"/>
    </xf>
    <xf numFmtId="3" fontId="231" fillId="0" borderId="67" xfId="166" applyNumberFormat="1" applyFont="1" applyBorder="1" applyAlignment="1">
      <alignment vertical="top"/>
    </xf>
    <xf numFmtId="3" fontId="231" fillId="0" borderId="3" xfId="166" applyNumberFormat="1" applyFont="1" applyBorder="1" applyAlignment="1">
      <alignment vertical="top"/>
    </xf>
    <xf numFmtId="239" fontId="230" fillId="0" borderId="0" xfId="166" applyNumberFormat="1" applyFont="1" applyAlignment="1">
      <alignment vertical="top"/>
    </xf>
    <xf numFmtId="3" fontId="230" fillId="87" borderId="67" xfId="166" applyNumberFormat="1" applyFont="1" applyFill="1" applyBorder="1" applyAlignment="1">
      <alignment vertical="top"/>
    </xf>
    <xf numFmtId="3" fontId="231" fillId="87" borderId="67" xfId="166" applyNumberFormat="1" applyFont="1" applyFill="1" applyBorder="1" applyAlignment="1">
      <alignment vertical="top"/>
    </xf>
    <xf numFmtId="3" fontId="231" fillId="87" borderId="3" xfId="166" applyNumberFormat="1" applyFont="1" applyFill="1" applyBorder="1" applyAlignment="1">
      <alignment vertical="top"/>
    </xf>
    <xf numFmtId="239" fontId="230" fillId="87" borderId="0" xfId="166" applyNumberFormat="1" applyFont="1" applyFill="1" applyAlignment="1">
      <alignment vertical="top"/>
    </xf>
    <xf numFmtId="0" fontId="100" fillId="0" borderId="0" xfId="166" applyFont="1" applyAlignment="1">
      <alignment vertical="top"/>
    </xf>
    <xf numFmtId="3" fontId="27" fillId="0" borderId="0" xfId="0" applyNumberFormat="1" applyFont="1"/>
    <xf numFmtId="0" fontId="14" fillId="11" borderId="0" xfId="0" applyFont="1" applyFill="1" applyAlignment="1">
      <alignment horizontal="center" vertical="center" wrapText="1"/>
    </xf>
    <xf numFmtId="175" fontId="14" fillId="11" borderId="0" xfId="0" applyNumberFormat="1" applyFont="1" applyFill="1" applyAlignment="1">
      <alignment horizontal="center" vertical="center"/>
    </xf>
    <xf numFmtId="43" fontId="14" fillId="11" borderId="0" xfId="0" applyNumberFormat="1" applyFont="1" applyFill="1" applyAlignment="1">
      <alignment horizontal="center" vertical="center" wrapText="1"/>
    </xf>
    <xf numFmtId="0" fontId="121" fillId="9" borderId="85" xfId="0" applyFont="1" applyFill="1" applyBorder="1"/>
    <xf numFmtId="0" fontId="27" fillId="9" borderId="0" xfId="0" applyFont="1" applyFill="1" applyAlignment="1">
      <alignment vertical="top"/>
    </xf>
    <xf numFmtId="0" fontId="14" fillId="11" borderId="116" xfId="0" applyFont="1" applyFill="1" applyBorder="1"/>
    <xf numFmtId="0" fontId="14" fillId="11" borderId="116" xfId="0" applyFont="1" applyFill="1" applyBorder="1" applyAlignment="1">
      <alignment vertical="center"/>
    </xf>
    <xf numFmtId="0" fontId="14" fillId="11" borderId="159" xfId="0" applyFont="1" applyFill="1" applyBorder="1" applyAlignment="1">
      <alignment vertical="center"/>
    </xf>
    <xf numFmtId="0" fontId="234" fillId="170" borderId="0" xfId="0" applyFont="1" applyFill="1"/>
    <xf numFmtId="0" fontId="13" fillId="0" borderId="0" xfId="0" applyFont="1"/>
    <xf numFmtId="0" fontId="32" fillId="38" borderId="36" xfId="21" applyFont="1" applyFill="1" applyBorder="1" applyAlignment="1">
      <alignment horizontal="center" vertical="center"/>
    </xf>
    <xf numFmtId="0" fontId="32" fillId="38" borderId="5" xfId="21" applyFont="1" applyFill="1" applyBorder="1" applyAlignment="1">
      <alignment horizontal="center" vertical="center"/>
    </xf>
    <xf numFmtId="0" fontId="32" fillId="38" borderId="37" xfId="21" applyFont="1" applyFill="1" applyBorder="1" applyAlignment="1">
      <alignment horizontal="center" vertical="center"/>
    </xf>
    <xf numFmtId="0" fontId="32" fillId="38" borderId="36" xfId="21" applyFont="1" applyFill="1" applyBorder="1" applyAlignment="1">
      <alignment horizontal="left" vertical="center"/>
    </xf>
    <xf numFmtId="0" fontId="32" fillId="38" borderId="37" xfId="21" applyFont="1" applyFill="1" applyBorder="1" applyAlignment="1">
      <alignment horizontal="left" vertical="center"/>
    </xf>
    <xf numFmtId="0" fontId="236" fillId="117" borderId="0" xfId="8533" applyFont="1" applyFill="1"/>
    <xf numFmtId="0" fontId="237" fillId="117" borderId="0" xfId="0" applyFont="1" applyFill="1"/>
    <xf numFmtId="0" fontId="185" fillId="11" borderId="0" xfId="0" applyFont="1" applyFill="1" applyAlignment="1">
      <alignment horizontal="left" wrapText="1"/>
    </xf>
    <xf numFmtId="0" fontId="185" fillId="11" borderId="0" xfId="0" applyFont="1" applyFill="1" applyAlignment="1">
      <alignment wrapText="1"/>
    </xf>
    <xf numFmtId="0" fontId="185" fillId="0" borderId="152" xfId="0" applyFont="1" applyBorder="1" applyAlignment="1">
      <alignment horizontal="left" wrapText="1"/>
    </xf>
    <xf numFmtId="0" fontId="185" fillId="0" borderId="152" xfId="0" applyFont="1" applyBorder="1" applyAlignment="1">
      <alignment wrapText="1"/>
    </xf>
    <xf numFmtId="0" fontId="185" fillId="0" borderId="152" xfId="0" applyFont="1" applyBorder="1"/>
    <xf numFmtId="0" fontId="185" fillId="12" borderId="152" xfId="0" applyFont="1" applyFill="1" applyBorder="1"/>
    <xf numFmtId="0" fontId="185" fillId="12" borderId="152" xfId="0" applyFont="1" applyFill="1" applyBorder="1" applyAlignment="1">
      <alignment wrapText="1"/>
    </xf>
    <xf numFmtId="237" fontId="185" fillId="11" borderId="152" xfId="0" applyNumberFormat="1" applyFont="1" applyFill="1" applyBorder="1" applyAlignment="1">
      <alignment horizontal="center"/>
    </xf>
    <xf numFmtId="170" fontId="185" fillId="11" borderId="152" xfId="0" applyNumberFormat="1" applyFont="1" applyFill="1" applyBorder="1" applyAlignment="1">
      <alignment horizontal="center"/>
    </xf>
    <xf numFmtId="0" fontId="3" fillId="89" borderId="0" xfId="1774" applyFont="1" applyFill="1"/>
    <xf numFmtId="0" fontId="14" fillId="89" borderId="0" xfId="1774" applyFont="1" applyFill="1"/>
    <xf numFmtId="197" fontId="0" fillId="89" borderId="0" xfId="1551" applyNumberFormat="1" applyFont="1" applyFill="1"/>
    <xf numFmtId="0" fontId="115" fillId="0" borderId="0" xfId="1774" applyFont="1"/>
    <xf numFmtId="0" fontId="15" fillId="0" borderId="0" xfId="1774" applyFont="1"/>
    <xf numFmtId="197" fontId="15" fillId="0" borderId="0" xfId="1551" applyNumberFormat="1" applyFont="1"/>
    <xf numFmtId="2" fontId="0" fillId="89" borderId="75" xfId="1" applyNumberFormat="1" applyFont="1" applyFill="1" applyBorder="1"/>
    <xf numFmtId="2" fontId="0" fillId="89" borderId="76" xfId="1" applyNumberFormat="1" applyFont="1" applyFill="1" applyBorder="1"/>
    <xf numFmtId="166" fontId="0" fillId="89" borderId="18" xfId="0" applyNumberFormat="1" applyFill="1" applyBorder="1"/>
    <xf numFmtId="166" fontId="0" fillId="89" borderId="20" xfId="0" applyNumberFormat="1" applyFill="1" applyBorder="1"/>
    <xf numFmtId="164" fontId="0" fillId="89" borderId="75" xfId="1" applyNumberFormat="1" applyFont="1" applyFill="1" applyBorder="1"/>
    <xf numFmtId="164" fontId="0" fillId="89" borderId="76" xfId="1" applyNumberFormat="1" applyFont="1" applyFill="1" applyBorder="1"/>
    <xf numFmtId="164" fontId="0" fillId="89" borderId="30" xfId="1" applyNumberFormat="1" applyFont="1" applyFill="1" applyBorder="1"/>
    <xf numFmtId="2" fontId="0" fillId="89" borderId="30" xfId="1" applyNumberFormat="1" applyFont="1" applyFill="1" applyBorder="1"/>
    <xf numFmtId="0" fontId="121" fillId="0" borderId="0" xfId="0" applyFont="1" applyAlignment="1">
      <alignment horizontal="center"/>
    </xf>
    <xf numFmtId="0" fontId="121" fillId="2" borderId="0" xfId="0" applyFont="1" applyFill="1"/>
    <xf numFmtId="0" fontId="27" fillId="0" borderId="36" xfId="0" applyFont="1" applyBorder="1"/>
    <xf numFmtId="0" fontId="9" fillId="0" borderId="0" xfId="2" applyAlignment="1">
      <alignment vertical="center"/>
    </xf>
    <xf numFmtId="0" fontId="27" fillId="0" borderId="0" xfId="0" applyFont="1" applyAlignment="1">
      <alignment vertical="center"/>
    </xf>
    <xf numFmtId="0" fontId="167" fillId="120" borderId="0" xfId="0" applyFont="1" applyFill="1"/>
    <xf numFmtId="0" fontId="0" fillId="176" borderId="0" xfId="0" applyFill="1"/>
    <xf numFmtId="170" fontId="0" fillId="176" borderId="0" xfId="0" applyNumberFormat="1" applyFill="1"/>
    <xf numFmtId="9" fontId="0" fillId="0" borderId="0" xfId="1" applyFont="1" applyFill="1"/>
    <xf numFmtId="237" fontId="185" fillId="0" borderId="0" xfId="12165" applyNumberFormat="1" applyFont="1"/>
    <xf numFmtId="237" fontId="185" fillId="0" borderId="0" xfId="12150" applyNumberFormat="1" applyFont="1"/>
    <xf numFmtId="166" fontId="0" fillId="2" borderId="0" xfId="0" applyNumberFormat="1" applyFill="1"/>
    <xf numFmtId="0" fontId="185" fillId="4" borderId="152" xfId="0" applyFont="1" applyFill="1" applyBorder="1" applyAlignment="1">
      <alignment horizontal="left" wrapText="1"/>
    </xf>
    <xf numFmtId="0" fontId="185" fillId="4" borderId="153" xfId="0" applyFont="1" applyFill="1" applyBorder="1" applyAlignment="1">
      <alignment horizontal="left" wrapText="1"/>
    </xf>
    <xf numFmtId="0" fontId="0" fillId="0" borderId="90" xfId="0" applyBorder="1" applyAlignment="1">
      <alignment horizontal="left" vertical="top"/>
    </xf>
    <xf numFmtId="0" fontId="27" fillId="0" borderId="111" xfId="0" applyFont="1" applyBorder="1" applyAlignment="1">
      <alignment horizontal="left" vertical="top"/>
    </xf>
    <xf numFmtId="0" fontId="0" fillId="112" borderId="0" xfId="0" applyFill="1" applyAlignment="1">
      <alignment horizontal="left"/>
    </xf>
    <xf numFmtId="175" fontId="0" fillId="2" borderId="4" xfId="10" applyNumberFormat="1" applyFont="1" applyFill="1" applyBorder="1"/>
    <xf numFmtId="165" fontId="27" fillId="0" borderId="0" xfId="0" applyNumberFormat="1" applyFont="1"/>
    <xf numFmtId="165" fontId="27" fillId="11" borderId="0" xfId="0" applyNumberFormat="1" applyFont="1" applyFill="1"/>
    <xf numFmtId="0" fontId="0" fillId="11" borderId="85" xfId="0" applyFill="1" applyBorder="1" applyAlignment="1">
      <alignment horizontal="left" vertical="top"/>
    </xf>
    <xf numFmtId="0" fontId="27" fillId="2" borderId="0" xfId="0" applyFont="1" applyFill="1" applyAlignment="1">
      <alignment horizontal="left"/>
    </xf>
    <xf numFmtId="0" fontId="0" fillId="11" borderId="0" xfId="0" applyFill="1"/>
    <xf numFmtId="196" fontId="0" fillId="11" borderId="0" xfId="0" applyNumberFormat="1" applyFill="1"/>
    <xf numFmtId="41" fontId="1" fillId="11" borderId="0" xfId="8236" applyNumberFormat="1" applyFont="1" applyFill="1"/>
    <xf numFmtId="0" fontId="1" fillId="11" borderId="0" xfId="8237" applyFont="1" applyFill="1"/>
    <xf numFmtId="0" fontId="3" fillId="0" borderId="0" xfId="0" applyFont="1" applyAlignment="1">
      <alignment horizontal="left" vertical="top"/>
    </xf>
    <xf numFmtId="0" fontId="27" fillId="0" borderId="0" xfId="0" applyFont="1" applyAlignment="1">
      <alignment wrapText="1"/>
    </xf>
    <xf numFmtId="2" fontId="0" fillId="0" borderId="0" xfId="0" applyNumberFormat="1" applyAlignment="1">
      <alignment horizontal="right" vertical="top" wrapText="1"/>
    </xf>
    <xf numFmtId="9" fontId="0" fillId="0" borderId="0" xfId="1" applyFont="1" applyFill="1" applyBorder="1"/>
    <xf numFmtId="166" fontId="0" fillId="0" borderId="0" xfId="0" applyNumberFormat="1" applyAlignment="1">
      <alignment horizontal="right" vertical="top" wrapText="1"/>
    </xf>
    <xf numFmtId="171" fontId="0" fillId="0" borderId="0" xfId="0" applyNumberFormat="1" applyAlignment="1">
      <alignment horizontal="right" vertical="top" wrapText="1"/>
    </xf>
    <xf numFmtId="175" fontId="0" fillId="0" borderId="0" xfId="10" applyNumberFormat="1" applyFont="1" applyBorder="1" applyAlignment="1">
      <alignment horizontal="right" vertical="top" wrapText="1"/>
    </xf>
    <xf numFmtId="3" fontId="0" fillId="0" borderId="0" xfId="0" applyNumberFormat="1" applyAlignment="1">
      <alignment horizontal="right" vertical="top" wrapText="1"/>
    </xf>
    <xf numFmtId="43" fontId="0" fillId="0" borderId="0" xfId="0" applyNumberFormat="1" applyAlignment="1">
      <alignment horizontal="right" vertical="top"/>
    </xf>
    <xf numFmtId="0" fontId="0" fillId="0" borderId="0" xfId="0" applyAlignment="1">
      <alignment horizontal="right" vertical="top"/>
    </xf>
    <xf numFmtId="227" fontId="0" fillId="0" borderId="0" xfId="0" applyNumberFormat="1" applyAlignment="1">
      <alignment horizontal="right" vertical="top"/>
    </xf>
    <xf numFmtId="166" fontId="0" fillId="0" borderId="0" xfId="0" applyNumberFormat="1" applyAlignment="1">
      <alignment horizontal="right" vertical="top"/>
    </xf>
    <xf numFmtId="2" fontId="0" fillId="0" borderId="0" xfId="0" applyNumberFormat="1" applyAlignment="1">
      <alignment horizontal="right" vertical="top"/>
    </xf>
    <xf numFmtId="1" fontId="0" fillId="0" borderId="0" xfId="0" applyNumberFormat="1" applyAlignment="1">
      <alignment horizontal="right" vertical="top"/>
    </xf>
    <xf numFmtId="171" fontId="0" fillId="0" borderId="0" xfId="0" applyNumberFormat="1" applyAlignment="1">
      <alignment horizontal="right" vertical="top"/>
    </xf>
    <xf numFmtId="165" fontId="0" fillId="0" borderId="0" xfId="0" applyNumberFormat="1" applyAlignment="1">
      <alignment horizontal="right" vertical="top"/>
    </xf>
    <xf numFmtId="0" fontId="14" fillId="0" borderId="0" xfId="0" applyFont="1" applyAlignment="1">
      <alignment vertical="center"/>
    </xf>
    <xf numFmtId="171" fontId="27" fillId="0" borderId="0" xfId="0" applyNumberFormat="1" applyFont="1" applyAlignment="1">
      <alignment horizontal="right" vertical="top"/>
    </xf>
    <xf numFmtId="171" fontId="27" fillId="184" borderId="76" xfId="0" applyNumberFormat="1" applyFont="1" applyFill="1" applyBorder="1" applyAlignment="1">
      <alignment horizontal="right" vertical="top"/>
    </xf>
    <xf numFmtId="9" fontId="0" fillId="184" borderId="76" xfId="1" applyFont="1" applyFill="1" applyBorder="1"/>
    <xf numFmtId="0" fontId="0" fillId="184" borderId="76" xfId="0" applyFill="1" applyBorder="1"/>
    <xf numFmtId="0" fontId="220" fillId="119" borderId="75" xfId="0" applyFont="1" applyFill="1" applyBorder="1" applyAlignment="1">
      <alignment vertical="center"/>
    </xf>
    <xf numFmtId="0" fontId="120" fillId="119" borderId="76" xfId="0" applyFont="1" applyFill="1" applyBorder="1" applyAlignment="1">
      <alignment vertical="center"/>
    </xf>
    <xf numFmtId="0" fontId="120" fillId="119" borderId="76" xfId="0" applyFont="1" applyFill="1" applyBorder="1"/>
    <xf numFmtId="0" fontId="120" fillId="184" borderId="76" xfId="0" applyFont="1" applyFill="1" applyBorder="1"/>
    <xf numFmtId="0" fontId="3" fillId="0" borderId="103" xfId="0" applyFont="1" applyBorder="1" applyAlignment="1">
      <alignment horizontal="left" vertical="top" wrapText="1"/>
    </xf>
    <xf numFmtId="0" fontId="120" fillId="0" borderId="0" xfId="0" applyFont="1"/>
    <xf numFmtId="0" fontId="0" fillId="0" borderId="4" xfId="0" applyBorder="1"/>
    <xf numFmtId="2" fontId="27" fillId="0" borderId="158" xfId="0" applyNumberFormat="1" applyFont="1" applyBorder="1"/>
    <xf numFmtId="0" fontId="27" fillId="0" borderId="244" xfId="0" applyFont="1" applyBorder="1"/>
    <xf numFmtId="2" fontId="27" fillId="0" borderId="244" xfId="0" applyNumberFormat="1" applyFont="1" applyBorder="1"/>
    <xf numFmtId="0" fontId="247" fillId="0" borderId="0" xfId="0" applyFont="1"/>
    <xf numFmtId="0" fontId="120" fillId="0" borderId="0" xfId="0" applyFont="1" applyAlignment="1">
      <alignment horizontal="left"/>
    </xf>
    <xf numFmtId="2" fontId="0" fillId="0" borderId="36" xfId="0" applyNumberFormat="1" applyBorder="1"/>
    <xf numFmtId="2" fontId="0" fillId="0" borderId="67" xfId="0" applyNumberFormat="1" applyBorder="1"/>
    <xf numFmtId="2" fontId="0" fillId="0" borderId="33" xfId="0" applyNumberFormat="1" applyBorder="1"/>
    <xf numFmtId="2" fontId="0" fillId="0" borderId="5" xfId="0" applyNumberFormat="1" applyBorder="1"/>
    <xf numFmtId="2" fontId="0" fillId="0" borderId="68" xfId="0" applyNumberFormat="1" applyBorder="1"/>
    <xf numFmtId="0" fontId="0" fillId="0" borderId="251" xfId="0" applyBorder="1" applyAlignment="1">
      <alignment horizontal="left" vertical="top"/>
    </xf>
    <xf numFmtId="0" fontId="0" fillId="0" borderId="251" xfId="0" applyBorder="1" applyAlignment="1">
      <alignment vertical="top"/>
    </xf>
    <xf numFmtId="0" fontId="0" fillId="0" borderId="251" xfId="0" applyBorder="1" applyAlignment="1">
      <alignment horizontal="left" vertical="top" wrapText="1"/>
    </xf>
    <xf numFmtId="0" fontId="167" fillId="112" borderId="85" xfId="0" applyFont="1" applyFill="1" applyBorder="1" applyAlignment="1">
      <alignment horizontal="left" vertical="top"/>
    </xf>
    <xf numFmtId="0" fontId="167" fillId="111" borderId="85" xfId="0" applyFont="1" applyFill="1" applyBorder="1" applyAlignment="1">
      <alignment horizontal="left" vertical="top"/>
    </xf>
    <xf numFmtId="0" fontId="167" fillId="112" borderId="94" xfId="0" applyFont="1" applyFill="1" applyBorder="1" applyAlignment="1">
      <alignment horizontal="left" vertical="top"/>
    </xf>
    <xf numFmtId="0" fontId="167" fillId="112" borderId="103" xfId="0" applyFont="1" applyFill="1" applyBorder="1" applyAlignment="1">
      <alignment horizontal="left" vertical="top"/>
    </xf>
    <xf numFmtId="0" fontId="167" fillId="112" borderId="117" xfId="0" applyFont="1" applyFill="1" applyBorder="1" applyAlignment="1">
      <alignment horizontal="left" vertical="top"/>
    </xf>
    <xf numFmtId="0" fontId="0" fillId="0" borderId="86" xfId="0" applyBorder="1" applyAlignment="1">
      <alignment horizontal="left" vertical="top" wrapText="1"/>
    </xf>
    <xf numFmtId="0" fontId="120" fillId="9" borderId="86" xfId="0" applyFont="1" applyFill="1" applyBorder="1" applyAlignment="1">
      <alignment horizontal="left"/>
    </xf>
    <xf numFmtId="0" fontId="3" fillId="112" borderId="85" xfId="0" applyFont="1" applyFill="1" applyBorder="1" applyAlignment="1">
      <alignment horizontal="left" vertical="top"/>
    </xf>
    <xf numFmtId="0" fontId="120" fillId="9" borderId="82" xfId="0" applyFont="1" applyFill="1" applyBorder="1"/>
    <xf numFmtId="0" fontId="3" fillId="112" borderId="94" xfId="0" applyFont="1" applyFill="1" applyBorder="1" applyAlignment="1">
      <alignment horizontal="left" vertical="top"/>
    </xf>
    <xf numFmtId="0" fontId="3" fillId="4" borderId="90" xfId="0" applyFont="1" applyFill="1" applyBorder="1" applyAlignment="1">
      <alignment vertical="top" wrapText="1"/>
    </xf>
    <xf numFmtId="0" fontId="120" fillId="9" borderId="90" xfId="0" applyFont="1" applyFill="1" applyBorder="1"/>
    <xf numFmtId="0" fontId="120" fillId="9" borderId="86" xfId="0" applyFont="1" applyFill="1" applyBorder="1"/>
    <xf numFmtId="0" fontId="3" fillId="112" borderId="86" xfId="0" applyFont="1" applyFill="1" applyBorder="1" applyAlignment="1">
      <alignment horizontal="left" vertical="top"/>
    </xf>
    <xf numFmtId="0" fontId="0" fillId="0" borderId="0" xfId="0" applyAlignment="1">
      <alignment vertical="top" wrapText="1"/>
    </xf>
    <xf numFmtId="0" fontId="191" fillId="116" borderId="30" xfId="0" applyFont="1" applyFill="1" applyBorder="1" applyAlignment="1">
      <alignment vertical="center"/>
    </xf>
    <xf numFmtId="0" fontId="187" fillId="116" borderId="0" xfId="0" applyFont="1" applyFill="1" applyAlignment="1">
      <alignment vertical="center"/>
    </xf>
    <xf numFmtId="0" fontId="3" fillId="4" borderId="84" xfId="0" applyFont="1" applyFill="1" applyBorder="1" applyAlignment="1">
      <alignment horizontal="center" vertical="top" wrapText="1"/>
    </xf>
    <xf numFmtId="0" fontId="3" fillId="4" borderId="87" xfId="0" applyFont="1" applyFill="1" applyBorder="1" applyAlignment="1">
      <alignment horizontal="center" vertical="top" wrapText="1"/>
    </xf>
    <xf numFmtId="0" fontId="170" fillId="0" borderId="0" xfId="0" applyFont="1" applyAlignment="1">
      <alignment horizontal="center"/>
    </xf>
    <xf numFmtId="0" fontId="235" fillId="0" borderId="0" xfId="0" applyFont="1"/>
    <xf numFmtId="175" fontId="0" fillId="0" borderId="86" xfId="10" applyNumberFormat="1" applyFont="1" applyBorder="1" applyAlignment="1">
      <alignment horizontal="left" vertical="top"/>
    </xf>
    <xf numFmtId="175" fontId="0" fillId="0" borderId="86" xfId="10" applyNumberFormat="1" applyFont="1" applyBorder="1" applyAlignment="1">
      <alignment horizontal="left" vertical="top" wrapText="1"/>
    </xf>
    <xf numFmtId="0" fontId="120" fillId="9" borderId="309" xfId="0" applyFont="1" applyFill="1" applyBorder="1"/>
    <xf numFmtId="0" fontId="120" fillId="9" borderId="310" xfId="0" applyFont="1" applyFill="1" applyBorder="1"/>
    <xf numFmtId="0" fontId="3" fillId="4" borderId="311" xfId="0" applyFont="1" applyFill="1" applyBorder="1" applyAlignment="1">
      <alignment horizontal="right" vertical="top" wrapText="1"/>
    </xf>
    <xf numFmtId="0" fontId="3" fillId="4" borderId="312" xfId="0" applyFont="1" applyFill="1" applyBorder="1" applyAlignment="1">
      <alignment horizontal="center" vertical="top" wrapText="1"/>
    </xf>
    <xf numFmtId="0" fontId="3" fillId="4" borderId="313" xfId="0" applyFont="1" applyFill="1" applyBorder="1" applyAlignment="1">
      <alignment horizontal="right" vertical="top" wrapText="1"/>
    </xf>
    <xf numFmtId="0" fontId="3" fillId="4" borderId="316" xfId="0" applyFont="1" applyFill="1" applyBorder="1" applyAlignment="1">
      <alignment horizontal="right" vertical="top" wrapText="1"/>
    </xf>
    <xf numFmtId="0" fontId="3" fillId="4" borderId="311" xfId="0" applyFont="1" applyFill="1" applyBorder="1" applyAlignment="1">
      <alignment horizontal="center" vertical="top" wrapText="1"/>
    </xf>
    <xf numFmtId="0" fontId="3" fillId="4" borderId="313" xfId="0" applyFont="1" applyFill="1" applyBorder="1" applyAlignment="1">
      <alignment horizontal="center" vertical="center" wrapText="1"/>
    </xf>
    <xf numFmtId="0" fontId="3" fillId="4" borderId="316" xfId="0" applyFont="1" applyFill="1" applyBorder="1" applyAlignment="1">
      <alignment horizontal="center" vertical="center" wrapText="1"/>
    </xf>
    <xf numFmtId="0" fontId="0" fillId="0" borderId="321" xfId="0" applyBorder="1" applyAlignment="1">
      <alignment horizontal="left" vertical="top" wrapText="1"/>
    </xf>
    <xf numFmtId="175" fontId="0" fillId="0" borderId="322" xfId="10" applyNumberFormat="1" applyFont="1" applyBorder="1" applyAlignment="1">
      <alignment horizontal="left" vertical="top" wrapText="1"/>
    </xf>
    <xf numFmtId="0" fontId="3" fillId="4" borderId="313" xfId="0" applyFont="1" applyFill="1" applyBorder="1" applyAlignment="1">
      <alignment horizontal="right" vertical="center" wrapText="1"/>
    </xf>
    <xf numFmtId="0" fontId="3" fillId="4" borderId="316" xfId="0" applyFont="1" applyFill="1" applyBorder="1" applyAlignment="1">
      <alignment horizontal="right" vertical="center" wrapText="1"/>
    </xf>
    <xf numFmtId="0" fontId="0" fillId="0" borderId="320" xfId="0" applyBorder="1" applyAlignment="1">
      <alignment horizontal="center" vertical="top" wrapText="1"/>
    </xf>
    <xf numFmtId="0" fontId="0" fillId="0" borderId="323" xfId="0" applyBorder="1" applyAlignment="1">
      <alignment horizontal="center" vertical="top" wrapText="1"/>
    </xf>
    <xf numFmtId="242" fontId="0" fillId="0" borderId="320" xfId="0" applyNumberFormat="1" applyBorder="1" applyAlignment="1">
      <alignment horizontal="center" vertical="top"/>
    </xf>
    <xf numFmtId="0" fontId="0" fillId="2" borderId="97" xfId="0" applyFill="1" applyBorder="1" applyAlignment="1" applyProtection="1">
      <alignment horizontal="right" vertical="top"/>
      <protection locked="0"/>
    </xf>
    <xf numFmtId="0" fontId="0" fillId="2" borderId="98" xfId="0" applyFill="1" applyBorder="1" applyAlignment="1" applyProtection="1">
      <alignment horizontal="right" vertical="top"/>
      <protection locked="0"/>
    </xf>
    <xf numFmtId="0" fontId="0" fillId="2" borderId="99" xfId="0" applyFill="1" applyBorder="1" applyAlignment="1" applyProtection="1">
      <alignment horizontal="right" vertical="top"/>
      <protection locked="0"/>
    </xf>
    <xf numFmtId="0" fontId="0" fillId="2" borderId="89" xfId="0" applyFill="1" applyBorder="1" applyAlignment="1" applyProtection="1">
      <alignment horizontal="right" vertical="top"/>
      <protection locked="0"/>
    </xf>
    <xf numFmtId="3" fontId="0" fillId="2" borderId="89" xfId="0" applyNumberFormat="1" applyFill="1" applyBorder="1" applyAlignment="1" applyProtection="1">
      <alignment horizontal="right" vertical="top"/>
      <protection locked="0"/>
    </xf>
    <xf numFmtId="0" fontId="14" fillId="2" borderId="97" xfId="0" applyFont="1" applyFill="1" applyBorder="1" applyAlignment="1" applyProtection="1">
      <alignment horizontal="right" vertical="top"/>
      <protection locked="0"/>
    </xf>
    <xf numFmtId="165" fontId="14" fillId="185" borderId="307" xfId="0" applyNumberFormat="1" applyFont="1" applyFill="1" applyBorder="1" applyAlignment="1">
      <alignment vertical="center"/>
    </xf>
    <xf numFmtId="4" fontId="14" fillId="11" borderId="306" xfId="0" applyNumberFormat="1" applyFont="1" applyFill="1" applyBorder="1" applyAlignment="1">
      <alignment horizontal="center"/>
    </xf>
    <xf numFmtId="229" fontId="14" fillId="11" borderId="306" xfId="0" applyNumberFormat="1" applyFont="1" applyFill="1" applyBorder="1" applyAlignment="1">
      <alignment horizontal="center"/>
    </xf>
    <xf numFmtId="3" fontId="14" fillId="11" borderId="314" xfId="0" applyNumberFormat="1" applyFont="1" applyFill="1" applyBorder="1" applyAlignment="1">
      <alignment horizontal="center"/>
    </xf>
    <xf numFmtId="1" fontId="14" fillId="11" borderId="308" xfId="0" applyNumberFormat="1" applyFont="1" applyFill="1" applyBorder="1" applyAlignment="1">
      <alignment horizontal="center"/>
    </xf>
    <xf numFmtId="165" fontId="14" fillId="185" borderId="152" xfId="0" applyNumberFormat="1" applyFont="1" applyFill="1" applyBorder="1" applyAlignment="1">
      <alignment vertical="center"/>
    </xf>
    <xf numFmtId="229" fontId="14" fillId="11" borderId="152" xfId="0" applyNumberFormat="1" applyFont="1" applyFill="1" applyBorder="1" applyAlignment="1">
      <alignment horizontal="center"/>
    </xf>
    <xf numFmtId="4" fontId="14" fillId="11" borderId="315" xfId="0" applyNumberFormat="1" applyFont="1" applyFill="1" applyBorder="1" applyAlignment="1">
      <alignment horizontal="center"/>
    </xf>
    <xf numFmtId="170" fontId="14" fillId="11" borderId="308" xfId="0" applyNumberFormat="1" applyFont="1" applyFill="1" applyBorder="1" applyAlignment="1">
      <alignment horizontal="center"/>
    </xf>
    <xf numFmtId="172" fontId="14" fillId="11" borderId="152" xfId="0" applyNumberFormat="1" applyFont="1" applyFill="1" applyBorder="1" applyAlignment="1">
      <alignment horizontal="center"/>
    </xf>
    <xf numFmtId="3" fontId="14" fillId="11" borderId="315" xfId="0" applyNumberFormat="1" applyFont="1" applyFill="1" applyBorder="1" applyAlignment="1">
      <alignment horizontal="center"/>
    </xf>
    <xf numFmtId="2" fontId="14" fillId="11" borderId="308" xfId="0" applyNumberFormat="1" applyFont="1" applyFill="1" applyBorder="1" applyAlignment="1">
      <alignment horizontal="center"/>
    </xf>
    <xf numFmtId="3" fontId="14" fillId="11" borderId="152" xfId="0" applyNumberFormat="1" applyFont="1" applyFill="1" applyBorder="1" applyAlignment="1">
      <alignment horizontal="center"/>
    </xf>
    <xf numFmtId="4" fontId="14" fillId="11" borderId="152" xfId="0" applyNumberFormat="1" applyFont="1" applyFill="1" applyBorder="1" applyAlignment="1">
      <alignment horizontal="center"/>
    </xf>
    <xf numFmtId="170" fontId="14" fillId="11" borderId="317" xfId="0" applyNumberFormat="1" applyFont="1" applyFill="1" applyBorder="1" applyAlignment="1">
      <alignment horizontal="center"/>
    </xf>
    <xf numFmtId="230" fontId="14" fillId="11" borderId="318" xfId="0" applyNumberFormat="1" applyFont="1" applyFill="1" applyBorder="1" applyAlignment="1">
      <alignment horizontal="center"/>
    </xf>
    <xf numFmtId="243" fontId="14" fillId="11" borderId="318" xfId="0" applyNumberFormat="1" applyFont="1" applyFill="1" applyBorder="1" applyAlignment="1">
      <alignment horizontal="center"/>
    </xf>
    <xf numFmtId="165" fontId="14" fillId="185" borderId="319" xfId="0" applyNumberFormat="1" applyFont="1" applyFill="1" applyBorder="1" applyAlignment="1">
      <alignment vertical="center"/>
    </xf>
    <xf numFmtId="166" fontId="14" fillId="11" borderId="306" xfId="0" applyNumberFormat="1" applyFont="1" applyFill="1" applyBorder="1" applyAlignment="1">
      <alignment horizontal="center"/>
    </xf>
    <xf numFmtId="170" fontId="14" fillId="11" borderId="306" xfId="0" applyNumberFormat="1" applyFont="1" applyFill="1" applyBorder="1" applyAlignment="1">
      <alignment horizontal="center"/>
    </xf>
    <xf numFmtId="168" fontId="14" fillId="11" borderId="314" xfId="0" applyNumberFormat="1" applyFont="1" applyFill="1" applyBorder="1" applyAlignment="1">
      <alignment horizontal="center"/>
    </xf>
    <xf numFmtId="166" fontId="14" fillId="11" borderId="152" xfId="0" applyNumberFormat="1" applyFont="1" applyFill="1" applyBorder="1" applyAlignment="1">
      <alignment horizontal="center"/>
    </xf>
    <xf numFmtId="2" fontId="14" fillId="11" borderId="152" xfId="0" applyNumberFormat="1" applyFont="1" applyFill="1" applyBorder="1" applyAlignment="1">
      <alignment horizontal="center"/>
    </xf>
    <xf numFmtId="165" fontId="14" fillId="11" borderId="315" xfId="0" applyNumberFormat="1" applyFont="1" applyFill="1" applyBorder="1" applyAlignment="1">
      <alignment horizontal="center"/>
    </xf>
    <xf numFmtId="166" fontId="14" fillId="11" borderId="308" xfId="0" applyNumberFormat="1" applyFont="1" applyFill="1" applyBorder="1" applyAlignment="1">
      <alignment horizontal="center"/>
    </xf>
    <xf numFmtId="170" fontId="14" fillId="11" borderId="152" xfId="0" applyNumberFormat="1" applyFont="1" applyFill="1" applyBorder="1" applyAlignment="1">
      <alignment horizontal="center"/>
    </xf>
    <xf numFmtId="165" fontId="14" fillId="11" borderId="152" xfId="0" applyNumberFormat="1" applyFont="1" applyFill="1" applyBorder="1" applyAlignment="1">
      <alignment horizontal="center"/>
    </xf>
    <xf numFmtId="170" fontId="14" fillId="11" borderId="315" xfId="0" applyNumberFormat="1" applyFont="1" applyFill="1" applyBorder="1" applyAlignment="1">
      <alignment horizontal="center"/>
    </xf>
    <xf numFmtId="165" fontId="14" fillId="11" borderId="308" xfId="0" applyNumberFormat="1" applyFont="1" applyFill="1" applyBorder="1" applyAlignment="1">
      <alignment horizontal="center"/>
    </xf>
    <xf numFmtId="167" fontId="14" fillId="11" borderId="315" xfId="0" applyNumberFormat="1" applyFont="1" applyFill="1" applyBorder="1" applyAlignment="1">
      <alignment horizontal="center"/>
    </xf>
    <xf numFmtId="168" fontId="14" fillId="11" borderId="152" xfId="0" applyNumberFormat="1" applyFont="1" applyFill="1" applyBorder="1" applyAlignment="1">
      <alignment horizontal="center"/>
    </xf>
    <xf numFmtId="2" fontId="14" fillId="11" borderId="317" xfId="0" applyNumberFormat="1" applyFont="1" applyFill="1" applyBorder="1" applyAlignment="1">
      <alignment horizontal="center"/>
    </xf>
    <xf numFmtId="170" fontId="14" fillId="11" borderId="318" xfId="0" applyNumberFormat="1" applyFont="1" applyFill="1" applyBorder="1" applyAlignment="1">
      <alignment horizontal="center"/>
    </xf>
    <xf numFmtId="165" fontId="14" fillId="11" borderId="318" xfId="0" applyNumberFormat="1" applyFont="1" applyFill="1" applyBorder="1" applyAlignment="1">
      <alignment horizontal="center"/>
    </xf>
    <xf numFmtId="166" fontId="14" fillId="11" borderId="318" xfId="0" applyNumberFormat="1" applyFont="1" applyFill="1" applyBorder="1" applyAlignment="1">
      <alignment horizontal="center"/>
    </xf>
    <xf numFmtId="1" fontId="14" fillId="11" borderId="318" xfId="0" applyNumberFormat="1" applyFont="1" applyFill="1" applyBorder="1" applyAlignment="1">
      <alignment horizontal="center"/>
    </xf>
    <xf numFmtId="170" fontId="14" fillId="11" borderId="314" xfId="0" applyNumberFormat="1" applyFont="1" applyFill="1" applyBorder="1" applyAlignment="1">
      <alignment horizontal="center"/>
    </xf>
    <xf numFmtId="1" fontId="14" fillId="11" borderId="315" xfId="0" applyNumberFormat="1" applyFont="1" applyFill="1" applyBorder="1" applyAlignment="1">
      <alignment horizontal="center"/>
    </xf>
    <xf numFmtId="169" fontId="14" fillId="11" borderId="318" xfId="0" applyNumberFormat="1" applyFont="1" applyFill="1" applyBorder="1" applyAlignment="1">
      <alignment horizontal="center"/>
    </xf>
    <xf numFmtId="165" fontId="14" fillId="11" borderId="306" xfId="0" applyNumberFormat="1" applyFont="1" applyFill="1" applyBorder="1" applyAlignment="1">
      <alignment horizontal="center"/>
    </xf>
    <xf numFmtId="169" fontId="14" fillId="11" borderId="306" xfId="0" applyNumberFormat="1" applyFont="1" applyFill="1" applyBorder="1" applyAlignment="1">
      <alignment horizontal="center"/>
    </xf>
    <xf numFmtId="0" fontId="14" fillId="11" borderId="306" xfId="0" applyFont="1" applyFill="1" applyBorder="1" applyAlignment="1">
      <alignment horizontal="center"/>
    </xf>
    <xf numFmtId="169" fontId="14" fillId="11" borderId="314" xfId="0" applyNumberFormat="1" applyFont="1" applyFill="1" applyBorder="1" applyAlignment="1">
      <alignment horizontal="center"/>
    </xf>
    <xf numFmtId="169" fontId="14" fillId="11" borderId="315" xfId="0" applyNumberFormat="1" applyFont="1" applyFill="1" applyBorder="1" applyAlignment="1">
      <alignment horizontal="center"/>
    </xf>
    <xf numFmtId="1" fontId="14" fillId="11" borderId="152" xfId="0" applyNumberFormat="1" applyFont="1" applyFill="1" applyBorder="1" applyAlignment="1">
      <alignment horizontal="center"/>
    </xf>
    <xf numFmtId="171" fontId="14" fillId="11" borderId="152" xfId="0" applyNumberFormat="1" applyFont="1" applyFill="1" applyBorder="1" applyAlignment="1">
      <alignment horizontal="center"/>
    </xf>
    <xf numFmtId="1" fontId="14" fillId="11" borderId="317" xfId="0" applyNumberFormat="1" applyFont="1" applyFill="1" applyBorder="1" applyAlignment="1">
      <alignment horizontal="center"/>
    </xf>
    <xf numFmtId="171" fontId="14" fillId="11" borderId="318" xfId="0" applyNumberFormat="1" applyFont="1" applyFill="1" applyBorder="1" applyAlignment="1">
      <alignment horizontal="center"/>
    </xf>
    <xf numFmtId="1" fontId="14" fillId="11" borderId="306" xfId="0" applyNumberFormat="1" applyFont="1" applyFill="1" applyBorder="1" applyAlignment="1">
      <alignment horizontal="center"/>
    </xf>
    <xf numFmtId="0" fontId="9" fillId="0" borderId="0" xfId="2" applyFill="1"/>
    <xf numFmtId="0" fontId="120" fillId="9" borderId="0" xfId="0" applyFont="1" applyFill="1"/>
    <xf numFmtId="0" fontId="253" fillId="0" borderId="0" xfId="0" applyFont="1"/>
    <xf numFmtId="0" fontId="9" fillId="0" borderId="0" xfId="2" applyFill="1" applyBorder="1" applyAlignment="1"/>
    <xf numFmtId="0" fontId="21" fillId="0" borderId="0" xfId="0" applyFont="1"/>
    <xf numFmtId="3" fontId="21" fillId="0" borderId="0" xfId="0" applyNumberFormat="1" applyFont="1"/>
    <xf numFmtId="175" fontId="21" fillId="0" borderId="0" xfId="10" applyNumberFormat="1" applyFont="1" applyBorder="1" applyAlignment="1">
      <alignment horizontal="left" vertical="top" wrapText="1"/>
    </xf>
    <xf numFmtId="0" fontId="253" fillId="9" borderId="0" xfId="0" applyFont="1" applyFill="1"/>
    <xf numFmtId="0" fontId="254" fillId="0" borderId="36" xfId="0" applyFont="1" applyBorder="1" applyAlignment="1">
      <alignment horizontal="left" vertical="top" wrapText="1"/>
    </xf>
    <xf numFmtId="3" fontId="227" fillId="0" borderId="324" xfId="0" applyNumberFormat="1" applyFont="1" applyBorder="1" applyAlignment="1">
      <alignment vertical="center"/>
    </xf>
    <xf numFmtId="3" fontId="228" fillId="0" borderId="324" xfId="0" applyNumberFormat="1" applyFont="1" applyBorder="1" applyAlignment="1">
      <alignment vertical="center"/>
    </xf>
    <xf numFmtId="0" fontId="185" fillId="4" borderId="326" xfId="0" applyFont="1" applyFill="1" applyBorder="1" applyAlignment="1">
      <alignment horizontal="left" wrapText="1"/>
    </xf>
    <xf numFmtId="0" fontId="185" fillId="4" borderId="330" xfId="0" applyFont="1" applyFill="1" applyBorder="1" applyAlignment="1">
      <alignment horizontal="left" wrapText="1"/>
    </xf>
    <xf numFmtId="3" fontId="27" fillId="11" borderId="331" xfId="0" applyNumberFormat="1" applyFont="1" applyFill="1" applyBorder="1" applyAlignment="1">
      <alignment horizontal="center" vertical="center"/>
    </xf>
    <xf numFmtId="0" fontId="0" fillId="187" borderId="0" xfId="0" applyFill="1" applyAlignment="1">
      <alignment vertical="top"/>
    </xf>
    <xf numFmtId="0" fontId="0" fillId="187" borderId="0" xfId="0" applyFill="1"/>
    <xf numFmtId="171" fontId="27" fillId="187" borderId="0" xfId="0" applyNumberFormat="1" applyFont="1" applyFill="1" applyAlignment="1">
      <alignment horizontal="right" vertical="top"/>
    </xf>
    <xf numFmtId="9" fontId="0" fillId="187" borderId="0" xfId="1" applyFont="1" applyFill="1"/>
    <xf numFmtId="0" fontId="256" fillId="187" borderId="0" xfId="0" applyFont="1" applyFill="1" applyAlignment="1">
      <alignment horizontal="center" vertical="top"/>
    </xf>
    <xf numFmtId="0" fontId="9" fillId="0" borderId="0" xfId="2" applyAlignment="1">
      <alignment vertical="top"/>
    </xf>
    <xf numFmtId="0" fontId="185" fillId="188" borderId="326" xfId="0" applyFont="1" applyFill="1" applyBorder="1" applyAlignment="1">
      <alignment horizontal="left" wrapText="1"/>
    </xf>
    <xf numFmtId="0" fontId="185" fillId="188" borderId="330" xfId="0" applyFont="1" applyFill="1" applyBorder="1" applyAlignment="1">
      <alignment horizontal="left" wrapText="1"/>
    </xf>
    <xf numFmtId="0" fontId="185" fillId="188" borderId="152" xfId="0" applyFont="1" applyFill="1" applyBorder="1" applyAlignment="1">
      <alignment horizontal="left" wrapText="1"/>
    </xf>
    <xf numFmtId="0" fontId="185" fillId="188" borderId="153" xfId="0" applyFont="1" applyFill="1" applyBorder="1" applyAlignment="1">
      <alignment horizontal="left" wrapText="1"/>
    </xf>
    <xf numFmtId="0" fontId="0" fillId="2" borderId="0" xfId="0" applyFill="1" applyAlignment="1">
      <alignment vertical="top"/>
    </xf>
    <xf numFmtId="0" fontId="257" fillId="188" borderId="336" xfId="0" applyFont="1" applyFill="1" applyBorder="1" applyAlignment="1">
      <alignment wrapText="1"/>
    </xf>
    <xf numFmtId="0" fontId="257" fillId="188" borderId="337" xfId="0" applyFont="1" applyFill="1" applyBorder="1" applyAlignment="1">
      <alignment wrapText="1"/>
    </xf>
    <xf numFmtId="0" fontId="257" fillId="188" borderId="338" xfId="0" applyFont="1" applyFill="1" applyBorder="1" applyAlignment="1">
      <alignment wrapText="1"/>
    </xf>
    <xf numFmtId="0" fontId="257" fillId="188" borderId="339" xfId="0" applyFont="1" applyFill="1" applyBorder="1" applyAlignment="1">
      <alignment wrapText="1"/>
    </xf>
    <xf numFmtId="0" fontId="260" fillId="0" borderId="336" xfId="0" applyFont="1" applyBorder="1" applyAlignment="1">
      <alignment wrapText="1"/>
    </xf>
    <xf numFmtId="0" fontId="261" fillId="117" borderId="0" xfId="0" applyFont="1" applyFill="1"/>
    <xf numFmtId="0" fontId="261" fillId="187" borderId="0" xfId="0" applyFont="1" applyFill="1"/>
    <xf numFmtId="0" fontId="4" fillId="187" borderId="0" xfId="0" applyFont="1" applyFill="1"/>
    <xf numFmtId="0" fontId="185" fillId="188" borderId="152" xfId="0" applyFont="1" applyFill="1" applyBorder="1" applyAlignment="1">
      <alignment wrapText="1"/>
    </xf>
    <xf numFmtId="0" fontId="185" fillId="188" borderId="152" xfId="0" applyFont="1" applyFill="1" applyBorder="1"/>
    <xf numFmtId="0" fontId="185" fillId="188" borderId="342" xfId="0" applyFont="1" applyFill="1" applyBorder="1" applyAlignment="1">
      <alignment horizontal="left" vertical="top" wrapText="1"/>
    </xf>
    <xf numFmtId="0" fontId="257" fillId="188" borderId="342" xfId="0" applyFont="1" applyFill="1" applyBorder="1"/>
    <xf numFmtId="0" fontId="257" fillId="188" borderId="337" xfId="0" applyFont="1" applyFill="1" applyBorder="1"/>
    <xf numFmtId="0" fontId="260" fillId="189" borderId="342" xfId="0" applyFont="1" applyFill="1" applyBorder="1"/>
    <xf numFmtId="0" fontId="260" fillId="189" borderId="337" xfId="0" applyFont="1" applyFill="1" applyBorder="1"/>
    <xf numFmtId="0" fontId="260" fillId="189" borderId="152" xfId="0" applyFont="1" applyFill="1" applyBorder="1"/>
    <xf numFmtId="0" fontId="260" fillId="189" borderId="156" xfId="0" applyFont="1" applyFill="1" applyBorder="1"/>
    <xf numFmtId="0" fontId="185" fillId="188" borderId="340" xfId="0" applyFont="1" applyFill="1" applyBorder="1" applyAlignment="1">
      <alignment vertical="top" wrapText="1"/>
    </xf>
    <xf numFmtId="0" fontId="185" fillId="188" borderId="341" xfId="0" applyFont="1" applyFill="1" applyBorder="1" applyAlignment="1">
      <alignment vertical="top" wrapText="1"/>
    </xf>
    <xf numFmtId="0" fontId="185" fillId="188" borderId="342" xfId="0" applyFont="1" applyFill="1" applyBorder="1" applyAlignment="1">
      <alignment vertical="top" wrapText="1"/>
    </xf>
    <xf numFmtId="0" fontId="0" fillId="0" borderId="0" xfId="0" applyAlignment="1">
      <alignment horizontal="left" vertical="top" indent="2"/>
    </xf>
    <xf numFmtId="0" fontId="150" fillId="0" borderId="0" xfId="0" applyFont="1"/>
    <xf numFmtId="0" fontId="14" fillId="189" borderId="75" xfId="0" applyFont="1" applyFill="1" applyBorder="1" applyAlignment="1">
      <alignment horizontal="center" vertical="center" wrapText="1"/>
    </xf>
    <xf numFmtId="0" fontId="167" fillId="189" borderId="30" xfId="0" applyFont="1" applyFill="1" applyBorder="1" applyAlignment="1">
      <alignment horizontal="center" vertical="center" wrapText="1"/>
    </xf>
    <xf numFmtId="17" fontId="167" fillId="191" borderId="76" xfId="0" applyNumberFormat="1" applyFont="1" applyFill="1" applyBorder="1" applyAlignment="1">
      <alignment horizontal="center" vertical="center"/>
    </xf>
    <xf numFmtId="0" fontId="167" fillId="191" borderId="24" xfId="0" applyFont="1" applyFill="1" applyBorder="1" applyAlignment="1">
      <alignment horizontal="center" vertical="center"/>
    </xf>
    <xf numFmtId="0" fontId="14" fillId="191" borderId="0" xfId="0" applyFont="1" applyFill="1" applyAlignment="1">
      <alignment horizontal="center" vertical="center"/>
    </xf>
    <xf numFmtId="0" fontId="14" fillId="189" borderId="18" xfId="0" applyFont="1" applyFill="1" applyBorder="1" applyAlignment="1">
      <alignment horizontal="center" vertical="center" wrapText="1"/>
    </xf>
    <xf numFmtId="0" fontId="14" fillId="189" borderId="19" xfId="0" applyFont="1" applyFill="1" applyBorder="1" applyAlignment="1">
      <alignment horizontal="center" vertical="center" wrapText="1"/>
    </xf>
    <xf numFmtId="3" fontId="14" fillId="191" borderId="0" xfId="0" applyNumberFormat="1" applyFont="1" applyFill="1" applyAlignment="1">
      <alignment horizontal="center" vertical="center"/>
    </xf>
    <xf numFmtId="3" fontId="14" fillId="191" borderId="15" xfId="0" applyNumberFormat="1" applyFont="1" applyFill="1" applyBorder="1" applyAlignment="1">
      <alignment horizontal="center" vertical="center"/>
    </xf>
    <xf numFmtId="3" fontId="14" fillId="191" borderId="331" xfId="0" applyNumberFormat="1" applyFont="1" applyFill="1" applyBorder="1" applyAlignment="1">
      <alignment horizontal="center" vertical="center"/>
    </xf>
    <xf numFmtId="0" fontId="14" fillId="189" borderId="0" xfId="0" applyFont="1" applyFill="1" applyAlignment="1">
      <alignment horizontal="center" vertical="center"/>
    </xf>
    <xf numFmtId="0" fontId="14" fillId="189" borderId="15" xfId="0" applyFont="1" applyFill="1" applyBorder="1" applyAlignment="1">
      <alignment horizontal="center" vertical="center"/>
    </xf>
    <xf numFmtId="0" fontId="27" fillId="189" borderId="18" xfId="0" applyFont="1" applyFill="1" applyBorder="1" applyAlignment="1">
      <alignment horizontal="center" vertical="center" wrapText="1"/>
    </xf>
    <xf numFmtId="0" fontId="27" fillId="189" borderId="19" xfId="0" applyFont="1" applyFill="1" applyBorder="1" applyAlignment="1">
      <alignment horizontal="center" vertical="center" wrapText="1"/>
    </xf>
    <xf numFmtId="0" fontId="121" fillId="189" borderId="15" xfId="0" applyFont="1" applyFill="1" applyBorder="1" applyAlignment="1">
      <alignment horizontal="center" vertical="center"/>
    </xf>
    <xf numFmtId="0" fontId="150" fillId="189" borderId="0" xfId="0" applyFont="1" applyFill="1" applyAlignment="1">
      <alignment horizontal="center" vertical="center"/>
    </xf>
    <xf numFmtId="0" fontId="167" fillId="189" borderId="18" xfId="0" applyFont="1" applyFill="1" applyBorder="1" applyAlignment="1">
      <alignment horizontal="center" vertical="center" wrapText="1"/>
    </xf>
    <xf numFmtId="0" fontId="167" fillId="189" borderId="19" xfId="0" applyFont="1" applyFill="1" applyBorder="1" applyAlignment="1">
      <alignment horizontal="center" vertical="center" wrapText="1"/>
    </xf>
    <xf numFmtId="0" fontId="167" fillId="189" borderId="0" xfId="0" applyFont="1" applyFill="1" applyAlignment="1">
      <alignment horizontal="center" vertical="center"/>
    </xf>
    <xf numFmtId="0" fontId="167" fillId="192" borderId="0" xfId="0" applyFont="1" applyFill="1" applyAlignment="1">
      <alignment horizontal="center" vertical="center"/>
    </xf>
    <xf numFmtId="0" fontId="263" fillId="0" borderId="0" xfId="0" applyFont="1"/>
    <xf numFmtId="0" fontId="167" fillId="0" borderId="0" xfId="0" applyFont="1"/>
    <xf numFmtId="0" fontId="27" fillId="189" borderId="15" xfId="0" applyFont="1" applyFill="1" applyBorder="1" applyAlignment="1">
      <alignment horizontal="center" vertical="center"/>
    </xf>
    <xf numFmtId="0" fontId="14" fillId="192" borderId="0" xfId="0" applyFont="1" applyFill="1" applyAlignment="1">
      <alignment horizontal="center" vertical="center"/>
    </xf>
    <xf numFmtId="0" fontId="27" fillId="189" borderId="13" xfId="0" applyFont="1" applyFill="1" applyBorder="1" applyAlignment="1">
      <alignment horizontal="center" vertical="center"/>
    </xf>
    <xf numFmtId="0" fontId="167" fillId="189" borderId="75" xfId="0" applyFont="1" applyFill="1" applyBorder="1" applyAlignment="1">
      <alignment horizontal="center" vertical="center" wrapText="1"/>
    </xf>
    <xf numFmtId="0" fontId="14" fillId="189" borderId="76" xfId="0" applyFont="1" applyFill="1" applyBorder="1" applyAlignment="1">
      <alignment horizontal="center" vertical="center"/>
    </xf>
    <xf numFmtId="2" fontId="150" fillId="191" borderId="0" xfId="0" applyNumberFormat="1" applyFont="1" applyFill="1" applyAlignment="1">
      <alignment horizontal="center" vertical="center"/>
    </xf>
    <xf numFmtId="0" fontId="121" fillId="11" borderId="0" xfId="0" applyFont="1" applyFill="1" applyAlignment="1">
      <alignment horizontal="center" vertical="center" wrapText="1"/>
    </xf>
    <xf numFmtId="2" fontId="121" fillId="11" borderId="0" xfId="0" applyNumberFormat="1" applyFont="1" applyFill="1" applyAlignment="1">
      <alignment horizontal="center" vertical="center"/>
    </xf>
    <xf numFmtId="0" fontId="14" fillId="0" borderId="13" xfId="3" applyFont="1" applyBorder="1" applyAlignment="1">
      <alignment horizontal="left" vertical="top"/>
    </xf>
    <xf numFmtId="0" fontId="18" fillId="0" borderId="0" xfId="0" applyFont="1" applyAlignment="1">
      <alignment horizontal="center"/>
    </xf>
    <xf numFmtId="0" fontId="112" fillId="0" borderId="0" xfId="0" applyFont="1" applyAlignment="1">
      <alignment horizontal="center"/>
    </xf>
    <xf numFmtId="166" fontId="260" fillId="193" borderId="342" xfId="0" applyNumberFormat="1" applyFont="1" applyFill="1" applyBorder="1"/>
    <xf numFmtId="166" fontId="260" fillId="189" borderId="342" xfId="0" applyNumberFormat="1" applyFont="1" applyFill="1" applyBorder="1"/>
    <xf numFmtId="166" fontId="0" fillId="4" borderId="85" xfId="0" applyNumberFormat="1" applyFill="1" applyBorder="1" applyAlignment="1">
      <alignment horizontal="right" vertical="top"/>
    </xf>
    <xf numFmtId="0" fontId="9" fillId="0" borderId="0" xfId="2" applyBorder="1"/>
    <xf numFmtId="164" fontId="0" fillId="0" borderId="0" xfId="0" applyNumberFormat="1"/>
    <xf numFmtId="0" fontId="4" fillId="194" borderId="0" xfId="0" applyFont="1" applyFill="1"/>
    <xf numFmtId="0" fontId="112" fillId="0" borderId="0" xfId="0" applyFont="1" applyAlignment="1">
      <alignment horizontal="center" wrapText="1"/>
    </xf>
    <xf numFmtId="165" fontId="260" fillId="189" borderId="342" xfId="0" applyNumberFormat="1" applyFont="1" applyFill="1" applyBorder="1"/>
    <xf numFmtId="17" fontId="167" fillId="192" borderId="76" xfId="0" applyNumberFormat="1" applyFont="1" applyFill="1" applyBorder="1" applyAlignment="1">
      <alignment horizontal="center" vertical="center"/>
    </xf>
    <xf numFmtId="0" fontId="167" fillId="192" borderId="24" xfId="0" applyFont="1" applyFill="1" applyBorder="1" applyAlignment="1">
      <alignment horizontal="center" vertical="center"/>
    </xf>
    <xf numFmtId="3" fontId="14" fillId="192" borderId="0" xfId="0" applyNumberFormat="1" applyFont="1" applyFill="1" applyAlignment="1">
      <alignment horizontal="center" vertical="center"/>
    </xf>
    <xf numFmtId="3" fontId="14" fillId="192" borderId="15" xfId="0" applyNumberFormat="1" applyFont="1" applyFill="1" applyBorder="1" applyAlignment="1">
      <alignment horizontal="center" vertical="center"/>
    </xf>
    <xf numFmtId="3" fontId="14" fillId="192" borderId="331" xfId="0" applyNumberFormat="1" applyFont="1" applyFill="1" applyBorder="1" applyAlignment="1">
      <alignment horizontal="center" vertical="center"/>
    </xf>
    <xf numFmtId="0" fontId="27" fillId="11" borderId="0" xfId="0" applyFont="1" applyFill="1"/>
    <xf numFmtId="0" fontId="121" fillId="192" borderId="15" xfId="0" applyFont="1" applyFill="1" applyBorder="1" applyAlignment="1">
      <alignment horizontal="center" vertical="center"/>
    </xf>
    <xf numFmtId="0" fontId="263" fillId="11" borderId="0" xfId="0" applyFont="1" applyFill="1"/>
    <xf numFmtId="0" fontId="167" fillId="11" borderId="0" xfId="0" applyFont="1" applyFill="1"/>
    <xf numFmtId="0" fontId="27" fillId="192" borderId="15" xfId="0" applyFont="1" applyFill="1" applyBorder="1" applyAlignment="1">
      <alignment horizontal="center" vertical="center"/>
    </xf>
    <xf numFmtId="0" fontId="14" fillId="11" borderId="0" xfId="0" applyFont="1" applyFill="1"/>
    <xf numFmtId="0" fontId="27" fillId="192" borderId="13" xfId="0" applyFont="1" applyFill="1" applyBorder="1" applyAlignment="1">
      <alignment horizontal="center" vertical="center"/>
    </xf>
    <xf numFmtId="0" fontId="14" fillId="192" borderId="76" xfId="0" applyFont="1" applyFill="1" applyBorder="1" applyAlignment="1">
      <alignment horizontal="center" vertical="center"/>
    </xf>
    <xf numFmtId="0" fontId="264" fillId="0" borderId="85" xfId="0" applyFont="1" applyBorder="1" applyAlignment="1">
      <alignment horizontal="left" vertical="top"/>
    </xf>
    <xf numFmtId="0" fontId="185" fillId="188" borderId="153" xfId="0" applyFont="1" applyFill="1" applyBorder="1"/>
    <xf numFmtId="0" fontId="260" fillId="189" borderId="343" xfId="0" applyFont="1" applyFill="1" applyBorder="1"/>
    <xf numFmtId="0" fontId="260" fillId="189" borderId="345" xfId="0" applyFont="1" applyFill="1" applyBorder="1"/>
    <xf numFmtId="0" fontId="0" fillId="0" borderId="36" xfId="0" applyBorder="1"/>
    <xf numFmtId="0" fontId="0" fillId="0" borderId="36" xfId="0" applyBorder="1" applyAlignment="1">
      <alignment horizontal="left" vertical="top"/>
    </xf>
    <xf numFmtId="2" fontId="150" fillId="0" borderId="0" xfId="0" applyNumberFormat="1" applyFont="1"/>
    <xf numFmtId="0" fontId="265" fillId="0" borderId="0" xfId="0" applyFont="1"/>
    <xf numFmtId="0" fontId="265" fillId="0" borderId="75" xfId="0" applyFont="1" applyBorder="1" applyAlignment="1">
      <alignment horizontal="center" vertical="center" wrapText="1"/>
    </xf>
    <xf numFmtId="0" fontId="256" fillId="0" borderId="30" xfId="0" applyFont="1" applyBorder="1" applyAlignment="1">
      <alignment horizontal="center" vertical="center" wrapText="1"/>
    </xf>
    <xf numFmtId="17" fontId="256" fillId="0" borderId="76" xfId="0" applyNumberFormat="1" applyFont="1" applyBorder="1" applyAlignment="1">
      <alignment horizontal="center" vertical="center"/>
    </xf>
    <xf numFmtId="0" fontId="256" fillId="0" borderId="24" xfId="0" applyFont="1" applyBorder="1" applyAlignment="1">
      <alignment horizontal="center" vertical="center"/>
    </xf>
    <xf numFmtId="0" fontId="265" fillId="0" borderId="0" xfId="0" applyFont="1" applyAlignment="1">
      <alignment horizontal="center" vertical="center"/>
    </xf>
    <xf numFmtId="0" fontId="265" fillId="0" borderId="18" xfId="0" applyFont="1" applyBorder="1" applyAlignment="1">
      <alignment horizontal="center" vertical="center" wrapText="1"/>
    </xf>
    <xf numFmtId="0" fontId="265" fillId="0" borderId="19" xfId="0" applyFont="1" applyBorder="1" applyAlignment="1">
      <alignment horizontal="center" vertical="center" wrapText="1"/>
    </xf>
    <xf numFmtId="3" fontId="265" fillId="0" borderId="0" xfId="0" applyNumberFormat="1" applyFont="1" applyAlignment="1">
      <alignment horizontal="center" vertical="center"/>
    </xf>
    <xf numFmtId="3" fontId="265" fillId="0" borderId="15" xfId="0" applyNumberFormat="1" applyFont="1" applyBorder="1" applyAlignment="1">
      <alignment horizontal="center" vertical="center"/>
    </xf>
    <xf numFmtId="3" fontId="265" fillId="0" borderId="331" xfId="0" applyNumberFormat="1" applyFont="1" applyBorder="1" applyAlignment="1">
      <alignment horizontal="center" vertical="center"/>
    </xf>
    <xf numFmtId="0" fontId="265" fillId="0" borderId="15" xfId="0" applyFont="1" applyBorder="1" applyAlignment="1">
      <alignment horizontal="center" vertical="center"/>
    </xf>
    <xf numFmtId="0" fontId="256" fillId="0" borderId="15" xfId="0" applyFont="1" applyBorder="1" applyAlignment="1">
      <alignment horizontal="center" vertical="center"/>
    </xf>
    <xf numFmtId="0" fontId="256" fillId="0" borderId="18" xfId="0" applyFont="1" applyBorder="1" applyAlignment="1">
      <alignment horizontal="center" vertical="center" wrapText="1"/>
    </xf>
    <xf numFmtId="0" fontId="256" fillId="0" borderId="19" xfId="0" applyFont="1" applyBorder="1" applyAlignment="1">
      <alignment horizontal="center" vertical="center" wrapText="1"/>
    </xf>
    <xf numFmtId="0" fontId="256" fillId="0" borderId="0" xfId="0" applyFont="1" applyAlignment="1">
      <alignment horizontal="center" vertical="center"/>
    </xf>
    <xf numFmtId="0" fontId="266" fillId="0" borderId="0" xfId="0" applyFont="1"/>
    <xf numFmtId="0" fontId="256" fillId="0" borderId="0" xfId="0" applyFont="1"/>
    <xf numFmtId="0" fontId="265" fillId="0" borderId="13" xfId="0" applyFont="1" applyBorder="1" applyAlignment="1">
      <alignment horizontal="center" vertical="center"/>
    </xf>
    <xf numFmtId="0" fontId="256" fillId="0" borderId="75" xfId="0" applyFont="1" applyBorder="1" applyAlignment="1">
      <alignment horizontal="center" vertical="center" wrapText="1"/>
    </xf>
    <xf numFmtId="0" fontId="265" fillId="0" borderId="76" xfId="0" applyFont="1" applyBorder="1" applyAlignment="1">
      <alignment horizontal="center" vertical="center"/>
    </xf>
    <xf numFmtId="2" fontId="265" fillId="0" borderId="0" xfId="0" applyNumberFormat="1" applyFont="1" applyAlignment="1">
      <alignment horizontal="center" vertical="center"/>
    </xf>
    <xf numFmtId="0" fontId="269" fillId="196" borderId="3" xfId="0" applyFont="1" applyFill="1" applyBorder="1" applyAlignment="1">
      <alignment vertical="center" wrapText="1"/>
    </xf>
    <xf numFmtId="0" fontId="269" fillId="0" borderId="0" xfId="0" applyFont="1"/>
    <xf numFmtId="0" fontId="0" fillId="0" borderId="236" xfId="0" applyBorder="1"/>
    <xf numFmtId="0" fontId="269" fillId="0" borderId="236" xfId="0" applyFont="1" applyBorder="1"/>
    <xf numFmtId="3" fontId="269" fillId="0" borderId="236" xfId="0" applyNumberFormat="1" applyFont="1" applyBorder="1"/>
    <xf numFmtId="10" fontId="269" fillId="0" borderId="236" xfId="0" applyNumberFormat="1" applyFont="1" applyBorder="1"/>
    <xf numFmtId="0" fontId="269" fillId="0" borderId="4" xfId="0" applyFont="1" applyBorder="1"/>
    <xf numFmtId="0" fontId="269" fillId="196" borderId="236" xfId="0" applyFont="1" applyFill="1" applyBorder="1" applyAlignment="1">
      <alignment vertical="center"/>
    </xf>
    <xf numFmtId="0" fontId="269" fillId="196" borderId="236" xfId="0" applyFont="1" applyFill="1" applyBorder="1" applyAlignment="1">
      <alignment horizontal="left" vertical="center" wrapText="1"/>
    </xf>
    <xf numFmtId="0" fontId="229" fillId="0" borderId="0" xfId="0" applyFont="1"/>
    <xf numFmtId="0" fontId="269" fillId="198" borderId="236" xfId="0" applyFont="1" applyFill="1" applyBorder="1"/>
    <xf numFmtId="4" fontId="269" fillId="198" borderId="236" xfId="0" applyNumberFormat="1" applyFont="1" applyFill="1" applyBorder="1"/>
    <xf numFmtId="3" fontId="269" fillId="198" borderId="236" xfId="0" applyNumberFormat="1" applyFont="1" applyFill="1" applyBorder="1"/>
    <xf numFmtId="0" fontId="269" fillId="199" borderId="236" xfId="0" applyFont="1" applyFill="1" applyBorder="1"/>
    <xf numFmtId="4" fontId="269" fillId="199" borderId="236" xfId="0" applyNumberFormat="1" applyFont="1" applyFill="1" applyBorder="1"/>
    <xf numFmtId="3" fontId="269" fillId="199" borderId="236" xfId="0" applyNumberFormat="1" applyFont="1" applyFill="1" applyBorder="1"/>
    <xf numFmtId="0" fontId="269" fillId="196" borderId="236" xfId="0" applyFont="1" applyFill="1" applyBorder="1" applyAlignment="1">
      <alignment horizontal="left" vertical="center"/>
    </xf>
    <xf numFmtId="0" fontId="270" fillId="0" borderId="0" xfId="0" applyFont="1"/>
    <xf numFmtId="0" fontId="260" fillId="0" borderId="0" xfId="0" applyFont="1" applyAlignment="1">
      <alignment wrapText="1"/>
    </xf>
    <xf numFmtId="0" fontId="185" fillId="0" borderId="0" xfId="0" applyFont="1" applyAlignment="1">
      <alignment horizontal="left" wrapText="1"/>
    </xf>
    <xf numFmtId="0" fontId="3" fillId="0" borderId="0" xfId="0" applyFont="1" applyAlignment="1">
      <alignment horizontal="center" vertical="top"/>
    </xf>
    <xf numFmtId="0" fontId="271" fillId="0" borderId="0" xfId="0" applyFont="1" applyAlignment="1">
      <alignment horizontal="left" wrapText="1"/>
    </xf>
    <xf numFmtId="0" fontId="185" fillId="108" borderId="326" xfId="0" applyFont="1" applyFill="1" applyBorder="1" applyAlignment="1">
      <alignment horizontal="left" wrapText="1"/>
    </xf>
    <xf numFmtId="0" fontId="185" fillId="108" borderId="347" xfId="0" applyFont="1" applyFill="1" applyBorder="1" applyAlignment="1">
      <alignment horizontal="left" wrapText="1"/>
    </xf>
    <xf numFmtId="0" fontId="185" fillId="108" borderId="346" xfId="0" applyFont="1" applyFill="1" applyBorder="1" applyAlignment="1">
      <alignment horizontal="left" wrapText="1"/>
    </xf>
    <xf numFmtId="0" fontId="0" fillId="0" borderId="67" xfId="0" applyBorder="1"/>
    <xf numFmtId="0" fontId="0" fillId="0" borderId="68" xfId="0" applyBorder="1"/>
    <xf numFmtId="0" fontId="0" fillId="108" borderId="3" xfId="0" applyFill="1" applyBorder="1"/>
    <xf numFmtId="0" fontId="0" fillId="108" borderId="4" xfId="0" applyFill="1" applyBorder="1"/>
    <xf numFmtId="0" fontId="0" fillId="0" borderId="3" xfId="0" applyBorder="1"/>
    <xf numFmtId="0" fontId="120" fillId="194" borderId="236" xfId="0" applyFont="1" applyFill="1" applyBorder="1" applyAlignment="1">
      <alignment vertical="top"/>
    </xf>
    <xf numFmtId="0" fontId="120" fillId="194" borderId="236" xfId="0" applyFont="1" applyFill="1" applyBorder="1" applyAlignment="1">
      <alignment vertical="center"/>
    </xf>
    <xf numFmtId="0" fontId="3" fillId="0" borderId="0" xfId="0" applyFont="1" applyAlignment="1">
      <alignment horizontal="left" vertical="top" wrapText="1"/>
    </xf>
    <xf numFmtId="165" fontId="0" fillId="0" borderId="0" xfId="0" applyNumberFormat="1" applyAlignment="1">
      <alignment horizontal="right" vertical="top" wrapText="1"/>
    </xf>
    <xf numFmtId="10" fontId="0" fillId="0" borderId="0" xfId="0" applyNumberFormat="1" applyAlignment="1">
      <alignment horizontal="right" vertical="top" wrapText="1"/>
    </xf>
    <xf numFmtId="0" fontId="3" fillId="187" borderId="0" xfId="0" applyFont="1" applyFill="1" applyAlignment="1">
      <alignment horizontal="left" vertical="top" wrapText="1"/>
    </xf>
    <xf numFmtId="0" fontId="0" fillId="187" borderId="0" xfId="0" applyFill="1" applyAlignment="1">
      <alignment horizontal="left" vertical="top" wrapText="1"/>
    </xf>
    <xf numFmtId="165" fontId="0" fillId="187" borderId="0" xfId="0" applyNumberFormat="1" applyFill="1" applyAlignment="1">
      <alignment horizontal="right" vertical="top" wrapText="1"/>
    </xf>
    <xf numFmtId="10" fontId="0" fillId="187" borderId="0" xfId="0" applyNumberFormat="1" applyFill="1" applyAlignment="1">
      <alignment horizontal="right" vertical="top" wrapText="1"/>
    </xf>
    <xf numFmtId="0" fontId="0" fillId="187" borderId="0" xfId="0" applyFill="1" applyAlignment="1">
      <alignment horizontal="right" vertical="top" wrapText="1"/>
    </xf>
    <xf numFmtId="9" fontId="0" fillId="187" borderId="0" xfId="0" applyNumberFormat="1" applyFill="1" applyAlignment="1">
      <alignment horizontal="right" vertical="top" wrapText="1"/>
    </xf>
    <xf numFmtId="0" fontId="172" fillId="201" borderId="0" xfId="0" applyFont="1" applyFill="1" applyAlignment="1">
      <alignment vertical="center"/>
    </xf>
    <xf numFmtId="0" fontId="120" fillId="201" borderId="0" xfId="0" applyFont="1" applyFill="1" applyAlignment="1">
      <alignment vertical="center"/>
    </xf>
    <xf numFmtId="0" fontId="120" fillId="201" borderId="0" xfId="0" applyFont="1" applyFill="1"/>
    <xf numFmtId="0" fontId="0" fillId="0" borderId="33" xfId="0" applyBorder="1"/>
    <xf numFmtId="0" fontId="0" fillId="0" borderId="5" xfId="0" applyBorder="1"/>
    <xf numFmtId="0" fontId="150" fillId="0" borderId="236" xfId="0" applyFont="1" applyBorder="1"/>
    <xf numFmtId="11" fontId="150" fillId="0" borderId="0" xfId="0" applyNumberFormat="1" applyFont="1"/>
    <xf numFmtId="0" fontId="150" fillId="0" borderId="36" xfId="0" applyFont="1" applyBorder="1"/>
    <xf numFmtId="0" fontId="150" fillId="0" borderId="67" xfId="0" applyFont="1" applyBorder="1"/>
    <xf numFmtId="0" fontId="150" fillId="0" borderId="33" xfId="0" applyFont="1" applyBorder="1"/>
    <xf numFmtId="0" fontId="150" fillId="0" borderId="5" xfId="0" applyFont="1" applyBorder="1"/>
    <xf numFmtId="0" fontId="150" fillId="0" borderId="68" xfId="0" applyFont="1" applyBorder="1"/>
    <xf numFmtId="0" fontId="150" fillId="0" borderId="3" xfId="0" applyFont="1" applyBorder="1"/>
    <xf numFmtId="0" fontId="150" fillId="0" borderId="4" xfId="0" applyFont="1" applyBorder="1"/>
    <xf numFmtId="0" fontId="262" fillId="0" borderId="0" xfId="0" applyFont="1"/>
    <xf numFmtId="165" fontId="3" fillId="0" borderId="0" xfId="0" applyNumberFormat="1" applyFont="1" applyAlignment="1">
      <alignment horizontal="left" vertical="top"/>
    </xf>
    <xf numFmtId="0" fontId="150" fillId="188" borderId="0" xfId="0" applyFont="1" applyFill="1"/>
    <xf numFmtId="170" fontId="0" fillId="0" borderId="0" xfId="0" applyNumberFormat="1" applyAlignment="1">
      <alignment horizontal="right" vertical="top" wrapText="1"/>
    </xf>
    <xf numFmtId="0" fontId="150" fillId="0" borderId="0" xfId="0" applyFont="1" applyAlignment="1">
      <alignment vertical="top"/>
    </xf>
    <xf numFmtId="0" fontId="14" fillId="187" borderId="0" xfId="0" applyFont="1" applyFill="1"/>
    <xf numFmtId="14" fontId="0" fillId="0" borderId="0" xfId="0" applyNumberFormat="1"/>
    <xf numFmtId="14" fontId="150" fillId="0" borderId="0" xfId="0" applyNumberFormat="1" applyFont="1"/>
    <xf numFmtId="0" fontId="272" fillId="0" borderId="0" xfId="0" applyFont="1" applyAlignment="1">
      <alignment horizontal="left" indent="2"/>
    </xf>
    <xf numFmtId="0" fontId="0" fillId="188" borderId="0" xfId="0" applyFill="1"/>
    <xf numFmtId="41" fontId="1" fillId="0" borderId="0" xfId="8236" applyNumberFormat="1" applyFont="1"/>
    <xf numFmtId="4" fontId="0" fillId="88" borderId="0" xfId="0" applyNumberFormat="1" applyFill="1"/>
    <xf numFmtId="14" fontId="150" fillId="0" borderId="3" xfId="0" applyNumberFormat="1" applyFont="1" applyBorder="1"/>
    <xf numFmtId="14" fontId="150" fillId="0" borderId="4" xfId="0" applyNumberFormat="1" applyFont="1" applyBorder="1"/>
    <xf numFmtId="11" fontId="150" fillId="0" borderId="3" xfId="0" applyNumberFormat="1" applyFont="1" applyBorder="1"/>
    <xf numFmtId="11" fontId="150" fillId="0" borderId="4" xfId="0" applyNumberFormat="1" applyFont="1" applyBorder="1"/>
    <xf numFmtId="14" fontId="150" fillId="0" borderId="36" xfId="0" applyNumberFormat="1" applyFont="1" applyBorder="1"/>
    <xf numFmtId="14" fontId="150" fillId="0" borderId="33" xfId="0" applyNumberFormat="1" applyFont="1" applyBorder="1"/>
    <xf numFmtId="0" fontId="167" fillId="111" borderId="348" xfId="0" applyFont="1" applyFill="1" applyBorder="1" applyAlignment="1">
      <alignment horizontal="left" vertical="top"/>
    </xf>
    <xf numFmtId="166" fontId="14" fillId="111" borderId="146" xfId="0" applyNumberFormat="1" applyFont="1" applyFill="1" applyBorder="1" applyAlignment="1">
      <alignment horizontal="right" vertical="top"/>
    </xf>
    <xf numFmtId="231" fontId="14" fillId="0" borderId="146" xfId="0" applyNumberFormat="1" applyFont="1" applyBorder="1" applyAlignment="1">
      <alignment horizontal="right" vertical="top"/>
    </xf>
    <xf numFmtId="240" fontId="14" fillId="0" borderId="146" xfId="0" applyNumberFormat="1" applyFont="1" applyBorder="1" applyAlignment="1">
      <alignment horizontal="right"/>
    </xf>
    <xf numFmtId="232" fontId="14" fillId="0" borderId="146" xfId="0" applyNumberFormat="1" applyFont="1" applyBorder="1" applyAlignment="1">
      <alignment horizontal="right"/>
    </xf>
    <xf numFmtId="166" fontId="14" fillId="111" borderId="117" xfId="0" applyNumberFormat="1" applyFont="1" applyFill="1" applyBorder="1" applyAlignment="1">
      <alignment horizontal="right" vertical="top"/>
    </xf>
    <xf numFmtId="231" fontId="14" fillId="0" borderId="117" xfId="0" applyNumberFormat="1" applyFont="1" applyBorder="1" applyAlignment="1">
      <alignment horizontal="right" vertical="top"/>
    </xf>
    <xf numFmtId="228" fontId="14" fillId="0" borderId="117" xfId="0" applyNumberFormat="1" applyFont="1" applyBorder="1" applyAlignment="1">
      <alignment horizontal="right"/>
    </xf>
    <xf numFmtId="232" fontId="14" fillId="0" borderId="117" xfId="0" applyNumberFormat="1" applyFont="1" applyBorder="1" applyAlignment="1">
      <alignment horizontal="right"/>
    </xf>
    <xf numFmtId="166" fontId="14" fillId="0" borderId="117" xfId="0" applyNumberFormat="1" applyFont="1" applyBorder="1" applyAlignment="1">
      <alignment vertical="top"/>
    </xf>
    <xf numFmtId="165" fontId="14" fillId="0" borderId="117" xfId="0" applyNumberFormat="1" applyFont="1" applyBorder="1" applyAlignment="1">
      <alignment horizontal="right" vertical="top"/>
    </xf>
    <xf numFmtId="167" fontId="14" fillId="0" borderId="117" xfId="0" applyNumberFormat="1" applyFont="1" applyBorder="1" applyAlignment="1">
      <alignment horizontal="right" vertical="top"/>
    </xf>
    <xf numFmtId="170" fontId="14" fillId="0" borderId="117" xfId="0" applyNumberFormat="1" applyFont="1" applyBorder="1" applyAlignment="1">
      <alignment horizontal="right" vertical="top"/>
    </xf>
    <xf numFmtId="0" fontId="1" fillId="0" borderId="0" xfId="0" applyFont="1"/>
    <xf numFmtId="0" fontId="0" fillId="109" borderId="0" xfId="0" applyFill="1"/>
    <xf numFmtId="0" fontId="3" fillId="112" borderId="0" xfId="0" applyFont="1" applyFill="1" applyAlignment="1">
      <alignment vertical="center"/>
    </xf>
    <xf numFmtId="0" fontId="0" fillId="0" borderId="4" xfId="0" applyBorder="1" applyAlignment="1">
      <alignment horizontal="left" vertical="top" wrapText="1"/>
    </xf>
    <xf numFmtId="0" fontId="14" fillId="0" borderId="0" xfId="3" applyFont="1" applyAlignment="1">
      <alignment horizontal="left" vertical="top"/>
    </xf>
    <xf numFmtId="0" fontId="167" fillId="0" borderId="0" xfId="3" applyFont="1" applyAlignment="1">
      <alignment horizontal="left" vertical="top"/>
    </xf>
    <xf numFmtId="0" fontId="14" fillId="0" borderId="0" xfId="4" applyFont="1" applyAlignment="1">
      <alignment horizontal="left" vertical="top"/>
    </xf>
    <xf numFmtId="2" fontId="14" fillId="0" borderId="0" xfId="3" applyNumberFormat="1" applyFont="1" applyAlignment="1">
      <alignment horizontal="center"/>
    </xf>
    <xf numFmtId="166" fontId="14" fillId="0" borderId="0" xfId="3" applyNumberFormat="1" applyFont="1" applyAlignment="1">
      <alignment horizontal="center"/>
    </xf>
    <xf numFmtId="165" fontId="14" fillId="0" borderId="0" xfId="3" applyNumberFormat="1" applyFont="1" applyAlignment="1">
      <alignment horizontal="center"/>
    </xf>
    <xf numFmtId="170" fontId="14" fillId="0" borderId="0" xfId="3" applyNumberFormat="1" applyFont="1" applyAlignment="1">
      <alignment horizontal="center"/>
    </xf>
    <xf numFmtId="0" fontId="0" fillId="0" borderId="0" xfId="0" applyAlignment="1">
      <alignment vertical="center" wrapText="1"/>
    </xf>
    <xf numFmtId="0" fontId="175" fillId="0" borderId="0" xfId="3" applyFont="1" applyAlignment="1">
      <alignment horizontal="left" vertical="top"/>
    </xf>
    <xf numFmtId="0" fontId="21" fillId="0" borderId="236" xfId="0" applyFont="1" applyBorder="1"/>
    <xf numFmtId="0" fontId="0" fillId="108" borderId="36" xfId="0" applyFill="1" applyBorder="1"/>
    <xf numFmtId="0" fontId="0" fillId="108" borderId="33" xfId="0" applyFill="1" applyBorder="1"/>
    <xf numFmtId="4" fontId="273" fillId="0" borderId="0" xfId="0" applyNumberFormat="1" applyFont="1"/>
    <xf numFmtId="0" fontId="273" fillId="0" borderId="0" xfId="0" applyFont="1"/>
    <xf numFmtId="0" fontId="14" fillId="0" borderId="236" xfId="0" applyFont="1" applyBorder="1"/>
    <xf numFmtId="0" fontId="0" fillId="187" borderId="236" xfId="0" applyFill="1" applyBorder="1" applyAlignment="1">
      <alignment horizontal="left" vertical="top"/>
    </xf>
    <xf numFmtId="0" fontId="0" fillId="187" borderId="236" xfId="0" applyFill="1" applyBorder="1" applyAlignment="1">
      <alignment vertical="top"/>
    </xf>
    <xf numFmtId="0" fontId="0" fillId="188" borderId="3" xfId="0" applyFill="1" applyBorder="1"/>
    <xf numFmtId="0" fontId="0" fillId="188" borderId="4" xfId="0" applyFill="1" applyBorder="1"/>
    <xf numFmtId="0" fontId="0" fillId="188" borderId="236" xfId="0" applyFill="1" applyBorder="1" applyAlignment="1">
      <alignment horizontal="left" vertical="top"/>
    </xf>
    <xf numFmtId="0" fontId="21" fillId="0" borderId="3" xfId="0" applyFont="1" applyBorder="1"/>
    <xf numFmtId="0" fontId="21" fillId="0" borderId="4" xfId="0" applyFont="1" applyBorder="1"/>
    <xf numFmtId="0" fontId="21" fillId="0" borderId="4" xfId="0" applyFont="1" applyBorder="1" applyAlignment="1">
      <alignment vertical="top"/>
    </xf>
    <xf numFmtId="165" fontId="21" fillId="0" borderId="3" xfId="0" applyNumberFormat="1" applyFont="1" applyBorder="1" applyAlignment="1">
      <alignment vertical="top"/>
    </xf>
    <xf numFmtId="0" fontId="253" fillId="0" borderId="236" xfId="0" applyFont="1" applyBorder="1"/>
    <xf numFmtId="166" fontId="260" fillId="0" borderId="336" xfId="0" applyNumberFormat="1" applyFont="1" applyBorder="1" applyAlignment="1">
      <alignment wrapText="1"/>
    </xf>
    <xf numFmtId="0" fontId="260" fillId="108" borderId="336" xfId="0" applyFont="1" applyFill="1" applyBorder="1" applyAlignment="1">
      <alignment wrapText="1"/>
    </xf>
    <xf numFmtId="0" fontId="0" fillId="2" borderId="3" xfId="0" applyFill="1" applyBorder="1"/>
    <xf numFmtId="0" fontId="0" fillId="2" borderId="4" xfId="0" applyFill="1" applyBorder="1"/>
    <xf numFmtId="0" fontId="0" fillId="2" borderId="236" xfId="0" applyFill="1" applyBorder="1"/>
    <xf numFmtId="0" fontId="0" fillId="2" borderId="236" xfId="0" applyFill="1" applyBorder="1" applyAlignment="1">
      <alignment vertical="top"/>
    </xf>
    <xf numFmtId="0" fontId="21" fillId="2" borderId="236" xfId="0" applyFont="1" applyFill="1" applyBorder="1"/>
    <xf numFmtId="0" fontId="21" fillId="2" borderId="236" xfId="0" applyFont="1" applyFill="1" applyBorder="1" applyAlignment="1">
      <alignment vertical="top"/>
    </xf>
    <xf numFmtId="0" fontId="260" fillId="2" borderId="336" xfId="0" applyFont="1" applyFill="1" applyBorder="1" applyAlignment="1">
      <alignment wrapText="1"/>
    </xf>
    <xf numFmtId="0" fontId="3" fillId="0" borderId="0" xfId="0" applyFont="1" applyAlignment="1">
      <alignment horizontal="right" vertical="top"/>
    </xf>
    <xf numFmtId="0" fontId="167" fillId="111" borderId="94" xfId="0" applyFont="1" applyFill="1" applyBorder="1" applyAlignment="1">
      <alignment horizontal="left" vertical="top"/>
    </xf>
    <xf numFmtId="166" fontId="21" fillId="111" borderId="85" xfId="0" applyNumberFormat="1" applyFont="1" applyFill="1" applyBorder="1" applyAlignment="1">
      <alignment horizontal="right" vertical="top"/>
    </xf>
    <xf numFmtId="170" fontId="21" fillId="0" borderId="85" xfId="0" applyNumberFormat="1" applyFont="1" applyBorder="1" applyAlignment="1">
      <alignment horizontal="right" vertical="top"/>
    </xf>
    <xf numFmtId="0" fontId="21" fillId="11" borderId="85" xfId="0" applyFont="1" applyFill="1" applyBorder="1" applyAlignment="1">
      <alignment horizontal="left" vertical="top"/>
    </xf>
    <xf numFmtId="166" fontId="21" fillId="111" borderId="117" xfId="0" applyNumberFormat="1" applyFont="1" applyFill="1" applyBorder="1" applyAlignment="1">
      <alignment horizontal="right" vertical="top"/>
    </xf>
    <xf numFmtId="165" fontId="21" fillId="0" borderId="117" xfId="0" applyNumberFormat="1" applyFont="1" applyBorder="1" applyAlignment="1">
      <alignment horizontal="right" vertical="top"/>
    </xf>
    <xf numFmtId="166" fontId="21" fillId="0" borderId="117" xfId="0" applyNumberFormat="1" applyFont="1" applyBorder="1" applyAlignment="1">
      <alignment horizontal="right" vertical="top"/>
    </xf>
    <xf numFmtId="0" fontId="167" fillId="9" borderId="85" xfId="0" applyFont="1" applyFill="1" applyBorder="1"/>
    <xf numFmtId="165" fontId="21" fillId="0" borderId="4" xfId="0" applyNumberFormat="1" applyFont="1" applyBorder="1"/>
    <xf numFmtId="165" fontId="253" fillId="0" borderId="4" xfId="0" applyNumberFormat="1" applyFont="1" applyBorder="1"/>
    <xf numFmtId="170" fontId="260" fillId="0" borderId="336" xfId="0" applyNumberFormat="1" applyFont="1" applyBorder="1" applyAlignment="1">
      <alignment wrapText="1"/>
    </xf>
    <xf numFmtId="0" fontId="262" fillId="111" borderId="94" xfId="0" applyFont="1" applyFill="1" applyBorder="1" applyAlignment="1">
      <alignment horizontal="left" vertical="top"/>
    </xf>
    <xf numFmtId="0" fontId="262" fillId="112" borderId="85" xfId="0" applyFont="1" applyFill="1" applyBorder="1" applyAlignment="1">
      <alignment horizontal="left" vertical="top"/>
    </xf>
    <xf numFmtId="166" fontId="150" fillId="111" borderId="85" xfId="0" applyNumberFormat="1" applyFont="1" applyFill="1" applyBorder="1" applyAlignment="1">
      <alignment horizontal="right" vertical="top"/>
    </xf>
    <xf numFmtId="166" fontId="150" fillId="0" borderId="85" xfId="0" applyNumberFormat="1" applyFont="1" applyBorder="1" applyAlignment="1">
      <alignment horizontal="right" vertical="top"/>
    </xf>
    <xf numFmtId="166" fontId="150" fillId="111" borderId="147" xfId="0" applyNumberFormat="1" applyFont="1" applyFill="1" applyBorder="1" applyAlignment="1">
      <alignment horizontal="right" vertical="top"/>
    </xf>
    <xf numFmtId="166" fontId="150" fillId="0" borderId="147" xfId="0" applyNumberFormat="1" applyFont="1" applyBorder="1" applyAlignment="1">
      <alignment horizontal="right" vertical="top"/>
    </xf>
    <xf numFmtId="166" fontId="150" fillId="111" borderId="102" xfId="0" applyNumberFormat="1" applyFont="1" applyFill="1" applyBorder="1" applyAlignment="1">
      <alignment horizontal="right" vertical="top"/>
    </xf>
    <xf numFmtId="165" fontId="150" fillId="0" borderId="85" xfId="0" applyNumberFormat="1" applyFont="1" applyBorder="1" applyAlignment="1">
      <alignment horizontal="right" vertical="top"/>
    </xf>
    <xf numFmtId="165" fontId="150" fillId="0" borderId="147" xfId="0" applyNumberFormat="1" applyFont="1" applyBorder="1" applyAlignment="1">
      <alignment horizontal="right" vertical="top"/>
    </xf>
    <xf numFmtId="170" fontId="150" fillId="87" borderId="91" xfId="0" applyNumberFormat="1" applyFont="1" applyFill="1" applyBorder="1"/>
    <xf numFmtId="170" fontId="150" fillId="87" borderId="0" xfId="0" applyNumberFormat="1" applyFont="1" applyFill="1"/>
    <xf numFmtId="170" fontId="150" fillId="87" borderId="88" xfId="0" applyNumberFormat="1" applyFont="1" applyFill="1" applyBorder="1"/>
    <xf numFmtId="170" fontId="150" fillId="87" borderId="149" xfId="0" applyNumberFormat="1" applyFont="1" applyFill="1" applyBorder="1"/>
    <xf numFmtId="170" fontId="150" fillId="87" borderId="21" xfId="0" applyNumberFormat="1" applyFont="1" applyFill="1" applyBorder="1"/>
    <xf numFmtId="170" fontId="150" fillId="87" borderId="150" xfId="0" applyNumberFormat="1" applyFont="1" applyFill="1" applyBorder="1"/>
    <xf numFmtId="170" fontId="150" fillId="0" borderId="85" xfId="0" applyNumberFormat="1" applyFont="1" applyBorder="1" applyAlignment="1">
      <alignment horizontal="right" vertical="top"/>
    </xf>
    <xf numFmtId="170" fontId="150" fillId="0" borderId="147" xfId="0" applyNumberFormat="1" applyFont="1" applyBorder="1" applyAlignment="1">
      <alignment horizontal="right" vertical="top"/>
    </xf>
    <xf numFmtId="166" fontId="150" fillId="0" borderId="102" xfId="0" applyNumberFormat="1" applyFont="1" applyBorder="1" applyAlignment="1">
      <alignment horizontal="right" vertical="top"/>
    </xf>
    <xf numFmtId="165" fontId="150" fillId="0" borderId="102" xfId="0" applyNumberFormat="1" applyFont="1" applyBorder="1" applyAlignment="1">
      <alignment horizontal="right" vertical="top"/>
    </xf>
    <xf numFmtId="166" fontId="150" fillId="0" borderId="151" xfId="0" applyNumberFormat="1" applyFont="1" applyBorder="1" applyAlignment="1">
      <alignment horizontal="right" vertical="top"/>
    </xf>
    <xf numFmtId="165" fontId="150" fillId="0" borderId="151" xfId="0" applyNumberFormat="1" applyFont="1" applyBorder="1" applyAlignment="1">
      <alignment horizontal="right" vertical="top"/>
    </xf>
    <xf numFmtId="170" fontId="150" fillId="0" borderId="102" xfId="0" applyNumberFormat="1" applyFont="1" applyBorder="1" applyAlignment="1">
      <alignment horizontal="right" vertical="top"/>
    </xf>
    <xf numFmtId="170" fontId="150" fillId="0" borderId="151" xfId="0" applyNumberFormat="1" applyFont="1" applyBorder="1" applyAlignment="1">
      <alignment horizontal="right" vertical="top"/>
    </xf>
    <xf numFmtId="170" fontId="150" fillId="87" borderId="92" xfId="0" applyNumberFormat="1" applyFont="1" applyFill="1" applyBorder="1"/>
    <xf numFmtId="170" fontId="150" fillId="87" borderId="82" xfId="0" applyNumberFormat="1" applyFont="1" applyFill="1" applyBorder="1"/>
    <xf numFmtId="170" fontId="150" fillId="87" borderId="95" xfId="0" applyNumberFormat="1" applyFont="1" applyFill="1" applyBorder="1"/>
    <xf numFmtId="166" fontId="150" fillId="0" borderId="94" xfId="0" applyNumberFormat="1" applyFont="1" applyBorder="1" applyAlignment="1">
      <alignment horizontal="right" vertical="top"/>
    </xf>
    <xf numFmtId="170" fontId="150" fillId="0" borderId="86" xfId="0" applyNumberFormat="1" applyFont="1" applyBorder="1" applyAlignment="1">
      <alignment horizontal="right" vertical="top"/>
    </xf>
    <xf numFmtId="166" fontId="150" fillId="0" borderId="86" xfId="0" applyNumberFormat="1" applyFont="1" applyBorder="1" applyAlignment="1">
      <alignment horizontal="right" vertical="top"/>
    </xf>
    <xf numFmtId="0" fontId="150" fillId="0" borderId="85" xfId="0" applyFont="1" applyBorder="1" applyAlignment="1">
      <alignment vertical="top"/>
    </xf>
    <xf numFmtId="0" fontId="150" fillId="0" borderId="86" xfId="0" applyFont="1" applyBorder="1" applyAlignment="1">
      <alignment vertical="top"/>
    </xf>
    <xf numFmtId="0" fontId="0" fillId="0" borderId="236" xfId="0" applyBorder="1" applyAlignment="1">
      <alignment horizontal="left" vertical="top" wrapText="1"/>
    </xf>
    <xf numFmtId="0" fontId="3" fillId="110" borderId="236" xfId="0" applyFont="1" applyFill="1" applyBorder="1" applyAlignment="1">
      <alignment horizontal="left" vertical="top"/>
    </xf>
    <xf numFmtId="0" fontId="3" fillId="112" borderId="236" xfId="0" applyFont="1" applyFill="1" applyBorder="1" applyAlignment="1">
      <alignment horizontal="left" vertical="top"/>
    </xf>
    <xf numFmtId="2" fontId="0" fillId="110" borderId="236" xfId="0" applyNumberFormat="1" applyFill="1" applyBorder="1" applyAlignment="1">
      <alignment horizontal="right" vertical="top" wrapText="1"/>
    </xf>
    <xf numFmtId="2" fontId="0" fillId="0" borderId="236" xfId="0" applyNumberFormat="1" applyBorder="1" applyAlignment="1">
      <alignment horizontal="right" vertical="top" wrapText="1"/>
    </xf>
    <xf numFmtId="166" fontId="0" fillId="0" borderId="236" xfId="0" applyNumberFormat="1" applyBorder="1" applyAlignment="1">
      <alignment horizontal="right" vertical="top" wrapText="1"/>
    </xf>
    <xf numFmtId="170" fontId="0" fillId="0" borderId="236" xfId="0" applyNumberFormat="1" applyBorder="1" applyAlignment="1">
      <alignment horizontal="right" vertical="top" wrapText="1"/>
    </xf>
    <xf numFmtId="10" fontId="0" fillId="110" borderId="236" xfId="0" applyNumberFormat="1" applyFill="1" applyBorder="1" applyAlignment="1">
      <alignment horizontal="right" vertical="top" wrapText="1"/>
    </xf>
    <xf numFmtId="10" fontId="0" fillId="0" borderId="236" xfId="0" applyNumberFormat="1" applyBorder="1" applyAlignment="1">
      <alignment horizontal="right" vertical="top" wrapText="1"/>
    </xf>
    <xf numFmtId="9" fontId="0" fillId="0" borderId="236" xfId="0" applyNumberFormat="1" applyBorder="1" applyAlignment="1">
      <alignment horizontal="right" vertical="top" wrapText="1"/>
    </xf>
    <xf numFmtId="165" fontId="0" fillId="0" borderId="236" xfId="0" applyNumberFormat="1" applyBorder="1" applyAlignment="1">
      <alignment horizontal="right" vertical="top" wrapText="1"/>
    </xf>
    <xf numFmtId="2" fontId="21" fillId="110" borderId="236" xfId="0" applyNumberFormat="1" applyFont="1" applyFill="1" applyBorder="1" applyAlignment="1">
      <alignment horizontal="right" vertical="top" wrapText="1"/>
    </xf>
    <xf numFmtId="2" fontId="21" fillId="0" borderId="236" xfId="0" applyNumberFormat="1" applyFont="1" applyBorder="1" applyAlignment="1">
      <alignment horizontal="right" vertical="top" wrapText="1"/>
    </xf>
    <xf numFmtId="10" fontId="0" fillId="0" borderId="236" xfId="1" applyNumberFormat="1" applyFont="1" applyBorder="1" applyAlignment="1">
      <alignment horizontal="right" vertical="top" wrapText="1"/>
    </xf>
    <xf numFmtId="166" fontId="0" fillId="110" borderId="236" xfId="0" applyNumberFormat="1" applyFill="1" applyBorder="1" applyAlignment="1">
      <alignment horizontal="right" vertical="top" wrapText="1"/>
    </xf>
    <xf numFmtId="167" fontId="0" fillId="0" borderId="236" xfId="0" applyNumberFormat="1" applyBorder="1" applyAlignment="1">
      <alignment horizontal="right" vertical="top" wrapText="1"/>
    </xf>
    <xf numFmtId="168" fontId="0" fillId="0" borderId="236" xfId="0" applyNumberFormat="1" applyBorder="1" applyAlignment="1">
      <alignment horizontal="right" vertical="top" wrapText="1"/>
    </xf>
    <xf numFmtId="10" fontId="0" fillId="110" borderId="236" xfId="1" applyNumberFormat="1" applyFont="1" applyFill="1" applyBorder="1" applyAlignment="1">
      <alignment horizontal="right" vertical="top" wrapText="1"/>
    </xf>
    <xf numFmtId="171" fontId="0" fillId="110" borderId="236" xfId="0" applyNumberFormat="1" applyFill="1" applyBorder="1" applyAlignment="1">
      <alignment horizontal="right" vertical="top" wrapText="1"/>
    </xf>
    <xf numFmtId="171" fontId="0" fillId="0" borderId="236" xfId="0" applyNumberFormat="1" applyBorder="1" applyAlignment="1">
      <alignment horizontal="right" vertical="top" wrapText="1"/>
    </xf>
    <xf numFmtId="0" fontId="0" fillId="0" borderId="236" xfId="0" applyBorder="1" applyAlignment="1">
      <alignment horizontal="right" vertical="top" wrapText="1"/>
    </xf>
    <xf numFmtId="0" fontId="21" fillId="0" borderId="236" xfId="0" applyFont="1" applyBorder="1" applyAlignment="1">
      <alignment horizontal="left" vertical="top" wrapText="1"/>
    </xf>
    <xf numFmtId="166" fontId="21" fillId="0" borderId="236" xfId="0" applyNumberFormat="1" applyFont="1" applyBorder="1" applyAlignment="1">
      <alignment horizontal="right" vertical="top" wrapText="1"/>
    </xf>
    <xf numFmtId="170" fontId="21" fillId="0" borderId="236" xfId="0" applyNumberFormat="1" applyFont="1" applyBorder="1" applyAlignment="1">
      <alignment horizontal="right" vertical="top" wrapText="1"/>
    </xf>
    <xf numFmtId="0" fontId="3" fillId="4" borderId="236" xfId="0" applyFont="1" applyFill="1" applyBorder="1" applyAlignment="1">
      <alignment horizontal="left" vertical="top" wrapText="1"/>
    </xf>
    <xf numFmtId="165" fontId="0" fillId="0" borderId="236" xfId="0" applyNumberFormat="1" applyBorder="1"/>
    <xf numFmtId="170" fontId="0" fillId="0" borderId="236" xfId="0" applyNumberFormat="1" applyBorder="1"/>
    <xf numFmtId="0" fontId="0" fillId="0" borderId="236" xfId="0" applyBorder="1" applyAlignment="1">
      <alignment horizontal="left" vertical="top"/>
    </xf>
    <xf numFmtId="0" fontId="27" fillId="0" borderId="236" xfId="0" applyFont="1" applyBorder="1"/>
    <xf numFmtId="231" fontId="0" fillId="0" borderId="236" xfId="0" applyNumberFormat="1" applyBorder="1"/>
    <xf numFmtId="166" fontId="0" fillId="0" borderId="236" xfId="0" applyNumberFormat="1" applyBorder="1"/>
    <xf numFmtId="14" fontId="0" fillId="0" borderId="236" xfId="0" applyNumberFormat="1" applyBorder="1"/>
    <xf numFmtId="0" fontId="229" fillId="0" borderId="236" xfId="0" applyFont="1" applyBorder="1"/>
    <xf numFmtId="3" fontId="0" fillId="0" borderId="236" xfId="0" applyNumberFormat="1" applyBorder="1"/>
    <xf numFmtId="2" fontId="0" fillId="0" borderId="236" xfId="0" applyNumberFormat="1" applyBorder="1"/>
    <xf numFmtId="0" fontId="3" fillId="11" borderId="236" xfId="0" applyFont="1" applyFill="1" applyBorder="1" applyAlignment="1">
      <alignment horizontal="center" vertical="center" wrapText="1"/>
    </xf>
    <xf numFmtId="0" fontId="3" fillId="11" borderId="236" xfId="0" applyFont="1" applyFill="1" applyBorder="1" applyAlignment="1">
      <alignment horizontal="center" vertical="center"/>
    </xf>
    <xf numFmtId="0" fontId="0" fillId="11" borderId="236" xfId="0" applyFill="1" applyBorder="1" applyAlignment="1">
      <alignment horizontal="center" vertical="center" wrapText="1"/>
    </xf>
    <xf numFmtId="175" fontId="0" fillId="11" borderId="236" xfId="0" applyNumberFormat="1" applyFill="1" applyBorder="1" applyAlignment="1">
      <alignment horizontal="center" vertical="center"/>
    </xf>
    <xf numFmtId="0" fontId="14" fillId="11" borderId="236" xfId="0" applyFont="1" applyFill="1" applyBorder="1" applyAlignment="1">
      <alignment horizontal="center" vertical="center" wrapText="1"/>
    </xf>
    <xf numFmtId="175" fontId="14" fillId="11" borderId="236" xfId="0" applyNumberFormat="1" applyFont="1" applyFill="1" applyBorder="1" applyAlignment="1">
      <alignment horizontal="center" vertical="center"/>
    </xf>
    <xf numFmtId="0" fontId="0" fillId="4" borderId="236" xfId="0" applyFill="1" applyBorder="1"/>
    <xf numFmtId="170" fontId="0" fillId="0" borderId="236" xfId="0" applyNumberFormat="1" applyBorder="1" applyAlignment="1">
      <alignment horizontal="right" vertical="top"/>
    </xf>
    <xf numFmtId="0" fontId="14" fillId="189" borderId="239" xfId="0" applyFont="1" applyFill="1" applyBorder="1" applyAlignment="1">
      <alignment horizontal="center" vertical="center" wrapText="1"/>
    </xf>
    <xf numFmtId="0" fontId="3" fillId="0" borderId="236" xfId="0" applyFont="1" applyBorder="1"/>
    <xf numFmtId="0" fontId="9" fillId="0" borderId="236" xfId="2" applyBorder="1"/>
    <xf numFmtId="0" fontId="0" fillId="170" borderId="236" xfId="0" applyFill="1" applyBorder="1" applyAlignment="1">
      <alignment wrapText="1"/>
    </xf>
    <xf numFmtId="168" fontId="27" fillId="0" borderId="236" xfId="0" applyNumberFormat="1" applyFont="1" applyBorder="1"/>
    <xf numFmtId="0" fontId="27" fillId="11" borderId="239" xfId="0" applyFont="1" applyFill="1" applyBorder="1" applyAlignment="1">
      <alignment horizontal="center" vertical="center" wrapText="1"/>
    </xf>
    <xf numFmtId="0" fontId="265" fillId="0" borderId="239" xfId="0" applyFont="1" applyBorder="1" applyAlignment="1">
      <alignment horizontal="center" vertical="center" wrapText="1"/>
    </xf>
    <xf numFmtId="165" fontId="0" fillId="11" borderId="236" xfId="0" applyNumberFormat="1" applyFill="1" applyBorder="1" applyAlignment="1">
      <alignment horizontal="center" vertical="center"/>
    </xf>
    <xf numFmtId="0" fontId="0" fillId="0" borderId="236" xfId="0" applyBorder="1" applyAlignment="1">
      <alignment horizontal="center" vertical="center" wrapText="1"/>
    </xf>
    <xf numFmtId="17" fontId="0" fillId="11" borderId="236" xfId="0" applyNumberFormat="1" applyFill="1" applyBorder="1" applyAlignment="1">
      <alignment horizontal="center" vertical="center" wrapText="1"/>
    </xf>
    <xf numFmtId="177" fontId="0" fillId="11" borderId="236" xfId="0" applyNumberFormat="1" applyFill="1" applyBorder="1" applyAlignment="1">
      <alignment horizontal="center" vertical="center"/>
    </xf>
    <xf numFmtId="229" fontId="0" fillId="11" borderId="236" xfId="0" applyNumberFormat="1" applyFill="1" applyBorder="1" applyAlignment="1">
      <alignment horizontal="center" vertical="center"/>
    </xf>
    <xf numFmtId="230" fontId="0" fillId="11" borderId="236" xfId="0" applyNumberFormat="1" applyFill="1" applyBorder="1" applyAlignment="1">
      <alignment horizontal="center" vertical="center"/>
    </xf>
    <xf numFmtId="0" fontId="0" fillId="2" borderId="236" xfId="0" applyFill="1" applyBorder="1" applyAlignment="1">
      <alignment horizontal="center" vertical="center" wrapText="1"/>
    </xf>
    <xf numFmtId="0" fontId="0" fillId="11" borderId="236" xfId="0" applyFill="1" applyBorder="1" applyAlignment="1">
      <alignment horizontal="center" vertical="center"/>
    </xf>
    <xf numFmtId="167" fontId="0" fillId="11" borderId="236" xfId="0" applyNumberFormat="1" applyFill="1" applyBorder="1" applyAlignment="1">
      <alignment horizontal="center" vertical="center" wrapText="1"/>
    </xf>
    <xf numFmtId="166" fontId="14" fillId="89" borderId="236" xfId="1774" applyNumberFormat="1" applyFont="1" applyFill="1" applyBorder="1"/>
    <xf numFmtId="0" fontId="0" fillId="0" borderId="236" xfId="0" applyBorder="1" applyAlignment="1">
      <alignment vertical="top" wrapText="1"/>
    </xf>
    <xf numFmtId="0" fontId="0" fillId="174" borderId="236" xfId="0" applyFill="1" applyBorder="1"/>
    <xf numFmtId="0" fontId="235" fillId="174" borderId="236" xfId="0" applyFont="1" applyFill="1" applyBorder="1"/>
    <xf numFmtId="0" fontId="235" fillId="0" borderId="236" xfId="0" applyFont="1" applyBorder="1"/>
    <xf numFmtId="0" fontId="0" fillId="174" borderId="236" xfId="0" applyFill="1" applyBorder="1" applyAlignment="1">
      <alignment wrapText="1"/>
    </xf>
    <xf numFmtId="0" fontId="0" fillId="115" borderId="236" xfId="0" applyFill="1" applyBorder="1"/>
    <xf numFmtId="2" fontId="235" fillId="0" borderId="236" xfId="0" applyNumberFormat="1" applyFont="1" applyBorder="1"/>
    <xf numFmtId="0" fontId="186" fillId="0" borderId="236" xfId="0" applyFont="1" applyBorder="1" applyAlignment="1">
      <alignment vertical="center" wrapText="1"/>
    </xf>
    <xf numFmtId="0" fontId="262" fillId="111" borderId="85" xfId="0" applyFont="1" applyFill="1" applyBorder="1" applyAlignment="1">
      <alignment horizontal="left" vertical="top"/>
    </xf>
    <xf numFmtId="166" fontId="150" fillId="0" borderId="236" xfId="0" applyNumberFormat="1" applyFont="1" applyBorder="1" applyAlignment="1">
      <alignment horizontal="right" vertical="top"/>
    </xf>
    <xf numFmtId="165" fontId="150" fillId="0" borderId="86" xfId="0" applyNumberFormat="1" applyFont="1" applyBorder="1" applyAlignment="1">
      <alignment horizontal="right" vertical="top"/>
    </xf>
    <xf numFmtId="165" fontId="150" fillId="0" borderId="236" xfId="0" applyNumberFormat="1" applyFont="1" applyBorder="1" applyAlignment="1">
      <alignment horizontal="right" vertical="top"/>
    </xf>
    <xf numFmtId="0" fontId="150" fillId="4" borderId="103" xfId="0" applyFont="1" applyFill="1" applyBorder="1"/>
    <xf numFmtId="0" fontId="150" fillId="4" borderId="84" xfId="0" applyFont="1" applyFill="1" applyBorder="1"/>
    <xf numFmtId="0" fontId="150" fillId="4" borderId="87" xfId="0" applyFont="1" applyFill="1" applyBorder="1"/>
    <xf numFmtId="0" fontId="150" fillId="4" borderId="91" xfId="0" applyFont="1" applyFill="1" applyBorder="1"/>
    <xf numFmtId="0" fontId="150" fillId="4" borderId="0" xfId="0" applyFont="1" applyFill="1"/>
    <xf numFmtId="0" fontId="150" fillId="4" borderId="88" xfId="0" applyFont="1" applyFill="1" applyBorder="1"/>
    <xf numFmtId="170" fontId="150" fillId="0" borderId="236" xfId="0" applyNumberFormat="1" applyFont="1" applyBorder="1" applyAlignment="1">
      <alignment horizontal="right" vertical="top"/>
    </xf>
    <xf numFmtId="0" fontId="150" fillId="4" borderId="92" xfId="0" applyFont="1" applyFill="1" applyBorder="1"/>
    <xf numFmtId="0" fontId="150" fillId="4" borderId="82" xfId="0" applyFont="1" applyFill="1" applyBorder="1"/>
    <xf numFmtId="0" fontId="150" fillId="4" borderId="95" xfId="0" applyFont="1" applyFill="1" applyBorder="1"/>
    <xf numFmtId="166" fontId="150" fillId="111" borderId="236" xfId="0" applyNumberFormat="1" applyFont="1" applyFill="1" applyBorder="1" applyAlignment="1">
      <alignment horizontal="right" vertical="top"/>
    </xf>
    <xf numFmtId="166" fontId="150" fillId="11" borderId="236" xfId="0" applyNumberFormat="1" applyFont="1" applyFill="1" applyBorder="1" applyAlignment="1">
      <alignment horizontal="right" vertical="top"/>
    </xf>
    <xf numFmtId="165" fontId="150" fillId="11" borderId="236" xfId="0" applyNumberFormat="1" applyFont="1" applyFill="1" applyBorder="1" applyAlignment="1">
      <alignment horizontal="right" vertical="top"/>
    </xf>
    <xf numFmtId="0" fontId="150" fillId="0" borderId="85" xfId="0" applyFont="1" applyBorder="1" applyAlignment="1">
      <alignment horizontal="left" vertical="top"/>
    </xf>
    <xf numFmtId="0" fontId="13" fillId="0" borderId="0" xfId="0" applyFont="1" applyAlignment="1">
      <alignment wrapText="1"/>
    </xf>
    <xf numFmtId="0" fontId="276" fillId="0" borderId="68" xfId="0" applyFont="1" applyBorder="1" applyAlignment="1">
      <alignment wrapText="1"/>
    </xf>
    <xf numFmtId="0" fontId="276" fillId="202" borderId="4" xfId="0" applyFont="1" applyFill="1" applyBorder="1" applyAlignment="1">
      <alignment wrapText="1"/>
    </xf>
    <xf numFmtId="0" fontId="4" fillId="0" borderId="0" xfId="0" applyFont="1"/>
    <xf numFmtId="0" fontId="276" fillId="202" borderId="236" xfId="0" applyFont="1" applyFill="1" applyBorder="1" applyAlignment="1">
      <alignment wrapText="1"/>
    </xf>
    <xf numFmtId="0" fontId="277" fillId="0" borderId="0" xfId="0" applyFont="1" applyAlignment="1">
      <alignment vertical="center"/>
    </xf>
    <xf numFmtId="14" fontId="150" fillId="187" borderId="3" xfId="0" applyNumberFormat="1" applyFont="1" applyFill="1" applyBorder="1"/>
    <xf numFmtId="14" fontId="150" fillId="187" borderId="4" xfId="0" applyNumberFormat="1" applyFont="1" applyFill="1" applyBorder="1"/>
    <xf numFmtId="0" fontId="0" fillId="187" borderId="0" xfId="0" applyFill="1" applyAlignment="1">
      <alignment horizontal="right"/>
    </xf>
    <xf numFmtId="14" fontId="150" fillId="187" borderId="36" xfId="0" applyNumberFormat="1" applyFont="1" applyFill="1" applyBorder="1"/>
    <xf numFmtId="43" fontId="0" fillId="188" borderId="0" xfId="0" applyNumberFormat="1" applyFill="1"/>
    <xf numFmtId="0" fontId="278" fillId="187" borderId="0" xfId="0" applyFont="1" applyFill="1"/>
    <xf numFmtId="0" fontId="280" fillId="187" borderId="0" xfId="0" applyFont="1" applyFill="1"/>
    <xf numFmtId="166" fontId="21" fillId="0" borderId="236" xfId="0" applyNumberFormat="1" applyFont="1" applyBorder="1" applyAlignment="1">
      <alignment horizontal="right" vertical="top"/>
    </xf>
    <xf numFmtId="0" fontId="21" fillId="0" borderId="236" xfId="0" applyFont="1" applyBorder="1" applyAlignment="1">
      <alignment horizontal="right"/>
    </xf>
    <xf numFmtId="166" fontId="21" fillId="0" borderId="236" xfId="0" applyNumberFormat="1" applyFont="1" applyBorder="1"/>
    <xf numFmtId="166" fontId="21" fillId="0" borderId="236" xfId="0" applyNumberFormat="1" applyFont="1" applyBorder="1" applyAlignment="1">
      <alignment horizontal="right"/>
    </xf>
    <xf numFmtId="0" fontId="281" fillId="0" borderId="0" xfId="0" applyFont="1"/>
    <xf numFmtId="0" fontId="282" fillId="0" borderId="0" xfId="0" applyFont="1"/>
    <xf numFmtId="0" fontId="262" fillId="0" borderId="0" xfId="0" applyFont="1" applyAlignment="1">
      <alignment horizontal="right"/>
    </xf>
    <xf numFmtId="0" fontId="262" fillId="204" borderId="356" xfId="0" applyFont="1" applyFill="1" applyBorder="1" applyAlignment="1">
      <alignment horizontal="left" vertical="top"/>
    </xf>
    <xf numFmtId="0" fontId="167" fillId="205" borderId="356" xfId="0" applyFont="1" applyFill="1" applyBorder="1" applyAlignment="1">
      <alignment horizontal="left" vertical="top"/>
    </xf>
    <xf numFmtId="0" fontId="167" fillId="204" borderId="356" xfId="0" applyFont="1" applyFill="1" applyBorder="1" applyAlignment="1">
      <alignment horizontal="left" vertical="top"/>
    </xf>
    <xf numFmtId="0" fontId="262" fillId="204" borderId="357" xfId="0" applyFont="1" applyFill="1" applyBorder="1" applyAlignment="1">
      <alignment horizontal="left" vertical="top"/>
    </xf>
    <xf numFmtId="0" fontId="150" fillId="0" borderId="359" xfId="0" applyFont="1" applyBorder="1" applyAlignment="1">
      <alignment vertical="top" wrapText="1"/>
    </xf>
    <xf numFmtId="0" fontId="150" fillId="0" borderId="356" xfId="0" applyFont="1" applyBorder="1" applyAlignment="1">
      <alignment horizontal="left" vertical="top"/>
    </xf>
    <xf numFmtId="166" fontId="14" fillId="205" borderId="356" xfId="0" applyNumberFormat="1" applyFont="1" applyFill="1" applyBorder="1" applyAlignment="1">
      <alignment horizontal="right" vertical="top"/>
    </xf>
    <xf numFmtId="0" fontId="14" fillId="0" borderId="356" xfId="0" applyFont="1" applyBorder="1" applyAlignment="1">
      <alignment horizontal="right" vertical="top"/>
    </xf>
    <xf numFmtId="166" fontId="14" fillId="0" borderId="356" xfId="0" applyNumberFormat="1" applyFont="1" applyBorder="1" applyAlignment="1">
      <alignment horizontal="right" vertical="top"/>
    </xf>
    <xf numFmtId="0" fontId="150" fillId="0" borderId="360" xfId="0" applyFont="1" applyBorder="1" applyAlignment="1">
      <alignment vertical="top" wrapText="1"/>
    </xf>
    <xf numFmtId="0" fontId="150" fillId="0" borderId="362" xfId="0" applyFont="1" applyBorder="1" applyAlignment="1">
      <alignment horizontal="left" vertical="top"/>
    </xf>
    <xf numFmtId="0" fontId="14" fillId="205" borderId="356" xfId="0" applyFont="1" applyFill="1" applyBorder="1" applyAlignment="1">
      <alignment horizontal="right" vertical="top"/>
    </xf>
    <xf numFmtId="0" fontId="262" fillId="204" borderId="236" xfId="0" applyFont="1" applyFill="1" applyBorder="1" applyAlignment="1">
      <alignment horizontal="left" vertical="top"/>
    </xf>
    <xf numFmtId="0" fontId="167" fillId="205" borderId="236" xfId="0" applyFont="1" applyFill="1" applyBorder="1" applyAlignment="1">
      <alignment horizontal="left" vertical="top"/>
    </xf>
    <xf numFmtId="0" fontId="167" fillId="204" borderId="236" xfId="0" applyFont="1" applyFill="1" applyBorder="1" applyAlignment="1">
      <alignment horizontal="left" vertical="top"/>
    </xf>
    <xf numFmtId="0" fontId="150" fillId="0" borderId="236" xfId="0" applyFont="1" applyBorder="1" applyAlignment="1">
      <alignment horizontal="left" vertical="top" wrapText="1"/>
    </xf>
    <xf numFmtId="0" fontId="150" fillId="0" borderId="236" xfId="0" applyFont="1" applyBorder="1" applyAlignment="1">
      <alignment horizontal="left" vertical="top"/>
    </xf>
    <xf numFmtId="166" fontId="14" fillId="0" borderId="236" xfId="0" applyNumberFormat="1" applyFont="1" applyBorder="1" applyAlignment="1">
      <alignment horizontal="right" vertical="top"/>
    </xf>
    <xf numFmtId="2" fontId="14" fillId="0" borderId="236" xfId="0" applyNumberFormat="1" applyFont="1" applyBorder="1" applyAlignment="1">
      <alignment horizontal="right"/>
    </xf>
    <xf numFmtId="166" fontId="14" fillId="0" borderId="236" xfId="0" applyNumberFormat="1" applyFont="1" applyBorder="1" applyAlignment="1">
      <alignment horizontal="right"/>
    </xf>
    <xf numFmtId="0" fontId="14" fillId="0" borderId="236" xfId="0" applyFont="1" applyBorder="1" applyAlignment="1">
      <alignment horizontal="left" vertical="top"/>
    </xf>
    <xf numFmtId="166" fontId="14" fillId="205" borderId="236" xfId="0" applyNumberFormat="1" applyFont="1" applyFill="1" applyBorder="1" applyAlignment="1">
      <alignment horizontal="right"/>
    </xf>
    <xf numFmtId="0" fontId="279" fillId="206" borderId="0" xfId="0" applyFont="1" applyFill="1" applyAlignment="1">
      <alignment vertical="center"/>
    </xf>
    <xf numFmtId="0" fontId="284" fillId="206" borderId="0" xfId="0" applyFont="1" applyFill="1" applyAlignment="1">
      <alignment vertical="center"/>
    </xf>
    <xf numFmtId="0" fontId="256" fillId="206" borderId="0" xfId="0" applyFont="1" applyFill="1" applyAlignment="1">
      <alignment vertical="center"/>
    </xf>
    <xf numFmtId="0" fontId="256" fillId="206" borderId="0" xfId="0" applyFont="1" applyFill="1"/>
    <xf numFmtId="0" fontId="150" fillId="207" borderId="0" xfId="0" applyFont="1" applyFill="1"/>
    <xf numFmtId="0" fontId="279" fillId="208" borderId="0" xfId="0" applyFont="1" applyFill="1" applyAlignment="1">
      <alignment vertical="center"/>
    </xf>
    <xf numFmtId="0" fontId="150" fillId="208" borderId="0" xfId="0" applyFont="1" applyFill="1"/>
    <xf numFmtId="0" fontId="0" fillId="208" borderId="0" xfId="0" applyFill="1"/>
    <xf numFmtId="2" fontId="150" fillId="207" borderId="11" xfId="0" applyNumberFormat="1" applyFont="1" applyFill="1" applyBorder="1"/>
    <xf numFmtId="164" fontId="150" fillId="207" borderId="15" xfId="0" applyNumberFormat="1" applyFont="1" applyFill="1" applyBorder="1"/>
    <xf numFmtId="164" fontId="150" fillId="207" borderId="13" xfId="0" applyNumberFormat="1" applyFont="1" applyFill="1" applyBorder="1"/>
    <xf numFmtId="166" fontId="0" fillId="2" borderId="76" xfId="1" applyNumberFormat="1" applyFont="1" applyFill="1" applyBorder="1"/>
    <xf numFmtId="166" fontId="0" fillId="89" borderId="76" xfId="1" applyNumberFormat="1" applyFont="1" applyFill="1" applyBorder="1"/>
    <xf numFmtId="2" fontId="0" fillId="0" borderId="20" xfId="1" applyNumberFormat="1" applyFont="1" applyBorder="1"/>
    <xf numFmtId="2" fontId="0" fillId="0" borderId="21" xfId="1" applyNumberFormat="1" applyFont="1" applyBorder="1"/>
    <xf numFmtId="165" fontId="0" fillId="0" borderId="21" xfId="1" applyNumberFormat="1" applyFont="1" applyBorder="1"/>
    <xf numFmtId="2" fontId="0" fillId="0" borderId="14" xfId="1" applyNumberFormat="1" applyFont="1" applyBorder="1"/>
    <xf numFmtId="167" fontId="0" fillId="89" borderId="24" xfId="1" applyNumberFormat="1" applyFont="1" applyFill="1" applyBorder="1"/>
    <xf numFmtId="166" fontId="150" fillId="0" borderId="18" xfId="0" applyNumberFormat="1" applyFont="1" applyBorder="1"/>
    <xf numFmtId="0" fontId="262" fillId="0" borderId="16" xfId="0" applyFont="1" applyBorder="1"/>
    <xf numFmtId="0" fontId="150" fillId="0" borderId="17" xfId="0" applyFont="1" applyBorder="1"/>
    <xf numFmtId="0" fontId="150" fillId="0" borderId="12" xfId="0" applyFont="1" applyBorder="1"/>
    <xf numFmtId="166" fontId="150" fillId="0" borderId="0" xfId="0" applyNumberFormat="1" applyFont="1"/>
    <xf numFmtId="0" fontId="150" fillId="0" borderId="18" xfId="0" applyFont="1" applyBorder="1"/>
    <xf numFmtId="0" fontId="150" fillId="0" borderId="19" xfId="0" applyFont="1" applyBorder="1"/>
    <xf numFmtId="2" fontId="150" fillId="207" borderId="18" xfId="0" applyNumberFormat="1" applyFont="1" applyFill="1" applyBorder="1"/>
    <xf numFmtId="2" fontId="150" fillId="207" borderId="0" xfId="0" applyNumberFormat="1" applyFont="1" applyFill="1"/>
    <xf numFmtId="0" fontId="262" fillId="0" borderId="18" xfId="0" applyFont="1" applyBorder="1"/>
    <xf numFmtId="166" fontId="150" fillId="207" borderId="18" xfId="0" applyNumberFormat="1" applyFont="1" applyFill="1" applyBorder="1"/>
    <xf numFmtId="166" fontId="150" fillId="207" borderId="0" xfId="0" applyNumberFormat="1" applyFont="1" applyFill="1"/>
    <xf numFmtId="166" fontId="150" fillId="207" borderId="20" xfId="0" applyNumberFormat="1" applyFont="1" applyFill="1" applyBorder="1"/>
    <xf numFmtId="0" fontId="150" fillId="0" borderId="21" xfId="0" applyFont="1" applyBorder="1"/>
    <xf numFmtId="0" fontId="150" fillId="0" borderId="14" xfId="0" applyFont="1" applyBorder="1"/>
    <xf numFmtId="166" fontId="0" fillId="0" borderId="24" xfId="0" applyNumberFormat="1" applyBorder="1"/>
    <xf numFmtId="9" fontId="0" fillId="89" borderId="24" xfId="0" applyNumberFormat="1" applyFill="1" applyBorder="1"/>
    <xf numFmtId="2" fontId="0" fillId="89" borderId="24" xfId="0" applyNumberFormat="1" applyFill="1" applyBorder="1"/>
    <xf numFmtId="0" fontId="0" fillId="89" borderId="24" xfId="0" applyFill="1" applyBorder="1"/>
    <xf numFmtId="0" fontId="0" fillId="5" borderId="0" xfId="0" applyFill="1"/>
    <xf numFmtId="0" fontId="150" fillId="5" borderId="0" xfId="0" applyFont="1" applyFill="1"/>
    <xf numFmtId="164" fontId="150" fillId="207" borderId="75" xfId="0" applyNumberFormat="1" applyFont="1" applyFill="1" applyBorder="1"/>
    <xf numFmtId="164" fontId="150" fillId="207" borderId="76" xfId="0" applyNumberFormat="1" applyFont="1" applyFill="1" applyBorder="1"/>
    <xf numFmtId="10" fontId="150" fillId="207" borderId="76" xfId="0" applyNumberFormat="1" applyFont="1" applyFill="1" applyBorder="1"/>
    <xf numFmtId="164" fontId="150" fillId="207" borderId="30" xfId="0" applyNumberFormat="1" applyFont="1" applyFill="1" applyBorder="1"/>
    <xf numFmtId="0" fontId="150" fillId="207" borderId="75" xfId="0" applyFont="1" applyFill="1" applyBorder="1"/>
    <xf numFmtId="0" fontId="150" fillId="207" borderId="76" xfId="0" applyFont="1" applyFill="1" applyBorder="1"/>
    <xf numFmtId="0" fontId="150" fillId="207" borderId="30" xfId="0" applyFont="1" applyFill="1" applyBorder="1" applyAlignment="1">
      <alignment horizontal="center"/>
    </xf>
    <xf numFmtId="166" fontId="0" fillId="89" borderId="0" xfId="1" applyNumberFormat="1" applyFont="1" applyFill="1"/>
    <xf numFmtId="0" fontId="150" fillId="207" borderId="18" xfId="0" applyFont="1" applyFill="1" applyBorder="1"/>
    <xf numFmtId="0" fontId="150" fillId="207" borderId="19" xfId="0" applyFont="1" applyFill="1" applyBorder="1" applyAlignment="1">
      <alignment horizontal="center"/>
    </xf>
    <xf numFmtId="0" fontId="285" fillId="0" borderId="0" xfId="0" applyFont="1"/>
    <xf numFmtId="9" fontId="150" fillId="0" borderId="0" xfId="0" applyNumberFormat="1" applyFont="1"/>
    <xf numFmtId="0" fontId="150" fillId="0" borderId="364" xfId="0" applyFont="1" applyBorder="1" applyAlignment="1">
      <alignment horizontal="left" vertical="top"/>
    </xf>
    <xf numFmtId="166" fontId="21" fillId="0" borderId="356" xfId="0" applyNumberFormat="1" applyFont="1" applyBorder="1" applyAlignment="1">
      <alignment horizontal="right" vertical="top"/>
    </xf>
    <xf numFmtId="166" fontId="21" fillId="205" borderId="356" xfId="0" applyNumberFormat="1" applyFont="1" applyFill="1" applyBorder="1" applyAlignment="1">
      <alignment horizontal="right" vertical="top"/>
    </xf>
    <xf numFmtId="0" fontId="27" fillId="0" borderId="0" xfId="0" applyFont="1" applyAlignment="1">
      <alignment horizontal="left" vertical="top"/>
    </xf>
    <xf numFmtId="0" fontId="150" fillId="0" borderId="0" xfId="0" applyFont="1" applyAlignment="1">
      <alignment vertical="top" wrapText="1"/>
    </xf>
    <xf numFmtId="0" fontId="286" fillId="0" borderId="0" xfId="0" applyFont="1"/>
    <xf numFmtId="0" fontId="262" fillId="204" borderId="365" xfId="0" applyFont="1" applyFill="1" applyBorder="1" applyAlignment="1">
      <alignment horizontal="left" vertical="top"/>
    </xf>
    <xf numFmtId="0" fontId="150" fillId="0" borderId="365" xfId="0" applyFont="1" applyBorder="1" applyAlignment="1">
      <alignment horizontal="left" vertical="top" wrapText="1"/>
    </xf>
    <xf numFmtId="165" fontId="150" fillId="0" borderId="0" xfId="0" applyNumberFormat="1" applyFont="1"/>
    <xf numFmtId="0" fontId="150" fillId="0" borderId="369" xfId="0" applyFont="1" applyBorder="1" applyAlignment="1">
      <alignment horizontal="left" vertical="top" wrapText="1"/>
    </xf>
    <xf numFmtId="0" fontId="150" fillId="0" borderId="0" xfId="0" applyFont="1" applyAlignment="1">
      <alignment horizontal="center" vertical="center" wrapText="1"/>
    </xf>
    <xf numFmtId="0" fontId="262" fillId="205" borderId="356" xfId="0" applyFont="1" applyFill="1" applyBorder="1" applyAlignment="1">
      <alignment horizontal="left" vertical="top"/>
    </xf>
    <xf numFmtId="0" fontId="150" fillId="187" borderId="0" xfId="0" applyFont="1" applyFill="1"/>
    <xf numFmtId="0" fontId="262" fillId="0" borderId="236" xfId="0" applyFont="1" applyBorder="1"/>
    <xf numFmtId="166" fontId="14" fillId="0" borderId="236" xfId="1774" applyNumberFormat="1" applyFont="1" applyBorder="1"/>
    <xf numFmtId="165" fontId="14" fillId="0" borderId="236" xfId="1774" applyNumberFormat="1" applyFont="1" applyBorder="1"/>
    <xf numFmtId="166" fontId="288" fillId="89" borderId="236" xfId="1774" applyNumberFormat="1" applyFont="1" applyFill="1" applyBorder="1"/>
    <xf numFmtId="166" fontId="288" fillId="0" borderId="236" xfId="1774" applyNumberFormat="1" applyFont="1" applyBorder="1"/>
    <xf numFmtId="170" fontId="288" fillId="0" borderId="236" xfId="1774" applyNumberFormat="1" applyFont="1" applyBorder="1"/>
    <xf numFmtId="166" fontId="150" fillId="196" borderId="236" xfId="0" applyNumberFormat="1" applyFont="1" applyFill="1" applyBorder="1"/>
    <xf numFmtId="171" fontId="14" fillId="89" borderId="236" xfId="1774" applyNumberFormat="1" applyFont="1" applyFill="1" applyBorder="1"/>
    <xf numFmtId="166" fontId="14" fillId="196" borderId="236" xfId="0" applyNumberFormat="1" applyFont="1" applyFill="1" applyBorder="1"/>
    <xf numFmtId="0" fontId="150" fillId="0" borderId="0" xfId="0" applyFont="1" applyAlignment="1">
      <alignment horizontal="center" vertical="center"/>
    </xf>
    <xf numFmtId="0" fontId="14" fillId="0" borderId="24" xfId="0" applyFont="1" applyBorder="1"/>
    <xf numFmtId="0" fontId="279" fillId="0" borderId="0" xfId="0" applyFont="1" applyAlignment="1">
      <alignment vertical="center"/>
    </xf>
    <xf numFmtId="0" fontId="14" fillId="0" borderId="24" xfId="1774" applyFont="1" applyBorder="1"/>
    <xf numFmtId="43" fontId="150" fillId="89" borderId="0" xfId="10" applyFont="1" applyFill="1"/>
    <xf numFmtId="0" fontId="14" fillId="207" borderId="24" xfId="0" applyFont="1" applyFill="1" applyBorder="1"/>
    <xf numFmtId="0" fontId="262" fillId="207" borderId="0" xfId="0" applyFont="1" applyFill="1"/>
    <xf numFmtId="0" fontId="150" fillId="207" borderId="24" xfId="0" applyFont="1" applyFill="1" applyBorder="1"/>
    <xf numFmtId="0" fontId="150" fillId="5" borderId="24" xfId="0" applyFont="1" applyFill="1" applyBorder="1"/>
    <xf numFmtId="0" fontId="14" fillId="207" borderId="0" xfId="0" applyFont="1" applyFill="1"/>
    <xf numFmtId="0" fontId="27" fillId="207" borderId="0" xfId="0" applyFont="1" applyFill="1"/>
    <xf numFmtId="0" fontId="150" fillId="0" borderId="24" xfId="0" applyFont="1" applyBorder="1"/>
    <xf numFmtId="3" fontId="150" fillId="0" borderId="24" xfId="0" applyNumberFormat="1" applyFont="1" applyBorder="1"/>
    <xf numFmtId="4" fontId="150" fillId="0" borderId="24" xfId="0" applyNumberFormat="1" applyFont="1" applyBorder="1"/>
    <xf numFmtId="11" fontId="150" fillId="0" borderId="24" xfId="0" applyNumberFormat="1" applyFont="1" applyBorder="1"/>
    <xf numFmtId="0" fontId="0" fillId="89" borderId="0" xfId="1774" applyFont="1" applyFill="1"/>
    <xf numFmtId="0" fontId="289" fillId="0" borderId="0" xfId="0" applyFont="1"/>
    <xf numFmtId="0" fontId="290" fillId="0" borderId="0" xfId="0" applyFont="1"/>
    <xf numFmtId="2" fontId="0" fillId="89" borderId="236" xfId="0" applyNumberFormat="1" applyFill="1" applyBorder="1"/>
    <xf numFmtId="2" fontId="150" fillId="196" borderId="236" xfId="0" applyNumberFormat="1" applyFont="1" applyFill="1" applyBorder="1" applyAlignment="1">
      <alignment horizontal="left"/>
    </xf>
    <xf numFmtId="166" fontId="0" fillId="89" borderId="236" xfId="0" applyNumberFormat="1" applyFill="1" applyBorder="1"/>
    <xf numFmtId="170" fontId="150" fillId="0" borderId="0" xfId="0" applyNumberFormat="1" applyFont="1"/>
    <xf numFmtId="0" fontId="291" fillId="0" borderId="0" xfId="0" applyFont="1"/>
    <xf numFmtId="166" fontId="0" fillId="0" borderId="0" xfId="0" applyNumberFormat="1" applyAlignment="1">
      <alignment horizontal="right"/>
    </xf>
    <xf numFmtId="166" fontId="21" fillId="0" borderId="4" xfId="0" applyNumberFormat="1" applyFont="1" applyBorder="1" applyAlignment="1">
      <alignment vertical="top"/>
    </xf>
    <xf numFmtId="166" fontId="21" fillId="205" borderId="357" xfId="0" applyNumberFormat="1" applyFont="1" applyFill="1" applyBorder="1" applyAlignment="1">
      <alignment horizontal="right" vertical="top"/>
    </xf>
    <xf numFmtId="0" fontId="150" fillId="0" borderId="355" xfId="0" applyFont="1" applyBorder="1" applyAlignment="1">
      <alignment horizontal="left" vertical="top"/>
    </xf>
    <xf numFmtId="0" fontId="167" fillId="204" borderId="366" xfId="0" applyFont="1" applyFill="1" applyBorder="1" applyAlignment="1">
      <alignment horizontal="left" vertical="top"/>
    </xf>
    <xf numFmtId="166" fontId="21" fillId="0" borderId="236" xfId="0" applyNumberFormat="1" applyFont="1" applyBorder="1" applyAlignment="1">
      <alignment vertical="top"/>
    </xf>
    <xf numFmtId="0" fontId="0" fillId="0" borderId="87" xfId="0" applyBorder="1" applyAlignment="1">
      <alignment horizontal="left" vertical="top"/>
    </xf>
    <xf numFmtId="0" fontId="0" fillId="0" borderId="95" xfId="0" applyBorder="1" applyAlignment="1">
      <alignment horizontal="left" vertical="top"/>
    </xf>
    <xf numFmtId="169" fontId="0" fillId="0" borderId="102" xfId="0" applyNumberFormat="1" applyBorder="1" applyAlignment="1">
      <alignment horizontal="right" vertical="top"/>
    </xf>
    <xf numFmtId="168" fontId="0" fillId="0" borderId="102" xfId="0" applyNumberFormat="1" applyBorder="1" applyAlignment="1">
      <alignment horizontal="right" vertical="top"/>
    </xf>
    <xf numFmtId="0" fontId="0" fillId="0" borderId="254" xfId="0" applyBorder="1" applyAlignment="1">
      <alignment horizontal="left" vertical="top"/>
    </xf>
    <xf numFmtId="169" fontId="0" fillId="0" borderId="92" xfId="0" applyNumberFormat="1" applyBorder="1" applyAlignment="1">
      <alignment horizontal="right" vertical="top"/>
    </xf>
    <xf numFmtId="169" fontId="0" fillId="0" borderId="236" xfId="0" applyNumberFormat="1" applyBorder="1" applyAlignment="1">
      <alignment horizontal="right" vertical="top"/>
    </xf>
    <xf numFmtId="0" fontId="0" fillId="0" borderId="236" xfId="0" applyBorder="1" applyAlignment="1">
      <alignment horizontal="right"/>
    </xf>
    <xf numFmtId="0" fontId="14" fillId="0" borderId="96" xfId="0" applyFont="1" applyBorder="1" applyAlignment="1">
      <alignment horizontal="right" vertical="top"/>
    </xf>
    <xf numFmtId="0" fontId="14" fillId="0" borderId="102" xfId="0" applyFont="1" applyBorder="1" applyAlignment="1">
      <alignment horizontal="right" vertical="top"/>
    </xf>
    <xf numFmtId="3" fontId="0" fillId="111" borderId="92" xfId="0" applyNumberFormat="1" applyFill="1" applyBorder="1" applyAlignment="1">
      <alignment horizontal="right" vertical="top"/>
    </xf>
    <xf numFmtId="169" fontId="0" fillId="0" borderId="95" xfId="0" applyNumberFormat="1" applyBorder="1" applyAlignment="1">
      <alignment horizontal="right" vertical="top"/>
    </xf>
    <xf numFmtId="0" fontId="0" fillId="4" borderId="236" xfId="0" applyFill="1" applyBorder="1" applyAlignment="1">
      <alignment vertical="top" wrapText="1"/>
    </xf>
    <xf numFmtId="3" fontId="21" fillId="111" borderId="85" xfId="0" applyNumberFormat="1" applyFont="1" applyFill="1" applyBorder="1" applyAlignment="1">
      <alignment horizontal="right" vertical="top"/>
    </xf>
    <xf numFmtId="3" fontId="21" fillId="0" borderId="85" xfId="0" applyNumberFormat="1" applyFont="1" applyBorder="1" applyAlignment="1">
      <alignment horizontal="right" vertical="top"/>
    </xf>
    <xf numFmtId="168" fontId="21" fillId="0" borderId="85" xfId="0" applyNumberFormat="1" applyFont="1" applyBorder="1" applyAlignment="1">
      <alignment horizontal="right" vertical="top"/>
    </xf>
    <xf numFmtId="1" fontId="21" fillId="111" borderId="85" xfId="0" applyNumberFormat="1" applyFont="1" applyFill="1" applyBorder="1" applyAlignment="1">
      <alignment horizontal="right" vertical="top"/>
    </xf>
    <xf numFmtId="170" fontId="21" fillId="0" borderId="111" xfId="0" applyNumberFormat="1" applyFont="1" applyBorder="1" applyAlignment="1">
      <alignment horizontal="right" vertical="top"/>
    </xf>
    <xf numFmtId="168" fontId="21" fillId="0" borderId="111" xfId="0" applyNumberFormat="1" applyFont="1" applyBorder="1" applyAlignment="1">
      <alignment horizontal="right" vertical="top"/>
    </xf>
    <xf numFmtId="173" fontId="21" fillId="0" borderId="85" xfId="0" applyNumberFormat="1" applyFont="1" applyBorder="1" applyAlignment="1">
      <alignment horizontal="right" vertical="top"/>
    </xf>
    <xf numFmtId="1" fontId="21" fillId="111" borderId="102" xfId="0" applyNumberFormat="1" applyFont="1" applyFill="1" applyBorder="1" applyAlignment="1">
      <alignment horizontal="right" vertical="top"/>
    </xf>
    <xf numFmtId="170" fontId="21" fillId="0" borderId="102" xfId="0" applyNumberFormat="1" applyFont="1" applyBorder="1" applyAlignment="1">
      <alignment horizontal="right" vertical="top"/>
    </xf>
    <xf numFmtId="171" fontId="21" fillId="0" borderId="102" xfId="0" applyNumberFormat="1" applyFont="1" applyBorder="1" applyAlignment="1">
      <alignment horizontal="right" vertical="top"/>
    </xf>
    <xf numFmtId="171" fontId="21" fillId="111" borderId="85" xfId="0" applyNumberFormat="1" applyFont="1" applyFill="1" applyBorder="1" applyAlignment="1">
      <alignment horizontal="right" vertical="top"/>
    </xf>
    <xf numFmtId="171" fontId="21" fillId="0" borderId="85" xfId="0" applyNumberFormat="1" applyFont="1" applyBorder="1" applyAlignment="1">
      <alignment horizontal="right" vertical="top"/>
    </xf>
    <xf numFmtId="2" fontId="21" fillId="111" borderId="85" xfId="0" applyNumberFormat="1" applyFont="1" applyFill="1" applyBorder="1" applyAlignment="1">
      <alignment horizontal="right" vertical="top"/>
    </xf>
    <xf numFmtId="4" fontId="21" fillId="0" borderId="85" xfId="0" applyNumberFormat="1" applyFont="1" applyBorder="1" applyAlignment="1">
      <alignment horizontal="right" vertical="top"/>
    </xf>
    <xf numFmtId="2" fontId="21" fillId="0" borderId="85" xfId="0" applyNumberFormat="1" applyFont="1" applyBorder="1" applyAlignment="1">
      <alignment horizontal="right" vertical="top"/>
    </xf>
    <xf numFmtId="1" fontId="14" fillId="0" borderId="86" xfId="0" applyNumberFormat="1" applyFont="1" applyBorder="1" applyAlignment="1">
      <alignment horizontal="right" vertical="top"/>
    </xf>
    <xf numFmtId="171" fontId="14" fillId="0" borderId="86" xfId="0" applyNumberFormat="1" applyFont="1" applyBorder="1" applyAlignment="1">
      <alignment horizontal="right" vertical="top"/>
    </xf>
    <xf numFmtId="2" fontId="14" fillId="0" borderId="86" xfId="0" applyNumberFormat="1" applyFont="1" applyBorder="1" applyAlignment="1">
      <alignment horizontal="right" vertical="top"/>
    </xf>
    <xf numFmtId="1" fontId="21" fillId="111" borderId="86" xfId="0" applyNumberFormat="1" applyFont="1" applyFill="1" applyBorder="1" applyAlignment="1">
      <alignment horizontal="right" vertical="top"/>
    </xf>
    <xf numFmtId="169" fontId="21" fillId="0" borderId="236" xfId="0" applyNumberFormat="1" applyFont="1" applyBorder="1" applyAlignment="1">
      <alignment horizontal="right" vertical="top"/>
    </xf>
    <xf numFmtId="171" fontId="21" fillId="111" borderId="86" xfId="0" applyNumberFormat="1" applyFont="1" applyFill="1" applyBorder="1" applyAlignment="1">
      <alignment horizontal="right" vertical="top"/>
    </xf>
    <xf numFmtId="2" fontId="21" fillId="111" borderId="86" xfId="0" applyNumberFormat="1" applyFont="1" applyFill="1" applyBorder="1" applyAlignment="1">
      <alignment horizontal="right" vertical="top"/>
    </xf>
    <xf numFmtId="0" fontId="3" fillId="0" borderId="0" xfId="0" applyFont="1" applyAlignment="1">
      <alignment vertical="top" wrapText="1"/>
    </xf>
    <xf numFmtId="0" fontId="32" fillId="38" borderId="4" xfId="21" applyFont="1" applyFill="1" applyBorder="1" applyAlignment="1">
      <alignment horizontal="center" vertical="center"/>
    </xf>
    <xf numFmtId="0" fontId="32" fillId="38" borderId="33" xfId="21" applyFont="1" applyFill="1" applyBorder="1" applyAlignment="1">
      <alignment horizontal="center" vertical="center"/>
    </xf>
    <xf numFmtId="0" fontId="167" fillId="38" borderId="34" xfId="21" applyFont="1" applyFill="1" applyBorder="1" applyAlignment="1">
      <alignment horizontal="center" vertical="center"/>
    </xf>
    <xf numFmtId="9" fontId="269" fillId="0" borderId="236" xfId="0" applyNumberFormat="1" applyFont="1" applyBorder="1"/>
    <xf numFmtId="165" fontId="253" fillId="0" borderId="236" xfId="0" applyNumberFormat="1" applyFont="1" applyBorder="1"/>
    <xf numFmtId="9" fontId="0" fillId="0" borderId="3" xfId="0" applyNumberFormat="1" applyBorder="1"/>
    <xf numFmtId="9" fontId="0" fillId="0" borderId="4" xfId="0" applyNumberFormat="1" applyBorder="1"/>
    <xf numFmtId="17" fontId="0" fillId="0" borderId="117" xfId="0" applyNumberFormat="1" applyBorder="1" applyAlignment="1">
      <alignment horizontal="left" vertical="top"/>
    </xf>
    <xf numFmtId="166" fontId="3" fillId="0" borderId="0" xfId="0" applyNumberFormat="1" applyFont="1"/>
    <xf numFmtId="0" fontId="0" fillId="0" borderId="378" xfId="0" applyBorder="1" applyAlignment="1">
      <alignment horizontal="left" vertical="top"/>
    </xf>
    <xf numFmtId="0" fontId="0" fillId="0" borderId="380" xfId="0" applyBorder="1" applyAlignment="1">
      <alignment horizontal="left" vertical="top"/>
    </xf>
    <xf numFmtId="0" fontId="3" fillId="0" borderId="0" xfId="0" applyFont="1" applyAlignment="1">
      <alignment horizontal="center" vertical="top" wrapText="1"/>
    </xf>
    <xf numFmtId="166" fontId="14" fillId="0" borderId="0" xfId="0" applyNumberFormat="1" applyFont="1" applyAlignment="1">
      <alignment horizontal="right" vertical="top"/>
    </xf>
    <xf numFmtId="166" fontId="14" fillId="0" borderId="0" xfId="0" applyNumberFormat="1" applyFont="1" applyAlignment="1">
      <alignment vertical="top"/>
    </xf>
    <xf numFmtId="165" fontId="14" fillId="0" borderId="0" xfId="0" applyNumberFormat="1" applyFont="1" applyAlignment="1">
      <alignment horizontal="right" vertical="top"/>
    </xf>
    <xf numFmtId="170" fontId="14" fillId="0" borderId="0" xfId="0" applyNumberFormat="1" applyFont="1" applyAlignment="1">
      <alignment horizontal="right" vertical="top"/>
    </xf>
    <xf numFmtId="166" fontId="14" fillId="5" borderId="146" xfId="0" applyNumberFormat="1" applyFont="1" applyFill="1" applyBorder="1" applyAlignment="1">
      <alignment horizontal="right" vertical="top"/>
    </xf>
    <xf numFmtId="0" fontId="3" fillId="112" borderId="117" xfId="0" applyFont="1" applyFill="1" applyBorder="1" applyAlignment="1">
      <alignment vertical="top"/>
    </xf>
    <xf numFmtId="0" fontId="3" fillId="4" borderId="144" xfId="0" applyFont="1" applyFill="1" applyBorder="1" applyAlignment="1">
      <alignment vertical="top" wrapText="1"/>
    </xf>
    <xf numFmtId="166" fontId="21" fillId="111" borderId="146" xfId="0" applyNumberFormat="1" applyFont="1" applyFill="1" applyBorder="1" applyAlignment="1">
      <alignment horizontal="right" vertical="top"/>
    </xf>
    <xf numFmtId="166" fontId="21" fillId="0" borderId="146" xfId="0" applyNumberFormat="1" applyFont="1" applyBorder="1" applyAlignment="1">
      <alignment horizontal="right" vertical="top"/>
    </xf>
    <xf numFmtId="167" fontId="21" fillId="0" borderId="117" xfId="0" applyNumberFormat="1" applyFont="1" applyBorder="1" applyAlignment="1">
      <alignment horizontal="right" vertical="top"/>
    </xf>
    <xf numFmtId="0" fontId="3" fillId="4" borderId="145" xfId="0" applyFont="1" applyFill="1" applyBorder="1" applyAlignment="1">
      <alignment vertical="top" wrapText="1"/>
    </xf>
    <xf numFmtId="4" fontId="3" fillId="5" borderId="0" xfId="0" applyNumberFormat="1" applyFont="1" applyFill="1"/>
    <xf numFmtId="0" fontId="262" fillId="5" borderId="0" xfId="0" applyFont="1" applyFill="1"/>
    <xf numFmtId="2" fontId="262" fillId="5" borderId="0" xfId="0" applyNumberFormat="1" applyFont="1" applyFill="1"/>
    <xf numFmtId="4" fontId="150" fillId="0" borderId="0" xfId="0" applyNumberFormat="1" applyFont="1"/>
    <xf numFmtId="204" fontId="1" fillId="169" borderId="0" xfId="19905" applyNumberFormat="1" applyFont="1" applyFill="1"/>
    <xf numFmtId="0" fontId="14" fillId="168" borderId="0" xfId="19906" applyFont="1" applyFill="1" applyAlignment="1">
      <alignment horizontal="left" vertical="center" wrapText="1"/>
    </xf>
    <xf numFmtId="41" fontId="14" fillId="168" borderId="0" xfId="19907" applyNumberFormat="1" applyFont="1" applyFill="1" applyAlignment="1">
      <alignment horizontal="right"/>
    </xf>
    <xf numFmtId="0" fontId="1" fillId="168" borderId="0" xfId="19908" applyFont="1" applyFill="1"/>
    <xf numFmtId="41" fontId="1" fillId="168" borderId="0" xfId="19909" applyNumberFormat="1" applyFont="1" applyFill="1"/>
    <xf numFmtId="165" fontId="14" fillId="5" borderId="146" xfId="0" applyNumberFormat="1" applyFont="1" applyFill="1" applyBorder="1" applyAlignment="1">
      <alignment horizontal="right" vertical="top"/>
    </xf>
    <xf numFmtId="167" fontId="14" fillId="5" borderId="146" xfId="0" applyNumberFormat="1" applyFont="1" applyFill="1" applyBorder="1" applyAlignment="1">
      <alignment horizontal="right" vertical="top"/>
    </xf>
    <xf numFmtId="0" fontId="3" fillId="5" borderId="0" xfId="0" applyFont="1" applyFill="1" applyAlignment="1">
      <alignment horizontal="left" vertical="top" wrapText="1"/>
    </xf>
    <xf numFmtId="0" fontId="0" fillId="5" borderId="0" xfId="0" applyFill="1" applyAlignment="1">
      <alignment horizontal="left" vertical="top" wrapText="1"/>
    </xf>
    <xf numFmtId="165" fontId="0" fillId="5" borderId="0" xfId="0" applyNumberFormat="1" applyFill="1" applyAlignment="1">
      <alignment horizontal="right" vertical="top" wrapText="1"/>
    </xf>
    <xf numFmtId="9" fontId="0" fillId="0" borderId="0" xfId="1" applyFont="1" applyAlignment="1">
      <alignment horizontal="left" vertical="top" wrapText="1"/>
    </xf>
    <xf numFmtId="9" fontId="0" fillId="0" borderId="0" xfId="1" applyFont="1" applyAlignment="1">
      <alignment horizontal="left"/>
    </xf>
    <xf numFmtId="165" fontId="0" fillId="0" borderId="0" xfId="0" applyNumberFormat="1" applyAlignment="1">
      <alignment horizontal="left" vertical="top" wrapText="1"/>
    </xf>
    <xf numFmtId="165" fontId="10" fillId="0" borderId="0" xfId="0" applyNumberFormat="1" applyFont="1" applyAlignment="1">
      <alignment horizontal="right" vertical="top" wrapText="1"/>
    </xf>
    <xf numFmtId="165" fontId="21" fillId="0" borderId="236" xfId="0" applyNumberFormat="1" applyFont="1" applyBorder="1" applyAlignment="1">
      <alignment horizontal="right" vertical="top" wrapText="1"/>
    </xf>
    <xf numFmtId="247" fontId="0" fillId="0" borderId="0" xfId="0" applyNumberFormat="1" applyAlignment="1">
      <alignment horizontal="right" vertical="top" wrapText="1"/>
    </xf>
    <xf numFmtId="0" fontId="261" fillId="120" borderId="0" xfId="0" applyFont="1" applyFill="1"/>
    <xf numFmtId="0" fontId="14" fillId="0" borderId="0" xfId="0" applyFont="1" applyAlignment="1">
      <alignment horizontal="left" vertical="top"/>
    </xf>
    <xf numFmtId="0" fontId="14" fillId="0" borderId="0" xfId="0" applyFont="1" applyAlignment="1">
      <alignment horizontal="left" vertical="top" wrapText="1"/>
    </xf>
    <xf numFmtId="231" fontId="21" fillId="0" borderId="0" xfId="0" applyNumberFormat="1" applyFont="1" applyAlignment="1">
      <alignment horizontal="left" vertical="top"/>
    </xf>
    <xf numFmtId="0" fontId="294" fillId="0" borderId="0" xfId="0" applyFont="1" applyAlignment="1">
      <alignment horizontal="left" vertical="center" indent="8"/>
    </xf>
    <xf numFmtId="0" fontId="187" fillId="116" borderId="381" xfId="0" applyFont="1" applyFill="1" applyBorder="1" applyAlignment="1">
      <alignment vertical="center"/>
    </xf>
    <xf numFmtId="0" fontId="0" fillId="113" borderId="0" xfId="0" applyFill="1"/>
    <xf numFmtId="0" fontId="220" fillId="113" borderId="0" xfId="0" applyFont="1" applyFill="1"/>
    <xf numFmtId="0" fontId="14" fillId="0" borderId="226" xfId="0" applyFont="1" applyBorder="1"/>
    <xf numFmtId="241" fontId="14" fillId="0" borderId="0" xfId="0" applyNumberFormat="1" applyFont="1" applyAlignment="1">
      <alignment horizontal="right"/>
    </xf>
    <xf numFmtId="231" fontId="14" fillId="0" borderId="0" xfId="0" applyNumberFormat="1" applyFont="1" applyAlignment="1">
      <alignment horizontal="right"/>
    </xf>
    <xf numFmtId="0" fontId="14" fillId="0" borderId="0" xfId="0" applyFont="1" applyAlignment="1">
      <alignment horizontal="right"/>
    </xf>
    <xf numFmtId="43" fontId="14" fillId="0" borderId="0" xfId="0" applyNumberFormat="1" applyFont="1"/>
    <xf numFmtId="0" fontId="21" fillId="11" borderId="85" xfId="0" applyFont="1" applyFill="1" applyBorder="1" applyAlignment="1">
      <alignment horizontal="right" vertical="top"/>
    </xf>
    <xf numFmtId="166" fontId="21" fillId="11" borderId="85" xfId="0" applyNumberFormat="1" applyFont="1" applyFill="1" applyBorder="1" applyAlignment="1">
      <alignment horizontal="right" vertical="top"/>
    </xf>
    <xf numFmtId="0" fontId="21" fillId="11" borderId="86" xfId="0" applyFont="1" applyFill="1" applyBorder="1" applyAlignment="1">
      <alignment horizontal="right" vertical="top"/>
    </xf>
    <xf numFmtId="231" fontId="21" fillId="0" borderId="146" xfId="0" applyNumberFormat="1" applyFont="1" applyBorder="1" applyAlignment="1">
      <alignment horizontal="right" vertical="top"/>
    </xf>
    <xf numFmtId="240" fontId="21" fillId="0" borderId="146" xfId="0" applyNumberFormat="1" applyFont="1" applyBorder="1" applyAlignment="1">
      <alignment horizontal="right"/>
    </xf>
    <xf numFmtId="232" fontId="21" fillId="0" borderId="146" xfId="0" applyNumberFormat="1" applyFont="1" applyBorder="1" applyAlignment="1">
      <alignment horizontal="right"/>
    </xf>
    <xf numFmtId="0" fontId="187" fillId="116" borderId="382" xfId="0" applyFont="1" applyFill="1" applyBorder="1" applyAlignment="1">
      <alignment vertical="center"/>
    </xf>
    <xf numFmtId="0" fontId="254" fillId="0" borderId="0" xfId="0" applyFont="1" applyAlignment="1">
      <alignment horizontal="left" vertical="top" wrapText="1"/>
    </xf>
    <xf numFmtId="0" fontId="254" fillId="0" borderId="0" xfId="0" applyFont="1" applyAlignment="1">
      <alignment horizontal="left" vertical="top"/>
    </xf>
    <xf numFmtId="165" fontId="21" fillId="11" borderId="85" xfId="0" applyNumberFormat="1" applyFont="1" applyFill="1" applyBorder="1" applyAlignment="1">
      <alignment horizontal="right" vertical="top"/>
    </xf>
    <xf numFmtId="170" fontId="21" fillId="11" borderId="85" xfId="0" applyNumberFormat="1" applyFont="1" applyFill="1" applyBorder="1" applyAlignment="1">
      <alignment horizontal="right" vertical="top"/>
    </xf>
    <xf numFmtId="166" fontId="274" fillId="189" borderId="156" xfId="0" applyNumberFormat="1" applyFont="1" applyFill="1" applyBorder="1"/>
    <xf numFmtId="167" fontId="274" fillId="189" borderId="156" xfId="0" applyNumberFormat="1" applyFont="1" applyFill="1" applyBorder="1"/>
    <xf numFmtId="0" fontId="274" fillId="189" borderId="343" xfId="0" applyFont="1" applyFill="1" applyBorder="1"/>
    <xf numFmtId="166" fontId="274" fillId="189" borderId="337" xfId="0" applyNumberFormat="1" applyFont="1" applyFill="1" applyBorder="1"/>
    <xf numFmtId="167" fontId="274" fillId="189" borderId="337" xfId="0" applyNumberFormat="1" applyFont="1" applyFill="1" applyBorder="1"/>
    <xf numFmtId="0" fontId="274" fillId="189" borderId="345" xfId="0" applyFont="1" applyFill="1" applyBorder="1"/>
    <xf numFmtId="166" fontId="274" fillId="0" borderId="337" xfId="0" applyNumberFormat="1" applyFont="1" applyBorder="1"/>
    <xf numFmtId="165" fontId="21" fillId="0" borderId="85" xfId="0" applyNumberFormat="1" applyFont="1" applyBorder="1" applyAlignment="1">
      <alignment horizontal="right" vertical="top"/>
    </xf>
    <xf numFmtId="3" fontId="21" fillId="111" borderId="92" xfId="0" applyNumberFormat="1" applyFont="1" applyFill="1" applyBorder="1" applyAlignment="1">
      <alignment horizontal="right" vertical="top"/>
    </xf>
    <xf numFmtId="3" fontId="21" fillId="0" borderId="236" xfId="0" applyNumberFormat="1" applyFont="1" applyBorder="1" applyAlignment="1">
      <alignment horizontal="right" vertical="top"/>
    </xf>
    <xf numFmtId="3" fontId="21" fillId="0" borderId="92" xfId="0" applyNumberFormat="1" applyFont="1" applyBorder="1" applyAlignment="1">
      <alignment horizontal="right" vertical="top"/>
    </xf>
    <xf numFmtId="0" fontId="21" fillId="11" borderId="116" xfId="0" applyFont="1" applyFill="1" applyBorder="1" applyAlignment="1">
      <alignment vertical="center"/>
    </xf>
    <xf numFmtId="0" fontId="21" fillId="0" borderId="0" xfId="0" applyFont="1" applyAlignment="1">
      <alignment horizontal="left" vertical="top" wrapText="1"/>
    </xf>
    <xf numFmtId="169" fontId="0" fillId="0" borderId="0" xfId="0" applyNumberFormat="1" applyAlignment="1">
      <alignment horizontal="right" vertical="top"/>
    </xf>
    <xf numFmtId="0" fontId="14" fillId="0" borderId="0" xfId="0" applyFont="1" applyAlignment="1">
      <alignment horizontal="right" vertical="top"/>
    </xf>
    <xf numFmtId="3" fontId="21" fillId="111" borderId="236" xfId="0" applyNumberFormat="1" applyFont="1" applyFill="1" applyBorder="1" applyAlignment="1">
      <alignment horizontal="right" vertical="top"/>
    </xf>
    <xf numFmtId="0" fontId="0" fillId="0" borderId="92" xfId="0" applyBorder="1" applyAlignment="1">
      <alignment horizontal="left" vertical="top"/>
    </xf>
    <xf numFmtId="0" fontId="167" fillId="0" borderId="0" xfId="0" applyFont="1" applyAlignment="1">
      <alignment horizontal="left" vertical="top"/>
    </xf>
    <xf numFmtId="0" fontId="0" fillId="0" borderId="82" xfId="0" applyBorder="1" applyAlignment="1">
      <alignment horizontal="left" vertical="top"/>
    </xf>
    <xf numFmtId="0" fontId="14" fillId="0" borderId="236" xfId="0" applyFont="1" applyBorder="1" applyAlignment="1">
      <alignment horizontal="right" vertical="top"/>
    </xf>
    <xf numFmtId="0" fontId="3" fillId="0" borderId="0" xfId="0" applyFont="1" applyAlignment="1">
      <alignment vertical="center" wrapText="1"/>
    </xf>
    <xf numFmtId="168" fontId="0" fillId="0" borderId="0" xfId="0" applyNumberFormat="1" applyAlignment="1">
      <alignment horizontal="right" vertical="top"/>
    </xf>
    <xf numFmtId="0" fontId="10" fillId="4" borderId="236" xfId="0" applyFont="1" applyFill="1" applyBorder="1" applyAlignment="1">
      <alignment vertical="top" wrapText="1"/>
    </xf>
    <xf numFmtId="0" fontId="0" fillId="0" borderId="387" xfId="0" applyBorder="1" applyAlignment="1">
      <alignment horizontal="left" vertical="top"/>
    </xf>
    <xf numFmtId="169" fontId="0" fillId="0" borderId="91" xfId="0" applyNumberFormat="1" applyBorder="1" applyAlignment="1">
      <alignment horizontal="right" vertical="top"/>
    </xf>
    <xf numFmtId="0" fontId="0" fillId="0" borderId="83" xfId="0" applyBorder="1" applyAlignment="1">
      <alignment horizontal="left" vertical="top"/>
    </xf>
    <xf numFmtId="3" fontId="0" fillId="111" borderId="91" xfId="0" applyNumberFormat="1" applyFill="1" applyBorder="1" applyAlignment="1">
      <alignment horizontal="right" vertical="top"/>
    </xf>
    <xf numFmtId="3" fontId="0" fillId="0" borderId="91" xfId="0" applyNumberFormat="1" applyBorder="1" applyAlignment="1">
      <alignment horizontal="right" vertical="top"/>
    </xf>
    <xf numFmtId="3" fontId="0" fillId="111" borderId="236" xfId="0" applyNumberFormat="1" applyFill="1" applyBorder="1" applyAlignment="1">
      <alignment horizontal="right" vertical="top"/>
    </xf>
    <xf numFmtId="3" fontId="0" fillId="0" borderId="236" xfId="0" applyNumberFormat="1" applyBorder="1" applyAlignment="1">
      <alignment horizontal="right" vertical="top"/>
    </xf>
    <xf numFmtId="248" fontId="0" fillId="11" borderId="0" xfId="1" applyNumberFormat="1" applyFont="1" applyFill="1" applyBorder="1" applyAlignment="1">
      <alignment wrapText="1"/>
    </xf>
    <xf numFmtId="168" fontId="0" fillId="110" borderId="236" xfId="0" applyNumberFormat="1" applyFill="1" applyBorder="1" applyAlignment="1">
      <alignment horizontal="right" vertical="top" wrapText="1"/>
    </xf>
    <xf numFmtId="167" fontId="0" fillId="110" borderId="236" xfId="0" applyNumberFormat="1" applyFill="1" applyBorder="1" applyAlignment="1">
      <alignment horizontal="right" vertical="top" wrapText="1"/>
    </xf>
    <xf numFmtId="165" fontId="21" fillId="110" borderId="236" xfId="0" applyNumberFormat="1" applyFont="1" applyFill="1" applyBorder="1" applyAlignment="1">
      <alignment horizontal="right" vertical="top" wrapText="1"/>
    </xf>
    <xf numFmtId="9" fontId="0" fillId="110" borderId="236" xfId="1" applyFont="1" applyFill="1" applyBorder="1" applyAlignment="1">
      <alignment horizontal="right" vertical="top" wrapText="1"/>
    </xf>
    <xf numFmtId="9" fontId="0" fillId="0" borderId="236" xfId="1" applyFont="1" applyBorder="1" applyAlignment="1">
      <alignment horizontal="right" vertical="top" wrapText="1"/>
    </xf>
    <xf numFmtId="164" fontId="0" fillId="110" borderId="236" xfId="1" applyNumberFormat="1" applyFont="1" applyFill="1" applyBorder="1" applyAlignment="1">
      <alignment horizontal="right" vertical="top" wrapText="1"/>
    </xf>
    <xf numFmtId="0" fontId="3" fillId="4" borderId="236" xfId="0" applyFont="1" applyFill="1" applyBorder="1" applyAlignment="1">
      <alignment horizontal="right" vertical="top" wrapText="1"/>
    </xf>
    <xf numFmtId="168" fontId="21" fillId="0" borderId="236" xfId="0" applyNumberFormat="1" applyFont="1" applyBorder="1" applyAlignment="1">
      <alignment horizontal="right" vertical="top" wrapText="1"/>
    </xf>
    <xf numFmtId="0" fontId="0" fillId="0" borderId="92" xfId="0" applyBorder="1" applyAlignment="1">
      <alignment vertical="top"/>
    </xf>
    <xf numFmtId="0" fontId="0" fillId="0" borderId="67" xfId="0" applyBorder="1" applyAlignment="1">
      <alignment vertical="top"/>
    </xf>
    <xf numFmtId="0" fontId="0" fillId="0" borderId="389" xfId="0" applyBorder="1" applyAlignment="1">
      <alignment vertical="top"/>
    </xf>
    <xf numFmtId="0" fontId="3" fillId="0" borderId="390" xfId="0" applyFont="1" applyBorder="1" applyAlignment="1">
      <alignment horizontal="left" vertical="top" wrapText="1"/>
    </xf>
    <xf numFmtId="0" fontId="0" fillId="0" borderId="350" xfId="0" applyBorder="1" applyAlignment="1">
      <alignment horizontal="left" vertical="top" wrapText="1"/>
    </xf>
    <xf numFmtId="0" fontId="0" fillId="2" borderId="400" xfId="0" applyFill="1" applyBorder="1" applyAlignment="1" applyProtection="1">
      <alignment horizontal="right" vertical="top"/>
      <protection locked="0"/>
    </xf>
    <xf numFmtId="0" fontId="187" fillId="0" borderId="0" xfId="0" applyFont="1" applyAlignment="1">
      <alignment vertical="center" wrapText="1"/>
    </xf>
    <xf numFmtId="0" fontId="187" fillId="0" borderId="0" xfId="0" applyFont="1" applyAlignment="1">
      <alignment horizontal="right" vertical="center" wrapText="1"/>
    </xf>
    <xf numFmtId="0" fontId="3" fillId="0" borderId="21" xfId="0" applyFont="1" applyBorder="1" applyAlignment="1">
      <alignment horizontal="left" vertical="top"/>
    </xf>
    <xf numFmtId="0" fontId="0" fillId="0" borderId="21" xfId="0" applyBorder="1" applyAlignment="1">
      <alignment vertical="center"/>
    </xf>
    <xf numFmtId="10" fontId="0" fillId="0" borderId="21" xfId="0" applyNumberFormat="1" applyBorder="1" applyAlignment="1">
      <alignment horizontal="right" vertical="top" wrapText="1"/>
    </xf>
    <xf numFmtId="0" fontId="0" fillId="0" borderId="21" xfId="0" applyBorder="1" applyAlignment="1">
      <alignment horizontal="right" vertical="top" wrapText="1"/>
    </xf>
    <xf numFmtId="9" fontId="0" fillId="0" borderId="21" xfId="0" applyNumberFormat="1" applyBorder="1" applyAlignment="1">
      <alignment horizontal="right" vertical="top" wrapText="1"/>
    </xf>
    <xf numFmtId="0" fontId="0" fillId="0" borderId="21" xfId="0" applyBorder="1" applyAlignment="1">
      <alignment horizontal="left" vertical="top" wrapText="1"/>
    </xf>
    <xf numFmtId="0" fontId="0" fillId="0" borderId="21" xfId="0" applyBorder="1" applyAlignment="1">
      <alignment vertical="top"/>
    </xf>
    <xf numFmtId="171" fontId="27" fillId="0" borderId="21" xfId="0" applyNumberFormat="1" applyFont="1" applyBorder="1" applyAlignment="1">
      <alignment horizontal="right" vertical="top"/>
    </xf>
    <xf numFmtId="9" fontId="0" fillId="0" borderId="21" xfId="1" applyFont="1" applyFill="1" applyBorder="1"/>
    <xf numFmtId="0" fontId="16" fillId="0" borderId="0" xfId="0" applyFont="1" applyAlignment="1">
      <alignment horizontal="left" vertical="top"/>
    </xf>
    <xf numFmtId="0" fontId="5" fillId="108" borderId="0" xfId="0" applyFont="1" applyFill="1"/>
    <xf numFmtId="0" fontId="187" fillId="116" borderId="402" xfId="0" applyFont="1" applyFill="1" applyBorder="1" applyAlignment="1">
      <alignment vertical="center" wrapText="1"/>
    </xf>
    <xf numFmtId="0" fontId="187" fillId="116" borderId="402" xfId="0" applyFont="1" applyFill="1" applyBorder="1" applyAlignment="1">
      <alignment horizontal="right" vertical="center" wrapText="1"/>
    </xf>
    <xf numFmtId="0" fontId="187" fillId="116" borderId="403" xfId="0" applyFont="1" applyFill="1" applyBorder="1" applyAlignment="1">
      <alignment horizontal="right" vertical="center" wrapText="1"/>
    </xf>
    <xf numFmtId="0" fontId="299" fillId="0" borderId="404" xfId="0" applyFont="1" applyBorder="1" applyAlignment="1">
      <alignment vertical="center" wrapText="1"/>
    </xf>
    <xf numFmtId="0" fontId="300" fillId="0" borderId="405" xfId="0" applyFont="1" applyBorder="1" applyAlignment="1">
      <alignment horizontal="right" vertical="center" wrapText="1"/>
    </xf>
    <xf numFmtId="3" fontId="300" fillId="0" borderId="405" xfId="0" applyNumberFormat="1" applyFont="1" applyBorder="1" applyAlignment="1">
      <alignment horizontal="right" vertical="center" wrapText="1"/>
    </xf>
    <xf numFmtId="0" fontId="300" fillId="0" borderId="406" xfId="0" applyFont="1" applyBorder="1" applyAlignment="1">
      <alignment horizontal="right" vertical="center" wrapText="1"/>
    </xf>
    <xf numFmtId="0" fontId="186" fillId="0" borderId="405" xfId="0" applyFont="1" applyBorder="1" applyAlignment="1">
      <alignment horizontal="right" vertical="center" wrapText="1"/>
    </xf>
    <xf numFmtId="3" fontId="186" fillId="0" borderId="405" xfId="0" applyNumberFormat="1" applyFont="1" applyBorder="1" applyAlignment="1">
      <alignment horizontal="right" vertical="center" wrapText="1"/>
    </xf>
    <xf numFmtId="0" fontId="186" fillId="0" borderId="406" xfId="0" applyFont="1" applyBorder="1" applyAlignment="1">
      <alignment horizontal="right" vertical="center" wrapText="1"/>
    </xf>
    <xf numFmtId="0" fontId="299" fillId="0" borderId="407" xfId="0" applyFont="1" applyBorder="1" applyAlignment="1">
      <alignment vertical="center" wrapText="1"/>
    </xf>
    <xf numFmtId="0" fontId="300" fillId="0" borderId="407" xfId="0" applyFont="1" applyBorder="1" applyAlignment="1">
      <alignment horizontal="right" vertical="center" wrapText="1"/>
    </xf>
    <xf numFmtId="3" fontId="300" fillId="0" borderId="407" xfId="0" applyNumberFormat="1" applyFont="1" applyBorder="1" applyAlignment="1">
      <alignment horizontal="right" vertical="center" wrapText="1"/>
    </xf>
    <xf numFmtId="0" fontId="300" fillId="0" borderId="408" xfId="0" applyFont="1" applyBorder="1" applyAlignment="1">
      <alignment horizontal="right" vertical="center" wrapText="1"/>
    </xf>
    <xf numFmtId="0" fontId="186" fillId="0" borderId="407" xfId="0" applyFont="1" applyBorder="1" applyAlignment="1">
      <alignment horizontal="right" vertical="center" wrapText="1"/>
    </xf>
    <xf numFmtId="3" fontId="186" fillId="0" borderId="407" xfId="0" applyNumberFormat="1" applyFont="1" applyBorder="1" applyAlignment="1">
      <alignment horizontal="right" vertical="center" wrapText="1"/>
    </xf>
    <xf numFmtId="3" fontId="186" fillId="0" borderId="408" xfId="0" applyNumberFormat="1" applyFont="1" applyBorder="1" applyAlignment="1">
      <alignment horizontal="right" vertical="center" wrapText="1"/>
    </xf>
    <xf numFmtId="3" fontId="300" fillId="0" borderId="406" xfId="0" applyNumberFormat="1" applyFont="1" applyBorder="1" applyAlignment="1">
      <alignment horizontal="right" vertical="center" wrapText="1"/>
    </xf>
    <xf numFmtId="3" fontId="186" fillId="0" borderId="406" xfId="0" applyNumberFormat="1" applyFont="1" applyBorder="1" applyAlignment="1">
      <alignment horizontal="right" vertical="center" wrapText="1"/>
    </xf>
    <xf numFmtId="3" fontId="300" fillId="0" borderId="408" xfId="0" applyNumberFormat="1" applyFont="1" applyBorder="1" applyAlignment="1">
      <alignment horizontal="right" vertical="center" wrapText="1"/>
    </xf>
    <xf numFmtId="0" fontId="301" fillId="108" borderId="407" xfId="0" applyFont="1" applyFill="1" applyBorder="1" applyAlignment="1">
      <alignment vertical="center" wrapText="1"/>
    </xf>
    <xf numFmtId="0" fontId="186" fillId="108" borderId="407" xfId="0" applyFont="1" applyFill="1" applyBorder="1" applyAlignment="1">
      <alignment horizontal="right" vertical="center" wrapText="1"/>
    </xf>
    <xf numFmtId="3" fontId="186" fillId="108" borderId="407" xfId="0" applyNumberFormat="1" applyFont="1" applyFill="1" applyBorder="1" applyAlignment="1">
      <alignment horizontal="right" vertical="center" wrapText="1"/>
    </xf>
    <xf numFmtId="0" fontId="186" fillId="108" borderId="408" xfId="0" applyFont="1" applyFill="1" applyBorder="1" applyAlignment="1">
      <alignment horizontal="right" vertical="center" wrapText="1"/>
    </xf>
    <xf numFmtId="0" fontId="294" fillId="108" borderId="407" xfId="0" applyFont="1" applyFill="1" applyBorder="1" applyAlignment="1">
      <alignment vertical="center" wrapText="1"/>
    </xf>
    <xf numFmtId="4" fontId="186" fillId="108" borderId="407" xfId="0" applyNumberFormat="1" applyFont="1" applyFill="1" applyBorder="1" applyAlignment="1">
      <alignment horizontal="right" vertical="center" wrapText="1"/>
    </xf>
    <xf numFmtId="3" fontId="186" fillId="108" borderId="408" xfId="0" applyNumberFormat="1" applyFont="1" applyFill="1" applyBorder="1" applyAlignment="1">
      <alignment horizontal="right" vertical="center" wrapText="1"/>
    </xf>
    <xf numFmtId="0" fontId="186" fillId="0" borderId="404" xfId="0" applyFont="1" applyBorder="1" applyAlignment="1">
      <alignment vertical="center" wrapText="1"/>
    </xf>
    <xf numFmtId="4" fontId="186" fillId="0" borderId="405" xfId="0" applyNumberFormat="1" applyFont="1" applyBorder="1" applyAlignment="1">
      <alignment horizontal="right" vertical="center" wrapText="1"/>
    </xf>
    <xf numFmtId="0" fontId="186" fillId="0" borderId="407" xfId="0" applyFont="1" applyBorder="1" applyAlignment="1">
      <alignment vertical="center" wrapText="1"/>
    </xf>
    <xf numFmtId="4" fontId="186" fillId="0" borderId="407" xfId="0" applyNumberFormat="1" applyFont="1" applyBorder="1" applyAlignment="1">
      <alignment horizontal="right" vertical="center" wrapText="1"/>
    </xf>
    <xf numFmtId="0" fontId="186" fillId="0" borderId="408" xfId="0" applyFont="1" applyBorder="1" applyAlignment="1">
      <alignment horizontal="right" vertical="center" wrapText="1"/>
    </xf>
    <xf numFmtId="0" fontId="295" fillId="0" borderId="405" xfId="0" applyFont="1" applyBorder="1" applyAlignment="1">
      <alignment horizontal="right" vertical="center" wrapText="1"/>
    </xf>
    <xf numFmtId="4" fontId="295" fillId="0" borderId="405" xfId="0" applyNumberFormat="1" applyFont="1" applyBorder="1" applyAlignment="1">
      <alignment horizontal="right" vertical="center" wrapText="1"/>
    </xf>
    <xf numFmtId="0" fontId="295" fillId="0" borderId="406" xfId="0" applyFont="1" applyBorder="1" applyAlignment="1">
      <alignment horizontal="right" vertical="center" wrapText="1"/>
    </xf>
    <xf numFmtId="0" fontId="186" fillId="0" borderId="0" xfId="0" applyFont="1" applyAlignment="1">
      <alignment vertical="center"/>
    </xf>
    <xf numFmtId="0" fontId="189" fillId="0" borderId="0" xfId="0" applyFont="1" applyAlignment="1">
      <alignment horizontal="left" vertical="center"/>
    </xf>
    <xf numFmtId="4" fontId="0" fillId="0" borderId="0" xfId="0" applyNumberFormat="1"/>
    <xf numFmtId="0" fontId="131" fillId="0" borderId="0" xfId="0" applyFont="1" applyAlignment="1">
      <alignment horizontal="left" vertical="center"/>
    </xf>
    <xf numFmtId="0" fontId="187" fillId="116" borderId="409" xfId="0" applyFont="1" applyFill="1" applyBorder="1" applyAlignment="1">
      <alignment vertical="center" wrapText="1"/>
    </xf>
    <xf numFmtId="0" fontId="187" fillId="116" borderId="409" xfId="0" applyFont="1" applyFill="1" applyBorder="1" applyAlignment="1">
      <alignment horizontal="right" vertical="center" wrapText="1"/>
    </xf>
    <xf numFmtId="0" fontId="187" fillId="116" borderId="410" xfId="0" applyFont="1" applyFill="1" applyBorder="1" applyAlignment="1">
      <alignment horizontal="right" vertical="center" wrapText="1"/>
    </xf>
    <xf numFmtId="4" fontId="300" fillId="0" borderId="405" xfId="0" applyNumberFormat="1" applyFont="1" applyBorder="1" applyAlignment="1">
      <alignment horizontal="right" vertical="center" wrapText="1"/>
    </xf>
    <xf numFmtId="0" fontId="300" fillId="0" borderId="411" xfId="0" applyFont="1" applyBorder="1" applyAlignment="1">
      <alignment horizontal="right" vertical="center" wrapText="1"/>
    </xf>
    <xf numFmtId="0" fontId="294" fillId="108" borderId="405" xfId="0" applyFont="1" applyFill="1" applyBorder="1" applyAlignment="1">
      <alignment vertical="center" wrapText="1"/>
    </xf>
    <xf numFmtId="4" fontId="186" fillId="108" borderId="405" xfId="0" applyNumberFormat="1" applyFont="1" applyFill="1" applyBorder="1" applyAlignment="1">
      <alignment horizontal="right" vertical="center" wrapText="1"/>
    </xf>
    <xf numFmtId="0" fontId="186" fillId="108" borderId="405" xfId="0" applyFont="1" applyFill="1" applyBorder="1" applyAlignment="1">
      <alignment horizontal="right" vertical="center" wrapText="1"/>
    </xf>
    <xf numFmtId="0" fontId="186" fillId="108" borderId="411" xfId="0" applyFont="1" applyFill="1" applyBorder="1" applyAlignment="1">
      <alignment horizontal="right" vertical="center" wrapText="1"/>
    </xf>
    <xf numFmtId="0" fontId="186" fillId="0" borderId="405" xfId="0" applyFont="1" applyBorder="1" applyAlignment="1">
      <alignment vertical="center" wrapText="1"/>
    </xf>
    <xf numFmtId="0" fontId="186" fillId="0" borderId="411" xfId="0" applyFont="1" applyBorder="1" applyAlignment="1">
      <alignment horizontal="right" vertical="center" wrapText="1"/>
    </xf>
    <xf numFmtId="0" fontId="187" fillId="211" borderId="402" xfId="0" applyFont="1" applyFill="1" applyBorder="1" applyAlignment="1">
      <alignment horizontal="right" vertical="center" wrapText="1"/>
    </xf>
    <xf numFmtId="0" fontId="300" fillId="0" borderId="407" xfId="0" applyFont="1" applyBorder="1" applyAlignment="1">
      <alignment vertical="center" wrapText="1"/>
    </xf>
    <xf numFmtId="0" fontId="300" fillId="210" borderId="407" xfId="0" applyFont="1" applyFill="1" applyBorder="1" applyAlignment="1">
      <alignment horizontal="right" vertical="center" wrapText="1"/>
    </xf>
    <xf numFmtId="0" fontId="186" fillId="108" borderId="407" xfId="0" applyFont="1" applyFill="1" applyBorder="1" applyAlignment="1">
      <alignment vertical="center" wrapText="1"/>
    </xf>
    <xf numFmtId="0" fontId="295" fillId="108" borderId="407" xfId="0" applyFont="1" applyFill="1" applyBorder="1" applyAlignment="1">
      <alignment horizontal="right" vertical="center" wrapText="1"/>
    </xf>
    <xf numFmtId="0" fontId="295" fillId="212" borderId="407" xfId="0" applyFont="1" applyFill="1" applyBorder="1" applyAlignment="1">
      <alignment horizontal="right" vertical="center" wrapText="1"/>
    </xf>
    <xf numFmtId="0" fontId="186" fillId="212" borderId="407" xfId="0" applyFont="1" applyFill="1" applyBorder="1" applyAlignment="1">
      <alignment horizontal="right" vertical="center" wrapText="1"/>
    </xf>
    <xf numFmtId="0" fontId="186" fillId="212" borderId="408" xfId="0" applyFont="1" applyFill="1" applyBorder="1" applyAlignment="1">
      <alignment horizontal="right" vertical="center" wrapText="1"/>
    </xf>
    <xf numFmtId="0" fontId="295" fillId="210" borderId="407" xfId="0" applyFont="1" applyFill="1" applyBorder="1" applyAlignment="1">
      <alignment horizontal="right" vertical="center" wrapText="1"/>
    </xf>
    <xf numFmtId="0" fontId="186" fillId="0" borderId="0" xfId="0" applyFont="1" applyAlignment="1">
      <alignment horizontal="right" vertical="center" wrapText="1"/>
    </xf>
    <xf numFmtId="0" fontId="187" fillId="116" borderId="403" xfId="0" applyFont="1" applyFill="1" applyBorder="1" applyAlignment="1">
      <alignment vertical="center" wrapText="1"/>
    </xf>
    <xf numFmtId="0" fontId="300" fillId="0" borderId="408" xfId="0" applyFont="1" applyBorder="1" applyAlignment="1">
      <alignment vertical="center" wrapText="1"/>
    </xf>
    <xf numFmtId="0" fontId="300" fillId="0" borderId="0" xfId="0" applyFont="1" applyAlignment="1">
      <alignment vertical="center" wrapText="1"/>
    </xf>
    <xf numFmtId="0" fontId="302" fillId="116" borderId="402" xfId="0" applyFont="1" applyFill="1" applyBorder="1" applyAlignment="1">
      <alignment vertical="center" wrapText="1"/>
    </xf>
    <xf numFmtId="0" fontId="186" fillId="212" borderId="407" xfId="0" applyFont="1" applyFill="1" applyBorder="1" applyAlignment="1">
      <alignment vertical="center" wrapText="1"/>
    </xf>
    <xf numFmtId="0" fontId="304" fillId="210" borderId="407" xfId="0" applyFont="1" applyFill="1" applyBorder="1" applyAlignment="1">
      <alignment horizontal="left" vertical="center" wrapText="1"/>
    </xf>
    <xf numFmtId="0" fontId="186" fillId="0" borderId="0" xfId="0" applyFont="1" applyAlignment="1">
      <alignment vertical="center" wrapText="1"/>
    </xf>
    <xf numFmtId="0" fontId="186" fillId="108" borderId="408" xfId="0" applyFont="1" applyFill="1" applyBorder="1" applyAlignment="1">
      <alignment vertical="center" wrapText="1"/>
    </xf>
    <xf numFmtId="0" fontId="294" fillId="0" borderId="0" xfId="0" applyFont="1" applyAlignment="1">
      <alignment vertical="center" wrapText="1"/>
    </xf>
    <xf numFmtId="164" fontId="186" fillId="212" borderId="0" xfId="1" applyNumberFormat="1" applyFont="1" applyFill="1" applyAlignment="1">
      <alignment horizontal="center" vertical="center" wrapText="1"/>
    </xf>
    <xf numFmtId="0" fontId="186" fillId="0" borderId="408" xfId="0" applyFont="1" applyBorder="1" applyAlignment="1">
      <alignment vertical="center" wrapText="1"/>
    </xf>
    <xf numFmtId="166" fontId="14" fillId="111" borderId="85" xfId="0" applyNumberFormat="1" applyFont="1" applyFill="1" applyBorder="1" applyAlignment="1">
      <alignment horizontal="right" vertical="top"/>
    </xf>
    <xf numFmtId="166" fontId="14" fillId="0" borderId="85" xfId="0" applyNumberFormat="1" applyFont="1" applyBorder="1" applyAlignment="1">
      <alignment horizontal="right" vertical="top"/>
    </xf>
    <xf numFmtId="170" fontId="14" fillId="0" borderId="85" xfId="0" applyNumberFormat="1" applyFont="1" applyBorder="1" applyAlignment="1">
      <alignment horizontal="right" vertical="top"/>
    </xf>
    <xf numFmtId="0" fontId="14" fillId="2" borderId="113" xfId="0" applyFont="1" applyFill="1" applyBorder="1" applyAlignment="1" applyProtection="1">
      <alignment horizontal="right" vertical="top"/>
      <protection locked="0"/>
    </xf>
    <xf numFmtId="0" fontId="0" fillId="2" borderId="113" xfId="0" applyFill="1" applyBorder="1" applyAlignment="1" applyProtection="1">
      <alignment horizontal="right" vertical="top"/>
      <protection locked="0"/>
    </xf>
    <xf numFmtId="0" fontId="0" fillId="2" borderId="414" xfId="0" applyFill="1" applyBorder="1" applyAlignment="1" applyProtection="1">
      <alignment horizontal="right" vertical="top"/>
      <protection locked="0"/>
    </xf>
    <xf numFmtId="0" fontId="249" fillId="0" borderId="0" xfId="0" applyFont="1"/>
    <xf numFmtId="170" fontId="21" fillId="110" borderId="236" xfId="0" applyNumberFormat="1" applyFont="1" applyFill="1" applyBorder="1" applyAlignment="1">
      <alignment horizontal="right" vertical="top" wrapText="1"/>
    </xf>
    <xf numFmtId="250" fontId="14" fillId="89" borderId="236" xfId="1774" applyNumberFormat="1" applyFont="1" applyFill="1" applyBorder="1"/>
    <xf numFmtId="250" fontId="14" fillId="0" borderId="236" xfId="1774" applyNumberFormat="1" applyFont="1" applyBorder="1"/>
    <xf numFmtId="2" fontId="21" fillId="2" borderId="236" xfId="0" applyNumberFormat="1" applyFont="1" applyFill="1" applyBorder="1" applyAlignment="1">
      <alignment horizontal="right" vertical="top" wrapText="1"/>
    </xf>
    <xf numFmtId="166" fontId="21" fillId="2" borderId="236" xfId="0" applyNumberFormat="1" applyFont="1" applyFill="1" applyBorder="1" applyAlignment="1">
      <alignment horizontal="right" vertical="top" wrapText="1"/>
    </xf>
    <xf numFmtId="170" fontId="21" fillId="2" borderId="236" xfId="0" applyNumberFormat="1" applyFont="1" applyFill="1" applyBorder="1" applyAlignment="1">
      <alignment horizontal="right" vertical="top" wrapText="1"/>
    </xf>
    <xf numFmtId="165" fontId="21" fillId="2" borderId="236" xfId="0" applyNumberFormat="1" applyFont="1" applyFill="1" applyBorder="1" applyAlignment="1">
      <alignment horizontal="right" vertical="top" wrapText="1"/>
    </xf>
    <xf numFmtId="0" fontId="121" fillId="0" borderId="0" xfId="0" applyFont="1" applyAlignment="1">
      <alignment horizontal="left" vertical="top"/>
    </xf>
    <xf numFmtId="0" fontId="167" fillId="0" borderId="236" xfId="0" applyFont="1" applyBorder="1" applyAlignment="1">
      <alignment horizontal="right" vertical="center"/>
    </xf>
    <xf numFmtId="0" fontId="167" fillId="11" borderId="236" xfId="0" applyFont="1" applyFill="1" applyBorder="1" applyAlignment="1">
      <alignment horizontal="right"/>
    </xf>
    <xf numFmtId="2" fontId="0" fillId="111" borderId="236" xfId="0" applyNumberFormat="1" applyFill="1" applyBorder="1" applyAlignment="1">
      <alignment horizontal="right" vertical="top"/>
    </xf>
    <xf numFmtId="0" fontId="0" fillId="110" borderId="236" xfId="0" applyFill="1" applyBorder="1" applyAlignment="1">
      <alignment horizontal="right" vertical="top"/>
    </xf>
    <xf numFmtId="0" fontId="167" fillId="0" borderId="236" xfId="0" applyFont="1" applyBorder="1" applyAlignment="1">
      <alignment horizontal="right"/>
    </xf>
    <xf numFmtId="0" fontId="3" fillId="0" borderId="0" xfId="0" applyFont="1" applyAlignment="1">
      <alignment horizontal="right" vertical="center"/>
    </xf>
    <xf numFmtId="0" fontId="120" fillId="9" borderId="236" xfId="0" applyFont="1" applyFill="1" applyBorder="1" applyAlignment="1">
      <alignment vertical="top"/>
    </xf>
    <xf numFmtId="0" fontId="120" fillId="0" borderId="0" xfId="0" applyFont="1" applyAlignment="1">
      <alignment vertical="top"/>
    </xf>
    <xf numFmtId="2" fontId="14" fillId="111" borderId="236" xfId="0" applyNumberFormat="1" applyFont="1" applyFill="1" applyBorder="1" applyAlignment="1">
      <alignment horizontal="right" vertical="top"/>
    </xf>
    <xf numFmtId="2" fontId="27" fillId="0" borderId="0" xfId="0" applyNumberFormat="1" applyFont="1" applyAlignment="1">
      <alignment horizontal="right" vertical="top"/>
    </xf>
    <xf numFmtId="0" fontId="120" fillId="0" borderId="0" xfId="0" applyFont="1" applyAlignment="1">
      <alignment horizontal="center"/>
    </xf>
    <xf numFmtId="0" fontId="121" fillId="0" borderId="0" xfId="0" applyFont="1" applyAlignment="1">
      <alignment horizontal="right" vertical="center"/>
    </xf>
    <xf numFmtId="2" fontId="0" fillId="111" borderId="236" xfId="0" applyNumberFormat="1" applyFill="1" applyBorder="1" applyAlignment="1" applyProtection="1">
      <alignment horizontal="right" vertical="top"/>
      <protection locked="0"/>
    </xf>
    <xf numFmtId="43" fontId="0" fillId="111" borderId="236" xfId="0" applyNumberFormat="1" applyFill="1" applyBorder="1" applyAlignment="1" applyProtection="1">
      <alignment horizontal="right" vertical="top"/>
      <protection locked="0"/>
    </xf>
    <xf numFmtId="0" fontId="0" fillId="110" borderId="236" xfId="0" applyFill="1" applyBorder="1" applyAlignment="1" applyProtection="1">
      <alignment horizontal="right" vertical="top"/>
      <protection locked="0"/>
    </xf>
    <xf numFmtId="0" fontId="0" fillId="111" borderId="236" xfId="0" applyFill="1" applyBorder="1" applyProtection="1">
      <protection locked="0"/>
    </xf>
    <xf numFmtId="2" fontId="14" fillId="111" borderId="236" xfId="0" applyNumberFormat="1" applyFont="1" applyFill="1" applyBorder="1" applyProtection="1">
      <protection locked="0"/>
    </xf>
    <xf numFmtId="2" fontId="14" fillId="112" borderId="236" xfId="0" applyNumberFormat="1" applyFont="1" applyFill="1" applyBorder="1" applyProtection="1">
      <protection locked="0"/>
    </xf>
    <xf numFmtId="2" fontId="14" fillId="111" borderId="236" xfId="0" applyNumberFormat="1" applyFont="1" applyFill="1" applyBorder="1" applyAlignment="1" applyProtection="1">
      <alignment horizontal="right" vertical="top"/>
      <protection locked="0"/>
    </xf>
    <xf numFmtId="2" fontId="14" fillId="112" borderId="236" xfId="0" applyNumberFormat="1" applyFont="1" applyFill="1" applyBorder="1" applyAlignment="1" applyProtection="1">
      <alignment horizontal="right" vertical="top"/>
      <protection locked="0"/>
    </xf>
    <xf numFmtId="0" fontId="3" fillId="4" borderId="86" xfId="0" applyFont="1" applyFill="1" applyBorder="1" applyAlignment="1">
      <alignment horizontal="left" vertical="top"/>
    </xf>
    <xf numFmtId="0" fontId="3" fillId="2" borderId="89" xfId="0" applyFont="1" applyFill="1" applyBorder="1" applyAlignment="1">
      <alignment horizontal="center"/>
    </xf>
    <xf numFmtId="0" fontId="167" fillId="111" borderId="90" xfId="0" applyFont="1" applyFill="1" applyBorder="1"/>
    <xf numFmtId="0" fontId="0" fillId="0" borderId="86" xfId="0" applyBorder="1"/>
    <xf numFmtId="0" fontId="3" fillId="2" borderId="105" xfId="0" applyFont="1" applyFill="1" applyBorder="1" applyAlignment="1">
      <alignment horizontal="center"/>
    </xf>
    <xf numFmtId="2" fontId="14" fillId="111" borderId="90" xfId="0" applyNumberFormat="1" applyFont="1" applyFill="1" applyBorder="1" applyAlignment="1">
      <alignment horizontal="right" vertical="top"/>
    </xf>
    <xf numFmtId="2" fontId="14" fillId="110" borderId="85" xfId="0" applyNumberFormat="1" applyFont="1" applyFill="1" applyBorder="1" applyAlignment="1">
      <alignment horizontal="right" vertical="top"/>
    </xf>
    <xf numFmtId="2" fontId="14" fillId="110" borderId="86" xfId="0" applyNumberFormat="1" applyFont="1" applyFill="1" applyBorder="1" applyAlignment="1">
      <alignment horizontal="right" vertical="top"/>
    </xf>
    <xf numFmtId="2" fontId="14" fillId="110" borderId="90" xfId="0" applyNumberFormat="1" applyFont="1" applyFill="1" applyBorder="1" applyAlignment="1">
      <alignment horizontal="right" vertical="top"/>
    </xf>
    <xf numFmtId="0" fontId="120" fillId="112" borderId="95" xfId="0" applyFont="1" applyFill="1" applyBorder="1" applyAlignment="1">
      <alignment horizontal="right"/>
    </xf>
    <xf numFmtId="0" fontId="3" fillId="2" borderId="105" xfId="0" applyFont="1" applyFill="1" applyBorder="1" applyAlignment="1" applyProtection="1">
      <alignment horizontal="center"/>
      <protection locked="0"/>
    </xf>
    <xf numFmtId="0" fontId="3" fillId="4" borderId="117" xfId="0" applyFont="1" applyFill="1" applyBorder="1" applyAlignment="1">
      <alignment horizontal="left" vertical="top"/>
    </xf>
    <xf numFmtId="0" fontId="0" fillId="0" borderId="117" xfId="0" applyBorder="1"/>
    <xf numFmtId="249" fontId="0" fillId="111" borderId="117" xfId="10" applyNumberFormat="1" applyFont="1" applyFill="1" applyBorder="1" applyAlignment="1" applyProtection="1">
      <alignment horizontal="right" vertical="top"/>
    </xf>
    <xf numFmtId="43" fontId="0" fillId="110" borderId="117" xfId="10" applyFont="1" applyFill="1" applyBorder="1" applyAlignment="1" applyProtection="1">
      <alignment horizontal="right" vertical="top"/>
    </xf>
    <xf numFmtId="249" fontId="0" fillId="110" borderId="117" xfId="10" applyNumberFormat="1" applyFont="1" applyFill="1" applyBorder="1" applyAlignment="1" applyProtection="1">
      <alignment horizontal="right" vertical="top"/>
    </xf>
    <xf numFmtId="0" fontId="120" fillId="112" borderId="117" xfId="0" applyFont="1" applyFill="1" applyBorder="1" applyAlignment="1">
      <alignment horizontal="right"/>
    </xf>
    <xf numFmtId="166" fontId="14" fillId="111" borderId="90" xfId="0" applyNumberFormat="1" applyFont="1" applyFill="1" applyBorder="1"/>
    <xf numFmtId="166" fontId="0" fillId="110" borderId="85" xfId="0" applyNumberFormat="1" applyFill="1" applyBorder="1" applyAlignment="1">
      <alignment horizontal="right" vertical="top"/>
    </xf>
    <xf numFmtId="165" fontId="0" fillId="110" borderId="85" xfId="0" applyNumberFormat="1" applyFill="1" applyBorder="1" applyAlignment="1">
      <alignment horizontal="right" vertical="top"/>
    </xf>
    <xf numFmtId="0" fontId="3" fillId="4" borderId="90" xfId="0" applyFont="1" applyFill="1" applyBorder="1" applyAlignment="1">
      <alignment vertical="top"/>
    </xf>
    <xf numFmtId="0" fontId="3" fillId="4" borderId="85" xfId="0" applyFont="1" applyFill="1" applyBorder="1" applyAlignment="1">
      <alignment vertical="top"/>
    </xf>
    <xf numFmtId="0" fontId="3" fillId="4" borderId="87" xfId="0" applyFont="1" applyFill="1" applyBorder="1" applyAlignment="1">
      <alignment vertical="top" wrapText="1"/>
    </xf>
    <xf numFmtId="0" fontId="3" fillId="4" borderId="88" xfId="0" applyFont="1" applyFill="1" applyBorder="1" applyAlignment="1">
      <alignment vertical="top" wrapText="1"/>
    </xf>
    <xf numFmtId="0" fontId="167" fillId="112" borderId="4" xfId="0" applyFont="1" applyFill="1" applyBorder="1" applyAlignment="1">
      <alignment horizontal="left" vertical="top"/>
    </xf>
    <xf numFmtId="0" fontId="167" fillId="111" borderId="95" xfId="0" applyFont="1" applyFill="1" applyBorder="1"/>
    <xf numFmtId="0" fontId="167" fillId="112" borderId="102" xfId="0" applyFont="1" applyFill="1" applyBorder="1" applyAlignment="1">
      <alignment horizontal="left" vertical="top"/>
    </xf>
    <xf numFmtId="2" fontId="14" fillId="111" borderId="90" xfId="0" applyNumberFormat="1" applyFont="1" applyFill="1" applyBorder="1"/>
    <xf numFmtId="0" fontId="120" fillId="9" borderId="90" xfId="0" applyFont="1" applyFill="1" applyBorder="1" applyAlignment="1">
      <alignment horizontal="left"/>
    </xf>
    <xf numFmtId="0" fontId="120" fillId="9" borderId="85" xfId="0" applyFont="1" applyFill="1" applyBorder="1" applyAlignment="1">
      <alignment horizontal="left"/>
    </xf>
    <xf numFmtId="0" fontId="120" fillId="9" borderId="94" xfId="0" applyFont="1" applyFill="1" applyBorder="1" applyAlignment="1">
      <alignment horizontal="left"/>
    </xf>
    <xf numFmtId="0" fontId="120" fillId="114" borderId="350" xfId="0" applyFont="1" applyFill="1" applyBorder="1" applyAlignment="1">
      <alignment horizontal="left"/>
    </xf>
    <xf numFmtId="0" fontId="120" fillId="9" borderId="87" xfId="0" applyFont="1" applyFill="1" applyBorder="1" applyAlignment="1">
      <alignment horizontal="left"/>
    </xf>
    <xf numFmtId="0" fontId="120" fillId="114" borderId="392" xfId="0" applyFont="1" applyFill="1" applyBorder="1" applyAlignment="1">
      <alignment horizontal="left"/>
    </xf>
    <xf numFmtId="0" fontId="3" fillId="87" borderId="90" xfId="0" applyFont="1" applyFill="1" applyBorder="1" applyAlignment="1">
      <alignment horizontal="left" vertical="top" wrapText="1"/>
    </xf>
    <xf numFmtId="0" fontId="3" fillId="87" borderId="85" xfId="0" applyFont="1" applyFill="1" applyBorder="1" applyAlignment="1">
      <alignment horizontal="left" vertical="top" wrapText="1"/>
    </xf>
    <xf numFmtId="0" fontId="3" fillId="87" borderId="397" xfId="0" applyFont="1" applyFill="1" applyBorder="1" applyAlignment="1">
      <alignment horizontal="left" vertical="top" wrapText="1"/>
    </xf>
    <xf numFmtId="0" fontId="0" fillId="0" borderId="90" xfId="0" applyBorder="1" applyAlignment="1">
      <alignment horizontal="left" vertical="top" wrapText="1"/>
    </xf>
    <xf numFmtId="0" fontId="0" fillId="2" borderId="97" xfId="0" applyFill="1" applyBorder="1" applyAlignment="1">
      <alignment horizontal="right" vertical="top"/>
    </xf>
    <xf numFmtId="0" fontId="0" fillId="111" borderId="349" xfId="0" applyFill="1" applyBorder="1" applyAlignment="1">
      <alignment horizontal="right" vertical="top"/>
    </xf>
    <xf numFmtId="0" fontId="0" fillId="0" borderId="397" xfId="0" applyBorder="1" applyAlignment="1">
      <alignment horizontal="left" vertical="top" wrapText="1"/>
    </xf>
    <xf numFmtId="0" fontId="0" fillId="0" borderId="87" xfId="0" applyBorder="1" applyAlignment="1">
      <alignment horizontal="left" vertical="top" wrapText="1"/>
    </xf>
    <xf numFmtId="0" fontId="0" fillId="0" borderId="94" xfId="0" applyBorder="1" applyAlignment="1">
      <alignment horizontal="left" vertical="top" wrapText="1"/>
    </xf>
    <xf numFmtId="0" fontId="0" fillId="0" borderId="398" xfId="0" applyBorder="1" applyAlignment="1">
      <alignment horizontal="left" vertical="top" wrapText="1"/>
    </xf>
    <xf numFmtId="0" fontId="0" fillId="0" borderId="95" xfId="0" applyBorder="1" applyAlignment="1">
      <alignment horizontal="left" vertical="top" wrapText="1"/>
    </xf>
    <xf numFmtId="0" fontId="0" fillId="0" borderId="102" xfId="0" applyBorder="1" applyAlignment="1">
      <alignment horizontal="left" vertical="top" wrapText="1"/>
    </xf>
    <xf numFmtId="0" fontId="0" fillId="0" borderId="92" xfId="0" applyBorder="1" applyAlignment="1">
      <alignment horizontal="left" vertical="top" wrapText="1"/>
    </xf>
    <xf numFmtId="3" fontId="0" fillId="111" borderId="107" xfId="0" applyNumberFormat="1" applyFill="1" applyBorder="1" applyAlignment="1">
      <alignment horizontal="right" vertical="top"/>
    </xf>
    <xf numFmtId="0" fontId="0" fillId="0" borderId="108" xfId="0" applyBorder="1" applyAlignment="1">
      <alignment horizontal="left" vertical="top" wrapText="1"/>
    </xf>
    <xf numFmtId="0" fontId="0" fillId="0" borderId="399" xfId="0" applyBorder="1" applyAlignment="1">
      <alignment horizontal="left" vertical="top" wrapText="1"/>
    </xf>
    <xf numFmtId="0" fontId="0" fillId="0" borderId="96" xfId="0" applyBorder="1" applyAlignment="1">
      <alignment horizontal="left" vertical="top" wrapText="1"/>
    </xf>
    <xf numFmtId="0" fontId="0" fillId="0" borderId="91" xfId="0" applyBorder="1" applyAlignment="1">
      <alignment horizontal="left" vertical="top" wrapText="1"/>
    </xf>
    <xf numFmtId="3" fontId="0" fillId="111" borderId="349" xfId="0" applyNumberFormat="1" applyFill="1" applyBorder="1" applyAlignment="1">
      <alignment horizontal="right" vertical="top"/>
    </xf>
    <xf numFmtId="0" fontId="3" fillId="87" borderId="243" xfId="0" applyFont="1" applyFill="1" applyBorder="1" applyAlignment="1">
      <alignment horizontal="left" vertical="top" wrapText="1"/>
    </xf>
    <xf numFmtId="0" fontId="0" fillId="87" borderId="83" xfId="0" applyFill="1" applyBorder="1" applyAlignment="1">
      <alignment horizontal="left" vertical="top" wrapText="1"/>
    </xf>
    <xf numFmtId="0" fontId="0" fillId="87" borderId="82" xfId="0" applyFill="1" applyBorder="1" applyAlignment="1">
      <alignment horizontal="left" vertical="top" wrapText="1"/>
    </xf>
    <xf numFmtId="0" fontId="0" fillId="87" borderId="349" xfId="0" applyFill="1" applyBorder="1" applyAlignment="1">
      <alignment horizontal="left" vertical="top" wrapText="1"/>
    </xf>
    <xf numFmtId="0" fontId="0" fillId="2" borderId="98" xfId="0" applyFill="1" applyBorder="1" applyAlignment="1">
      <alignment horizontal="right" vertical="top"/>
    </xf>
    <xf numFmtId="0" fontId="0" fillId="2" borderId="99" xfId="0" applyFill="1" applyBorder="1" applyAlignment="1">
      <alignment horizontal="right" vertical="top"/>
    </xf>
    <xf numFmtId="0" fontId="0" fillId="87" borderId="90" xfId="0" applyFill="1" applyBorder="1" applyAlignment="1">
      <alignment horizontal="left" vertical="top" wrapText="1"/>
    </xf>
    <xf numFmtId="0" fontId="0" fillId="87" borderId="85" xfId="0" applyFill="1" applyBorder="1" applyAlignment="1">
      <alignment horizontal="left" vertical="top"/>
    </xf>
    <xf numFmtId="0" fontId="0" fillId="87" borderId="85" xfId="0" applyFill="1" applyBorder="1" applyAlignment="1">
      <alignment horizontal="left" vertical="top" wrapText="1"/>
    </xf>
    <xf numFmtId="0" fontId="0" fillId="87" borderId="94" xfId="0" applyFill="1" applyBorder="1" applyAlignment="1">
      <alignment wrapText="1"/>
    </xf>
    <xf numFmtId="0" fontId="0" fillId="87" borderId="350" xfId="0" applyFill="1" applyBorder="1" applyAlignment="1">
      <alignment horizontal="right" wrapText="1"/>
    </xf>
    <xf numFmtId="0" fontId="0" fillId="0" borderId="351" xfId="0" applyBorder="1" applyAlignment="1">
      <alignment horizontal="left" vertical="top" wrapText="1"/>
    </xf>
    <xf numFmtId="0" fontId="0" fillId="0" borderId="111" xfId="0" applyBorder="1" applyAlignment="1">
      <alignment horizontal="left" vertical="top" wrapText="1"/>
    </xf>
    <xf numFmtId="0" fontId="0" fillId="0" borderId="352" xfId="0" applyBorder="1" applyAlignment="1">
      <alignment horizontal="left" vertical="top" wrapText="1"/>
    </xf>
    <xf numFmtId="0" fontId="0" fillId="0" borderId="36" xfId="0" applyBorder="1" applyAlignment="1">
      <alignment horizontal="left" vertical="top" wrapText="1"/>
    </xf>
    <xf numFmtId="0" fontId="0" fillId="87" borderId="397" xfId="0" applyFill="1" applyBorder="1" applyAlignment="1">
      <alignment horizontal="left" vertical="top" wrapText="1"/>
    </xf>
    <xf numFmtId="0" fontId="0" fillId="0" borderId="110" xfId="0" applyBorder="1" applyAlignment="1">
      <alignment horizontal="left" vertical="top" wrapText="1"/>
    </xf>
    <xf numFmtId="0" fontId="0" fillId="111" borderId="401" xfId="0" applyFill="1" applyBorder="1" applyAlignment="1">
      <alignment horizontal="right" vertical="top"/>
    </xf>
    <xf numFmtId="0" fontId="120" fillId="112" borderId="236" xfId="0" applyFont="1" applyFill="1" applyBorder="1" applyAlignment="1">
      <alignment horizontal="right"/>
    </xf>
    <xf numFmtId="0" fontId="0" fillId="111" borderId="107" xfId="0" applyFill="1" applyBorder="1" applyAlignment="1">
      <alignment horizontal="right" vertical="top"/>
    </xf>
    <xf numFmtId="0" fontId="169" fillId="0" borderId="0" xfId="0" applyFont="1" applyAlignment="1">
      <alignment horizontal="left" vertical="top"/>
    </xf>
    <xf numFmtId="0" fontId="170" fillId="0" borderId="0" xfId="0" applyFont="1" applyAlignment="1">
      <alignment horizontal="left" vertical="top"/>
    </xf>
    <xf numFmtId="0" fontId="180" fillId="0" borderId="0" xfId="0" applyFont="1" applyAlignment="1">
      <alignment horizontal="left" vertical="top"/>
    </xf>
    <xf numFmtId="0" fontId="0" fillId="0" borderId="82" xfId="0" applyBorder="1" applyAlignment="1">
      <alignment vertical="top" wrapText="1"/>
    </xf>
    <xf numFmtId="2" fontId="0" fillId="111" borderId="90" xfId="0" applyNumberFormat="1" applyFill="1" applyBorder="1" applyAlignment="1">
      <alignment horizontal="right" vertical="top"/>
    </xf>
    <xf numFmtId="2" fontId="0" fillId="110" borderId="85" xfId="0" applyNumberFormat="1" applyFill="1" applyBorder="1" applyAlignment="1">
      <alignment horizontal="right" vertical="top"/>
    </xf>
    <xf numFmtId="2" fontId="14" fillId="110" borderId="236" xfId="0" applyNumberFormat="1" applyFont="1" applyFill="1" applyBorder="1" applyAlignment="1">
      <alignment horizontal="right" vertical="top"/>
    </xf>
    <xf numFmtId="2" fontId="14" fillId="111" borderId="85" xfId="0" applyNumberFormat="1" applyFont="1" applyFill="1" applyBorder="1" applyAlignment="1">
      <alignment horizontal="right" vertical="top"/>
    </xf>
    <xf numFmtId="0" fontId="120" fillId="9" borderId="90" xfId="0" applyFont="1" applyFill="1" applyBorder="1" applyAlignment="1">
      <alignment horizontal="left" vertical="top"/>
    </xf>
    <xf numFmtId="0" fontId="120" fillId="9" borderId="85" xfId="0" applyFont="1" applyFill="1" applyBorder="1" applyAlignment="1">
      <alignment horizontal="left" vertical="top" wrapText="1"/>
    </xf>
    <xf numFmtId="0" fontId="120" fillId="9" borderId="85" xfId="0" applyFont="1" applyFill="1" applyBorder="1" applyAlignment="1">
      <alignment horizontal="left" vertical="top"/>
    </xf>
    <xf numFmtId="0" fontId="3" fillId="2" borderId="105" xfId="0" applyFont="1" applyFill="1" applyBorder="1" applyAlignment="1">
      <alignment horizontal="center" vertical="center"/>
    </xf>
    <xf numFmtId="0" fontId="167" fillId="111" borderId="90" xfId="0" applyFont="1" applyFill="1" applyBorder="1" applyAlignment="1">
      <alignment vertical="center"/>
    </xf>
    <xf numFmtId="0" fontId="167" fillId="112" borderId="85" xfId="0" applyFont="1" applyFill="1" applyBorder="1" applyAlignment="1">
      <alignment horizontal="left" vertical="center"/>
    </xf>
    <xf numFmtId="0" fontId="0" fillId="0" borderId="85" xfId="0" quotePrefix="1" applyBorder="1" applyAlignment="1">
      <alignment horizontal="left" vertical="top"/>
    </xf>
    <xf numFmtId="0" fontId="120" fillId="0" borderId="0" xfId="0" applyFont="1" applyAlignment="1">
      <alignment horizontal="right"/>
    </xf>
    <xf numFmtId="0" fontId="167" fillId="111" borderId="90" xfId="0" applyFont="1" applyFill="1" applyBorder="1" applyAlignment="1">
      <alignment vertical="top"/>
    </xf>
    <xf numFmtId="2" fontId="14" fillId="0" borderId="0" xfId="0" applyNumberFormat="1" applyFont="1" applyAlignment="1">
      <alignment horizontal="right" vertical="top"/>
    </xf>
    <xf numFmtId="2" fontId="14" fillId="110" borderId="350" xfId="0" applyNumberFormat="1" applyFont="1" applyFill="1" applyBorder="1" applyAlignment="1">
      <alignment horizontal="right" vertical="top"/>
    </xf>
    <xf numFmtId="2" fontId="0" fillId="110" borderId="350" xfId="0" applyNumberFormat="1" applyFill="1" applyBorder="1" applyAlignment="1">
      <alignment horizontal="right" vertical="top"/>
    </xf>
    <xf numFmtId="171" fontId="14" fillId="111" borderId="85" xfId="0" applyNumberFormat="1" applyFont="1" applyFill="1" applyBorder="1" applyAlignment="1">
      <alignment horizontal="right" vertical="top"/>
    </xf>
    <xf numFmtId="0" fontId="14" fillId="0" borderId="115" xfId="0" applyFont="1" applyBorder="1" applyAlignment="1">
      <alignment vertical="top"/>
    </xf>
    <xf numFmtId="0" fontId="14" fillId="0" borderId="415" xfId="0" applyFont="1" applyBorder="1" applyAlignment="1">
      <alignment horizontal="center" vertical="top"/>
    </xf>
    <xf numFmtId="0" fontId="14" fillId="0" borderId="0" xfId="0" applyFont="1" applyAlignment="1">
      <alignment horizontal="center" vertical="top"/>
    </xf>
    <xf numFmtId="0" fontId="14" fillId="0" borderId="416" xfId="0" applyFont="1" applyBorder="1" applyAlignment="1">
      <alignment horizontal="center" vertical="top"/>
    </xf>
    <xf numFmtId="171" fontId="0" fillId="111" borderId="90" xfId="0" applyNumberFormat="1" applyFill="1" applyBorder="1" applyAlignment="1">
      <alignment horizontal="right" vertical="top"/>
    </xf>
    <xf numFmtId="0" fontId="0" fillId="0" borderId="21" xfId="0" applyBorder="1" applyAlignment="1">
      <alignment horizontal="left" vertical="top"/>
    </xf>
    <xf numFmtId="0" fontId="120" fillId="9" borderId="87" xfId="0" applyFont="1" applyFill="1" applyBorder="1"/>
    <xf numFmtId="0" fontId="3" fillId="4" borderId="236" xfId="0" applyFont="1" applyFill="1" applyBorder="1" applyAlignment="1">
      <alignment vertical="top" wrapText="1"/>
    </xf>
    <xf numFmtId="2" fontId="0" fillId="111" borderId="90" xfId="10" applyNumberFormat="1" applyFont="1" applyFill="1" applyBorder="1" applyAlignment="1" applyProtection="1">
      <alignment horizontal="right" vertical="top"/>
    </xf>
    <xf numFmtId="2" fontId="0" fillId="111" borderId="85" xfId="10" applyNumberFormat="1" applyFont="1" applyFill="1" applyBorder="1" applyAlignment="1" applyProtection="1">
      <alignment horizontal="right" vertical="top"/>
    </xf>
    <xf numFmtId="0" fontId="120" fillId="9" borderId="95" xfId="0" applyFont="1" applyFill="1" applyBorder="1"/>
    <xf numFmtId="0" fontId="120" fillId="9" borderId="102" xfId="0" applyFont="1" applyFill="1" applyBorder="1"/>
    <xf numFmtId="0" fontId="120" fillId="9" borderId="92" xfId="0" applyFont="1" applyFill="1" applyBorder="1"/>
    <xf numFmtId="0" fontId="3" fillId="4" borderId="86" xfId="0" applyFont="1" applyFill="1" applyBorder="1" applyAlignment="1">
      <alignment vertical="top" wrapText="1"/>
    </xf>
    <xf numFmtId="0" fontId="3" fillId="4" borderId="83" xfId="0" applyFont="1" applyFill="1" applyBorder="1" applyAlignment="1">
      <alignment vertical="top" wrapText="1"/>
    </xf>
    <xf numFmtId="2" fontId="14" fillId="110" borderId="85" xfId="10" applyNumberFormat="1" applyFont="1" applyFill="1" applyBorder="1" applyAlignment="1" applyProtection="1">
      <alignment horizontal="right" vertical="top"/>
    </xf>
    <xf numFmtId="2" fontId="0" fillId="111" borderId="87" xfId="0" applyNumberFormat="1" applyFill="1" applyBorder="1" applyAlignment="1">
      <alignment horizontal="right" vertical="top"/>
    </xf>
    <xf numFmtId="0" fontId="0" fillId="87" borderId="91" xfId="0" applyFill="1" applyBorder="1" applyAlignment="1">
      <alignment horizontal="right" vertical="top"/>
    </xf>
    <xf numFmtId="0" fontId="0" fillId="87" borderId="84" xfId="0" applyFill="1" applyBorder="1" applyAlignment="1">
      <alignment horizontal="right" vertical="top"/>
    </xf>
    <xf numFmtId="0" fontId="14" fillId="87" borderId="84" xfId="0" applyFont="1" applyFill="1" applyBorder="1" applyAlignment="1">
      <alignment horizontal="right" vertical="top"/>
    </xf>
    <xf numFmtId="0" fontId="0" fillId="87" borderId="0" xfId="0" applyFill="1" applyAlignment="1">
      <alignment horizontal="right" vertical="top"/>
    </xf>
    <xf numFmtId="0" fontId="14" fillId="87" borderId="0" xfId="0" applyFont="1" applyFill="1" applyAlignment="1">
      <alignment horizontal="right" vertical="top"/>
    </xf>
    <xf numFmtId="0" fontId="0" fillId="87" borderId="92" xfId="0" applyFill="1" applyBorder="1" applyAlignment="1">
      <alignment horizontal="right" vertical="top"/>
    </xf>
    <xf numFmtId="0" fontId="0" fillId="87" borderId="82" xfId="0" applyFill="1" applyBorder="1" applyAlignment="1">
      <alignment horizontal="right" vertical="top"/>
    </xf>
    <xf numFmtId="0" fontId="14" fillId="87" borderId="82" xfId="0" applyFont="1" applyFill="1" applyBorder="1" applyAlignment="1">
      <alignment horizontal="right" vertical="top"/>
    </xf>
    <xf numFmtId="0" fontId="120" fillId="0" borderId="84" xfId="0" applyFont="1" applyBorder="1"/>
    <xf numFmtId="0" fontId="0" fillId="9" borderId="0" xfId="0" applyFill="1"/>
    <xf numFmtId="0" fontId="120" fillId="114" borderId="85" xfId="0" applyFont="1" applyFill="1" applyBorder="1"/>
    <xf numFmtId="170" fontId="0" fillId="0" borderId="236" xfId="0" applyNumberFormat="1" applyBorder="1" applyAlignment="1">
      <alignment vertical="top"/>
    </xf>
    <xf numFmtId="0" fontId="3" fillId="2" borderId="89" xfId="0" applyFont="1" applyFill="1" applyBorder="1" applyAlignment="1">
      <alignment horizontal="center" vertical="top" wrapText="1"/>
    </xf>
    <xf numFmtId="2" fontId="14" fillId="111" borderId="90" xfId="0" applyNumberFormat="1" applyFont="1" applyFill="1" applyBorder="1" applyAlignment="1">
      <alignment vertical="top"/>
    </xf>
    <xf numFmtId="2" fontId="14" fillId="110" borderId="85" xfId="0" applyNumberFormat="1" applyFont="1" applyFill="1" applyBorder="1" applyAlignment="1">
      <alignment vertical="top"/>
    </xf>
    <xf numFmtId="0" fontId="0" fillId="0" borderId="85" xfId="0" applyBorder="1" applyAlignment="1">
      <alignment vertical="top" wrapText="1"/>
    </xf>
    <xf numFmtId="0" fontId="3" fillId="4" borderId="0" xfId="0" applyFont="1" applyFill="1" applyAlignment="1">
      <alignment vertical="top" wrapText="1"/>
    </xf>
    <xf numFmtId="0" fontId="0" fillId="0" borderId="236" xfId="0" applyBorder="1" applyAlignment="1">
      <alignment horizontal="left" vertical="center" wrapText="1"/>
    </xf>
    <xf numFmtId="0" fontId="0" fillId="0" borderId="0" xfId="0" applyAlignment="1">
      <alignment horizontal="center" vertical="center" wrapText="1"/>
    </xf>
    <xf numFmtId="165" fontId="0" fillId="111" borderId="90" xfId="0" applyNumberFormat="1" applyFill="1" applyBorder="1" applyAlignment="1">
      <alignment horizontal="right" vertical="top"/>
    </xf>
    <xf numFmtId="165" fontId="0" fillId="111" borderId="85" xfId="0" applyNumberFormat="1" applyFill="1" applyBorder="1" applyAlignment="1">
      <alignment horizontal="right" vertical="top"/>
    </xf>
    <xf numFmtId="0" fontId="167" fillId="112" borderId="90" xfId="0" applyFont="1" applyFill="1" applyBorder="1" applyAlignment="1">
      <alignment vertical="center"/>
    </xf>
    <xf numFmtId="2" fontId="0" fillId="112" borderId="90" xfId="0" applyNumberFormat="1" applyFill="1" applyBorder="1" applyAlignment="1">
      <alignment horizontal="right" vertical="top"/>
    </xf>
    <xf numFmtId="0" fontId="6" fillId="0" borderId="0" xfId="0" applyFont="1"/>
    <xf numFmtId="0" fontId="3" fillId="2" borderId="89" xfId="0" applyFont="1" applyFill="1" applyBorder="1" applyAlignment="1">
      <alignment horizontal="center" vertical="center" wrapText="1"/>
    </xf>
    <xf numFmtId="0" fontId="0" fillId="112" borderId="90" xfId="0" applyFill="1" applyBorder="1" applyAlignment="1">
      <alignment horizontal="right" vertical="top"/>
    </xf>
    <xf numFmtId="0" fontId="0" fillId="110" borderId="85" xfId="0" applyFill="1" applyBorder="1" applyAlignment="1">
      <alignment horizontal="right" vertical="top"/>
    </xf>
    <xf numFmtId="165" fontId="0" fillId="112" borderId="90" xfId="0" applyNumberFormat="1" applyFill="1" applyBorder="1" applyAlignment="1">
      <alignment horizontal="right" vertical="top"/>
    </xf>
    <xf numFmtId="2" fontId="0" fillId="112" borderId="236" xfId="0" applyNumberFormat="1" applyFill="1" applyBorder="1"/>
    <xf numFmtId="0" fontId="0" fillId="111" borderId="90" xfId="0" applyFill="1" applyBorder="1" applyAlignment="1">
      <alignment horizontal="right" vertical="top"/>
    </xf>
    <xf numFmtId="2" fontId="0" fillId="112" borderId="236" xfId="0" applyNumberFormat="1" applyFill="1" applyBorder="1" applyAlignment="1">
      <alignment horizontal="right"/>
    </xf>
    <xf numFmtId="0" fontId="3" fillId="4" borderId="103" xfId="0" applyFont="1" applyFill="1" applyBorder="1" applyAlignment="1">
      <alignment vertical="top" wrapText="1"/>
    </xf>
    <xf numFmtId="0" fontId="170" fillId="0" borderId="0" xfId="0" applyFont="1" applyAlignment="1">
      <alignment horizontal="left"/>
    </xf>
    <xf numFmtId="0" fontId="180" fillId="0" borderId="0" xfId="0" applyFont="1" applyAlignment="1">
      <alignment horizontal="left"/>
    </xf>
    <xf numFmtId="0" fontId="292" fillId="0" borderId="0" xfId="0" applyFont="1"/>
    <xf numFmtId="0" fontId="293" fillId="0" borderId="0" xfId="0" applyFont="1"/>
    <xf numFmtId="0" fontId="120" fillId="9" borderId="84" xfId="0" applyFont="1" applyFill="1" applyBorder="1" applyAlignment="1">
      <alignment vertical="center" wrapText="1"/>
    </xf>
    <xf numFmtId="0" fontId="167" fillId="112" borderId="94" xfId="0" applyFont="1" applyFill="1" applyBorder="1" applyAlignment="1">
      <alignment horizontal="left" vertical="center"/>
    </xf>
    <xf numFmtId="2" fontId="0" fillId="111" borderId="236" xfId="0" applyNumberFormat="1" applyFill="1" applyBorder="1" applyAlignment="1">
      <alignment vertical="top"/>
    </xf>
    <xf numFmtId="2" fontId="0" fillId="110" borderId="236" xfId="0" applyNumberFormat="1" applyFill="1" applyBorder="1" applyAlignment="1">
      <alignment horizontal="right" vertical="top"/>
    </xf>
    <xf numFmtId="0" fontId="3" fillId="2" borderId="113" xfId="0" applyFont="1" applyFill="1" applyBorder="1" applyAlignment="1">
      <alignment horizontal="center" vertical="top" wrapText="1"/>
    </xf>
    <xf numFmtId="0" fontId="3" fillId="111" borderId="87" xfId="0" applyFont="1" applyFill="1" applyBorder="1" applyAlignment="1">
      <alignment horizontal="left" vertical="top"/>
    </xf>
    <xf numFmtId="4" fontId="0" fillId="111" borderId="236" xfId="0" applyNumberFormat="1" applyFill="1" applyBorder="1" applyAlignment="1">
      <alignment horizontal="right" vertical="top"/>
    </xf>
    <xf numFmtId="4" fontId="0" fillId="110" borderId="236" xfId="0" applyNumberFormat="1" applyFill="1" applyBorder="1" applyAlignment="1">
      <alignment horizontal="right" vertical="top"/>
    </xf>
    <xf numFmtId="3" fontId="21" fillId="0" borderId="0" xfId="0" applyNumberFormat="1" applyFont="1" applyAlignment="1">
      <alignment horizontal="right" vertical="top"/>
    </xf>
    <xf numFmtId="4" fontId="0" fillId="111" borderId="92" xfId="0" applyNumberFormat="1" applyFill="1" applyBorder="1" applyAlignment="1">
      <alignment horizontal="right" vertical="top"/>
    </xf>
    <xf numFmtId="4" fontId="0" fillId="110" borderId="4" xfId="0" applyNumberFormat="1" applyFill="1" applyBorder="1" applyAlignment="1">
      <alignment horizontal="right" vertical="top"/>
    </xf>
    <xf numFmtId="0" fontId="0" fillId="110" borderId="102" xfId="0" applyFill="1" applyBorder="1" applyAlignment="1">
      <alignment horizontal="right" vertical="top"/>
    </xf>
    <xf numFmtId="0" fontId="0" fillId="110" borderId="94" xfId="0" applyFill="1" applyBorder="1" applyAlignment="1">
      <alignment horizontal="right" vertical="top"/>
    </xf>
    <xf numFmtId="3" fontId="0" fillId="0" borderId="0" xfId="0" applyNumberFormat="1" applyAlignment="1">
      <alignment horizontal="right" vertical="top"/>
    </xf>
    <xf numFmtId="0" fontId="3" fillId="0" borderId="0" xfId="0" applyFont="1" applyAlignment="1">
      <alignment horizontal="left" vertical="center" wrapText="1"/>
    </xf>
    <xf numFmtId="4" fontId="0" fillId="110" borderId="92" xfId="0" applyNumberFormat="1" applyFill="1" applyBorder="1" applyAlignment="1">
      <alignment horizontal="right" vertical="top"/>
    </xf>
    <xf numFmtId="0" fontId="120" fillId="175" borderId="224" xfId="0" applyFont="1" applyFill="1" applyBorder="1" applyAlignment="1">
      <alignment horizontal="right" vertical="top"/>
    </xf>
    <xf numFmtId="4" fontId="0" fillId="110" borderId="350" xfId="0" applyNumberFormat="1" applyFill="1" applyBorder="1" applyAlignment="1">
      <alignment horizontal="right" vertical="top"/>
    </xf>
    <xf numFmtId="0" fontId="0" fillId="4" borderId="3" xfId="0" applyFill="1" applyBorder="1" applyAlignment="1">
      <alignment vertical="top" wrapText="1"/>
    </xf>
    <xf numFmtId="0" fontId="10" fillId="0" borderId="0" xfId="0" applyFont="1" applyAlignment="1">
      <alignment vertical="top" wrapText="1"/>
    </xf>
    <xf numFmtId="3" fontId="0" fillId="110" borderId="91" xfId="0" applyNumberFormat="1" applyFill="1" applyBorder="1" applyAlignment="1">
      <alignment horizontal="right" vertical="top"/>
    </xf>
    <xf numFmtId="0" fontId="0" fillId="110" borderId="90" xfId="0" applyFill="1" applyBorder="1" applyAlignment="1">
      <alignment horizontal="right" vertical="top"/>
    </xf>
    <xf numFmtId="3" fontId="0" fillId="110" borderId="236" xfId="0" applyNumberFormat="1" applyFill="1" applyBorder="1" applyAlignment="1">
      <alignment horizontal="right" vertical="top"/>
    </xf>
    <xf numFmtId="4" fontId="0" fillId="111" borderId="91" xfId="0" applyNumberFormat="1" applyFill="1" applyBorder="1" applyAlignment="1">
      <alignment horizontal="right" vertical="top"/>
    </xf>
    <xf numFmtId="4" fontId="0" fillId="110" borderId="91" xfId="0" applyNumberFormat="1" applyFill="1" applyBorder="1" applyAlignment="1">
      <alignment horizontal="right" vertical="top"/>
    </xf>
    <xf numFmtId="0" fontId="0" fillId="4" borderId="4" xfId="0" applyFill="1" applyBorder="1" applyAlignment="1">
      <alignment vertical="top" wrapText="1"/>
    </xf>
    <xf numFmtId="2" fontId="0" fillId="111" borderId="236" xfId="0" applyNumberFormat="1" applyFill="1" applyBorder="1"/>
    <xf numFmtId="4" fontId="0" fillId="110" borderId="85" xfId="0" applyNumberFormat="1" applyFill="1" applyBorder="1" applyAlignment="1">
      <alignment horizontal="right" vertical="top"/>
    </xf>
    <xf numFmtId="2" fontId="0" fillId="110" borderId="90" xfId="0" applyNumberFormat="1" applyFill="1" applyBorder="1" applyAlignment="1">
      <alignment horizontal="right" vertical="top"/>
    </xf>
    <xf numFmtId="0" fontId="3" fillId="4" borderId="0" xfId="0" applyFont="1" applyFill="1" applyAlignment="1">
      <alignment horizontal="center" vertical="center" wrapText="1"/>
    </xf>
    <xf numFmtId="166" fontId="0" fillId="111" borderId="236" xfId="0" applyNumberFormat="1" applyFill="1" applyBorder="1" applyAlignment="1">
      <alignment vertical="top"/>
    </xf>
    <xf numFmtId="166" fontId="0" fillId="110" borderId="236" xfId="0" applyNumberFormat="1" applyFill="1" applyBorder="1" applyAlignment="1">
      <alignment vertical="top"/>
    </xf>
    <xf numFmtId="0" fontId="0" fillId="2" borderId="388" xfId="0" applyFill="1" applyBorder="1" applyAlignment="1" applyProtection="1">
      <alignment horizontal="center" vertical="top" wrapText="1"/>
      <protection locked="0"/>
    </xf>
    <xf numFmtId="0" fontId="0" fillId="2" borderId="105" xfId="0" applyFill="1" applyBorder="1" applyAlignment="1" applyProtection="1">
      <alignment horizontal="center" vertical="top" wrapText="1"/>
      <protection locked="0"/>
    </xf>
    <xf numFmtId="0" fontId="0" fillId="2" borderId="89" xfId="0" applyFill="1" applyBorder="1" applyAlignment="1" applyProtection="1">
      <alignment horizontal="center" vertical="top" wrapText="1"/>
      <protection locked="0"/>
    </xf>
    <xf numFmtId="0" fontId="0" fillId="2" borderId="113" xfId="0" applyFill="1" applyBorder="1" applyAlignment="1" applyProtection="1">
      <alignment horizontal="center" vertical="top" wrapText="1"/>
      <protection locked="0"/>
    </xf>
    <xf numFmtId="0" fontId="3" fillId="112" borderId="117" xfId="0" applyFont="1" applyFill="1" applyBorder="1" applyAlignment="1">
      <alignment horizontal="left" vertical="top"/>
    </xf>
    <xf numFmtId="0" fontId="32" fillId="38" borderId="34" xfId="21" applyFont="1" applyFill="1" applyBorder="1" applyAlignment="1">
      <alignment horizontal="center" vertical="center"/>
    </xf>
    <xf numFmtId="2" fontId="4" fillId="9" borderId="236" xfId="0" applyNumberFormat="1" applyFont="1" applyFill="1" applyBorder="1" applyProtection="1">
      <protection locked="0"/>
    </xf>
    <xf numFmtId="0" fontId="16" fillId="113" borderId="0" xfId="0" applyFont="1" applyFill="1" applyAlignment="1">
      <alignment horizontal="left" vertical="top" wrapText="1"/>
    </xf>
    <xf numFmtId="0" fontId="5" fillId="113" borderId="0" xfId="0" applyFont="1" applyFill="1" applyAlignment="1">
      <alignment horizontal="left" vertical="top"/>
    </xf>
    <xf numFmtId="166" fontId="306" fillId="113" borderId="0" xfId="0" applyNumberFormat="1" applyFont="1" applyFill="1" applyAlignment="1">
      <alignment horizontal="left" vertical="top"/>
    </xf>
    <xf numFmtId="165" fontId="306" fillId="113" borderId="0" xfId="0" applyNumberFormat="1" applyFont="1" applyFill="1" applyAlignment="1">
      <alignment horizontal="left" vertical="top"/>
    </xf>
    <xf numFmtId="170" fontId="306" fillId="113" borderId="0" xfId="0" applyNumberFormat="1" applyFont="1" applyFill="1" applyAlignment="1">
      <alignment horizontal="left" vertical="top"/>
    </xf>
    <xf numFmtId="0" fontId="307" fillId="113" borderId="0" xfId="0" applyFont="1" applyFill="1" applyAlignment="1">
      <alignment horizontal="left" vertical="top"/>
    </xf>
    <xf numFmtId="0" fontId="5" fillId="113" borderId="0" xfId="0" applyFont="1" applyFill="1" applyAlignment="1">
      <alignment horizontal="left"/>
    </xf>
    <xf numFmtId="0" fontId="3" fillId="2" borderId="0" xfId="0" applyFont="1" applyFill="1" applyAlignment="1">
      <alignment horizontal="left" vertical="top"/>
    </xf>
    <xf numFmtId="0" fontId="0" fillId="2" borderId="0" xfId="0" applyFill="1" applyAlignment="1">
      <alignment horizontal="left" vertical="top"/>
    </xf>
    <xf numFmtId="166" fontId="14" fillId="2" borderId="0" xfId="0" applyNumberFormat="1" applyFont="1" applyFill="1" applyAlignment="1">
      <alignment horizontal="right" vertical="top"/>
    </xf>
    <xf numFmtId="0" fontId="3" fillId="87" borderId="36" xfId="0" applyFont="1" applyFill="1" applyBorder="1" applyAlignment="1">
      <alignment vertical="top" wrapText="1"/>
    </xf>
    <xf numFmtId="0" fontId="3" fillId="87" borderId="0" xfId="0" applyFont="1" applyFill="1" applyAlignment="1">
      <alignment vertical="top" wrapText="1"/>
    </xf>
    <xf numFmtId="0" fontId="3" fillId="87" borderId="67" xfId="0" applyFont="1" applyFill="1" applyBorder="1" applyAlignment="1">
      <alignment vertical="top" wrapText="1"/>
    </xf>
    <xf numFmtId="0" fontId="308" fillId="0" borderId="0" xfId="0" applyFont="1"/>
    <xf numFmtId="165" fontId="14" fillId="212" borderId="85" xfId="0" applyNumberFormat="1" applyFont="1" applyFill="1" applyBorder="1" applyAlignment="1">
      <alignment horizontal="right" vertical="top"/>
    </xf>
    <xf numFmtId="165" fontId="14" fillId="172" borderId="85" xfId="0" applyNumberFormat="1" applyFont="1" applyFill="1" applyBorder="1" applyAlignment="1">
      <alignment horizontal="right" vertical="top"/>
    </xf>
    <xf numFmtId="170" fontId="14" fillId="172" borderId="85" xfId="0" applyNumberFormat="1" applyFont="1" applyFill="1" applyBorder="1" applyAlignment="1">
      <alignment horizontal="right" vertical="top"/>
    </xf>
    <xf numFmtId="170" fontId="14" fillId="172" borderId="86" xfId="0" applyNumberFormat="1" applyFont="1" applyFill="1" applyBorder="1" applyAlignment="1">
      <alignment horizontal="right" vertical="top"/>
    </xf>
    <xf numFmtId="0" fontId="0" fillId="0" borderId="299" xfId="0" applyBorder="1"/>
    <xf numFmtId="0" fontId="0" fillId="0" borderId="420" xfId="0" applyBorder="1"/>
    <xf numFmtId="0" fontId="0" fillId="0" borderId="422" xfId="0" applyBorder="1"/>
    <xf numFmtId="0" fontId="0" fillId="0" borderId="423" xfId="0" applyBorder="1"/>
    <xf numFmtId="0" fontId="0" fillId="0" borderId="424" xfId="0" applyBorder="1"/>
    <xf numFmtId="0" fontId="0" fillId="0" borderId="425" xfId="0" applyBorder="1"/>
    <xf numFmtId="0" fontId="150" fillId="188" borderId="423" xfId="0" applyFont="1" applyFill="1" applyBorder="1"/>
    <xf numFmtId="0" fontId="150" fillId="188" borderId="425" xfId="0" applyFont="1" applyFill="1" applyBorder="1"/>
    <xf numFmtId="0" fontId="150" fillId="188" borderId="424" xfId="0" applyFont="1" applyFill="1" applyBorder="1"/>
    <xf numFmtId="14" fontId="150" fillId="187" borderId="422" xfId="0" applyNumberFormat="1" applyFont="1" applyFill="1" applyBorder="1"/>
    <xf numFmtId="0" fontId="0" fillId="188" borderId="422" xfId="0" applyFill="1" applyBorder="1"/>
    <xf numFmtId="14" fontId="150" fillId="187" borderId="420" xfId="0" applyNumberFormat="1" applyFont="1" applyFill="1" applyBorder="1"/>
    <xf numFmtId="0" fontId="0" fillId="187" borderId="423" xfId="0" applyFill="1" applyBorder="1" applyAlignment="1">
      <alignment horizontal="right"/>
    </xf>
    <xf numFmtId="14" fontId="150" fillId="0" borderId="422" xfId="0" applyNumberFormat="1" applyFont="1" applyBorder="1"/>
    <xf numFmtId="0" fontId="150" fillId="0" borderId="422" xfId="0" applyFont="1" applyBorder="1"/>
    <xf numFmtId="0" fontId="150" fillId="0" borderId="420" xfId="0" applyFont="1" applyBorder="1"/>
    <xf numFmtId="11" fontId="150" fillId="0" borderId="422" xfId="0" applyNumberFormat="1" applyFont="1" applyBorder="1"/>
    <xf numFmtId="0" fontId="0" fillId="108" borderId="422" xfId="0" applyFill="1" applyBorder="1"/>
    <xf numFmtId="0" fontId="150" fillId="188" borderId="422" xfId="0" applyFont="1" applyFill="1" applyBorder="1"/>
    <xf numFmtId="14" fontId="150" fillId="0" borderId="420" xfId="0" applyNumberFormat="1" applyFont="1" applyBorder="1"/>
    <xf numFmtId="0" fontId="32" fillId="38" borderId="424" xfId="21" applyFont="1" applyFill="1" applyBorder="1" applyAlignment="1">
      <alignment horizontal="center" vertical="center"/>
    </xf>
    <xf numFmtId="0" fontId="33" fillId="38" borderId="423" xfId="23" applyFont="1" applyFill="1" applyBorder="1" applyAlignment="1">
      <alignment horizontal="left" vertical="center" indent="2"/>
    </xf>
    <xf numFmtId="0" fontId="33" fillId="38" borderId="423" xfId="23" applyFont="1" applyFill="1" applyBorder="1">
      <alignment horizontal="left" vertical="center" indent="5"/>
    </xf>
    <xf numFmtId="0" fontId="32" fillId="38" borderId="420" xfId="21" applyFont="1" applyFill="1" applyBorder="1" applyAlignment="1">
      <alignment horizontal="left" vertical="center"/>
    </xf>
    <xf numFmtId="0" fontId="32" fillId="38" borderId="420" xfId="21" applyFont="1" applyFill="1" applyBorder="1" applyAlignment="1">
      <alignment horizontal="center" vertical="center"/>
    </xf>
    <xf numFmtId="0" fontId="32" fillId="38" borderId="422" xfId="21" applyFont="1" applyFill="1" applyBorder="1" applyAlignment="1">
      <alignment horizontal="center" vertical="center"/>
    </xf>
    <xf numFmtId="0" fontId="32" fillId="38" borderId="423" xfId="21" applyFont="1" applyFill="1" applyBorder="1" applyAlignment="1">
      <alignment horizontal="center" vertical="center"/>
    </xf>
    <xf numFmtId="0" fontId="167" fillId="38" borderId="424" xfId="21" applyFont="1" applyFill="1" applyBorder="1" applyAlignment="1">
      <alignment horizontal="center" vertical="center"/>
    </xf>
    <xf numFmtId="0" fontId="167" fillId="112" borderId="424" xfId="0" applyFont="1" applyFill="1" applyBorder="1" applyAlignment="1">
      <alignment vertical="top"/>
    </xf>
    <xf numFmtId="0" fontId="167" fillId="0" borderId="424" xfId="0" applyFont="1" applyBorder="1" applyAlignment="1">
      <alignment vertical="top"/>
    </xf>
    <xf numFmtId="0" fontId="14" fillId="0" borderId="424" xfId="0" applyFont="1" applyBorder="1" applyAlignment="1">
      <alignment vertical="top"/>
    </xf>
    <xf numFmtId="0" fontId="0" fillId="0" borderId="423" xfId="0" applyBorder="1" applyAlignment="1">
      <alignment horizontal="left" vertical="top"/>
    </xf>
    <xf numFmtId="0" fontId="14" fillId="0" borderId="423" xfId="0" applyFont="1" applyBorder="1" applyAlignment="1">
      <alignment horizontal="left" vertical="top" wrapText="1"/>
    </xf>
    <xf numFmtId="0" fontId="0" fillId="0" borderId="424" xfId="0" applyBorder="1" applyAlignment="1">
      <alignment vertical="top"/>
    </xf>
    <xf numFmtId="0" fontId="0" fillId="0" borderId="423" xfId="0" applyBorder="1" applyAlignment="1">
      <alignment vertical="top"/>
    </xf>
    <xf numFmtId="0" fontId="267" fillId="200" borderId="423" xfId="0" applyFont="1" applyFill="1" applyBorder="1" applyAlignment="1">
      <alignment vertical="center"/>
    </xf>
    <xf numFmtId="0" fontId="267" fillId="200" borderId="424" xfId="0" applyFont="1" applyFill="1" applyBorder="1" applyAlignment="1">
      <alignment vertical="center"/>
    </xf>
    <xf numFmtId="0" fontId="267" fillId="195" borderId="423" xfId="0" applyFont="1" applyFill="1" applyBorder="1" applyAlignment="1">
      <alignment vertical="center"/>
    </xf>
    <xf numFmtId="0" fontId="268" fillId="195" borderId="425" xfId="0" applyFont="1" applyFill="1" applyBorder="1" applyAlignment="1">
      <alignment vertical="center"/>
    </xf>
    <xf numFmtId="0" fontId="268" fillId="195" borderId="424" xfId="0" applyFont="1" applyFill="1" applyBorder="1" applyAlignment="1">
      <alignment vertical="center"/>
    </xf>
    <xf numFmtId="0" fontId="269" fillId="197" borderId="423" xfId="0" applyFont="1" applyFill="1" applyBorder="1"/>
    <xf numFmtId="0" fontId="269" fillId="197" borderId="425" xfId="0" applyFont="1" applyFill="1" applyBorder="1"/>
    <xf numFmtId="0" fontId="269" fillId="197" borderId="424" xfId="0" applyFont="1" applyFill="1" applyBorder="1"/>
    <xf numFmtId="0" fontId="268" fillId="195" borderId="425" xfId="0" applyFont="1" applyFill="1" applyBorder="1"/>
    <xf numFmtId="0" fontId="268" fillId="195" borderId="424" xfId="0" applyFont="1" applyFill="1" applyBorder="1"/>
    <xf numFmtId="0" fontId="267" fillId="195" borderId="425" xfId="0" applyFont="1" applyFill="1" applyBorder="1"/>
    <xf numFmtId="0" fontId="267" fillId="195" borderId="424" xfId="0" applyFont="1" applyFill="1" applyBorder="1"/>
    <xf numFmtId="0" fontId="0" fillId="188" borderId="422" xfId="0" applyFill="1" applyBorder="1" applyAlignment="1">
      <alignment horizontal="left" vertical="top"/>
    </xf>
    <xf numFmtId="0" fontId="0" fillId="2" borderId="422" xfId="0" applyFill="1" applyBorder="1"/>
    <xf numFmtId="0" fontId="21" fillId="0" borderId="422" xfId="0" applyFont="1" applyBorder="1"/>
    <xf numFmtId="0" fontId="21" fillId="0" borderId="422" xfId="0" applyFont="1" applyBorder="1" applyAlignment="1">
      <alignment vertical="top"/>
    </xf>
    <xf numFmtId="9" fontId="0" fillId="0" borderId="422" xfId="0" applyNumberFormat="1" applyBorder="1"/>
    <xf numFmtId="10" fontId="0" fillId="110" borderId="423" xfId="0" applyNumberFormat="1" applyFill="1" applyBorder="1" applyAlignment="1">
      <alignment horizontal="right" vertical="top" wrapText="1"/>
    </xf>
    <xf numFmtId="0" fontId="0" fillId="0" borderId="422" xfId="0" applyBorder="1" applyAlignment="1">
      <alignment horizontal="left" vertical="top" wrapText="1"/>
    </xf>
    <xf numFmtId="2" fontId="0" fillId="110" borderId="422" xfId="0" applyNumberFormat="1" applyFill="1" applyBorder="1" applyAlignment="1">
      <alignment horizontal="right" vertical="top" wrapText="1"/>
    </xf>
    <xf numFmtId="2" fontId="0" fillId="0" borderId="422" xfId="0" applyNumberFormat="1" applyBorder="1" applyAlignment="1">
      <alignment horizontal="right" vertical="top" wrapText="1"/>
    </xf>
    <xf numFmtId="165" fontId="0" fillId="0" borderId="422" xfId="0" applyNumberFormat="1" applyBorder="1" applyAlignment="1">
      <alignment horizontal="right" vertical="top" wrapText="1"/>
    </xf>
    <xf numFmtId="10" fontId="0" fillId="110" borderId="420" xfId="0" applyNumberFormat="1" applyFill="1" applyBorder="1" applyAlignment="1">
      <alignment horizontal="right" vertical="top" wrapText="1"/>
    </xf>
    <xf numFmtId="0" fontId="3" fillId="0" borderId="422" xfId="0" applyFont="1" applyBorder="1"/>
    <xf numFmtId="14" fontId="3" fillId="0" borderId="420" xfId="0" applyNumberFormat="1" applyFont="1" applyBorder="1"/>
    <xf numFmtId="0" fontId="232" fillId="108" borderId="422" xfId="166" applyFont="1" applyFill="1" applyBorder="1" applyAlignment="1">
      <alignment horizontal="center" vertical="top"/>
    </xf>
    <xf numFmtId="0" fontId="232" fillId="172" borderId="422" xfId="166" applyFont="1" applyFill="1" applyBorder="1" applyAlignment="1">
      <alignment horizontal="center" vertical="top"/>
    </xf>
    <xf numFmtId="0" fontId="232" fillId="118" borderId="420" xfId="166" applyFont="1" applyFill="1" applyBorder="1" applyAlignment="1">
      <alignment horizontal="center" vertical="top"/>
    </xf>
    <xf numFmtId="0" fontId="232" fillId="4" borderId="422" xfId="166" applyFont="1" applyFill="1" applyBorder="1" applyAlignment="1">
      <alignment horizontal="center" vertical="top"/>
    </xf>
    <xf numFmtId="0" fontId="3" fillId="112" borderId="422" xfId="0" applyFont="1" applyFill="1" applyBorder="1" applyAlignment="1">
      <alignment horizontal="left" vertical="top"/>
    </xf>
    <xf numFmtId="0" fontId="276" fillId="0" borderId="424" xfId="0" applyFont="1" applyBorder="1" applyAlignment="1">
      <alignment wrapText="1"/>
    </xf>
    <xf numFmtId="0" fontId="14" fillId="189" borderId="427" xfId="0" applyFont="1" applyFill="1" applyBorder="1" applyAlignment="1">
      <alignment horizontal="center" vertical="center" wrapText="1"/>
    </xf>
    <xf numFmtId="3" fontId="14" fillId="192" borderId="425" xfId="0" applyNumberFormat="1" applyFont="1" applyFill="1" applyBorder="1" applyAlignment="1">
      <alignment horizontal="center" vertical="center"/>
    </xf>
    <xf numFmtId="0" fontId="27" fillId="11" borderId="427" xfId="0" applyFont="1" applyFill="1" applyBorder="1" applyAlignment="1">
      <alignment horizontal="center" vertical="center" wrapText="1"/>
    </xf>
    <xf numFmtId="3" fontId="27" fillId="11" borderId="425" xfId="0" applyNumberFormat="1" applyFont="1" applyFill="1" applyBorder="1" applyAlignment="1">
      <alignment horizontal="center" vertical="center"/>
    </xf>
    <xf numFmtId="175" fontId="27" fillId="11" borderId="425" xfId="8534" applyNumberFormat="1" applyFont="1" applyFill="1" applyBorder="1" applyAlignment="1">
      <alignment horizontal="center" vertical="center"/>
    </xf>
    <xf numFmtId="3" fontId="14" fillId="191" borderId="425" xfId="0" applyNumberFormat="1" applyFont="1" applyFill="1" applyBorder="1" applyAlignment="1">
      <alignment horizontal="center" vertical="center"/>
    </xf>
    <xf numFmtId="0" fontId="265" fillId="0" borderId="427" xfId="0" applyFont="1" applyBorder="1" applyAlignment="1">
      <alignment horizontal="center" vertical="center" wrapText="1"/>
    </xf>
    <xf numFmtId="3" fontId="265" fillId="0" borderId="425" xfId="0" applyNumberFormat="1" applyFont="1" applyBorder="1" applyAlignment="1">
      <alignment horizontal="center" vertical="center"/>
    </xf>
    <xf numFmtId="0" fontId="0" fillId="11" borderId="422" xfId="0" applyFill="1" applyBorder="1" applyAlignment="1">
      <alignment horizontal="center" vertical="center" wrapText="1"/>
    </xf>
    <xf numFmtId="0" fontId="0" fillId="0" borderId="422" xfId="0" applyBorder="1" applyAlignment="1">
      <alignment horizontal="center" vertical="center" wrapText="1"/>
    </xf>
    <xf numFmtId="17" fontId="0" fillId="11" borderId="422" xfId="0" applyNumberFormat="1" applyFill="1" applyBorder="1" applyAlignment="1">
      <alignment horizontal="center" vertical="center" wrapText="1"/>
    </xf>
    <xf numFmtId="2" fontId="0" fillId="0" borderId="420" xfId="0" applyNumberFormat="1" applyBorder="1"/>
    <xf numFmtId="166" fontId="21" fillId="0" borderId="422" xfId="0" applyNumberFormat="1" applyFont="1" applyBorder="1" applyAlignment="1">
      <alignment vertical="top"/>
    </xf>
    <xf numFmtId="0" fontId="0" fillId="4" borderId="422" xfId="0" applyFill="1" applyBorder="1" applyAlignment="1">
      <alignment vertical="top" wrapText="1"/>
    </xf>
    <xf numFmtId="0" fontId="0" fillId="0" borderId="423" xfId="0" applyBorder="1" applyAlignment="1">
      <alignment horizontal="left" vertical="top" wrapText="1"/>
    </xf>
    <xf numFmtId="0" fontId="120" fillId="9" borderId="423" xfId="0" applyFont="1" applyFill="1" applyBorder="1" applyAlignment="1">
      <alignment vertical="top"/>
    </xf>
    <xf numFmtId="0" fontId="167" fillId="111" borderId="422" xfId="0" applyFont="1" applyFill="1" applyBorder="1" applyAlignment="1">
      <alignment vertical="top"/>
    </xf>
    <xf numFmtId="0" fontId="167" fillId="112" borderId="422" xfId="0" applyFont="1" applyFill="1" applyBorder="1" applyAlignment="1">
      <alignment vertical="top"/>
    </xf>
    <xf numFmtId="0" fontId="0" fillId="0" borderId="423" xfId="0" applyBorder="1" applyAlignment="1">
      <alignment horizontal="left" wrapText="1"/>
    </xf>
    <xf numFmtId="0" fontId="3" fillId="110" borderId="424" xfId="0" applyFont="1" applyFill="1" applyBorder="1" applyAlignment="1">
      <alignment vertical="center"/>
    </xf>
    <xf numFmtId="0" fontId="3" fillId="112" borderId="422" xfId="0" applyFont="1" applyFill="1" applyBorder="1" applyAlignment="1">
      <alignment vertical="center"/>
    </xf>
    <xf numFmtId="0" fontId="3" fillId="112" borderId="420" xfId="0" applyFont="1" applyFill="1" applyBorder="1" applyAlignment="1">
      <alignment vertical="center"/>
    </xf>
    <xf numFmtId="0" fontId="3" fillId="4" borderId="423" xfId="0" applyFont="1" applyFill="1" applyBorder="1" applyAlignment="1">
      <alignment horizontal="left" vertical="top"/>
    </xf>
    <xf numFmtId="0" fontId="3" fillId="4" borderId="424" xfId="0" applyFont="1" applyFill="1" applyBorder="1" applyAlignment="1">
      <alignment horizontal="left" vertical="top" wrapText="1"/>
    </xf>
    <xf numFmtId="170" fontId="21" fillId="2" borderId="423" xfId="0" applyNumberFormat="1" applyFont="1" applyFill="1" applyBorder="1" applyAlignment="1">
      <alignment horizontal="right" vertical="top" wrapText="1"/>
    </xf>
    <xf numFmtId="165" fontId="0" fillId="0" borderId="423" xfId="0" applyNumberFormat="1" applyBorder="1" applyAlignment="1">
      <alignment horizontal="right" vertical="top" wrapText="1"/>
    </xf>
    <xf numFmtId="0" fontId="3" fillId="4" borderId="423" xfId="0" applyFont="1" applyFill="1" applyBorder="1" applyAlignment="1">
      <alignment horizontal="left" vertical="top" wrapText="1"/>
    </xf>
    <xf numFmtId="168" fontId="0" fillId="0" borderId="423" xfId="0" applyNumberFormat="1" applyBorder="1" applyAlignment="1">
      <alignment horizontal="right" vertical="top" wrapText="1"/>
    </xf>
    <xf numFmtId="165" fontId="21" fillId="2" borderId="423" xfId="0" applyNumberFormat="1" applyFont="1" applyFill="1" applyBorder="1" applyAlignment="1">
      <alignment horizontal="right" vertical="top" wrapText="1"/>
    </xf>
    <xf numFmtId="2" fontId="0" fillId="0" borderId="423" xfId="0" applyNumberFormat="1" applyBorder="1" applyAlignment="1">
      <alignment horizontal="right" vertical="top" wrapText="1"/>
    </xf>
    <xf numFmtId="0" fontId="0" fillId="188" borderId="428" xfId="0" applyFill="1" applyBorder="1"/>
    <xf numFmtId="0" fontId="0" fillId="0" borderId="429" xfId="0" applyBorder="1"/>
    <xf numFmtId="0" fontId="0" fillId="0" borderId="430" xfId="0" applyBorder="1"/>
    <xf numFmtId="0" fontId="0" fillId="0" borderId="428" xfId="0" applyBorder="1"/>
    <xf numFmtId="0" fontId="0" fillId="0" borderId="431" xfId="0" applyBorder="1"/>
    <xf numFmtId="0" fontId="0" fillId="188" borderId="432" xfId="0" applyFill="1" applyBorder="1"/>
    <xf numFmtId="0" fontId="0" fillId="0" borderId="432" xfId="0" applyBorder="1"/>
    <xf numFmtId="0" fontId="0" fillId="0" borderId="433" xfId="0" applyBorder="1"/>
    <xf numFmtId="0" fontId="0" fillId="0" borderId="434" xfId="0" applyBorder="1"/>
    <xf numFmtId="0" fontId="14" fillId="0" borderId="236" xfId="4" applyFont="1" applyBorder="1" applyAlignment="1">
      <alignment horizontal="left" vertical="top"/>
    </xf>
    <xf numFmtId="9" fontId="0" fillId="0" borderId="236" xfId="0" applyNumberFormat="1" applyBorder="1"/>
    <xf numFmtId="0" fontId="167" fillId="86" borderId="236" xfId="3" applyFont="1" applyFill="1" applyBorder="1"/>
    <xf numFmtId="0" fontId="14" fillId="86" borderId="236" xfId="3" applyFont="1" applyFill="1" applyBorder="1" applyAlignment="1">
      <alignment wrapText="1"/>
    </xf>
    <xf numFmtId="171" fontId="14" fillId="86" borderId="236" xfId="3" applyNumberFormat="1" applyFont="1" applyFill="1" applyBorder="1" applyAlignment="1">
      <alignment wrapText="1"/>
    </xf>
    <xf numFmtId="0" fontId="175" fillId="0" borderId="236" xfId="3" applyFont="1" applyBorder="1"/>
    <xf numFmtId="0" fontId="14" fillId="0" borderId="236" xfId="3" applyFont="1" applyBorder="1"/>
    <xf numFmtId="0" fontId="14" fillId="0" borderId="236" xfId="4" applyFont="1" applyBorder="1"/>
    <xf numFmtId="2" fontId="14" fillId="8" borderId="236" xfId="3" applyNumberFormat="1" applyFont="1" applyFill="1" applyBorder="1"/>
    <xf numFmtId="164" fontId="14" fillId="8" borderId="236" xfId="3" applyNumberFormat="1" applyFont="1" applyFill="1" applyBorder="1"/>
    <xf numFmtId="171" fontId="14" fillId="8" borderId="236" xfId="3" applyNumberFormat="1" applyFont="1" applyFill="1" applyBorder="1"/>
    <xf numFmtId="165" fontId="14" fillId="8" borderId="236" xfId="3" applyNumberFormat="1" applyFont="1" applyFill="1" applyBorder="1"/>
    <xf numFmtId="166" fontId="14" fillId="8" borderId="236" xfId="3" applyNumberFormat="1" applyFont="1" applyFill="1" applyBorder="1"/>
    <xf numFmtId="2" fontId="14" fillId="14" borderId="236" xfId="3" applyNumberFormat="1" applyFont="1" applyFill="1" applyBorder="1"/>
    <xf numFmtId="164" fontId="14" fillId="14" borderId="236" xfId="1" applyNumberFormat="1" applyFont="1" applyFill="1" applyBorder="1"/>
    <xf numFmtId="171" fontId="14" fillId="14" borderId="236" xfId="3" applyNumberFormat="1" applyFont="1" applyFill="1" applyBorder="1"/>
    <xf numFmtId="166" fontId="14" fillId="14" borderId="236" xfId="3" applyNumberFormat="1" applyFont="1" applyFill="1" applyBorder="1"/>
    <xf numFmtId="0" fontId="14" fillId="14" borderId="236" xfId="3" applyFont="1" applyFill="1" applyBorder="1"/>
    <xf numFmtId="164" fontId="0" fillId="0" borderId="236" xfId="1" applyNumberFormat="1" applyFont="1" applyBorder="1"/>
    <xf numFmtId="171" fontId="14" fillId="0" borderId="236" xfId="3" applyNumberFormat="1" applyFont="1" applyBorder="1"/>
    <xf numFmtId="170" fontId="14" fillId="8" borderId="236" xfId="3" applyNumberFormat="1" applyFont="1" applyFill="1" applyBorder="1"/>
    <xf numFmtId="0" fontId="3" fillId="11" borderId="236" xfId="0" applyFont="1" applyFill="1" applyBorder="1" applyAlignment="1">
      <alignment horizontal="left" vertical="top"/>
    </xf>
    <xf numFmtId="0" fontId="150" fillId="188" borderId="236" xfId="0" applyFont="1" applyFill="1" applyBorder="1"/>
    <xf numFmtId="0" fontId="150" fillId="187" borderId="236" xfId="0" applyFont="1" applyFill="1" applyBorder="1"/>
    <xf numFmtId="0" fontId="0" fillId="188" borderId="236" xfId="0" applyFill="1" applyBorder="1"/>
    <xf numFmtId="43" fontId="0" fillId="188" borderId="236" xfId="0" applyNumberFormat="1" applyFill="1" applyBorder="1"/>
    <xf numFmtId="0" fontId="150" fillId="0" borderId="430" xfId="0" applyFont="1" applyBorder="1"/>
    <xf numFmtId="0" fontId="167" fillId="5" borderId="236" xfId="0" applyFont="1" applyFill="1" applyBorder="1"/>
    <xf numFmtId="0" fontId="3" fillId="5" borderId="236" xfId="0" applyFont="1" applyFill="1" applyBorder="1"/>
    <xf numFmtId="0" fontId="150" fillId="0" borderId="428" xfId="0" applyFont="1" applyBorder="1"/>
    <xf numFmtId="0" fontId="3" fillId="183" borderId="236" xfId="0" applyFont="1" applyFill="1" applyBorder="1"/>
    <xf numFmtId="2" fontId="33" fillId="10" borderId="236" xfId="0" applyNumberFormat="1" applyFont="1" applyFill="1" applyBorder="1" applyAlignment="1">
      <alignment horizontal="right"/>
    </xf>
    <xf numFmtId="2" fontId="33" fillId="65" borderId="236" xfId="0" applyNumberFormat="1" applyFont="1" applyFill="1" applyBorder="1" applyAlignment="1">
      <alignment horizontal="right"/>
    </xf>
    <xf numFmtId="0" fontId="33" fillId="10" borderId="236" xfId="0" applyFont="1" applyFill="1" applyBorder="1" applyAlignment="1">
      <alignment horizontal="left" indent="2"/>
    </xf>
    <xf numFmtId="2" fontId="33" fillId="64" borderId="236" xfId="0" applyNumberFormat="1" applyFont="1" applyFill="1" applyBorder="1" applyAlignment="1">
      <alignment horizontal="right"/>
    </xf>
    <xf numFmtId="0" fontId="167" fillId="112" borderId="236" xfId="0" applyFont="1" applyFill="1" applyBorder="1" applyAlignment="1">
      <alignment horizontal="left" vertical="top"/>
    </xf>
    <xf numFmtId="0" fontId="167" fillId="111" borderId="236" xfId="0" applyFont="1" applyFill="1" applyBorder="1" applyAlignment="1">
      <alignment horizontal="left" vertical="top"/>
    </xf>
    <xf numFmtId="0" fontId="14" fillId="0" borderId="236" xfId="0" applyFont="1" applyBorder="1" applyAlignment="1">
      <alignment horizontal="left" vertical="top" wrapText="1"/>
    </xf>
    <xf numFmtId="231" fontId="21" fillId="111" borderId="236" xfId="0" applyNumberFormat="1" applyFont="1" applyFill="1" applyBorder="1" applyAlignment="1">
      <alignment horizontal="left" vertical="top"/>
    </xf>
    <xf numFmtId="231" fontId="21" fillId="0" borderId="236" xfId="0" applyNumberFormat="1" applyFont="1" applyBorder="1" applyAlignment="1">
      <alignment horizontal="left" vertical="top"/>
    </xf>
    <xf numFmtId="0" fontId="295" fillId="210" borderId="236" xfId="0" applyFont="1" applyFill="1" applyBorder="1" applyAlignment="1">
      <alignment vertical="center"/>
    </xf>
    <xf numFmtId="0" fontId="186" fillId="0" borderId="236" xfId="0" applyFont="1" applyBorder="1" applyAlignment="1">
      <alignment vertical="center"/>
    </xf>
    <xf numFmtId="0" fontId="167" fillId="112" borderId="236" xfId="0" applyFont="1" applyFill="1" applyBorder="1" applyAlignment="1">
      <alignment vertical="top"/>
    </xf>
    <xf numFmtId="241" fontId="167" fillId="0" borderId="236" xfId="0" applyNumberFormat="1" applyFont="1" applyBorder="1" applyAlignment="1">
      <alignment horizontal="left" vertical="top"/>
    </xf>
    <xf numFmtId="0" fontId="167" fillId="0" borderId="236" xfId="0" applyFont="1" applyBorder="1" applyAlignment="1">
      <alignment horizontal="left" vertical="top"/>
    </xf>
    <xf numFmtId="241" fontId="14" fillId="0" borderId="236" xfId="0" applyNumberFormat="1" applyFont="1" applyBorder="1"/>
    <xf numFmtId="241" fontId="14" fillId="0" borderId="236" xfId="0" applyNumberFormat="1" applyFont="1" applyBorder="1" applyAlignment="1">
      <alignment horizontal="right"/>
    </xf>
    <xf numFmtId="245" fontId="14" fillId="0" borderId="236" xfId="0" applyNumberFormat="1" applyFont="1" applyBorder="1" applyAlignment="1">
      <alignment horizontal="right"/>
    </xf>
    <xf numFmtId="244" fontId="14" fillId="0" borderId="236" xfId="0" applyNumberFormat="1" applyFont="1" applyBorder="1" applyAlignment="1">
      <alignment horizontal="right"/>
    </xf>
    <xf numFmtId="246" fontId="14" fillId="0" borderId="236" xfId="0" applyNumberFormat="1" applyFont="1" applyBorder="1" applyAlignment="1">
      <alignment horizontal="right"/>
    </xf>
    <xf numFmtId="0" fontId="121" fillId="0" borderId="236" xfId="0" applyFont="1" applyBorder="1"/>
    <xf numFmtId="0" fontId="121" fillId="111" borderId="236" xfId="0" applyFont="1" applyFill="1" applyBorder="1" applyAlignment="1">
      <alignment horizontal="left" vertical="top"/>
    </xf>
    <xf numFmtId="0" fontId="121" fillId="112" borderId="236" xfId="0" applyFont="1" applyFill="1" applyBorder="1" applyAlignment="1">
      <alignment horizontal="left" vertical="top"/>
    </xf>
    <xf numFmtId="0" fontId="27" fillId="0" borderId="236" xfId="0" applyFont="1" applyBorder="1" applyAlignment="1">
      <alignment horizontal="left" vertical="top" wrapText="1"/>
    </xf>
    <xf numFmtId="0" fontId="27" fillId="2" borderId="236" xfId="0" applyFont="1" applyFill="1" applyBorder="1"/>
    <xf numFmtId="0" fontId="21" fillId="88" borderId="236" xfId="0" applyFont="1" applyFill="1" applyBorder="1"/>
    <xf numFmtId="0" fontId="254" fillId="4" borderId="236" xfId="0" applyFont="1" applyFill="1" applyBorder="1"/>
    <xf numFmtId="175" fontId="0" fillId="0" borderId="236" xfId="10" applyNumberFormat="1" applyFont="1" applyBorder="1" applyAlignment="1">
      <alignment horizontal="right" vertical="top" wrapText="1"/>
    </xf>
    <xf numFmtId="3" fontId="21" fillId="0" borderId="236" xfId="0" applyNumberFormat="1" applyFont="1" applyBorder="1"/>
    <xf numFmtId="0" fontId="21" fillId="4" borderId="236" xfId="0" applyFont="1" applyFill="1" applyBorder="1"/>
    <xf numFmtId="175" fontId="21" fillId="0" borderId="236" xfId="10" applyNumberFormat="1" applyFont="1" applyBorder="1" applyAlignment="1">
      <alignment horizontal="right" vertical="top" wrapText="1"/>
    </xf>
    <xf numFmtId="3" fontId="0" fillId="0" borderId="236" xfId="0" applyNumberFormat="1" applyBorder="1" applyAlignment="1">
      <alignment horizontal="right" vertical="top" wrapText="1"/>
    </xf>
    <xf numFmtId="3" fontId="21" fillId="0" borderId="236" xfId="0" applyNumberFormat="1" applyFont="1" applyBorder="1" applyAlignment="1">
      <alignment horizontal="right" vertical="top" wrapText="1"/>
    </xf>
    <xf numFmtId="0" fontId="21" fillId="0" borderId="236" xfId="0" applyFont="1" applyBorder="1" applyAlignment="1">
      <alignment horizontal="right" vertical="top" wrapText="1"/>
    </xf>
    <xf numFmtId="0" fontId="3" fillId="0" borderId="236" xfId="0" applyFont="1" applyBorder="1" applyAlignment="1">
      <alignment horizontal="left" vertical="top" wrapText="1"/>
    </xf>
    <xf numFmtId="0" fontId="0" fillId="87" borderId="236" xfId="0" applyFill="1" applyBorder="1" applyAlignment="1">
      <alignment horizontal="left" vertical="top" wrapText="1"/>
    </xf>
    <xf numFmtId="0" fontId="0" fillId="87" borderId="236" xfId="0" applyFill="1" applyBorder="1" applyAlignment="1">
      <alignment horizontal="left" vertical="top"/>
    </xf>
    <xf numFmtId="0" fontId="21" fillId="87" borderId="236" xfId="0" applyFont="1" applyFill="1" applyBorder="1"/>
    <xf numFmtId="43" fontId="0" fillId="0" borderId="236" xfId="0" applyNumberFormat="1" applyBorder="1" applyAlignment="1">
      <alignment horizontal="right" vertical="top"/>
    </xf>
    <xf numFmtId="3" fontId="21" fillId="88" borderId="236" xfId="0" applyNumberFormat="1" applyFont="1" applyFill="1" applyBorder="1"/>
    <xf numFmtId="0" fontId="21" fillId="186" borderId="236" xfId="0" applyFont="1" applyFill="1" applyBorder="1"/>
    <xf numFmtId="0" fontId="0" fillId="0" borderId="236" xfId="0" applyBorder="1" applyAlignment="1">
      <alignment horizontal="right" vertical="top"/>
    </xf>
    <xf numFmtId="227" fontId="0" fillId="0" borderId="236" xfId="0" applyNumberFormat="1" applyBorder="1" applyAlignment="1">
      <alignment horizontal="right" vertical="top"/>
    </xf>
    <xf numFmtId="0" fontId="121" fillId="87" borderId="236" xfId="0" applyFont="1" applyFill="1" applyBorder="1"/>
    <xf numFmtId="0" fontId="239" fillId="0" borderId="236" xfId="0" applyFont="1" applyBorder="1" applyAlignment="1">
      <alignment horizontal="left" vertical="center" wrapText="1"/>
    </xf>
    <xf numFmtId="0" fontId="238" fillId="0" borderId="236" xfId="0" applyFont="1" applyBorder="1" applyAlignment="1">
      <alignment horizontal="left" vertical="center" wrapText="1"/>
    </xf>
    <xf numFmtId="0" fontId="225" fillId="0" borderId="236" xfId="2" applyFont="1" applyBorder="1" applyAlignment="1">
      <alignment horizontal="left" vertical="center" wrapText="1"/>
    </xf>
    <xf numFmtId="0" fontId="240" fillId="0" borderId="236" xfId="0" applyFont="1" applyBorder="1" applyAlignment="1">
      <alignment horizontal="left" vertical="center" wrapText="1"/>
    </xf>
    <xf numFmtId="0" fontId="27" fillId="0" borderId="236" xfId="2" applyFont="1" applyBorder="1" applyAlignment="1">
      <alignment horizontal="left" vertical="center" wrapText="1"/>
    </xf>
    <xf numFmtId="0" fontId="14" fillId="0" borderId="236" xfId="0" applyFont="1" applyBorder="1" applyAlignment="1">
      <alignment vertical="top"/>
    </xf>
    <xf numFmtId="0" fontId="14" fillId="11" borderId="236" xfId="0" applyFont="1" applyFill="1" applyBorder="1"/>
    <xf numFmtId="166" fontId="21" fillId="111" borderId="236" xfId="0" applyNumberFormat="1" applyFont="1" applyFill="1" applyBorder="1" applyAlignment="1">
      <alignment vertical="top"/>
    </xf>
    <xf numFmtId="166" fontId="21" fillId="11" borderId="236" xfId="0" applyNumberFormat="1" applyFont="1" applyFill="1" applyBorder="1" applyAlignment="1">
      <alignment vertical="top"/>
    </xf>
    <xf numFmtId="0" fontId="27" fillId="0" borderId="236" xfId="0" applyFont="1" applyBorder="1" applyAlignment="1">
      <alignment vertical="top"/>
    </xf>
    <xf numFmtId="166" fontId="21" fillId="2" borderId="236" xfId="0" applyNumberFormat="1" applyFont="1" applyFill="1" applyBorder="1" applyAlignment="1">
      <alignment vertical="top"/>
    </xf>
    <xf numFmtId="231" fontId="21" fillId="111" borderId="236" xfId="0" applyNumberFormat="1" applyFont="1" applyFill="1" applyBorder="1" applyAlignment="1">
      <alignment vertical="top"/>
    </xf>
    <xf numFmtId="231" fontId="21" fillId="11" borderId="236" xfId="0" applyNumberFormat="1" applyFont="1" applyFill="1" applyBorder="1" applyAlignment="1">
      <alignment vertical="top"/>
    </xf>
    <xf numFmtId="231" fontId="21" fillId="0" borderId="236" xfId="0" applyNumberFormat="1" applyFont="1" applyBorder="1" applyAlignment="1">
      <alignment vertical="top"/>
    </xf>
    <xf numFmtId="228" fontId="21" fillId="0" borderId="236" xfId="0" applyNumberFormat="1" applyFont="1" applyBorder="1" applyAlignment="1">
      <alignment vertical="top"/>
    </xf>
    <xf numFmtId="232" fontId="21" fillId="0" borderId="236" xfId="0" applyNumberFormat="1" applyFont="1" applyBorder="1" applyAlignment="1">
      <alignment vertical="top"/>
    </xf>
    <xf numFmtId="0" fontId="232" fillId="171" borderId="428" xfId="166" applyFont="1" applyFill="1" applyBorder="1" applyAlignment="1">
      <alignment horizontal="center" vertical="top"/>
    </xf>
    <xf numFmtId="2" fontId="0" fillId="0" borderId="428" xfId="0" applyNumberFormat="1" applyBorder="1"/>
    <xf numFmtId="2" fontId="0" fillId="0" borderId="430" xfId="0" applyNumberFormat="1" applyBorder="1"/>
    <xf numFmtId="0" fontId="262" fillId="0" borderId="428" xfId="0" applyFont="1" applyBorder="1"/>
    <xf numFmtId="0" fontId="0" fillId="0" borderId="428" xfId="0" applyBorder="1" applyAlignment="1">
      <alignment horizontal="right" wrapText="1"/>
    </xf>
    <xf numFmtId="0" fontId="0" fillId="3" borderId="428" xfId="0" applyFill="1" applyBorder="1" applyAlignment="1">
      <alignment horizontal="center"/>
    </xf>
    <xf numFmtId="0" fontId="14" fillId="4" borderId="428" xfId="0" applyFont="1" applyFill="1" applyBorder="1" applyAlignment="1">
      <alignment horizontal="center"/>
    </xf>
    <xf numFmtId="0" fontId="14" fillId="0" borderId="428" xfId="0" applyFont="1" applyBorder="1"/>
    <xf numFmtId="166" fontId="14" fillId="2" borderId="428" xfId="0" applyNumberFormat="1" applyFont="1" applyFill="1" applyBorder="1" applyAlignment="1">
      <alignment horizontal="center"/>
    </xf>
    <xf numFmtId="9" fontId="14" fillId="4" borderId="428" xfId="1" applyFont="1" applyFill="1" applyBorder="1" applyAlignment="1">
      <alignment horizontal="center"/>
    </xf>
    <xf numFmtId="2" fontId="14" fillId="2" borderId="428" xfId="0" applyNumberFormat="1" applyFont="1" applyFill="1" applyBorder="1" applyAlignment="1">
      <alignment horizontal="center"/>
    </xf>
    <xf numFmtId="0" fontId="0" fillId="0" borderId="428" xfId="0" applyBorder="1" applyAlignment="1">
      <alignment horizontal="right"/>
    </xf>
    <xf numFmtId="0" fontId="0" fillId="0" borderId="428" xfId="0" applyBorder="1" applyAlignment="1">
      <alignment horizontal="center"/>
    </xf>
    <xf numFmtId="0" fontId="0" fillId="0" borderId="428" xfId="0" applyBorder="1" applyAlignment="1">
      <alignment horizontal="left"/>
    </xf>
    <xf numFmtId="0" fontId="169" fillId="0" borderId="0" xfId="0" applyFont="1" applyAlignment="1">
      <alignment horizontal="center"/>
    </xf>
    <xf numFmtId="0" fontId="27" fillId="0" borderId="86" xfId="0" applyFont="1" applyBorder="1" applyAlignment="1">
      <alignment horizontal="left" vertical="top" wrapText="1"/>
    </xf>
    <xf numFmtId="0" fontId="27" fillId="0" borderId="83" xfId="0" applyFont="1" applyBorder="1" applyAlignment="1">
      <alignment horizontal="left" vertical="top" wrapText="1"/>
    </xf>
    <xf numFmtId="0" fontId="27" fillId="0" borderId="349" xfId="0" applyFont="1" applyBorder="1" applyAlignment="1">
      <alignment horizontal="left" vertical="top" wrapText="1"/>
    </xf>
    <xf numFmtId="0" fontId="120" fillId="9" borderId="0" xfId="0" applyFont="1" applyFill="1" applyAlignment="1">
      <alignment vertical="top"/>
    </xf>
    <xf numFmtId="0" fontId="120" fillId="9" borderId="88" xfId="0" applyFont="1" applyFill="1" applyBorder="1" applyAlignment="1">
      <alignment vertical="top"/>
    </xf>
    <xf numFmtId="0" fontId="0" fillId="0" borderId="82" xfId="0" applyBorder="1" applyAlignment="1">
      <alignment vertical="top" wrapText="1"/>
    </xf>
    <xf numFmtId="0" fontId="0" fillId="0" borderId="107" xfId="0" applyBorder="1" applyAlignment="1">
      <alignment vertical="top" wrapText="1"/>
    </xf>
    <xf numFmtId="0" fontId="120" fillId="9" borderId="84" xfId="0" applyFont="1" applyFill="1" applyBorder="1" applyAlignment="1">
      <alignment vertical="top"/>
    </xf>
    <xf numFmtId="0" fontId="120" fillId="9" borderId="106" xfId="0" applyFont="1" applyFill="1" applyBorder="1" applyAlignment="1">
      <alignment vertical="top"/>
    </xf>
    <xf numFmtId="0" fontId="0" fillId="0" borderId="101" xfId="0" applyBorder="1" applyAlignment="1">
      <alignment vertical="top"/>
    </xf>
    <xf numFmtId="0" fontId="0" fillId="0" borderId="82" xfId="0" applyBorder="1" applyAlignment="1">
      <alignment vertical="top"/>
    </xf>
    <xf numFmtId="0" fontId="0" fillId="0" borderId="107" xfId="0" applyBorder="1" applyAlignment="1">
      <alignment vertical="top"/>
    </xf>
    <xf numFmtId="0" fontId="0" fillId="0" borderId="92" xfId="0" applyBorder="1" applyAlignment="1">
      <alignment vertical="top"/>
    </xf>
    <xf numFmtId="0" fontId="120" fillId="9" borderId="67" xfId="0" applyFont="1" applyFill="1" applyBorder="1" applyAlignment="1">
      <alignment vertical="top"/>
    </xf>
    <xf numFmtId="0" fontId="0" fillId="0" borderId="86" xfId="0" applyBorder="1" applyAlignment="1">
      <alignment horizontal="left" vertical="top" wrapText="1"/>
    </xf>
    <xf numFmtId="0" fontId="0" fillId="0" borderId="83" xfId="0" applyBorder="1" applyAlignment="1">
      <alignment horizontal="left" vertical="top" wrapText="1"/>
    </xf>
    <xf numFmtId="0" fontId="0" fillId="0" borderId="349" xfId="0" applyBorder="1" applyAlignment="1">
      <alignment horizontal="left" vertical="top" wrapText="1"/>
    </xf>
    <xf numFmtId="0" fontId="0" fillId="0" borderId="82" xfId="0" applyBorder="1" applyAlignment="1">
      <alignment horizontal="left" vertical="top" wrapText="1"/>
    </xf>
    <xf numFmtId="0" fontId="3" fillId="0" borderId="86" xfId="0" applyFont="1" applyBorder="1" applyAlignment="1">
      <alignment horizontal="left" vertical="top" wrapText="1"/>
    </xf>
    <xf numFmtId="0" fontId="3" fillId="0" borderId="83" xfId="0" applyFont="1" applyBorder="1" applyAlignment="1">
      <alignment horizontal="left" vertical="top" wrapText="1"/>
    </xf>
    <xf numFmtId="0" fontId="3" fillId="0" borderId="349" xfId="0" applyFont="1" applyBorder="1" applyAlignment="1">
      <alignment horizontal="left" vertical="top" wrapText="1"/>
    </xf>
    <xf numFmtId="0" fontId="0" fillId="0" borderId="83" xfId="0" applyBorder="1" applyAlignment="1">
      <alignment horizontal="center"/>
    </xf>
    <xf numFmtId="0" fontId="0" fillId="0" borderId="349" xfId="0" applyBorder="1" applyAlignment="1">
      <alignment horizontal="center"/>
    </xf>
    <xf numFmtId="0" fontId="0" fillId="0" borderId="83" xfId="0" applyBorder="1" applyAlignment="1">
      <alignment horizontal="left"/>
    </xf>
    <xf numFmtId="0" fontId="0" fillId="0" borderId="349" xfId="0" applyBorder="1" applyAlignment="1">
      <alignment horizontal="left"/>
    </xf>
    <xf numFmtId="0" fontId="14" fillId="0" borderId="243" xfId="0" applyFont="1" applyBorder="1" applyAlignment="1">
      <alignment horizontal="left" vertical="top" wrapText="1"/>
    </xf>
    <xf numFmtId="0" fontId="14" fillId="0" borderId="83" xfId="0" applyFont="1" applyBorder="1" applyAlignment="1">
      <alignment horizontal="left" vertical="top" wrapText="1"/>
    </xf>
    <xf numFmtId="0" fontId="14" fillId="0" borderId="349" xfId="0" applyFont="1" applyBorder="1" applyAlignment="1">
      <alignment horizontal="left" vertical="top" wrapText="1"/>
    </xf>
    <xf numFmtId="0" fontId="0" fillId="0" borderId="109" xfId="0" applyBorder="1" applyAlignment="1">
      <alignment horizontal="left"/>
    </xf>
    <xf numFmtId="0" fontId="0" fillId="0" borderId="84" xfId="0" applyBorder="1" applyAlignment="1">
      <alignment horizontal="left"/>
    </xf>
    <xf numFmtId="0" fontId="0" fillId="0" borderId="106" xfId="0" applyBorder="1" applyAlignment="1">
      <alignment horizontal="left"/>
    </xf>
    <xf numFmtId="0" fontId="0" fillId="0" borderId="236" xfId="0" applyBorder="1" applyAlignment="1">
      <alignment horizontal="left" vertical="top" wrapText="1"/>
    </xf>
    <xf numFmtId="0" fontId="169" fillId="0" borderId="0" xfId="0" applyFont="1" applyAlignment="1">
      <alignment horizontal="left"/>
    </xf>
    <xf numFmtId="0" fontId="120" fillId="9" borderId="0" xfId="0" applyFont="1" applyFill="1" applyAlignment="1">
      <alignment horizontal="left"/>
    </xf>
    <xf numFmtId="0" fontId="120" fillId="9" borderId="67" xfId="0" applyFont="1" applyFill="1" applyBorder="1" applyAlignment="1">
      <alignment horizontal="left"/>
    </xf>
    <xf numFmtId="0" fontId="120" fillId="9" borderId="33" xfId="0" applyFont="1" applyFill="1" applyBorder="1" applyAlignment="1">
      <alignment horizontal="left" vertical="top"/>
    </xf>
    <xf numFmtId="0" fontId="120" fillId="9" borderId="5" xfId="0" applyFont="1" applyFill="1" applyBorder="1" applyAlignment="1">
      <alignment horizontal="left" vertical="top"/>
    </xf>
    <xf numFmtId="0" fontId="3" fillId="11" borderId="236" xfId="0" applyFont="1" applyFill="1" applyBorder="1" applyAlignment="1">
      <alignment horizontal="left"/>
    </xf>
    <xf numFmtId="0" fontId="3" fillId="0" borderId="236" xfId="0" applyFont="1" applyBorder="1" applyAlignment="1">
      <alignment horizontal="right" vertical="center"/>
    </xf>
    <xf numFmtId="0" fontId="3" fillId="110" borderId="236" xfId="0" applyFont="1" applyFill="1" applyBorder="1" applyAlignment="1">
      <alignment horizontal="left" vertical="top"/>
    </xf>
    <xf numFmtId="0" fontId="3" fillId="112" borderId="422" xfId="0" applyFont="1" applyFill="1" applyBorder="1" applyAlignment="1">
      <alignment horizontal="left" vertical="top"/>
    </xf>
    <xf numFmtId="0" fontId="3" fillId="112" borderId="4" xfId="0" applyFont="1" applyFill="1" applyBorder="1" applyAlignment="1">
      <alignment horizontal="left" vertical="top"/>
    </xf>
    <xf numFmtId="0" fontId="14" fillId="0" borderId="0" xfId="0" applyFont="1" applyAlignment="1">
      <alignment horizontal="left" wrapText="1"/>
    </xf>
    <xf numFmtId="0" fontId="121" fillId="0" borderId="0" xfId="0" applyFont="1" applyAlignment="1">
      <alignment horizontal="right" vertical="center"/>
    </xf>
    <xf numFmtId="0" fontId="121" fillId="0" borderId="0" xfId="0" applyFont="1" applyAlignment="1">
      <alignment horizontal="left" vertical="top"/>
    </xf>
    <xf numFmtId="0" fontId="167" fillId="0" borderId="236" xfId="0" applyFont="1" applyBorder="1" applyAlignment="1">
      <alignment horizontal="left" vertical="center"/>
    </xf>
    <xf numFmtId="0" fontId="0" fillId="0" borderId="236" xfId="0" applyBorder="1" applyAlignment="1">
      <alignment horizontal="center"/>
    </xf>
    <xf numFmtId="0" fontId="3" fillId="2" borderId="0" xfId="0" applyFont="1" applyFill="1" applyAlignment="1">
      <alignment horizontal="left"/>
    </xf>
    <xf numFmtId="0" fontId="3" fillId="2" borderId="5" xfId="0" applyFont="1" applyFill="1" applyBorder="1" applyAlignment="1">
      <alignment horizontal="center"/>
    </xf>
    <xf numFmtId="0" fontId="0" fillId="0" borderId="236" xfId="0" applyBorder="1" applyAlignment="1">
      <alignment horizontal="center" vertical="center"/>
    </xf>
    <xf numFmtId="0" fontId="173" fillId="0" borderId="11" xfId="0" applyFont="1" applyBorder="1" applyAlignment="1">
      <alignment vertical="center" wrapText="1"/>
    </xf>
    <xf numFmtId="0" fontId="173" fillId="0" borderId="15" xfId="0" applyFont="1" applyBorder="1" applyAlignment="1">
      <alignment vertical="center" wrapText="1"/>
    </xf>
    <xf numFmtId="0" fontId="173" fillId="0" borderId="13" xfId="0" applyFont="1" applyBorder="1" applyAlignment="1">
      <alignment vertical="center" wrapText="1"/>
    </xf>
    <xf numFmtId="0" fontId="3" fillId="2" borderId="16" xfId="0" applyFont="1" applyFill="1" applyBorder="1" applyAlignment="1">
      <alignment horizontal="center"/>
    </xf>
    <xf numFmtId="0" fontId="3" fillId="2" borderId="17" xfId="0" applyFont="1" applyFill="1" applyBorder="1" applyAlignment="1">
      <alignment horizontal="center"/>
    </xf>
    <xf numFmtId="0" fontId="0" fillId="0" borderId="17" xfId="0" applyBorder="1" applyAlignment="1">
      <alignment horizontal="left"/>
    </xf>
    <xf numFmtId="0" fontId="0" fillId="0" borderId="0" xfId="0" applyAlignment="1">
      <alignment horizontal="left"/>
    </xf>
    <xf numFmtId="0" fontId="0" fillId="0" borderId="0" xfId="0" applyAlignment="1">
      <alignment horizontal="left" wrapText="1"/>
    </xf>
    <xf numFmtId="0" fontId="14" fillId="0" borderId="11" xfId="3" applyFont="1" applyBorder="1" applyAlignment="1">
      <alignment horizontal="left" vertical="top"/>
    </xf>
    <xf numFmtId="0" fontId="14" fillId="0" borderId="13" xfId="3" applyFont="1" applyBorder="1" applyAlignment="1">
      <alignment horizontal="left" vertical="top"/>
    </xf>
    <xf numFmtId="0" fontId="0" fillId="0" borderId="18" xfId="0" applyBorder="1" applyAlignment="1">
      <alignment horizontal="center" vertical="top" wrapText="1"/>
    </xf>
    <xf numFmtId="0" fontId="0" fillId="0" borderId="0" xfId="0" applyAlignment="1">
      <alignment horizontal="center"/>
    </xf>
    <xf numFmtId="0" fontId="3" fillId="2" borderId="0" xfId="0" applyFont="1" applyFill="1" applyAlignment="1">
      <alignment horizontal="center"/>
    </xf>
    <xf numFmtId="0" fontId="167" fillId="12" borderId="11" xfId="3" applyFont="1" applyFill="1" applyBorder="1" applyAlignment="1">
      <alignment horizontal="left" vertical="top" wrapText="1"/>
    </xf>
    <xf numFmtId="0" fontId="167" fillId="12" borderId="13" xfId="3" applyFont="1" applyFill="1" applyBorder="1" applyAlignment="1">
      <alignment horizontal="left" vertical="top" wrapText="1"/>
    </xf>
    <xf numFmtId="0" fontId="167" fillId="12" borderId="11" xfId="3" applyFont="1" applyFill="1" applyBorder="1" applyAlignment="1">
      <alignment horizontal="center" wrapText="1"/>
    </xf>
    <xf numFmtId="0" fontId="167" fillId="12" borderId="13" xfId="3" applyFont="1" applyFill="1" applyBorder="1" applyAlignment="1">
      <alignment horizontal="center" wrapText="1"/>
    </xf>
    <xf numFmtId="0" fontId="3" fillId="4" borderId="236" xfId="0" applyFont="1" applyFill="1" applyBorder="1" applyAlignment="1">
      <alignment horizontal="left" vertical="top" wrapText="1"/>
    </xf>
    <xf numFmtId="0" fontId="3" fillId="4" borderId="423" xfId="0" applyFont="1" applyFill="1" applyBorder="1" applyAlignment="1">
      <alignment horizontal="left" vertical="top" wrapText="1"/>
    </xf>
    <xf numFmtId="0" fontId="0" fillId="0" borderId="423" xfId="0" applyBorder="1" applyAlignment="1">
      <alignment horizontal="left" vertical="top" wrapText="1"/>
    </xf>
    <xf numFmtId="0" fontId="226" fillId="0" borderId="0" xfId="0" applyFont="1" applyAlignment="1">
      <alignment horizontal="left" wrapText="1"/>
    </xf>
    <xf numFmtId="0" fontId="3" fillId="4" borderId="424" xfId="0" applyFont="1" applyFill="1" applyBorder="1" applyAlignment="1">
      <alignment horizontal="left" vertical="top" wrapText="1"/>
    </xf>
    <xf numFmtId="0" fontId="3" fillId="4" borderId="421" xfId="0" applyFont="1" applyFill="1" applyBorder="1" applyAlignment="1">
      <alignment horizontal="center" vertical="top" wrapText="1"/>
    </xf>
    <xf numFmtId="0" fontId="3" fillId="4" borderId="67" xfId="0" applyFont="1" applyFill="1" applyBorder="1" applyAlignment="1">
      <alignment horizontal="center" vertical="top" wrapText="1"/>
    </xf>
    <xf numFmtId="0" fontId="3" fillId="4" borderId="68" xfId="0" applyFont="1" applyFill="1" applyBorder="1" applyAlignment="1">
      <alignment horizontal="center" vertical="top" wrapText="1"/>
    </xf>
    <xf numFmtId="0" fontId="0" fillId="187" borderId="420" xfId="0" applyFill="1" applyBorder="1" applyAlignment="1">
      <alignment horizontal="center" vertical="center"/>
    </xf>
    <xf numFmtId="0" fontId="0" fillId="187" borderId="36" xfId="0" applyFill="1" applyBorder="1" applyAlignment="1">
      <alignment horizontal="center" vertical="center"/>
    </xf>
    <xf numFmtId="0" fontId="0" fillId="187" borderId="33" xfId="0" applyFill="1" applyBorder="1" applyAlignment="1">
      <alignment horizontal="center" vertical="center"/>
    </xf>
    <xf numFmtId="0" fontId="0" fillId="187" borderId="0" xfId="0" applyFill="1" applyAlignment="1">
      <alignment horizontal="left" vertical="top"/>
    </xf>
    <xf numFmtId="0" fontId="0" fillId="0" borderId="0" xfId="0" applyAlignment="1">
      <alignment horizontal="center" vertical="center"/>
    </xf>
    <xf numFmtId="0" fontId="3" fillId="4" borderId="236" xfId="0" applyFont="1" applyFill="1" applyBorder="1" applyAlignment="1">
      <alignment horizontal="left" vertical="top"/>
    </xf>
    <xf numFmtId="0" fontId="3" fillId="4" borderId="423" xfId="0" applyFont="1" applyFill="1" applyBorder="1" applyAlignment="1">
      <alignment horizontal="left" vertical="top"/>
    </xf>
    <xf numFmtId="0" fontId="120" fillId="9" borderId="424" xfId="0" applyFont="1" applyFill="1" applyBorder="1" applyAlignment="1">
      <alignment horizontal="left"/>
    </xf>
    <xf numFmtId="0" fontId="120" fillId="9" borderId="236" xfId="0" applyFont="1" applyFill="1" applyBorder="1" applyAlignment="1">
      <alignment horizontal="left"/>
    </xf>
    <xf numFmtId="0" fontId="120" fillId="9" borderId="423" xfId="0" applyFont="1" applyFill="1" applyBorder="1" applyAlignment="1">
      <alignment horizontal="left"/>
    </xf>
    <xf numFmtId="0" fontId="3" fillId="112" borderId="424" xfId="0" applyFont="1" applyFill="1" applyBorder="1" applyAlignment="1">
      <alignment horizontal="left" vertical="top"/>
    </xf>
    <xf numFmtId="0" fontId="3" fillId="112" borderId="236" xfId="0" applyFont="1" applyFill="1" applyBorder="1" applyAlignment="1">
      <alignment horizontal="left" vertical="top"/>
    </xf>
    <xf numFmtId="0" fontId="3" fillId="112" borderId="236" xfId="0" applyFont="1" applyFill="1" applyBorder="1" applyAlignment="1">
      <alignment horizontal="left" vertical="center"/>
    </xf>
    <xf numFmtId="0" fontId="3" fillId="110" borderId="236" xfId="0" applyFont="1" applyFill="1" applyBorder="1" applyAlignment="1">
      <alignment horizontal="left" vertical="center"/>
    </xf>
    <xf numFmtId="0" fontId="3" fillId="112" borderId="422" xfId="0" applyFont="1" applyFill="1" applyBorder="1" applyAlignment="1">
      <alignment horizontal="left" vertical="center"/>
    </xf>
    <xf numFmtId="0" fontId="3" fillId="112" borderId="4" xfId="0" applyFont="1" applyFill="1" applyBorder="1" applyAlignment="1">
      <alignment horizontal="left" vertical="center"/>
    </xf>
    <xf numFmtId="0" fontId="3" fillId="112" borderId="423" xfId="0" applyFont="1" applyFill="1" applyBorder="1" applyAlignment="1">
      <alignment horizontal="left" vertical="center"/>
    </xf>
    <xf numFmtId="0" fontId="3" fillId="4" borderId="87" xfId="0" applyFont="1" applyFill="1" applyBorder="1" applyAlignment="1">
      <alignment horizontal="center" vertical="center" wrapText="1"/>
    </xf>
    <xf numFmtId="0" fontId="3" fillId="4" borderId="88" xfId="0" applyFont="1" applyFill="1" applyBorder="1" applyAlignment="1">
      <alignment horizontal="center" vertical="center" wrapText="1"/>
    </xf>
    <xf numFmtId="0" fontId="3" fillId="4" borderId="95" xfId="0" applyFont="1" applyFill="1" applyBorder="1" applyAlignment="1">
      <alignment horizontal="center" vertical="center" wrapText="1"/>
    </xf>
    <xf numFmtId="0" fontId="0" fillId="0" borderId="85" xfId="0" applyBorder="1" applyAlignment="1">
      <alignment horizontal="left" vertical="top"/>
    </xf>
    <xf numFmtId="0" fontId="3" fillId="4" borderId="87" xfId="0" applyFont="1" applyFill="1" applyBorder="1" applyAlignment="1">
      <alignment horizontal="center" vertical="top" wrapText="1"/>
    </xf>
    <xf numFmtId="0" fontId="3" fillId="4" borderId="88" xfId="0" applyFont="1" applyFill="1" applyBorder="1" applyAlignment="1">
      <alignment horizontal="center" vertical="top" wrapText="1"/>
    </xf>
    <xf numFmtId="0" fontId="3" fillId="4" borderId="95" xfId="0" applyFont="1" applyFill="1" applyBorder="1" applyAlignment="1">
      <alignment horizontal="center" vertical="top" wrapText="1"/>
    </xf>
    <xf numFmtId="0" fontId="120" fillId="9" borderId="90" xfId="0" applyFont="1" applyFill="1" applyBorder="1" applyAlignment="1">
      <alignment horizontal="left"/>
    </xf>
    <xf numFmtId="0" fontId="120" fillId="9" borderId="85" xfId="0" applyFont="1" applyFill="1" applyBorder="1" applyAlignment="1">
      <alignment horizontal="left"/>
    </xf>
    <xf numFmtId="0" fontId="120" fillId="9" borderId="86" xfId="0" applyFont="1" applyFill="1" applyBorder="1" applyAlignment="1">
      <alignment horizontal="left"/>
    </xf>
    <xf numFmtId="0" fontId="120" fillId="9" borderId="94" xfId="0" applyFont="1" applyFill="1" applyBorder="1" applyAlignment="1">
      <alignment horizontal="left"/>
    </xf>
    <xf numFmtId="0" fontId="120" fillId="114" borderId="86" xfId="0" applyFont="1" applyFill="1" applyBorder="1" applyAlignment="1">
      <alignment horizontal="left"/>
    </xf>
    <xf numFmtId="0" fontId="120" fillId="114" borderId="83" xfId="0" applyFont="1" applyFill="1" applyBorder="1" applyAlignment="1">
      <alignment horizontal="left"/>
    </xf>
    <xf numFmtId="0" fontId="3" fillId="4" borderId="90" xfId="0" applyFont="1" applyFill="1" applyBorder="1" applyAlignment="1">
      <alignment horizontal="left" vertical="top"/>
    </xf>
    <xf numFmtId="0" fontId="3" fillId="4" borderId="85" xfId="0" applyFont="1" applyFill="1" applyBorder="1" applyAlignment="1">
      <alignment horizontal="left" vertical="top"/>
    </xf>
    <xf numFmtId="0" fontId="3" fillId="4" borderId="90" xfId="0" applyFont="1" applyFill="1" applyBorder="1" applyAlignment="1">
      <alignment horizontal="left" vertical="top" wrapText="1"/>
    </xf>
    <xf numFmtId="0" fontId="120" fillId="112" borderId="91" xfId="0" applyFont="1" applyFill="1" applyBorder="1"/>
    <xf numFmtId="0" fontId="120" fillId="112" borderId="0" xfId="0" applyFont="1" applyFill="1"/>
    <xf numFmtId="0" fontId="120" fillId="112" borderId="85" xfId="0" applyFont="1" applyFill="1" applyBorder="1" applyAlignment="1">
      <alignment horizontal="left"/>
    </xf>
    <xf numFmtId="0" fontId="120" fillId="112" borderId="96" xfId="0" applyFont="1" applyFill="1" applyBorder="1" applyAlignment="1">
      <alignment horizontal="left"/>
    </xf>
    <xf numFmtId="0" fontId="120" fillId="112" borderId="86" xfId="0" applyFont="1" applyFill="1" applyBorder="1" applyAlignment="1">
      <alignment horizontal="left"/>
    </xf>
    <xf numFmtId="0" fontId="3" fillId="112" borderId="90" xfId="0" applyFont="1" applyFill="1" applyBorder="1" applyAlignment="1">
      <alignment horizontal="left" vertical="top"/>
    </xf>
    <xf numFmtId="0" fontId="3" fillId="112" borderId="85" xfId="0" applyFont="1" applyFill="1" applyBorder="1" applyAlignment="1">
      <alignment horizontal="left" vertical="top"/>
    </xf>
    <xf numFmtId="0" fontId="0" fillId="0" borderId="0" xfId="0" applyAlignment="1">
      <alignment horizontal="left" vertical="top" wrapText="1"/>
    </xf>
    <xf numFmtId="0" fontId="3" fillId="4" borderId="84" xfId="0" applyFont="1" applyFill="1" applyBorder="1" applyAlignment="1">
      <alignment horizontal="center" vertical="top" wrapText="1"/>
    </xf>
    <xf numFmtId="0" fontId="3" fillId="4" borderId="0" xfId="0" applyFont="1" applyFill="1" applyAlignment="1">
      <alignment horizontal="center" vertical="top" wrapText="1"/>
    </xf>
    <xf numFmtId="0" fontId="120" fillId="9" borderId="82" xfId="0" applyFont="1" applyFill="1" applyBorder="1"/>
    <xf numFmtId="0" fontId="0" fillId="0" borderId="83" xfId="0" applyBorder="1" applyAlignment="1">
      <alignment vertical="top" wrapText="1"/>
    </xf>
    <xf numFmtId="0" fontId="0" fillId="0" borderId="425" xfId="0" applyBorder="1" applyAlignment="1">
      <alignment horizontal="left" vertical="top" wrapText="1"/>
    </xf>
    <xf numFmtId="0" fontId="0" fillId="0" borderId="424" xfId="0" applyBorder="1" applyAlignment="1">
      <alignment horizontal="left" vertical="top" wrapText="1"/>
    </xf>
    <xf numFmtId="0" fontId="3" fillId="4" borderId="144" xfId="0" applyFont="1" applyFill="1" applyBorder="1" applyAlignment="1">
      <alignment horizontal="center" vertical="top" wrapText="1"/>
    </xf>
    <xf numFmtId="0" fontId="3" fillId="4" borderId="145" xfId="0" applyFont="1" applyFill="1" applyBorder="1" applyAlignment="1">
      <alignment horizontal="center" vertical="top" wrapText="1"/>
    </xf>
    <xf numFmtId="0" fontId="3" fillId="4" borderId="146" xfId="0" applyFont="1" applyFill="1" applyBorder="1" applyAlignment="1">
      <alignment horizontal="center" vertical="top" wrapText="1"/>
    </xf>
    <xf numFmtId="0" fontId="3" fillId="4" borderId="117" xfId="0" applyFont="1" applyFill="1" applyBorder="1" applyAlignment="1">
      <alignment horizontal="center" vertical="top" wrapText="1"/>
    </xf>
    <xf numFmtId="0" fontId="120" fillId="9" borderId="117" xfId="0" applyFont="1" applyFill="1" applyBorder="1" applyAlignment="1">
      <alignment horizontal="left"/>
    </xf>
    <xf numFmtId="0" fontId="120" fillId="114" borderId="117" xfId="0" applyFont="1" applyFill="1" applyBorder="1" applyAlignment="1">
      <alignment horizontal="left"/>
    </xf>
    <xf numFmtId="0" fontId="3" fillId="4" borderId="117" xfId="0" applyFont="1" applyFill="1" applyBorder="1" applyAlignment="1">
      <alignment horizontal="left" vertical="top"/>
    </xf>
    <xf numFmtId="0" fontId="32" fillId="38" borderId="423" xfId="21" applyFont="1" applyFill="1" applyBorder="1" applyAlignment="1">
      <alignment horizontal="center" vertical="center"/>
    </xf>
    <xf numFmtId="0" fontId="32" fillId="38" borderId="425" xfId="21" applyFont="1" applyFill="1" applyBorder="1" applyAlignment="1">
      <alignment horizontal="center" vertical="center"/>
    </xf>
    <xf numFmtId="0" fontId="32" fillId="38" borderId="424" xfId="21" applyFont="1" applyFill="1" applyBorder="1" applyAlignment="1">
      <alignment horizontal="center" vertical="center"/>
    </xf>
    <xf numFmtId="0" fontId="184" fillId="38" borderId="31" xfId="21" applyFont="1" applyFill="1" applyBorder="1" applyAlignment="1" applyProtection="1">
      <alignment horizontal="center" vertical="center"/>
      <protection locked="0"/>
    </xf>
    <xf numFmtId="0" fontId="184" fillId="38" borderId="8" xfId="21" applyFont="1" applyFill="1" applyBorder="1" applyAlignment="1" applyProtection="1">
      <alignment horizontal="center" vertical="center"/>
      <protection locked="0"/>
    </xf>
    <xf numFmtId="0" fontId="184" fillId="38" borderId="34" xfId="21" applyFont="1" applyFill="1" applyBorder="1" applyAlignment="1" applyProtection="1">
      <alignment horizontal="center" vertical="center"/>
      <protection locked="0"/>
    </xf>
    <xf numFmtId="0" fontId="32" fillId="38" borderId="31" xfId="21" applyFont="1" applyFill="1" applyBorder="1" applyAlignment="1">
      <alignment horizontal="center" vertical="center"/>
    </xf>
    <xf numFmtId="0" fontId="32" fillId="38" borderId="8" xfId="21" applyFont="1" applyFill="1" applyBorder="1" applyAlignment="1">
      <alignment horizontal="center" vertical="center"/>
    </xf>
    <xf numFmtId="0" fontId="32" fillId="38" borderId="34" xfId="21" applyFont="1" applyFill="1" applyBorder="1" applyAlignment="1">
      <alignment horizontal="center" vertical="center"/>
    </xf>
    <xf numFmtId="0" fontId="0" fillId="0" borderId="349" xfId="0" applyBorder="1" applyAlignment="1">
      <alignment vertical="top" wrapText="1"/>
    </xf>
    <xf numFmtId="0" fontId="120" fillId="9" borderId="378" xfId="0" applyFont="1" applyFill="1" applyBorder="1" applyAlignment="1">
      <alignment horizontal="left"/>
    </xf>
    <xf numFmtId="0" fontId="120" fillId="9" borderId="379" xfId="0" applyFont="1" applyFill="1" applyBorder="1" applyAlignment="1">
      <alignment horizontal="left"/>
    </xf>
    <xf numFmtId="0" fontId="120" fillId="9" borderId="380" xfId="0" applyFont="1" applyFill="1" applyBorder="1" applyAlignment="1">
      <alignment horizontal="left"/>
    </xf>
    <xf numFmtId="0" fontId="3" fillId="112" borderId="378" xfId="0" applyFont="1" applyFill="1" applyBorder="1" applyAlignment="1">
      <alignment horizontal="left" vertical="top"/>
    </xf>
    <xf numFmtId="0" fontId="3" fillId="112" borderId="380" xfId="0" applyFont="1" applyFill="1" applyBorder="1" applyAlignment="1">
      <alignment horizontal="left" vertical="top"/>
    </xf>
    <xf numFmtId="0" fontId="0" fillId="187" borderId="0" xfId="0" applyFill="1" applyAlignment="1">
      <alignment horizontal="center" vertical="top" wrapText="1"/>
    </xf>
    <xf numFmtId="0" fontId="32" fillId="38" borderId="422" xfId="21" applyFont="1" applyFill="1" applyBorder="1" applyAlignment="1">
      <alignment horizontal="left" vertical="top"/>
    </xf>
    <xf numFmtId="0" fontId="32" fillId="38" borderId="3" xfId="21" applyFont="1" applyFill="1" applyBorder="1" applyAlignment="1">
      <alignment horizontal="left" vertical="top"/>
    </xf>
    <xf numFmtId="0" fontId="32" fillId="38" borderId="81" xfId="21" applyFont="1" applyFill="1" applyBorder="1" applyAlignment="1">
      <alignment horizontal="left" vertical="top"/>
    </xf>
    <xf numFmtId="0" fontId="32" fillId="38" borderId="420" xfId="21" applyFont="1" applyFill="1" applyBorder="1" applyAlignment="1">
      <alignment horizontal="center" vertical="center"/>
    </xf>
    <xf numFmtId="0" fontId="32" fillId="38" borderId="430" xfId="21" applyFont="1" applyFill="1" applyBorder="1" applyAlignment="1">
      <alignment horizontal="center" vertical="center"/>
    </xf>
    <xf numFmtId="0" fontId="32" fillId="38" borderId="33" xfId="21" applyFont="1" applyFill="1" applyBorder="1" applyAlignment="1">
      <alignment horizontal="center" vertical="center"/>
    </xf>
    <xf numFmtId="0" fontId="32" fillId="38" borderId="68" xfId="21" applyFont="1" applyFill="1" applyBorder="1" applyAlignment="1">
      <alignment horizontal="center" vertical="center"/>
    </xf>
    <xf numFmtId="0" fontId="32" fillId="38" borderId="422" xfId="21" applyFont="1" applyFill="1" applyBorder="1" applyAlignment="1">
      <alignment horizontal="center" vertical="center"/>
    </xf>
    <xf numFmtId="0" fontId="32" fillId="38" borderId="4" xfId="21" applyFont="1" applyFill="1" applyBorder="1" applyAlignment="1">
      <alignment horizontal="center" vertical="center"/>
    </xf>
    <xf numFmtId="0" fontId="167" fillId="38" borderId="422" xfId="21" applyFont="1" applyFill="1" applyBorder="1" applyAlignment="1">
      <alignment horizontal="left" vertical="top"/>
    </xf>
    <xf numFmtId="0" fontId="167" fillId="38" borderId="3" xfId="21" applyFont="1" applyFill="1" applyBorder="1" applyAlignment="1">
      <alignment horizontal="left" vertical="top"/>
    </xf>
    <xf numFmtId="0" fontId="167" fillId="38" borderId="81" xfId="21" applyFont="1" applyFill="1" applyBorder="1" applyAlignment="1">
      <alignment horizontal="left" vertical="top"/>
    </xf>
    <xf numFmtId="0" fontId="167" fillId="38" borderId="423" xfId="21" applyFont="1" applyFill="1" applyBorder="1" applyAlignment="1">
      <alignment horizontal="center" vertical="center"/>
    </xf>
    <xf numFmtId="0" fontId="167" fillId="38" borderId="424" xfId="21" applyFont="1" applyFill="1" applyBorder="1" applyAlignment="1">
      <alignment horizontal="center" vertical="center"/>
    </xf>
    <xf numFmtId="0" fontId="167" fillId="38" borderId="425" xfId="21" applyFont="1" applyFill="1" applyBorder="1" applyAlignment="1">
      <alignment horizontal="center" vertical="center"/>
    </xf>
    <xf numFmtId="0" fontId="167" fillId="38" borderId="420" xfId="21" applyFont="1" applyFill="1" applyBorder="1" applyAlignment="1">
      <alignment horizontal="center" vertical="center"/>
    </xf>
    <xf numFmtId="0" fontId="167" fillId="38" borderId="430" xfId="21" applyFont="1" applyFill="1" applyBorder="1" applyAlignment="1">
      <alignment horizontal="center" vertical="center"/>
    </xf>
    <xf numFmtId="0" fontId="167" fillId="38" borderId="33" xfId="21" applyFont="1" applyFill="1" applyBorder="1" applyAlignment="1">
      <alignment horizontal="center" vertical="center"/>
    </xf>
    <xf numFmtId="0" fontId="167" fillId="38" borderId="68" xfId="21" applyFont="1" applyFill="1" applyBorder="1" applyAlignment="1">
      <alignment horizontal="center" vertical="center"/>
    </xf>
    <xf numFmtId="0" fontId="167" fillId="38" borderId="422" xfId="21" applyFont="1" applyFill="1" applyBorder="1" applyAlignment="1">
      <alignment horizontal="center" vertical="center"/>
    </xf>
    <xf numFmtId="0" fontId="167" fillId="38" borderId="4" xfId="21" applyFont="1" applyFill="1" applyBorder="1" applyAlignment="1">
      <alignment horizontal="center" vertical="center"/>
    </xf>
    <xf numFmtId="0" fontId="167" fillId="38" borderId="31" xfId="21" applyFont="1" applyFill="1" applyBorder="1" applyAlignment="1">
      <alignment horizontal="center" vertical="center"/>
    </xf>
    <xf numFmtId="0" fontId="167" fillId="38" borderId="34" xfId="21" applyFont="1" applyFill="1" applyBorder="1" applyAlignment="1">
      <alignment horizontal="center" vertical="center"/>
    </xf>
    <xf numFmtId="0" fontId="167" fillId="38" borderId="8" xfId="21" applyFont="1" applyFill="1" applyBorder="1" applyAlignment="1">
      <alignment horizontal="center" vertical="center"/>
    </xf>
    <xf numFmtId="0" fontId="14" fillId="16" borderId="424" xfId="3" applyFont="1" applyFill="1" applyBorder="1" applyAlignment="1">
      <alignment horizontal="center" vertical="center"/>
    </xf>
    <xf numFmtId="0" fontId="14" fillId="16" borderId="425" xfId="3" applyFont="1" applyFill="1" applyBorder="1" applyAlignment="1">
      <alignment horizontal="center" vertical="center"/>
    </xf>
    <xf numFmtId="0" fontId="14" fillId="16" borderId="4" xfId="3" applyFont="1" applyFill="1" applyBorder="1" applyAlignment="1">
      <alignment horizontal="center" vertical="center"/>
    </xf>
    <xf numFmtId="0" fontId="14" fillId="16" borderId="8" xfId="3" applyFont="1" applyFill="1" applyBorder="1" applyAlignment="1">
      <alignment horizontal="center" vertical="center"/>
    </xf>
    <xf numFmtId="0" fontId="14" fillId="16" borderId="34" xfId="3" applyFont="1" applyFill="1" applyBorder="1" applyAlignment="1">
      <alignment horizontal="center" vertical="center"/>
    </xf>
    <xf numFmtId="0" fontId="120" fillId="9" borderId="82" xfId="0" applyFont="1" applyFill="1" applyBorder="1" applyAlignment="1">
      <alignment horizontal="left"/>
    </xf>
    <xf numFmtId="0" fontId="3" fillId="4" borderId="87" xfId="0" applyFont="1" applyFill="1" applyBorder="1" applyAlignment="1">
      <alignment horizontal="left" vertical="top" wrapText="1"/>
    </xf>
    <xf numFmtId="0" fontId="3" fillId="4" borderId="88" xfId="0" applyFont="1" applyFill="1" applyBorder="1" applyAlignment="1">
      <alignment horizontal="left" vertical="top" wrapText="1"/>
    </xf>
    <xf numFmtId="0" fontId="120" fillId="9" borderId="423" xfId="0" applyFont="1" applyFill="1" applyBorder="1" applyAlignment="1">
      <alignment horizontal="center"/>
    </xf>
    <xf numFmtId="0" fontId="120" fillId="9" borderId="425" xfId="0" applyFont="1" applyFill="1" applyBorder="1" applyAlignment="1">
      <alignment horizontal="center"/>
    </xf>
    <xf numFmtId="0" fontId="120" fillId="9" borderId="424" xfId="0" applyFont="1" applyFill="1" applyBorder="1" applyAlignment="1">
      <alignment horizontal="center"/>
    </xf>
    <xf numFmtId="0" fontId="187" fillId="116" borderId="381" xfId="0" applyFont="1" applyFill="1" applyBorder="1" applyAlignment="1">
      <alignment vertical="center"/>
    </xf>
    <xf numFmtId="0" fontId="187" fillId="116" borderId="382" xfId="0" applyFont="1" applyFill="1" applyBorder="1" applyAlignment="1">
      <alignment vertical="center"/>
    </xf>
    <xf numFmtId="0" fontId="187" fillId="116" borderId="383" xfId="0" applyFont="1" applyFill="1" applyBorder="1" applyAlignment="1">
      <alignment vertical="center" wrapText="1"/>
    </xf>
    <xf numFmtId="0" fontId="187" fillId="116" borderId="385" xfId="0" applyFont="1" applyFill="1" applyBorder="1" applyAlignment="1">
      <alignment vertical="center" wrapText="1"/>
    </xf>
    <xf numFmtId="0" fontId="187" fillId="211" borderId="383" xfId="0" applyFont="1" applyFill="1" applyBorder="1" applyAlignment="1">
      <alignment vertical="center"/>
    </xf>
    <xf numFmtId="0" fontId="187" fillId="211" borderId="385" xfId="0" applyFont="1" applyFill="1" applyBorder="1" applyAlignment="1">
      <alignment vertical="center"/>
    </xf>
    <xf numFmtId="0" fontId="187" fillId="116" borderId="383" xfId="0" applyFont="1" applyFill="1" applyBorder="1" applyAlignment="1">
      <alignment vertical="center"/>
    </xf>
    <xf numFmtId="0" fontId="187" fillId="116" borderId="385" xfId="0" applyFont="1" applyFill="1" applyBorder="1" applyAlignment="1">
      <alignment vertical="center"/>
    </xf>
    <xf numFmtId="0" fontId="187" fillId="116" borderId="384" xfId="0" applyFont="1" applyFill="1" applyBorder="1" applyAlignment="1">
      <alignment vertical="center" wrapText="1"/>
    </xf>
    <xf numFmtId="0" fontId="187" fillId="116" borderId="386" xfId="0" applyFont="1" applyFill="1" applyBorder="1" applyAlignment="1">
      <alignment vertical="center" wrapText="1"/>
    </xf>
    <xf numFmtId="0" fontId="186" fillId="0" borderId="236" xfId="0" applyFont="1" applyBorder="1" applyAlignment="1">
      <alignment vertical="center" wrapText="1"/>
    </xf>
    <xf numFmtId="0" fontId="295" fillId="210" borderId="236" xfId="0" applyFont="1" applyFill="1" applyBorder="1" applyAlignment="1">
      <alignment vertical="center"/>
    </xf>
    <xf numFmtId="0" fontId="186" fillId="0" borderId="236" xfId="0" applyFont="1" applyBorder="1" applyAlignment="1">
      <alignment vertical="center"/>
    </xf>
    <xf numFmtId="0" fontId="167" fillId="112" borderId="68" xfId="0" applyFont="1" applyFill="1" applyBorder="1" applyAlignment="1">
      <alignment horizontal="left" vertical="top"/>
    </xf>
    <xf numFmtId="0" fontId="167" fillId="112" borderId="4" xfId="0" applyFont="1" applyFill="1" applyBorder="1" applyAlignment="1">
      <alignment horizontal="left" vertical="top"/>
    </xf>
    <xf numFmtId="0" fontId="167" fillId="4" borderId="430" xfId="0" applyFont="1" applyFill="1" applyBorder="1" applyAlignment="1">
      <alignment horizontal="left" vertical="top" wrapText="1"/>
    </xf>
    <xf numFmtId="0" fontId="167" fillId="4" borderId="67" xfId="0" applyFont="1" applyFill="1" applyBorder="1" applyAlignment="1">
      <alignment horizontal="left" vertical="top" wrapText="1"/>
    </xf>
    <xf numFmtId="0" fontId="120" fillId="114" borderId="91" xfId="0" applyFont="1" applyFill="1" applyBorder="1" applyAlignment="1">
      <alignment horizontal="left"/>
    </xf>
    <xf numFmtId="0" fontId="120" fillId="114" borderId="0" xfId="0" applyFont="1" applyFill="1" applyAlignment="1">
      <alignment horizontal="left"/>
    </xf>
    <xf numFmtId="0" fontId="120" fillId="187" borderId="0" xfId="0" applyFont="1" applyFill="1"/>
    <xf numFmtId="0" fontId="176" fillId="0" borderId="0" xfId="2" applyFont="1" applyBorder="1" applyAlignment="1">
      <alignment vertical="top" wrapText="1"/>
    </xf>
    <xf numFmtId="0" fontId="14" fillId="0" borderId="0" xfId="0" applyFont="1" applyAlignment="1">
      <alignment vertical="top" wrapText="1"/>
    </xf>
    <xf numFmtId="0" fontId="120" fillId="9" borderId="4" xfId="0" applyFont="1" applyFill="1" applyBorder="1" applyAlignment="1">
      <alignment horizontal="left"/>
    </xf>
    <xf numFmtId="0" fontId="3" fillId="112" borderId="422" xfId="0" applyFont="1" applyFill="1" applyBorder="1" applyAlignment="1">
      <alignment horizontal="left" vertical="top" wrapText="1"/>
    </xf>
    <xf numFmtId="0" fontId="3" fillId="112" borderId="4" xfId="0" applyFont="1" applyFill="1" applyBorder="1" applyAlignment="1">
      <alignment horizontal="left" vertical="top" wrapText="1"/>
    </xf>
    <xf numFmtId="0" fontId="121" fillId="4" borderId="236" xfId="0" applyFont="1" applyFill="1" applyBorder="1" applyAlignment="1">
      <alignment horizontal="left"/>
    </xf>
    <xf numFmtId="0" fontId="225" fillId="0" borderId="0" xfId="2" applyFont="1" applyBorder="1" applyAlignment="1">
      <alignment horizontal="left"/>
    </xf>
    <xf numFmtId="0" fontId="3" fillId="111" borderId="396" xfId="0" applyFont="1" applyFill="1" applyBorder="1" applyAlignment="1">
      <alignment horizontal="left" vertical="top"/>
    </xf>
    <xf numFmtId="0" fontId="3" fillId="111" borderId="349" xfId="0" applyFont="1" applyFill="1" applyBorder="1" applyAlignment="1">
      <alignment horizontal="left" vertical="top"/>
    </xf>
    <xf numFmtId="0" fontId="261" fillId="9" borderId="90" xfId="0" applyFont="1" applyFill="1" applyBorder="1" applyAlignment="1">
      <alignment horizontal="left"/>
    </xf>
    <xf numFmtId="0" fontId="261" fillId="9" borderId="85" xfId="0" applyFont="1" applyFill="1" applyBorder="1" applyAlignment="1">
      <alignment horizontal="left"/>
    </xf>
    <xf numFmtId="0" fontId="261" fillId="9" borderId="86" xfId="0" applyFont="1" applyFill="1" applyBorder="1" applyAlignment="1">
      <alignment horizontal="left"/>
    </xf>
    <xf numFmtId="0" fontId="3" fillId="4" borderId="86" xfId="0" applyFont="1" applyFill="1" applyBorder="1" applyAlignment="1">
      <alignment horizontal="left" vertical="top"/>
    </xf>
    <xf numFmtId="0" fontId="3" fillId="2" borderId="391" xfId="0" applyFont="1" applyFill="1" applyBorder="1" applyAlignment="1">
      <alignment horizontal="center" vertical="top"/>
    </xf>
    <xf numFmtId="0" fontId="3" fillId="2" borderId="105" xfId="0" applyFont="1" applyFill="1" applyBorder="1" applyAlignment="1">
      <alignment horizontal="center" vertical="top"/>
    </xf>
    <xf numFmtId="0" fontId="3" fillId="87" borderId="83" xfId="0" applyFont="1" applyFill="1" applyBorder="1" applyAlignment="1">
      <alignment horizontal="left" vertical="top" wrapText="1"/>
    </xf>
    <xf numFmtId="0" fontId="3" fillId="87" borderId="349" xfId="0" applyFont="1" applyFill="1" applyBorder="1" applyAlignment="1">
      <alignment horizontal="left" vertical="top" wrapText="1"/>
    </xf>
    <xf numFmtId="0" fontId="3" fillId="87" borderId="243" xfId="0" applyFont="1" applyFill="1" applyBorder="1" applyAlignment="1">
      <alignment horizontal="left" vertical="top" wrapText="1"/>
    </xf>
    <xf numFmtId="0" fontId="3" fillId="87" borderId="0" xfId="0" applyFont="1" applyFill="1" applyAlignment="1">
      <alignment horizontal="left" vertical="top" wrapText="1"/>
    </xf>
    <xf numFmtId="0" fontId="3" fillId="87" borderId="82" xfId="0" applyFont="1" applyFill="1" applyBorder="1" applyAlignment="1">
      <alignment horizontal="left" vertical="top" wrapText="1"/>
    </xf>
    <xf numFmtId="0" fontId="3" fillId="4" borderId="393" xfId="0" applyFont="1" applyFill="1" applyBorder="1" applyAlignment="1">
      <alignment horizontal="left" vertical="top"/>
    </xf>
    <xf numFmtId="0" fontId="3" fillId="4" borderId="394" xfId="0" applyFont="1" applyFill="1" applyBorder="1" applyAlignment="1">
      <alignment horizontal="left" vertical="top"/>
    </xf>
    <xf numFmtId="0" fontId="3" fillId="4" borderId="395" xfId="0" applyFont="1" applyFill="1" applyBorder="1" applyAlignment="1">
      <alignment horizontal="left" vertical="top"/>
    </xf>
    <xf numFmtId="0" fontId="3" fillId="2" borderId="426" xfId="0" applyFont="1" applyFill="1" applyBorder="1" applyAlignment="1">
      <alignment horizontal="center" vertical="top"/>
    </xf>
    <xf numFmtId="0" fontId="185" fillId="0" borderId="325" xfId="0" applyFont="1" applyBorder="1" applyAlignment="1">
      <alignment horizontal="center" wrapText="1"/>
    </xf>
    <xf numFmtId="0" fontId="185" fillId="0" borderId="326" xfId="0" applyFont="1" applyBorder="1" applyAlignment="1">
      <alignment horizontal="center" wrapText="1"/>
    </xf>
    <xf numFmtId="0" fontId="185" fillId="0" borderId="327" xfId="0" applyFont="1" applyBorder="1" applyAlignment="1">
      <alignment horizontal="center" wrapText="1"/>
    </xf>
    <xf numFmtId="0" fontId="185" fillId="0" borderId="328" xfId="0" applyFont="1" applyBorder="1" applyAlignment="1">
      <alignment horizontal="center" wrapText="1"/>
    </xf>
    <xf numFmtId="0" fontId="185" fillId="0" borderId="329" xfId="0" applyFont="1" applyBorder="1" applyAlignment="1">
      <alignment horizontal="center" wrapText="1"/>
    </xf>
    <xf numFmtId="0" fontId="185" fillId="4" borderId="152" xfId="0" applyFont="1" applyFill="1" applyBorder="1" applyAlignment="1">
      <alignment horizontal="left" vertical="center" wrapText="1"/>
    </xf>
    <xf numFmtId="0" fontId="185" fillId="12" borderId="152" xfId="0" applyFont="1" applyFill="1" applyBorder="1" applyAlignment="1">
      <alignment horizontal="left" vertical="center" wrapText="1"/>
    </xf>
    <xf numFmtId="0" fontId="4" fillId="117" borderId="0" xfId="0" applyFont="1" applyFill="1" applyAlignment="1">
      <alignment horizontal="left"/>
    </xf>
    <xf numFmtId="0" fontId="233" fillId="173" borderId="0" xfId="166" applyFont="1" applyFill="1" applyAlignment="1">
      <alignment horizontal="center" vertical="top"/>
    </xf>
    <xf numFmtId="0" fontId="185" fillId="188" borderId="152" xfId="0" applyFont="1" applyFill="1" applyBorder="1" applyAlignment="1">
      <alignment horizontal="left" vertical="center" wrapText="1"/>
    </xf>
    <xf numFmtId="0" fontId="14" fillId="0" borderId="115" xfId="0" applyFont="1" applyBorder="1" applyAlignment="1">
      <alignment horizontal="center" vertical="top"/>
    </xf>
    <xf numFmtId="0" fontId="14" fillId="0" borderId="116" xfId="0" applyFont="1" applyBorder="1" applyAlignment="1">
      <alignment horizontal="center" vertical="top"/>
    </xf>
    <xf numFmtId="0" fontId="257" fillId="0" borderId="332" xfId="0" applyFont="1" applyBorder="1" applyAlignment="1">
      <alignment wrapText="1"/>
    </xf>
    <xf numFmtId="0" fontId="257" fillId="0" borderId="333" xfId="0" applyFont="1" applyBorder="1" applyAlignment="1">
      <alignment wrapText="1"/>
    </xf>
    <xf numFmtId="0" fontId="257" fillId="0" borderId="334" xfId="0" applyFont="1" applyBorder="1" applyAlignment="1">
      <alignment wrapText="1"/>
    </xf>
    <xf numFmtId="0" fontId="257" fillId="0" borderId="335" xfId="0" applyFont="1" applyBorder="1" applyAlignment="1">
      <alignment wrapText="1"/>
    </xf>
    <xf numFmtId="0" fontId="3" fillId="112" borderId="87" xfId="0" applyFont="1" applyFill="1" applyBorder="1" applyAlignment="1">
      <alignment horizontal="left" vertical="top"/>
    </xf>
    <xf numFmtId="0" fontId="3" fillId="112" borderId="94" xfId="0" applyFont="1" applyFill="1" applyBorder="1" applyAlignment="1">
      <alignment horizontal="left" vertical="top"/>
    </xf>
    <xf numFmtId="0" fontId="3" fillId="112" borderId="91" xfId="0" applyFont="1" applyFill="1" applyBorder="1" applyAlignment="1">
      <alignment horizontal="left" vertical="top"/>
    </xf>
    <xf numFmtId="0" fontId="3" fillId="112" borderId="0" xfId="0" applyFont="1" applyFill="1" applyAlignment="1">
      <alignment horizontal="left" vertical="top"/>
    </xf>
    <xf numFmtId="0" fontId="3" fillId="4" borderId="95" xfId="0" applyFont="1" applyFill="1" applyBorder="1" applyAlignment="1">
      <alignment horizontal="left" vertical="top" wrapText="1"/>
    </xf>
    <xf numFmtId="0" fontId="167" fillId="112" borderId="87" xfId="0" applyFont="1" applyFill="1" applyBorder="1" applyAlignment="1">
      <alignment horizontal="left" vertical="top"/>
    </xf>
    <xf numFmtId="0" fontId="167" fillId="112" borderId="85" xfId="0" applyFont="1" applyFill="1" applyBorder="1" applyAlignment="1">
      <alignment horizontal="left" vertical="top"/>
    </xf>
    <xf numFmtId="0" fontId="3" fillId="4" borderId="106" xfId="0" applyFont="1" applyFill="1" applyBorder="1" applyAlignment="1">
      <alignment horizontal="left" vertical="top" wrapText="1"/>
    </xf>
    <xf numFmtId="0" fontId="3" fillId="4" borderId="67" xfId="0" applyFont="1" applyFill="1" applyBorder="1" applyAlignment="1">
      <alignment horizontal="left" vertical="top" wrapText="1"/>
    </xf>
    <xf numFmtId="0" fontId="120" fillId="9" borderId="86" xfId="0" applyFont="1" applyFill="1" applyBorder="1" applyAlignment="1">
      <alignment horizontal="center"/>
    </xf>
    <xf numFmtId="0" fontId="120" fillId="9" borderId="83" xfId="0" applyFont="1" applyFill="1" applyBorder="1" applyAlignment="1">
      <alignment horizontal="center"/>
    </xf>
    <xf numFmtId="0" fontId="120" fillId="9" borderId="90" xfId="0" applyFont="1" applyFill="1" applyBorder="1" applyAlignment="1">
      <alignment horizontal="center"/>
    </xf>
    <xf numFmtId="0" fontId="167" fillId="4" borderId="236" xfId="0" applyFont="1" applyFill="1" applyBorder="1" applyAlignment="1">
      <alignment horizontal="left" vertical="top"/>
    </xf>
    <xf numFmtId="0" fontId="120" fillId="9" borderId="91" xfId="0" applyFont="1" applyFill="1" applyBorder="1"/>
    <xf numFmtId="0" fontId="120" fillId="9" borderId="0" xfId="0" applyFont="1" applyFill="1"/>
    <xf numFmtId="0" fontId="120" fillId="9" borderId="83" xfId="0" applyFont="1" applyFill="1" applyBorder="1"/>
    <xf numFmtId="0" fontId="0" fillId="0" borderId="117" xfId="0" applyBorder="1" applyAlignment="1">
      <alignment horizontal="left" vertical="top" wrapText="1"/>
    </xf>
    <xf numFmtId="0" fontId="167" fillId="12" borderId="236" xfId="0" applyFont="1" applyFill="1" applyBorder="1" applyAlignment="1">
      <alignment horizontal="left" vertical="top" wrapText="1"/>
    </xf>
    <xf numFmtId="0" fontId="120" fillId="114" borderId="85" xfId="0" applyFont="1" applyFill="1" applyBorder="1" applyAlignment="1">
      <alignment horizontal="left"/>
    </xf>
    <xf numFmtId="0" fontId="3" fillId="4" borderId="87" xfId="0" applyFont="1" applyFill="1" applyBorder="1" applyAlignment="1">
      <alignment horizontal="left" vertical="top"/>
    </xf>
    <xf numFmtId="0" fontId="3" fillId="4" borderId="90" xfId="0" applyFont="1" applyFill="1" applyBorder="1" applyAlignment="1">
      <alignment vertical="top" wrapText="1"/>
    </xf>
    <xf numFmtId="0" fontId="3" fillId="4" borderId="412" xfId="0" applyFont="1" applyFill="1" applyBorder="1" applyAlignment="1">
      <alignment vertical="top" wrapText="1"/>
    </xf>
    <xf numFmtId="0" fontId="3" fillId="4" borderId="413" xfId="0" applyFont="1" applyFill="1" applyBorder="1" applyAlignment="1">
      <alignment vertical="top" wrapText="1"/>
    </xf>
    <xf numFmtId="0" fontId="3" fillId="4" borderId="224" xfId="0" applyFont="1" applyFill="1" applyBorder="1" applyAlignment="1">
      <alignment vertical="top" wrapText="1"/>
    </xf>
    <xf numFmtId="0" fontId="3" fillId="4" borderId="422" xfId="0" applyFont="1" applyFill="1" applyBorder="1" applyAlignment="1">
      <alignment horizontal="left" vertical="top"/>
    </xf>
    <xf numFmtId="0" fontId="3" fillId="4" borderId="3" xfId="0" applyFont="1" applyFill="1" applyBorder="1" applyAlignment="1">
      <alignment horizontal="left" vertical="top"/>
    </xf>
    <xf numFmtId="0" fontId="3" fillId="4" borderId="4" xfId="0" applyFont="1" applyFill="1" applyBorder="1" applyAlignment="1">
      <alignment horizontal="left" vertical="top"/>
    </xf>
    <xf numFmtId="0" fontId="120" fillId="9" borderId="0" xfId="0" applyFont="1" applyFill="1" applyAlignment="1">
      <alignment horizontal="left" vertical="top"/>
    </xf>
    <xf numFmtId="0" fontId="120" fillId="9" borderId="90" xfId="0" applyFont="1" applyFill="1" applyBorder="1"/>
    <xf numFmtId="0" fontId="120" fillId="9" borderId="85" xfId="0" applyFont="1" applyFill="1" applyBorder="1"/>
    <xf numFmtId="0" fontId="120" fillId="9" borderId="86" xfId="0" applyFont="1" applyFill="1" applyBorder="1"/>
    <xf numFmtId="0" fontId="120" fillId="114" borderId="86" xfId="0" applyFont="1" applyFill="1" applyBorder="1"/>
    <xf numFmtId="0" fontId="120" fillId="114" borderId="83" xfId="0" applyFont="1" applyFill="1" applyBorder="1"/>
    <xf numFmtId="0" fontId="120" fillId="114" borderId="90" xfId="0" applyFont="1" applyFill="1" applyBorder="1"/>
    <xf numFmtId="0" fontId="120" fillId="9" borderId="84" xfId="0" applyFont="1" applyFill="1" applyBorder="1" applyAlignment="1">
      <alignment horizontal="center" vertical="center" wrapText="1"/>
    </xf>
    <xf numFmtId="0" fontId="120" fillId="9" borderId="0" xfId="0" applyFont="1" applyFill="1" applyAlignment="1">
      <alignment horizontal="center" vertical="center" wrapText="1"/>
    </xf>
    <xf numFmtId="0" fontId="120" fillId="9" borderId="420" xfId="0" applyFont="1" applyFill="1" applyBorder="1" applyAlignment="1">
      <alignment horizontal="left"/>
    </xf>
    <xf numFmtId="0" fontId="120" fillId="9" borderId="428" xfId="0" applyFont="1" applyFill="1" applyBorder="1" applyAlignment="1">
      <alignment horizontal="left"/>
    </xf>
    <xf numFmtId="0" fontId="120" fillId="9" borderId="425" xfId="0" applyFont="1" applyFill="1" applyBorder="1" applyAlignment="1">
      <alignment horizontal="left"/>
    </xf>
    <xf numFmtId="0" fontId="120" fillId="9" borderId="0" xfId="0" applyFont="1" applyFill="1" applyAlignment="1">
      <alignment horizontal="center"/>
    </xf>
    <xf numFmtId="0" fontId="120" fillId="9" borderId="84" xfId="0" applyFont="1" applyFill="1" applyBorder="1" applyAlignment="1">
      <alignment horizontal="left" vertical="top" wrapText="1"/>
    </xf>
    <xf numFmtId="0" fontId="120" fillId="9" borderId="0" xfId="0" applyFont="1" applyFill="1" applyAlignment="1">
      <alignment horizontal="left" vertical="top" wrapText="1"/>
    </xf>
    <xf numFmtId="0" fontId="14" fillId="87" borderId="102" xfId="0" applyFont="1" applyFill="1" applyBorder="1" applyAlignment="1">
      <alignment horizontal="center"/>
    </xf>
    <xf numFmtId="0" fontId="14" fillId="87" borderId="85" xfId="0" applyFont="1" applyFill="1" applyBorder="1" applyAlignment="1">
      <alignment horizontal="center"/>
    </xf>
    <xf numFmtId="0" fontId="14" fillId="87" borderId="86" xfId="0" applyFont="1" applyFill="1" applyBorder="1" applyAlignment="1">
      <alignment horizontal="center"/>
    </xf>
    <xf numFmtId="0" fontId="14" fillId="87" borderId="94" xfId="0" applyFont="1" applyFill="1" applyBorder="1" applyAlignment="1">
      <alignment horizontal="center"/>
    </xf>
    <xf numFmtId="170" fontId="14" fillId="87" borderId="102" xfId="0" applyNumberFormat="1" applyFont="1" applyFill="1" applyBorder="1" applyAlignment="1">
      <alignment horizontal="center"/>
    </xf>
    <xf numFmtId="170" fontId="14" fillId="87" borderId="85" xfId="0" applyNumberFormat="1" applyFont="1" applyFill="1" applyBorder="1" applyAlignment="1">
      <alignment horizontal="center"/>
    </xf>
    <xf numFmtId="170" fontId="14" fillId="87" borderId="86" xfId="0" applyNumberFormat="1" applyFont="1" applyFill="1" applyBorder="1" applyAlignment="1">
      <alignment horizontal="center"/>
    </xf>
    <xf numFmtId="170" fontId="14" fillId="87" borderId="94" xfId="0" applyNumberFormat="1" applyFont="1" applyFill="1" applyBorder="1" applyAlignment="1">
      <alignment horizontal="center"/>
    </xf>
    <xf numFmtId="0" fontId="0" fillId="0" borderId="86" xfId="0" applyBorder="1" applyAlignment="1">
      <alignment horizontal="left" vertical="top"/>
    </xf>
    <xf numFmtId="0" fontId="257" fillId="0" borderId="153" xfId="0" applyFont="1" applyBorder="1"/>
    <xf numFmtId="0" fontId="257" fillId="0" borderId="343" xfId="0" applyFont="1" applyBorder="1"/>
    <xf numFmtId="0" fontId="257" fillId="0" borderId="156" xfId="0" applyFont="1" applyBorder="1"/>
    <xf numFmtId="0" fontId="185" fillId="188" borderId="340" xfId="0" applyFont="1" applyFill="1" applyBorder="1" applyAlignment="1">
      <alignment horizontal="left" vertical="top" wrapText="1"/>
    </xf>
    <xf numFmtId="0" fontId="185" fillId="188" borderId="341" xfId="0" applyFont="1" applyFill="1" applyBorder="1" applyAlignment="1">
      <alignment horizontal="left" vertical="top" wrapText="1"/>
    </xf>
    <xf numFmtId="0" fontId="185" fillId="188" borderId="342" xfId="0" applyFont="1" applyFill="1" applyBorder="1" applyAlignment="1">
      <alignment horizontal="left" vertical="top" wrapText="1"/>
    </xf>
    <xf numFmtId="0" fontId="185" fillId="188" borderId="344" xfId="0" applyFont="1" applyFill="1" applyBorder="1" applyAlignment="1">
      <alignment horizontal="left" vertical="top" wrapText="1"/>
    </xf>
    <xf numFmtId="0" fontId="185" fillId="0" borderId="153" xfId="0" applyFont="1" applyBorder="1" applyAlignment="1">
      <alignment horizontal="center" wrapText="1"/>
    </xf>
    <xf numFmtId="0" fontId="185" fillId="0" borderId="343" xfId="0" applyFont="1" applyBorder="1" applyAlignment="1">
      <alignment horizontal="center" wrapText="1"/>
    </xf>
    <xf numFmtId="0" fontId="185" fillId="0" borderId="156" xfId="0" applyFont="1" applyBorder="1" applyAlignment="1">
      <alignment horizontal="center" wrapText="1"/>
    </xf>
    <xf numFmtId="0" fontId="185" fillId="0" borderId="153" xfId="0" applyFont="1" applyBorder="1" applyAlignment="1">
      <alignment horizontal="left" wrapText="1"/>
    </xf>
    <xf numFmtId="0" fontId="185" fillId="0" borderId="343" xfId="0" applyFont="1" applyBorder="1" applyAlignment="1">
      <alignment horizontal="left" wrapText="1"/>
    </xf>
    <xf numFmtId="0" fontId="185" fillId="0" borderId="156" xfId="0" applyFont="1" applyBorder="1" applyAlignment="1">
      <alignment horizontal="left" wrapText="1"/>
    </xf>
    <xf numFmtId="0" fontId="185" fillId="188" borderId="340" xfId="0" applyFont="1" applyFill="1" applyBorder="1" applyAlignment="1">
      <alignment horizontal="left" vertical="top"/>
    </xf>
    <xf numFmtId="0" fontId="185" fillId="188" borderId="341" xfId="0" applyFont="1" applyFill="1" applyBorder="1" applyAlignment="1">
      <alignment horizontal="left" vertical="top"/>
    </xf>
    <xf numFmtId="0" fontId="185" fillId="188" borderId="342" xfId="0" applyFont="1" applyFill="1" applyBorder="1" applyAlignment="1">
      <alignment horizontal="left" vertical="top"/>
    </xf>
    <xf numFmtId="0" fontId="3" fillId="112" borderId="86" xfId="0" applyFont="1" applyFill="1" applyBorder="1" applyAlignment="1">
      <alignment horizontal="left" vertical="top"/>
    </xf>
    <xf numFmtId="0" fontId="3" fillId="112" borderId="83" xfId="0" applyFont="1" applyFill="1" applyBorder="1" applyAlignment="1">
      <alignment horizontal="left" vertical="top"/>
    </xf>
    <xf numFmtId="0" fontId="3" fillId="4" borderId="84" xfId="0" applyFont="1" applyFill="1" applyBorder="1" applyAlignment="1">
      <alignment horizontal="center" vertical="center" wrapText="1"/>
    </xf>
    <xf numFmtId="0" fontId="3" fillId="4" borderId="0" xfId="0" applyFont="1" applyFill="1" applyAlignment="1">
      <alignment horizontal="center" vertical="center" wrapText="1"/>
    </xf>
    <xf numFmtId="0" fontId="150" fillId="0" borderId="86" xfId="0" applyFont="1" applyBorder="1" applyAlignment="1">
      <alignment horizontal="left" vertical="top"/>
    </xf>
    <xf numFmtId="0" fontId="150" fillId="0" borderId="83" xfId="0" applyFont="1" applyBorder="1" applyAlignment="1">
      <alignment horizontal="left" vertical="top"/>
    </xf>
    <xf numFmtId="0" fontId="3" fillId="4" borderId="106" xfId="0" applyFont="1" applyFill="1" applyBorder="1" applyAlignment="1">
      <alignment vertical="top" wrapText="1"/>
    </xf>
    <xf numFmtId="0" fontId="3" fillId="4" borderId="67" xfId="0" applyFont="1" applyFill="1" applyBorder="1" applyAlignment="1">
      <alignment vertical="top" wrapText="1"/>
    </xf>
    <xf numFmtId="0" fontId="3" fillId="4" borderId="68" xfId="0" applyFont="1" applyFill="1" applyBorder="1" applyAlignment="1">
      <alignment vertical="top" wrapText="1"/>
    </xf>
    <xf numFmtId="0" fontId="3" fillId="4" borderId="430" xfId="0" applyFont="1" applyFill="1" applyBorder="1" applyAlignment="1">
      <alignment vertical="top" wrapText="1"/>
    </xf>
    <xf numFmtId="0" fontId="3" fillId="4" borderId="107" xfId="0" applyFont="1" applyFill="1" applyBorder="1" applyAlignment="1">
      <alignment vertical="top" wrapText="1"/>
    </xf>
    <xf numFmtId="0" fontId="3" fillId="114" borderId="90" xfId="0" applyFont="1" applyFill="1" applyBorder="1" applyAlignment="1">
      <alignment horizontal="left" vertical="top"/>
    </xf>
    <xf numFmtId="0" fontId="3" fillId="114" borderId="85" xfId="0" applyFont="1" applyFill="1" applyBorder="1" applyAlignment="1">
      <alignment horizontal="left" vertical="top"/>
    </xf>
    <xf numFmtId="170" fontId="3" fillId="4" borderId="236" xfId="0" applyNumberFormat="1" applyFont="1" applyFill="1" applyBorder="1" applyAlignment="1">
      <alignment horizontal="right" vertical="top"/>
    </xf>
    <xf numFmtId="0" fontId="120" fillId="114" borderId="85" xfId="0" applyFont="1" applyFill="1" applyBorder="1" applyAlignment="1">
      <alignment horizontal="left" vertical="top"/>
    </xf>
    <xf numFmtId="170" fontId="3" fillId="4" borderId="423" xfId="0" applyNumberFormat="1" applyFont="1" applyFill="1" applyBorder="1" applyAlignment="1">
      <alignment horizontal="right" vertical="top"/>
    </xf>
    <xf numFmtId="170" fontId="3" fillId="4" borderId="424" xfId="0" applyNumberFormat="1" applyFont="1" applyFill="1" applyBorder="1" applyAlignment="1">
      <alignment horizontal="right" vertical="top"/>
    </xf>
    <xf numFmtId="0" fontId="120" fillId="114" borderId="86" xfId="0" applyFont="1" applyFill="1" applyBorder="1" applyAlignment="1">
      <alignment horizontal="left" vertical="top"/>
    </xf>
    <xf numFmtId="0" fontId="150" fillId="0" borderId="85" xfId="0" applyFont="1" applyBorder="1" applyAlignment="1">
      <alignment horizontal="left" vertical="top" wrapText="1"/>
    </xf>
    <xf numFmtId="0" fontId="150" fillId="0" borderId="86" xfId="0" applyFont="1" applyBorder="1" applyAlignment="1">
      <alignment horizontal="left" vertical="top" wrapText="1"/>
    </xf>
    <xf numFmtId="0" fontId="120" fillId="114" borderId="103" xfId="0" applyFont="1" applyFill="1" applyBorder="1" applyAlignment="1">
      <alignment horizontal="left" vertical="top"/>
    </xf>
    <xf numFmtId="0" fontId="256" fillId="0" borderId="0" xfId="0" applyFont="1" applyAlignment="1">
      <alignment horizontal="left"/>
    </xf>
    <xf numFmtId="0" fontId="262" fillId="190" borderId="0" xfId="0" applyFont="1" applyFill="1" applyAlignment="1">
      <alignment horizontal="left"/>
    </xf>
    <xf numFmtId="0" fontId="185" fillId="0" borderId="152" xfId="0" applyFont="1" applyBorder="1" applyAlignment="1">
      <alignment horizontal="center"/>
    </xf>
    <xf numFmtId="0" fontId="185" fillId="12" borderId="152" xfId="0" applyFont="1" applyFill="1" applyBorder="1" applyAlignment="1">
      <alignment vertical="center" wrapText="1"/>
    </xf>
    <xf numFmtId="0" fontId="3" fillId="170" borderId="0" xfId="0" applyFont="1" applyFill="1" applyAlignment="1">
      <alignment horizontal="left"/>
    </xf>
    <xf numFmtId="0" fontId="0" fillId="11" borderId="0" xfId="0" applyFill="1" applyAlignment="1">
      <alignment horizontal="left" vertical="center" wrapText="1"/>
    </xf>
    <xf numFmtId="0" fontId="0" fillId="11" borderId="422" xfId="0" applyFill="1" applyBorder="1" applyAlignment="1">
      <alignment horizontal="center" vertical="center" wrapText="1"/>
    </xf>
    <xf numFmtId="0" fontId="0" fillId="11" borderId="3" xfId="0" applyFill="1" applyBorder="1" applyAlignment="1">
      <alignment horizontal="center" vertical="center" wrapText="1"/>
    </xf>
    <xf numFmtId="0" fontId="0" fillId="11" borderId="4" xfId="0" applyFill="1" applyBorder="1" applyAlignment="1">
      <alignment horizontal="center" vertical="center" wrapText="1"/>
    </xf>
    <xf numFmtId="0" fontId="3" fillId="9" borderId="90" xfId="0" applyFont="1" applyFill="1" applyBorder="1" applyAlignment="1">
      <alignment horizontal="left" vertical="top"/>
    </xf>
    <xf numFmtId="0" fontId="3" fillId="9" borderId="85" xfId="0" applyFont="1" applyFill="1" applyBorder="1" applyAlignment="1">
      <alignment horizontal="left" vertical="top"/>
    </xf>
    <xf numFmtId="0" fontId="120" fillId="114" borderId="86" xfId="0" applyFont="1" applyFill="1" applyBorder="1" applyAlignment="1">
      <alignment horizontal="center"/>
    </xf>
    <xf numFmtId="0" fontId="120" fillId="114" borderId="83" xfId="0" applyFont="1" applyFill="1" applyBorder="1" applyAlignment="1">
      <alignment horizontal="center"/>
    </xf>
    <xf numFmtId="0" fontId="120" fillId="114" borderId="90" xfId="0" applyFont="1" applyFill="1" applyBorder="1" applyAlignment="1">
      <alignment horizontal="center"/>
    </xf>
    <xf numFmtId="0" fontId="3" fillId="4" borderId="422" xfId="0" applyFont="1" applyFill="1" applyBorder="1" applyAlignment="1">
      <alignment horizontal="left" wrapText="1"/>
    </xf>
    <xf numFmtId="0" fontId="3" fillId="4" borderId="4" xfId="0" applyFont="1" applyFill="1" applyBorder="1" applyAlignment="1">
      <alignment horizontal="left" wrapText="1"/>
    </xf>
    <xf numFmtId="0" fontId="120" fillId="114" borderId="85" xfId="0" applyFont="1" applyFill="1" applyBorder="1"/>
    <xf numFmtId="0" fontId="3" fillId="4" borderId="422" xfId="0" applyFont="1" applyFill="1" applyBorder="1" applyAlignment="1">
      <alignment horizontal="left" vertical="top" wrapText="1"/>
    </xf>
    <xf numFmtId="0" fontId="3" fillId="4" borderId="3" xfId="0" applyFont="1" applyFill="1" applyBorder="1" applyAlignment="1">
      <alignment horizontal="left" vertical="top" wrapText="1"/>
    </xf>
    <xf numFmtId="0" fontId="3" fillId="4" borderId="4" xfId="0" applyFont="1" applyFill="1" applyBorder="1" applyAlignment="1">
      <alignment horizontal="left" vertical="top" wrapText="1"/>
    </xf>
    <xf numFmtId="0" fontId="3" fillId="4" borderId="85" xfId="0" applyFont="1" applyFill="1" applyBorder="1" applyAlignment="1">
      <alignment vertical="top" wrapText="1"/>
    </xf>
    <xf numFmtId="0" fontId="3" fillId="4" borderId="112" xfId="0" applyFont="1" applyFill="1" applyBorder="1" applyAlignment="1">
      <alignment horizontal="left" vertical="top" wrapText="1"/>
    </xf>
    <xf numFmtId="0" fontId="3" fillId="4" borderId="418" xfId="0" applyFont="1" applyFill="1" applyBorder="1" applyAlignment="1">
      <alignment vertical="top" wrapText="1"/>
    </xf>
    <xf numFmtId="0" fontId="3" fillId="4" borderId="419" xfId="0" applyFont="1" applyFill="1" applyBorder="1" applyAlignment="1">
      <alignment vertical="top" wrapText="1"/>
    </xf>
    <xf numFmtId="0" fontId="3" fillId="4" borderId="417" xfId="0" applyFont="1" applyFill="1" applyBorder="1" applyAlignment="1">
      <alignment vertical="top" wrapText="1"/>
    </xf>
    <xf numFmtId="0" fontId="120" fillId="9" borderId="5" xfId="0" applyFont="1" applyFill="1" applyBorder="1" applyAlignment="1">
      <alignment horizontal="left"/>
    </xf>
    <xf numFmtId="0" fontId="0" fillId="0" borderId="236" xfId="0" applyBorder="1" applyAlignment="1">
      <alignment horizontal="left" vertical="center"/>
    </xf>
    <xf numFmtId="0" fontId="120" fillId="114" borderId="94" xfId="0" applyFont="1" applyFill="1" applyBorder="1" applyAlignment="1">
      <alignment horizontal="left"/>
    </xf>
    <xf numFmtId="0" fontId="120" fillId="114" borderId="103" xfId="0" applyFont="1" applyFill="1" applyBorder="1" applyAlignment="1">
      <alignment horizontal="left"/>
    </xf>
    <xf numFmtId="0" fontId="3" fillId="4" borderId="236" xfId="0" applyFont="1" applyFill="1" applyBorder="1" applyAlignment="1">
      <alignment vertical="top" wrapText="1"/>
    </xf>
    <xf numFmtId="0" fontId="262" fillId="0" borderId="420" xfId="0" applyFont="1" applyBorder="1" applyAlignment="1">
      <alignment horizontal="center" vertical="center"/>
    </xf>
    <xf numFmtId="0" fontId="262" fillId="0" borderId="430" xfId="0" applyFont="1" applyBorder="1" applyAlignment="1">
      <alignment horizontal="center" vertical="center"/>
    </xf>
    <xf numFmtId="0" fontId="262" fillId="0" borderId="36" xfId="0" applyFont="1" applyBorder="1" applyAlignment="1">
      <alignment horizontal="center" vertical="center"/>
    </xf>
    <xf numFmtId="0" fontId="262" fillId="0" borderId="67" xfId="0" applyFont="1" applyBorder="1" applyAlignment="1">
      <alignment horizontal="center" vertical="center"/>
    </xf>
    <xf numFmtId="0" fontId="150" fillId="0" borderId="423" xfId="0" applyFont="1" applyBorder="1" applyAlignment="1">
      <alignment horizontal="center"/>
    </xf>
    <xf numFmtId="0" fontId="150" fillId="0" borderId="424" xfId="0" applyFont="1" applyBorder="1" applyAlignment="1">
      <alignment horizontal="center"/>
    </xf>
    <xf numFmtId="0" fontId="256" fillId="203" borderId="353" xfId="0" applyFont="1" applyFill="1" applyBorder="1"/>
    <xf numFmtId="0" fontId="256" fillId="203" borderId="354" xfId="0" applyFont="1" applyFill="1" applyBorder="1" applyAlignment="1">
      <alignment horizontal="left"/>
    </xf>
    <xf numFmtId="0" fontId="256" fillId="203" borderId="355" xfId="0" applyFont="1" applyFill="1" applyBorder="1" applyAlignment="1">
      <alignment horizontal="left"/>
    </xf>
    <xf numFmtId="0" fontId="262" fillId="204" borderId="354" xfId="0" applyFont="1" applyFill="1" applyBorder="1" applyAlignment="1">
      <alignment horizontal="left" vertical="top"/>
    </xf>
    <xf numFmtId="0" fontId="262" fillId="204" borderId="355" xfId="0" applyFont="1" applyFill="1" applyBorder="1" applyAlignment="1">
      <alignment horizontal="left" vertical="top"/>
    </xf>
    <xf numFmtId="0" fontId="150" fillId="0" borderId="420" xfId="0" applyFont="1" applyBorder="1" applyAlignment="1">
      <alignment horizontal="center" vertical="center" wrapText="1"/>
    </xf>
    <xf numFmtId="0" fontId="150" fillId="0" borderId="430" xfId="0" applyFont="1" applyBorder="1" applyAlignment="1">
      <alignment horizontal="center" vertical="center" wrapText="1"/>
    </xf>
    <xf numFmtId="0" fontId="150" fillId="0" borderId="33" xfId="0" applyFont="1" applyBorder="1" applyAlignment="1">
      <alignment horizontal="center" vertical="center" wrapText="1"/>
    </xf>
    <xf numFmtId="0" fontId="150" fillId="0" borderId="68" xfId="0" applyFont="1" applyBorder="1" applyAlignment="1">
      <alignment horizontal="center" vertical="center" wrapText="1"/>
    </xf>
    <xf numFmtId="166" fontId="14" fillId="0" borderId="422" xfId="0" applyNumberFormat="1" applyFont="1" applyBorder="1" applyAlignment="1">
      <alignment horizontal="right" vertical="top"/>
    </xf>
    <xf numFmtId="166" fontId="14" fillId="0" borderId="4" xfId="0" applyNumberFormat="1" applyFont="1" applyBorder="1" applyAlignment="1">
      <alignment horizontal="right" vertical="top"/>
    </xf>
    <xf numFmtId="0" fontId="150" fillId="0" borderId="422" xfId="0" applyFont="1" applyBorder="1" applyAlignment="1">
      <alignment horizontal="left" vertical="top"/>
    </xf>
    <xf numFmtId="0" fontId="150" fillId="0" borderId="4" xfId="0" applyFont="1" applyBorder="1" applyAlignment="1">
      <alignment horizontal="left" vertical="top"/>
    </xf>
    <xf numFmtId="0" fontId="150" fillId="0" borderId="422" xfId="0" applyFont="1" applyBorder="1" applyAlignment="1">
      <alignment horizontal="left" vertical="center" wrapText="1"/>
    </xf>
    <xf numFmtId="0" fontId="150" fillId="0" borderId="4" xfId="0" applyFont="1" applyBorder="1" applyAlignment="1">
      <alignment horizontal="left" vertical="center" wrapText="1"/>
    </xf>
    <xf numFmtId="0" fontId="150" fillId="0" borderId="422" xfId="0" applyFont="1" applyBorder="1"/>
    <xf numFmtId="0" fontId="150" fillId="0" borderId="4" xfId="0" applyFont="1" applyBorder="1"/>
    <xf numFmtId="166" fontId="21" fillId="205" borderId="372" xfId="0" applyNumberFormat="1" applyFont="1" applyFill="1" applyBorder="1" applyAlignment="1">
      <alignment horizontal="right" vertical="top"/>
    </xf>
    <xf numFmtId="166" fontId="21" fillId="205" borderId="373" xfId="0" applyNumberFormat="1" applyFont="1" applyFill="1" applyBorder="1" applyAlignment="1">
      <alignment horizontal="right" vertical="top"/>
    </xf>
    <xf numFmtId="0" fontId="150" fillId="0" borderId="359" xfId="0" applyFont="1" applyBorder="1" applyAlignment="1">
      <alignment horizontal="left" vertical="top"/>
    </xf>
    <xf numFmtId="0" fontId="150" fillId="0" borderId="370" xfId="0" applyFont="1" applyBorder="1" applyAlignment="1">
      <alignment horizontal="left" vertical="top"/>
    </xf>
    <xf numFmtId="0" fontId="150" fillId="0" borderId="354" xfId="0" applyFont="1" applyBorder="1" applyAlignment="1">
      <alignment vertical="top" wrapText="1"/>
    </xf>
    <xf numFmtId="0" fontId="150" fillId="0" borderId="363" xfId="0" applyFont="1" applyBorder="1" applyAlignment="1">
      <alignment vertical="top" wrapText="1"/>
    </xf>
    <xf numFmtId="0" fontId="262" fillId="196" borderId="358" xfId="0" applyFont="1" applyFill="1" applyBorder="1" applyAlignment="1">
      <alignment horizontal="left" vertical="top" wrapText="1"/>
    </xf>
    <xf numFmtId="0" fontId="262" fillId="196" borderId="67" xfId="0" applyFont="1" applyFill="1" applyBorder="1" applyAlignment="1">
      <alignment horizontal="left" vertical="top" wrapText="1"/>
    </xf>
    <xf numFmtId="0" fontId="150" fillId="0" borderId="359" xfId="0" applyFont="1" applyBorder="1" applyAlignment="1">
      <alignment horizontal="left" vertical="top" wrapText="1"/>
    </xf>
    <xf numFmtId="0" fontId="150" fillId="0" borderId="367" xfId="0" applyFont="1" applyBorder="1" applyAlignment="1">
      <alignment horizontal="left" vertical="top" wrapText="1"/>
    </xf>
    <xf numFmtId="0" fontId="150" fillId="0" borderId="360" xfId="0" applyFont="1" applyBorder="1" applyAlignment="1">
      <alignment horizontal="left" vertical="top" wrapText="1"/>
    </xf>
    <xf numFmtId="0" fontId="150" fillId="0" borderId="366" xfId="0" applyFont="1" applyBorder="1" applyAlignment="1">
      <alignment horizontal="left" vertical="top"/>
    </xf>
    <xf numFmtId="0" fontId="150" fillId="0" borderId="368" xfId="0" applyFont="1" applyBorder="1" applyAlignment="1">
      <alignment horizontal="left" vertical="top"/>
    </xf>
    <xf numFmtId="166" fontId="21" fillId="205" borderId="366" xfId="0" applyNumberFormat="1" applyFont="1" applyFill="1" applyBorder="1" applyAlignment="1">
      <alignment horizontal="right" vertical="top"/>
    </xf>
    <xf numFmtId="166" fontId="21" fillId="205" borderId="368" xfId="0" applyNumberFormat="1" applyFont="1" applyFill="1" applyBorder="1" applyAlignment="1">
      <alignment horizontal="right" vertical="top"/>
    </xf>
    <xf numFmtId="166" fontId="21" fillId="0" borderId="366" xfId="0" applyNumberFormat="1" applyFont="1" applyBorder="1" applyAlignment="1">
      <alignment horizontal="right" vertical="top"/>
    </xf>
    <xf numFmtId="166" fontId="21" fillId="0" borderId="368" xfId="0" applyNumberFormat="1" applyFont="1" applyBorder="1" applyAlignment="1">
      <alignment horizontal="right" vertical="top"/>
    </xf>
    <xf numFmtId="0" fontId="262" fillId="196" borderId="422" xfId="0" applyFont="1" applyFill="1" applyBorder="1" applyAlignment="1">
      <alignment horizontal="left" vertical="top" wrapText="1"/>
    </xf>
    <xf numFmtId="0" fontId="262" fillId="196" borderId="3" xfId="0" applyFont="1" applyFill="1" applyBorder="1" applyAlignment="1">
      <alignment horizontal="left" vertical="top" wrapText="1"/>
    </xf>
    <xf numFmtId="0" fontId="262" fillId="196" borderId="4" xfId="0" applyFont="1" applyFill="1" applyBorder="1" applyAlignment="1">
      <alignment horizontal="left" vertical="top" wrapText="1"/>
    </xf>
    <xf numFmtId="0" fontId="150" fillId="0" borderId="422" xfId="0" applyFont="1" applyBorder="1" applyAlignment="1">
      <alignment vertical="center" wrapText="1"/>
    </xf>
    <xf numFmtId="0" fontId="150" fillId="0" borderId="4" xfId="0" applyFont="1" applyBorder="1" applyAlignment="1">
      <alignment vertical="center" wrapText="1"/>
    </xf>
    <xf numFmtId="171" fontId="21" fillId="205" borderId="366" xfId="0" applyNumberFormat="1" applyFont="1" applyFill="1" applyBorder="1" applyAlignment="1">
      <alignment horizontal="right" vertical="top"/>
    </xf>
    <xf numFmtId="171" fontId="21" fillId="205" borderId="368" xfId="0" applyNumberFormat="1" applyFont="1" applyFill="1" applyBorder="1" applyAlignment="1">
      <alignment horizontal="right" vertical="top"/>
    </xf>
    <xf numFmtId="166" fontId="14" fillId="0" borderId="366" xfId="0" applyNumberFormat="1" applyFont="1" applyBorder="1" applyAlignment="1">
      <alignment horizontal="right" vertical="top"/>
    </xf>
    <xf numFmtId="0" fontId="14" fillId="0" borderId="371" xfId="0" applyFont="1" applyBorder="1" applyAlignment="1">
      <alignment horizontal="right" vertical="top"/>
    </xf>
    <xf numFmtId="171" fontId="21" fillId="0" borderId="366" xfId="0" applyNumberFormat="1" applyFont="1" applyBorder="1" applyAlignment="1">
      <alignment horizontal="right" vertical="top"/>
    </xf>
    <xf numFmtId="171" fontId="21" fillId="0" borderId="371" xfId="0" applyNumberFormat="1" applyFont="1" applyBorder="1" applyAlignment="1">
      <alignment horizontal="right" vertical="top"/>
    </xf>
    <xf numFmtId="166" fontId="21" fillId="205" borderId="4" xfId="0" applyNumberFormat="1" applyFont="1" applyFill="1" applyBorder="1" applyAlignment="1">
      <alignment horizontal="right" vertical="top"/>
    </xf>
    <xf numFmtId="0" fontId="262" fillId="196" borderId="374" xfId="0" applyFont="1" applyFill="1" applyBorder="1" applyAlignment="1">
      <alignment horizontal="left" vertical="top" wrapText="1"/>
    </xf>
    <xf numFmtId="0" fontId="262" fillId="196" borderId="375" xfId="0" applyFont="1" applyFill="1" applyBorder="1" applyAlignment="1">
      <alignment horizontal="left" vertical="top" wrapText="1"/>
    </xf>
    <xf numFmtId="0" fontId="262" fillId="196" borderId="33" xfId="0" applyFont="1" applyFill="1" applyBorder="1" applyAlignment="1">
      <alignment horizontal="left" vertical="top" wrapText="1"/>
    </xf>
    <xf numFmtId="0" fontId="262" fillId="196" borderId="376" xfId="0" applyFont="1" applyFill="1" applyBorder="1" applyAlignment="1">
      <alignment horizontal="left" vertical="top" wrapText="1"/>
    </xf>
    <xf numFmtId="0" fontId="150" fillId="0" borderId="420" xfId="0" applyFont="1" applyBorder="1" applyAlignment="1">
      <alignment horizontal="center" vertical="center"/>
    </xf>
    <xf numFmtId="0" fontId="150" fillId="0" borderId="430" xfId="0" applyFont="1" applyBorder="1" applyAlignment="1">
      <alignment horizontal="center" vertical="center"/>
    </xf>
    <xf numFmtId="0" fontId="150" fillId="0" borderId="36" xfId="0" applyFont="1" applyBorder="1" applyAlignment="1">
      <alignment horizontal="center" vertical="center"/>
    </xf>
    <xf numFmtId="0" fontId="150" fillId="0" borderId="67" xfId="0" applyFont="1" applyBorder="1" applyAlignment="1">
      <alignment horizontal="center" vertical="center"/>
    </xf>
    <xf numFmtId="0" fontId="150" fillId="0" borderId="33" xfId="0" applyFont="1" applyBorder="1" applyAlignment="1">
      <alignment horizontal="center" vertical="center"/>
    </xf>
    <xf numFmtId="0" fontId="150" fillId="0" borderId="68" xfId="0" applyFont="1" applyBorder="1" applyAlignment="1">
      <alignment horizontal="center" vertical="center"/>
    </xf>
    <xf numFmtId="0" fontId="262" fillId="0" borderId="423" xfId="0" applyFont="1" applyBorder="1" applyAlignment="1">
      <alignment horizontal="center"/>
    </xf>
    <xf numFmtId="0" fontId="262" fillId="0" borderId="424" xfId="0" applyFont="1" applyBorder="1" applyAlignment="1">
      <alignment horizontal="center"/>
    </xf>
    <xf numFmtId="0" fontId="3" fillId="4" borderId="84" xfId="0" applyFont="1" applyFill="1" applyBorder="1" applyAlignment="1">
      <alignment horizontal="left" vertical="top" wrapText="1"/>
    </xf>
    <xf numFmtId="0" fontId="3" fillId="4" borderId="82" xfId="0" applyFont="1" applyFill="1" applyBorder="1" applyAlignment="1">
      <alignment horizontal="left" vertical="top" wrapText="1"/>
    </xf>
    <xf numFmtId="0" fontId="3" fillId="4" borderId="107" xfId="0" applyFont="1" applyFill="1" applyBorder="1" applyAlignment="1">
      <alignment horizontal="left" vertical="top" wrapText="1"/>
    </xf>
    <xf numFmtId="0" fontId="0" fillId="0" borderId="94" xfId="0" applyBorder="1" applyAlignment="1">
      <alignment horizontal="left" vertical="top" wrapText="1"/>
    </xf>
    <xf numFmtId="0" fontId="0" fillId="0" borderId="102" xfId="0" applyBorder="1" applyAlignment="1">
      <alignment horizontal="left" vertical="top" wrapText="1"/>
    </xf>
    <xf numFmtId="0" fontId="262" fillId="204" borderId="423" xfId="0" applyFont="1" applyFill="1" applyBorder="1" applyAlignment="1">
      <alignment horizontal="left" vertical="top"/>
    </xf>
    <xf numFmtId="0" fontId="262" fillId="204" borderId="424" xfId="0" applyFont="1" applyFill="1" applyBorder="1" applyAlignment="1">
      <alignment horizontal="left" vertical="top"/>
    </xf>
    <xf numFmtId="0" fontId="262" fillId="196" borderId="358" xfId="0" applyFont="1" applyFill="1" applyBorder="1" applyAlignment="1">
      <alignment horizontal="center" vertical="center" wrapText="1"/>
    </xf>
    <xf numFmtId="0" fontId="262" fillId="196" borderId="67" xfId="0" applyFont="1" applyFill="1" applyBorder="1" applyAlignment="1">
      <alignment horizontal="center" vertical="center" wrapText="1"/>
    </xf>
    <xf numFmtId="0" fontId="262" fillId="196" borderId="361" xfId="0" applyFont="1" applyFill="1" applyBorder="1" applyAlignment="1">
      <alignment horizontal="center" vertical="center" wrapText="1"/>
    </xf>
    <xf numFmtId="0" fontId="256" fillId="203" borderId="423" xfId="0" applyFont="1" applyFill="1" applyBorder="1" applyAlignment="1">
      <alignment horizontal="left"/>
    </xf>
    <xf numFmtId="0" fontId="256" fillId="203" borderId="425" xfId="0" applyFont="1" applyFill="1" applyBorder="1" applyAlignment="1">
      <alignment horizontal="left"/>
    </xf>
    <xf numFmtId="0" fontId="256" fillId="203" borderId="424" xfId="0" applyFont="1" applyFill="1" applyBorder="1" applyAlignment="1">
      <alignment horizontal="left"/>
    </xf>
    <xf numFmtId="0" fontId="262" fillId="196" borderId="422" xfId="0" applyFont="1" applyFill="1" applyBorder="1" applyAlignment="1">
      <alignment horizontal="center" vertical="top" wrapText="1"/>
    </xf>
    <xf numFmtId="0" fontId="262" fillId="196" borderId="4" xfId="0" applyFont="1" applyFill="1" applyBorder="1" applyAlignment="1">
      <alignment horizontal="center" vertical="top" wrapText="1"/>
    </xf>
    <xf numFmtId="0" fontId="167" fillId="204" borderId="423" xfId="0" applyFont="1" applyFill="1" applyBorder="1" applyAlignment="1">
      <alignment horizontal="left" vertical="top"/>
    </xf>
    <xf numFmtId="0" fontId="167" fillId="204" borderId="424" xfId="0" applyFont="1" applyFill="1" applyBorder="1" applyAlignment="1">
      <alignment horizontal="left" vertical="top"/>
    </xf>
    <xf numFmtId="0" fontId="167" fillId="196" borderId="422" xfId="0" applyFont="1" applyFill="1" applyBorder="1" applyAlignment="1">
      <alignment horizontal="center" vertical="center" wrapText="1"/>
    </xf>
    <xf numFmtId="0" fontId="167" fillId="196" borderId="3" xfId="0" applyFont="1" applyFill="1" applyBorder="1" applyAlignment="1">
      <alignment horizontal="center" vertical="center" wrapText="1"/>
    </xf>
    <xf numFmtId="0" fontId="167" fillId="196" borderId="4" xfId="0" applyFont="1" applyFill="1" applyBorder="1" applyAlignment="1">
      <alignment horizontal="center" vertical="center" wrapText="1"/>
    </xf>
    <xf numFmtId="0" fontId="167" fillId="196" borderId="423" xfId="0" applyFont="1" applyFill="1" applyBorder="1" applyAlignment="1">
      <alignment horizontal="left" vertical="center" wrapText="1"/>
    </xf>
    <xf numFmtId="0" fontId="167" fillId="196" borderId="424" xfId="0" applyFont="1" applyFill="1" applyBorder="1" applyAlignment="1">
      <alignment horizontal="left" vertical="center" wrapText="1"/>
    </xf>
    <xf numFmtId="0" fontId="3" fillId="4" borderId="87" xfId="0" applyFont="1" applyFill="1" applyBorder="1" applyAlignment="1">
      <alignment vertical="top" wrapText="1"/>
    </xf>
    <xf numFmtId="0" fontId="3" fillId="4" borderId="94" xfId="0" applyFont="1" applyFill="1" applyBorder="1" applyAlignment="1">
      <alignment vertical="top" wrapText="1"/>
    </xf>
    <xf numFmtId="0" fontId="167" fillId="4" borderId="236" xfId="0" applyFont="1" applyFill="1" applyBorder="1" applyAlignment="1">
      <alignment horizontal="left" vertical="center" wrapText="1"/>
    </xf>
    <xf numFmtId="0" fontId="3" fillId="4" borderId="236" xfId="0" applyFont="1" applyFill="1" applyBorder="1" applyAlignment="1">
      <alignment horizontal="left" vertical="center" wrapText="1"/>
    </xf>
    <xf numFmtId="0" fontId="3" fillId="4" borderId="87" xfId="0" applyFont="1" applyFill="1" applyBorder="1" applyAlignment="1">
      <alignment horizontal="left" vertical="center" wrapText="1"/>
    </xf>
    <xf numFmtId="0" fontId="3" fillId="4" borderId="88" xfId="0" applyFont="1" applyFill="1" applyBorder="1" applyAlignment="1">
      <alignment horizontal="left" vertical="center" wrapText="1"/>
    </xf>
    <xf numFmtId="0" fontId="3" fillId="4" borderId="95" xfId="0" applyFont="1" applyFill="1" applyBorder="1" applyAlignment="1">
      <alignment horizontal="left" vertical="center" wrapText="1"/>
    </xf>
    <xf numFmtId="0" fontId="0" fillId="0" borderId="423" xfId="0" applyBorder="1" applyAlignment="1">
      <alignment horizontal="left"/>
    </xf>
    <xf numFmtId="0" fontId="0" fillId="0" borderId="425" xfId="0" applyBorder="1" applyAlignment="1">
      <alignment horizontal="left"/>
    </xf>
    <xf numFmtId="0" fontId="0" fillId="0" borderId="424" xfId="0" applyBorder="1" applyAlignment="1">
      <alignment horizontal="left"/>
    </xf>
    <xf numFmtId="0" fontId="191" fillId="116" borderId="75" xfId="0" applyFont="1" applyFill="1" applyBorder="1" applyAlignment="1">
      <alignment vertical="center"/>
    </xf>
    <xf numFmtId="0" fontId="191" fillId="116" borderId="30" xfId="0" applyFont="1" applyFill="1" applyBorder="1" applyAlignment="1">
      <alignment vertical="center"/>
    </xf>
    <xf numFmtId="0" fontId="3" fillId="4" borderId="236" xfId="0" applyFont="1" applyFill="1" applyBorder="1" applyAlignment="1">
      <alignment horizontal="center" vertical="center" wrapText="1"/>
    </xf>
    <xf numFmtId="0" fontId="187" fillId="116" borderId="0" xfId="0" applyFont="1" applyFill="1" applyAlignment="1">
      <alignment vertical="center"/>
    </xf>
    <xf numFmtId="0" fontId="0" fillId="0" borderId="252" xfId="0" applyBorder="1" applyAlignment="1">
      <alignment vertical="top" wrapText="1"/>
    </xf>
    <xf numFmtId="0" fontId="0" fillId="0" borderId="253" xfId="0" applyBorder="1" applyAlignment="1">
      <alignment vertical="top" wrapText="1"/>
    </xf>
    <xf numFmtId="0" fontId="0" fillId="0" borderId="255" xfId="0" applyBorder="1" applyAlignment="1">
      <alignment vertical="top" wrapText="1"/>
    </xf>
    <xf numFmtId="0" fontId="0" fillId="0" borderId="94" xfId="0" applyBorder="1" applyAlignment="1">
      <alignment vertical="top" wrapText="1"/>
    </xf>
    <xf numFmtId="0" fontId="0" fillId="0" borderId="102" xfId="0" applyBorder="1" applyAlignment="1">
      <alignment vertical="top" wrapText="1"/>
    </xf>
    <xf numFmtId="0" fontId="3" fillId="4" borderId="106" xfId="0" applyFont="1" applyFill="1" applyBorder="1" applyAlignment="1">
      <alignment horizontal="center" vertical="center" wrapText="1"/>
    </xf>
    <xf numFmtId="0" fontId="3" fillId="4" borderId="67" xfId="0" applyFont="1" applyFill="1" applyBorder="1" applyAlignment="1">
      <alignment horizontal="center" vertical="center" wrapText="1"/>
    </xf>
    <xf numFmtId="0" fontId="3" fillId="4" borderId="68" xfId="0" applyFont="1" applyFill="1" applyBorder="1" applyAlignment="1">
      <alignment horizontal="center" vertical="center" wrapText="1"/>
    </xf>
    <xf numFmtId="0" fontId="3" fillId="4" borderId="430" xfId="0" applyFont="1" applyFill="1" applyBorder="1" applyAlignment="1">
      <alignment horizontal="center" vertical="center" wrapText="1"/>
    </xf>
    <xf numFmtId="0" fontId="0" fillId="0" borderId="252" xfId="0" applyBorder="1" applyAlignment="1">
      <alignment horizontal="center" vertical="top" wrapText="1"/>
    </xf>
    <xf numFmtId="0" fontId="0" fillId="0" borderId="253" xfId="0" applyBorder="1" applyAlignment="1">
      <alignment horizontal="center" vertical="top" wrapText="1"/>
    </xf>
    <xf numFmtId="0" fontId="0" fillId="0" borderId="254" xfId="0" applyBorder="1" applyAlignment="1">
      <alignment horizontal="center" vertical="top" wrapText="1"/>
    </xf>
    <xf numFmtId="0" fontId="3" fillId="4" borderId="428" xfId="0" applyFont="1" applyFill="1" applyBorder="1" applyAlignment="1">
      <alignment horizontal="center" vertical="center" wrapText="1"/>
    </xf>
    <xf numFmtId="0" fontId="0" fillId="4" borderId="422" xfId="0" applyFill="1" applyBorder="1" applyAlignment="1">
      <alignment horizontal="left" vertical="top" wrapText="1"/>
    </xf>
    <xf numFmtId="0" fontId="10" fillId="4" borderId="236" xfId="0" applyFont="1" applyFill="1" applyBorder="1" applyAlignment="1">
      <alignment horizontal="left" vertical="top" wrapText="1"/>
    </xf>
    <xf numFmtId="0" fontId="0" fillId="4" borderId="236" xfId="0" applyFill="1" applyBorder="1" applyAlignment="1">
      <alignment horizontal="left" vertical="top" wrapText="1"/>
    </xf>
    <xf numFmtId="0" fontId="14" fillId="0" borderId="83" xfId="0" applyFont="1" applyBorder="1" applyAlignment="1">
      <alignment vertical="top" wrapText="1"/>
    </xf>
    <xf numFmtId="0" fontId="3" fillId="209" borderId="423" xfId="0" applyFont="1" applyFill="1" applyBorder="1" applyAlignment="1">
      <alignment horizontal="left" vertical="top"/>
    </xf>
    <xf numFmtId="0" fontId="3" fillId="209" borderId="425" xfId="0" applyFont="1" applyFill="1" applyBorder="1" applyAlignment="1">
      <alignment horizontal="left" vertical="top"/>
    </xf>
    <xf numFmtId="0" fontId="0" fillId="4" borderId="4" xfId="0" applyFill="1" applyBorder="1" applyAlignment="1">
      <alignment horizontal="left" vertical="top" wrapText="1"/>
    </xf>
    <xf numFmtId="0" fontId="3" fillId="209" borderId="423" xfId="0" applyFont="1" applyFill="1" applyBorder="1" applyAlignment="1">
      <alignment horizontal="left" vertical="center" wrapText="1"/>
    </xf>
    <xf numFmtId="0" fontId="3" fillId="209" borderId="425" xfId="0" applyFont="1" applyFill="1" applyBorder="1" applyAlignment="1">
      <alignment horizontal="left" vertical="center" wrapText="1"/>
    </xf>
    <xf numFmtId="0" fontId="3" fillId="209" borderId="236" xfId="0" applyFont="1" applyFill="1" applyBorder="1" applyAlignment="1">
      <alignment horizontal="left" vertical="center" wrapText="1"/>
    </xf>
    <xf numFmtId="0" fontId="3" fillId="209" borderId="236" xfId="0" applyFont="1" applyFill="1" applyBorder="1" applyAlignment="1">
      <alignment horizontal="left" vertical="top" wrapText="1"/>
    </xf>
    <xf numFmtId="0" fontId="3" fillId="4" borderId="82" xfId="0" applyFont="1" applyFill="1" applyBorder="1" applyAlignment="1">
      <alignment horizontal="center" vertical="top" wrapText="1"/>
    </xf>
    <xf numFmtId="0" fontId="3" fillId="2" borderId="113" xfId="0" applyFont="1" applyFill="1" applyBorder="1" applyAlignment="1">
      <alignment horizontal="center" vertical="center"/>
    </xf>
    <xf numFmtId="0" fontId="3" fillId="2" borderId="104" xfId="0" applyFont="1" applyFill="1" applyBorder="1" applyAlignment="1">
      <alignment horizontal="center" vertical="center"/>
    </xf>
    <xf numFmtId="0" fontId="3" fillId="4" borderId="88" xfId="0" applyFont="1" applyFill="1" applyBorder="1" applyAlignment="1">
      <alignment vertical="top" wrapText="1"/>
    </xf>
    <xf numFmtId="0" fontId="3" fillId="4" borderId="95" xfId="0" applyFont="1" applyFill="1" applyBorder="1" applyAlignment="1">
      <alignment vertical="top" wrapText="1"/>
    </xf>
    <xf numFmtId="0" fontId="3" fillId="4" borderId="435" xfId="0" applyFont="1" applyFill="1" applyBorder="1" applyAlignment="1">
      <alignment horizontal="center" vertical="top" wrapText="1"/>
    </xf>
    <xf numFmtId="0" fontId="3" fillId="111" borderId="377" xfId="0" applyFont="1" applyFill="1" applyBorder="1" applyAlignment="1">
      <alignment horizontal="left" vertical="top"/>
    </xf>
    <xf numFmtId="0" fontId="3" fillId="111" borderId="83" xfId="0" applyFont="1" applyFill="1" applyBorder="1" applyAlignment="1">
      <alignment horizontal="left" vertical="top"/>
    </xf>
    <xf numFmtId="0" fontId="0" fillId="4" borderId="3" xfId="0" applyFill="1" applyBorder="1" applyAlignment="1">
      <alignment horizontal="left" vertical="top" wrapText="1"/>
    </xf>
    <xf numFmtId="0" fontId="120" fillId="9" borderId="84" xfId="0" applyFont="1" applyFill="1" applyBorder="1" applyAlignment="1">
      <alignment horizontal="left"/>
    </xf>
    <xf numFmtId="0" fontId="169" fillId="0" borderId="0" xfId="0" applyFont="1" applyAlignment="1">
      <alignment horizontal="left" vertical="top"/>
    </xf>
    <xf numFmtId="0" fontId="170" fillId="0" borderId="0" xfId="0" applyFont="1" applyAlignment="1">
      <alignment horizontal="left"/>
    </xf>
    <xf numFmtId="0" fontId="3" fillId="209" borderId="423" xfId="0" applyFont="1" applyFill="1" applyBorder="1" applyAlignment="1">
      <alignment horizontal="left" vertical="top" wrapText="1"/>
    </xf>
    <xf numFmtId="0" fontId="3" fillId="209" borderId="425" xfId="0" applyFont="1" applyFill="1" applyBorder="1" applyAlignment="1">
      <alignment horizontal="left" vertical="top" wrapText="1"/>
    </xf>
    <xf numFmtId="0" fontId="3" fillId="209" borderId="424" xfId="0" applyFont="1" applyFill="1" applyBorder="1" applyAlignment="1">
      <alignment horizontal="left" vertical="top" wrapText="1"/>
    </xf>
    <xf numFmtId="0" fontId="120" fillId="9" borderId="36" xfId="0" applyFont="1" applyFill="1" applyBorder="1" applyAlignment="1">
      <alignment horizontal="left" vertical="top"/>
    </xf>
    <xf numFmtId="0" fontId="0" fillId="11" borderId="423" xfId="0" applyFill="1" applyBorder="1" applyAlignment="1">
      <alignment horizontal="left" wrapText="1"/>
    </xf>
    <xf numFmtId="0" fontId="0" fillId="11" borderId="425" xfId="0" applyFill="1" applyBorder="1" applyAlignment="1">
      <alignment horizontal="left" wrapText="1"/>
    </xf>
    <xf numFmtId="0" fontId="0" fillId="11" borderId="424" xfId="0" applyFill="1" applyBorder="1" applyAlignment="1">
      <alignment horizontal="left" wrapText="1"/>
    </xf>
    <xf numFmtId="0" fontId="120" fillId="9" borderId="423" xfId="0" applyFont="1" applyFill="1" applyBorder="1" applyAlignment="1">
      <alignment horizontal="left" vertical="center" wrapText="1"/>
    </xf>
    <xf numFmtId="0" fontId="120" fillId="9" borderId="425" xfId="0" applyFont="1" applyFill="1" applyBorder="1" applyAlignment="1">
      <alignment horizontal="left" vertical="center" wrapText="1"/>
    </xf>
    <xf numFmtId="0" fontId="120" fillId="9" borderId="424" xfId="0" applyFont="1" applyFill="1" applyBorder="1" applyAlignment="1">
      <alignment horizontal="left" vertical="center" wrapText="1"/>
    </xf>
    <xf numFmtId="0" fontId="120" fillId="9" borderId="36" xfId="0" applyFont="1" applyFill="1" applyBorder="1" applyAlignment="1">
      <alignment horizontal="left" wrapText="1"/>
    </xf>
    <xf numFmtId="0" fontId="120" fillId="9" borderId="0" xfId="0" applyFont="1" applyFill="1" applyAlignment="1">
      <alignment horizontal="left" wrapText="1"/>
    </xf>
  </cellXfs>
  <cellStyles count="19910">
    <cellStyle name="_x0013_" xfId="1411" xr:uid="{00000000-0005-0000-0000-000000000000}"/>
    <cellStyle name=" 1" xfId="1882" xr:uid="{00000000-0005-0000-0000-000001000000}"/>
    <cellStyle name="%" xfId="1412" xr:uid="{00000000-0005-0000-0000-000002000000}"/>
    <cellStyle name="???????????" xfId="49" xr:uid="{00000000-0005-0000-0000-000003000000}"/>
    <cellStyle name="???????_2++" xfId="50" xr:uid="{00000000-0005-0000-0000-000004000000}"/>
    <cellStyle name="_081103 Revenue and Margins Reporting (5)" xfId="4311" xr:uid="{00000000-0005-0000-0000-000005000000}"/>
    <cellStyle name="_115 Timaru Budget" xfId="1883" xr:uid="{00000000-0005-0000-0000-000006000000}"/>
    <cellStyle name="_115 Timaru Budget 2" xfId="1884" xr:uid="{00000000-0005-0000-0000-000007000000}"/>
    <cellStyle name="_115 Timaru Budget 2 2" xfId="1885" xr:uid="{00000000-0005-0000-0000-000008000000}"/>
    <cellStyle name="_115 Timaru Budget_1" xfId="1886" xr:uid="{00000000-0005-0000-0000-000009000000}"/>
    <cellStyle name="_115 Timaru Budget_1 2" xfId="1887" xr:uid="{00000000-0005-0000-0000-00000A000000}"/>
    <cellStyle name="_115 Timaru Budget_1 2 2" xfId="1888" xr:uid="{00000000-0005-0000-0000-00000B000000}"/>
    <cellStyle name="_115 Timaru Budget_1_Capital Projects Report_Consolidated Template" xfId="1889" xr:uid="{00000000-0005-0000-0000-00000C000000}"/>
    <cellStyle name="_115 Timaru Budget_1_Capital Projects Report_Consolidated Template 2" xfId="1890" xr:uid="{00000000-0005-0000-0000-00000D000000}"/>
    <cellStyle name="_115 Timaru Budget_1_Capital Projects Report_Consolidated Template 2 2" xfId="1891" xr:uid="{00000000-0005-0000-0000-00000E000000}"/>
    <cellStyle name="_115 Timaru Budget_1_Capital Projects Report_Consolidated Template_Tranz Scenic Budget 2011RA Final" xfId="1892" xr:uid="{00000000-0005-0000-0000-00000F000000}"/>
    <cellStyle name="_115 Timaru Budget_1_Corporate IT Budget 2011BM Final" xfId="1893" xr:uid="{00000000-0005-0000-0000-000010000000}"/>
    <cellStyle name="_115 Timaru Budget_1_Freight_Jan10_A" xfId="1894" xr:uid="{00000000-0005-0000-0000-000011000000}"/>
    <cellStyle name="_115 Timaru Budget_1_Freight_Jan10_A_Tranz Scenic Budget 2011RA Final" xfId="1895" xr:uid="{00000000-0005-0000-0000-000012000000}"/>
    <cellStyle name="_115 Timaru Budget_1_Interislander Budget Template 2011" xfId="1896" xr:uid="{00000000-0005-0000-0000-000013000000}"/>
    <cellStyle name="_115 Timaru Budget_1_Key Performance vs SCI - February 2010" xfId="1897" xr:uid="{00000000-0005-0000-0000-000014000000}"/>
    <cellStyle name="_115 Timaru Budget_1_Summary Template - SAP Mapping" xfId="1898" xr:uid="{00000000-0005-0000-0000-000015000000}"/>
    <cellStyle name="_115 Timaru Budget_1_Tranz Scenic Budget 2011RA Final" xfId="1899" xr:uid="{00000000-0005-0000-0000-000016000000}"/>
    <cellStyle name="_115 Timaru Budget_1_Working Captial Movements 2010_2011" xfId="1900" xr:uid="{00000000-0005-0000-0000-000017000000}"/>
    <cellStyle name="_115 Timaru Budget_2" xfId="1901" xr:uid="{00000000-0005-0000-0000-000018000000}"/>
    <cellStyle name="_115 Timaru Budget_2 2" xfId="1902" xr:uid="{00000000-0005-0000-0000-000019000000}"/>
    <cellStyle name="_115 Timaru Budget_2 2 2" xfId="1903" xr:uid="{00000000-0005-0000-0000-00001A000000}"/>
    <cellStyle name="_115 Timaru Budget_2_Capital Projects Report_Consolidated Template" xfId="1904" xr:uid="{00000000-0005-0000-0000-00001B000000}"/>
    <cellStyle name="_115 Timaru Budget_2_Capital Projects Report_Consolidated Template 2" xfId="1905" xr:uid="{00000000-0005-0000-0000-00001C000000}"/>
    <cellStyle name="_115 Timaru Budget_2_Capital Projects Report_Consolidated Template 2 2" xfId="1906" xr:uid="{00000000-0005-0000-0000-00001D000000}"/>
    <cellStyle name="_115 Timaru Budget_2_Capital Projects Report_Consolidated Template_Tranz Scenic Budget 2011RA Final" xfId="1907" xr:uid="{00000000-0005-0000-0000-00001E000000}"/>
    <cellStyle name="_115 Timaru Budget_2_Corporate IT Budget 2011BM Final" xfId="1908" xr:uid="{00000000-0005-0000-0000-00001F000000}"/>
    <cellStyle name="_115 Timaru Budget_2_Freight_Jan10_A" xfId="1909" xr:uid="{00000000-0005-0000-0000-000020000000}"/>
    <cellStyle name="_115 Timaru Budget_2_Freight_Jan10_A_Tranz Scenic Budget 2011RA Final" xfId="1910" xr:uid="{00000000-0005-0000-0000-000021000000}"/>
    <cellStyle name="_115 Timaru Budget_2_Interislander Budget Template 2011" xfId="1911" xr:uid="{00000000-0005-0000-0000-000022000000}"/>
    <cellStyle name="_115 Timaru Budget_2_Key Performance vs SCI - February 2010" xfId="1912" xr:uid="{00000000-0005-0000-0000-000023000000}"/>
    <cellStyle name="_115 Timaru Budget_2_Summary Template - SAP Mapping" xfId="1913" xr:uid="{00000000-0005-0000-0000-000024000000}"/>
    <cellStyle name="_115 Timaru Budget_2_Tranz Scenic Budget 2011RA Final" xfId="1914" xr:uid="{00000000-0005-0000-0000-000025000000}"/>
    <cellStyle name="_115 Timaru Budget_2_Working Captial Movements 2010_2011" xfId="1915" xr:uid="{00000000-0005-0000-0000-000026000000}"/>
    <cellStyle name="_115 Timaru Budget_3" xfId="1916" xr:uid="{00000000-0005-0000-0000-000027000000}"/>
    <cellStyle name="_115 Timaru Budget_3 2" xfId="13207" xr:uid="{00000000-0005-0000-0000-000028000000}"/>
    <cellStyle name="_115 Timaru Budget_Capital Projects Report_Consolidated Template" xfId="1917" xr:uid="{00000000-0005-0000-0000-000029000000}"/>
    <cellStyle name="_115 Timaru Budget_Capital Projects Report_Consolidated Template 2" xfId="1918" xr:uid="{00000000-0005-0000-0000-00002A000000}"/>
    <cellStyle name="_115 Timaru Budget_Capital Projects Report_Consolidated Template 2 2" xfId="1919" xr:uid="{00000000-0005-0000-0000-00002B000000}"/>
    <cellStyle name="_115 Timaru Budget_Capital Projects Report_Consolidated Template_Tranz Scenic Budget 2011RA Final" xfId="1920" xr:uid="{00000000-0005-0000-0000-00002C000000}"/>
    <cellStyle name="_115 Timaru Budget_Corporate IT Budget 2011BM Final" xfId="1921" xr:uid="{00000000-0005-0000-0000-00002D000000}"/>
    <cellStyle name="_115 Timaru Budget_Freight_Jan10_A" xfId="1922" xr:uid="{00000000-0005-0000-0000-00002E000000}"/>
    <cellStyle name="_115 Timaru Budget_Freight_Jan10_A_Tranz Scenic Budget 2011RA Final" xfId="1923" xr:uid="{00000000-0005-0000-0000-00002F000000}"/>
    <cellStyle name="_115 Timaru Budget_Interislander Budget Template 2011" xfId="1924" xr:uid="{00000000-0005-0000-0000-000030000000}"/>
    <cellStyle name="_115 Timaru Budget_Key Performance vs SCI - February 2010" xfId="1925" xr:uid="{00000000-0005-0000-0000-000031000000}"/>
    <cellStyle name="_115 Timaru Budget_Summary Template - SAP Mapping" xfId="1926" xr:uid="{00000000-0005-0000-0000-000032000000}"/>
    <cellStyle name="_115 Timaru Budget_Tranz Scenic Budget 2011RA Final" xfId="1927" xr:uid="{00000000-0005-0000-0000-000033000000}"/>
    <cellStyle name="_115 Timaru Budget_Working Captial Movements 2010_2011" xfId="1928" xr:uid="{00000000-0005-0000-0000-000034000000}"/>
    <cellStyle name="_TTL Jul 07" xfId="1929" xr:uid="{00000000-0005-0000-0000-000035000000}"/>
    <cellStyle name="_TTL Jul 07 2" xfId="1930" xr:uid="{00000000-0005-0000-0000-000036000000}"/>
    <cellStyle name="_TTL Jul 07 2 2" xfId="1931" xr:uid="{00000000-0005-0000-0000-000037000000}"/>
    <cellStyle name="_TTL Jul 07_Capital Projects Report_Consolidated Template" xfId="1932" xr:uid="{00000000-0005-0000-0000-000038000000}"/>
    <cellStyle name="_TTL Jul 07_Capital Projects Report_Consolidated Template 2" xfId="1933" xr:uid="{00000000-0005-0000-0000-000039000000}"/>
    <cellStyle name="_TTL Jul 07_Capital Projects Report_Consolidated Template 2 2" xfId="1934" xr:uid="{00000000-0005-0000-0000-00003A000000}"/>
    <cellStyle name="_TTL Jul 07_Capital Projects Report_Consolidated Template_Tranz Scenic Budget 2011RA Final" xfId="1935" xr:uid="{00000000-0005-0000-0000-00003B000000}"/>
    <cellStyle name="_TTL Jul 07_Corporate IT Budget 2011BM Final" xfId="1936" xr:uid="{00000000-0005-0000-0000-00003C000000}"/>
    <cellStyle name="_TTL Jul 07_Freight_Jan10_A" xfId="1937" xr:uid="{00000000-0005-0000-0000-00003D000000}"/>
    <cellStyle name="_TTL Jul 07_Freight_Jan10_A_Tranz Scenic Budget 2011RA Final" xfId="1938" xr:uid="{00000000-0005-0000-0000-00003E000000}"/>
    <cellStyle name="_TTL Jul 07_Interislander Budget Template 2011" xfId="1939" xr:uid="{00000000-0005-0000-0000-00003F000000}"/>
    <cellStyle name="_TTL Jul 07_Key Performance vs SCI - February 2010" xfId="1940" xr:uid="{00000000-0005-0000-0000-000040000000}"/>
    <cellStyle name="_TTL Jul 07_Summary Template - SAP Mapping" xfId="1941" xr:uid="{00000000-0005-0000-0000-000041000000}"/>
    <cellStyle name="_TTL Jul 07_Tranz Scenic Budget 2011RA Final" xfId="1942" xr:uid="{00000000-0005-0000-0000-000042000000}"/>
    <cellStyle name="_TTL Jul 07_Working Captial Movements 2010_2011" xfId="1943" xr:uid="{00000000-0005-0000-0000-000043000000}"/>
    <cellStyle name="2" xfId="1944" xr:uid="{00000000-0005-0000-0000-000044000000}"/>
    <cellStyle name="20 % - Akzent1" xfId="17781" hidden="1" xr:uid="{00000000-0005-0000-0000-00004E000000}"/>
    <cellStyle name="20 % - Akzent1" xfId="18175" hidden="1" xr:uid="{00000000-0005-0000-0000-000081000000}"/>
    <cellStyle name="20 % - Akzent1" xfId="9182" hidden="1" xr:uid="{00000000-0005-0000-0000-0000C9000000}"/>
    <cellStyle name="20 % - Akzent1" xfId="15443" hidden="1" xr:uid="{00000000-0005-0000-0000-000099000000}"/>
    <cellStyle name="20 % - Akzent1" xfId="17140" hidden="1" xr:uid="{00000000-0005-0000-0000-000093000000}"/>
    <cellStyle name="20 % - Akzent1" xfId="1211" hidden="1" xr:uid="{00000000-0005-0000-0000-0000E3000000}"/>
    <cellStyle name="20 % - Akzent1" xfId="10764" hidden="1" xr:uid="{00000000-0005-0000-0000-0000AF000000}"/>
    <cellStyle name="20 % - Akzent1" xfId="13553" hidden="1" xr:uid="{00000000-0005-0000-0000-0000D1000000}"/>
    <cellStyle name="20 % - Akzent1" xfId="13844" hidden="1" xr:uid="{00000000-0005-0000-0000-000095000000}"/>
    <cellStyle name="20 % - Akzent1" xfId="3584" hidden="1" xr:uid="{00000000-0005-0000-0000-0000A5000000}"/>
    <cellStyle name="20 % - Akzent1" xfId="19030" hidden="1" xr:uid="{00000000-0005-0000-0000-000082000000}"/>
    <cellStyle name="20 % - Akzent1" xfId="3211" hidden="1" xr:uid="{00000000-0005-0000-0000-0000E4000000}"/>
    <cellStyle name="20 % - Akzent1" xfId="13384" hidden="1" xr:uid="{00000000-0005-0000-0000-0000D4000000}"/>
    <cellStyle name="20 % - Akzent1" xfId="17733" hidden="1" xr:uid="{00000000-0005-0000-0000-00004D000000}"/>
    <cellStyle name="20 % - Akzent1" xfId="19714" hidden="1" xr:uid="{00000000-0005-0000-0000-00006C000000}"/>
    <cellStyle name="20 % - Akzent1" xfId="19534" hidden="1" xr:uid="{00000000-0005-0000-0000-000066000000}"/>
    <cellStyle name="20 % - Akzent1" xfId="19764" hidden="1" xr:uid="{00000000-0005-0000-0000-00006D000000}"/>
    <cellStyle name="20 % - Akzent1" xfId="13496" hidden="1" xr:uid="{00000000-0005-0000-0000-0000D0000000}"/>
    <cellStyle name="20 % - Akzent1" xfId="14625" hidden="1" xr:uid="{00000000-0005-0000-0000-0000C7000000}"/>
    <cellStyle name="20 % - Akzent1" xfId="9187" hidden="1" xr:uid="{00000000-0005-0000-0000-0000B4000000}"/>
    <cellStyle name="20 % - Akzent1" xfId="13415" hidden="1" xr:uid="{00000000-0005-0000-0000-0000D3000000}"/>
    <cellStyle name="20 % - Akzent1" xfId="14752" hidden="1" xr:uid="{00000000-0005-0000-0000-0000B9000000}"/>
    <cellStyle name="20 % - Akzent1" xfId="13358" hidden="1" xr:uid="{00000000-0005-0000-0000-0000D5000000}"/>
    <cellStyle name="20 % - Akzent1" xfId="18630" hidden="1" xr:uid="{00000000-0005-0000-0000-00008D000000}"/>
    <cellStyle name="20 % - Akzent1" xfId="19771" hidden="1" xr:uid="{00000000-0005-0000-0000-000078000000}"/>
    <cellStyle name="20 % - Akzent1" xfId="3367" hidden="1" xr:uid="{00000000-0005-0000-0000-0000AC000000}"/>
    <cellStyle name="20 % - Akzent1" xfId="8312" hidden="1" xr:uid="{00000000-0005-0000-0000-0000A9000000}"/>
    <cellStyle name="20 % - Akzent1" xfId="16621" hidden="1" xr:uid="{00000000-0005-0000-0000-0000C1000000}"/>
    <cellStyle name="20 % - Akzent1" xfId="17248" hidden="1" xr:uid="{00000000-0005-0000-0000-000094000000}"/>
    <cellStyle name="20 % - Akzent1" xfId="18694" hidden="1" xr:uid="{00000000-0005-0000-0000-000059000000}"/>
    <cellStyle name="20 % - Akzent1" xfId="16844" hidden="1" xr:uid="{00000000-0005-0000-0000-00009C000000}"/>
    <cellStyle name="20 % - Akzent1" xfId="18370" hidden="1" xr:uid="{00000000-0005-0000-0000-00005A000000}"/>
    <cellStyle name="20 % - Akzent1" xfId="17835" hidden="1" xr:uid="{00000000-0005-0000-0000-000096000000}"/>
    <cellStyle name="20 % - Akzent1" xfId="19693" hidden="1" xr:uid="{00000000-0005-0000-0000-000079000000}"/>
    <cellStyle name="20 % - Akzent1" xfId="18973" hidden="1" xr:uid="{00000000-0005-0000-0000-000062000000}"/>
    <cellStyle name="20 % - Akzent1" xfId="14743" hidden="1" xr:uid="{00000000-0005-0000-0000-0000B8000000}"/>
    <cellStyle name="20 % - Akzent1" xfId="15745" hidden="1" xr:uid="{00000000-0005-0000-0000-000056000000}"/>
    <cellStyle name="20 % - Akzent1" xfId="17553" hidden="1" xr:uid="{00000000-0005-0000-0000-00008E000000}"/>
    <cellStyle name="20 % - Akzent1" xfId="16719" hidden="1" xr:uid="{00000000-0005-0000-0000-000045000000}"/>
    <cellStyle name="20 % - Akzent1" xfId="13199" hidden="1" xr:uid="{00000000-0005-0000-0000-0000A1000000}"/>
    <cellStyle name="20 % - Akzent1" xfId="16291" hidden="1" xr:uid="{00000000-0005-0000-0000-0000BA000000}"/>
    <cellStyle name="20 % - Akzent1" xfId="1356" hidden="1" xr:uid="{00000000-0005-0000-0000-0000DD000000}"/>
    <cellStyle name="20 % - Akzent1" xfId="13608" hidden="1" xr:uid="{00000000-0005-0000-0000-0000D6000000}"/>
    <cellStyle name="20 % - Akzent1" xfId="63" hidden="1" xr:uid="{00000000-0005-0000-0000-0000DE000000}"/>
    <cellStyle name="20 % - Akzent1" xfId="12688" hidden="1" xr:uid="{00000000-0005-0000-0000-0000E0000000}"/>
    <cellStyle name="20 % - Akzent1" xfId="16532" hidden="1" xr:uid="{00000000-0005-0000-0000-000077000000}"/>
    <cellStyle name="20 % - Akzent1" xfId="18868" hidden="1" xr:uid="{00000000-0005-0000-0000-00005E000000}"/>
    <cellStyle name="20 % - Akzent1" xfId="3320" hidden="1" xr:uid="{00000000-0005-0000-0000-0000A7000000}"/>
    <cellStyle name="20 % - Akzent1" xfId="8587" hidden="1" xr:uid="{00000000-0005-0000-0000-0000AA000000}"/>
    <cellStyle name="20 % - Akzent1" xfId="10688" hidden="1" xr:uid="{00000000-0005-0000-0000-0000B1000000}"/>
    <cellStyle name="20 % - Akzent1" xfId="13546" hidden="1" xr:uid="{00000000-0005-0000-0000-0000D2000000}"/>
    <cellStyle name="20 % - Akzent1" xfId="8305" hidden="1" xr:uid="{00000000-0005-0000-0000-0000CB000000}"/>
    <cellStyle name="20 % - Akzent1" xfId="8799" hidden="1" xr:uid="{00000000-0005-0000-0000-0000AB000000}"/>
    <cellStyle name="20 % - Akzent1" xfId="4008" hidden="1" xr:uid="{00000000-0005-0000-0000-0000A6000000}"/>
    <cellStyle name="20 % - Akzent1" xfId="18840" hidden="1" xr:uid="{00000000-0005-0000-0000-00007F000000}"/>
    <cellStyle name="20 % - Akzent1" xfId="19796" hidden="1" xr:uid="{00000000-0005-0000-0000-000070000000}"/>
    <cellStyle name="20 % - Akzent1" xfId="9184" hidden="1" xr:uid="{00000000-0005-0000-0000-0000B2000000}"/>
    <cellStyle name="20 % - Akzent1" xfId="13999" hidden="1" xr:uid="{00000000-0005-0000-0000-000047000000}"/>
    <cellStyle name="20 % - Akzent1" xfId="18196" hidden="1" xr:uid="{00000000-0005-0000-0000-00005B000000}"/>
    <cellStyle name="20 % - Akzent1" xfId="3282" hidden="1" xr:uid="{00000000-0005-0000-0000-0000CA000000}"/>
    <cellStyle name="20 % - Akzent1" xfId="13629" hidden="1" xr:uid="{00000000-0005-0000-0000-0000D7000000}"/>
    <cellStyle name="20 % - Akzent1" xfId="19823" hidden="1" xr:uid="{00000000-0005-0000-0000-000074000000}"/>
    <cellStyle name="20 % - Akzent1" xfId="15942" hidden="1" xr:uid="{00000000-0005-0000-0000-0000BE000000}"/>
    <cellStyle name="20 % - Akzent1" xfId="13448" hidden="1" xr:uid="{00000000-0005-0000-0000-0000CF000000}"/>
    <cellStyle name="20 % - Akzent1" xfId="15722" hidden="1" xr:uid="{00000000-0005-0000-0000-0000C0000000}"/>
    <cellStyle name="20 % - Akzent1" xfId="14973" hidden="1" xr:uid="{00000000-0005-0000-0000-0000C4000000}"/>
    <cellStyle name="20 % - Akzent1" xfId="16395" hidden="1" xr:uid="{00000000-0005-0000-0000-0000BC000000}"/>
    <cellStyle name="20 % - Akzent1" xfId="15875" hidden="1" xr:uid="{00000000-0005-0000-0000-00009F000000}"/>
    <cellStyle name="20 % - Akzent1" xfId="18821" hidden="1" xr:uid="{00000000-0005-0000-0000-00005D000000}"/>
    <cellStyle name="20 % - Akzent1" xfId="8254" hidden="1" xr:uid="{00000000-0005-0000-0000-0000A8000000}"/>
    <cellStyle name="20 % - Akzent1" xfId="14840" hidden="1" xr:uid="{00000000-0005-0000-0000-00009D000000}"/>
    <cellStyle name="20 % - Akzent1" xfId="19561" hidden="1" xr:uid="{00000000-0005-0000-0000-00007E000000}"/>
    <cellStyle name="20 % - Akzent1" xfId="8957" hidden="1" xr:uid="{00000000-0005-0000-0000-0000C8000000}"/>
    <cellStyle name="20 % - Akzent1" xfId="16648" hidden="1" xr:uid="{00000000-0005-0000-0000-0000C2000000}"/>
    <cellStyle name="20 % - Akzent1" xfId="19884" hidden="1" xr:uid="{00000000-0005-0000-0000-000072000000}"/>
    <cellStyle name="20 % - Akzent1" xfId="16669" hidden="1" xr:uid="{00000000-0005-0000-0000-0000C3000000}"/>
    <cellStyle name="20 % - Akzent1" xfId="16250" hidden="1" xr:uid="{00000000-0005-0000-0000-000098000000}"/>
    <cellStyle name="20 % - Akzent1" xfId="14700" hidden="1" xr:uid="{00000000-0005-0000-0000-00004B000000}"/>
    <cellStyle name="20 % - Akzent1" xfId="3232" hidden="1" xr:uid="{00000000-0005-0000-0000-0000A4000000}"/>
    <cellStyle name="20 % - Akzent1" xfId="18250" hidden="1" xr:uid="{00000000-0005-0000-0000-00008A000000}"/>
    <cellStyle name="20 % - Akzent1" xfId="16817" hidden="1" xr:uid="{00000000-0005-0000-0000-000048000000}"/>
    <cellStyle name="20 % - Akzent1" xfId="15807" hidden="1" xr:uid="{00000000-0005-0000-0000-0000BF000000}"/>
    <cellStyle name="20 % - Akzent1" xfId="14858" hidden="1" xr:uid="{00000000-0005-0000-0000-00006F000000}"/>
    <cellStyle name="20 % - Akzent1" xfId="959" hidden="1" xr:uid="{00000000-0005-0000-0000-0000A3000000}"/>
    <cellStyle name="20 % - Akzent1" xfId="17149" hidden="1" xr:uid="{00000000-0005-0000-0000-000051000000}"/>
    <cellStyle name="20 % - Akzent1" xfId="16985" hidden="1" xr:uid="{00000000-0005-0000-0000-00005F000000}"/>
    <cellStyle name="20 % - Akzent1" xfId="16725" hidden="1" xr:uid="{00000000-0005-0000-0000-0000A0000000}"/>
    <cellStyle name="20 % - Akzent1" xfId="12186" hidden="1" xr:uid="{00000000-0005-0000-0000-0000DF000000}"/>
    <cellStyle name="20 % - Akzent1" xfId="18925" hidden="1" xr:uid="{00000000-0005-0000-0000-000061000000}"/>
    <cellStyle name="20 % - Akzent1" xfId="16767" hidden="1" xr:uid="{00000000-0005-0000-0000-000084000000}"/>
    <cellStyle name="20 % - Akzent1" xfId="16318" hidden="1" xr:uid="{00000000-0005-0000-0000-0000C6000000}"/>
    <cellStyle name="20 % - Akzent1" xfId="18033" hidden="1" xr:uid="{00000000-0005-0000-0000-000091000000}"/>
    <cellStyle name="20 % - Akzent1" xfId="14118" hidden="1" xr:uid="{00000000-0005-0000-0000-000046000000}"/>
    <cellStyle name="20 % - Akzent1" xfId="13733" hidden="1" xr:uid="{00000000-0005-0000-0000-0000B6000000}"/>
    <cellStyle name="20 % - Akzent1" xfId="18026" hidden="1" xr:uid="{00000000-0005-0000-0000-000054000000}"/>
    <cellStyle name="20 % - Akzent1" xfId="16079" hidden="1" xr:uid="{00000000-0005-0000-0000-000060000000}"/>
    <cellStyle name="20 % - Akzent1" xfId="16922" hidden="1" xr:uid="{00000000-0005-0000-0000-00009B000000}"/>
    <cellStyle name="20 % - Akzent1" xfId="17760" hidden="1" xr:uid="{00000000-0005-0000-0000-000097000000}"/>
    <cellStyle name="20 % - Akzent1" xfId="13672" hidden="1" xr:uid="{00000000-0005-0000-0000-0000D9000000}"/>
    <cellStyle name="20 % - Akzent1" xfId="16784" hidden="1" xr:uid="{00000000-0005-0000-0000-00009A000000}"/>
    <cellStyle name="20 % - Akzent1" xfId="4141" hidden="1" xr:uid="{00000000-0005-0000-0000-0000CD000000}"/>
    <cellStyle name="20 % - Akzent1" xfId="18189" hidden="1" xr:uid="{00000000-0005-0000-0000-000089000000}"/>
    <cellStyle name="20 % - Akzent1" xfId="13581" hidden="1" xr:uid="{00000000-0005-0000-0000-0000DB000000}"/>
    <cellStyle name="20 % - Akzent1" xfId="3184" hidden="1" xr:uid="{00000000-0005-0000-0000-0000E5000000}"/>
    <cellStyle name="20 % - Akzent1" xfId="17424" hidden="1" xr:uid="{00000000-0005-0000-0000-000050000000}"/>
    <cellStyle name="20 % - Akzent1" xfId="18800" hidden="1" xr:uid="{00000000-0005-0000-0000-000088000000}"/>
    <cellStyle name="20 % - Akzent1" xfId="19092" hidden="1" xr:uid="{00000000-0005-0000-0000-00007A000000}"/>
    <cellStyle name="20 % - Akzent1" xfId="16558" hidden="1" xr:uid="{00000000-0005-0000-0000-000076000000}"/>
    <cellStyle name="20 % - Akzent1" xfId="19526" hidden="1" xr:uid="{00000000-0005-0000-0000-000075000000}"/>
    <cellStyle name="20 % - Akzent1" xfId="12940" hidden="1" xr:uid="{00000000-0005-0000-0000-0000CE000000}"/>
    <cellStyle name="20 % - Akzent1" xfId="17976" hidden="1" xr:uid="{00000000-0005-0000-0000-000053000000}"/>
    <cellStyle name="20 % - Akzent1" xfId="16225" hidden="1" xr:uid="{00000000-0005-0000-0000-000090000000}"/>
    <cellStyle name="20 % - Akzent1" xfId="14293" hidden="1" xr:uid="{00000000-0005-0000-0000-00007C000000}"/>
    <cellStyle name="20 % - Akzent1" xfId="18425" hidden="1" xr:uid="{00000000-0005-0000-0000-000065000000}"/>
    <cellStyle name="20 % - Akzent1" xfId="16155" hidden="1" xr:uid="{00000000-0005-0000-0000-000055000000}"/>
    <cellStyle name="20 % - Akzent1" xfId="16339" hidden="1" xr:uid="{00000000-0005-0000-0000-0000BB000000}"/>
    <cellStyle name="20 % - Akzent1" xfId="10264" hidden="1" xr:uid="{00000000-0005-0000-0000-0000B0000000}"/>
    <cellStyle name="20 % - Akzent1" xfId="18698" hidden="1" xr:uid="{00000000-0005-0000-0000-00008C000000}"/>
    <cellStyle name="20 % - Akzent1" xfId="12174" hidden="1" xr:uid="{00000000-0005-0000-0000-0000DA000000}"/>
    <cellStyle name="20 % - Akzent1" xfId="15033" hidden="1" xr:uid="{00000000-0005-0000-0000-000080000000}"/>
    <cellStyle name="20 % - Akzent1" xfId="19666" hidden="1" xr:uid="{00000000-0005-0000-0000-00006B000000}"/>
    <cellStyle name="20 % - Akzent1" xfId="18352" hidden="1" xr:uid="{00000000-0005-0000-0000-000086000000}"/>
    <cellStyle name="20 % - Akzent1" xfId="19582" hidden="1" xr:uid="{00000000-0005-0000-0000-000067000000}"/>
    <cellStyle name="20 % - Akzent1" xfId="14322" hidden="1" xr:uid="{00000000-0005-0000-0000-000085000000}"/>
    <cellStyle name="20 % - Akzent1" xfId="18872" hidden="1" xr:uid="{00000000-0005-0000-0000-000087000000}"/>
    <cellStyle name="20 % - Akzent1" xfId="17828" hidden="1" xr:uid="{00000000-0005-0000-0000-00004F000000}"/>
    <cellStyle name="20 % - Akzent1" xfId="13475" hidden="1" xr:uid="{00000000-0005-0000-0000-0000A2000000}"/>
    <cellStyle name="20 % - Akzent1" xfId="18952" hidden="1" xr:uid="{00000000-0005-0000-0000-000083000000}"/>
    <cellStyle name="20 % - Akzent1" xfId="8755" hidden="1" xr:uid="{00000000-0005-0000-0000-0000B3000000}"/>
    <cellStyle name="20 % - Akzent1" xfId="3289" hidden="1" xr:uid="{00000000-0005-0000-0000-0000E2000000}"/>
    <cellStyle name="20 % - Akzent1" xfId="17955" hidden="1" xr:uid="{00000000-0005-0000-0000-000092000000}"/>
    <cellStyle name="20 % - Akzent1" xfId="18651" hidden="1" xr:uid="{00000000-0005-0000-0000-000058000000}"/>
    <cellStyle name="20 % - Akzent1" xfId="8959" hidden="1" xr:uid="{00000000-0005-0000-0000-0000B5000000}"/>
    <cellStyle name="20 % - Akzent1" xfId="14248" hidden="1" xr:uid="{00000000-0005-0000-0000-00006E000000}"/>
    <cellStyle name="20 % - Akzent1" xfId="14408" hidden="1" xr:uid="{00000000-0005-0000-0000-00009E000000}"/>
    <cellStyle name="20 % - Akzent1" xfId="14415" hidden="1" xr:uid="{00000000-0005-0000-0000-0000B7000000}"/>
    <cellStyle name="20 % - Akzent1" xfId="13669" hidden="1" xr:uid="{00000000-0005-0000-0000-0000D8000000}"/>
    <cellStyle name="20 % - Akzent1" xfId="15998" hidden="1" xr:uid="{00000000-0005-0000-0000-00008F000000}"/>
    <cellStyle name="20 % - Akzent1" xfId="14600" hidden="1" xr:uid="{00000000-0005-0000-0000-0000C5000000}"/>
    <cellStyle name="20 % - Akzent1" xfId="19887" hidden="1" xr:uid="{00000000-0005-0000-0000-000073000000}"/>
    <cellStyle name="20 % - Akzent1" xfId="18843" hidden="1" xr:uid="{00000000-0005-0000-0000-00007B000000}"/>
    <cellStyle name="20 % - Akzent1" xfId="13085" hidden="1" xr:uid="{00000000-0005-0000-0000-0000E1000000}"/>
    <cellStyle name="20 % - Akzent1" xfId="1366" hidden="1" xr:uid="{00000000-0005-0000-0000-0000AD000000}"/>
    <cellStyle name="20 % - Akzent1" xfId="8423" hidden="1" xr:uid="{00000000-0005-0000-0000-0000CC000000}"/>
    <cellStyle name="20 % - Akzent1" xfId="8478" hidden="1" xr:uid="{00000000-0005-0000-0000-0000AE000000}"/>
    <cellStyle name="20 % - Akzent1" xfId="19023" hidden="1" xr:uid="{00000000-0005-0000-0000-000063000000}"/>
    <cellStyle name="20 % - Akzent1" xfId="14977" hidden="1" xr:uid="{00000000-0005-0000-0000-00008B000000}"/>
    <cellStyle name="20 % - Akzent1" xfId="17055" hidden="1" xr:uid="{00000000-0005-0000-0000-000069000000}"/>
    <cellStyle name="20 % - Akzent1" xfId="18773" hidden="1" xr:uid="{00000000-0005-0000-0000-00005C000000}"/>
    <cellStyle name="20 % - Akzent1" xfId="19101" hidden="1" xr:uid="{00000000-0005-0000-0000-00006A000000}"/>
    <cellStyle name="20 % - Akzent1" xfId="19629" hidden="1" xr:uid="{00000000-0005-0000-0000-00007D000000}"/>
    <cellStyle name="20 % - Akzent1" xfId="17928" hidden="1" xr:uid="{00000000-0005-0000-0000-000052000000}"/>
    <cellStyle name="20 % - Akzent1" xfId="16865" hidden="1" xr:uid="{00000000-0005-0000-0000-000049000000}"/>
    <cellStyle name="20 % - Akzent1" xfId="19844" hidden="1" xr:uid="{00000000-0005-0000-0000-000071000000}"/>
    <cellStyle name="20 % - Akzent1" xfId="18603" hidden="1" xr:uid="{00000000-0005-0000-0000-000057000000}"/>
    <cellStyle name="20 % - Akzent1" xfId="19625" hidden="1" xr:uid="{00000000-0005-0000-0000-000068000000}"/>
    <cellStyle name="20 % - Akzent1" xfId="16915" hidden="1" xr:uid="{00000000-0005-0000-0000-00004A000000}"/>
    <cellStyle name="20 % - Akzent1" xfId="14313" hidden="1" xr:uid="{00000000-0005-0000-0000-000064000000}"/>
    <cellStyle name="20 % - Akzent1" xfId="16451" hidden="1" xr:uid="{00000000-0005-0000-0000-00004C000000}"/>
    <cellStyle name="20 % - Akzent1" xfId="16389" hidden="1" xr:uid="{00000000-0005-0000-0000-0000BD000000}"/>
    <cellStyle name="20 % - Akzent1" xfId="13095" hidden="1" xr:uid="{00000000-0005-0000-0000-0000DC000000}"/>
    <cellStyle name="20 % - Akzent1 2" xfId="386" xr:uid="{00000000-0005-0000-0000-0000E6000000}"/>
    <cellStyle name="20 % - Akzent1 3" xfId="255" xr:uid="{00000000-0005-0000-0000-0000E7000000}"/>
    <cellStyle name="20 % - Akzent2" xfId="19604" hidden="1" xr:uid="{00000000-0005-0000-0000-000016010000}"/>
    <cellStyle name="20 % - Akzent2" xfId="3778" hidden="1" xr:uid="{00000000-0005-0000-0000-000068010000}"/>
    <cellStyle name="20 % - Akzent2" xfId="15831" hidden="1" xr:uid="{00000000-0005-0000-0000-0000FD000000}"/>
    <cellStyle name="20 % - Akzent2" xfId="16650" hidden="1" xr:uid="{00000000-0005-0000-0000-00005A010000}"/>
    <cellStyle name="20 % - Akzent2" xfId="15420" hidden="1" xr:uid="{00000000-0005-0000-0000-00005F010000}"/>
    <cellStyle name="20 % - Akzent2" xfId="14418" hidden="1" xr:uid="{00000000-0005-0000-0000-00004D010000}"/>
    <cellStyle name="20 % - Akzent2" xfId="17157" hidden="1" xr:uid="{00000000-0005-0000-0000-000037010000}"/>
    <cellStyle name="20 % - Akzent2" xfId="9407" hidden="1" xr:uid="{00000000-0005-0000-0000-00003D010000}"/>
    <cellStyle name="20 % - Akzent2" xfId="16672" hidden="1" xr:uid="{00000000-0005-0000-0000-00005B010000}"/>
    <cellStyle name="20 % - Akzent2" xfId="13659" hidden="1" xr:uid="{00000000-0005-0000-0000-00007A010000}"/>
    <cellStyle name="20 % - Akzent2" xfId="13736" hidden="1" xr:uid="{00000000-0005-0000-0000-00004C010000}"/>
    <cellStyle name="20 % - Akzent2" xfId="16846" hidden="1" xr:uid="{00000000-0005-0000-0000-0000E8000000}"/>
    <cellStyle name="20 % - Akzent2" xfId="3371" hidden="1" xr:uid="{00000000-0005-0000-0000-00003C010000}"/>
    <cellStyle name="20 % - Akzent2" xfId="3869" hidden="1" xr:uid="{00000000-0005-0000-0000-000069010000}"/>
    <cellStyle name="20 % - Akzent2" xfId="13034" hidden="1" xr:uid="{00000000-0005-0000-0000-000071010000}"/>
    <cellStyle name="20 % - Akzent2" xfId="3213" hidden="1" xr:uid="{00000000-0005-0000-0000-00007E010000}"/>
    <cellStyle name="20 % - Akzent2" xfId="14731" hidden="1" xr:uid="{00000000-0005-0000-0000-000065010000}"/>
    <cellStyle name="20 % - Akzent2" xfId="19863" hidden="1" xr:uid="{00000000-0005-0000-0000-000025010000}"/>
    <cellStyle name="20 % - Akzent2" xfId="8284" hidden="1" xr:uid="{00000000-0005-0000-0000-000048010000}"/>
    <cellStyle name="20 % - Akzent2" xfId="16368" hidden="1" xr:uid="{00000000-0005-0000-0000-000053010000}"/>
    <cellStyle name="20 % - Akzent2" xfId="13362" hidden="1" xr:uid="{00000000-0005-0000-0000-00007C010000}"/>
    <cellStyle name="20 % - Akzent2" xfId="3261" hidden="1" xr:uid="{00000000-0005-0000-0000-000080010000}"/>
    <cellStyle name="20 % - Akzent2" xfId="10661" hidden="1" xr:uid="{00000000-0005-0000-0000-000042010000}"/>
    <cellStyle name="20 % - Akzent2" xfId="15754" hidden="1" xr:uid="{00000000-0005-0000-0000-000056010000}"/>
    <cellStyle name="20 % - Akzent2" xfId="18776" hidden="1" xr:uid="{00000000-0005-0000-0000-000005010000}"/>
    <cellStyle name="20 % - Akzent2" xfId="962" hidden="1" xr:uid="{00000000-0005-0000-0000-000078010000}"/>
    <cellStyle name="20 % - Akzent2" xfId="15832" hidden="1" xr:uid="{00000000-0005-0000-0000-00000B010000}"/>
    <cellStyle name="20 % - Akzent2" xfId="16379" hidden="1" xr:uid="{00000000-0005-0000-0000-000054010000}"/>
    <cellStyle name="20 % - Akzent2" xfId="13373" hidden="1" xr:uid="{00000000-0005-0000-0000-000082010000}"/>
    <cellStyle name="20 % - Akzent2" xfId="3187" hidden="1" xr:uid="{00000000-0005-0000-0000-00006D010000}"/>
    <cellStyle name="20 % - Akzent2" xfId="3235" hidden="1" xr:uid="{00000000-0005-0000-0000-00007F010000}"/>
    <cellStyle name="20 % - Akzent2" xfId="16342" hidden="1" xr:uid="{00000000-0005-0000-0000-000052010000}"/>
    <cellStyle name="20 % - Akzent2" xfId="9409" hidden="1" xr:uid="{00000000-0005-0000-0000-000043010000}"/>
    <cellStyle name="20 % - Akzent2" xfId="13632" hidden="1" xr:uid="{00000000-0005-0000-0000-00007B010000}"/>
    <cellStyle name="20 % - Akzent2" xfId="19537" hidden="1" xr:uid="{00000000-0005-0000-0000-000014010000}"/>
    <cellStyle name="20 % - Akzent2" xfId="18802" hidden="1" xr:uid="{00000000-0005-0000-0000-000006010000}"/>
    <cellStyle name="20 % - Akzent2" xfId="16709" hidden="1" xr:uid="{00000000-0005-0000-0000-000063010000}"/>
    <cellStyle name="20 % - Akzent2" xfId="13072" hidden="1" xr:uid="{00000000-0005-0000-0000-000072010000}"/>
    <cellStyle name="20 % - Akzent2" xfId="14990" hidden="1" xr:uid="{00000000-0005-0000-0000-000058010000}"/>
    <cellStyle name="20 % - Akzent2" xfId="8985" hidden="1" xr:uid="{00000000-0005-0000-0000-00003F010000}"/>
    <cellStyle name="20 % - Akzent2" xfId="3723" hidden="1" xr:uid="{00000000-0005-0000-0000-000081010000}"/>
    <cellStyle name="20 % - Akzent2" xfId="66" hidden="1" xr:uid="{00000000-0005-0000-0000-000079010000}"/>
    <cellStyle name="20 % - Akzent2" xfId="14705" hidden="1" xr:uid="{00000000-0005-0000-0000-00004E010000}"/>
    <cellStyle name="20 % - Akzent2" xfId="14834" hidden="1" xr:uid="{00000000-0005-0000-0000-000061010000}"/>
    <cellStyle name="20 % - Akzent2" xfId="16007" hidden="1" xr:uid="{00000000-0005-0000-0000-000018010000}"/>
    <cellStyle name="20 % - Akzent2" xfId="4121" hidden="1" xr:uid="{00000000-0005-0000-0000-00004B010000}"/>
    <cellStyle name="20 % - Akzent2" xfId="12189" hidden="1" xr:uid="{00000000-0005-0000-0000-00006F010000}"/>
    <cellStyle name="20 % - Akzent2" xfId="15732" hidden="1" xr:uid="{00000000-0005-0000-0000-000057010000}"/>
    <cellStyle name="20 % - Akzent2" xfId="8512" hidden="1" xr:uid="{00000000-0005-0000-0000-000044010000}"/>
    <cellStyle name="20 % - Akzent2" xfId="16820" hidden="1" xr:uid="{00000000-0005-0000-0000-000062010000}"/>
    <cellStyle name="20 % - Akzent2" xfId="13536" hidden="1" xr:uid="{00000000-0005-0000-0000-00007D010000}"/>
    <cellStyle name="20 % - Akzent2" xfId="16905" hidden="1" xr:uid="{00000000-0005-0000-0000-0000EA000000}"/>
    <cellStyle name="20 % - Akzent2" xfId="13477" hidden="1" xr:uid="{00000000-0005-0000-0000-000074010000}"/>
    <cellStyle name="20 % - Akzent2" xfId="16624" hidden="1" xr:uid="{00000000-0005-0000-0000-000059010000}"/>
    <cellStyle name="20 % - Akzent2" xfId="3272" hidden="1" xr:uid="{00000000-0005-0000-0000-00006A010000}"/>
    <cellStyle name="20 % - Akzent2" xfId="13610" hidden="1" xr:uid="{00000000-0005-0000-0000-000084010000}"/>
    <cellStyle name="20 % - Akzent2" xfId="10706" hidden="1" xr:uid="{00000000-0005-0000-0000-000041010000}"/>
    <cellStyle name="20 % - Akzent2" xfId="8927" hidden="1" xr:uid="{00000000-0005-0000-0000-000047010000}"/>
    <cellStyle name="20 % - Akzent2" xfId="13451" hidden="1" xr:uid="{00000000-0005-0000-0000-000077010000}"/>
    <cellStyle name="20 % - Akzent2" xfId="1343" hidden="1" xr:uid="{00000000-0005-0000-0000-00006B010000}"/>
    <cellStyle name="20 % - Akzent2" xfId="13413" hidden="1" xr:uid="{00000000-0005-0000-0000-000086010000}"/>
    <cellStyle name="20 % - Akzent2" xfId="18375" hidden="1" xr:uid="{00000000-0005-0000-0000-00002D010000}"/>
    <cellStyle name="20 % - Akzent2" xfId="18928" hidden="1" xr:uid="{00000000-0005-0000-0000-00002F010000}"/>
    <cellStyle name="20 % - Akzent2" xfId="10449" hidden="1" xr:uid="{00000000-0005-0000-0000-000067010000}"/>
    <cellStyle name="20 % - Akzent2" xfId="13698" hidden="1" xr:uid="{00000000-0005-0000-0000-000060010000}"/>
    <cellStyle name="20 % - Akzent2" xfId="19874" hidden="1" xr:uid="{00000000-0005-0000-0000-000026010000}"/>
    <cellStyle name="20 % - Akzent2" xfId="13648" hidden="1" xr:uid="{00000000-0005-0000-0000-000085010000}"/>
    <cellStyle name="20 % - Akzent2" xfId="14687" hidden="1" xr:uid="{00000000-0005-0000-0000-00004F010000}"/>
    <cellStyle name="20 % - Akzent2" xfId="17736" hidden="1" xr:uid="{00000000-0005-0000-0000-000039010000}"/>
    <cellStyle name="20 % - Akzent2" xfId="16294" hidden="1" xr:uid="{00000000-0005-0000-0000-000050010000}"/>
    <cellStyle name="20 % - Akzent2" xfId="18673" hidden="1" xr:uid="{00000000-0005-0000-0000-000000010000}"/>
    <cellStyle name="20 % - Akzent2" xfId="8530" hidden="1" xr:uid="{00000000-0005-0000-0000-000045010000}"/>
    <cellStyle name="20 % - Akzent2" xfId="16868" hidden="1" xr:uid="{00000000-0005-0000-0000-00003B010000}"/>
    <cellStyle name="20 % - Akzent2" xfId="13584" hidden="1" xr:uid="{00000000-0005-0000-0000-000083010000}"/>
    <cellStyle name="20 % - Akzent2" xfId="1286" hidden="1" xr:uid="{00000000-0005-0000-0000-00006C010000}"/>
    <cellStyle name="20 % - Akzent2" xfId="9397" hidden="1" xr:uid="{00000000-0005-0000-0000-000040010000}"/>
    <cellStyle name="20 % - Akzent2" xfId="8246" hidden="1" xr:uid="{00000000-0005-0000-0000-00004A010000}"/>
    <cellStyle name="20 % - Akzent2" xfId="13015" hidden="1" xr:uid="{00000000-0005-0000-0000-000073010000}"/>
    <cellStyle name="20 % - Akzent2" xfId="15270" hidden="1" xr:uid="{00000000-0005-0000-0000-00005E010000}"/>
    <cellStyle name="20 % - Akzent2" xfId="17957" hidden="1" xr:uid="{00000000-0005-0000-0000-0000F7000000}"/>
    <cellStyle name="20 % - Akzent2" xfId="16320" hidden="1" xr:uid="{00000000-0005-0000-0000-000051010000}"/>
    <cellStyle name="20 % - Akzent2" xfId="19374" hidden="1" xr:uid="{00000000-0005-0000-0000-00002B010000}"/>
    <cellStyle name="20 % - Akzent2" xfId="16392" hidden="1" xr:uid="{00000000-0005-0000-0000-00003A010000}"/>
    <cellStyle name="20 % - Akzent2" xfId="18824" hidden="1" xr:uid="{00000000-0005-0000-0000-000031010000}"/>
    <cellStyle name="20 % - Akzent2" xfId="19695" hidden="1" xr:uid="{00000000-0005-0000-0000-00001C010000}"/>
    <cellStyle name="20 % - Akzent2" xfId="8591" hidden="1" xr:uid="{00000000-0005-0000-0000-000046010000}"/>
    <cellStyle name="20 % - Akzent2" xfId="13525" hidden="1" xr:uid="{00000000-0005-0000-0000-000076010000}"/>
    <cellStyle name="20 % - Akzent2" xfId="16150" hidden="1" xr:uid="{00000000-0005-0000-0000-00000A010000}"/>
    <cellStyle name="20 % - Akzent2" xfId="19585" hidden="1" xr:uid="{00000000-0005-0000-0000-00002C010000}"/>
    <cellStyle name="20 % - Akzent2" xfId="17762" hidden="1" xr:uid="{00000000-0005-0000-0000-0000EF000000}"/>
    <cellStyle name="20 % - Akzent2" xfId="18096" hidden="1" xr:uid="{00000000-0005-0000-0000-000021010000}"/>
    <cellStyle name="20 % - Akzent2" xfId="19147" hidden="1" xr:uid="{00000000-0005-0000-0000-00001B010000}"/>
    <cellStyle name="20 % - Akzent2" xfId="15169" hidden="1" xr:uid="{00000000-0005-0000-0000-000035010000}"/>
    <cellStyle name="20 % - Akzent2" xfId="14051" hidden="1" xr:uid="{00000000-0005-0000-0000-000009010000}"/>
    <cellStyle name="20 % - Akzent2" xfId="8257" hidden="1" xr:uid="{00000000-0005-0000-0000-000049010000}"/>
    <cellStyle name="20 % - Akzent2" xfId="18005" hidden="1" xr:uid="{00000000-0005-0000-0000-0000F8000000}"/>
    <cellStyle name="20 % - Akzent2" xfId="17585" hidden="1" xr:uid="{00000000-0005-0000-0000-000001010000}"/>
    <cellStyle name="20 % - Akzent2" xfId="17422" hidden="1" xr:uid="{00000000-0005-0000-0000-0000F3000000}"/>
    <cellStyle name="20 % - Akzent2" xfId="14299" hidden="1" xr:uid="{00000000-0005-0000-0000-000030010000}"/>
    <cellStyle name="20 % - Akzent2" xfId="19743" hidden="1" xr:uid="{00000000-0005-0000-0000-00001E010000}"/>
    <cellStyle name="20 % - Akzent2" xfId="12169" hidden="1" xr:uid="{00000000-0005-0000-0000-000087010000}"/>
    <cellStyle name="20 % - Akzent2" xfId="19615" hidden="1" xr:uid="{00000000-0005-0000-0000-000017010000}"/>
    <cellStyle name="20 % - Akzent2" xfId="18218" hidden="1" xr:uid="{00000000-0005-0000-0000-000003010000}"/>
    <cellStyle name="20 % - Akzent2" xfId="19799" hidden="1" xr:uid="{00000000-0005-0000-0000-000023010000}"/>
    <cellStyle name="20 % - Akzent2" xfId="17807" hidden="1" xr:uid="{00000000-0005-0000-0000-0000F1000000}"/>
    <cellStyle name="20 % - Akzent2" xfId="17195" hidden="1" xr:uid="{00000000-0005-0000-0000-0000F5000000}"/>
    <cellStyle name="20 % - Akzent2" xfId="19132" hidden="1" xr:uid="{00000000-0005-0000-0000-000019010000}"/>
    <cellStyle name="20 % - Akzent2" xfId="18389" hidden="1" xr:uid="{00000000-0005-0000-0000-000010010000}"/>
    <cellStyle name="20 % - Akzent2" xfId="19847" hidden="1" xr:uid="{00000000-0005-0000-0000-000027010000}"/>
    <cellStyle name="20 % - Akzent2" xfId="16698" hidden="1" xr:uid="{00000000-0005-0000-0000-00005C010000}"/>
    <cellStyle name="20 % - Akzent2" xfId="18954" hidden="1" xr:uid="{00000000-0005-0000-0000-00000D010000}"/>
    <cellStyle name="20 % - Akzent2" xfId="18858" hidden="1" xr:uid="{00000000-0005-0000-0000-000008010000}"/>
    <cellStyle name="20 % - Akzent2" xfId="15940" hidden="1" xr:uid="{00000000-0005-0000-0000-000064010000}"/>
    <cellStyle name="20 % - Akzent2" xfId="19825" hidden="1" xr:uid="{00000000-0005-0000-0000-000024010000}"/>
    <cellStyle name="20 % - Akzent2" xfId="15882" hidden="1" xr:uid="{00000000-0005-0000-0000-0000FB000000}"/>
    <cellStyle name="20 % - Akzent2" xfId="15092" hidden="1" xr:uid="{00000000-0005-0000-0000-0000EB000000}"/>
    <cellStyle name="20 % - Akzent2" xfId="14280" hidden="1" xr:uid="{00000000-0005-0000-0000-0000FC000000}"/>
    <cellStyle name="20 % - Akzent2" xfId="17180" hidden="1" xr:uid="{00000000-0005-0000-0000-0000F4000000}"/>
    <cellStyle name="20 % - Akzent2" xfId="15886" hidden="1" xr:uid="{00000000-0005-0000-0000-0000EC000000}"/>
    <cellStyle name="20 % - Akzent2" xfId="14392" hidden="1" xr:uid="{00000000-0005-0000-0000-000022010000}"/>
    <cellStyle name="20 % - Akzent2" xfId="14573" hidden="1" xr:uid="{00000000-0005-0000-0000-000011010000}"/>
    <cellStyle name="20 % - Akzent2" xfId="17784" hidden="1" xr:uid="{00000000-0005-0000-0000-0000F0000000}"/>
    <cellStyle name="20 % - Akzent2" xfId="17979" hidden="1" xr:uid="{00000000-0005-0000-0000-000036010000}"/>
    <cellStyle name="20 % - Akzent2" xfId="12691" hidden="1" xr:uid="{00000000-0005-0000-0000-000070010000}"/>
    <cellStyle name="20 % - Akzent2" xfId="15030" hidden="1" xr:uid="{00000000-0005-0000-0000-00005D010000}"/>
    <cellStyle name="20 % - Akzent2" xfId="19013" hidden="1" xr:uid="{00000000-0005-0000-0000-00002E010000}"/>
    <cellStyle name="20 % - Akzent2" xfId="15582" hidden="1" xr:uid="{00000000-0005-0000-0000-000013010000}"/>
    <cellStyle name="20 % - Akzent2" xfId="16793" hidden="1" xr:uid="{00000000-0005-0000-0000-000002010000}"/>
    <cellStyle name="20 % - Akzent2" xfId="19754" hidden="1" xr:uid="{00000000-0005-0000-0000-000029010000}"/>
    <cellStyle name="20 % - Akzent2" xfId="14124" hidden="1" xr:uid="{00000000-0005-0000-0000-00000C010000}"/>
    <cellStyle name="20 % - Akzent2" xfId="13835" hidden="1" xr:uid="{00000000-0005-0000-0000-000055010000}"/>
    <cellStyle name="20 % - Akzent2" xfId="17931" hidden="1" xr:uid="{00000000-0005-0000-0000-0000F6000000}"/>
    <cellStyle name="20 % - Akzent2" xfId="18632" hidden="1" xr:uid="{00000000-0005-0000-0000-0000FE000000}"/>
    <cellStyle name="20 % - Akzent2" xfId="19717" hidden="1" xr:uid="{00000000-0005-0000-0000-00001D010000}"/>
    <cellStyle name="20 % - Akzent2" xfId="18449" hidden="1" xr:uid="{00000000-0005-0000-0000-000020010000}"/>
    <cellStyle name="20 % - Akzent2" xfId="18684" hidden="1" xr:uid="{00000000-0005-0000-0000-000033010000}"/>
    <cellStyle name="20 % - Akzent2" xfId="13499" hidden="1" xr:uid="{00000000-0005-0000-0000-000075010000}"/>
    <cellStyle name="20 % - Akzent2" xfId="19109" hidden="1" xr:uid="{00000000-0005-0000-0000-00001A010000}"/>
    <cellStyle name="20 % - Akzent2" xfId="8982" hidden="1" xr:uid="{00000000-0005-0000-0000-00003E010000}"/>
    <cellStyle name="20 % - Akzent2" xfId="18654" hidden="1" xr:uid="{00000000-0005-0000-0000-0000FF000000}"/>
    <cellStyle name="20 % - Akzent2" xfId="19517" hidden="1" xr:uid="{00000000-0005-0000-0000-000028010000}"/>
    <cellStyle name="20 % - Akzent2" xfId="14555" hidden="1" xr:uid="{00000000-0005-0000-0000-000012010000}"/>
    <cellStyle name="20 % - Akzent2" xfId="15091" hidden="1" xr:uid="{00000000-0005-0000-0000-00001F010000}"/>
    <cellStyle name="20 % - Akzent2" xfId="18606" hidden="1" xr:uid="{00000000-0005-0000-0000-000034010000}"/>
    <cellStyle name="20 % - Akzent2" xfId="14096" hidden="1" xr:uid="{00000000-0005-0000-0000-0000F2000000}"/>
    <cellStyle name="20 % - Akzent2" xfId="17818" hidden="1" xr:uid="{00000000-0005-0000-0000-000038010000}"/>
    <cellStyle name="20 % - Akzent2" xfId="16255" hidden="1" xr:uid="{00000000-0005-0000-0000-0000EE000000}"/>
    <cellStyle name="20 % - Akzent2" xfId="18225" hidden="1" xr:uid="{00000000-0005-0000-0000-000004010000}"/>
    <cellStyle name="20 % - Akzent2" xfId="19669" hidden="1" xr:uid="{00000000-0005-0000-0000-00002A010000}"/>
    <cellStyle name="20 % - Akzent2" xfId="18016" hidden="1" xr:uid="{00000000-0005-0000-0000-0000F9000000}"/>
    <cellStyle name="20 % - Akzent2" xfId="13196" hidden="1" xr:uid="{00000000-0005-0000-0000-000088010000}"/>
    <cellStyle name="20 % - Akzent2" xfId="15088" hidden="1" xr:uid="{00000000-0005-0000-0000-0000ED000000}"/>
    <cellStyle name="20 % - Akzent2" xfId="19002" hidden="1" xr:uid="{00000000-0005-0000-0000-00000F010000}"/>
    <cellStyle name="20 % - Akzent2" xfId="19563" hidden="1" xr:uid="{00000000-0005-0000-0000-000015010000}"/>
    <cellStyle name="20 % - Akzent2" xfId="18203" hidden="1" xr:uid="{00000000-0005-0000-0000-000032010000}"/>
    <cellStyle name="20 % - Akzent2" xfId="18847" hidden="1" xr:uid="{00000000-0005-0000-0000-000007010000}"/>
    <cellStyle name="20 % - Akzent2" xfId="16474" hidden="1" xr:uid="{00000000-0005-0000-0000-0000FA000000}"/>
    <cellStyle name="20 % - Akzent2" xfId="16894" hidden="1" xr:uid="{00000000-0005-0000-0000-0000E9000000}"/>
    <cellStyle name="20 % - Akzent2" xfId="18976" hidden="1" xr:uid="{00000000-0005-0000-0000-00000E010000}"/>
    <cellStyle name="20 % - Akzent2" xfId="1305" hidden="1" xr:uid="{00000000-0005-0000-0000-00006E010000}"/>
    <cellStyle name="20 % - Akzent2" xfId="9230" hidden="1" xr:uid="{00000000-0005-0000-0000-000066010000}"/>
    <cellStyle name="20 % - Akzent2 2" xfId="387" xr:uid="{00000000-0005-0000-0000-000089010000}"/>
    <cellStyle name="20 % - Akzent2 3" xfId="256" xr:uid="{00000000-0005-0000-0000-00008A010000}"/>
    <cellStyle name="20 % - Akzent3" xfId="13917" hidden="1" xr:uid="{00000000-0005-0000-0000-0000EB010000}"/>
    <cellStyle name="20 % - Akzent3" xfId="18609" hidden="1" xr:uid="{00000000-0005-0000-0000-0000D5010000}"/>
    <cellStyle name="20 % - Akzent3" xfId="18657" hidden="1" xr:uid="{00000000-0005-0000-0000-0000D6010000}"/>
    <cellStyle name="20 % - Akzent3" xfId="18955" hidden="1" xr:uid="{00000000-0005-0000-0000-0000E7010000}"/>
    <cellStyle name="20 % - Akzent3" xfId="966" hidden="1" xr:uid="{00000000-0005-0000-0000-000027020000}"/>
    <cellStyle name="20 % - Akzent3" xfId="4200" hidden="1" xr:uid="{00000000-0005-0000-0000-0000F8010000}"/>
    <cellStyle name="20 % - Akzent3" xfId="8260" hidden="1" xr:uid="{00000000-0005-0000-0000-0000FA010000}"/>
    <cellStyle name="20 % - Akzent3" xfId="12764" hidden="1" xr:uid="{00000000-0005-0000-0000-000021020000}"/>
    <cellStyle name="20 % - Akzent3" xfId="17842" hidden="1" xr:uid="{00000000-0005-0000-0000-0000C6010000}"/>
    <cellStyle name="20 % - Akzent3" xfId="10847" hidden="1" xr:uid="{00000000-0005-0000-0000-000003020000}"/>
    <cellStyle name="20 % - Akzent3" xfId="17683" hidden="1" xr:uid="{00000000-0005-0000-0000-0000DB010000}"/>
    <cellStyle name="20 % - Akzent3" xfId="9427" hidden="1" xr:uid="{00000000-0005-0000-0000-000005020000}"/>
    <cellStyle name="20 % - Akzent3" xfId="17691" hidden="1" xr:uid="{00000000-0005-0000-0000-0000E5010000}"/>
    <cellStyle name="20 % - Akzent3" xfId="16871" hidden="1" xr:uid="{00000000-0005-0000-0000-0000BC010000}"/>
    <cellStyle name="20 % - Akzent3" xfId="13193" hidden="1" xr:uid="{00000000-0005-0000-0000-000014020000}"/>
    <cellStyle name="20 % - Akzent3" xfId="17739" hidden="1" xr:uid="{00000000-0005-0000-0000-0000C3010000}"/>
    <cellStyle name="20 % - Akzent3" xfId="13739" hidden="1" xr:uid="{00000000-0005-0000-0000-000010020000}"/>
    <cellStyle name="20 % - Akzent3" xfId="17787" hidden="1" xr:uid="{00000000-0005-0000-0000-0000C5010000}"/>
    <cellStyle name="20 % - Akzent3" xfId="13168" hidden="1" xr:uid="{00000000-0005-0000-0000-000018020000}"/>
    <cellStyle name="20 % - Akzent3" xfId="16823" hidden="1" xr:uid="{00000000-0005-0000-0000-0000BA010000}"/>
    <cellStyle name="20 % - Akzent3" xfId="9103" hidden="1" xr:uid="{00000000-0005-0000-0000-000007020000}"/>
    <cellStyle name="20 % - Akzent3" xfId="15719" hidden="1" xr:uid="{00000000-0005-0000-0000-0000B1010000}"/>
    <cellStyle name="20 % - Akzent3" xfId="14292" hidden="1" xr:uid="{00000000-0005-0000-0000-0000D1010000}"/>
    <cellStyle name="20 % - Akzent3" xfId="16264" hidden="1" xr:uid="{00000000-0005-0000-0000-0000AD010000}"/>
    <cellStyle name="20 % - Akzent3" xfId="14886" hidden="1" xr:uid="{00000000-0005-0000-0000-0000D3010000}"/>
    <cellStyle name="20 % - Akzent3" xfId="12192" hidden="1" xr:uid="{00000000-0005-0000-0000-00001E020000}"/>
    <cellStyle name="20 % - Akzent3" xfId="18779" hidden="1" xr:uid="{00000000-0005-0000-0000-0000DD010000}"/>
    <cellStyle name="20 % - Akzent3" xfId="3238" hidden="1" xr:uid="{00000000-0005-0000-0000-000029020000}"/>
    <cellStyle name="20 % - Akzent3" xfId="16375" hidden="1" xr:uid="{00000000-0005-0000-0000-0000AC010000}"/>
    <cellStyle name="20 % - Akzent3" xfId="18758" hidden="1" xr:uid="{00000000-0005-0000-0000-0000A7010000}"/>
    <cellStyle name="20 % - Akzent3" xfId="17763" hidden="1" xr:uid="{00000000-0005-0000-0000-0000C4010000}"/>
    <cellStyle name="20 % - Akzent3" xfId="1035" hidden="1" xr:uid="{00000000-0005-0000-0000-00002A020000}"/>
    <cellStyle name="20 % - Akzent3" xfId="19778" hidden="1" xr:uid="{00000000-0005-0000-0000-000098010000}"/>
    <cellStyle name="20 % - Akzent3" xfId="16465" hidden="1" xr:uid="{00000000-0005-0000-0000-0000EF010000}"/>
    <cellStyle name="20 % - Akzent3" xfId="13454" hidden="1" xr:uid="{00000000-0005-0000-0000-000024020000}"/>
    <cellStyle name="20 % - Akzent3" xfId="18898" hidden="1" xr:uid="{00000000-0005-0000-0000-0000A8010000}"/>
    <cellStyle name="20 % - Akzent3" xfId="19037" hidden="1" xr:uid="{00000000-0005-0000-0000-0000E9010000}"/>
    <cellStyle name="20 % - Akzent3" xfId="16732" hidden="1" xr:uid="{00000000-0005-0000-0000-0000B4010000}"/>
    <cellStyle name="20 % - Akzent3" xfId="18193" hidden="1" xr:uid="{00000000-0005-0000-0000-0000EC010000}"/>
    <cellStyle name="20 % - Akzent3" xfId="14746" hidden="1" xr:uid="{00000000-0005-0000-0000-00000F020000}"/>
    <cellStyle name="20 % - Akzent3" xfId="69" hidden="1" xr:uid="{00000000-0005-0000-0000-000028020000}"/>
    <cellStyle name="20 % - Akzent3" xfId="19333" hidden="1" xr:uid="{00000000-0005-0000-0000-0000A5010000}"/>
    <cellStyle name="20 % - Akzent3" xfId="15579" hidden="1" xr:uid="{00000000-0005-0000-0000-0000D2010000}"/>
    <cellStyle name="20 % - Akzent3" xfId="16595" hidden="1" xr:uid="{00000000-0005-0000-0000-0000C9010000}"/>
    <cellStyle name="20 % - Akzent3" xfId="18094" hidden="1" xr:uid="{00000000-0005-0000-0000-00009C010000}"/>
    <cellStyle name="20 % - Akzent3" xfId="19009" hidden="1" xr:uid="{00000000-0005-0000-0000-0000EA010000}"/>
    <cellStyle name="20 % - Akzent3" xfId="19371" hidden="1" xr:uid="{00000000-0005-0000-0000-000093010000}"/>
    <cellStyle name="20 % - Akzent3" xfId="18680" hidden="1" xr:uid="{00000000-0005-0000-0000-0000D8010000}"/>
    <cellStyle name="20 % - Akzent3" xfId="19272" hidden="1" xr:uid="{00000000-0005-0000-0000-000094010000}"/>
    <cellStyle name="20 % - Akzent3" xfId="1122" hidden="1" xr:uid="{00000000-0005-0000-0000-000026020000}"/>
    <cellStyle name="20 % - Akzent3" xfId="10036" hidden="1" xr:uid="{00000000-0005-0000-0000-000001020000}"/>
    <cellStyle name="20 % - Akzent3" xfId="19636" hidden="1" xr:uid="{00000000-0005-0000-0000-0000A6010000}"/>
    <cellStyle name="20 % - Akzent3" xfId="3296" hidden="1" xr:uid="{00000000-0005-0000-0000-0000FD010000}"/>
    <cellStyle name="20 % - Akzent3" xfId="3519" hidden="1" xr:uid="{00000000-0005-0000-0000-000000020000}"/>
    <cellStyle name="20 % - Akzent3" xfId="19720" hidden="1" xr:uid="{00000000-0005-0000-0000-000097010000}"/>
    <cellStyle name="20 % - Akzent3" xfId="15299" hidden="1" xr:uid="{00000000-0005-0000-0000-0000B8010000}"/>
    <cellStyle name="20 % - Akzent3" xfId="15676" hidden="1" xr:uid="{00000000-0005-0000-0000-0000E2010000}"/>
    <cellStyle name="20 % - Akzent3" xfId="13948" hidden="1" xr:uid="{00000000-0005-0000-0000-00008D010000}"/>
    <cellStyle name="20 % - Akzent3" xfId="12695" hidden="1" xr:uid="{00000000-0005-0000-0000-000020020000}"/>
    <cellStyle name="20 % - Akzent3" xfId="13560" hidden="1" xr:uid="{00000000-0005-0000-0000-00001D020000}"/>
    <cellStyle name="20 % - Akzent3" xfId="18931" hidden="1" xr:uid="{00000000-0005-0000-0000-0000E6010000}"/>
    <cellStyle name="20 % - Akzent3" xfId="19098" hidden="1" xr:uid="{00000000-0005-0000-0000-000095010000}"/>
    <cellStyle name="20 % - Akzent3" xfId="14554" hidden="1" xr:uid="{00000000-0005-0000-0000-00000E020000}"/>
    <cellStyle name="20 % - Akzent3" xfId="14422" hidden="1" xr:uid="{00000000-0005-0000-0000-00000C020000}"/>
    <cellStyle name="20 % - Akzent3" xfId="14352" hidden="1" xr:uid="{00000000-0005-0000-0000-0000D0010000}"/>
    <cellStyle name="20 % - Akzent3" xfId="1359" hidden="1" xr:uid="{00000000-0005-0000-0000-0000FE010000}"/>
    <cellStyle name="20 % - Akzent3" xfId="14029" hidden="1" xr:uid="{00000000-0005-0000-0000-0000C2010000}"/>
    <cellStyle name="20 % - Akzent3" xfId="16929" hidden="1" xr:uid="{00000000-0005-0000-0000-0000BD010000}"/>
    <cellStyle name="20 % - Akzent3" xfId="19588" hidden="1" xr:uid="{00000000-0005-0000-0000-000090010000}"/>
    <cellStyle name="20 % - Akzent3" xfId="13679" hidden="1" xr:uid="{00000000-0005-0000-0000-00001A020000}"/>
    <cellStyle name="20 % - Akzent3" xfId="16651" hidden="1" xr:uid="{00000000-0005-0000-0000-0000F2010000}"/>
    <cellStyle name="20 % - Akzent3" xfId="18979" hidden="1" xr:uid="{00000000-0005-0000-0000-0000E8010000}"/>
    <cellStyle name="20 % - Akzent3" xfId="13478" hidden="1" xr:uid="{00000000-0005-0000-0000-000025020000}"/>
    <cellStyle name="20 % - Akzent3" xfId="14482" hidden="1" xr:uid="{00000000-0005-0000-0000-00000D020000}"/>
    <cellStyle name="20 % - Akzent3" xfId="13635" hidden="1" xr:uid="{00000000-0005-0000-0000-000019020000}"/>
    <cellStyle name="20 % - Akzent3" xfId="18633" hidden="1" xr:uid="{00000000-0005-0000-0000-0000ED010000}"/>
    <cellStyle name="20 % - Akzent3" xfId="3853" hidden="1" xr:uid="{00000000-0005-0000-0000-0000F9010000}"/>
    <cellStyle name="20 % - Akzent3" xfId="13655" hidden="1" xr:uid="{00000000-0005-0000-0000-00001B020000}"/>
    <cellStyle name="20 % - Akzent3" xfId="19540" hidden="1" xr:uid="{00000000-0005-0000-0000-00008E010000}"/>
    <cellStyle name="20 % - Akzent3" xfId="16675" hidden="1" xr:uid="{00000000-0005-0000-0000-0000B3010000}"/>
    <cellStyle name="20 % - Akzent3" xfId="13395" hidden="1" xr:uid="{00000000-0005-0000-0000-000016020000}"/>
    <cellStyle name="20 % - Akzent3" xfId="15031" hidden="1" xr:uid="{00000000-0005-0000-0000-0000AF010000}"/>
    <cellStyle name="20 % - Akzent3" xfId="16627" hidden="1" xr:uid="{00000000-0005-0000-0000-0000B2010000}"/>
    <cellStyle name="20 % - Akzent3" xfId="3214" hidden="1" xr:uid="{00000000-0005-0000-0000-00002B020000}"/>
    <cellStyle name="20 % - Akzent3" xfId="13587" hidden="1" xr:uid="{00000000-0005-0000-0000-00001F020000}"/>
    <cellStyle name="20 % - Akzent3" xfId="17800" hidden="1" xr:uid="{00000000-0005-0000-0000-0000D4010000}"/>
    <cellStyle name="20 % - Akzent3" xfId="8751" hidden="1" xr:uid="{00000000-0005-0000-0000-000004020000}"/>
    <cellStyle name="20 % - Akzent3" xfId="8425" hidden="1" xr:uid="{00000000-0005-0000-0000-000011020000}"/>
    <cellStyle name="20 % - Akzent3" xfId="19611" hidden="1" xr:uid="{00000000-0005-0000-0000-000091010000}"/>
    <cellStyle name="20 % - Akzent3" xfId="18170" hidden="1" xr:uid="{00000000-0005-0000-0000-0000A3010000}"/>
    <cellStyle name="20 % - Akzent3" xfId="9419" hidden="1" xr:uid="{00000000-0005-0000-0000-000009020000}"/>
    <cellStyle name="20 % - Akzent3" xfId="18585" hidden="1" xr:uid="{00000000-0005-0000-0000-00009A010000}"/>
    <cellStyle name="20 % - Akzent3" xfId="13611" hidden="1" xr:uid="{00000000-0005-0000-0000-00001C020000}"/>
    <cellStyle name="20 % - Akzent3" xfId="15135" hidden="1" xr:uid="{00000000-0005-0000-0000-0000C1010000}"/>
    <cellStyle name="20 % - Akzent3" xfId="16269" hidden="1" xr:uid="{00000000-0005-0000-0000-0000BF010000}"/>
    <cellStyle name="20 % - Akzent3" xfId="14289" hidden="1" xr:uid="{00000000-0005-0000-0000-0000F0010000}"/>
    <cellStyle name="20 % - Akzent3" xfId="15020" hidden="1" xr:uid="{00000000-0005-0000-0000-0000B0010000}"/>
    <cellStyle name="20 % - Akzent3" xfId="18879" hidden="1" xr:uid="{00000000-0005-0000-0000-0000E0010000}"/>
    <cellStyle name="20 % - Akzent3" xfId="18364" hidden="1" xr:uid="{00000000-0005-0000-0000-0000DA010000}"/>
    <cellStyle name="20 % - Akzent3" xfId="18040" hidden="1" xr:uid="{00000000-0005-0000-0000-0000EE010000}"/>
    <cellStyle name="20 % - Akzent3" xfId="13183" hidden="1" xr:uid="{00000000-0005-0000-0000-000015020000}"/>
    <cellStyle name="20 % - Akzent3" xfId="19870" hidden="1" xr:uid="{00000000-0005-0000-0000-0000A0010000}"/>
    <cellStyle name="20 % - Akzent3" xfId="17982" hidden="1" xr:uid="{00000000-0005-0000-0000-0000CE010000}"/>
    <cellStyle name="20 % - Akzent3" xfId="8298" hidden="1" xr:uid="{00000000-0005-0000-0000-00000B020000}"/>
    <cellStyle name="20 % - Akzent3" xfId="19672" hidden="1" xr:uid="{00000000-0005-0000-0000-000096010000}"/>
    <cellStyle name="20 % - Akzent3" xfId="16192" hidden="1" xr:uid="{00000000-0005-0000-0000-0000C0010000}"/>
    <cellStyle name="20 % - Akzent3" xfId="19850" hidden="1" xr:uid="{00000000-0005-0000-0000-00009F010000}"/>
    <cellStyle name="20 % - Akzent3" xfId="8354" hidden="1" xr:uid="{00000000-0005-0000-0000-0000FB010000}"/>
    <cellStyle name="20 % - Akzent3" xfId="3375" hidden="1" xr:uid="{00000000-0005-0000-0000-0000F6010000}"/>
    <cellStyle name="20 % - Akzent3" xfId="16321" hidden="1" xr:uid="{00000000-0005-0000-0000-0000AA010000}"/>
    <cellStyle name="20 % - Akzent3" xfId="19894" hidden="1" xr:uid="{00000000-0005-0000-0000-0000A1010000}"/>
    <cellStyle name="20 % - Akzent3" xfId="13532" hidden="1" xr:uid="{00000000-0005-0000-0000-000013020000}"/>
    <cellStyle name="20 % - Akzent3" xfId="18012" hidden="1" xr:uid="{00000000-0005-0000-0000-0000CF010000}"/>
    <cellStyle name="20 % - Akzent3" xfId="18893" hidden="1" xr:uid="{00000000-0005-0000-0000-00009B010000}"/>
    <cellStyle name="20 % - Akzent3" xfId="14905" hidden="1" xr:uid="{00000000-0005-0000-0000-0000CA010000}"/>
    <cellStyle name="20 % - Akzent3" xfId="10700" hidden="1" xr:uid="{00000000-0005-0000-0000-000002020000}"/>
    <cellStyle name="20 % - Akzent3" xfId="17958" hidden="1" xr:uid="{00000000-0005-0000-0000-0000CD010000}"/>
    <cellStyle name="20 % - Akzent3" xfId="14184" hidden="1" xr:uid="{00000000-0005-0000-0000-00008B010000}"/>
    <cellStyle name="20 % - Akzent3" xfId="19826" hidden="1" xr:uid="{00000000-0005-0000-0000-00009E010000}"/>
    <cellStyle name="20 % - Akzent3" xfId="9835" hidden="1" xr:uid="{00000000-0005-0000-0000-0000F4010000}"/>
    <cellStyle name="20 % - Akzent3" xfId="15887" hidden="1" xr:uid="{00000000-0005-0000-0000-0000B6010000}"/>
    <cellStyle name="20 % - Akzent3" xfId="15060" hidden="1" xr:uid="{00000000-0005-0000-0000-0000AE010000}"/>
    <cellStyle name="20 % - Akzent3" xfId="13388" hidden="1" xr:uid="{00000000-0005-0000-0000-000017020000}"/>
    <cellStyle name="20 % - Akzent3" xfId="17146" hidden="1" xr:uid="{00000000-0005-0000-0000-0000CB010000}"/>
    <cellStyle name="20 % - Akzent3" xfId="12851" hidden="1" xr:uid="{00000000-0005-0000-0000-000022020000}"/>
    <cellStyle name="20 % - Akzent3" xfId="16847" hidden="1" xr:uid="{00000000-0005-0000-0000-0000BB010000}"/>
    <cellStyle name="20 % - Akzent3" xfId="13088" hidden="1" xr:uid="{00000000-0005-0000-0000-000023020000}"/>
    <cellStyle name="20 % - Akzent3" xfId="18091" hidden="1" xr:uid="{00000000-0005-0000-0000-0000A2010000}"/>
    <cellStyle name="20 % - Akzent3" xfId="18827" hidden="1" xr:uid="{00000000-0005-0000-0000-0000DF010000}"/>
    <cellStyle name="20 % - Akzent3" xfId="18292" hidden="1" xr:uid="{00000000-0005-0000-0000-0000DC010000}"/>
    <cellStyle name="20 % - Akzent3" xfId="18803" hidden="1" xr:uid="{00000000-0005-0000-0000-0000DE010000}"/>
    <cellStyle name="20 % - Akzent3" xfId="13502" hidden="1" xr:uid="{00000000-0005-0000-0000-000012020000}"/>
    <cellStyle name="20 % - Akzent3" xfId="10651" hidden="1" xr:uid="{00000000-0005-0000-0000-000006020000}"/>
    <cellStyle name="20 % - Akzent3" xfId="3268" hidden="1" xr:uid="{00000000-0005-0000-0000-0000F5010000}"/>
    <cellStyle name="20 % - Akzent3" xfId="3915" hidden="1" xr:uid="{00000000-0005-0000-0000-0000F7010000}"/>
    <cellStyle name="20 % - Akzent3" xfId="17814" hidden="1" xr:uid="{00000000-0005-0000-0000-0000C7010000}"/>
    <cellStyle name="20 % - Akzent3" xfId="8595" hidden="1" xr:uid="{00000000-0005-0000-0000-00000A020000}"/>
    <cellStyle name="20 % - Akzent3" xfId="19564" hidden="1" xr:uid="{00000000-0005-0000-0000-00008F010000}"/>
    <cellStyle name="20 % - Akzent3" xfId="16297" hidden="1" xr:uid="{00000000-0005-0000-0000-0000A9010000}"/>
    <cellStyle name="20 % - Akzent3" xfId="15952" hidden="1" xr:uid="{00000000-0005-0000-0000-00008C010000}"/>
    <cellStyle name="20 % - Akzent3" xfId="16345" hidden="1" xr:uid="{00000000-0005-0000-0000-0000AB010000}"/>
    <cellStyle name="20 % - Akzent3" xfId="18408" hidden="1" xr:uid="{00000000-0005-0000-0000-000092010000}"/>
    <cellStyle name="20 % - Akzent3" xfId="16180" hidden="1" xr:uid="{00000000-0005-0000-0000-0000E4010000}"/>
    <cellStyle name="20 % - Akzent3" xfId="3190" hidden="1" xr:uid="{00000000-0005-0000-0000-0000FF010000}"/>
    <cellStyle name="20 % - Akzent3" xfId="16705" hidden="1" xr:uid="{00000000-0005-0000-0000-0000B5010000}"/>
    <cellStyle name="20 % - Akzent3" xfId="8316" hidden="1" xr:uid="{00000000-0005-0000-0000-0000FC010000}"/>
    <cellStyle name="20 % - Akzent3" xfId="15273" hidden="1" xr:uid="{00000000-0005-0000-0000-0000B7010000}"/>
    <cellStyle name="20 % - Akzent3" xfId="19696" hidden="1" xr:uid="{00000000-0005-0000-0000-0000A4010000}"/>
    <cellStyle name="20 % - Akzent3" xfId="9137" hidden="1" xr:uid="{00000000-0005-0000-0000-000008020000}"/>
    <cellStyle name="20 % - Akzent3" xfId="16423" hidden="1" xr:uid="{00000000-0005-0000-0000-0000D9010000}"/>
    <cellStyle name="20 % - Akzent3" xfId="19750" hidden="1" xr:uid="{00000000-0005-0000-0000-000099010000}"/>
    <cellStyle name="20 % - Akzent3" xfId="16402" hidden="1" xr:uid="{00000000-0005-0000-0000-0000F3010000}"/>
    <cellStyle name="20 % - Akzent3" xfId="18854" hidden="1" xr:uid="{00000000-0005-0000-0000-0000E1010000}"/>
    <cellStyle name="20 % - Akzent3" xfId="16901" hidden="1" xr:uid="{00000000-0005-0000-0000-0000BE010000}"/>
    <cellStyle name="20 % - Akzent3" xfId="16990" hidden="1" xr:uid="{00000000-0005-0000-0000-0000E3010000}"/>
    <cellStyle name="20 % - Akzent3" xfId="17419" hidden="1" xr:uid="{00000000-0005-0000-0000-0000C8010000}"/>
    <cellStyle name="20 % - Akzent3" xfId="19802" hidden="1" xr:uid="{00000000-0005-0000-0000-00009D010000}"/>
    <cellStyle name="20 % - Akzent3" xfId="18705" hidden="1" xr:uid="{00000000-0005-0000-0000-0000D7010000}"/>
    <cellStyle name="20 % - Akzent3" xfId="14494" hidden="1" xr:uid="{00000000-0005-0000-0000-0000B9010000}"/>
    <cellStyle name="20 % - Akzent3" xfId="13903" hidden="1" xr:uid="{00000000-0005-0000-0000-0000F1010000}"/>
    <cellStyle name="20 % - Akzent3" xfId="17934" hidden="1" xr:uid="{00000000-0005-0000-0000-0000CC010000}"/>
    <cellStyle name="20 % - Akzent3 2" xfId="388" xr:uid="{00000000-0005-0000-0000-00002C020000}"/>
    <cellStyle name="20 % - Akzent3 3" xfId="257" xr:uid="{00000000-0005-0000-0000-00002D020000}"/>
    <cellStyle name="20 % - Akzent4" xfId="14190" hidden="1" xr:uid="{00000000-0005-0000-0000-0000A0020000}"/>
    <cellStyle name="20 % - Akzent4" xfId="13742" hidden="1" xr:uid="{00000000-0005-0000-0000-00008D020000}"/>
    <cellStyle name="20 % - Akzent4" xfId="14497" hidden="1" xr:uid="{00000000-0005-0000-0000-000091020000}"/>
    <cellStyle name="20 % - Akzent4" xfId="13434" hidden="1" xr:uid="{00000000-0005-0000-0000-0000BD020000}"/>
    <cellStyle name="20 % - Akzent4" xfId="16398" hidden="1" xr:uid="{00000000-0005-0000-0000-000096020000}"/>
    <cellStyle name="20 % - Akzent4" xfId="13392" hidden="1" xr:uid="{00000000-0005-0000-0000-0000C0020000}"/>
    <cellStyle name="20 % - Akzent4" xfId="13590" hidden="1" xr:uid="{00000000-0005-0000-0000-0000C1020000}"/>
    <cellStyle name="20 % - Akzent4" xfId="15934" hidden="1" xr:uid="{00000000-0005-0000-0000-000098020000}"/>
    <cellStyle name="20 % - Akzent4" xfId="14469" hidden="1" xr:uid="{00000000-0005-0000-0000-0000A1020000}"/>
    <cellStyle name="20 % - Akzent4" xfId="13568" hidden="1" xr:uid="{00000000-0005-0000-0000-0000C9020000}"/>
    <cellStyle name="20 % - Akzent4" xfId="13556" hidden="1" xr:uid="{00000000-0005-0000-0000-0000CA020000}"/>
    <cellStyle name="20 % - Akzent4" xfId="13068" hidden="1" xr:uid="{00000000-0005-0000-0000-0000CD020000}"/>
    <cellStyle name="20 % - Akzent4" xfId="13855" hidden="1" xr:uid="{00000000-0005-0000-0000-0000A4020000}"/>
    <cellStyle name="20 % - Akzent4" xfId="10257" hidden="1" xr:uid="{00000000-0005-0000-0000-0000A9020000}"/>
    <cellStyle name="20 % - Akzent4" xfId="13398" hidden="1" xr:uid="{00000000-0005-0000-0000-0000BF020000}"/>
    <cellStyle name="20 % - Akzent4" xfId="3208" hidden="1" xr:uid="{00000000-0005-0000-0000-0000B1020000}"/>
    <cellStyle name="20 % - Akzent4" xfId="3955" hidden="1" xr:uid="{00000000-0005-0000-0000-000080020000}"/>
    <cellStyle name="20 % - Akzent4" xfId="16826" hidden="1" xr:uid="{00000000-0005-0000-0000-0000A5020000}"/>
    <cellStyle name="20 % - Akzent4" xfId="9848" hidden="1" xr:uid="{00000000-0005-0000-0000-00008C020000}"/>
    <cellStyle name="20 % - Akzent4" xfId="3304" hidden="1" xr:uid="{00000000-0005-0000-0000-0000B3020000}"/>
    <cellStyle name="20 % - Akzent4" xfId="3379" hidden="1" xr:uid="{00000000-0005-0000-0000-0000B5020000}"/>
    <cellStyle name="20 % - Akzent4" xfId="14728" hidden="1" xr:uid="{00000000-0005-0000-0000-00008F020000}"/>
    <cellStyle name="20 % - Akzent4" xfId="8308" hidden="1" xr:uid="{00000000-0005-0000-0000-0000AB020000}"/>
    <cellStyle name="20 % - Akzent4" xfId="13364" hidden="1" xr:uid="{00000000-0005-0000-0000-0000BE020000}"/>
    <cellStyle name="20 % - Akzent4" xfId="14444" hidden="1" xr:uid="{00000000-0005-0000-0000-000090020000}"/>
    <cellStyle name="20 % - Akzent4" xfId="8472" hidden="1" xr:uid="{00000000-0005-0000-0000-0000AC020000}"/>
    <cellStyle name="20 % - Akzent4" xfId="8599" hidden="1" xr:uid="{00000000-0005-0000-0000-0000AD020000}"/>
    <cellStyle name="20 % - Akzent4" xfId="8519" hidden="1" xr:uid="{00000000-0005-0000-0000-000086020000}"/>
    <cellStyle name="20 % - Akzent4" xfId="14974" hidden="1" xr:uid="{00000000-0005-0000-0000-000099020000}"/>
    <cellStyle name="20 % - Akzent4" xfId="15172" hidden="1" xr:uid="{00000000-0005-0000-0000-000097020000}"/>
    <cellStyle name="20 % - Akzent4" xfId="15287" hidden="1" xr:uid="{00000000-0005-0000-0000-0000A3020000}"/>
    <cellStyle name="20 % - Akzent4" xfId="16678" hidden="1" xr:uid="{00000000-0005-0000-0000-00009D020000}"/>
    <cellStyle name="20 % - Akzent4" xfId="3241" hidden="1" xr:uid="{00000000-0005-0000-0000-0000B2020000}"/>
    <cellStyle name="20 % - Akzent4" xfId="14425" hidden="1" xr:uid="{00000000-0005-0000-0000-00008E020000}"/>
    <cellStyle name="20 % - Akzent4" xfId="13505" hidden="1" xr:uid="{00000000-0005-0000-0000-0000C8020000}"/>
    <cellStyle name="20 % - Akzent4" xfId="13472" hidden="1" xr:uid="{00000000-0005-0000-0000-0000C7020000}"/>
    <cellStyle name="20 % - Akzent4" xfId="16740" hidden="1" xr:uid="{00000000-0005-0000-0000-00009E020000}"/>
    <cellStyle name="20 % - Akzent4" xfId="9416" hidden="1" xr:uid="{00000000-0005-0000-0000-0000BC020000}"/>
    <cellStyle name="20 % - Akzent4" xfId="10757" hidden="1" xr:uid="{00000000-0005-0000-0000-000087020000}"/>
    <cellStyle name="20 % - Akzent4" xfId="13605" hidden="1" xr:uid="{00000000-0005-0000-0000-0000C2020000}"/>
    <cellStyle name="20 % - Akzent4" xfId="8675" hidden="1" xr:uid="{00000000-0005-0000-0000-00008A020000}"/>
    <cellStyle name="20 % - Akzent4" xfId="10830" hidden="1" xr:uid="{00000000-0005-0000-0000-00008B020000}"/>
    <cellStyle name="20 % - Akzent4" xfId="13687" hidden="1" xr:uid="{00000000-0005-0000-0000-0000C4020000}"/>
    <cellStyle name="20 % - Akzent4" xfId="14931" hidden="1" xr:uid="{00000000-0005-0000-0000-0000A2020000}"/>
    <cellStyle name="20 % - Akzent4" xfId="13675" hidden="1" xr:uid="{00000000-0005-0000-0000-0000C6020000}"/>
    <cellStyle name="20 % - Akzent4" xfId="8263" hidden="1" xr:uid="{00000000-0005-0000-0000-000084020000}"/>
    <cellStyle name="20 % - Akzent4" xfId="8422" hidden="1" xr:uid="{00000000-0005-0000-0000-000085020000}"/>
    <cellStyle name="20 % - Akzent4" xfId="16925" hidden="1" xr:uid="{00000000-0005-0000-0000-00007F020000}"/>
    <cellStyle name="20 % - Akzent4" xfId="3193" hidden="1" xr:uid="{00000000-0005-0000-0000-0000B0020000}"/>
    <cellStyle name="20 % - Akzent4" xfId="9143" hidden="1" xr:uid="{00000000-0005-0000-0000-0000AE020000}"/>
    <cellStyle name="20 % - Akzent4" xfId="3292" hidden="1" xr:uid="{00000000-0005-0000-0000-0000B4020000}"/>
    <cellStyle name="20 % - Akzent4" xfId="10986" hidden="1" xr:uid="{00000000-0005-0000-0000-000089020000}"/>
    <cellStyle name="20 % - Akzent4" xfId="16937" hidden="1" xr:uid="{00000000-0005-0000-0000-00002E020000}"/>
    <cellStyle name="20 % - Akzent4" xfId="15027" hidden="1" xr:uid="{00000000-0005-0000-0000-00009A020000}"/>
    <cellStyle name="20 % - Akzent4" xfId="15046" hidden="1" xr:uid="{00000000-0005-0000-0000-0000A8020000}"/>
    <cellStyle name="20 % - Akzent4" xfId="16841" hidden="1" xr:uid="{00000000-0005-0000-0000-0000A6020000}"/>
    <cellStyle name="20 % - Akzent4" xfId="1055" hidden="1" xr:uid="{00000000-0005-0000-0000-0000B7020000}"/>
    <cellStyle name="20 % - Akzent4" xfId="16645" hidden="1" xr:uid="{00000000-0005-0000-0000-00009C020000}"/>
    <cellStyle name="20 % - Akzent4" xfId="16728" hidden="1" xr:uid="{00000000-0005-0000-0000-00009F020000}"/>
    <cellStyle name="20 % - Akzent4" xfId="12195" hidden="1" xr:uid="{00000000-0005-0000-0000-0000BA020000}"/>
    <cellStyle name="20 % - Akzent4" xfId="3746" hidden="1" xr:uid="{00000000-0005-0000-0000-000081020000}"/>
    <cellStyle name="20 % - Akzent4" xfId="16315" hidden="1" xr:uid="{00000000-0005-0000-0000-000093020000}"/>
    <cellStyle name="20 % - Akzent4" xfId="10826" hidden="1" xr:uid="{00000000-0005-0000-0000-000088020000}"/>
    <cellStyle name="20 % - Akzent4" xfId="1339" hidden="1" xr:uid="{00000000-0005-0000-0000-0000BB020000}"/>
    <cellStyle name="20 % - Akzent4" xfId="16874" hidden="1" xr:uid="{00000000-0005-0000-0000-0000A7020000}"/>
    <cellStyle name="20 % - Akzent4" xfId="16348" hidden="1" xr:uid="{00000000-0005-0000-0000-000094020000}"/>
    <cellStyle name="20 % - Akzent4" xfId="16410" hidden="1" xr:uid="{00000000-0005-0000-0000-000095020000}"/>
    <cellStyle name="20 % - Akzent4" xfId="9209" hidden="1" xr:uid="{00000000-0005-0000-0000-0000AF020000}"/>
    <cellStyle name="20 % - Akzent4" xfId="13407" hidden="1" xr:uid="{00000000-0005-0000-0000-0000C5020000}"/>
    <cellStyle name="20 % - Akzent4" xfId="16300" hidden="1" xr:uid="{00000000-0005-0000-0000-000092020000}"/>
    <cellStyle name="20 % - Akzent4" xfId="13638" hidden="1" xr:uid="{00000000-0005-0000-0000-0000C3020000}"/>
    <cellStyle name="20 % - Akzent4" xfId="989" hidden="1" xr:uid="{00000000-0005-0000-0000-0000B6020000}"/>
    <cellStyle name="20 % - Akzent4" xfId="12784" hidden="1" xr:uid="{00000000-0005-0000-0000-0000CB020000}"/>
    <cellStyle name="20 % - Akzent4" xfId="16630" hidden="1" xr:uid="{00000000-0005-0000-0000-00009B020000}"/>
    <cellStyle name="20 % - Akzent4" xfId="72" hidden="1" xr:uid="{00000000-0005-0000-0000-0000B9020000}"/>
    <cellStyle name="20 % - Akzent4" xfId="4058" hidden="1" xr:uid="{00000000-0005-0000-0000-000083020000}"/>
    <cellStyle name="20 % - Akzent4" xfId="3929" hidden="1" xr:uid="{00000000-0005-0000-0000-000082020000}"/>
    <cellStyle name="20 % - Akzent4" xfId="12718" hidden="1" xr:uid="{00000000-0005-0000-0000-0000AA020000}"/>
    <cellStyle name="20 % - Akzent4" xfId="13457" hidden="1" xr:uid="{00000000-0005-0000-0000-0000CC020000}"/>
    <cellStyle name="20 % - Akzent4" xfId="19890" hidden="1" xr:uid="{00000000-0005-0000-0000-000075020000}"/>
    <cellStyle name="20 % - Akzent4" xfId="969" hidden="1" xr:uid="{00000000-0005-0000-0000-0000B8020000}"/>
    <cellStyle name="20 % - Akzent4" xfId="19591" hidden="1" xr:uid="{00000000-0005-0000-0000-000061020000}"/>
    <cellStyle name="20 % - Akzent4" xfId="16582" hidden="1" xr:uid="{00000000-0005-0000-0000-000065020000}"/>
    <cellStyle name="20 % - Akzent4" xfId="17850" hidden="1" xr:uid="{00000000-0005-0000-0000-000036020000}"/>
    <cellStyle name="20 % - Akzent4" xfId="19723" hidden="1" xr:uid="{00000000-0005-0000-0000-00006A020000}"/>
    <cellStyle name="20 % - Akzent4" xfId="17416" hidden="1" xr:uid="{00000000-0005-0000-0000-000039020000}"/>
    <cellStyle name="20 % - Akzent4" xfId="15724" hidden="1" xr:uid="{00000000-0005-0000-0000-00003A020000}"/>
    <cellStyle name="20 % - Akzent4" xfId="19774" hidden="1" xr:uid="{00000000-0005-0000-0000-00006C020000}"/>
    <cellStyle name="20 % - Akzent4" xfId="18782" hidden="1" xr:uid="{00000000-0005-0000-0000-00004E020000}"/>
    <cellStyle name="20 % - Akzent4" xfId="18894" hidden="1" xr:uid="{00000000-0005-0000-0000-000076020000}"/>
    <cellStyle name="20 % - Akzent4" xfId="17742" hidden="1" xr:uid="{00000000-0005-0000-0000-000034020000}"/>
    <cellStyle name="20 % - Akzent4" xfId="17757" hidden="1" xr:uid="{00000000-0005-0000-0000-000035020000}"/>
    <cellStyle name="20 % - Akzent4" xfId="14402" hidden="1" xr:uid="{00000000-0005-0000-0000-00002F020000}"/>
    <cellStyle name="20 % - Akzent4" xfId="18982" hidden="1" xr:uid="{00000000-0005-0000-0000-000079020000}"/>
    <cellStyle name="20 % - Akzent4" xfId="17579" hidden="1" xr:uid="{00000000-0005-0000-0000-00005E020000}"/>
    <cellStyle name="20 % - Akzent4" xfId="14090" hidden="1" xr:uid="{00000000-0005-0000-0000-000038020000}"/>
    <cellStyle name="20 % - Akzent4" xfId="12698" hidden="1" xr:uid="{00000000-0005-0000-0000-0000CE020000}"/>
    <cellStyle name="20 % - Akzent4" xfId="18660" hidden="1" xr:uid="{00000000-0005-0000-0000-000047020000}"/>
    <cellStyle name="20 % - Akzent4" xfId="16991" hidden="1" xr:uid="{00000000-0005-0000-0000-000053020000}"/>
    <cellStyle name="20 % - Akzent4" xfId="18875" hidden="1" xr:uid="{00000000-0005-0000-0000-00007A020000}"/>
    <cellStyle name="20 % - Akzent4" xfId="19558" hidden="1" xr:uid="{00000000-0005-0000-0000-000060020000}"/>
    <cellStyle name="20 % - Akzent4" xfId="18701" hidden="1" xr:uid="{00000000-0005-0000-0000-000049020000}"/>
    <cellStyle name="20 % - Akzent4" xfId="16196" hidden="1" xr:uid="{00000000-0005-0000-0000-00004B020000}"/>
    <cellStyle name="20 % - Akzent4" xfId="19632" hidden="1" xr:uid="{00000000-0005-0000-0000-000063020000}"/>
    <cellStyle name="20 % - Akzent4" xfId="15862" hidden="1" xr:uid="{00000000-0005-0000-0000-000031020000}"/>
    <cellStyle name="20 % - Akzent4" xfId="15129" hidden="1" xr:uid="{00000000-0005-0000-0000-000041020000}"/>
    <cellStyle name="20 % - Akzent4" xfId="17838" hidden="1" xr:uid="{00000000-0005-0000-0000-000037020000}"/>
    <cellStyle name="20 % - Akzent4" xfId="15684" hidden="1" xr:uid="{00000000-0005-0000-0000-000064020000}"/>
    <cellStyle name="20 % - Akzent4" xfId="13701" hidden="1" xr:uid="{00000000-0005-0000-0000-000042020000}"/>
    <cellStyle name="20 % - Akzent4" xfId="15864" hidden="1" xr:uid="{00000000-0005-0000-0000-000043020000}"/>
    <cellStyle name="20 % - Akzent4" xfId="19045" hidden="1" xr:uid="{00000000-0005-0000-0000-000059020000}"/>
    <cellStyle name="20 % - Akzent4" xfId="19651" hidden="1" xr:uid="{00000000-0005-0000-0000-00006D020000}"/>
    <cellStyle name="20 % - Akzent4" xfId="18036" hidden="1" xr:uid="{00000000-0005-0000-0000-000040020000}"/>
    <cellStyle name="20 % - Akzent4" xfId="19786" hidden="1" xr:uid="{00000000-0005-0000-0000-00006B020000}"/>
    <cellStyle name="20 % - Akzent4" xfId="19543" hidden="1" xr:uid="{00000000-0005-0000-0000-000078020000}"/>
    <cellStyle name="20 % - Akzent4" xfId="19820" hidden="1" xr:uid="{00000000-0005-0000-0000-000072020000}"/>
    <cellStyle name="20 % - Akzent4" xfId="18713" hidden="1" xr:uid="{00000000-0005-0000-0000-000048020000}"/>
    <cellStyle name="20 % - Akzent4" xfId="19644" hidden="1" xr:uid="{00000000-0005-0000-0000-000062020000}"/>
    <cellStyle name="20 % - Akzent4" xfId="14331" hidden="1" xr:uid="{00000000-0005-0000-0000-000033020000}"/>
    <cellStyle name="20 % - Akzent4" xfId="16095" hidden="1" xr:uid="{00000000-0005-0000-0000-000032020000}"/>
    <cellStyle name="20 % - Akzent4" xfId="13961" hidden="1" xr:uid="{00000000-0005-0000-0000-000055020000}"/>
    <cellStyle name="20 % - Akzent4" xfId="19853" hidden="1" xr:uid="{00000000-0005-0000-0000-000073020000}"/>
    <cellStyle name="20 % - Akzent4" xfId="18269" hidden="1" xr:uid="{00000000-0005-0000-0000-000052020000}"/>
    <cellStyle name="20 % - Akzent4" xfId="19033" hidden="1" xr:uid="{00000000-0005-0000-0000-00005A020000}"/>
    <cellStyle name="20 % - Akzent4" xfId="17399" hidden="1" xr:uid="{00000000-0005-0000-0000-00003B020000}"/>
    <cellStyle name="20 % - Akzent4" xfId="18275" hidden="1" xr:uid="{00000000-0005-0000-0000-00005D020000}"/>
    <cellStyle name="20 % - Akzent4" xfId="17589" hidden="1" xr:uid="{00000000-0005-0000-0000-00005F020000}"/>
    <cellStyle name="20 % - Akzent4" xfId="17952" hidden="1" xr:uid="{00000000-0005-0000-0000-00003D020000}"/>
    <cellStyle name="20 % - Akzent4" xfId="16000" hidden="1" xr:uid="{00000000-0005-0000-0000-000056020000}"/>
    <cellStyle name="20 % - Akzent4" xfId="19351" hidden="1" xr:uid="{00000000-0005-0000-0000-000077020000}"/>
    <cellStyle name="20 % - Akzent4" xfId="17985" hidden="1" xr:uid="{00000000-0005-0000-0000-00003E020000}"/>
    <cellStyle name="20 % - Akzent4" xfId="18934" hidden="1" xr:uid="{00000000-0005-0000-0000-000057020000}"/>
    <cellStyle name="20 % - Akzent4" xfId="18949" hidden="1" xr:uid="{00000000-0005-0000-0000-000058020000}"/>
    <cellStyle name="20 % - Akzent4" xfId="17790" hidden="1" xr:uid="{00000000-0005-0000-0000-00007E020000}"/>
    <cellStyle name="20 % - Akzent4" xfId="18627" hidden="1" xr:uid="{00000000-0005-0000-0000-000046020000}"/>
    <cellStyle name="20 % - Akzent4" xfId="15163" hidden="1" xr:uid="{00000000-0005-0000-0000-000044020000}"/>
    <cellStyle name="20 % - Akzent4" xfId="18797" hidden="1" xr:uid="{00000000-0005-0000-0000-00004F020000}"/>
    <cellStyle name="20 % - Akzent4" xfId="17064" hidden="1" xr:uid="{00000000-0005-0000-0000-00004A020000}"/>
    <cellStyle name="20 % - Akzent4" xfId="18162" hidden="1" xr:uid="{00000000-0005-0000-0000-00005C020000}"/>
    <cellStyle name="20 % - Akzent4" xfId="17937" hidden="1" xr:uid="{00000000-0005-0000-0000-00007D020000}"/>
    <cellStyle name="20 % - Akzent4" xfId="19053" hidden="1" xr:uid="{00000000-0005-0000-0000-00006F020000}"/>
    <cellStyle name="20 % - Akzent4" xfId="15964" hidden="1" xr:uid="{00000000-0005-0000-0000-00006E020000}"/>
    <cellStyle name="20 % - Akzent4" xfId="18362" hidden="1" xr:uid="{00000000-0005-0000-0000-00007B020000}"/>
    <cellStyle name="20 % - Akzent4" xfId="18323" hidden="1" xr:uid="{00000000-0005-0000-0000-00004D020000}"/>
    <cellStyle name="20 % - Akzent4" xfId="18254" hidden="1" xr:uid="{00000000-0005-0000-0000-000070020000}"/>
    <cellStyle name="20 % - Akzent4" xfId="19805" hidden="1" xr:uid="{00000000-0005-0000-0000-000071020000}"/>
    <cellStyle name="20 % - Akzent4" xfId="19902" hidden="1" xr:uid="{00000000-0005-0000-0000-000074020000}"/>
    <cellStyle name="20 % - Akzent4" xfId="18830" hidden="1" xr:uid="{00000000-0005-0000-0000-000050020000}"/>
    <cellStyle name="20 % - Akzent4" xfId="18152" hidden="1" xr:uid="{00000000-0005-0000-0000-000054020000}"/>
    <cellStyle name="20 % - Akzent4" xfId="19324" hidden="1" xr:uid="{00000000-0005-0000-0000-000067020000}"/>
    <cellStyle name="20 % - Akzent4" xfId="13977" hidden="1" xr:uid="{00000000-0005-0000-0000-00005B020000}"/>
    <cellStyle name="20 % - Akzent4" xfId="18887" hidden="1" xr:uid="{00000000-0005-0000-0000-000051020000}"/>
    <cellStyle name="20 % - Akzent4" xfId="14566" hidden="1" xr:uid="{00000000-0005-0000-0000-000030020000}"/>
    <cellStyle name="20 % - Akzent4" xfId="17052" hidden="1" xr:uid="{00000000-0005-0000-0000-00007C020000}"/>
    <cellStyle name="20 % - Akzent4" xfId="19675" hidden="1" xr:uid="{00000000-0005-0000-0000-000068020000}"/>
    <cellStyle name="20 % - Akzent4" xfId="19690" hidden="1" xr:uid="{00000000-0005-0000-0000-000069020000}"/>
    <cellStyle name="20 % - Akzent4" xfId="18612" hidden="1" xr:uid="{00000000-0005-0000-0000-000045020000}"/>
    <cellStyle name="20 % - Akzent4" xfId="18048" hidden="1" xr:uid="{00000000-0005-0000-0000-00003F020000}"/>
    <cellStyle name="20 % - Akzent4" xfId="14319" hidden="1" xr:uid="{00000000-0005-0000-0000-000066020000}"/>
    <cellStyle name="20 % - Akzent4" xfId="16216" hidden="1" xr:uid="{00000000-0005-0000-0000-00003C020000}"/>
    <cellStyle name="20 % - Akzent4" xfId="18346" hidden="1" xr:uid="{00000000-0005-0000-0000-00004C020000}"/>
    <cellStyle name="20 % - Akzent4 2" xfId="389" xr:uid="{00000000-0005-0000-0000-0000CF020000}"/>
    <cellStyle name="20 % - Akzent4 3" xfId="258" xr:uid="{00000000-0005-0000-0000-0000D0020000}"/>
    <cellStyle name="20 % - Akzent5" xfId="18190" hidden="1" xr:uid="{00000000-0005-0000-0000-0000DA020000}"/>
    <cellStyle name="20 % - Akzent5" xfId="8266" hidden="1" xr:uid="{00000000-0005-0000-0000-000056030000}"/>
    <cellStyle name="20 % - Akzent5" xfId="16633" hidden="1" xr:uid="{00000000-0005-0000-0000-00001C030000}"/>
    <cellStyle name="20 % - Akzent5" xfId="17134" hidden="1" xr:uid="{00000000-0005-0000-0000-000036030000}"/>
    <cellStyle name="20 % - Akzent5" xfId="13694" hidden="1" xr:uid="{00000000-0005-0000-0000-00001B030000}"/>
    <cellStyle name="20 % - Akzent5" xfId="19808" hidden="1" xr:uid="{00000000-0005-0000-0000-000000030000}"/>
    <cellStyle name="20 % - Akzent5" xfId="19742" hidden="1" xr:uid="{00000000-0005-0000-0000-000005030000}"/>
    <cellStyle name="20 % - Akzent5" xfId="19822" hidden="1" xr:uid="{00000000-0005-0000-0000-000004030000}"/>
    <cellStyle name="20 % - Akzent5" xfId="8667" hidden="1" xr:uid="{00000000-0005-0000-0000-000054030000}"/>
    <cellStyle name="20 % - Akzent5" xfId="16829" hidden="1" xr:uid="{00000000-0005-0000-0000-000026030000}"/>
    <cellStyle name="20 % - Akzent5" xfId="10689" hidden="1" xr:uid="{00000000-0005-0000-0000-000053030000}"/>
    <cellStyle name="20 % - Akzent5" xfId="14348" hidden="1" xr:uid="{00000000-0005-0000-0000-000006030000}"/>
    <cellStyle name="20 % - Akzent5" xfId="17940" hidden="1" xr:uid="{00000000-0005-0000-0000-000038030000}"/>
    <cellStyle name="20 % - Akzent5" xfId="8376" hidden="1" xr:uid="{00000000-0005-0000-0000-000058030000}"/>
    <cellStyle name="20 % - Akzent5" xfId="13353" hidden="1" xr:uid="{00000000-0005-0000-0000-00006F030000}"/>
    <cellStyle name="20 % - Akzent5" xfId="3726" hidden="1" xr:uid="{00000000-0005-0000-0000-000055030000}"/>
    <cellStyle name="20 % - Akzent5" xfId="14959" hidden="1" xr:uid="{00000000-0005-0000-0000-00002A030000}"/>
    <cellStyle name="20 % - Akzent5" xfId="10669" hidden="1" xr:uid="{00000000-0005-0000-0000-00000D030000}"/>
    <cellStyle name="20 % - Akzent5" xfId="3260" hidden="1" xr:uid="{00000000-0005-0000-0000-00005D030000}"/>
    <cellStyle name="20 % - Akzent5" xfId="3244" hidden="1" xr:uid="{00000000-0005-0000-0000-00005C030000}"/>
    <cellStyle name="20 % - Akzent5" xfId="17759" hidden="1" xr:uid="{00000000-0005-0000-0000-000030030000}"/>
    <cellStyle name="20 % - Akzent5" xfId="1373" hidden="1" xr:uid="{00000000-0005-0000-0000-000062030000}"/>
    <cellStyle name="20 % - Akzent5" xfId="1374" hidden="1" xr:uid="{00000000-0005-0000-0000-000061030000}"/>
    <cellStyle name="20 % - Akzent5" xfId="16317" hidden="1" xr:uid="{00000000-0005-0000-0000-000014030000}"/>
    <cellStyle name="20 % - Akzent5" xfId="1365" hidden="1" xr:uid="{00000000-0005-0000-0000-000065030000}"/>
    <cellStyle name="20 % - Akzent5" xfId="18846" hidden="1" xr:uid="{00000000-0005-0000-0000-0000DF020000}"/>
    <cellStyle name="20 % - Akzent5" xfId="16911" hidden="1" xr:uid="{00000000-0005-0000-0000-000029030000}"/>
    <cellStyle name="20 % - Akzent5" xfId="3210" hidden="1" xr:uid="{00000000-0005-0000-0000-00005B030000}"/>
    <cellStyle name="20 % - Akzent5" xfId="13354" hidden="1" xr:uid="{00000000-0005-0000-0000-00006C030000}"/>
    <cellStyle name="20 % - Akzent5" xfId="18022" hidden="1" xr:uid="{00000000-0005-0000-0000-00003C030000}"/>
    <cellStyle name="20 % - Akzent5" xfId="13607" hidden="1" xr:uid="{00000000-0005-0000-0000-000068030000}"/>
    <cellStyle name="20 % - Akzent5" xfId="15715" hidden="1" xr:uid="{00000000-0005-0000-0000-000019030000}"/>
    <cellStyle name="20 % - Akzent5" xfId="13542" hidden="1" xr:uid="{00000000-0005-0000-0000-000071030000}"/>
    <cellStyle name="20 % - Akzent5" xfId="13460" hidden="1" xr:uid="{00000000-0005-0000-0000-000047030000}"/>
    <cellStyle name="20 % - Akzent5" xfId="13103" hidden="1" xr:uid="{00000000-0005-0000-0000-000045030000}"/>
    <cellStyle name="20 % - Akzent5" xfId="17954" hidden="1" xr:uid="{00000000-0005-0000-0000-000039030000}"/>
    <cellStyle name="20 % - Akzent5" xfId="16715" hidden="1" xr:uid="{00000000-0005-0000-0000-000020030000}"/>
    <cellStyle name="20 % - Akzent5" xfId="8532" hidden="1" xr:uid="{00000000-0005-0000-0000-00004C030000}"/>
    <cellStyle name="20 % - Akzent5" xfId="3278" hidden="1" xr:uid="{00000000-0005-0000-0000-00004B030000}"/>
    <cellStyle name="20 % - Akzent5" xfId="16691" hidden="1" xr:uid="{00000000-0005-0000-0000-00003E030000}"/>
    <cellStyle name="20 % - Akzent5" xfId="9844" hidden="1" xr:uid="{00000000-0005-0000-0000-000050030000}"/>
    <cellStyle name="20 % - Akzent5" xfId="19546" hidden="1" xr:uid="{00000000-0005-0000-0000-0000EE020000}"/>
    <cellStyle name="20 % - Akzent5" xfId="15058" hidden="1" xr:uid="{00000000-0005-0000-0000-000018030000}"/>
    <cellStyle name="20 % - Akzent5" xfId="13834" hidden="1" xr:uid="{00000000-0005-0000-0000-000041030000}"/>
    <cellStyle name="20 % - Akzent5" xfId="13094" hidden="1" xr:uid="{00000000-0005-0000-0000-000044030000}"/>
    <cellStyle name="20 % - Akzent5" xfId="17141" hidden="1" xr:uid="{00000000-0005-0000-0000-00003F030000}"/>
    <cellStyle name="20 % - Akzent5" xfId="12701" hidden="1" xr:uid="{00000000-0005-0000-0000-000043030000}"/>
    <cellStyle name="20 % - Akzent5" xfId="16149" hidden="1" xr:uid="{00000000-0005-0000-0000-00002D030000}"/>
    <cellStyle name="20 % - Akzent5" xfId="15974" hidden="1" xr:uid="{00000000-0005-0000-0000-00002C030000}"/>
    <cellStyle name="20 % - Akzent5" xfId="14760" hidden="1" xr:uid="{00000000-0005-0000-0000-000011030000}"/>
    <cellStyle name="20 % - Akzent5" xfId="18584" hidden="1" xr:uid="{00000000-0005-0000-0000-0000FE020000}"/>
    <cellStyle name="20 % - Akzent5" xfId="18663" hidden="1" xr:uid="{00000000-0005-0000-0000-0000D6020000}"/>
    <cellStyle name="20 % - Akzent5" xfId="9417" hidden="1" xr:uid="{00000000-0005-0000-0000-00004F030000}"/>
    <cellStyle name="20 % - Akzent5" xfId="3484" hidden="1" xr:uid="{00000000-0005-0000-0000-00000B030000}"/>
    <cellStyle name="20 % - Akzent5" xfId="13647" hidden="1" xr:uid="{00000000-0005-0000-0000-00006A030000}"/>
    <cellStyle name="20 % - Akzent5" xfId="13188" hidden="1" xr:uid="{00000000-0005-0000-0000-000070030000}"/>
    <cellStyle name="20 % - Akzent5" xfId="13474" hidden="1" xr:uid="{00000000-0005-0000-0000-00004A030000}"/>
    <cellStyle name="20 % - Akzent5" xfId="15645" hidden="1" xr:uid="{00000000-0005-0000-0000-0000E4020000}"/>
    <cellStyle name="20 % - Akzent5" xfId="15660" hidden="1" xr:uid="{00000000-0005-0000-0000-000034030000}"/>
    <cellStyle name="20 % - Akzent5" xfId="14008" hidden="1" xr:uid="{00000000-0005-0000-0000-00001A030000}"/>
    <cellStyle name="20 % - Akzent5" xfId="8529" hidden="1" xr:uid="{00000000-0005-0000-0000-00005A030000}"/>
    <cellStyle name="20 % - Akzent5" xfId="13593" hidden="1" xr:uid="{00000000-0005-0000-0000-000067030000}"/>
    <cellStyle name="20 % - Akzent5" xfId="18937" hidden="1" xr:uid="{00000000-0005-0000-0000-0000E5020000}"/>
    <cellStyle name="20 % - Akzent5" xfId="16351" hidden="1" xr:uid="{00000000-0005-0000-0000-000015030000}"/>
    <cellStyle name="20 % - Akzent5" xfId="19484" hidden="1" xr:uid="{00000000-0005-0000-0000-0000FD020000}"/>
    <cellStyle name="20 % - Akzent5" xfId="19862" hidden="1" xr:uid="{00000000-0005-0000-0000-000002030000}"/>
    <cellStyle name="20 % - Akzent5" xfId="18567" hidden="1" xr:uid="{00000000-0005-0000-0000-0000E1020000}"/>
    <cellStyle name="20 % - Akzent5" xfId="3196" hidden="1" xr:uid="{00000000-0005-0000-0000-000063030000}"/>
    <cellStyle name="20 % - Akzent5" xfId="18004" hidden="1" xr:uid="{00000000-0005-0000-0000-00003B030000}"/>
    <cellStyle name="20 % - Akzent5" xfId="14839" hidden="1" xr:uid="{00000000-0005-0000-0000-000023030000}"/>
    <cellStyle name="20 % - Akzent5" xfId="19560" hidden="1" xr:uid="{00000000-0005-0000-0000-0000EF020000}"/>
    <cellStyle name="20 % - Akzent5" xfId="972" hidden="1" xr:uid="{00000000-0005-0000-0000-000064030000}"/>
    <cellStyle name="20 % - Akzent5" xfId="16681" hidden="1" xr:uid="{00000000-0005-0000-0000-00001E030000}"/>
    <cellStyle name="20 % - Akzent5" xfId="8283" hidden="1" xr:uid="{00000000-0005-0000-0000-000057030000}"/>
    <cellStyle name="20 % - Akzent5" xfId="10985" hidden="1" xr:uid="{00000000-0005-0000-0000-00000C030000}"/>
    <cellStyle name="20 % - Akzent5" xfId="4142" hidden="1" xr:uid="{00000000-0005-0000-0000-000060030000}"/>
    <cellStyle name="20 % - Akzent5" xfId="19678" hidden="1" xr:uid="{00000000-0005-0000-0000-0000F7020000}"/>
    <cellStyle name="20 % - Akzent5" xfId="18615" hidden="1" xr:uid="{00000000-0005-0000-0000-0000D4020000}"/>
    <cellStyle name="20 % - Akzent5" xfId="14741" hidden="1" xr:uid="{00000000-0005-0000-0000-00002B030000}"/>
    <cellStyle name="20 % - Akzent5" xfId="13524" hidden="1" xr:uid="{00000000-0005-0000-0000-000049030000}"/>
    <cellStyle name="20 % - Akzent5" xfId="19692" hidden="1" xr:uid="{00000000-0005-0000-0000-0000F8020000}"/>
    <cellStyle name="20 % - Akzent5" xfId="16843" hidden="1" xr:uid="{00000000-0005-0000-0000-000040030000}"/>
    <cellStyle name="20 % - Akzent5" xfId="18337" hidden="1" xr:uid="{00000000-0005-0000-0000-0000EC020000}"/>
    <cellStyle name="20 % - Akzent5" xfId="16367" hidden="1" xr:uid="{00000000-0005-0000-0000-000016030000}"/>
    <cellStyle name="20 % - Akzent5" xfId="19093" hidden="1" xr:uid="{00000000-0005-0000-0000-0000F4020000}"/>
    <cellStyle name="20 % - Akzent5" xfId="8710" hidden="1" xr:uid="{00000000-0005-0000-0000-000051030000}"/>
    <cellStyle name="20 % - Akzent5" xfId="17824" hidden="1" xr:uid="{00000000-0005-0000-0000-000033030000}"/>
    <cellStyle name="20 % - Akzent5" xfId="18864" hidden="1" xr:uid="{00000000-0005-0000-0000-0000E0020000}"/>
    <cellStyle name="20 % - Akzent5" xfId="9807" hidden="1" xr:uid="{00000000-0005-0000-0000-000052030000}"/>
    <cellStyle name="20 % - Akzent5" xfId="14374" hidden="1" xr:uid="{00000000-0005-0000-0000-0000D8020000}"/>
    <cellStyle name="20 % - Akzent5" xfId="13102" hidden="1" xr:uid="{00000000-0005-0000-0000-000046030000}"/>
    <cellStyle name="20 % - Akzent5" xfId="16697" hidden="1" xr:uid="{00000000-0005-0000-0000-00001F030000}"/>
    <cellStyle name="20 % - Akzent5" xfId="9033" hidden="1" xr:uid="{00000000-0005-0000-0000-00004E030000}"/>
    <cellStyle name="20 % - Akzent5" xfId="18985" hidden="1" xr:uid="{00000000-0005-0000-0000-0000E7020000}"/>
    <cellStyle name="20 % - Akzent5" xfId="17988" hidden="1" xr:uid="{00000000-0005-0000-0000-00003A030000}"/>
    <cellStyle name="20 % - Akzent5" xfId="3844" hidden="1" xr:uid="{00000000-0005-0000-0000-00005F030000}"/>
    <cellStyle name="20 % - Akzent5" xfId="19001" hidden="1" xr:uid="{00000000-0005-0000-0000-0000E8020000}"/>
    <cellStyle name="20 % - Akzent5" xfId="13641" hidden="1" xr:uid="{00000000-0005-0000-0000-000069030000}"/>
    <cellStyle name="20 % - Akzent5" xfId="18799" hidden="1" xr:uid="{00000000-0005-0000-0000-000009030000}"/>
    <cellStyle name="20 % - Akzent5" xfId="16877" hidden="1" xr:uid="{00000000-0005-0000-0000-000027030000}"/>
    <cellStyle name="20 % - Akzent5" xfId="17601" hidden="1" xr:uid="{00000000-0005-0000-0000-000008030000}"/>
    <cellStyle name="20 % - Akzent5" xfId="15842" hidden="1" xr:uid="{00000000-0005-0000-0000-0000D3020000}"/>
    <cellStyle name="20 % - Akzent5" xfId="19366" hidden="1" xr:uid="{00000000-0005-0000-0000-0000F3020000}"/>
    <cellStyle name="20 % - Akzent5" xfId="12198" hidden="1" xr:uid="{00000000-0005-0000-0000-000042030000}"/>
    <cellStyle name="20 % - Akzent5" xfId="14499" hidden="1" xr:uid="{00000000-0005-0000-0000-0000FC020000}"/>
    <cellStyle name="20 % - Akzent5" xfId="16303" hidden="1" xr:uid="{00000000-0005-0000-0000-000013030000}"/>
    <cellStyle name="20 % - Akzent5" xfId="17745" hidden="1" xr:uid="{00000000-0005-0000-0000-00002F030000}"/>
    <cellStyle name="20 % - Akzent5" xfId="14759" hidden="1" xr:uid="{00000000-0005-0000-0000-000012030000}"/>
    <cellStyle name="20 % - Akzent5" xfId="12177" hidden="1" xr:uid="{00000000-0005-0000-0000-00006D030000}"/>
    <cellStyle name="20 % - Akzent5" xfId="8603" hidden="1" xr:uid="{00000000-0005-0000-0000-00004D030000}"/>
    <cellStyle name="20 % - Akzent5" xfId="75" hidden="1" xr:uid="{00000000-0005-0000-0000-000066030000}"/>
    <cellStyle name="20 % - Akzent5" xfId="12173" hidden="1" xr:uid="{00000000-0005-0000-0000-00006E030000}"/>
    <cellStyle name="20 % - Akzent5" xfId="19760" hidden="1" xr:uid="{00000000-0005-0000-0000-0000FA020000}"/>
    <cellStyle name="20 % - Akzent5" xfId="16647" hidden="1" xr:uid="{00000000-0005-0000-0000-00001D030000}"/>
    <cellStyle name="20 % - Akzent5" xfId="19726" hidden="1" xr:uid="{00000000-0005-0000-0000-0000F9020000}"/>
    <cellStyle name="20 % - Akzent5" xfId="3382" hidden="1" xr:uid="{00000000-0005-0000-0000-00005E030000}"/>
    <cellStyle name="20 % - Akzent5" xfId="17793" hidden="1" xr:uid="{00000000-0005-0000-0000-000031030000}"/>
    <cellStyle name="20 % - Akzent5" xfId="19594" hidden="1" xr:uid="{00000000-0005-0000-0000-0000F0020000}"/>
    <cellStyle name="20 % - Akzent5" xfId="15878" hidden="1" xr:uid="{00000000-0005-0000-0000-0000FF020000}"/>
    <cellStyle name="20 % - Akzent5" xfId="18629" hidden="1" xr:uid="{00000000-0005-0000-0000-0000D5020000}"/>
    <cellStyle name="20 % - Akzent5" xfId="17100" hidden="1" xr:uid="{00000000-0005-0000-0000-0000FB020000}"/>
    <cellStyle name="20 % - Akzent5" xfId="15277" hidden="1" xr:uid="{00000000-0005-0000-0000-000022030000}"/>
    <cellStyle name="20 % - Akzent5" xfId="19880" hidden="1" xr:uid="{00000000-0005-0000-0000-000003030000}"/>
    <cellStyle name="20 % - Akzent5" xfId="18833" hidden="1" xr:uid="{00000000-0005-0000-0000-0000DE020000}"/>
    <cellStyle name="20 % - Akzent5" xfId="18785" hidden="1" xr:uid="{00000000-0005-0000-0000-0000DD020000}"/>
    <cellStyle name="20 % - Akzent5" xfId="16763" hidden="1" xr:uid="{00000000-0005-0000-0000-0000D2020000}"/>
    <cellStyle name="20 % - Akzent5" xfId="16893" hidden="1" xr:uid="{00000000-0005-0000-0000-000028030000}"/>
    <cellStyle name="20 % - Akzent5" xfId="14371" hidden="1" xr:uid="{00000000-0005-0000-0000-0000E3020000}"/>
    <cellStyle name="20 % - Akzent5" xfId="13705" hidden="1" xr:uid="{00000000-0005-0000-0000-0000E2020000}"/>
    <cellStyle name="20 % - Akzent5" xfId="18672" hidden="1" xr:uid="{00000000-0005-0000-0000-00000A030000}"/>
    <cellStyle name="20 % - Akzent5" xfId="18951" hidden="1" xr:uid="{00000000-0005-0000-0000-0000E6020000}"/>
    <cellStyle name="20 % - Akzent5" xfId="13508" hidden="1" xr:uid="{00000000-0005-0000-0000-000048030000}"/>
    <cellStyle name="20 % - Akzent5" xfId="14071" hidden="1" xr:uid="{00000000-0005-0000-0000-000021030000}"/>
    <cellStyle name="20 % - Akzent5" xfId="18359" hidden="1" xr:uid="{00000000-0005-0000-0000-0000D9020000}"/>
    <cellStyle name="20 % - Akzent5" xfId="18184" hidden="1" xr:uid="{00000000-0005-0000-0000-0000DC020000}"/>
    <cellStyle name="20 % - Akzent5" xfId="18183" hidden="1" xr:uid="{00000000-0005-0000-0000-0000DB020000}"/>
    <cellStyle name="20 % - Akzent5" xfId="17414" hidden="1" xr:uid="{00000000-0005-0000-0000-000035030000}"/>
    <cellStyle name="20 % - Akzent5" xfId="18690" hidden="1" xr:uid="{00000000-0005-0000-0000-0000D7020000}"/>
    <cellStyle name="20 % - Akzent5" xfId="14751" hidden="1" xr:uid="{00000000-0005-0000-0000-000010030000}"/>
    <cellStyle name="20 % - Akzent5" xfId="17619" hidden="1" xr:uid="{00000000-0005-0000-0000-0000D1020000}"/>
    <cellStyle name="20 % - Akzent5" xfId="14888" hidden="1" xr:uid="{00000000-0005-0000-0000-0000ED020000}"/>
    <cellStyle name="20 % - Akzent5" xfId="19856" hidden="1" xr:uid="{00000000-0005-0000-0000-000001030000}"/>
    <cellStyle name="20 % - Akzent5" xfId="16226" hidden="1" xr:uid="{00000000-0005-0000-0000-0000EB020000}"/>
    <cellStyle name="20 % - Akzent5" xfId="17806" hidden="1" xr:uid="{00000000-0005-0000-0000-000032030000}"/>
    <cellStyle name="20 % - Akzent5" xfId="16385" hidden="1" xr:uid="{00000000-0005-0000-0000-000017030000}"/>
    <cellStyle name="20 % - Akzent5" xfId="19621" hidden="1" xr:uid="{00000000-0005-0000-0000-0000F2020000}"/>
    <cellStyle name="20 % - Akzent5" xfId="19603" hidden="1" xr:uid="{00000000-0005-0000-0000-0000F1020000}"/>
    <cellStyle name="20 % - Akzent5" xfId="17135" hidden="1" xr:uid="{00000000-0005-0000-0000-000037030000}"/>
    <cellStyle name="20 % - Akzent5" xfId="19087" hidden="1" xr:uid="{00000000-0005-0000-0000-0000F6020000}"/>
    <cellStyle name="20 % - Akzent5" xfId="19086" hidden="1" xr:uid="{00000000-0005-0000-0000-0000F5020000}"/>
    <cellStyle name="20 % - Akzent5" xfId="11371" hidden="1" xr:uid="{00000000-0005-0000-0000-000059030000}"/>
    <cellStyle name="20 % - Akzent5" xfId="14428" hidden="1" xr:uid="{00000000-0005-0000-0000-00000F030000}"/>
    <cellStyle name="20 % - Akzent5" xfId="13745" hidden="1" xr:uid="{00000000-0005-0000-0000-00000E030000}"/>
    <cellStyle name="20 % - Akzent5" xfId="16952" hidden="1" xr:uid="{00000000-0005-0000-0000-0000EA020000}"/>
    <cellStyle name="20 % - Akzent5" xfId="13881" hidden="1" xr:uid="{00000000-0005-0000-0000-00002E030000}"/>
    <cellStyle name="20 % - Akzent5" xfId="19019" hidden="1" xr:uid="{00000000-0005-0000-0000-0000E9020000}"/>
    <cellStyle name="20 % - Akzent5" xfId="13781" hidden="1" xr:uid="{00000000-0005-0000-0000-000025030000}"/>
    <cellStyle name="20 % - Akzent5" xfId="17900" hidden="1" xr:uid="{00000000-0005-0000-0000-00003D030000}"/>
    <cellStyle name="20 % - Akzent5" xfId="14842" hidden="1" xr:uid="{00000000-0005-0000-0000-000024030000}"/>
    <cellStyle name="20 % - Akzent5" xfId="15788" hidden="1" xr:uid="{00000000-0005-0000-0000-000007030000}"/>
    <cellStyle name="20 % - Akzent5" xfId="13665" hidden="1" xr:uid="{00000000-0005-0000-0000-00006B030000}"/>
    <cellStyle name="20 % - Akzent5 2" xfId="390" xr:uid="{00000000-0005-0000-0000-000072030000}"/>
    <cellStyle name="20 % - Akzent5 3" xfId="259" xr:uid="{00000000-0005-0000-0000-000073030000}"/>
    <cellStyle name="20 % - Akzent6" xfId="16837" hidden="1" xr:uid="{00000000-0005-0000-0000-0000A8030000}"/>
    <cellStyle name="20 % - Akzent6" xfId="16880" hidden="1" xr:uid="{00000000-0005-0000-0000-0000A9030000}"/>
    <cellStyle name="20 % - Akzent6" xfId="16934" hidden="1" xr:uid="{00000000-0005-0000-0000-0000AA030000}"/>
    <cellStyle name="20 % - Akzent6" xfId="19058" hidden="1" xr:uid="{00000000-0005-0000-0000-000093030000}"/>
    <cellStyle name="20 % - Akzent6" xfId="1034" hidden="1" xr:uid="{00000000-0005-0000-0000-00000B040000}"/>
    <cellStyle name="20 % - Akzent6" xfId="13182" hidden="1" xr:uid="{00000000-0005-0000-0000-000002040000}"/>
    <cellStyle name="20 % - Akzent6" xfId="14049" hidden="1" xr:uid="{00000000-0005-0000-0000-0000AC030000}"/>
    <cellStyle name="20 % - Akzent6" xfId="18623" hidden="1" xr:uid="{00000000-0005-0000-0000-0000C4030000}"/>
    <cellStyle name="20 % - Akzent6" xfId="16790" hidden="1" xr:uid="{00000000-0005-0000-0000-0000D3030000}"/>
    <cellStyle name="20 % - Akzent6" xfId="13396" hidden="1" xr:uid="{00000000-0005-0000-0000-000003040000}"/>
    <cellStyle name="20 % - Akzent6" xfId="18710" hidden="1" xr:uid="{00000000-0005-0000-0000-0000C6030000}"/>
    <cellStyle name="20 % - Akzent6" xfId="18884" hidden="1" xr:uid="{00000000-0005-0000-0000-0000D0030000}"/>
    <cellStyle name="20 % - Akzent6" xfId="975" hidden="1" xr:uid="{00000000-0005-0000-0000-000008040000}"/>
    <cellStyle name="20 % - Akzent6" xfId="18697" hidden="1" xr:uid="{00000000-0005-0000-0000-000079030000}"/>
    <cellStyle name="20 % - Akzent6" xfId="10924" hidden="1" xr:uid="{00000000-0005-0000-0000-0000E0030000}"/>
    <cellStyle name="20 % - Akzent6" xfId="19681" hidden="1" xr:uid="{00000000-0005-0000-0000-000094030000}"/>
    <cellStyle name="20 % - Akzent6" xfId="14655" hidden="1" xr:uid="{00000000-0005-0000-0000-0000A5030000}"/>
    <cellStyle name="20 % - Akzent6" xfId="12201" hidden="1" xr:uid="{00000000-0005-0000-0000-00000D040000}"/>
    <cellStyle name="20 % - Akzent6" xfId="19032" hidden="1" xr:uid="{00000000-0005-0000-0000-000096030000}"/>
    <cellStyle name="20 % - Akzent6" xfId="14431" hidden="1" xr:uid="{00000000-0005-0000-0000-0000F5030000}"/>
    <cellStyle name="20 % - Akzent6" xfId="16737" hidden="1" xr:uid="{00000000-0005-0000-0000-0000A1030000}"/>
    <cellStyle name="20 % - Akzent6" xfId="12932" hidden="1" xr:uid="{00000000-0005-0000-0000-0000FA030000}"/>
    <cellStyle name="20 % - Akzent6" xfId="16636" hidden="1" xr:uid="{00000000-0005-0000-0000-00009E030000}"/>
    <cellStyle name="20 % - Akzent6" xfId="13511" hidden="1" xr:uid="{00000000-0005-0000-0000-0000FE030000}"/>
    <cellStyle name="20 % - Akzent6" xfId="19816" hidden="1" xr:uid="{00000000-0005-0000-0000-00008F030000}"/>
    <cellStyle name="20 % - Akzent6" xfId="18618" hidden="1" xr:uid="{00000000-0005-0000-0000-0000D7030000}"/>
    <cellStyle name="20 % - Akzent6" xfId="12256" hidden="1" xr:uid="{00000000-0005-0000-0000-000001040000}"/>
    <cellStyle name="20 % - Akzent6" xfId="12763" hidden="1" xr:uid="{00000000-0005-0000-0000-0000F9030000}"/>
    <cellStyle name="20 % - Akzent6" xfId="18945" hidden="1" xr:uid="{00000000-0005-0000-0000-000075030000}"/>
    <cellStyle name="20 % - Akzent6" xfId="18988" hidden="1" xr:uid="{00000000-0005-0000-0000-000076030000}"/>
    <cellStyle name="20 % - Akzent6" xfId="18940" hidden="1" xr:uid="{00000000-0005-0000-0000-000074030000}"/>
    <cellStyle name="20 % - Akzent6" xfId="16311" hidden="1" xr:uid="{00000000-0005-0000-0000-0000F7030000}"/>
    <cellStyle name="20 % - Akzent6" xfId="1203" hidden="1" xr:uid="{00000000-0005-0000-0000-000007040000}"/>
    <cellStyle name="20 % - Akzent6" xfId="13644" hidden="1" xr:uid="{00000000-0005-0000-0000-00000F040000}"/>
    <cellStyle name="20 % - Akzent6" xfId="18549" hidden="1" xr:uid="{00000000-0005-0000-0000-00007C030000}"/>
    <cellStyle name="20 % - Akzent6" xfId="8607" hidden="1" xr:uid="{00000000-0005-0000-0000-0000E8030000}"/>
    <cellStyle name="20 % - Akzent6" xfId="9846" hidden="1" xr:uid="{00000000-0005-0000-0000-0000EA030000}"/>
    <cellStyle name="20 % - Akzent6" xfId="8304" hidden="1" xr:uid="{00000000-0005-0000-0000-0000ED030000}"/>
    <cellStyle name="20 % - Akzent6" xfId="13748" hidden="1" xr:uid="{00000000-0005-0000-0000-0000F1030000}"/>
    <cellStyle name="20 % - Akzent6" xfId="14246" hidden="1" xr:uid="{00000000-0005-0000-0000-0000AE030000}"/>
    <cellStyle name="20 % - Akzent6" xfId="15133" hidden="1" xr:uid="{00000000-0005-0000-0000-0000AF030000}"/>
    <cellStyle name="20 % - Akzent6" xfId="14464" hidden="1" xr:uid="{00000000-0005-0000-0000-0000B0030000}"/>
    <cellStyle name="20 % - Akzent6" xfId="78" hidden="1" xr:uid="{00000000-0005-0000-0000-00000C040000}"/>
    <cellStyle name="20 % - Akzent6" xfId="15280" hidden="1" xr:uid="{00000000-0005-0000-0000-0000A6030000}"/>
    <cellStyle name="20 % - Akzent6" xfId="17748" hidden="1" xr:uid="{00000000-0005-0000-0000-0000B1030000}"/>
    <cellStyle name="20 % - Akzent6" xfId="3204" hidden="1" xr:uid="{00000000-0005-0000-0000-00000A040000}"/>
    <cellStyle name="20 % - Akzent6" xfId="17837" hidden="1" xr:uid="{00000000-0005-0000-0000-0000D8030000}"/>
    <cellStyle name="20 % - Akzent6" xfId="17753" hidden="1" xr:uid="{00000000-0005-0000-0000-0000B2030000}"/>
    <cellStyle name="20 % - Akzent6" xfId="8492" hidden="1" xr:uid="{00000000-0005-0000-0000-0000EE030000}"/>
    <cellStyle name="20 % - Akzent6" xfId="13402" hidden="1" xr:uid="{00000000-0005-0000-0000-000005040000}"/>
    <cellStyle name="20 % - Akzent6" xfId="17381" hidden="1" xr:uid="{00000000-0005-0000-0000-0000B7030000}"/>
    <cellStyle name="20 % - Akzent6" xfId="17796" hidden="1" xr:uid="{00000000-0005-0000-0000-0000B3030000}"/>
    <cellStyle name="20 % - Akzent6" xfId="12705" hidden="1" xr:uid="{00000000-0005-0000-0000-0000DB030000}"/>
    <cellStyle name="20 % - Akzent6" xfId="10882" hidden="1" xr:uid="{00000000-0005-0000-0000-0000DC030000}"/>
    <cellStyle name="20 % - Akzent6" xfId="8931" hidden="1" xr:uid="{00000000-0005-0000-0000-0000DD030000}"/>
    <cellStyle name="20 % - Akzent6" xfId="19554" hidden="1" xr:uid="{00000000-0005-0000-0000-00007E030000}"/>
    <cellStyle name="20 % - Akzent6" xfId="18762" hidden="1" xr:uid="{00000000-0005-0000-0000-000084030000}"/>
    <cellStyle name="20 % - Akzent6" xfId="13565" hidden="1" xr:uid="{00000000-0005-0000-0000-0000FF030000}"/>
    <cellStyle name="20 % - Akzent6" xfId="15008" hidden="1" xr:uid="{00000000-0005-0000-0000-00009C030000}"/>
    <cellStyle name="20 % - Akzent6" xfId="15931" hidden="1" xr:uid="{00000000-0005-0000-0000-00009D030000}"/>
    <cellStyle name="20 % - Akzent6" xfId="16684" hidden="1" xr:uid="{00000000-0005-0000-0000-0000A0030000}"/>
    <cellStyle name="20 % - Akzent6" xfId="16599" hidden="1" xr:uid="{00000000-0005-0000-0000-0000A3030000}"/>
    <cellStyle name="20 % - Akzent6" xfId="16832" hidden="1" xr:uid="{00000000-0005-0000-0000-0000A7030000}"/>
    <cellStyle name="20 % - Akzent6" xfId="18700" hidden="1" xr:uid="{00000000-0005-0000-0000-0000C7030000}"/>
    <cellStyle name="20 % - Akzent6" xfId="18590" hidden="1" xr:uid="{00000000-0005-0000-0000-0000C8030000}"/>
    <cellStyle name="20 % - Akzent6" xfId="18355" hidden="1" xr:uid="{00000000-0005-0000-0000-0000C9030000}"/>
    <cellStyle name="20 % - Akzent6" xfId="19631" hidden="1" xr:uid="{00000000-0005-0000-0000-000080030000}"/>
    <cellStyle name="20 % - Akzent6" xfId="14693" hidden="1" xr:uid="{00000000-0005-0000-0000-0000BF030000}"/>
    <cellStyle name="20 % - Akzent6" xfId="18332" hidden="1" xr:uid="{00000000-0005-0000-0000-0000CA030000}"/>
    <cellStyle name="20 % - Akzent6" xfId="19549" hidden="1" xr:uid="{00000000-0005-0000-0000-00007D030000}"/>
    <cellStyle name="20 % - Akzent6" xfId="18793" hidden="1" xr:uid="{00000000-0005-0000-0000-0000CE030000}"/>
    <cellStyle name="20 % - Akzent6" xfId="18256" hidden="1" xr:uid="{00000000-0005-0000-0000-0000CB030000}"/>
    <cellStyle name="20 % - Akzent6" xfId="15281" hidden="1" xr:uid="{00000000-0005-0000-0000-0000A4030000}"/>
    <cellStyle name="20 % - Akzent6" xfId="19811" hidden="1" xr:uid="{00000000-0005-0000-0000-00008E030000}"/>
    <cellStyle name="20 % - Akzent6" xfId="16727" hidden="1" xr:uid="{00000000-0005-0000-0000-0000A2030000}"/>
    <cellStyle name="20 % - Akzent6" xfId="18874" hidden="1" xr:uid="{00000000-0005-0000-0000-0000D1030000}"/>
    <cellStyle name="20 % - Akzent6" xfId="18356" hidden="1" xr:uid="{00000000-0005-0000-0000-0000CC030000}"/>
    <cellStyle name="20 % - Akzent6" xfId="19859" hidden="1" xr:uid="{00000000-0005-0000-0000-000090030000}"/>
    <cellStyle name="20 % - Akzent6" xfId="19899" hidden="1" xr:uid="{00000000-0005-0000-0000-000091030000}"/>
    <cellStyle name="20 % - Akzent6" xfId="19889" hidden="1" xr:uid="{00000000-0005-0000-0000-000092030000}"/>
    <cellStyle name="20 % - Akzent6" xfId="13468" hidden="1" xr:uid="{00000000-0005-0000-0000-0000FD030000}"/>
    <cellStyle name="20 % - Akzent6" xfId="12260" hidden="1" xr:uid="{00000000-0005-0000-0000-000004040000}"/>
    <cellStyle name="20 % - Akzent6" xfId="19783" hidden="1" xr:uid="{00000000-0005-0000-0000-000088030000}"/>
    <cellStyle name="20 % - Akzent6" xfId="17847" hidden="1" xr:uid="{00000000-0005-0000-0000-0000B4030000}"/>
    <cellStyle name="20 % - Akzent6" xfId="15533" hidden="1" xr:uid="{00000000-0005-0000-0000-0000B5030000}"/>
    <cellStyle name="20 % - Akzent6" xfId="17255" hidden="1" xr:uid="{00000000-0005-0000-0000-0000B8030000}"/>
    <cellStyle name="20 % - Akzent6" xfId="17948" hidden="1" xr:uid="{00000000-0005-0000-0000-0000BB030000}"/>
    <cellStyle name="20 % - Akzent6" xfId="15781" hidden="1" xr:uid="{00000000-0005-0000-0000-0000C0030000}"/>
    <cellStyle name="20 % - Akzent6" xfId="3301" hidden="1" xr:uid="{00000000-0005-0000-0000-0000E2030000}"/>
    <cellStyle name="20 % - Akzent6" xfId="3291" hidden="1" xr:uid="{00000000-0005-0000-0000-0000E3030000}"/>
    <cellStyle name="20 % - Akzent6" xfId="17028" hidden="1" xr:uid="{00000000-0005-0000-0000-0000D4030000}"/>
    <cellStyle name="20 % - Akzent6" xfId="3386" hidden="1" xr:uid="{00000000-0005-0000-0000-0000E4030000}"/>
    <cellStyle name="20 % - Akzent6" xfId="13555" hidden="1" xr:uid="{00000000-0005-0000-0000-000000040000}"/>
    <cellStyle name="20 % - Akzent6" xfId="14337" hidden="1" xr:uid="{00000000-0005-0000-0000-0000D9030000}"/>
    <cellStyle name="20 % - Akzent6" xfId="3873" hidden="1" xr:uid="{00000000-0005-0000-0000-0000E5030000}"/>
    <cellStyle name="20 % - Akzent6" xfId="13463" hidden="1" xr:uid="{00000000-0005-0000-0000-0000FC030000}"/>
    <cellStyle name="20 % - Akzent6" xfId="9408" hidden="1" xr:uid="{00000000-0005-0000-0000-0000E9030000}"/>
    <cellStyle name="20 % - Akzent6" xfId="3775" hidden="1" xr:uid="{00000000-0005-0000-0000-0000E6030000}"/>
    <cellStyle name="20 % - Akzent6" xfId="17991" hidden="1" xr:uid="{00000000-0005-0000-0000-0000BC030000}"/>
    <cellStyle name="20 % - Akzent6" xfId="4150" hidden="1" xr:uid="{00000000-0005-0000-0000-000010040000}"/>
    <cellStyle name="20 % - Akzent6" xfId="17943" hidden="1" xr:uid="{00000000-0005-0000-0000-0000BA030000}"/>
    <cellStyle name="20 % - Akzent6" xfId="8303" hidden="1" xr:uid="{00000000-0005-0000-0000-0000EC030000}"/>
    <cellStyle name="20 % - Akzent6" xfId="3247" hidden="1" xr:uid="{00000000-0005-0000-0000-0000E7030000}"/>
    <cellStyle name="20 % - Akzent6" xfId="13684" hidden="1" xr:uid="{00000000-0005-0000-0000-000012040000}"/>
    <cellStyle name="20 % - Akzent6" xfId="13674" hidden="1" xr:uid="{00000000-0005-0000-0000-000013040000}"/>
    <cellStyle name="20 % - Akzent6" xfId="13601" hidden="1" xr:uid="{00000000-0005-0000-0000-000014040000}"/>
    <cellStyle name="20 % - Akzent6" xfId="18399" hidden="1" xr:uid="{00000000-0005-0000-0000-000078030000}"/>
    <cellStyle name="20 % - Akzent6" xfId="19686" hidden="1" xr:uid="{00000000-0005-0000-0000-000086030000}"/>
    <cellStyle name="20 % - Akzent6" xfId="18424" hidden="1" xr:uid="{00000000-0005-0000-0000-00008D030000}"/>
    <cellStyle name="20 % - Akzent6" xfId="3199" hidden="1" xr:uid="{00000000-0005-0000-0000-000009040000}"/>
    <cellStyle name="20 % - Akzent6" xfId="18788" hidden="1" xr:uid="{00000000-0005-0000-0000-0000CD030000}"/>
    <cellStyle name="20 % - Akzent6" xfId="18836" hidden="1" xr:uid="{00000000-0005-0000-0000-0000CF030000}"/>
    <cellStyle name="20 % - Akzent6" xfId="18753" hidden="1" xr:uid="{00000000-0005-0000-0000-0000D2030000}"/>
    <cellStyle name="20 % - Akzent6" xfId="16940" hidden="1" xr:uid="{00000000-0005-0000-0000-0000D5030000}"/>
    <cellStyle name="20 % - Akzent6" xfId="16354" hidden="1" xr:uid="{00000000-0005-0000-0000-0000DA030000}"/>
    <cellStyle name="20 % - Akzent6" xfId="16407" hidden="1" xr:uid="{00000000-0005-0000-0000-000097030000}"/>
    <cellStyle name="20 % - Akzent6" xfId="16397" hidden="1" xr:uid="{00000000-0005-0000-0000-000098030000}"/>
    <cellStyle name="20 % - Akzent6" xfId="8269" hidden="1" xr:uid="{00000000-0005-0000-0000-0000F0030000}"/>
    <cellStyle name="20 % - Akzent6" xfId="16260" hidden="1" xr:uid="{00000000-0005-0000-0000-000099030000}"/>
    <cellStyle name="20 % - Akzent6" xfId="19773" hidden="1" xr:uid="{00000000-0005-0000-0000-000089030000}"/>
    <cellStyle name="20 % - Akzent6" xfId="18035" hidden="1" xr:uid="{00000000-0005-0000-0000-0000BE030000}"/>
    <cellStyle name="20 % - Akzent6" xfId="15056" hidden="1" xr:uid="{00000000-0005-0000-0000-00009A030000}"/>
    <cellStyle name="20 % - Akzent6" xfId="16996" hidden="1" xr:uid="{00000000-0005-0000-0000-0000D6030000}"/>
    <cellStyle name="20 % - Akzent6" xfId="19363" hidden="1" xr:uid="{00000000-0005-0000-0000-000085030000}"/>
    <cellStyle name="20 % - Akzent6" xfId="16641" hidden="1" xr:uid="{00000000-0005-0000-0000-00009F030000}"/>
    <cellStyle name="20 % - Akzent6" xfId="15913" hidden="1" xr:uid="{00000000-0005-0000-0000-00009B030000}"/>
    <cellStyle name="20 % - Akzent6" xfId="14907" hidden="1" xr:uid="{00000000-0005-0000-0000-0000C1030000}"/>
    <cellStyle name="20 % - Akzent6" xfId="14315" hidden="1" xr:uid="{00000000-0005-0000-0000-0000C2030000}"/>
    <cellStyle name="20 % - Akzent6" xfId="14709" hidden="1" xr:uid="{00000000-0005-0000-0000-0000C3030000}"/>
    <cellStyle name="20 % - Akzent6" xfId="976" hidden="1" xr:uid="{00000000-0005-0000-0000-00000E040000}"/>
    <cellStyle name="20 % - Akzent6" xfId="12704" hidden="1" xr:uid="{00000000-0005-0000-0000-0000FB030000}"/>
    <cellStyle name="20 % - Akzent6" xfId="19641" hidden="1" xr:uid="{00000000-0005-0000-0000-00007F030000}"/>
    <cellStyle name="20 % - Akzent6" xfId="14969" hidden="1" xr:uid="{00000000-0005-0000-0000-00008B030000}"/>
    <cellStyle name="20 % - Akzent6" xfId="18666" hidden="1" xr:uid="{00000000-0005-0000-0000-0000C5030000}"/>
    <cellStyle name="20 % - Akzent6" xfId="9238" hidden="1" xr:uid="{00000000-0005-0000-0000-0000DF030000}"/>
    <cellStyle name="20 % - Akzent6" xfId="8503" hidden="1" xr:uid="{00000000-0005-0000-0000-0000EF030000}"/>
    <cellStyle name="20 % - Akzent6" xfId="18913" hidden="1" xr:uid="{00000000-0005-0000-0000-00008C030000}"/>
    <cellStyle name="20 % - Akzent6" xfId="9059" hidden="1" xr:uid="{00000000-0005-0000-0000-0000E1030000}"/>
    <cellStyle name="20 % - Akzent6" xfId="19042" hidden="1" xr:uid="{00000000-0005-0000-0000-000077030000}"/>
    <cellStyle name="20 % - Akzent6" xfId="10254" hidden="1" xr:uid="{00000000-0005-0000-0000-0000EB030000}"/>
    <cellStyle name="20 % - Akzent6" xfId="18561" hidden="1" xr:uid="{00000000-0005-0000-0000-00007B030000}"/>
    <cellStyle name="20 % - Akzent6" xfId="9041" hidden="1" xr:uid="{00000000-0005-0000-0000-0000F8030000}"/>
    <cellStyle name="20 % - Akzent6" xfId="19597" hidden="1" xr:uid="{00000000-0005-0000-0000-000095030000}"/>
    <cellStyle name="20 % - Akzent6" xfId="13596" hidden="1" xr:uid="{00000000-0005-0000-0000-000006040000}"/>
    <cellStyle name="20 % - Akzent6" xfId="18045" hidden="1" xr:uid="{00000000-0005-0000-0000-0000BD030000}"/>
    <cellStyle name="20 % - Akzent6" xfId="19525" hidden="1" xr:uid="{00000000-0005-0000-0000-000081030000}"/>
    <cellStyle name="20 % - Akzent6" xfId="14162" hidden="1" xr:uid="{00000000-0005-0000-0000-00007A030000}"/>
    <cellStyle name="20 % - Akzent6" xfId="16306" hidden="1" xr:uid="{00000000-0005-0000-0000-0000F6030000}"/>
    <cellStyle name="20 % - Akzent6" xfId="16924" hidden="1" xr:uid="{00000000-0005-0000-0000-0000AB030000}"/>
    <cellStyle name="20 % - Akzent6" xfId="17411" hidden="1" xr:uid="{00000000-0005-0000-0000-0000B9030000}"/>
    <cellStyle name="20 % - Akzent6" xfId="18329" hidden="1" xr:uid="{00000000-0005-0000-0000-000083030000}"/>
    <cellStyle name="20 % - Akzent6" xfId="17410" hidden="1" xr:uid="{00000000-0005-0000-0000-0000B6030000}"/>
    <cellStyle name="20 % - Akzent6" xfId="19729" hidden="1" xr:uid="{00000000-0005-0000-0000-000087030000}"/>
    <cellStyle name="20 % - Akzent6" xfId="4000" hidden="1" xr:uid="{00000000-0005-0000-0000-000011040000}"/>
    <cellStyle name="20 % - Akzent6" xfId="16191" hidden="1" xr:uid="{00000000-0005-0000-0000-0000AD030000}"/>
    <cellStyle name="20 % - Akzent6" xfId="10829" hidden="1" xr:uid="{00000000-0005-0000-0000-0000DE030000}"/>
    <cellStyle name="20 % - Akzent6" xfId="13926" hidden="1" xr:uid="{00000000-0005-0000-0000-00008A030000}"/>
    <cellStyle name="20 % - Akzent6" xfId="19362" hidden="1" xr:uid="{00000000-0005-0000-0000-000082030000}"/>
    <cellStyle name="20 % - Akzent6" xfId="14481" hidden="1" xr:uid="{00000000-0005-0000-0000-0000F3030000}"/>
    <cellStyle name="20 % - Akzent6" xfId="14618" hidden="1" xr:uid="{00000000-0005-0000-0000-0000F4030000}"/>
    <cellStyle name="20 % - Akzent6" xfId="14432" hidden="1" xr:uid="{00000000-0005-0000-0000-0000F2030000}"/>
    <cellStyle name="20 % - Akzent6 2" xfId="391" xr:uid="{00000000-0005-0000-0000-000015040000}"/>
    <cellStyle name="20 % - Akzent6 3" xfId="260" xr:uid="{00000000-0005-0000-0000-000016040000}"/>
    <cellStyle name="20% - Accent1" xfId="12127" builtinId="30" customBuiltin="1"/>
    <cellStyle name="20% - Accent1 10" xfId="3610" xr:uid="{00000000-0005-0000-0000-000018040000}"/>
    <cellStyle name="20% - Accent1 10 2" xfId="3997" xr:uid="{00000000-0005-0000-0000-000019040000}"/>
    <cellStyle name="20% - Accent1 10 3" xfId="3706" xr:uid="{00000000-0005-0000-0000-00001A040000}"/>
    <cellStyle name="20% - Accent1 10 4" xfId="3616" xr:uid="{00000000-0005-0000-0000-00001B040000}"/>
    <cellStyle name="20% - Accent1 10 5" xfId="4511" xr:uid="{00000000-0005-0000-0000-00001C040000}"/>
    <cellStyle name="20% - Accent1 11" xfId="4316" xr:uid="{00000000-0005-0000-0000-00001D040000}"/>
    <cellStyle name="20% - Accent1 11 2" xfId="4638" xr:uid="{00000000-0005-0000-0000-00001E040000}"/>
    <cellStyle name="20% - Accent1 11 3" xfId="4441" xr:uid="{00000000-0005-0000-0000-00001F040000}"/>
    <cellStyle name="20% - Accent1 11 4" xfId="4611" xr:uid="{00000000-0005-0000-0000-000020040000}"/>
    <cellStyle name="20% - Accent1 11 5" xfId="4416" xr:uid="{00000000-0005-0000-0000-000021040000}"/>
    <cellStyle name="20% - Accent1 12" xfId="3605" xr:uid="{00000000-0005-0000-0000-000022040000}"/>
    <cellStyle name="20% - Accent1 12 2" xfId="3972" xr:uid="{00000000-0005-0000-0000-000023040000}"/>
    <cellStyle name="20% - Accent1 12 3" xfId="4508" xr:uid="{00000000-0005-0000-0000-000024040000}"/>
    <cellStyle name="20% - Accent1 12 4" xfId="4568" xr:uid="{00000000-0005-0000-0000-000025040000}"/>
    <cellStyle name="20% - Accent1 12 5" xfId="4372" xr:uid="{00000000-0005-0000-0000-000026040000}"/>
    <cellStyle name="20% - Accent1 13" xfId="3327" xr:uid="{00000000-0005-0000-0000-000027040000}"/>
    <cellStyle name="20% - Accent1 14" xfId="4558" xr:uid="{00000000-0005-0000-0000-000028040000}"/>
    <cellStyle name="20% - Accent1 14 2" xfId="7525" xr:uid="{00000000-0005-0000-0000-000029040000}"/>
    <cellStyle name="20% - Accent1 15" xfId="4362" xr:uid="{00000000-0005-0000-0000-00002A040000}"/>
    <cellStyle name="20% - Accent1 16" xfId="4639" xr:uid="{00000000-0005-0000-0000-00002B040000}"/>
    <cellStyle name="20% - Accent1 17" xfId="4442" xr:uid="{00000000-0005-0000-0000-00002C040000}"/>
    <cellStyle name="20% - Accent1 18" xfId="4612" xr:uid="{00000000-0005-0000-0000-00002D040000}"/>
    <cellStyle name="20% - Accent1 19" xfId="4417" xr:uid="{00000000-0005-0000-0000-00002E040000}"/>
    <cellStyle name="20% - Accent1 2" xfId="92" xr:uid="{00000000-0005-0000-0000-00002F040000}"/>
    <cellStyle name="20% - Accent1 2 10" xfId="4509" xr:uid="{00000000-0005-0000-0000-000030040000}"/>
    <cellStyle name="20% - Accent1 2 10 2" xfId="4519" xr:uid="{00000000-0005-0000-0000-000031040000}"/>
    <cellStyle name="20% - Accent1 2 10 2 2" xfId="7526" xr:uid="{00000000-0005-0000-0000-000032040000}"/>
    <cellStyle name="20% - Accent1 2 10 3" xfId="4325" xr:uid="{00000000-0005-0000-0000-000033040000}"/>
    <cellStyle name="20% - Accent1 2 10 3 2" xfId="7527" xr:uid="{00000000-0005-0000-0000-000034040000}"/>
    <cellStyle name="20% - Accent1 2 10 4" xfId="3787" xr:uid="{00000000-0005-0000-0000-000035040000}"/>
    <cellStyle name="20% - Accent1 2 10 4 2" xfId="7528" xr:uid="{00000000-0005-0000-0000-000036040000}"/>
    <cellStyle name="20% - Accent1 2 10 5" xfId="3510" xr:uid="{00000000-0005-0000-0000-000037040000}"/>
    <cellStyle name="20% - Accent1 2 10 5 2" xfId="7529" xr:uid="{00000000-0005-0000-0000-000038040000}"/>
    <cellStyle name="20% - Accent1 2 11" xfId="3681" xr:uid="{00000000-0005-0000-0000-000039040000}"/>
    <cellStyle name="20% - Accent1 2 11 2" xfId="7530" xr:uid="{00000000-0005-0000-0000-00003A040000}"/>
    <cellStyle name="20% - Accent1 2 12" xfId="4070" xr:uid="{00000000-0005-0000-0000-00003B040000}"/>
    <cellStyle name="20% - Accent1 2 13" xfId="4109" xr:uid="{00000000-0005-0000-0000-00003C040000}"/>
    <cellStyle name="20% - Accent1 2 14" xfId="3749" xr:uid="{00000000-0005-0000-0000-00003D040000}"/>
    <cellStyle name="20% - Accent1 2 15" xfId="3924" xr:uid="{00000000-0005-0000-0000-00003E040000}"/>
    <cellStyle name="20% - Accent1 2 15 2" xfId="7531" xr:uid="{00000000-0005-0000-0000-00003F040000}"/>
    <cellStyle name="20% - Accent1 2 16" xfId="4622" xr:uid="{00000000-0005-0000-0000-000040040000}"/>
    <cellStyle name="20% - Accent1 2 17" xfId="3977" xr:uid="{00000000-0005-0000-0000-000041040000}"/>
    <cellStyle name="20% - Accent1 2 2" xfId="1413" xr:uid="{00000000-0005-0000-0000-000042040000}"/>
    <cellStyle name="20% - Accent1 2 2 10" xfId="7532" xr:uid="{00000000-0005-0000-0000-000043040000}"/>
    <cellStyle name="20% - Accent1 2 2 11" xfId="4426" xr:uid="{00000000-0005-0000-0000-000044040000}"/>
    <cellStyle name="20% - Accent1 2 2 2" xfId="1414" xr:uid="{00000000-0005-0000-0000-000045040000}"/>
    <cellStyle name="20% - Accent1 2 2 2 2" xfId="7533" xr:uid="{00000000-0005-0000-0000-000046040000}"/>
    <cellStyle name="20% - Accent1 2 2 2 3" xfId="4516" xr:uid="{00000000-0005-0000-0000-000047040000}"/>
    <cellStyle name="20% - Accent1 2 2 3" xfId="1415" xr:uid="{00000000-0005-0000-0000-000048040000}"/>
    <cellStyle name="20% - Accent1 2 2 3 2" xfId="7534" xr:uid="{00000000-0005-0000-0000-000049040000}"/>
    <cellStyle name="20% - Accent1 2 2 3 3" xfId="4322" xr:uid="{00000000-0005-0000-0000-00004A040000}"/>
    <cellStyle name="20% - Accent1 2 2 4" xfId="1945" xr:uid="{00000000-0005-0000-0000-00004B040000}"/>
    <cellStyle name="20% - Accent1 2 2 4 2" xfId="7535" xr:uid="{00000000-0005-0000-0000-00004C040000}"/>
    <cellStyle name="20% - Accent1 2 2 4 3" xfId="4610" xr:uid="{00000000-0005-0000-0000-00004D040000}"/>
    <cellStyle name="20% - Accent1 2 2 5" xfId="4415" xr:uid="{00000000-0005-0000-0000-00004E040000}"/>
    <cellStyle name="20% - Accent1 2 2 5 2" xfId="7536" xr:uid="{00000000-0005-0000-0000-00004F040000}"/>
    <cellStyle name="20% - Accent1 2 2 6" xfId="3880" xr:uid="{00000000-0005-0000-0000-000050040000}"/>
    <cellStyle name="20% - Accent1 2 2 6 2" xfId="7537" xr:uid="{00000000-0005-0000-0000-000051040000}"/>
    <cellStyle name="20% - Accent1 2 2 7" xfId="4507" xr:uid="{00000000-0005-0000-0000-000052040000}"/>
    <cellStyle name="20% - Accent1 2 2 7 2" xfId="7538" xr:uid="{00000000-0005-0000-0000-000053040000}"/>
    <cellStyle name="20% - Accent1 2 2 8" xfId="4569" xr:uid="{00000000-0005-0000-0000-000054040000}"/>
    <cellStyle name="20% - Accent1 2 2 8 2" xfId="7539" xr:uid="{00000000-0005-0000-0000-000055040000}"/>
    <cellStyle name="20% - Accent1 2 2 9" xfId="4373" xr:uid="{00000000-0005-0000-0000-000056040000}"/>
    <cellStyle name="20% - Accent1 2 2 9 2" xfId="7540" xr:uid="{00000000-0005-0000-0000-000057040000}"/>
    <cellStyle name="20% - Accent1 2 3" xfId="1416" xr:uid="{00000000-0005-0000-0000-000058040000}"/>
    <cellStyle name="20% - Accent1 2 3 10" xfId="7541" xr:uid="{00000000-0005-0000-0000-000059040000}"/>
    <cellStyle name="20% - Accent1 2 3 2" xfId="1946" xr:uid="{00000000-0005-0000-0000-00005A040000}"/>
    <cellStyle name="20% - Accent1 2 3 2 2" xfId="7542" xr:uid="{00000000-0005-0000-0000-00005B040000}"/>
    <cellStyle name="20% - Accent1 2 3 3" xfId="1947" xr:uid="{00000000-0005-0000-0000-00005C040000}"/>
    <cellStyle name="20% - Accent1 2 3 3 2" xfId="7543" xr:uid="{00000000-0005-0000-0000-00005D040000}"/>
    <cellStyle name="20% - Accent1 2 3 4" xfId="1948" xr:uid="{00000000-0005-0000-0000-00005E040000}"/>
    <cellStyle name="20% - Accent1 2 3 4 2" xfId="7544" xr:uid="{00000000-0005-0000-0000-00005F040000}"/>
    <cellStyle name="20% - Accent1 2 3 4 3" xfId="4630" xr:uid="{00000000-0005-0000-0000-000060040000}"/>
    <cellStyle name="20% - Accent1 2 3 5" xfId="4433" xr:uid="{00000000-0005-0000-0000-000061040000}"/>
    <cellStyle name="20% - Accent1 2 3 5 2" xfId="7545" xr:uid="{00000000-0005-0000-0000-000062040000}"/>
    <cellStyle name="20% - Accent1 2 3 6" xfId="4581" xr:uid="{00000000-0005-0000-0000-000063040000}"/>
    <cellStyle name="20% - Accent1 2 3 6 2" xfId="7546" xr:uid="{00000000-0005-0000-0000-000064040000}"/>
    <cellStyle name="20% - Accent1 2 3 7" xfId="4386" xr:uid="{00000000-0005-0000-0000-000065040000}"/>
    <cellStyle name="20% - Accent1 2 3 7 2" xfId="7547" xr:uid="{00000000-0005-0000-0000-000066040000}"/>
    <cellStyle name="20% - Accent1 2 3 8" xfId="3711" xr:uid="{00000000-0005-0000-0000-000067040000}"/>
    <cellStyle name="20% - Accent1 2 3 8 2" xfId="7548" xr:uid="{00000000-0005-0000-0000-000068040000}"/>
    <cellStyle name="20% - Accent1 2 3 9" xfId="4476" xr:uid="{00000000-0005-0000-0000-000069040000}"/>
    <cellStyle name="20% - Accent1 2 3 9 2" xfId="7549" xr:uid="{00000000-0005-0000-0000-00006A040000}"/>
    <cellStyle name="20% - Accent1 2 4" xfId="1949" xr:uid="{00000000-0005-0000-0000-00006B040000}"/>
    <cellStyle name="20% - Accent1 2 4 10" xfId="7550" xr:uid="{00000000-0005-0000-0000-00006C040000}"/>
    <cellStyle name="20% - Accent1 2 4 2" xfId="1950" xr:uid="{00000000-0005-0000-0000-00006D040000}"/>
    <cellStyle name="20% - Accent1 2 4 2 2" xfId="7551" xr:uid="{00000000-0005-0000-0000-00006E040000}"/>
    <cellStyle name="20% - Accent1 2 4 3" xfId="4556" xr:uid="{00000000-0005-0000-0000-00006F040000}"/>
    <cellStyle name="20% - Accent1 2 4 3 2" xfId="7552" xr:uid="{00000000-0005-0000-0000-000070040000}"/>
    <cellStyle name="20% - Accent1 2 4 4" xfId="4360" xr:uid="{00000000-0005-0000-0000-000071040000}"/>
    <cellStyle name="20% - Accent1 2 4 4 2" xfId="7553" xr:uid="{00000000-0005-0000-0000-000072040000}"/>
    <cellStyle name="20% - Accent1 2 4 5" xfId="3705" xr:uid="{00000000-0005-0000-0000-000073040000}"/>
    <cellStyle name="20% - Accent1 2 4 5 2" xfId="7554" xr:uid="{00000000-0005-0000-0000-000074040000}"/>
    <cellStyle name="20% - Accent1 2 4 6" xfId="4475" xr:uid="{00000000-0005-0000-0000-000075040000}"/>
    <cellStyle name="20% - Accent1 2 4 6 2" xfId="7555" xr:uid="{00000000-0005-0000-0000-000076040000}"/>
    <cellStyle name="20% - Accent1 2 4 7" xfId="4584" xr:uid="{00000000-0005-0000-0000-000077040000}"/>
    <cellStyle name="20% - Accent1 2 4 7 2" xfId="7556" xr:uid="{00000000-0005-0000-0000-000078040000}"/>
    <cellStyle name="20% - Accent1 2 4 8" xfId="4389" xr:uid="{00000000-0005-0000-0000-000079040000}"/>
    <cellStyle name="20% - Accent1 2 4 8 2" xfId="7557" xr:uid="{00000000-0005-0000-0000-00007A040000}"/>
    <cellStyle name="20% - Accent1 2 4 9" xfId="4614" xr:uid="{00000000-0005-0000-0000-00007B040000}"/>
    <cellStyle name="20% - Accent1 2 4 9 2" xfId="7558" xr:uid="{00000000-0005-0000-0000-00007C040000}"/>
    <cellStyle name="20% - Accent1 2 5" xfId="1951" xr:uid="{00000000-0005-0000-0000-00007D040000}"/>
    <cellStyle name="20% - Accent1 2 5 10" xfId="7559" xr:uid="{00000000-0005-0000-0000-00007E040000}"/>
    <cellStyle name="20% - Accent1 2 5 2" xfId="4555" xr:uid="{00000000-0005-0000-0000-00007F040000}"/>
    <cellStyle name="20% - Accent1 2 5 2 2" xfId="7560" xr:uid="{00000000-0005-0000-0000-000080040000}"/>
    <cellStyle name="20% - Accent1 2 5 3" xfId="4359" xr:uid="{00000000-0005-0000-0000-000081040000}"/>
    <cellStyle name="20% - Accent1 2 5 3 2" xfId="7561" xr:uid="{00000000-0005-0000-0000-000082040000}"/>
    <cellStyle name="20% - Accent1 2 5 4" xfId="3524" xr:uid="{00000000-0005-0000-0000-000083040000}"/>
    <cellStyle name="20% - Accent1 2 5 4 2" xfId="7562" xr:uid="{00000000-0005-0000-0000-000084040000}"/>
    <cellStyle name="20% - Accent1 2 5 5" xfId="4479" xr:uid="{00000000-0005-0000-0000-000085040000}"/>
    <cellStyle name="20% - Accent1 2 5 5 2" xfId="7563" xr:uid="{00000000-0005-0000-0000-000086040000}"/>
    <cellStyle name="20% - Accent1 2 5 6" xfId="4565" xr:uid="{00000000-0005-0000-0000-000087040000}"/>
    <cellStyle name="20% - Accent1 2 5 6 2" xfId="7564" xr:uid="{00000000-0005-0000-0000-000088040000}"/>
    <cellStyle name="20% - Accent1 2 5 7" xfId="4369" xr:uid="{00000000-0005-0000-0000-000089040000}"/>
    <cellStyle name="20% - Accent1 2 5 7 2" xfId="7565" xr:uid="{00000000-0005-0000-0000-00008A040000}"/>
    <cellStyle name="20% - Accent1 2 5 8" xfId="4549" xr:uid="{00000000-0005-0000-0000-00008B040000}"/>
    <cellStyle name="20% - Accent1 2 5 8 2" xfId="7566" xr:uid="{00000000-0005-0000-0000-00008C040000}"/>
    <cellStyle name="20% - Accent1 2 5 9" xfId="4352" xr:uid="{00000000-0005-0000-0000-00008D040000}"/>
    <cellStyle name="20% - Accent1 2 5 9 2" xfId="7567" xr:uid="{00000000-0005-0000-0000-00008E040000}"/>
    <cellStyle name="20% - Accent1 2 6" xfId="1952" xr:uid="{00000000-0005-0000-0000-00008F040000}"/>
    <cellStyle name="20% - Accent1 2 6 2" xfId="7568" xr:uid="{00000000-0005-0000-0000-000090040000}"/>
    <cellStyle name="20% - Accent1 2 7" xfId="1953" xr:uid="{00000000-0005-0000-0000-000091040000}"/>
    <cellStyle name="20% - Accent1 2 7 2" xfId="7569" xr:uid="{00000000-0005-0000-0000-000092040000}"/>
    <cellStyle name="20% - Accent1 2 7 3" xfId="4385" xr:uid="{00000000-0005-0000-0000-000093040000}"/>
    <cellStyle name="20% - Accent1 2 8" xfId="1954" xr:uid="{00000000-0005-0000-0000-000094040000}"/>
    <cellStyle name="20% - Accent1 2 8 2" xfId="7570" xr:uid="{00000000-0005-0000-0000-000095040000}"/>
    <cellStyle name="20% - Accent1 2 8 3" xfId="4057" xr:uid="{00000000-0005-0000-0000-000096040000}"/>
    <cellStyle name="20% - Accent1 2 9" xfId="4474" xr:uid="{00000000-0005-0000-0000-000097040000}"/>
    <cellStyle name="20% - Accent1 2 9 2" xfId="7571" xr:uid="{00000000-0005-0000-0000-000098040000}"/>
    <cellStyle name="20% - Accent1 20" xfId="4517" xr:uid="{00000000-0005-0000-0000-000099040000}"/>
    <cellStyle name="20% - Accent1 21" xfId="4323" xr:uid="{00000000-0005-0000-0000-00009A040000}"/>
    <cellStyle name="20% - Accent1 22" xfId="4615" xr:uid="{00000000-0005-0000-0000-00009B040000}"/>
    <cellStyle name="20% - Accent1 23" xfId="4419" xr:uid="{00000000-0005-0000-0000-00009C040000}"/>
    <cellStyle name="20% - Accent1 24" xfId="4554" xr:uid="{00000000-0005-0000-0000-00009D040000}"/>
    <cellStyle name="20% - Accent1 25" xfId="4358" xr:uid="{00000000-0005-0000-0000-00009E040000}"/>
    <cellStyle name="20% - Accent1 26" xfId="3693" xr:uid="{00000000-0005-0000-0000-00009F040000}"/>
    <cellStyle name="20% - Accent1 27" xfId="3675" xr:uid="{00000000-0005-0000-0000-0000A0040000}"/>
    <cellStyle name="20% - Accent1 3" xfId="212" xr:uid="{00000000-0005-0000-0000-0000A1040000}"/>
    <cellStyle name="20% - Accent1 3 10" xfId="4072" xr:uid="{00000000-0005-0000-0000-0000A2040000}"/>
    <cellStyle name="20% - Accent1 3 11" xfId="4135" xr:uid="{00000000-0005-0000-0000-0000A3040000}"/>
    <cellStyle name="20% - Accent1 3 2" xfId="1955" xr:uid="{00000000-0005-0000-0000-0000A4040000}"/>
    <cellStyle name="20% - Accent1 3 2 2" xfId="7572" xr:uid="{00000000-0005-0000-0000-0000A5040000}"/>
    <cellStyle name="20% - Accent1 3 2 3" xfId="3441" xr:uid="{00000000-0005-0000-0000-0000A6040000}"/>
    <cellStyle name="20% - Accent1 3 3" xfId="1956" xr:uid="{00000000-0005-0000-0000-0000A7040000}"/>
    <cellStyle name="20% - Accent1 3 3 2" xfId="7573" xr:uid="{00000000-0005-0000-0000-0000A8040000}"/>
    <cellStyle name="20% - Accent1 3 4" xfId="3348" xr:uid="{00000000-0005-0000-0000-0000A9040000}"/>
    <cellStyle name="20% - Accent1 3 4 2" xfId="7574" xr:uid="{00000000-0005-0000-0000-0000AA040000}"/>
    <cellStyle name="20% - Accent1 3 5" xfId="3354" xr:uid="{00000000-0005-0000-0000-0000AB040000}"/>
    <cellStyle name="20% - Accent1 3 5 2" xfId="7575" xr:uid="{00000000-0005-0000-0000-0000AC040000}"/>
    <cellStyle name="20% - Accent1 3 6" xfId="4016" xr:uid="{00000000-0005-0000-0000-0000AD040000}"/>
    <cellStyle name="20% - Accent1 3 7" xfId="3759" xr:uid="{00000000-0005-0000-0000-0000AE040000}"/>
    <cellStyle name="20% - Accent1 3 8" xfId="4214" xr:uid="{00000000-0005-0000-0000-0000AF040000}"/>
    <cellStyle name="20% - Accent1 3 9" xfId="3643" xr:uid="{00000000-0005-0000-0000-0000B0040000}"/>
    <cellStyle name="20% - Accent1 4" xfId="1957" xr:uid="{00000000-0005-0000-0000-0000B1040000}"/>
    <cellStyle name="20% - Accent1 4 2" xfId="1958" xr:uid="{00000000-0005-0000-0000-0000B2040000}"/>
    <cellStyle name="20% - Accent1 4 2 2" xfId="3863" xr:uid="{00000000-0005-0000-0000-0000B3040000}"/>
    <cellStyle name="20% - Accent1 4 3" xfId="1959" xr:uid="{00000000-0005-0000-0000-0000B4040000}"/>
    <cellStyle name="20% - Accent1 4 3 2" xfId="4126" xr:uid="{00000000-0005-0000-0000-0000B5040000}"/>
    <cellStyle name="20% - Accent1 4 4" xfId="3967" xr:uid="{00000000-0005-0000-0000-0000B6040000}"/>
    <cellStyle name="20% - Accent1 4 5" xfId="4065" xr:uid="{00000000-0005-0000-0000-0000B7040000}"/>
    <cellStyle name="20% - Accent1 4 6" xfId="3936" xr:uid="{00000000-0005-0000-0000-0000B8040000}"/>
    <cellStyle name="20% - Accent1 4 7" xfId="3583" xr:uid="{00000000-0005-0000-0000-0000B9040000}"/>
    <cellStyle name="20% - Accent1 5" xfId="1960" xr:uid="{00000000-0005-0000-0000-0000BA040000}"/>
    <cellStyle name="20% - Accent1 5 2" xfId="4133" xr:uid="{00000000-0005-0000-0000-0000BB040000}"/>
    <cellStyle name="20% - Accent1 5 3" xfId="3748" xr:uid="{00000000-0005-0000-0000-0000BC040000}"/>
    <cellStyle name="20% - Accent1 5 4" xfId="3991" xr:uid="{00000000-0005-0000-0000-0000BD040000}"/>
    <cellStyle name="20% - Accent1 5 5" xfId="3767" xr:uid="{00000000-0005-0000-0000-0000BE040000}"/>
    <cellStyle name="20% - Accent1 5 6" xfId="3360" xr:uid="{00000000-0005-0000-0000-0000BF040000}"/>
    <cellStyle name="20% - Accent1 5 7" xfId="3799" xr:uid="{00000000-0005-0000-0000-0000C0040000}"/>
    <cellStyle name="20% - Accent1 6" xfId="4019" xr:uid="{00000000-0005-0000-0000-0000C1040000}"/>
    <cellStyle name="20% - Accent1 6 2" xfId="4616" xr:uid="{00000000-0005-0000-0000-0000C2040000}"/>
    <cellStyle name="20% - Accent1 6 3" xfId="4420" xr:uid="{00000000-0005-0000-0000-0000C3040000}"/>
    <cellStyle name="20% - Accent1 6 4" xfId="4534" xr:uid="{00000000-0005-0000-0000-0000C4040000}"/>
    <cellStyle name="20% - Accent1 6 5" xfId="4340" xr:uid="{00000000-0005-0000-0000-0000C5040000}"/>
    <cellStyle name="20% - Accent1 6 6" xfId="4608" xr:uid="{00000000-0005-0000-0000-0000C6040000}"/>
    <cellStyle name="20% - Accent1 7" xfId="4413" xr:uid="{00000000-0005-0000-0000-0000C7040000}"/>
    <cellStyle name="20% - Accent1 7 2" xfId="3322" xr:uid="{00000000-0005-0000-0000-0000C8040000}"/>
    <cellStyle name="20% - Accent1 7 3" xfId="4506" xr:uid="{00000000-0005-0000-0000-0000C9040000}"/>
    <cellStyle name="20% - Accent1 7 4" xfId="4570" xr:uid="{00000000-0005-0000-0000-0000CA040000}"/>
    <cellStyle name="20% - Accent1 7 5" xfId="4374" xr:uid="{00000000-0005-0000-0000-0000CB040000}"/>
    <cellStyle name="20% - Accent1 7 6" xfId="3582" xr:uid="{00000000-0005-0000-0000-0000CC040000}"/>
    <cellStyle name="20% - Accent1 7 7" xfId="7576" xr:uid="{00000000-0005-0000-0000-0000CD040000}"/>
    <cellStyle name="20% - Accent1 8" xfId="3663" xr:uid="{00000000-0005-0000-0000-0000CE040000}"/>
    <cellStyle name="20% - Accent1 8 2" xfId="4551" xr:uid="{00000000-0005-0000-0000-0000CF040000}"/>
    <cellStyle name="20% - Accent1 8 3" xfId="4354" xr:uid="{00000000-0005-0000-0000-0000D0040000}"/>
    <cellStyle name="20% - Accent1 8 4" xfId="4574" xr:uid="{00000000-0005-0000-0000-0000D1040000}"/>
    <cellStyle name="20% - Accent1 8 5" xfId="4378" xr:uid="{00000000-0005-0000-0000-0000D2040000}"/>
    <cellStyle name="20% - Accent1 8 6" xfId="4628" xr:uid="{00000000-0005-0000-0000-0000D3040000}"/>
    <cellStyle name="20% - Accent1 9" xfId="4431" xr:uid="{00000000-0005-0000-0000-0000D4040000}"/>
    <cellStyle name="20% - Accent1 9 2" xfId="3823" xr:uid="{00000000-0005-0000-0000-0000D5040000}"/>
    <cellStyle name="20% - Accent1 9 3" xfId="4505" xr:uid="{00000000-0005-0000-0000-0000D6040000}"/>
    <cellStyle name="20% - Accent1 9 4" xfId="4520" xr:uid="{00000000-0005-0000-0000-0000D7040000}"/>
    <cellStyle name="20% - Accent1 9 5" xfId="4326" xr:uid="{00000000-0005-0000-0000-0000D8040000}"/>
    <cellStyle name="20% - Accent2" xfId="12131" builtinId="34" customBuiltin="1"/>
    <cellStyle name="20% - Accent2 10" xfId="3425" xr:uid="{00000000-0005-0000-0000-0000DA040000}"/>
    <cellStyle name="20% - Accent2 10 2" xfId="3852" xr:uid="{00000000-0005-0000-0000-0000DB040000}"/>
    <cellStyle name="20% - Accent2 10 3" xfId="3958" xr:uid="{00000000-0005-0000-0000-0000DC040000}"/>
    <cellStyle name="20% - Accent2 10 4" xfId="3655" xr:uid="{00000000-0005-0000-0000-0000DD040000}"/>
    <cellStyle name="20% - Accent2 10 5" xfId="3903" xr:uid="{00000000-0005-0000-0000-0000DE040000}"/>
    <cellStyle name="20% - Accent2 11" xfId="4653" xr:uid="{00000000-0005-0000-0000-0000DF040000}"/>
    <cellStyle name="20% - Accent2 11 2" xfId="4458" xr:uid="{00000000-0005-0000-0000-0000E0040000}"/>
    <cellStyle name="20% - Accent2 11 3" xfId="4530" xr:uid="{00000000-0005-0000-0000-0000E1040000}"/>
    <cellStyle name="20% - Accent2 11 4" xfId="4336" xr:uid="{00000000-0005-0000-0000-0000E2040000}"/>
    <cellStyle name="20% - Accent2 11 5" xfId="4627" xr:uid="{00000000-0005-0000-0000-0000E3040000}"/>
    <cellStyle name="20% - Accent2 12" xfId="4430" xr:uid="{00000000-0005-0000-0000-0000E4040000}"/>
    <cellStyle name="20% - Accent2 12 2" xfId="3374" xr:uid="{00000000-0005-0000-0000-0000E5040000}"/>
    <cellStyle name="20% - Accent2 12 3" xfId="4504" xr:uid="{00000000-0005-0000-0000-0000E6040000}"/>
    <cellStyle name="20% - Accent2 12 4" xfId="4571" xr:uid="{00000000-0005-0000-0000-0000E7040000}"/>
    <cellStyle name="20% - Accent2 12 5" xfId="4375" xr:uid="{00000000-0005-0000-0000-0000E8040000}"/>
    <cellStyle name="20% - Accent2 13" xfId="3829" xr:uid="{00000000-0005-0000-0000-0000E9040000}"/>
    <cellStyle name="20% - Accent2 14" xfId="3626" xr:uid="{00000000-0005-0000-0000-0000EA040000}"/>
    <cellStyle name="20% - Accent2 15" xfId="3555" xr:uid="{00000000-0005-0000-0000-0000EB040000}"/>
    <cellStyle name="20% - Accent2 16" xfId="3828" xr:uid="{00000000-0005-0000-0000-0000EC040000}"/>
    <cellStyle name="20% - Accent2 17" xfId="4310" xr:uid="{00000000-0005-0000-0000-0000ED040000}"/>
    <cellStyle name="20% - Accent2 18" xfId="3466" xr:uid="{00000000-0005-0000-0000-0000EE040000}"/>
    <cellStyle name="20% - Accent2 19" xfId="3452" xr:uid="{00000000-0005-0000-0000-0000EF040000}"/>
    <cellStyle name="20% - Accent2 2" xfId="93" xr:uid="{00000000-0005-0000-0000-0000F0040000}"/>
    <cellStyle name="20% - Accent2 2 10" xfId="3395" xr:uid="{00000000-0005-0000-0000-0000F1040000}"/>
    <cellStyle name="20% - Accent2 2 10 2" xfId="7577" xr:uid="{00000000-0005-0000-0000-0000F2040000}"/>
    <cellStyle name="20% - Accent2 2 11" xfId="3742" xr:uid="{00000000-0005-0000-0000-0000F3040000}"/>
    <cellStyle name="20% - Accent2 2 11 2" xfId="4295" xr:uid="{00000000-0005-0000-0000-0000F4040000}"/>
    <cellStyle name="20% - Accent2 2 11 2 2" xfId="7578" xr:uid="{00000000-0005-0000-0000-0000F5040000}"/>
    <cellStyle name="20% - Accent2 2 11 3" xfId="4183" xr:uid="{00000000-0005-0000-0000-0000F6040000}"/>
    <cellStyle name="20% - Accent2 2 11 3 2" xfId="7579" xr:uid="{00000000-0005-0000-0000-0000F7040000}"/>
    <cellStyle name="20% - Accent2 2 11 4" xfId="4309" xr:uid="{00000000-0005-0000-0000-0000F8040000}"/>
    <cellStyle name="20% - Accent2 2 11 4 2" xfId="7580" xr:uid="{00000000-0005-0000-0000-0000F9040000}"/>
    <cellStyle name="20% - Accent2 2 11 5" xfId="3800" xr:uid="{00000000-0005-0000-0000-0000FA040000}"/>
    <cellStyle name="20% - Accent2 2 11 5 2" xfId="7581" xr:uid="{00000000-0005-0000-0000-0000FB040000}"/>
    <cellStyle name="20% - Accent2 2 12" xfId="4307" xr:uid="{00000000-0005-0000-0000-0000FC040000}"/>
    <cellStyle name="20% - Accent2 2 13" xfId="4308" xr:uid="{00000000-0005-0000-0000-0000FD040000}"/>
    <cellStyle name="20% - Accent2 2 14" xfId="3685" xr:uid="{00000000-0005-0000-0000-0000FE040000}"/>
    <cellStyle name="20% - Accent2 2 15" xfId="3448" xr:uid="{00000000-0005-0000-0000-0000FF040000}"/>
    <cellStyle name="20% - Accent2 2 15 2" xfId="7582" xr:uid="{00000000-0005-0000-0000-000000050000}"/>
    <cellStyle name="20% - Accent2 2 16" xfId="4303" xr:uid="{00000000-0005-0000-0000-000001050000}"/>
    <cellStyle name="20% - Accent2 2 17" xfId="3604" xr:uid="{00000000-0005-0000-0000-000002050000}"/>
    <cellStyle name="20% - Accent2 2 2" xfId="1417" xr:uid="{00000000-0005-0000-0000-000003050000}"/>
    <cellStyle name="20% - Accent2 2 2 10" xfId="7583" xr:uid="{00000000-0005-0000-0000-000004050000}"/>
    <cellStyle name="20% - Accent2 2 2 11" xfId="4306" xr:uid="{00000000-0005-0000-0000-000005050000}"/>
    <cellStyle name="20% - Accent2 2 2 2" xfId="1418" xr:uid="{00000000-0005-0000-0000-000006050000}"/>
    <cellStyle name="20% - Accent2 2 2 2 2" xfId="7584" xr:uid="{00000000-0005-0000-0000-000007050000}"/>
    <cellStyle name="20% - Accent2 2 2 2 3" xfId="3855" xr:uid="{00000000-0005-0000-0000-000008050000}"/>
    <cellStyle name="20% - Accent2 2 2 3" xfId="1419" xr:uid="{00000000-0005-0000-0000-000009050000}"/>
    <cellStyle name="20% - Accent2 2 2 3 2" xfId="7585" xr:uid="{00000000-0005-0000-0000-00000A050000}"/>
    <cellStyle name="20% - Accent2 2 2 3 3" xfId="4304" xr:uid="{00000000-0005-0000-0000-00000B050000}"/>
    <cellStyle name="20% - Accent2 2 2 4" xfId="1961" xr:uid="{00000000-0005-0000-0000-00000C050000}"/>
    <cellStyle name="20% - Accent2 2 2 4 2" xfId="7586" xr:uid="{00000000-0005-0000-0000-00000D050000}"/>
    <cellStyle name="20% - Accent2 2 2 4 3" xfId="4305" xr:uid="{00000000-0005-0000-0000-00000E050000}"/>
    <cellStyle name="20% - Accent2 2 2 5" xfId="3498" xr:uid="{00000000-0005-0000-0000-00000F050000}"/>
    <cellStyle name="20% - Accent2 2 2 5 2" xfId="7587" xr:uid="{00000000-0005-0000-0000-000010050000}"/>
    <cellStyle name="20% - Accent2 2 2 6" xfId="4152" xr:uid="{00000000-0005-0000-0000-000011050000}"/>
    <cellStyle name="20% - Accent2 2 2 6 2" xfId="7588" xr:uid="{00000000-0005-0000-0000-000012050000}"/>
    <cellStyle name="20% - Accent2 2 2 7" xfId="4047" xr:uid="{00000000-0005-0000-0000-000013050000}"/>
    <cellStyle name="20% - Accent2 2 2 7 2" xfId="7589" xr:uid="{00000000-0005-0000-0000-000014050000}"/>
    <cellStyle name="20% - Accent2 2 2 8" xfId="4296" xr:uid="{00000000-0005-0000-0000-000015050000}"/>
    <cellStyle name="20% - Accent2 2 2 8 2" xfId="7590" xr:uid="{00000000-0005-0000-0000-000016050000}"/>
    <cellStyle name="20% - Accent2 2 2 9" xfId="4302" xr:uid="{00000000-0005-0000-0000-000017050000}"/>
    <cellStyle name="20% - Accent2 2 2 9 2" xfId="7591" xr:uid="{00000000-0005-0000-0000-000018050000}"/>
    <cellStyle name="20% - Accent2 2 3" xfId="1420" xr:uid="{00000000-0005-0000-0000-000019050000}"/>
    <cellStyle name="20% - Accent2 2 3 10" xfId="7592" xr:uid="{00000000-0005-0000-0000-00001A050000}"/>
    <cellStyle name="20% - Accent2 2 3 2" xfId="1962" xr:uid="{00000000-0005-0000-0000-00001B050000}"/>
    <cellStyle name="20% - Accent2 2 3 2 2" xfId="7593" xr:uid="{00000000-0005-0000-0000-00001C050000}"/>
    <cellStyle name="20% - Accent2 2 3 3" xfId="1963" xr:uid="{00000000-0005-0000-0000-00001D050000}"/>
    <cellStyle name="20% - Accent2 2 3 3 2" xfId="7594" xr:uid="{00000000-0005-0000-0000-00001E050000}"/>
    <cellStyle name="20% - Accent2 2 3 4" xfId="1964" xr:uid="{00000000-0005-0000-0000-00001F050000}"/>
    <cellStyle name="20% - Accent2 2 3 4 2" xfId="7595" xr:uid="{00000000-0005-0000-0000-000020050000}"/>
    <cellStyle name="20% - Accent2 2 3 4 3" xfId="4300" xr:uid="{00000000-0005-0000-0000-000021050000}"/>
    <cellStyle name="20% - Accent2 2 3 5" xfId="4301" xr:uid="{00000000-0005-0000-0000-000022050000}"/>
    <cellStyle name="20% - Accent2 2 3 5 2" xfId="7596" xr:uid="{00000000-0005-0000-0000-000023050000}"/>
    <cellStyle name="20% - Accent2 2 3 6" xfId="3744" xr:uid="{00000000-0005-0000-0000-000024050000}"/>
    <cellStyle name="20% - Accent2 2 3 6 2" xfId="7597" xr:uid="{00000000-0005-0000-0000-000025050000}"/>
    <cellStyle name="20% - Accent2 2 3 7" xfId="4089" xr:uid="{00000000-0005-0000-0000-000026050000}"/>
    <cellStyle name="20% - Accent2 2 3 7 2" xfId="7598" xr:uid="{00000000-0005-0000-0000-000027050000}"/>
    <cellStyle name="20% - Accent2 2 3 8" xfId="4297" xr:uid="{00000000-0005-0000-0000-000028050000}"/>
    <cellStyle name="20% - Accent2 2 3 8 2" xfId="7599" xr:uid="{00000000-0005-0000-0000-000029050000}"/>
    <cellStyle name="20% - Accent2 2 3 9" xfId="4299" xr:uid="{00000000-0005-0000-0000-00002A050000}"/>
    <cellStyle name="20% - Accent2 2 3 9 2" xfId="7600" xr:uid="{00000000-0005-0000-0000-00002B050000}"/>
    <cellStyle name="20% - Accent2 2 4" xfId="1965" xr:uid="{00000000-0005-0000-0000-00002C050000}"/>
    <cellStyle name="20% - Accent2 2 4 10" xfId="7601" xr:uid="{00000000-0005-0000-0000-00002D050000}"/>
    <cellStyle name="20% - Accent2 2 4 2" xfId="1966" xr:uid="{00000000-0005-0000-0000-00002E050000}"/>
    <cellStyle name="20% - Accent2 2 4 2 2" xfId="7602" xr:uid="{00000000-0005-0000-0000-00002F050000}"/>
    <cellStyle name="20% - Accent2 2 4 3" xfId="4298" xr:uid="{00000000-0005-0000-0000-000030050000}"/>
    <cellStyle name="20% - Accent2 2 4 3 2" xfId="7603" xr:uid="{00000000-0005-0000-0000-000031050000}"/>
    <cellStyle name="20% - Accent2 2 4 4" xfId="3631" xr:uid="{00000000-0005-0000-0000-000032050000}"/>
    <cellStyle name="20% - Accent2 2 4 4 2" xfId="7604" xr:uid="{00000000-0005-0000-0000-000033050000}"/>
    <cellStyle name="20% - Accent2 2 4 5" xfId="3998" xr:uid="{00000000-0005-0000-0000-000034050000}"/>
    <cellStyle name="20% - Accent2 2 4 5 2" xfId="7605" xr:uid="{00000000-0005-0000-0000-000035050000}"/>
    <cellStyle name="20% - Accent2 2 4 6" xfId="3521" xr:uid="{00000000-0005-0000-0000-000036050000}"/>
    <cellStyle name="20% - Accent2 2 4 6 2" xfId="7606" xr:uid="{00000000-0005-0000-0000-000037050000}"/>
    <cellStyle name="20% - Accent2 2 4 7" xfId="3644" xr:uid="{00000000-0005-0000-0000-000038050000}"/>
    <cellStyle name="20% - Accent2 2 4 7 2" xfId="7607" xr:uid="{00000000-0005-0000-0000-000039050000}"/>
    <cellStyle name="20% - Accent2 2 4 8" xfId="3678" xr:uid="{00000000-0005-0000-0000-00003A050000}"/>
    <cellStyle name="20% - Accent2 2 4 8 2" xfId="7608" xr:uid="{00000000-0005-0000-0000-00003B050000}"/>
    <cellStyle name="20% - Accent2 2 4 9" xfId="4294" xr:uid="{00000000-0005-0000-0000-00003C050000}"/>
    <cellStyle name="20% - Accent2 2 4 9 2" xfId="7609" xr:uid="{00000000-0005-0000-0000-00003D050000}"/>
    <cellStyle name="20% - Accent2 2 5" xfId="1967" xr:uid="{00000000-0005-0000-0000-00003E050000}"/>
    <cellStyle name="20% - Accent2 2 5 10" xfId="7610" xr:uid="{00000000-0005-0000-0000-00003F050000}"/>
    <cellStyle name="20% - Accent2 2 5 2" xfId="4293" xr:uid="{00000000-0005-0000-0000-000040050000}"/>
    <cellStyle name="20% - Accent2 2 5 2 2" xfId="7611" xr:uid="{00000000-0005-0000-0000-000041050000}"/>
    <cellStyle name="20% - Accent2 2 5 3" xfId="4139" xr:uid="{00000000-0005-0000-0000-000042050000}"/>
    <cellStyle name="20% - Accent2 2 5 3 2" xfId="7612" xr:uid="{00000000-0005-0000-0000-000043050000}"/>
    <cellStyle name="20% - Accent2 2 5 4" xfId="4292" xr:uid="{00000000-0005-0000-0000-000044050000}"/>
    <cellStyle name="20% - Accent2 2 5 4 2" xfId="7613" xr:uid="{00000000-0005-0000-0000-000045050000}"/>
    <cellStyle name="20% - Accent2 2 5 5" xfId="3811" xr:uid="{00000000-0005-0000-0000-000046050000}"/>
    <cellStyle name="20% - Accent2 2 5 5 2" xfId="7614" xr:uid="{00000000-0005-0000-0000-000047050000}"/>
    <cellStyle name="20% - Accent2 2 5 6" xfId="4291" xr:uid="{00000000-0005-0000-0000-000048050000}"/>
    <cellStyle name="20% - Accent2 2 5 6 2" xfId="7615" xr:uid="{00000000-0005-0000-0000-000049050000}"/>
    <cellStyle name="20% - Accent2 2 5 7" xfId="3683" xr:uid="{00000000-0005-0000-0000-00004A050000}"/>
    <cellStyle name="20% - Accent2 2 5 7 2" xfId="7616" xr:uid="{00000000-0005-0000-0000-00004B050000}"/>
    <cellStyle name="20% - Accent2 2 5 8" xfId="4289" xr:uid="{00000000-0005-0000-0000-00004C050000}"/>
    <cellStyle name="20% - Accent2 2 5 8 2" xfId="7617" xr:uid="{00000000-0005-0000-0000-00004D050000}"/>
    <cellStyle name="20% - Accent2 2 5 9" xfId="4290" xr:uid="{00000000-0005-0000-0000-00004E050000}"/>
    <cellStyle name="20% - Accent2 2 5 9 2" xfId="7618" xr:uid="{00000000-0005-0000-0000-00004F050000}"/>
    <cellStyle name="20% - Accent2 2 6" xfId="1968" xr:uid="{00000000-0005-0000-0000-000050050000}"/>
    <cellStyle name="20% - Accent2 2 6 2" xfId="3495" xr:uid="{00000000-0005-0000-0000-000051050000}"/>
    <cellStyle name="20% - Accent2 2 6 2 2" xfId="7620" xr:uid="{00000000-0005-0000-0000-000052050000}"/>
    <cellStyle name="20% - Accent2 2 6 3" xfId="4285" xr:uid="{00000000-0005-0000-0000-000053050000}"/>
    <cellStyle name="20% - Accent2 2 6 3 2" xfId="7621" xr:uid="{00000000-0005-0000-0000-000054050000}"/>
    <cellStyle name="20% - Accent2 2 6 4" xfId="4288" xr:uid="{00000000-0005-0000-0000-000055050000}"/>
    <cellStyle name="20% - Accent2 2 6 4 2" xfId="7622" xr:uid="{00000000-0005-0000-0000-000056050000}"/>
    <cellStyle name="20% - Accent2 2 6 5" xfId="3808" xr:uid="{00000000-0005-0000-0000-000057050000}"/>
    <cellStyle name="20% - Accent2 2 6 5 2" xfId="7623" xr:uid="{00000000-0005-0000-0000-000058050000}"/>
    <cellStyle name="20% - Accent2 2 6 6" xfId="7619" xr:uid="{00000000-0005-0000-0000-000059050000}"/>
    <cellStyle name="20% - Accent2 2 7" xfId="1969" xr:uid="{00000000-0005-0000-0000-00005A050000}"/>
    <cellStyle name="20% - Accent2 2 7 2" xfId="7624" xr:uid="{00000000-0005-0000-0000-00005B050000}"/>
    <cellStyle name="20% - Accent2 2 7 3" xfId="4286" xr:uid="{00000000-0005-0000-0000-00005C050000}"/>
    <cellStyle name="20% - Accent2 2 8" xfId="1970" xr:uid="{00000000-0005-0000-0000-00005D050000}"/>
    <cellStyle name="20% - Accent2 2 8 2" xfId="7625" xr:uid="{00000000-0005-0000-0000-00005E050000}"/>
    <cellStyle name="20% - Accent2 2 8 3" xfId="4287" xr:uid="{00000000-0005-0000-0000-00005F050000}"/>
    <cellStyle name="20% - Accent2 2 9" xfId="3920" xr:uid="{00000000-0005-0000-0000-000060050000}"/>
    <cellStyle name="20% - Accent2 2 9 2" xfId="7626" xr:uid="{00000000-0005-0000-0000-000061050000}"/>
    <cellStyle name="20% - Accent2 20" xfId="3753" xr:uid="{00000000-0005-0000-0000-000062050000}"/>
    <cellStyle name="20% - Accent2 21" xfId="3560" xr:uid="{00000000-0005-0000-0000-000063050000}"/>
    <cellStyle name="20% - Accent2 22" xfId="4278" xr:uid="{00000000-0005-0000-0000-000064050000}"/>
    <cellStyle name="20% - Accent2 23" xfId="4284" xr:uid="{00000000-0005-0000-0000-000065050000}"/>
    <cellStyle name="20% - Accent2 24" xfId="3352" xr:uid="{00000000-0005-0000-0000-000066050000}"/>
    <cellStyle name="20% - Accent2 25" xfId="4282" xr:uid="{00000000-0005-0000-0000-000067050000}"/>
    <cellStyle name="20% - Accent2 26" xfId="4283" xr:uid="{00000000-0005-0000-0000-000068050000}"/>
    <cellStyle name="20% - Accent2 3" xfId="213" xr:uid="{00000000-0005-0000-0000-000069050000}"/>
    <cellStyle name="20% - Accent2 3 10" xfId="3904" xr:uid="{00000000-0005-0000-0000-00006A050000}"/>
    <cellStyle name="20% - Accent2 3 11" xfId="3538" xr:uid="{00000000-0005-0000-0000-00006B050000}"/>
    <cellStyle name="20% - Accent2 3 2" xfId="1971" xr:uid="{00000000-0005-0000-0000-00006C050000}"/>
    <cellStyle name="20% - Accent2 3 2 2" xfId="7627" xr:uid="{00000000-0005-0000-0000-00006D050000}"/>
    <cellStyle name="20% - Accent2 3 2 3" xfId="4279" xr:uid="{00000000-0005-0000-0000-00006E050000}"/>
    <cellStyle name="20% - Accent2 3 3" xfId="1972" xr:uid="{00000000-0005-0000-0000-00006F050000}"/>
    <cellStyle name="20% - Accent2 3 3 2" xfId="7628" xr:uid="{00000000-0005-0000-0000-000070050000}"/>
    <cellStyle name="20% - Accent2 3 4" xfId="4053" xr:uid="{00000000-0005-0000-0000-000071050000}"/>
    <cellStyle name="20% - Accent2 3 4 2" xfId="7629" xr:uid="{00000000-0005-0000-0000-000072050000}"/>
    <cellStyle name="20% - Accent2 3 5" xfId="4280" xr:uid="{00000000-0005-0000-0000-000073050000}"/>
    <cellStyle name="20% - Accent2 3 5 2" xfId="7630" xr:uid="{00000000-0005-0000-0000-000074050000}"/>
    <cellStyle name="20% - Accent2 3 6" xfId="4281" xr:uid="{00000000-0005-0000-0000-000075050000}"/>
    <cellStyle name="20% - Accent2 3 7" xfId="3737" xr:uid="{00000000-0005-0000-0000-000076050000}"/>
    <cellStyle name="20% - Accent2 3 8" xfId="4079" xr:uid="{00000000-0005-0000-0000-000077050000}"/>
    <cellStyle name="20% - Accent2 3 9" xfId="3788" xr:uid="{00000000-0005-0000-0000-000078050000}"/>
    <cellStyle name="20% - Accent2 4" xfId="1973" xr:uid="{00000000-0005-0000-0000-000079050000}"/>
    <cellStyle name="20% - Accent2 4 2" xfId="1974" xr:uid="{00000000-0005-0000-0000-00007A050000}"/>
    <cellStyle name="20% - Accent2 4 2 2" xfId="4269" xr:uid="{00000000-0005-0000-0000-00007B050000}"/>
    <cellStyle name="20% - Accent2 4 3" xfId="1975" xr:uid="{00000000-0005-0000-0000-00007C050000}"/>
    <cellStyle name="20% - Accent2 4 3 2" xfId="4277" xr:uid="{00000000-0005-0000-0000-00007D050000}"/>
    <cellStyle name="20% - Accent2 4 4" xfId="3999" xr:uid="{00000000-0005-0000-0000-00007E050000}"/>
    <cellStyle name="20% - Accent2 4 5" xfId="4276" xr:uid="{00000000-0005-0000-0000-00007F050000}"/>
    <cellStyle name="20% - Accent2 4 6" xfId="3312" xr:uid="{00000000-0005-0000-0000-000080050000}"/>
    <cellStyle name="20% - Accent2 4 7" xfId="3323" xr:uid="{00000000-0005-0000-0000-000081050000}"/>
    <cellStyle name="20% - Accent2 5" xfId="1976" xr:uid="{00000000-0005-0000-0000-000082050000}"/>
    <cellStyle name="20% - Accent2 5 2" xfId="4275" xr:uid="{00000000-0005-0000-0000-000083050000}"/>
    <cellStyle name="20% - Accent2 5 3" xfId="4156" xr:uid="{00000000-0005-0000-0000-000084050000}"/>
    <cellStyle name="20% - Accent2 5 4" xfId="3426" xr:uid="{00000000-0005-0000-0000-000085050000}"/>
    <cellStyle name="20% - Accent2 5 5" xfId="4270" xr:uid="{00000000-0005-0000-0000-000086050000}"/>
    <cellStyle name="20% - Accent2 5 6" xfId="4273" xr:uid="{00000000-0005-0000-0000-000087050000}"/>
    <cellStyle name="20% - Accent2 5 7" xfId="4274" xr:uid="{00000000-0005-0000-0000-000088050000}"/>
    <cellStyle name="20% - Accent2 6" xfId="3544" xr:uid="{00000000-0005-0000-0000-000089050000}"/>
    <cellStyle name="20% - Accent2 6 2" xfId="4271" xr:uid="{00000000-0005-0000-0000-00008A050000}"/>
    <cellStyle name="20% - Accent2 6 3" xfId="4272" xr:uid="{00000000-0005-0000-0000-00008B050000}"/>
    <cellStyle name="20% - Accent2 6 4" xfId="3461" xr:uid="{00000000-0005-0000-0000-00008C050000}"/>
    <cellStyle name="20% - Accent2 6 5" xfId="3772" xr:uid="{00000000-0005-0000-0000-00008D050000}"/>
    <cellStyle name="20% - Accent2 6 6" xfId="3842" xr:uid="{00000000-0005-0000-0000-00008E050000}"/>
    <cellStyle name="20% - Accent2 7" xfId="3728" xr:uid="{00000000-0005-0000-0000-00008F050000}"/>
    <cellStyle name="20% - Accent2 7 2" xfId="4267" xr:uid="{00000000-0005-0000-0000-000090050000}"/>
    <cellStyle name="20% - Accent2 7 3" xfId="4268" xr:uid="{00000000-0005-0000-0000-000091050000}"/>
    <cellStyle name="20% - Accent2 7 4" xfId="3867" xr:uid="{00000000-0005-0000-0000-000092050000}"/>
    <cellStyle name="20% - Accent2 7 5" xfId="3984" xr:uid="{00000000-0005-0000-0000-000093050000}"/>
    <cellStyle name="20% - Accent2 7 6" xfId="4151" xr:uid="{00000000-0005-0000-0000-000094050000}"/>
    <cellStyle name="20% - Accent2 7 7" xfId="7631" xr:uid="{00000000-0005-0000-0000-000095050000}"/>
    <cellStyle name="20% - Accent2 8" xfId="3950" xr:uid="{00000000-0005-0000-0000-000096050000}"/>
    <cellStyle name="20% - Accent2 8 2" xfId="3622" xr:uid="{00000000-0005-0000-0000-000097050000}"/>
    <cellStyle name="20% - Accent2 8 3" xfId="4266" xr:uid="{00000000-0005-0000-0000-000098050000}"/>
    <cellStyle name="20% - Accent2 8 4" xfId="3899" xr:uid="{00000000-0005-0000-0000-000099050000}"/>
    <cellStyle name="20% - Accent2 8 5" xfId="4264" xr:uid="{00000000-0005-0000-0000-00009A050000}"/>
    <cellStyle name="20% - Accent2 8 6" xfId="4265" xr:uid="{00000000-0005-0000-0000-00009B050000}"/>
    <cellStyle name="20% - Accent2 9" xfId="3505" xr:uid="{00000000-0005-0000-0000-00009C050000}"/>
    <cellStyle name="20% - Accent2 9 2" xfId="3439" xr:uid="{00000000-0005-0000-0000-00009D050000}"/>
    <cellStyle name="20% - Accent2 9 3" xfId="4260" xr:uid="{00000000-0005-0000-0000-00009E050000}"/>
    <cellStyle name="20% - Accent2 9 4" xfId="4263" xr:uid="{00000000-0005-0000-0000-00009F050000}"/>
    <cellStyle name="20% - Accent2 9 5" xfId="3657" xr:uid="{00000000-0005-0000-0000-0000A0050000}"/>
    <cellStyle name="20% - Accent3" xfId="12135" builtinId="38" customBuiltin="1"/>
    <cellStyle name="20% - Accent3 10" xfId="4261" xr:uid="{00000000-0005-0000-0000-0000A2050000}"/>
    <cellStyle name="20% - Accent3 10 2" xfId="4262" xr:uid="{00000000-0005-0000-0000-0000A3050000}"/>
    <cellStyle name="20% - Accent3 10 3" xfId="3757" xr:uid="{00000000-0005-0000-0000-0000A4050000}"/>
    <cellStyle name="20% - Accent3 10 4" xfId="3687" xr:uid="{00000000-0005-0000-0000-0000A5050000}"/>
    <cellStyle name="20% - Accent3 10 5" xfId="3334" xr:uid="{00000000-0005-0000-0000-0000A6050000}"/>
    <cellStyle name="20% - Accent3 11" xfId="3917" xr:uid="{00000000-0005-0000-0000-0000A7050000}"/>
    <cellStyle name="20% - Accent3 11 2" xfId="4259" xr:uid="{00000000-0005-0000-0000-0000A8050000}"/>
    <cellStyle name="20% - Accent3 11 3" xfId="3715" xr:uid="{00000000-0005-0000-0000-0000A9050000}"/>
    <cellStyle name="20% - Accent3 11 4" xfId="4209" xr:uid="{00000000-0005-0000-0000-0000AA050000}"/>
    <cellStyle name="20% - Accent3 11 5" xfId="3577" xr:uid="{00000000-0005-0000-0000-0000AB050000}"/>
    <cellStyle name="20% - Accent3 12" xfId="3620" xr:uid="{00000000-0005-0000-0000-0000AC050000}"/>
    <cellStyle name="20% - Accent3 12 2" xfId="3650" xr:uid="{00000000-0005-0000-0000-0000AD050000}"/>
    <cellStyle name="20% - Accent3 12 3" xfId="4042" xr:uid="{00000000-0005-0000-0000-0000AE050000}"/>
    <cellStyle name="20% - Accent3 12 4" xfId="3907" xr:uid="{00000000-0005-0000-0000-0000AF050000}"/>
    <cellStyle name="20% - Accent3 12 5" xfId="3914" xr:uid="{00000000-0005-0000-0000-0000B0050000}"/>
    <cellStyle name="20% - Accent3 13" xfId="4187" xr:uid="{00000000-0005-0000-0000-0000B1050000}"/>
    <cellStyle name="20% - Accent3 14" xfId="3339" xr:uid="{00000000-0005-0000-0000-0000B2050000}"/>
    <cellStyle name="20% - Accent3 15" xfId="3396" xr:uid="{00000000-0005-0000-0000-0000B3050000}"/>
    <cellStyle name="20% - Accent3 16" xfId="3720" xr:uid="{00000000-0005-0000-0000-0000B4050000}"/>
    <cellStyle name="20% - Accent3 17" xfId="3619" xr:uid="{00000000-0005-0000-0000-0000B5050000}"/>
    <cellStyle name="20% - Accent3 18" xfId="3483" xr:uid="{00000000-0005-0000-0000-0000B6050000}"/>
    <cellStyle name="20% - Accent3 19" xfId="3486" xr:uid="{00000000-0005-0000-0000-0000B7050000}"/>
    <cellStyle name="20% - Accent3 2" xfId="94" xr:uid="{00000000-0005-0000-0000-0000B8050000}"/>
    <cellStyle name="20% - Accent3 2 10" xfId="3500" xr:uid="{00000000-0005-0000-0000-0000B9050000}"/>
    <cellStyle name="20% - Accent3 2 10 2" xfId="7632" xr:uid="{00000000-0005-0000-0000-0000BA050000}"/>
    <cellStyle name="20% - Accent3 2 11" xfId="3482" xr:uid="{00000000-0005-0000-0000-0000BB050000}"/>
    <cellStyle name="20% - Accent3 2 11 2" xfId="4213" xr:uid="{00000000-0005-0000-0000-0000BC050000}"/>
    <cellStyle name="20% - Accent3 2 11 2 2" xfId="7633" xr:uid="{00000000-0005-0000-0000-0000BD050000}"/>
    <cellStyle name="20% - Accent3 2 11 3" xfId="3983" xr:uid="{00000000-0005-0000-0000-0000BE050000}"/>
    <cellStyle name="20% - Accent3 2 11 3 2" xfId="7634" xr:uid="{00000000-0005-0000-0000-0000BF050000}"/>
    <cellStyle name="20% - Accent3 2 11 4" xfId="3607" xr:uid="{00000000-0005-0000-0000-0000C0050000}"/>
    <cellStyle name="20% - Accent3 2 11 4 2" xfId="7635" xr:uid="{00000000-0005-0000-0000-0000C1050000}"/>
    <cellStyle name="20% - Accent3 2 11 5" xfId="3879" xr:uid="{00000000-0005-0000-0000-0000C2050000}"/>
    <cellStyle name="20% - Accent3 2 11 5 2" xfId="7636" xr:uid="{00000000-0005-0000-0000-0000C3050000}"/>
    <cellStyle name="20% - Accent3 2 12" xfId="3969" xr:uid="{00000000-0005-0000-0000-0000C4050000}"/>
    <cellStyle name="20% - Accent3 2 13" xfId="3766" xr:uid="{00000000-0005-0000-0000-0000C5050000}"/>
    <cellStyle name="20% - Accent3 2 14" xfId="4180" xr:uid="{00000000-0005-0000-0000-0000C6050000}"/>
    <cellStyle name="20% - Accent3 2 15" xfId="3813" xr:uid="{00000000-0005-0000-0000-0000C7050000}"/>
    <cellStyle name="20% - Accent3 2 15 2" xfId="7637" xr:uid="{00000000-0005-0000-0000-0000C8050000}"/>
    <cellStyle name="20% - Accent3 2 16" xfId="4084" xr:uid="{00000000-0005-0000-0000-0000C9050000}"/>
    <cellStyle name="20% - Accent3 2 17" xfId="3740" xr:uid="{00000000-0005-0000-0000-0000CA050000}"/>
    <cellStyle name="20% - Accent3 2 2" xfId="1421" xr:uid="{00000000-0005-0000-0000-0000CB050000}"/>
    <cellStyle name="20% - Accent3 2 2 10" xfId="7638" xr:uid="{00000000-0005-0000-0000-0000CC050000}"/>
    <cellStyle name="20% - Accent3 2 2 11" xfId="3440" xr:uid="{00000000-0005-0000-0000-0000CD050000}"/>
    <cellStyle name="20% - Accent3 2 2 2" xfId="1422" xr:uid="{00000000-0005-0000-0000-0000CE050000}"/>
    <cellStyle name="20% - Accent3 2 2 2 2" xfId="7639" xr:uid="{00000000-0005-0000-0000-0000CF050000}"/>
    <cellStyle name="20% - Accent3 2 2 2 3" xfId="3550" xr:uid="{00000000-0005-0000-0000-0000D0050000}"/>
    <cellStyle name="20% - Accent3 2 2 3" xfId="1423" xr:uid="{00000000-0005-0000-0000-0000D1050000}"/>
    <cellStyle name="20% - Accent3 2 2 3 2" xfId="7640" xr:uid="{00000000-0005-0000-0000-0000D2050000}"/>
    <cellStyle name="20% - Accent3 2 2 3 3" xfId="3492" xr:uid="{00000000-0005-0000-0000-0000D3050000}"/>
    <cellStyle name="20% - Accent3 2 2 4" xfId="1977" xr:uid="{00000000-0005-0000-0000-0000D4050000}"/>
    <cellStyle name="20% - Accent3 2 2 4 2" xfId="7641" xr:uid="{00000000-0005-0000-0000-0000D5050000}"/>
    <cellStyle name="20% - Accent3 2 2 4 3" xfId="3527" xr:uid="{00000000-0005-0000-0000-0000D6050000}"/>
    <cellStyle name="20% - Accent3 2 2 5" xfId="3567" xr:uid="{00000000-0005-0000-0000-0000D7050000}"/>
    <cellStyle name="20% - Accent3 2 2 5 2" xfId="7642" xr:uid="{00000000-0005-0000-0000-0000D8050000}"/>
    <cellStyle name="20% - Accent3 2 2 6" xfId="3783" xr:uid="{00000000-0005-0000-0000-0000D9050000}"/>
    <cellStyle name="20% - Accent3 2 2 6 2" xfId="7643" xr:uid="{00000000-0005-0000-0000-0000DA050000}"/>
    <cellStyle name="20% - Accent3 2 2 7" xfId="3743" xr:uid="{00000000-0005-0000-0000-0000DB050000}"/>
    <cellStyle name="20% - Accent3 2 2 7 2" xfId="7644" xr:uid="{00000000-0005-0000-0000-0000DC050000}"/>
    <cellStyle name="20% - Accent3 2 2 8" xfId="4460" xr:uid="{00000000-0005-0000-0000-0000DD050000}"/>
    <cellStyle name="20% - Accent3 2 2 8 2" xfId="7645" xr:uid="{00000000-0005-0000-0000-0000DE050000}"/>
    <cellStyle name="20% - Accent3 2 2 9" xfId="4314" xr:uid="{00000000-0005-0000-0000-0000DF050000}"/>
    <cellStyle name="20% - Accent3 2 2 9 2" xfId="7646" xr:uid="{00000000-0005-0000-0000-0000E0050000}"/>
    <cellStyle name="20% - Accent3 2 3" xfId="1424" xr:uid="{00000000-0005-0000-0000-0000E1050000}"/>
    <cellStyle name="20% - Accent3 2 3 10" xfId="7647" xr:uid="{00000000-0005-0000-0000-0000E2050000}"/>
    <cellStyle name="20% - Accent3 2 3 2" xfId="1978" xr:uid="{00000000-0005-0000-0000-0000E3050000}"/>
    <cellStyle name="20% - Accent3 2 3 2 2" xfId="7648" xr:uid="{00000000-0005-0000-0000-0000E4050000}"/>
    <cellStyle name="20% - Accent3 2 3 3" xfId="1979" xr:uid="{00000000-0005-0000-0000-0000E5050000}"/>
    <cellStyle name="20% - Accent3 2 3 3 2" xfId="7649" xr:uid="{00000000-0005-0000-0000-0000E6050000}"/>
    <cellStyle name="20% - Accent3 2 3 4" xfId="1980" xr:uid="{00000000-0005-0000-0000-0000E7050000}"/>
    <cellStyle name="20% - Accent3 2 3 4 2" xfId="7650" xr:uid="{00000000-0005-0000-0000-0000E8050000}"/>
    <cellStyle name="20% - Accent3 2 3 4 3" xfId="3455" xr:uid="{00000000-0005-0000-0000-0000E9050000}"/>
    <cellStyle name="20% - Accent3 2 3 5" xfId="3912" xr:uid="{00000000-0005-0000-0000-0000EA050000}"/>
    <cellStyle name="20% - Accent3 2 3 5 2" xfId="7651" xr:uid="{00000000-0005-0000-0000-0000EB050000}"/>
    <cellStyle name="20% - Accent3 2 3 6" xfId="3777" xr:uid="{00000000-0005-0000-0000-0000EC050000}"/>
    <cellStyle name="20% - Accent3 2 3 6 2" xfId="7652" xr:uid="{00000000-0005-0000-0000-0000ED050000}"/>
    <cellStyle name="20% - Accent3 2 3 7" xfId="3801" xr:uid="{00000000-0005-0000-0000-0000EE050000}"/>
    <cellStyle name="20% - Accent3 2 3 7 2" xfId="7653" xr:uid="{00000000-0005-0000-0000-0000EF050000}"/>
    <cellStyle name="20% - Accent3 2 3 8" xfId="4060" xr:uid="{00000000-0005-0000-0000-0000F0050000}"/>
    <cellStyle name="20% - Accent3 2 3 8 2" xfId="7654" xr:uid="{00000000-0005-0000-0000-0000F1050000}"/>
    <cellStyle name="20% - Accent3 2 3 9" xfId="3937" xr:uid="{00000000-0005-0000-0000-0000F2050000}"/>
    <cellStyle name="20% - Accent3 2 3 9 2" xfId="7655" xr:uid="{00000000-0005-0000-0000-0000F3050000}"/>
    <cellStyle name="20% - Accent3 2 4" xfId="1981" xr:uid="{00000000-0005-0000-0000-0000F4050000}"/>
    <cellStyle name="20% - Accent3 2 4 10" xfId="7656" xr:uid="{00000000-0005-0000-0000-0000F5050000}"/>
    <cellStyle name="20% - Accent3 2 4 2" xfId="1982" xr:uid="{00000000-0005-0000-0000-0000F6050000}"/>
    <cellStyle name="20% - Accent3 2 4 2 2" xfId="7657" xr:uid="{00000000-0005-0000-0000-0000F7050000}"/>
    <cellStyle name="20% - Accent3 2 4 3" xfId="3453" xr:uid="{00000000-0005-0000-0000-0000F8050000}"/>
    <cellStyle name="20% - Accent3 2 4 3 2" xfId="7658" xr:uid="{00000000-0005-0000-0000-0000F9050000}"/>
    <cellStyle name="20% - Accent3 2 4 4" xfId="3639" xr:uid="{00000000-0005-0000-0000-0000FA050000}"/>
    <cellStyle name="20% - Accent3 2 4 4 2" xfId="7659" xr:uid="{00000000-0005-0000-0000-0000FB050000}"/>
    <cellStyle name="20% - Accent3 2 4 5" xfId="3501" xr:uid="{00000000-0005-0000-0000-0000FC050000}"/>
    <cellStyle name="20% - Accent3 2 4 5 2" xfId="7660" xr:uid="{00000000-0005-0000-0000-0000FD050000}"/>
    <cellStyle name="20% - Accent3 2 4 6" xfId="4131" xr:uid="{00000000-0005-0000-0000-0000FE050000}"/>
    <cellStyle name="20% - Accent3 2 4 6 2" xfId="7661" xr:uid="{00000000-0005-0000-0000-0000FF050000}"/>
    <cellStyle name="20% - Accent3 2 4 7" xfId="3419" xr:uid="{00000000-0005-0000-0000-000000060000}"/>
    <cellStyle name="20% - Accent3 2 4 7 2" xfId="7662" xr:uid="{00000000-0005-0000-0000-000001060000}"/>
    <cellStyle name="20% - Accent3 2 4 8" xfId="4017" xr:uid="{00000000-0005-0000-0000-000002060000}"/>
    <cellStyle name="20% - Accent3 2 4 8 2" xfId="7663" xr:uid="{00000000-0005-0000-0000-000003060000}"/>
    <cellStyle name="20% - Accent3 2 4 9" xfId="3402" xr:uid="{00000000-0005-0000-0000-000004060000}"/>
    <cellStyle name="20% - Accent3 2 4 9 2" xfId="7664" xr:uid="{00000000-0005-0000-0000-000005060000}"/>
    <cellStyle name="20% - Accent3 2 5" xfId="1983" xr:uid="{00000000-0005-0000-0000-000006060000}"/>
    <cellStyle name="20% - Accent3 2 5 10" xfId="7665" xr:uid="{00000000-0005-0000-0000-000007060000}"/>
    <cellStyle name="20% - Accent3 2 5 2" xfId="4514" xr:uid="{00000000-0005-0000-0000-000008060000}"/>
    <cellStyle name="20% - Accent3 2 5 2 2" xfId="7666" xr:uid="{00000000-0005-0000-0000-000009060000}"/>
    <cellStyle name="20% - Accent3 2 5 3" xfId="4319" xr:uid="{00000000-0005-0000-0000-00000A060000}"/>
    <cellStyle name="20% - Accent3 2 5 3 2" xfId="7667" xr:uid="{00000000-0005-0000-0000-00000B060000}"/>
    <cellStyle name="20% - Accent3 2 5 4" xfId="4536" xr:uid="{00000000-0005-0000-0000-00000C060000}"/>
    <cellStyle name="20% - Accent3 2 5 4 2" xfId="7668" xr:uid="{00000000-0005-0000-0000-00000D060000}"/>
    <cellStyle name="20% - Accent3 2 5 5" xfId="4342" xr:uid="{00000000-0005-0000-0000-00000E060000}"/>
    <cellStyle name="20% - Accent3 2 5 5 2" xfId="7669" xr:uid="{00000000-0005-0000-0000-00000F060000}"/>
    <cellStyle name="20% - Accent3 2 5 6" xfId="4606" xr:uid="{00000000-0005-0000-0000-000010060000}"/>
    <cellStyle name="20% - Accent3 2 5 6 2" xfId="7670" xr:uid="{00000000-0005-0000-0000-000011060000}"/>
    <cellStyle name="20% - Accent3 2 5 7" xfId="4411" xr:uid="{00000000-0005-0000-0000-000012060000}"/>
    <cellStyle name="20% - Accent3 2 5 7 2" xfId="7671" xr:uid="{00000000-0005-0000-0000-000013060000}"/>
    <cellStyle name="20% - Accent3 2 5 8" xfId="3745" xr:uid="{00000000-0005-0000-0000-000014060000}"/>
    <cellStyle name="20% - Accent3 2 5 8 2" xfId="7672" xr:uid="{00000000-0005-0000-0000-000015060000}"/>
    <cellStyle name="20% - Accent3 2 5 9" xfId="4502" xr:uid="{00000000-0005-0000-0000-000016060000}"/>
    <cellStyle name="20% - Accent3 2 5 9 2" xfId="7673" xr:uid="{00000000-0005-0000-0000-000017060000}"/>
    <cellStyle name="20% - Accent3 2 6" xfId="1984" xr:uid="{00000000-0005-0000-0000-000018060000}"/>
    <cellStyle name="20% - Accent3 2 6 2" xfId="4327" xr:uid="{00000000-0005-0000-0000-000019060000}"/>
    <cellStyle name="20% - Accent3 2 6 2 2" xfId="7675" xr:uid="{00000000-0005-0000-0000-00001A060000}"/>
    <cellStyle name="20% - Accent3 2 6 3" xfId="3641" xr:uid="{00000000-0005-0000-0000-00001B060000}"/>
    <cellStyle name="20% - Accent3 2 6 3 2" xfId="7676" xr:uid="{00000000-0005-0000-0000-00001C060000}"/>
    <cellStyle name="20% - Accent3 2 6 4" xfId="4644" xr:uid="{00000000-0005-0000-0000-00001D060000}"/>
    <cellStyle name="20% - Accent3 2 6 4 2" xfId="7677" xr:uid="{00000000-0005-0000-0000-00001E060000}"/>
    <cellStyle name="20% - Accent3 2 6 5" xfId="4447" xr:uid="{00000000-0005-0000-0000-00001F060000}"/>
    <cellStyle name="20% - Accent3 2 6 5 2" xfId="7678" xr:uid="{00000000-0005-0000-0000-000020060000}"/>
    <cellStyle name="20% - Accent3 2 6 6" xfId="7674" xr:uid="{00000000-0005-0000-0000-000021060000}"/>
    <cellStyle name="20% - Accent3 2 7" xfId="1985" xr:uid="{00000000-0005-0000-0000-000022060000}"/>
    <cellStyle name="20% - Accent3 2 7 2" xfId="7679" xr:uid="{00000000-0005-0000-0000-000023060000}"/>
    <cellStyle name="20% - Accent3 2 7 3" xfId="4535" xr:uid="{00000000-0005-0000-0000-000024060000}"/>
    <cellStyle name="20% - Accent3 2 8" xfId="1986" xr:uid="{00000000-0005-0000-0000-000025060000}"/>
    <cellStyle name="20% - Accent3 2 8 2" xfId="7680" xr:uid="{00000000-0005-0000-0000-000026060000}"/>
    <cellStyle name="20% - Accent3 2 8 3" xfId="4341" xr:uid="{00000000-0005-0000-0000-000027060000}"/>
    <cellStyle name="20% - Accent3 2 9" xfId="4607" xr:uid="{00000000-0005-0000-0000-000028060000}"/>
    <cellStyle name="20% - Accent3 2 9 2" xfId="7681" xr:uid="{00000000-0005-0000-0000-000029060000}"/>
    <cellStyle name="20% - Accent3 20" xfId="4412" xr:uid="{00000000-0005-0000-0000-00002A060000}"/>
    <cellStyle name="20% - Accent3 21" xfId="3671" xr:uid="{00000000-0005-0000-0000-00002B060000}"/>
    <cellStyle name="20% - Accent3 22" xfId="4503" xr:uid="{00000000-0005-0000-0000-00002C060000}"/>
    <cellStyle name="20% - Accent3 23" xfId="4585" xr:uid="{00000000-0005-0000-0000-00002D060000}"/>
    <cellStyle name="20% - Accent3 24" xfId="4390" xr:uid="{00000000-0005-0000-0000-00002E060000}"/>
    <cellStyle name="20% - Accent3 25" xfId="4176" xr:uid="{00000000-0005-0000-0000-00002F060000}"/>
    <cellStyle name="20% - Accent3 26" xfId="3511" xr:uid="{00000000-0005-0000-0000-000030060000}"/>
    <cellStyle name="20% - Accent3 3" xfId="214" xr:uid="{00000000-0005-0000-0000-000031060000}"/>
    <cellStyle name="20% - Accent3 3 10" xfId="4111" xr:uid="{00000000-0005-0000-0000-000032060000}"/>
    <cellStyle name="20% - Accent3 3 11" xfId="3624" xr:uid="{00000000-0005-0000-0000-000033060000}"/>
    <cellStyle name="20% - Accent3 3 2" xfId="1987" xr:uid="{00000000-0005-0000-0000-000034060000}"/>
    <cellStyle name="20% - Accent3 3 2 2" xfId="7682" xr:uid="{00000000-0005-0000-0000-000035060000}"/>
    <cellStyle name="20% - Accent3 3 2 3" xfId="3865" xr:uid="{00000000-0005-0000-0000-000036060000}"/>
    <cellStyle name="20% - Accent3 3 3" xfId="1988" xr:uid="{00000000-0005-0000-0000-000037060000}"/>
    <cellStyle name="20% - Accent3 3 3 2" xfId="7683" xr:uid="{00000000-0005-0000-0000-000038060000}"/>
    <cellStyle name="20% - Accent3 3 4" xfId="3894" xr:uid="{00000000-0005-0000-0000-000039060000}"/>
    <cellStyle name="20% - Accent3 3 4 2" xfId="7684" xr:uid="{00000000-0005-0000-0000-00003A060000}"/>
    <cellStyle name="20% - Accent3 3 5" xfId="3315" xr:uid="{00000000-0005-0000-0000-00003B060000}"/>
    <cellStyle name="20% - Accent3 3 5 2" xfId="7685" xr:uid="{00000000-0005-0000-0000-00003C060000}"/>
    <cellStyle name="20% - Accent3 3 6" xfId="3836" xr:uid="{00000000-0005-0000-0000-00003D060000}"/>
    <cellStyle name="20% - Accent3 3 7" xfId="4478" xr:uid="{00000000-0005-0000-0000-00003E060000}"/>
    <cellStyle name="20% - Accent3 3 8" xfId="4527" xr:uid="{00000000-0005-0000-0000-00003F060000}"/>
    <cellStyle name="20% - Accent3 3 9" xfId="4334" xr:uid="{00000000-0005-0000-0000-000040060000}"/>
    <cellStyle name="20% - Accent3 4" xfId="1989" xr:uid="{00000000-0005-0000-0000-000041060000}"/>
    <cellStyle name="20% - Accent3 4 2" xfId="1990" xr:uid="{00000000-0005-0000-0000-000042060000}"/>
    <cellStyle name="20% - Accent3 4 2 2" xfId="4383" xr:uid="{00000000-0005-0000-0000-000043060000}"/>
    <cellStyle name="20% - Accent3 4 3" xfId="1991" xr:uid="{00000000-0005-0000-0000-000044060000}"/>
    <cellStyle name="20% - Accent3 4 3 2" xfId="4580" xr:uid="{00000000-0005-0000-0000-000045060000}"/>
    <cellStyle name="20% - Accent3 4 4" xfId="4384" xr:uid="{00000000-0005-0000-0000-000046060000}"/>
    <cellStyle name="20% - Accent3 4 5" xfId="3590" xr:uid="{00000000-0005-0000-0000-000047060000}"/>
    <cellStyle name="20% - Accent3 4 6" xfId="4473" xr:uid="{00000000-0005-0000-0000-000048060000}"/>
    <cellStyle name="20% - Accent3 4 7" xfId="4579" xr:uid="{00000000-0005-0000-0000-000049060000}"/>
    <cellStyle name="20% - Accent3 5" xfId="1992" xr:uid="{00000000-0005-0000-0000-00004A060000}"/>
    <cellStyle name="20% - Accent3 5 2" xfId="4461" xr:uid="{00000000-0005-0000-0000-00004B060000}"/>
    <cellStyle name="20% - Accent3 5 3" xfId="4647" xr:uid="{00000000-0005-0000-0000-00004C060000}"/>
    <cellStyle name="20% - Accent3 5 4" xfId="4450" xr:uid="{00000000-0005-0000-0000-00004D060000}"/>
    <cellStyle name="20% - Accent3 5 5" xfId="4550" xr:uid="{00000000-0005-0000-0000-00004E060000}"/>
    <cellStyle name="20% - Accent3 5 6" xfId="4353" xr:uid="{00000000-0005-0000-0000-00004F060000}"/>
    <cellStyle name="20% - Accent3 5 7" xfId="4655" xr:uid="{00000000-0005-0000-0000-000050060000}"/>
    <cellStyle name="20% - Accent3 6" xfId="3951" xr:uid="{00000000-0005-0000-0000-000051060000}"/>
    <cellStyle name="20% - Accent3 6 2" xfId="3474" xr:uid="{00000000-0005-0000-0000-000052060000}"/>
    <cellStyle name="20% - Accent3 6 3" xfId="3754" xr:uid="{00000000-0005-0000-0000-000053060000}"/>
    <cellStyle name="20% - Accent3 6 4" xfId="3654" xr:uid="{00000000-0005-0000-0000-000054060000}"/>
    <cellStyle name="20% - Accent3 6 5" xfId="4228" xr:uid="{00000000-0005-0000-0000-000055060000}"/>
    <cellStyle name="20% - Accent3 6 6" xfId="3921" xr:uid="{00000000-0005-0000-0000-000056060000}"/>
    <cellStyle name="20% - Accent3 7" xfId="3313" xr:uid="{00000000-0005-0000-0000-000057060000}"/>
    <cellStyle name="20% - Accent3 7 2" xfId="4147" xr:uid="{00000000-0005-0000-0000-000058060000}"/>
    <cellStyle name="20% - Accent3 7 3" xfId="4167" xr:uid="{00000000-0005-0000-0000-000059060000}"/>
    <cellStyle name="20% - Accent3 7 4" xfId="3499" xr:uid="{00000000-0005-0000-0000-00005A060000}"/>
    <cellStyle name="20% - Accent3 7 5" xfId="3938" xr:uid="{00000000-0005-0000-0000-00005B060000}"/>
    <cellStyle name="20% - Accent3 7 6" xfId="3881" xr:uid="{00000000-0005-0000-0000-00005C060000}"/>
    <cellStyle name="20% - Accent3 7 7" xfId="7686" xr:uid="{00000000-0005-0000-0000-00005D060000}"/>
    <cellStyle name="20% - Accent3 8" xfId="3309" xr:uid="{00000000-0005-0000-0000-00005E060000}"/>
    <cellStyle name="20% - Accent3 8 2" xfId="3392" xr:uid="{00000000-0005-0000-0000-00005F060000}"/>
    <cellStyle name="20% - Accent3 8 3" xfId="3572" xr:uid="{00000000-0005-0000-0000-000060060000}"/>
    <cellStyle name="20% - Accent3 8 4" xfId="3431" xr:uid="{00000000-0005-0000-0000-000061060000}"/>
    <cellStyle name="20% - Accent3 8 5" xfId="3988" xr:uid="{00000000-0005-0000-0000-000062060000}"/>
    <cellStyle name="20% - Accent3 8 6" xfId="3758" xr:uid="{00000000-0005-0000-0000-000063060000}"/>
    <cellStyle name="20% - Accent3 9" xfId="4199" xr:uid="{00000000-0005-0000-0000-000064060000}"/>
    <cellStyle name="20% - Accent3 9 2" xfId="4185" xr:uid="{00000000-0005-0000-0000-000065060000}"/>
    <cellStyle name="20% - Accent3 9 3" xfId="4158" xr:uid="{00000000-0005-0000-0000-000066060000}"/>
    <cellStyle name="20% - Accent3 9 4" xfId="4031" xr:uid="{00000000-0005-0000-0000-000067060000}"/>
    <cellStyle name="20% - Accent3 9 5" xfId="3919" xr:uid="{00000000-0005-0000-0000-000068060000}"/>
    <cellStyle name="20% - Accent4" xfId="12139" builtinId="42" customBuiltin="1"/>
    <cellStyle name="20% - Accent4 10" xfId="4472" xr:uid="{00000000-0005-0000-0000-00006A060000}"/>
    <cellStyle name="20% - Accent4 10 2" xfId="4623" xr:uid="{00000000-0005-0000-0000-00006B060000}"/>
    <cellStyle name="20% - Accent4 10 3" xfId="4427" xr:uid="{00000000-0005-0000-0000-00006C060000}"/>
    <cellStyle name="20% - Accent4 10 4" xfId="4617" xr:uid="{00000000-0005-0000-0000-00006D060000}"/>
    <cellStyle name="20% - Accent4 10 5" xfId="4421" xr:uid="{00000000-0005-0000-0000-00006E060000}"/>
    <cellStyle name="20% - Accent4 11" xfId="4547" xr:uid="{00000000-0005-0000-0000-00006F060000}"/>
    <cellStyle name="20% - Accent4 11 2" xfId="4351" xr:uid="{00000000-0005-0000-0000-000070060000}"/>
    <cellStyle name="20% - Accent4 11 3" xfId="4487" xr:uid="{00000000-0005-0000-0000-000071060000}"/>
    <cellStyle name="20% - Accent4 11 4" xfId="4557" xr:uid="{00000000-0005-0000-0000-000072060000}"/>
    <cellStyle name="20% - Accent4 11 5" xfId="4361" xr:uid="{00000000-0005-0000-0000-000073060000}"/>
    <cellStyle name="20% - Accent4 12" xfId="4532" xr:uid="{00000000-0005-0000-0000-000074060000}"/>
    <cellStyle name="20% - Accent4 12 2" xfId="4338" xr:uid="{00000000-0005-0000-0000-000075060000}"/>
    <cellStyle name="20% - Accent4 12 3" xfId="4613" xr:uid="{00000000-0005-0000-0000-000076060000}"/>
    <cellStyle name="20% - Accent4 12 4" xfId="4418" xr:uid="{00000000-0005-0000-0000-000077060000}"/>
    <cellStyle name="20% - Accent4 12 5" xfId="3613" xr:uid="{00000000-0005-0000-0000-000078060000}"/>
    <cellStyle name="20% - Accent4 13" xfId="4491" xr:uid="{00000000-0005-0000-0000-000079060000}"/>
    <cellStyle name="20% - Accent4 14" xfId="4564" xr:uid="{00000000-0005-0000-0000-00007A060000}"/>
    <cellStyle name="20% - Accent4 15" xfId="4368" xr:uid="{00000000-0005-0000-0000-00007B060000}"/>
    <cellStyle name="20% - Accent4 16" xfId="4573" xr:uid="{00000000-0005-0000-0000-00007C060000}"/>
    <cellStyle name="20% - Accent4 17" xfId="4377" xr:uid="{00000000-0005-0000-0000-00007D060000}"/>
    <cellStyle name="20% - Accent4 18" xfId="4637" xr:uid="{00000000-0005-0000-0000-00007E060000}"/>
    <cellStyle name="20% - Accent4 19" xfId="4440" xr:uid="{00000000-0005-0000-0000-00007F060000}"/>
    <cellStyle name="20% - Accent4 2" xfId="95" xr:uid="{00000000-0005-0000-0000-000080060000}"/>
    <cellStyle name="20% - Accent4 2 10" xfId="3462" xr:uid="{00000000-0005-0000-0000-000081060000}"/>
    <cellStyle name="20% - Accent4 2 10 2" xfId="7687" xr:uid="{00000000-0005-0000-0000-000082060000}"/>
    <cellStyle name="20% - Accent4 2 11" xfId="3458" xr:uid="{00000000-0005-0000-0000-000083060000}"/>
    <cellStyle name="20% - Accent4 2 11 2" xfId="3405" xr:uid="{00000000-0005-0000-0000-000084060000}"/>
    <cellStyle name="20% - Accent4 2 11 2 2" xfId="7688" xr:uid="{00000000-0005-0000-0000-000085060000}"/>
    <cellStyle name="20% - Accent4 2 11 3" xfId="4471" xr:uid="{00000000-0005-0000-0000-000086060000}"/>
    <cellStyle name="20% - Accent4 2 11 3 2" xfId="7689" xr:uid="{00000000-0005-0000-0000-000087060000}"/>
    <cellStyle name="20% - Accent4 2 11 4" xfId="4656" xr:uid="{00000000-0005-0000-0000-000088060000}"/>
    <cellStyle name="20% - Accent4 2 11 4 2" xfId="7690" xr:uid="{00000000-0005-0000-0000-000089060000}"/>
    <cellStyle name="20% - Accent4 2 11 5" xfId="4462" xr:uid="{00000000-0005-0000-0000-00008A060000}"/>
    <cellStyle name="20% - Accent4 2 11 5 2" xfId="7691" xr:uid="{00000000-0005-0000-0000-00008B060000}"/>
    <cellStyle name="20% - Accent4 2 12" xfId="4618" xr:uid="{00000000-0005-0000-0000-00008C060000}"/>
    <cellStyle name="20% - Accent4 2 13" xfId="4422" xr:uid="{00000000-0005-0000-0000-00008D060000}"/>
    <cellStyle name="20% - Accent4 2 14" xfId="4546" xr:uid="{00000000-0005-0000-0000-00008E060000}"/>
    <cellStyle name="20% - Accent4 2 15" xfId="4350" xr:uid="{00000000-0005-0000-0000-00008F060000}"/>
    <cellStyle name="20% - Accent4 2 15 2" xfId="7692" xr:uid="{00000000-0005-0000-0000-000090060000}"/>
    <cellStyle name="20% - Accent4 2 16" xfId="4486" xr:uid="{00000000-0005-0000-0000-000091060000}"/>
    <cellStyle name="20% - Accent4 2 17" xfId="3982" xr:uid="{00000000-0005-0000-0000-000092060000}"/>
    <cellStyle name="20% - Accent4 2 2" xfId="1425" xr:uid="{00000000-0005-0000-0000-000093060000}"/>
    <cellStyle name="20% - Accent4 2 2 10" xfId="7693" xr:uid="{00000000-0005-0000-0000-000094060000}"/>
    <cellStyle name="20% - Accent4 2 2 11" xfId="4515" xr:uid="{00000000-0005-0000-0000-000095060000}"/>
    <cellStyle name="20% - Accent4 2 2 2" xfId="1426" xr:uid="{00000000-0005-0000-0000-000096060000}"/>
    <cellStyle name="20% - Accent4 2 2 2 2" xfId="7694" xr:uid="{00000000-0005-0000-0000-000097060000}"/>
    <cellStyle name="20% - Accent4 2 2 2 3" xfId="4321" xr:uid="{00000000-0005-0000-0000-000098060000}"/>
    <cellStyle name="20% - Accent4 2 2 3" xfId="1427" xr:uid="{00000000-0005-0000-0000-000099060000}"/>
    <cellStyle name="20% - Accent4 2 2 3 2" xfId="7695" xr:uid="{00000000-0005-0000-0000-00009A060000}"/>
    <cellStyle name="20% - Accent4 2 2 3 3" xfId="4537" xr:uid="{00000000-0005-0000-0000-00009B060000}"/>
    <cellStyle name="20% - Accent4 2 2 4" xfId="1993" xr:uid="{00000000-0005-0000-0000-00009C060000}"/>
    <cellStyle name="20% - Accent4 2 2 4 2" xfId="7696" xr:uid="{00000000-0005-0000-0000-00009D060000}"/>
    <cellStyle name="20% - Accent4 2 2 4 3" xfId="4343" xr:uid="{00000000-0005-0000-0000-00009E060000}"/>
    <cellStyle name="20% - Accent4 2 2 5" xfId="4605" xr:uid="{00000000-0005-0000-0000-00009F060000}"/>
    <cellStyle name="20% - Accent4 2 2 5 2" xfId="7697" xr:uid="{00000000-0005-0000-0000-0000A0060000}"/>
    <cellStyle name="20% - Accent4 2 2 6" xfId="4410" xr:uid="{00000000-0005-0000-0000-0000A1060000}"/>
    <cellStyle name="20% - Accent4 2 2 6 2" xfId="7698" xr:uid="{00000000-0005-0000-0000-0000A2060000}"/>
    <cellStyle name="20% - Accent4 2 2 7" xfId="3797" xr:uid="{00000000-0005-0000-0000-0000A3060000}"/>
    <cellStyle name="20% - Accent4 2 2 7 2" xfId="7699" xr:uid="{00000000-0005-0000-0000-0000A4060000}"/>
    <cellStyle name="20% - Accent4 2 2 8" xfId="4501" xr:uid="{00000000-0005-0000-0000-0000A5060000}"/>
    <cellStyle name="20% - Accent4 2 2 8 2" xfId="7700" xr:uid="{00000000-0005-0000-0000-0000A6060000}"/>
    <cellStyle name="20% - Accent4 2 2 9" xfId="4529" xr:uid="{00000000-0005-0000-0000-0000A7060000}"/>
    <cellStyle name="20% - Accent4 2 2 9 2" xfId="7701" xr:uid="{00000000-0005-0000-0000-0000A8060000}"/>
    <cellStyle name="20% - Accent4 2 3" xfId="1428" xr:uid="{00000000-0005-0000-0000-0000A9060000}"/>
    <cellStyle name="20% - Accent4 2 3 10" xfId="7702" xr:uid="{00000000-0005-0000-0000-0000AA060000}"/>
    <cellStyle name="20% - Accent4 2 3 2" xfId="1994" xr:uid="{00000000-0005-0000-0000-0000AB060000}"/>
    <cellStyle name="20% - Accent4 2 3 2 2" xfId="7703" xr:uid="{00000000-0005-0000-0000-0000AC060000}"/>
    <cellStyle name="20% - Accent4 2 3 3" xfId="1995" xr:uid="{00000000-0005-0000-0000-0000AD060000}"/>
    <cellStyle name="20% - Accent4 2 3 3 2" xfId="7704" xr:uid="{00000000-0005-0000-0000-0000AE060000}"/>
    <cellStyle name="20% - Accent4 2 3 4" xfId="1996" xr:uid="{00000000-0005-0000-0000-0000AF060000}"/>
    <cellStyle name="20% - Accent4 2 3 4 2" xfId="7705" xr:uid="{00000000-0005-0000-0000-0000B0060000}"/>
    <cellStyle name="20% - Accent4 2 3 4 3" xfId="4642" xr:uid="{00000000-0005-0000-0000-0000B1060000}"/>
    <cellStyle name="20% - Accent4 2 3 5" xfId="4445" xr:uid="{00000000-0005-0000-0000-0000B2060000}"/>
    <cellStyle name="20% - Accent4 2 3 5 2" xfId="7706" xr:uid="{00000000-0005-0000-0000-0000B3060000}"/>
    <cellStyle name="20% - Accent4 2 3 6" xfId="3442" xr:uid="{00000000-0005-0000-0000-0000B4060000}"/>
    <cellStyle name="20% - Accent4 2 3 6 2" xfId="7707" xr:uid="{00000000-0005-0000-0000-0000B5060000}"/>
    <cellStyle name="20% - Accent4 2 3 7" xfId="3700" xr:uid="{00000000-0005-0000-0000-0000B6060000}"/>
    <cellStyle name="20% - Accent4 2 3 7 2" xfId="7708" xr:uid="{00000000-0005-0000-0000-0000B7060000}"/>
    <cellStyle name="20% - Accent4 2 3 8" xfId="3849" xr:uid="{00000000-0005-0000-0000-0000B8060000}"/>
    <cellStyle name="20% - Accent4 2 3 8 2" xfId="7709" xr:uid="{00000000-0005-0000-0000-0000B9060000}"/>
    <cellStyle name="20% - Accent4 2 3 9" xfId="3884" xr:uid="{00000000-0005-0000-0000-0000BA060000}"/>
    <cellStyle name="20% - Accent4 2 3 9 2" xfId="7710" xr:uid="{00000000-0005-0000-0000-0000BB060000}"/>
    <cellStyle name="20% - Accent4 2 4" xfId="1997" xr:uid="{00000000-0005-0000-0000-0000BC060000}"/>
    <cellStyle name="20% - Accent4 2 4 10" xfId="7711" xr:uid="{00000000-0005-0000-0000-0000BD060000}"/>
    <cellStyle name="20% - Accent4 2 4 2" xfId="1998" xr:uid="{00000000-0005-0000-0000-0000BE060000}"/>
    <cellStyle name="20% - Accent4 2 4 2 2" xfId="7712" xr:uid="{00000000-0005-0000-0000-0000BF060000}"/>
    <cellStyle name="20% - Accent4 2 4 3" xfId="4320" xr:uid="{00000000-0005-0000-0000-0000C0060000}"/>
    <cellStyle name="20% - Accent4 2 4 3 2" xfId="7713" xr:uid="{00000000-0005-0000-0000-0000C1060000}"/>
    <cellStyle name="20% - Accent4 2 4 4" xfId="4576" xr:uid="{00000000-0005-0000-0000-0000C2060000}"/>
    <cellStyle name="20% - Accent4 2 4 4 2" xfId="7714" xr:uid="{00000000-0005-0000-0000-0000C3060000}"/>
    <cellStyle name="20% - Accent4 2 4 5" xfId="4380" xr:uid="{00000000-0005-0000-0000-0000C4060000}"/>
    <cellStyle name="20% - Accent4 2 4 5 2" xfId="7715" xr:uid="{00000000-0005-0000-0000-0000C5060000}"/>
    <cellStyle name="20% - Accent4 2 4 6" xfId="4604" xr:uid="{00000000-0005-0000-0000-0000C6060000}"/>
    <cellStyle name="20% - Accent4 2 4 6 2" xfId="7716" xr:uid="{00000000-0005-0000-0000-0000C7060000}"/>
    <cellStyle name="20% - Accent4 2 4 7" xfId="4409" xr:uid="{00000000-0005-0000-0000-0000C8060000}"/>
    <cellStyle name="20% - Accent4 2 4 7 2" xfId="7717" xr:uid="{00000000-0005-0000-0000-0000C9060000}"/>
    <cellStyle name="20% - Accent4 2 4 8" xfId="3540" xr:uid="{00000000-0005-0000-0000-0000CA060000}"/>
    <cellStyle name="20% - Accent4 2 4 8 2" xfId="7718" xr:uid="{00000000-0005-0000-0000-0000CB060000}"/>
    <cellStyle name="20% - Accent4 2 4 9" xfId="3311" xr:uid="{00000000-0005-0000-0000-0000CC060000}"/>
    <cellStyle name="20% - Accent4 2 4 9 2" xfId="7719" xr:uid="{00000000-0005-0000-0000-0000CD060000}"/>
    <cellStyle name="20% - Accent4 2 5" xfId="1999" xr:uid="{00000000-0005-0000-0000-0000CE060000}"/>
    <cellStyle name="20% - Accent4 2 5 10" xfId="7720" xr:uid="{00000000-0005-0000-0000-0000CF060000}"/>
    <cellStyle name="20% - Accent4 2 5 2" xfId="4177" xr:uid="{00000000-0005-0000-0000-0000D0060000}"/>
    <cellStyle name="20% - Accent4 2 5 2 2" xfId="7721" xr:uid="{00000000-0005-0000-0000-0000D1060000}"/>
    <cellStyle name="20% - Accent4 2 5 3" xfId="4485" xr:uid="{00000000-0005-0000-0000-0000D2060000}"/>
    <cellStyle name="20% - Accent4 2 5 3 2" xfId="7722" xr:uid="{00000000-0005-0000-0000-0000D3060000}"/>
    <cellStyle name="20% - Accent4 2 5 4" xfId="4553" xr:uid="{00000000-0005-0000-0000-0000D4060000}"/>
    <cellStyle name="20% - Accent4 2 5 4 2" xfId="7723" xr:uid="{00000000-0005-0000-0000-0000D5060000}"/>
    <cellStyle name="20% - Accent4 2 5 5" xfId="4357" xr:uid="{00000000-0005-0000-0000-0000D6060000}"/>
    <cellStyle name="20% - Accent4 2 5 5 2" xfId="7724" xr:uid="{00000000-0005-0000-0000-0000D7060000}"/>
    <cellStyle name="20% - Accent4 2 5 6" xfId="4629" xr:uid="{00000000-0005-0000-0000-0000D8060000}"/>
    <cellStyle name="20% - Accent4 2 5 6 2" xfId="7725" xr:uid="{00000000-0005-0000-0000-0000D9060000}"/>
    <cellStyle name="20% - Accent4 2 5 7" xfId="4432" xr:uid="{00000000-0005-0000-0000-0000DA060000}"/>
    <cellStyle name="20% - Accent4 2 5 7 2" xfId="7726" xr:uid="{00000000-0005-0000-0000-0000DB060000}"/>
    <cellStyle name="20% - Accent4 2 5 8" xfId="4603" xr:uid="{00000000-0005-0000-0000-0000DC060000}"/>
    <cellStyle name="20% - Accent4 2 5 8 2" xfId="7727" xr:uid="{00000000-0005-0000-0000-0000DD060000}"/>
    <cellStyle name="20% - Accent4 2 5 9" xfId="4408" xr:uid="{00000000-0005-0000-0000-0000DE060000}"/>
    <cellStyle name="20% - Accent4 2 5 9 2" xfId="7728" xr:uid="{00000000-0005-0000-0000-0000DF060000}"/>
    <cellStyle name="20% - Accent4 2 6" xfId="2000" xr:uid="{00000000-0005-0000-0000-0000E0060000}"/>
    <cellStyle name="20% - Accent4 2 6 2" xfId="4661" xr:uid="{00000000-0005-0000-0000-0000E1060000}"/>
    <cellStyle name="20% - Accent4 2 6 2 2" xfId="7730" xr:uid="{00000000-0005-0000-0000-0000E2060000}"/>
    <cellStyle name="20% - Accent4 2 6 3" xfId="4467" xr:uid="{00000000-0005-0000-0000-0000E3060000}"/>
    <cellStyle name="20% - Accent4 2 6 3 2" xfId="7731" xr:uid="{00000000-0005-0000-0000-0000E4060000}"/>
    <cellStyle name="20% - Accent4 2 6 4" xfId="4518" xr:uid="{00000000-0005-0000-0000-0000E5060000}"/>
    <cellStyle name="20% - Accent4 2 6 4 2" xfId="7732" xr:uid="{00000000-0005-0000-0000-0000E6060000}"/>
    <cellStyle name="20% - Accent4 2 6 5" xfId="4324" xr:uid="{00000000-0005-0000-0000-0000E7060000}"/>
    <cellStyle name="20% - Accent4 2 6 5 2" xfId="7733" xr:uid="{00000000-0005-0000-0000-0000E8060000}"/>
    <cellStyle name="20% - Accent4 2 6 6" xfId="7729" xr:uid="{00000000-0005-0000-0000-0000E9060000}"/>
    <cellStyle name="20% - Accent4 2 7" xfId="2001" xr:uid="{00000000-0005-0000-0000-0000EA060000}"/>
    <cellStyle name="20% - Accent4 2 7 2" xfId="7734" xr:uid="{00000000-0005-0000-0000-0000EB060000}"/>
    <cellStyle name="20% - Accent4 2 7 3" xfId="4646" xr:uid="{00000000-0005-0000-0000-0000EC060000}"/>
    <cellStyle name="20% - Accent4 2 8" xfId="2002" xr:uid="{00000000-0005-0000-0000-0000ED060000}"/>
    <cellStyle name="20% - Accent4 2 8 2" xfId="7735" xr:uid="{00000000-0005-0000-0000-0000EE060000}"/>
    <cellStyle name="20% - Accent4 2 8 3" xfId="4449" xr:uid="{00000000-0005-0000-0000-0000EF060000}"/>
    <cellStyle name="20% - Accent4 2 9" xfId="4659" xr:uid="{00000000-0005-0000-0000-0000F0060000}"/>
    <cellStyle name="20% - Accent4 2 9 2" xfId="7736" xr:uid="{00000000-0005-0000-0000-0000F1060000}"/>
    <cellStyle name="20% - Accent4 20" xfId="4465" xr:uid="{00000000-0005-0000-0000-0000F2060000}"/>
    <cellStyle name="20% - Accent4 21" xfId="4313" xr:uid="{00000000-0005-0000-0000-0000F3060000}"/>
    <cellStyle name="20% - Accent4 22" xfId="3585" xr:uid="{00000000-0005-0000-0000-0000F4060000}"/>
    <cellStyle name="20% - Accent4 23" xfId="3547" xr:uid="{00000000-0005-0000-0000-0000F5060000}"/>
    <cellStyle name="20% - Accent4 24" xfId="4011" xr:uid="{00000000-0005-0000-0000-0000F6060000}"/>
    <cellStyle name="20% - Accent4 25" xfId="4484" xr:uid="{00000000-0005-0000-0000-0000F7060000}"/>
    <cellStyle name="20% - Accent4 26" xfId="4552" xr:uid="{00000000-0005-0000-0000-0000F8060000}"/>
    <cellStyle name="20% - Accent4 3" xfId="215" xr:uid="{00000000-0005-0000-0000-0000F9060000}"/>
    <cellStyle name="20% - Accent4 3 10" xfId="4539" xr:uid="{00000000-0005-0000-0000-0000FA060000}"/>
    <cellStyle name="20% - Accent4 3 11" xfId="4355" xr:uid="{00000000-0005-0000-0000-0000FB060000}"/>
    <cellStyle name="20% - Accent4 3 2" xfId="2003" xr:uid="{00000000-0005-0000-0000-0000FC060000}"/>
    <cellStyle name="20% - Accent4 3 2 2" xfId="7737" xr:uid="{00000000-0005-0000-0000-0000FD060000}"/>
    <cellStyle name="20% - Accent4 3 2 3" xfId="4345" xr:uid="{00000000-0005-0000-0000-0000FE060000}"/>
    <cellStyle name="20% - Accent4 3 3" xfId="2004" xr:uid="{00000000-0005-0000-0000-0000FF060000}"/>
    <cellStyle name="20% - Accent4 3 3 2" xfId="7738" xr:uid="{00000000-0005-0000-0000-000000070000}"/>
    <cellStyle name="20% - Accent4 3 4" xfId="4407" xr:uid="{00000000-0005-0000-0000-000001070000}"/>
    <cellStyle name="20% - Accent4 3 4 2" xfId="7739" xr:uid="{00000000-0005-0000-0000-000002070000}"/>
    <cellStyle name="20% - Accent4 3 5" xfId="3438" xr:uid="{00000000-0005-0000-0000-000003070000}"/>
    <cellStyle name="20% - Accent4 3 5 2" xfId="7740" xr:uid="{00000000-0005-0000-0000-000004070000}"/>
    <cellStyle name="20% - Accent4 3 6" xfId="4660" xr:uid="{00000000-0005-0000-0000-000005070000}"/>
    <cellStyle name="20% - Accent4 3 7" xfId="4466" xr:uid="{00000000-0005-0000-0000-000006070000}"/>
    <cellStyle name="20% - Accent4 3 8" xfId="4567" xr:uid="{00000000-0005-0000-0000-000007070000}"/>
    <cellStyle name="20% - Accent4 3 9" xfId="4371" xr:uid="{00000000-0005-0000-0000-000008070000}"/>
    <cellStyle name="20% - Accent4 4" xfId="2005" xr:uid="{00000000-0005-0000-0000-000009070000}"/>
    <cellStyle name="20% - Accent4 4 2" xfId="2006" xr:uid="{00000000-0005-0000-0000-00000A070000}"/>
    <cellStyle name="20% - Accent4 4 2 2" xfId="4448" xr:uid="{00000000-0005-0000-0000-00000B070000}"/>
    <cellStyle name="20% - Accent4 4 3" xfId="2007" xr:uid="{00000000-0005-0000-0000-00000C070000}"/>
    <cellStyle name="20% - Accent4 4 3 2" xfId="4658" xr:uid="{00000000-0005-0000-0000-00000D070000}"/>
    <cellStyle name="20% - Accent4 4 4" xfId="4464" xr:uid="{00000000-0005-0000-0000-00000E070000}"/>
    <cellStyle name="20% - Accent4 4 5" xfId="4312" xr:uid="{00000000-0005-0000-0000-00000F070000}"/>
    <cellStyle name="20% - Accent4 4 6" xfId="3472" xr:uid="{00000000-0005-0000-0000-000010070000}"/>
    <cellStyle name="20% - Accent4 4 7" xfId="4645" xr:uid="{00000000-0005-0000-0000-000011070000}"/>
    <cellStyle name="20% - Accent4 5" xfId="2008" xr:uid="{00000000-0005-0000-0000-000012070000}"/>
    <cellStyle name="20% - Accent4 5 2" xfId="3906" xr:uid="{00000000-0005-0000-0000-000013070000}"/>
    <cellStyle name="20% - Accent4 5 3" xfId="3537" xr:uid="{00000000-0005-0000-0000-000014070000}"/>
    <cellStyle name="20% - Accent4 5 4" xfId="3751" xr:uid="{00000000-0005-0000-0000-000015070000}"/>
    <cellStyle name="20% - Accent4 5 5" xfId="3571" xr:uid="{00000000-0005-0000-0000-000016070000}"/>
    <cellStyle name="20% - Accent4 5 6" xfId="3525" xr:uid="{00000000-0005-0000-0000-000017070000}"/>
    <cellStyle name="20% - Accent4 5 7" xfId="3636" xr:uid="{00000000-0005-0000-0000-000018070000}"/>
    <cellStyle name="20% - Accent4 6" xfId="4050" xr:uid="{00000000-0005-0000-0000-000019070000}"/>
    <cellStyle name="20% - Accent4 6 2" xfId="3857" xr:uid="{00000000-0005-0000-0000-00001A070000}"/>
    <cellStyle name="20% - Accent4 6 3" xfId="3331" xr:uid="{00000000-0005-0000-0000-00001B070000}"/>
    <cellStyle name="20% - Accent4 6 4" xfId="4219" xr:uid="{00000000-0005-0000-0000-00001C070000}"/>
    <cellStyle name="20% - Accent4 6 5" xfId="4166" xr:uid="{00000000-0005-0000-0000-00001D070000}"/>
    <cellStyle name="20% - Accent4 6 6" xfId="4477" xr:uid="{00000000-0005-0000-0000-00001E070000}"/>
    <cellStyle name="20% - Accent4 7" xfId="4643" xr:uid="{00000000-0005-0000-0000-00001F070000}"/>
    <cellStyle name="20% - Accent4 7 2" xfId="4446" xr:uid="{00000000-0005-0000-0000-000020070000}"/>
    <cellStyle name="20% - Accent4 7 3" xfId="4563" xr:uid="{00000000-0005-0000-0000-000021070000}"/>
    <cellStyle name="20% - Accent4 7 4" xfId="4367" xr:uid="{00000000-0005-0000-0000-000022070000}"/>
    <cellStyle name="20% - Accent4 7 5" xfId="4577" xr:uid="{00000000-0005-0000-0000-000023070000}"/>
    <cellStyle name="20% - Accent4 7 6" xfId="4381" xr:uid="{00000000-0005-0000-0000-000024070000}"/>
    <cellStyle name="20% - Accent4 7 7" xfId="7741" xr:uid="{00000000-0005-0000-0000-000025070000}"/>
    <cellStyle name="20% - Accent4 8" xfId="3996" xr:uid="{00000000-0005-0000-0000-000026070000}"/>
    <cellStyle name="20% - Accent4 8 2" xfId="4470" xr:uid="{00000000-0005-0000-0000-000027070000}"/>
    <cellStyle name="20% - Accent4 8 3" xfId="4531" xr:uid="{00000000-0005-0000-0000-000028070000}"/>
    <cellStyle name="20% - Accent4 8 4" xfId="4337" xr:uid="{00000000-0005-0000-0000-000029070000}"/>
    <cellStyle name="20% - Accent4 8 5" xfId="4619" xr:uid="{00000000-0005-0000-0000-00002A070000}"/>
    <cellStyle name="20% - Accent4 8 6" xfId="4423" xr:uid="{00000000-0005-0000-0000-00002B070000}"/>
    <cellStyle name="20% - Accent4 9" xfId="4540" xr:uid="{00000000-0005-0000-0000-00002C070000}"/>
    <cellStyle name="20% - Accent4 9 2" xfId="4346" xr:uid="{00000000-0005-0000-0000-00002D070000}"/>
    <cellStyle name="20% - Accent4 9 3" xfId="3725" xr:uid="{00000000-0005-0000-0000-00002E070000}"/>
    <cellStyle name="20% - Accent4 9 4" xfId="4233" xr:uid="{00000000-0005-0000-0000-00002F070000}"/>
    <cellStyle name="20% - Accent4 9 5" xfId="4469" xr:uid="{00000000-0005-0000-0000-000030070000}"/>
    <cellStyle name="20% - Accent5" xfId="12143" builtinId="46" customBuiltin="1"/>
    <cellStyle name="20% - Accent5 10" xfId="4657" xr:uid="{00000000-0005-0000-0000-000032070000}"/>
    <cellStyle name="20% - Accent5 11" xfId="4463" xr:uid="{00000000-0005-0000-0000-000033070000}"/>
    <cellStyle name="20% - Accent5 12" xfId="4648" xr:uid="{00000000-0005-0000-0000-000034070000}"/>
    <cellStyle name="20% - Accent5 13" xfId="4451" xr:uid="{00000000-0005-0000-0000-000035070000}"/>
    <cellStyle name="20% - Accent5 14" xfId="4538" xr:uid="{00000000-0005-0000-0000-000036070000}"/>
    <cellStyle name="20% - Accent5 15" xfId="4344" xr:uid="{00000000-0005-0000-0000-000037070000}"/>
    <cellStyle name="20% - Accent5 16" xfId="4483" xr:uid="{00000000-0005-0000-0000-000038070000}"/>
    <cellStyle name="20% - Accent5 2" xfId="96" xr:uid="{00000000-0005-0000-0000-000039070000}"/>
    <cellStyle name="20% - Accent5 2 10" xfId="4356" xr:uid="{00000000-0005-0000-0000-00003A070000}"/>
    <cellStyle name="20% - Accent5 2 10 2" xfId="7742" xr:uid="{00000000-0005-0000-0000-00003B070000}"/>
    <cellStyle name="20% - Accent5 2 11" xfId="4541" xr:uid="{00000000-0005-0000-0000-00003C070000}"/>
    <cellStyle name="20% - Accent5 2 11 2" xfId="4347" xr:uid="{00000000-0005-0000-0000-00003D070000}"/>
    <cellStyle name="20% - Accent5 2 11 2 2" xfId="7743" xr:uid="{00000000-0005-0000-0000-00003E070000}"/>
    <cellStyle name="20% - Accent5 2 11 3" xfId="4602" xr:uid="{00000000-0005-0000-0000-00003F070000}"/>
    <cellStyle name="20% - Accent5 2 11 3 2" xfId="7744" xr:uid="{00000000-0005-0000-0000-000040070000}"/>
    <cellStyle name="20% - Accent5 2 11 4" xfId="4406" xr:uid="{00000000-0005-0000-0000-000041070000}"/>
    <cellStyle name="20% - Accent5 2 11 4 2" xfId="7745" xr:uid="{00000000-0005-0000-0000-000042070000}"/>
    <cellStyle name="20% - Accent5 2 11 5" xfId="3427" xr:uid="{00000000-0005-0000-0000-000043070000}"/>
    <cellStyle name="20% - Accent5 2 11 5 2" xfId="7746" xr:uid="{00000000-0005-0000-0000-000044070000}"/>
    <cellStyle name="20% - Accent5 2 12" xfId="4490" xr:uid="{00000000-0005-0000-0000-000045070000}"/>
    <cellStyle name="20% - Accent5 2 13" xfId="4561" xr:uid="{00000000-0005-0000-0000-000046070000}"/>
    <cellStyle name="20% - Accent5 2 14" xfId="4365" xr:uid="{00000000-0005-0000-0000-000047070000}"/>
    <cellStyle name="20% - Accent5 2 15" xfId="4512" xr:uid="{00000000-0005-0000-0000-000048070000}"/>
    <cellStyle name="20% - Accent5 2 15 2" xfId="7747" xr:uid="{00000000-0005-0000-0000-000049070000}"/>
    <cellStyle name="20% - Accent5 2 16" xfId="4317" xr:uid="{00000000-0005-0000-0000-00004A070000}"/>
    <cellStyle name="20% - Accent5 2 2" xfId="1429" xr:uid="{00000000-0005-0000-0000-00004B070000}"/>
    <cellStyle name="20% - Accent5 2 2 10" xfId="7748" xr:uid="{00000000-0005-0000-0000-00004C070000}"/>
    <cellStyle name="20% - Accent5 2 2 11" xfId="4636" xr:uid="{00000000-0005-0000-0000-00004D070000}"/>
    <cellStyle name="20% - Accent5 2 2 2" xfId="1430" xr:uid="{00000000-0005-0000-0000-00004E070000}"/>
    <cellStyle name="20% - Accent5 2 2 2 2" xfId="7749" xr:uid="{00000000-0005-0000-0000-00004F070000}"/>
    <cellStyle name="20% - Accent5 2 2 2 3" xfId="4439" xr:uid="{00000000-0005-0000-0000-000050070000}"/>
    <cellStyle name="20% - Accent5 2 2 3" xfId="1431" xr:uid="{00000000-0005-0000-0000-000051070000}"/>
    <cellStyle name="20% - Accent5 2 2 3 2" xfId="7750" xr:uid="{00000000-0005-0000-0000-000052070000}"/>
    <cellStyle name="20% - Accent5 2 2 3 3" xfId="3541" xr:uid="{00000000-0005-0000-0000-000053070000}"/>
    <cellStyle name="20% - Accent5 2 2 4" xfId="2009" xr:uid="{00000000-0005-0000-0000-000054070000}"/>
    <cellStyle name="20% - Accent5 2 2 4 2" xfId="7751" xr:uid="{00000000-0005-0000-0000-000055070000}"/>
    <cellStyle name="20% - Accent5 2 2 4 3" xfId="3652" xr:uid="{00000000-0005-0000-0000-000056070000}"/>
    <cellStyle name="20% - Accent5 2 2 5" xfId="4210" xr:uid="{00000000-0005-0000-0000-000057070000}"/>
    <cellStyle name="20% - Accent5 2 2 5 2" xfId="7752" xr:uid="{00000000-0005-0000-0000-000058070000}"/>
    <cellStyle name="20% - Accent5 2 2 6" xfId="4002" xr:uid="{00000000-0005-0000-0000-000059070000}"/>
    <cellStyle name="20% - Accent5 2 2 6 2" xfId="7753" xr:uid="{00000000-0005-0000-0000-00005A070000}"/>
    <cellStyle name="20% - Accent5 2 2 7" xfId="4468" xr:uid="{00000000-0005-0000-0000-00005B070000}"/>
    <cellStyle name="20% - Accent5 2 2 7 2" xfId="7754" xr:uid="{00000000-0005-0000-0000-00005C070000}"/>
    <cellStyle name="20% - Accent5 2 2 8" xfId="4649" xr:uid="{00000000-0005-0000-0000-00005D070000}"/>
    <cellStyle name="20% - Accent5 2 2 8 2" xfId="7755" xr:uid="{00000000-0005-0000-0000-00005E070000}"/>
    <cellStyle name="20% - Accent5 2 2 9" xfId="4452" xr:uid="{00000000-0005-0000-0000-00005F070000}"/>
    <cellStyle name="20% - Accent5 2 2 9 2" xfId="7756" xr:uid="{00000000-0005-0000-0000-000060070000}"/>
    <cellStyle name="20% - Accent5 2 3" xfId="1432" xr:uid="{00000000-0005-0000-0000-000061070000}"/>
    <cellStyle name="20% - Accent5 2 3 10" xfId="7757" xr:uid="{00000000-0005-0000-0000-000062070000}"/>
    <cellStyle name="20% - Accent5 2 3 2" xfId="2010" xr:uid="{00000000-0005-0000-0000-000063070000}"/>
    <cellStyle name="20% - Accent5 2 3 2 2" xfId="7758" xr:uid="{00000000-0005-0000-0000-000064070000}"/>
    <cellStyle name="20% - Accent5 2 3 3" xfId="2011" xr:uid="{00000000-0005-0000-0000-000065070000}"/>
    <cellStyle name="20% - Accent5 2 3 3 2" xfId="7759" xr:uid="{00000000-0005-0000-0000-000066070000}"/>
    <cellStyle name="20% - Accent5 2 3 4" xfId="2012" xr:uid="{00000000-0005-0000-0000-000067070000}"/>
    <cellStyle name="20% - Accent5 2 3 4 2" xfId="7760" xr:uid="{00000000-0005-0000-0000-000068070000}"/>
    <cellStyle name="20% - Accent5 2 3 4 3" xfId="4533" xr:uid="{00000000-0005-0000-0000-000069070000}"/>
    <cellStyle name="20% - Accent5 2 3 5" xfId="4339" xr:uid="{00000000-0005-0000-0000-00006A070000}"/>
    <cellStyle name="20% - Accent5 2 3 5 2" xfId="7761" xr:uid="{00000000-0005-0000-0000-00006B070000}"/>
    <cellStyle name="20% - Accent5 2 3 6" xfId="4609" xr:uid="{00000000-0005-0000-0000-00006C070000}"/>
    <cellStyle name="20% - Accent5 2 3 6 2" xfId="7762" xr:uid="{00000000-0005-0000-0000-00006D070000}"/>
    <cellStyle name="20% - Accent5 2 3 7" xfId="4414" xr:uid="{00000000-0005-0000-0000-00006E070000}"/>
    <cellStyle name="20% - Accent5 2 3 7 2" xfId="7763" xr:uid="{00000000-0005-0000-0000-00006F070000}"/>
    <cellStyle name="20% - Accent5 2 3 8" xfId="4015" xr:uid="{00000000-0005-0000-0000-000070070000}"/>
    <cellStyle name="20% - Accent5 2 3 8 2" xfId="7764" xr:uid="{00000000-0005-0000-0000-000071070000}"/>
    <cellStyle name="20% - Accent5 2 3 9" xfId="4489" xr:uid="{00000000-0005-0000-0000-000072070000}"/>
    <cellStyle name="20% - Accent5 2 3 9 2" xfId="7765" xr:uid="{00000000-0005-0000-0000-000073070000}"/>
    <cellStyle name="20% - Accent5 2 4" xfId="2013" xr:uid="{00000000-0005-0000-0000-000074070000}"/>
    <cellStyle name="20% - Accent5 2 4 10" xfId="7766" xr:uid="{00000000-0005-0000-0000-000075070000}"/>
    <cellStyle name="20% - Accent5 2 4 2" xfId="2014" xr:uid="{00000000-0005-0000-0000-000076070000}"/>
    <cellStyle name="20% - Accent5 2 4 2 2" xfId="7767" xr:uid="{00000000-0005-0000-0000-000077070000}"/>
    <cellStyle name="20% - Accent5 2 4 3" xfId="4635" xr:uid="{00000000-0005-0000-0000-000078070000}"/>
    <cellStyle name="20% - Accent5 2 4 3 2" xfId="7768" xr:uid="{00000000-0005-0000-0000-000079070000}"/>
    <cellStyle name="20% - Accent5 2 4 4" xfId="4438" xr:uid="{00000000-0005-0000-0000-00007A070000}"/>
    <cellStyle name="20% - Accent5 2 4 4 2" xfId="7769" xr:uid="{00000000-0005-0000-0000-00007B070000}"/>
    <cellStyle name="20% - Accent5 2 4 5" xfId="3816" xr:uid="{00000000-0005-0000-0000-00007C070000}"/>
    <cellStyle name="20% - Accent5 2 4 5 2" xfId="7770" xr:uid="{00000000-0005-0000-0000-00007D070000}"/>
    <cellStyle name="20% - Accent5 2 4 6" xfId="3416" xr:uid="{00000000-0005-0000-0000-00007E070000}"/>
    <cellStyle name="20% - Accent5 2 4 6 2" xfId="7771" xr:uid="{00000000-0005-0000-0000-00007F070000}"/>
    <cellStyle name="20% - Accent5 2 4 7" xfId="3837" xr:uid="{00000000-0005-0000-0000-000080070000}"/>
    <cellStyle name="20% - Accent5 2 4 7 2" xfId="7772" xr:uid="{00000000-0005-0000-0000-000081070000}"/>
    <cellStyle name="20% - Accent5 2 4 8" xfId="3933" xr:uid="{00000000-0005-0000-0000-000082070000}"/>
    <cellStyle name="20% - Accent5 2 4 8 2" xfId="7773" xr:uid="{00000000-0005-0000-0000-000083070000}"/>
    <cellStyle name="20% - Accent5 2 4 9" xfId="3336" xr:uid="{00000000-0005-0000-0000-000084070000}"/>
    <cellStyle name="20% - Accent5 2 4 9 2" xfId="7774" xr:uid="{00000000-0005-0000-0000-000085070000}"/>
    <cellStyle name="20% - Accent5 2 5" xfId="2015" xr:uid="{00000000-0005-0000-0000-000086070000}"/>
    <cellStyle name="20% - Accent5 2 5 2" xfId="4162" xr:uid="{00000000-0005-0000-0000-000087070000}"/>
    <cellStyle name="20% - Accent5 2 5 2 2" xfId="7776" xr:uid="{00000000-0005-0000-0000-000088070000}"/>
    <cellStyle name="20% - Accent5 2 5 3" xfId="3993" xr:uid="{00000000-0005-0000-0000-000089070000}"/>
    <cellStyle name="20% - Accent5 2 5 3 2" xfId="7777" xr:uid="{00000000-0005-0000-0000-00008A070000}"/>
    <cellStyle name="20% - Accent5 2 5 4" xfId="3860" xr:uid="{00000000-0005-0000-0000-00008B070000}"/>
    <cellStyle name="20% - Accent5 2 5 4 2" xfId="7778" xr:uid="{00000000-0005-0000-0000-00008C070000}"/>
    <cellStyle name="20% - Accent5 2 5 5" xfId="4482" xr:uid="{00000000-0005-0000-0000-00008D070000}"/>
    <cellStyle name="20% - Accent5 2 5 5 2" xfId="7779" xr:uid="{00000000-0005-0000-0000-00008E070000}"/>
    <cellStyle name="20% - Accent5 2 5 6" xfId="7775" xr:uid="{00000000-0005-0000-0000-00008F070000}"/>
    <cellStyle name="20% - Accent5 2 6" xfId="2016" xr:uid="{00000000-0005-0000-0000-000090070000}"/>
    <cellStyle name="20% - Accent5 2 6 2" xfId="4453" xr:uid="{00000000-0005-0000-0000-000091070000}"/>
    <cellStyle name="20% - Accent5 2 6 2 2" xfId="7781" xr:uid="{00000000-0005-0000-0000-000092070000}"/>
    <cellStyle name="20% - Accent5 2 6 3" xfId="4631" xr:uid="{00000000-0005-0000-0000-000093070000}"/>
    <cellStyle name="20% - Accent5 2 6 3 2" xfId="7782" xr:uid="{00000000-0005-0000-0000-000094070000}"/>
    <cellStyle name="20% - Accent5 2 6 4" xfId="4434" xr:uid="{00000000-0005-0000-0000-000095070000}"/>
    <cellStyle name="20% - Accent5 2 6 4 2" xfId="7783" xr:uid="{00000000-0005-0000-0000-000096070000}"/>
    <cellStyle name="20% - Accent5 2 6 5" xfId="4600" xr:uid="{00000000-0005-0000-0000-000097070000}"/>
    <cellStyle name="20% - Accent5 2 6 5 2" xfId="7784" xr:uid="{00000000-0005-0000-0000-000098070000}"/>
    <cellStyle name="20% - Accent5 2 6 6" xfId="7780" xr:uid="{00000000-0005-0000-0000-000099070000}"/>
    <cellStyle name="20% - Accent5 2 7" xfId="2017" xr:uid="{00000000-0005-0000-0000-00009A070000}"/>
    <cellStyle name="20% - Accent5 2 7 2" xfId="7785" xr:uid="{00000000-0005-0000-0000-00009B070000}"/>
    <cellStyle name="20% - Accent5 2 7 3" xfId="4404" xr:uid="{00000000-0005-0000-0000-00009C070000}"/>
    <cellStyle name="20% - Accent5 2 8" xfId="2018" xr:uid="{00000000-0005-0000-0000-00009D070000}"/>
    <cellStyle name="20% - Accent5 2 8 2" xfId="7786" xr:uid="{00000000-0005-0000-0000-00009E070000}"/>
    <cellStyle name="20% - Accent5 2 8 3" xfId="4075" xr:uid="{00000000-0005-0000-0000-00009F070000}"/>
    <cellStyle name="20% - Accent5 2 9" xfId="4632" xr:uid="{00000000-0005-0000-0000-0000A0070000}"/>
    <cellStyle name="20% - Accent5 2 9 2" xfId="7787" xr:uid="{00000000-0005-0000-0000-0000A1070000}"/>
    <cellStyle name="20% - Accent5 3" xfId="216" xr:uid="{00000000-0005-0000-0000-0000A2070000}"/>
    <cellStyle name="20% - Accent5 3 10" xfId="3350" xr:uid="{00000000-0005-0000-0000-0000A3070000}"/>
    <cellStyle name="20% - Accent5 3 11" xfId="4435" xr:uid="{00000000-0005-0000-0000-0000A4070000}"/>
    <cellStyle name="20% - Accent5 3 2" xfId="2019" xr:uid="{00000000-0005-0000-0000-0000A5070000}"/>
    <cellStyle name="20% - Accent5 3 2 2" xfId="7788" xr:uid="{00000000-0005-0000-0000-0000A6070000}"/>
    <cellStyle name="20% - Accent5 3 2 3" xfId="3818" xr:uid="{00000000-0005-0000-0000-0000A7070000}"/>
    <cellStyle name="20% - Accent5 3 3" xfId="2020" xr:uid="{00000000-0005-0000-0000-0000A8070000}"/>
    <cellStyle name="20% - Accent5 3 3 2" xfId="7789" xr:uid="{00000000-0005-0000-0000-0000A9070000}"/>
    <cellStyle name="20% - Accent5 3 4" xfId="4560" xr:uid="{00000000-0005-0000-0000-0000AA070000}"/>
    <cellStyle name="20% - Accent5 3 4 2" xfId="7790" xr:uid="{00000000-0005-0000-0000-0000AB070000}"/>
    <cellStyle name="20% - Accent5 3 5" xfId="4364" xr:uid="{00000000-0005-0000-0000-0000AC070000}"/>
    <cellStyle name="20% - Accent5 3 5 2" xfId="7791" xr:uid="{00000000-0005-0000-0000-0000AD070000}"/>
    <cellStyle name="20% - Accent5 3 6" xfId="4578" xr:uid="{00000000-0005-0000-0000-0000AE070000}"/>
    <cellStyle name="20% - Accent5 3 6 2" xfId="4382" xr:uid="{00000000-0005-0000-0000-0000AF070000}"/>
    <cellStyle name="20% - Accent5 3 6 2 2" xfId="7792" xr:uid="{00000000-0005-0000-0000-0000B0070000}"/>
    <cellStyle name="20% - Accent5 3 6 3" xfId="4601" xr:uid="{00000000-0005-0000-0000-0000B1070000}"/>
    <cellStyle name="20% - Accent5 3 6 3 2" xfId="7793" xr:uid="{00000000-0005-0000-0000-0000B2070000}"/>
    <cellStyle name="20% - Accent5 3 6 4" xfId="4405" xr:uid="{00000000-0005-0000-0000-0000B3070000}"/>
    <cellStyle name="20% - Accent5 3 6 4 2" xfId="7794" xr:uid="{00000000-0005-0000-0000-0000B4070000}"/>
    <cellStyle name="20% - Accent5 3 6 5" xfId="3578" xr:uid="{00000000-0005-0000-0000-0000B5070000}"/>
    <cellStyle name="20% - Accent5 3 6 5 2" xfId="7795" xr:uid="{00000000-0005-0000-0000-0000B6070000}"/>
    <cellStyle name="20% - Accent5 3 7" xfId="4521" xr:uid="{00000000-0005-0000-0000-0000B7070000}"/>
    <cellStyle name="20% - Accent5 3 8" xfId="4328" xr:uid="{00000000-0005-0000-0000-0000B8070000}"/>
    <cellStyle name="20% - Accent5 3 9" xfId="3944" xr:uid="{00000000-0005-0000-0000-0000B9070000}"/>
    <cellStyle name="20% - Accent5 4" xfId="2021" xr:uid="{00000000-0005-0000-0000-0000BA070000}"/>
    <cellStyle name="20% - Accent5 4 10" xfId="3798" xr:uid="{00000000-0005-0000-0000-0000BB070000}"/>
    <cellStyle name="20% - Accent5 4 11" xfId="3979" xr:uid="{00000000-0005-0000-0000-0000BC070000}"/>
    <cellStyle name="20% - Accent5 4 2" xfId="2022" xr:uid="{00000000-0005-0000-0000-0000BD070000}"/>
    <cellStyle name="20% - Accent5 4 2 2" xfId="4480" xr:uid="{00000000-0005-0000-0000-0000BE070000}"/>
    <cellStyle name="20% - Accent5 4 2 2 2" xfId="7796" xr:uid="{00000000-0005-0000-0000-0000BF070000}"/>
    <cellStyle name="20% - Accent5 4 2 3" xfId="4562" xr:uid="{00000000-0005-0000-0000-0000C0070000}"/>
    <cellStyle name="20% - Accent5 4 2 3 2" xfId="7797" xr:uid="{00000000-0005-0000-0000-0000C1070000}"/>
    <cellStyle name="20% - Accent5 4 2 4" xfId="4366" xr:uid="{00000000-0005-0000-0000-0000C2070000}"/>
    <cellStyle name="20% - Accent5 4 2 4 2" xfId="7798" xr:uid="{00000000-0005-0000-0000-0000C3070000}"/>
    <cellStyle name="20% - Accent5 4 2 5" xfId="4543" xr:uid="{00000000-0005-0000-0000-0000C4070000}"/>
    <cellStyle name="20% - Accent5 4 2 5 2" xfId="7799" xr:uid="{00000000-0005-0000-0000-0000C5070000}"/>
    <cellStyle name="20% - Accent5 4 2 6" xfId="4012" xr:uid="{00000000-0005-0000-0000-0000C6070000}"/>
    <cellStyle name="20% - Accent5 4 3" xfId="2023" xr:uid="{00000000-0005-0000-0000-0000C7070000}"/>
    <cellStyle name="20% - Accent5 4 3 2" xfId="7800" xr:uid="{00000000-0005-0000-0000-0000C8070000}"/>
    <cellStyle name="20% - Accent5 4 4" xfId="4598" xr:uid="{00000000-0005-0000-0000-0000C9070000}"/>
    <cellStyle name="20% - Accent5 4 4 2" xfId="7801" xr:uid="{00000000-0005-0000-0000-0000CA070000}"/>
    <cellStyle name="20% - Accent5 4 5" xfId="4402" xr:uid="{00000000-0005-0000-0000-0000CB070000}"/>
    <cellStyle name="20% - Accent5 4 5 2" xfId="7802" xr:uid="{00000000-0005-0000-0000-0000CC070000}"/>
    <cellStyle name="20% - Accent5 4 6" xfId="3791" xr:uid="{00000000-0005-0000-0000-0000CD070000}"/>
    <cellStyle name="20% - Accent5 4 6 2" xfId="7803" xr:uid="{00000000-0005-0000-0000-0000CE070000}"/>
    <cellStyle name="20% - Accent5 4 7" xfId="3637" xr:uid="{00000000-0005-0000-0000-0000CF070000}"/>
    <cellStyle name="20% - Accent5 4 8" xfId="4481" xr:uid="{00000000-0005-0000-0000-0000D0070000}"/>
    <cellStyle name="20% - Accent5 4 9" xfId="4566" xr:uid="{00000000-0005-0000-0000-0000D1070000}"/>
    <cellStyle name="20% - Accent5 5" xfId="2024" xr:uid="{00000000-0005-0000-0000-0000D2070000}"/>
    <cellStyle name="20% - Accent5 5 2" xfId="4542" xr:uid="{00000000-0005-0000-0000-0000D3070000}"/>
    <cellStyle name="20% - Accent5 5 3" xfId="4348" xr:uid="{00000000-0005-0000-0000-0000D4070000}"/>
    <cellStyle name="20% - Accent5 5 4" xfId="4599" xr:uid="{00000000-0005-0000-0000-0000D5070000}"/>
    <cellStyle name="20% - Accent5 5 5" xfId="4403" xr:uid="{00000000-0005-0000-0000-0000D6070000}"/>
    <cellStyle name="20% - Accent5 5 6" xfId="3535" xr:uid="{00000000-0005-0000-0000-0000D7070000}"/>
    <cellStyle name="20% - Accent5 5 7" xfId="4370" xr:uid="{00000000-0005-0000-0000-0000D8070000}"/>
    <cellStyle name="20% - Accent5 6" xfId="3342" xr:uid="{00000000-0005-0000-0000-0000D9070000}"/>
    <cellStyle name="20% - Accent5 6 2" xfId="4217" xr:uid="{00000000-0005-0000-0000-0000DA070000}"/>
    <cellStyle name="20% - Accent5 6 3" xfId="4094" xr:uid="{00000000-0005-0000-0000-0000DB070000}"/>
    <cellStyle name="20% - Accent5 6 4" xfId="4100" xr:uid="{00000000-0005-0000-0000-0000DC070000}"/>
    <cellStyle name="20% - Accent5 6 5" xfId="4033" xr:uid="{00000000-0005-0000-0000-0000DD070000}"/>
    <cellStyle name="20% - Accent5 6 6" xfId="4587" xr:uid="{00000000-0005-0000-0000-0000DE070000}"/>
    <cellStyle name="20% - Accent5 7" xfId="4392" xr:uid="{00000000-0005-0000-0000-0000DF070000}"/>
    <cellStyle name="20% - Accent5 7 2" xfId="4544" xr:uid="{00000000-0005-0000-0000-0000E0070000}"/>
    <cellStyle name="20% - Accent5 7 3" xfId="4349" xr:uid="{00000000-0005-0000-0000-0000E1070000}"/>
    <cellStyle name="20% - Accent5 7 4" xfId="4596" xr:uid="{00000000-0005-0000-0000-0000E2070000}"/>
    <cellStyle name="20% - Accent5 7 5" xfId="4400" xr:uid="{00000000-0005-0000-0000-0000E3070000}"/>
    <cellStyle name="20% - Accent5 7 6" xfId="3896" xr:uid="{00000000-0005-0000-0000-0000E4070000}"/>
    <cellStyle name="20% - Accent5 7 7" xfId="7804" xr:uid="{00000000-0005-0000-0000-0000E5070000}"/>
    <cellStyle name="20% - Accent5 8" xfId="4499" xr:uid="{00000000-0005-0000-0000-0000E6070000}"/>
    <cellStyle name="20% - Accent5 8 2" xfId="4588" xr:uid="{00000000-0005-0000-0000-0000E7070000}"/>
    <cellStyle name="20% - Accent5 9" xfId="4393" xr:uid="{00000000-0005-0000-0000-0000E8070000}"/>
    <cellStyle name="20% - Accent6" xfId="12147" builtinId="50" customBuiltin="1"/>
    <cellStyle name="20% - Accent6 10" xfId="3475" xr:uid="{00000000-0005-0000-0000-0000EA070000}"/>
    <cellStyle name="20% - Accent6 10 2" xfId="4651" xr:uid="{00000000-0005-0000-0000-0000EB070000}"/>
    <cellStyle name="20% - Accent6 10 3" xfId="4456" xr:uid="{00000000-0005-0000-0000-0000EC070000}"/>
    <cellStyle name="20% - Accent6 10 4" xfId="4640" xr:uid="{00000000-0005-0000-0000-0000ED070000}"/>
    <cellStyle name="20% - Accent6 10 5" xfId="4443" xr:uid="{00000000-0005-0000-0000-0000EE070000}"/>
    <cellStyle name="20% - Accent6 11" xfId="4597" xr:uid="{00000000-0005-0000-0000-0000EF070000}"/>
    <cellStyle name="20% - Accent6 11 2" xfId="4401" xr:uid="{00000000-0005-0000-0000-0000F0070000}"/>
    <cellStyle name="20% - Accent6 11 3" xfId="4208" xr:uid="{00000000-0005-0000-0000-0000F1070000}"/>
    <cellStyle name="20% - Accent6 11 4" xfId="4500" xr:uid="{00000000-0005-0000-0000-0000F2070000}"/>
    <cellStyle name="20% - Accent6 11 5" xfId="4633" xr:uid="{00000000-0005-0000-0000-0000F3070000}"/>
    <cellStyle name="20% - Accent6 12" xfId="4436" xr:uid="{00000000-0005-0000-0000-0000F4070000}"/>
    <cellStyle name="20% - Accent6 12 2" xfId="3310" xr:uid="{00000000-0005-0000-0000-0000F5070000}"/>
    <cellStyle name="20% - Accent6 12 3" xfId="4160" xr:uid="{00000000-0005-0000-0000-0000F6070000}"/>
    <cellStyle name="20% - Accent6 12 4" xfId="4168" xr:uid="{00000000-0005-0000-0000-0000F7070000}"/>
    <cellStyle name="20% - Accent6 12 5" xfId="3347" xr:uid="{00000000-0005-0000-0000-0000F8070000}"/>
    <cellStyle name="20% - Accent6 13" xfId="3911" xr:uid="{00000000-0005-0000-0000-0000F9070000}"/>
    <cellStyle name="20% - Accent6 14" xfId="3841" xr:uid="{00000000-0005-0000-0000-0000FA070000}"/>
    <cellStyle name="20% - Accent6 14 2" xfId="7805" xr:uid="{00000000-0005-0000-0000-0000FB070000}"/>
    <cellStyle name="20% - Accent6 15" xfId="3963" xr:uid="{00000000-0005-0000-0000-0000FC070000}"/>
    <cellStyle name="20% - Accent6 16" xfId="3704" xr:uid="{00000000-0005-0000-0000-0000FD070000}"/>
    <cellStyle name="20% - Accent6 17" xfId="3552" xr:uid="{00000000-0005-0000-0000-0000FE070000}"/>
    <cellStyle name="20% - Accent6 18" xfId="3520" xr:uid="{00000000-0005-0000-0000-0000FF070000}"/>
    <cellStyle name="20% - Accent6 19" xfId="3768" xr:uid="{00000000-0005-0000-0000-000000080000}"/>
    <cellStyle name="20% - Accent6 2" xfId="97" xr:uid="{00000000-0005-0000-0000-000001080000}"/>
    <cellStyle name="20% - Accent6 2 10" xfId="4363" xr:uid="{00000000-0005-0000-0000-000002080000}"/>
    <cellStyle name="20% - Accent6 2 10 2" xfId="4583" xr:uid="{00000000-0005-0000-0000-000003080000}"/>
    <cellStyle name="20% - Accent6 2 10 2 2" xfId="7806" xr:uid="{00000000-0005-0000-0000-000004080000}"/>
    <cellStyle name="20% - Accent6 2 10 3" xfId="4388" xr:uid="{00000000-0005-0000-0000-000005080000}"/>
    <cellStyle name="20% - Accent6 2 10 3 2" xfId="7807" xr:uid="{00000000-0005-0000-0000-000006080000}"/>
    <cellStyle name="20% - Accent6 2 10 4" xfId="4594" xr:uid="{00000000-0005-0000-0000-000007080000}"/>
    <cellStyle name="20% - Accent6 2 10 4 2" xfId="7808" xr:uid="{00000000-0005-0000-0000-000008080000}"/>
    <cellStyle name="20% - Accent6 2 10 5" xfId="4398" xr:uid="{00000000-0005-0000-0000-000009080000}"/>
    <cellStyle name="20% - Accent6 2 10 5 2" xfId="7809" xr:uid="{00000000-0005-0000-0000-00000A080000}"/>
    <cellStyle name="20% - Accent6 2 11" xfId="3570" xr:uid="{00000000-0005-0000-0000-00000B080000}"/>
    <cellStyle name="20% - Accent6 2 11 2" xfId="7810" xr:uid="{00000000-0005-0000-0000-00000C080000}"/>
    <cellStyle name="20% - Accent6 2 12" xfId="4497" xr:uid="{00000000-0005-0000-0000-00000D080000}"/>
    <cellStyle name="20% - Accent6 2 13" xfId="4634" xr:uid="{00000000-0005-0000-0000-00000E080000}"/>
    <cellStyle name="20% - Accent6 2 14" xfId="4437" xr:uid="{00000000-0005-0000-0000-00000F080000}"/>
    <cellStyle name="20% - Accent6 2 15" xfId="3526" xr:uid="{00000000-0005-0000-0000-000010080000}"/>
    <cellStyle name="20% - Accent6 2 15 2" xfId="7811" xr:uid="{00000000-0005-0000-0000-000011080000}"/>
    <cellStyle name="20% - Accent6 2 16" xfId="4522" xr:uid="{00000000-0005-0000-0000-000012080000}"/>
    <cellStyle name="20% - Accent6 2 17" xfId="4559" xr:uid="{00000000-0005-0000-0000-000013080000}"/>
    <cellStyle name="20% - Accent6 2 2" xfId="1433" xr:uid="{00000000-0005-0000-0000-000014080000}"/>
    <cellStyle name="20% - Accent6 2 2 10" xfId="7812" xr:uid="{00000000-0005-0000-0000-000015080000}"/>
    <cellStyle name="20% - Accent6 2 2 11" xfId="4329" xr:uid="{00000000-0005-0000-0000-000016080000}"/>
    <cellStyle name="20% - Accent6 2 2 2" xfId="1434" xr:uid="{00000000-0005-0000-0000-000017080000}"/>
    <cellStyle name="20% - Accent6 2 2 2 2" xfId="7813" xr:uid="{00000000-0005-0000-0000-000018080000}"/>
    <cellStyle name="20% - Accent6 2 2 2 3" xfId="4510" xr:uid="{00000000-0005-0000-0000-000019080000}"/>
    <cellStyle name="20% - Accent6 2 2 3" xfId="1435" xr:uid="{00000000-0005-0000-0000-00001A080000}"/>
    <cellStyle name="20% - Accent6 2 2 3 2" xfId="7814" xr:uid="{00000000-0005-0000-0000-00001B080000}"/>
    <cellStyle name="20% - Accent6 2 2 3 3" xfId="4315" xr:uid="{00000000-0005-0000-0000-00001C080000}"/>
    <cellStyle name="20% - Accent6 2 2 4" xfId="2025" xr:uid="{00000000-0005-0000-0000-00001D080000}"/>
    <cellStyle name="20% - Accent6 2 2 4 2" xfId="7815" xr:uid="{00000000-0005-0000-0000-00001E080000}"/>
    <cellStyle name="20% - Accent6 2 2 4 3" xfId="4595" xr:uid="{00000000-0005-0000-0000-00001F080000}"/>
    <cellStyle name="20% - Accent6 2 2 5" xfId="4399" xr:uid="{00000000-0005-0000-0000-000020080000}"/>
    <cellStyle name="20% - Accent6 2 2 5 2" xfId="7816" xr:uid="{00000000-0005-0000-0000-000021080000}"/>
    <cellStyle name="20% - Accent6 2 2 6" xfId="3940" xr:uid="{00000000-0005-0000-0000-000022080000}"/>
    <cellStyle name="20% - Accent6 2 2 6 2" xfId="7817" xr:uid="{00000000-0005-0000-0000-000023080000}"/>
    <cellStyle name="20% - Accent6 2 2 7" xfId="4498" xr:uid="{00000000-0005-0000-0000-000024080000}"/>
    <cellStyle name="20% - Accent6 2 2 7 2" xfId="7818" xr:uid="{00000000-0005-0000-0000-000025080000}"/>
    <cellStyle name="20% - Accent6 2 2 8" xfId="4523" xr:uid="{00000000-0005-0000-0000-000026080000}"/>
    <cellStyle name="20% - Accent6 2 2 8 2" xfId="7819" xr:uid="{00000000-0005-0000-0000-000027080000}"/>
    <cellStyle name="20% - Accent6 2 2 9" xfId="4330" xr:uid="{00000000-0005-0000-0000-000028080000}"/>
    <cellStyle name="20% - Accent6 2 2 9 2" xfId="7820" xr:uid="{00000000-0005-0000-0000-000029080000}"/>
    <cellStyle name="20% - Accent6 2 3" xfId="1436" xr:uid="{00000000-0005-0000-0000-00002A080000}"/>
    <cellStyle name="20% - Accent6 2 3 10" xfId="7821" xr:uid="{00000000-0005-0000-0000-00002B080000}"/>
    <cellStyle name="20% - Accent6 2 3 2" xfId="2026" xr:uid="{00000000-0005-0000-0000-00002C080000}"/>
    <cellStyle name="20% - Accent6 2 3 2 2" xfId="7822" xr:uid="{00000000-0005-0000-0000-00002D080000}"/>
    <cellStyle name="20% - Accent6 2 3 3" xfId="2027" xr:uid="{00000000-0005-0000-0000-00002E080000}"/>
    <cellStyle name="20% - Accent6 2 3 3 2" xfId="7823" xr:uid="{00000000-0005-0000-0000-00002F080000}"/>
    <cellStyle name="20% - Accent6 2 3 4" xfId="2028" xr:uid="{00000000-0005-0000-0000-000030080000}"/>
    <cellStyle name="20% - Accent6 2 3 4 2" xfId="7824" xr:uid="{00000000-0005-0000-0000-000031080000}"/>
    <cellStyle name="20% - Accent6 2 3 4 3" xfId="4230" xr:uid="{00000000-0005-0000-0000-000032080000}"/>
    <cellStyle name="20% - Accent6 2 3 5" xfId="4650" xr:uid="{00000000-0005-0000-0000-000033080000}"/>
    <cellStyle name="20% - Accent6 2 3 5 2" xfId="7825" xr:uid="{00000000-0005-0000-0000-000034080000}"/>
    <cellStyle name="20% - Accent6 2 3 6" xfId="4454" xr:uid="{00000000-0005-0000-0000-000035080000}"/>
    <cellStyle name="20% - Accent6 2 3 6 2" xfId="7826" xr:uid="{00000000-0005-0000-0000-000036080000}"/>
    <cellStyle name="20% - Accent6 2 3 7" xfId="4641" xr:uid="{00000000-0005-0000-0000-000037080000}"/>
    <cellStyle name="20% - Accent6 2 3 7 2" xfId="7827" xr:uid="{00000000-0005-0000-0000-000038080000}"/>
    <cellStyle name="20% - Accent6 2 3 8" xfId="4444" xr:uid="{00000000-0005-0000-0000-000039080000}"/>
    <cellStyle name="20% - Accent6 2 3 8 2" xfId="7828" xr:uid="{00000000-0005-0000-0000-00003A080000}"/>
    <cellStyle name="20% - Accent6 2 3 9" xfId="4592" xr:uid="{00000000-0005-0000-0000-00003B080000}"/>
    <cellStyle name="20% - Accent6 2 3 9 2" xfId="7829" xr:uid="{00000000-0005-0000-0000-00003C080000}"/>
    <cellStyle name="20% - Accent6 2 4" xfId="2029" xr:uid="{00000000-0005-0000-0000-00003D080000}"/>
    <cellStyle name="20% - Accent6 2 4 10" xfId="7830" xr:uid="{00000000-0005-0000-0000-00003E080000}"/>
    <cellStyle name="20% - Accent6 2 4 2" xfId="2030" xr:uid="{00000000-0005-0000-0000-00003F080000}"/>
    <cellStyle name="20% - Accent6 2 4 2 2" xfId="7831" xr:uid="{00000000-0005-0000-0000-000040080000}"/>
    <cellStyle name="20% - Accent6 2 4 3" xfId="4495" xr:uid="{00000000-0005-0000-0000-000041080000}"/>
    <cellStyle name="20% - Accent6 2 4 3 2" xfId="7832" xr:uid="{00000000-0005-0000-0000-000042080000}"/>
    <cellStyle name="20% - Accent6 2 4 4" xfId="4524" xr:uid="{00000000-0005-0000-0000-000043080000}"/>
    <cellStyle name="20% - Accent6 2 4 4 2" xfId="7833" xr:uid="{00000000-0005-0000-0000-000044080000}"/>
    <cellStyle name="20% - Accent6 2 4 5" xfId="4331" xr:uid="{00000000-0005-0000-0000-000045080000}"/>
    <cellStyle name="20% - Accent6 2 4 5 2" xfId="7834" xr:uid="{00000000-0005-0000-0000-000046080000}"/>
    <cellStyle name="20% - Accent6 2 4 6" xfId="3893" xr:uid="{00000000-0005-0000-0000-000047080000}"/>
    <cellStyle name="20% - Accent6 2 4 6 2" xfId="7835" xr:uid="{00000000-0005-0000-0000-000048080000}"/>
    <cellStyle name="20% - Accent6 2 4 7" xfId="4620" xr:uid="{00000000-0005-0000-0000-000049080000}"/>
    <cellStyle name="20% - Accent6 2 4 7 2" xfId="7836" xr:uid="{00000000-0005-0000-0000-00004A080000}"/>
    <cellStyle name="20% - Accent6 2 4 8" xfId="4424" xr:uid="{00000000-0005-0000-0000-00004B080000}"/>
    <cellStyle name="20% - Accent6 2 4 8 2" xfId="7837" xr:uid="{00000000-0005-0000-0000-00004C080000}"/>
    <cellStyle name="20% - Accent6 2 4 9" xfId="4545" xr:uid="{00000000-0005-0000-0000-00004D080000}"/>
    <cellStyle name="20% - Accent6 2 4 9 2" xfId="7838" xr:uid="{00000000-0005-0000-0000-00004E080000}"/>
    <cellStyle name="20% - Accent6 2 5" xfId="2031" xr:uid="{00000000-0005-0000-0000-00004F080000}"/>
    <cellStyle name="20% - Accent6 2 5 10" xfId="7839" xr:uid="{00000000-0005-0000-0000-000050080000}"/>
    <cellStyle name="20% - Accent6 2 5 2" xfId="4593" xr:uid="{00000000-0005-0000-0000-000051080000}"/>
    <cellStyle name="20% - Accent6 2 5 2 2" xfId="7840" xr:uid="{00000000-0005-0000-0000-000052080000}"/>
    <cellStyle name="20% - Accent6 2 5 3" xfId="4397" xr:uid="{00000000-0005-0000-0000-000053080000}"/>
    <cellStyle name="20% - Accent6 2 5 3 2" xfId="7841" xr:uid="{00000000-0005-0000-0000-000054080000}"/>
    <cellStyle name="20% - Accent6 2 5 4" xfId="3976" xr:uid="{00000000-0005-0000-0000-000055080000}"/>
    <cellStyle name="20% - Accent6 2 5 4 2" xfId="7842" xr:uid="{00000000-0005-0000-0000-000056080000}"/>
    <cellStyle name="20% - Accent6 2 5 5" xfId="4496" xr:uid="{00000000-0005-0000-0000-000057080000}"/>
    <cellStyle name="20% - Accent6 2 5 5 2" xfId="7843" xr:uid="{00000000-0005-0000-0000-000058080000}"/>
    <cellStyle name="20% - Accent6 2 5 6" xfId="4589" xr:uid="{00000000-0005-0000-0000-000059080000}"/>
    <cellStyle name="20% - Accent6 2 5 6 2" xfId="7844" xr:uid="{00000000-0005-0000-0000-00005A080000}"/>
    <cellStyle name="20% - Accent6 2 5 7" xfId="4394" xr:uid="{00000000-0005-0000-0000-00005B080000}"/>
    <cellStyle name="20% - Accent6 2 5 7 2" xfId="7845" xr:uid="{00000000-0005-0000-0000-00005C080000}"/>
    <cellStyle name="20% - Accent6 2 5 8" xfId="3707" xr:uid="{00000000-0005-0000-0000-00005D080000}"/>
    <cellStyle name="20% - Accent6 2 5 8 2" xfId="7846" xr:uid="{00000000-0005-0000-0000-00005E080000}"/>
    <cellStyle name="20% - Accent6 2 5 9" xfId="4148" xr:uid="{00000000-0005-0000-0000-00005F080000}"/>
    <cellStyle name="20% - Accent6 2 5 9 2" xfId="7847" xr:uid="{00000000-0005-0000-0000-000060080000}"/>
    <cellStyle name="20% - Accent6 2 6" xfId="2032" xr:uid="{00000000-0005-0000-0000-000061080000}"/>
    <cellStyle name="20% - Accent6 2 6 2" xfId="7848" xr:uid="{00000000-0005-0000-0000-000062080000}"/>
    <cellStyle name="20% - Accent6 2 7" xfId="2033" xr:uid="{00000000-0005-0000-0000-000063080000}"/>
    <cellStyle name="20% - Accent6 2 7 2" xfId="7849" xr:uid="{00000000-0005-0000-0000-000064080000}"/>
    <cellStyle name="20% - Accent6 2 7 3" xfId="4146" xr:uid="{00000000-0005-0000-0000-000065080000}"/>
    <cellStyle name="20% - Accent6 2 8" xfId="2034" xr:uid="{00000000-0005-0000-0000-000066080000}"/>
    <cellStyle name="20% - Accent6 2 8 2" xfId="7850" xr:uid="{00000000-0005-0000-0000-000067080000}"/>
    <cellStyle name="20% - Accent6 2 8 3" xfId="3561" xr:uid="{00000000-0005-0000-0000-000068080000}"/>
    <cellStyle name="20% - Accent6 2 9" xfId="4215" xr:uid="{00000000-0005-0000-0000-000069080000}"/>
    <cellStyle name="20% - Accent6 2 9 2" xfId="7851" xr:uid="{00000000-0005-0000-0000-00006A080000}"/>
    <cellStyle name="20% - Accent6 20" xfId="4621" xr:uid="{00000000-0005-0000-0000-00006B080000}"/>
    <cellStyle name="20% - Accent6 21" xfId="4425" xr:uid="{00000000-0005-0000-0000-00006C080000}"/>
    <cellStyle name="20% - Accent6 22" xfId="4513" xr:uid="{00000000-0005-0000-0000-00006D080000}"/>
    <cellStyle name="20% - Accent6 23" xfId="4318" xr:uid="{00000000-0005-0000-0000-00006E080000}"/>
    <cellStyle name="20% - Accent6 24" xfId="4590" xr:uid="{00000000-0005-0000-0000-00006F080000}"/>
    <cellStyle name="20% - Accent6 25" xfId="4395" xr:uid="{00000000-0005-0000-0000-000070080000}"/>
    <cellStyle name="20% - Accent6 26" xfId="3935" xr:uid="{00000000-0005-0000-0000-000071080000}"/>
    <cellStyle name="20% - Accent6 27" xfId="4493" xr:uid="{00000000-0005-0000-0000-000072080000}"/>
    <cellStyle name="20% - Accent6 3" xfId="217" xr:uid="{00000000-0005-0000-0000-000073080000}"/>
    <cellStyle name="20% - Accent6 3 10" xfId="4332" xr:uid="{00000000-0005-0000-0000-000074080000}"/>
    <cellStyle name="20% - Accent6 3 11" xfId="4525" xr:uid="{00000000-0005-0000-0000-000075080000}"/>
    <cellStyle name="20% - Accent6 3 2" xfId="2035" xr:uid="{00000000-0005-0000-0000-000076080000}"/>
    <cellStyle name="20% - Accent6 3 2 2" xfId="7852" xr:uid="{00000000-0005-0000-0000-000077080000}"/>
    <cellStyle name="20% - Accent6 3 2 3" xfId="3454" xr:uid="{00000000-0005-0000-0000-000078080000}"/>
    <cellStyle name="20% - Accent6 3 3" xfId="2036" xr:uid="{00000000-0005-0000-0000-000079080000}"/>
    <cellStyle name="20% - Accent6 3 3 2" xfId="7853" xr:uid="{00000000-0005-0000-0000-00007A080000}"/>
    <cellStyle name="20% - Accent6 3 4" xfId="4455" xr:uid="{00000000-0005-0000-0000-00007B080000}"/>
    <cellStyle name="20% - Accent6 3 4 2" xfId="7854" xr:uid="{00000000-0005-0000-0000-00007C080000}"/>
    <cellStyle name="20% - Accent6 3 5" xfId="4654" xr:uid="{00000000-0005-0000-0000-00007D080000}"/>
    <cellStyle name="20% - Accent6 3 5 2" xfId="7855" xr:uid="{00000000-0005-0000-0000-00007E080000}"/>
    <cellStyle name="20% - Accent6 3 6" xfId="4459" xr:uid="{00000000-0005-0000-0000-00007F080000}"/>
    <cellStyle name="20% - Accent6 3 7" xfId="4591" xr:uid="{00000000-0005-0000-0000-000080080000}"/>
    <cellStyle name="20% - Accent6 3 8" xfId="4396" xr:uid="{00000000-0005-0000-0000-000081080000}"/>
    <cellStyle name="20% - Accent6 3 9" xfId="3664" xr:uid="{00000000-0005-0000-0000-000082080000}"/>
    <cellStyle name="20% - Accent6 4" xfId="2037" xr:uid="{00000000-0005-0000-0000-000083080000}"/>
    <cellStyle name="20% - Accent6 4 2" xfId="2038" xr:uid="{00000000-0005-0000-0000-000084080000}"/>
    <cellStyle name="20% - Accent6 4 2 2" xfId="4572" xr:uid="{00000000-0005-0000-0000-000085080000}"/>
    <cellStyle name="20% - Accent6 4 3" xfId="2039" xr:uid="{00000000-0005-0000-0000-000086080000}"/>
    <cellStyle name="20% - Accent6 4 3 2" xfId="4376" xr:uid="{00000000-0005-0000-0000-000087080000}"/>
    <cellStyle name="20% - Accent6 4 4" xfId="4026" xr:uid="{00000000-0005-0000-0000-000088080000}"/>
    <cellStyle name="20% - Accent6 4 5" xfId="4184" xr:uid="{00000000-0005-0000-0000-000089080000}"/>
    <cellStyle name="20% - Accent6 4 6" xfId="3889" xr:uid="{00000000-0005-0000-0000-00008A080000}"/>
    <cellStyle name="20% - Accent6 4 7" xfId="4494" xr:uid="{00000000-0005-0000-0000-00008B080000}"/>
    <cellStyle name="20% - Accent6 5" xfId="2040" xr:uid="{00000000-0005-0000-0000-00008C080000}"/>
    <cellStyle name="20% - Accent6 5 2" xfId="3404" xr:uid="{00000000-0005-0000-0000-00008D080000}"/>
    <cellStyle name="20% - Accent6 5 3" xfId="3601" xr:uid="{00000000-0005-0000-0000-00008E080000}"/>
    <cellStyle name="20% - Accent6 5 4" xfId="4161" xr:uid="{00000000-0005-0000-0000-00008F080000}"/>
    <cellStyle name="20% - Accent6 5 5" xfId="3432" xr:uid="{00000000-0005-0000-0000-000090080000}"/>
    <cellStyle name="20% - Accent6 5 6" xfId="4021" xr:uid="{00000000-0005-0000-0000-000091080000}"/>
    <cellStyle name="20% - Accent6 5 7" xfId="3566" xr:uid="{00000000-0005-0000-0000-000092080000}"/>
    <cellStyle name="20% - Accent6 6" xfId="3399" xr:uid="{00000000-0005-0000-0000-000093080000}"/>
    <cellStyle name="20% - Accent6 6 2" xfId="3517" xr:uid="{00000000-0005-0000-0000-000094080000}"/>
    <cellStyle name="20% - Accent6 6 3" xfId="3618" xr:uid="{00000000-0005-0000-0000-000095080000}"/>
    <cellStyle name="20% - Accent6 6 4" xfId="3882" xr:uid="{00000000-0005-0000-0000-000096080000}"/>
    <cellStyle name="20% - Accent6 6 5" xfId="4001" xr:uid="{00000000-0005-0000-0000-000097080000}"/>
    <cellStyle name="20% - Accent6 6 6" xfId="3588" xr:uid="{00000000-0005-0000-0000-000098080000}"/>
    <cellStyle name="20% - Accent6 7" xfId="3428" xr:uid="{00000000-0005-0000-0000-000099080000}"/>
    <cellStyle name="20% - Accent6 7 2" xfId="3686" xr:uid="{00000000-0005-0000-0000-00009A080000}"/>
    <cellStyle name="20% - Accent6 7 3" xfId="3714" xr:uid="{00000000-0005-0000-0000-00009B080000}"/>
    <cellStyle name="20% - Accent6 7 4" xfId="3795" xr:uid="{00000000-0005-0000-0000-00009C080000}"/>
    <cellStyle name="20% - Accent6 7 5" xfId="3710" xr:uid="{00000000-0005-0000-0000-00009D080000}"/>
    <cellStyle name="20% - Accent6 7 6" xfId="3608" xr:uid="{00000000-0005-0000-0000-00009E080000}"/>
    <cellStyle name="20% - Accent6 7 7" xfId="7856" xr:uid="{00000000-0005-0000-0000-00009F080000}"/>
    <cellStyle name="20% - Accent6 8" xfId="4231" xr:uid="{00000000-0005-0000-0000-0000A0080000}"/>
    <cellStyle name="20% - Accent6 8 2" xfId="3815" xr:uid="{00000000-0005-0000-0000-0000A1080000}"/>
    <cellStyle name="20% - Accent6 8 3" xfId="3576" xr:uid="{00000000-0005-0000-0000-0000A2080000}"/>
    <cellStyle name="20% - Accent6 8 4" xfId="4113" xr:uid="{00000000-0005-0000-0000-0000A3080000}"/>
    <cellStyle name="20% - Accent6 8 5" xfId="3814" xr:uid="{00000000-0005-0000-0000-0000A4080000}"/>
    <cellStyle name="20% - Accent6 8 6" xfId="4197" xr:uid="{00000000-0005-0000-0000-0000A5080000}"/>
    <cellStyle name="20% - Accent6 9" xfId="3599" xr:uid="{00000000-0005-0000-0000-0000A6080000}"/>
    <cellStyle name="20% - Accent6 9 2" xfId="3319" xr:uid="{00000000-0005-0000-0000-0000A7080000}"/>
    <cellStyle name="20% - Accent6 9 3" xfId="3554" xr:uid="{00000000-0005-0000-0000-0000A8080000}"/>
    <cellStyle name="20% - Accent6 9 4" xfId="3581" xr:uid="{00000000-0005-0000-0000-0000A9080000}"/>
    <cellStyle name="20% - Accent6 9 5" xfId="3826" xr:uid="{00000000-0005-0000-0000-0000AA080000}"/>
    <cellStyle name="2x indented GHG Textfiels" xfId="18" xr:uid="{00000000-0005-0000-0000-0000AB080000}"/>
    <cellStyle name="2x indented GHG Textfiels 2" xfId="98" xr:uid="{00000000-0005-0000-0000-0000AC080000}"/>
    <cellStyle name="2x indented GHG Textfiels 2 2" xfId="99" xr:uid="{00000000-0005-0000-0000-0000AD080000}"/>
    <cellStyle name="2x indented GHG Textfiels 3" xfId="100" xr:uid="{00000000-0005-0000-0000-0000AE080000}"/>
    <cellStyle name="2x indented GHG Textfiels 3 2" xfId="413" xr:uid="{00000000-0005-0000-0000-0000AF080000}"/>
    <cellStyle name="2x indented GHG Textfiels 3 2 2" xfId="543" xr:uid="{00000000-0005-0000-0000-0000B0080000}"/>
    <cellStyle name="2x indented GHG Textfiels 3 2 2 10" xfId="11010" xr:uid="{00000000-0005-0000-0000-0000B1080000}"/>
    <cellStyle name="2x indented GHG Textfiels 3 2 2 11" xfId="11397" xr:uid="{00000000-0005-0000-0000-0000B2080000}"/>
    <cellStyle name="2x indented GHG Textfiels 3 2 2 12" xfId="11769" xr:uid="{00000000-0005-0000-0000-0000B3080000}"/>
    <cellStyle name="2x indented GHG Textfiels 3 2 2 13" xfId="12282" xr:uid="{00000000-0005-0000-0000-0000B4080000}"/>
    <cellStyle name="2x indented GHG Textfiels 3 2 2 14" xfId="16229" xr:uid="{00000000-0005-0000-0000-0000B5080000}"/>
    <cellStyle name="2x indented GHG Textfiels 3 2 2 15" xfId="16449" xr:uid="{00000000-0005-0000-0000-0000B6080000}"/>
    <cellStyle name="2x indented GHG Textfiels 3 2 2 16" xfId="14473" xr:uid="{00000000-0005-0000-0000-0000B7080000}"/>
    <cellStyle name="2x indented GHG Textfiels 3 2 2 17" xfId="18105" xr:uid="{00000000-0005-0000-0000-0000B8080000}"/>
    <cellStyle name="2x indented GHG Textfiels 3 2 2 2" xfId="758" xr:uid="{00000000-0005-0000-0000-0000B9080000}"/>
    <cellStyle name="2x indented GHG Textfiels 3 2 2 2 10" xfId="11604" xr:uid="{00000000-0005-0000-0000-0000BA080000}"/>
    <cellStyle name="2x indented GHG Textfiels 3 2 2 2 11" xfId="11975" xr:uid="{00000000-0005-0000-0000-0000BB080000}"/>
    <cellStyle name="2x indented GHG Textfiels 3 2 2 2 12" xfId="12488" xr:uid="{00000000-0005-0000-0000-0000BC080000}"/>
    <cellStyle name="2x indented GHG Textfiels 3 2 2 2 13" xfId="14442" xr:uid="{00000000-0005-0000-0000-0000BD080000}"/>
    <cellStyle name="2x indented GHG Textfiels 3 2 2 2 14" xfId="16690" xr:uid="{00000000-0005-0000-0000-0000BE080000}"/>
    <cellStyle name="2x indented GHG Textfiels 3 2 2 2 15" xfId="14620" xr:uid="{00000000-0005-0000-0000-0000BF080000}"/>
    <cellStyle name="2x indented GHG Textfiels 3 2 2 2 16" xfId="18210" xr:uid="{00000000-0005-0000-0000-0000C0080000}"/>
    <cellStyle name="2x indented GHG Textfiels 3 2 2 2 2" xfId="1038" xr:uid="{00000000-0005-0000-0000-0000C1080000}"/>
    <cellStyle name="2x indented GHG Textfiels 3 2 2 2 2 2" xfId="12767" xr:uid="{00000000-0005-0000-0000-0000C2080000}"/>
    <cellStyle name="2x indented GHG Textfiels 3 2 2 2 2 3" xfId="15127" xr:uid="{00000000-0005-0000-0000-0000C3080000}"/>
    <cellStyle name="2x indented GHG Textfiels 3 2 2 2 2 4" xfId="16602" xr:uid="{00000000-0005-0000-0000-0000C4080000}"/>
    <cellStyle name="2x indented GHG Textfiels 3 2 2 2 2 5" xfId="17062" xr:uid="{00000000-0005-0000-0000-0000C5080000}"/>
    <cellStyle name="2x indented GHG Textfiels 3 2 2 2 2 6" xfId="18060" xr:uid="{00000000-0005-0000-0000-0000C6080000}"/>
    <cellStyle name="2x indented GHG Textfiels 3 2 2 2 3" xfId="3528" xr:uid="{00000000-0005-0000-0000-0000C7080000}"/>
    <cellStyle name="2x indented GHG Textfiels 3 2 2 2 4" xfId="8887" xr:uid="{00000000-0005-0000-0000-0000C8080000}"/>
    <cellStyle name="2x indented GHG Textfiels 3 2 2 2 5" xfId="9659" xr:uid="{00000000-0005-0000-0000-0000C9080000}"/>
    <cellStyle name="2x indented GHG Textfiels 3 2 2 2 6" xfId="10088" xr:uid="{00000000-0005-0000-0000-0000CA080000}"/>
    <cellStyle name="2x indented GHG Textfiels 3 2 2 2 7" xfId="10500" xr:uid="{00000000-0005-0000-0000-0000CB080000}"/>
    <cellStyle name="2x indented GHG Textfiels 3 2 2 2 8" xfId="8843" xr:uid="{00000000-0005-0000-0000-0000CC080000}"/>
    <cellStyle name="2x indented GHG Textfiels 3 2 2 2 9" xfId="11219" xr:uid="{00000000-0005-0000-0000-0000CD080000}"/>
    <cellStyle name="2x indented GHG Textfiels 3 2 2 3" xfId="995" xr:uid="{00000000-0005-0000-0000-0000CE080000}"/>
    <cellStyle name="2x indented GHG Textfiels 3 2 2 3 2" xfId="12724" xr:uid="{00000000-0005-0000-0000-0000CF080000}"/>
    <cellStyle name="2x indented GHG Textfiels 3 2 2 3 3" xfId="15291" xr:uid="{00000000-0005-0000-0000-0000D0080000}"/>
    <cellStyle name="2x indented GHG Textfiels 3 2 2 3 4" xfId="13871" xr:uid="{00000000-0005-0000-0000-0000D1080000}"/>
    <cellStyle name="2x indented GHG Textfiels 3 2 2 3 5" xfId="17000" xr:uid="{00000000-0005-0000-0000-0000D2080000}"/>
    <cellStyle name="2x indented GHG Textfiels 3 2 2 3 6" xfId="19347" xr:uid="{00000000-0005-0000-0000-0000D3080000}"/>
    <cellStyle name="2x indented GHG Textfiels 3 2 2 4" xfId="4182" xr:uid="{00000000-0005-0000-0000-0000D4080000}"/>
    <cellStyle name="2x indented GHG Textfiels 3 2 2 5" xfId="9121" xr:uid="{00000000-0005-0000-0000-0000D5080000}"/>
    <cellStyle name="2x indented GHG Textfiels 3 2 2 6" xfId="9447" xr:uid="{00000000-0005-0000-0000-0000D6080000}"/>
    <cellStyle name="2x indented GHG Textfiels 3 2 2 7" xfId="9874" xr:uid="{00000000-0005-0000-0000-0000D7080000}"/>
    <cellStyle name="2x indented GHG Textfiels 3 2 2 8" xfId="10286" xr:uid="{00000000-0005-0000-0000-0000D8080000}"/>
    <cellStyle name="2x indented GHG Textfiels 3 2 2 9" xfId="10758" xr:uid="{00000000-0005-0000-0000-0000D9080000}"/>
    <cellStyle name="2x indented GHG Textfiels 3 2 3" xfId="721" xr:uid="{00000000-0005-0000-0000-0000DA080000}"/>
    <cellStyle name="2x indented GHG Textfiels 3 2 3 10" xfId="11567" xr:uid="{00000000-0005-0000-0000-0000DB080000}"/>
    <cellStyle name="2x indented GHG Textfiels 3 2 3 11" xfId="11938" xr:uid="{00000000-0005-0000-0000-0000DC080000}"/>
    <cellStyle name="2x indented GHG Textfiels 3 2 3 12" xfId="12451" xr:uid="{00000000-0005-0000-0000-0000DD080000}"/>
    <cellStyle name="2x indented GHG Textfiels 3 2 3 13" xfId="15227" xr:uid="{00000000-0005-0000-0000-0000DE080000}"/>
    <cellStyle name="2x indented GHG Textfiels 3 2 3 14" xfId="17494" xr:uid="{00000000-0005-0000-0000-0000DF080000}"/>
    <cellStyle name="2x indented GHG Textfiels 3 2 3 15" xfId="17575" xr:uid="{00000000-0005-0000-0000-0000E0080000}"/>
    <cellStyle name="2x indented GHG Textfiels 3 2 3 16" xfId="19446" xr:uid="{00000000-0005-0000-0000-0000E1080000}"/>
    <cellStyle name="2x indented GHG Textfiels 3 2 3 2" xfId="1046" xr:uid="{00000000-0005-0000-0000-0000E2080000}"/>
    <cellStyle name="2x indented GHG Textfiels 3 2 3 2 2" xfId="12775" xr:uid="{00000000-0005-0000-0000-0000E3080000}"/>
    <cellStyle name="2x indented GHG Textfiels 3 2 3 2 3" xfId="14303" xr:uid="{00000000-0005-0000-0000-0000E4080000}"/>
    <cellStyle name="2x indented GHG Textfiels 3 2 3 2 4" xfId="17376" xr:uid="{00000000-0005-0000-0000-0000E5080000}"/>
    <cellStyle name="2x indented GHG Textfiels 3 2 3 2 5" xfId="14487" xr:uid="{00000000-0005-0000-0000-0000E6080000}"/>
    <cellStyle name="2x indented GHG Textfiels 3 2 3 2 6" xfId="15688" xr:uid="{00000000-0005-0000-0000-0000E7080000}"/>
    <cellStyle name="2x indented GHG Textfiels 3 2 3 3" xfId="4052" xr:uid="{00000000-0005-0000-0000-0000E8080000}"/>
    <cellStyle name="2x indented GHG Textfiels 3 2 3 4" xfId="8653" xr:uid="{00000000-0005-0000-0000-0000E9080000}"/>
    <cellStyle name="2x indented GHG Textfiels 3 2 3 5" xfId="9622" xr:uid="{00000000-0005-0000-0000-0000EA080000}"/>
    <cellStyle name="2x indented GHG Textfiels 3 2 3 6" xfId="10051" xr:uid="{00000000-0005-0000-0000-0000EB080000}"/>
    <cellStyle name="2x indented GHG Textfiels 3 2 3 7" xfId="10463" xr:uid="{00000000-0005-0000-0000-0000EC080000}"/>
    <cellStyle name="2x indented GHG Textfiels 3 2 3 8" xfId="8841" xr:uid="{00000000-0005-0000-0000-0000ED080000}"/>
    <cellStyle name="2x indented GHG Textfiels 3 2 3 9" xfId="11182" xr:uid="{00000000-0005-0000-0000-0000EE080000}"/>
    <cellStyle name="2x indented GHG Textfiels 3 3" xfId="361" xr:uid="{00000000-0005-0000-0000-0000EF080000}"/>
    <cellStyle name="2x indented GHG Textfiels 3 3 10" xfId="9318" xr:uid="{00000000-0005-0000-0000-0000F0080000}"/>
    <cellStyle name="2x indented GHG Textfiels 3 3 11" xfId="10895" xr:uid="{00000000-0005-0000-0000-0000F1080000}"/>
    <cellStyle name="2x indented GHG Textfiels 3 3 12" xfId="10810" xr:uid="{00000000-0005-0000-0000-0000F2080000}"/>
    <cellStyle name="2x indented GHG Textfiels 3 3 13" xfId="9812" xr:uid="{00000000-0005-0000-0000-0000F3080000}"/>
    <cellStyle name="2x indented GHG Textfiels 3 3 14" xfId="10983" xr:uid="{00000000-0005-0000-0000-0000F4080000}"/>
    <cellStyle name="2x indented GHG Textfiels 3 3 15" xfId="12248" xr:uid="{00000000-0005-0000-0000-0000F5080000}"/>
    <cellStyle name="2x indented GHG Textfiels 3 3 16" xfId="14380" xr:uid="{00000000-0005-0000-0000-0000F6080000}"/>
    <cellStyle name="2x indented GHG Textfiels 3 3 17" xfId="17578" xr:uid="{00000000-0005-0000-0000-0000F7080000}"/>
    <cellStyle name="2x indented GHG Textfiels 3 3 18" xfId="17640" xr:uid="{00000000-0005-0000-0000-0000F8080000}"/>
    <cellStyle name="2x indented GHG Textfiels 3 3 19" xfId="17804" xr:uid="{00000000-0005-0000-0000-0000F9080000}"/>
    <cellStyle name="2x indented GHG Textfiels 3 3 2" xfId="648" xr:uid="{00000000-0005-0000-0000-0000FA080000}"/>
    <cellStyle name="2x indented GHG Textfiels 3 3 2 10" xfId="11115" xr:uid="{00000000-0005-0000-0000-0000FB080000}"/>
    <cellStyle name="2x indented GHG Textfiels 3 3 2 11" xfId="11502" xr:uid="{00000000-0005-0000-0000-0000FC080000}"/>
    <cellStyle name="2x indented GHG Textfiels 3 3 2 12" xfId="11874" xr:uid="{00000000-0005-0000-0000-0000FD080000}"/>
    <cellStyle name="2x indented GHG Textfiels 3 3 2 13" xfId="12387" xr:uid="{00000000-0005-0000-0000-0000FE080000}"/>
    <cellStyle name="2x indented GHG Textfiels 3 3 2 14" xfId="16237" xr:uid="{00000000-0005-0000-0000-0000FF080000}"/>
    <cellStyle name="2x indented GHG Textfiels 3 3 2 15" xfId="14282" xr:uid="{00000000-0005-0000-0000-000000090000}"/>
    <cellStyle name="2x indented GHG Textfiels 3 3 2 16" xfId="16560" xr:uid="{00000000-0005-0000-0000-000001090000}"/>
    <cellStyle name="2x indented GHG Textfiels 3 3 2 17" xfId="18113" xr:uid="{00000000-0005-0000-0000-000002090000}"/>
    <cellStyle name="2x indented GHG Textfiels 3 3 2 2" xfId="863" xr:uid="{00000000-0005-0000-0000-000003090000}"/>
    <cellStyle name="2x indented GHG Textfiels 3 3 2 2 10" xfId="11709" xr:uid="{00000000-0005-0000-0000-000004090000}"/>
    <cellStyle name="2x indented GHG Textfiels 3 3 2 2 11" xfId="12080" xr:uid="{00000000-0005-0000-0000-000005090000}"/>
    <cellStyle name="2x indented GHG Textfiels 3 3 2 2 12" xfId="12593" xr:uid="{00000000-0005-0000-0000-000006090000}"/>
    <cellStyle name="2x indented GHG Textfiels 3 3 2 2 13" xfId="16144" xr:uid="{00000000-0005-0000-0000-000007090000}"/>
    <cellStyle name="2x indented GHG Textfiels 3 3 2 2 14" xfId="15453" xr:uid="{00000000-0005-0000-0000-000008090000}"/>
    <cellStyle name="2x indented GHG Textfiels 3 3 2 2 15" xfId="14608" xr:uid="{00000000-0005-0000-0000-000009090000}"/>
    <cellStyle name="2x indented GHG Textfiels 3 3 2 2 16" xfId="18088" xr:uid="{00000000-0005-0000-0000-00000A090000}"/>
    <cellStyle name="2x indented GHG Textfiels 3 3 2 2 2" xfId="1065" xr:uid="{00000000-0005-0000-0000-00000B090000}"/>
    <cellStyle name="2x indented GHG Textfiels 3 3 2 2 2 2" xfId="12794" xr:uid="{00000000-0005-0000-0000-00000C090000}"/>
    <cellStyle name="2x indented GHG Textfiels 3 3 2 2 2 3" xfId="14810" xr:uid="{00000000-0005-0000-0000-00000D090000}"/>
    <cellStyle name="2x indented GHG Textfiels 3 3 2 2 2 4" xfId="16418" xr:uid="{00000000-0005-0000-0000-00000E090000}"/>
    <cellStyle name="2x indented GHG Textfiels 3 3 2 2 2 5" xfId="17563" xr:uid="{00000000-0005-0000-0000-00000F090000}"/>
    <cellStyle name="2x indented GHG Textfiels 3 3 2 2 2 6" xfId="19316" xr:uid="{00000000-0005-0000-0000-000010090000}"/>
    <cellStyle name="2x indented GHG Textfiels 3 3 2 2 3" xfId="3609" xr:uid="{00000000-0005-0000-0000-000011090000}"/>
    <cellStyle name="2x indented GHG Textfiels 3 3 2 2 4" xfId="9336" xr:uid="{00000000-0005-0000-0000-000012090000}"/>
    <cellStyle name="2x indented GHG Textfiels 3 3 2 2 5" xfId="9764" xr:uid="{00000000-0005-0000-0000-000013090000}"/>
    <cellStyle name="2x indented GHG Textfiels 3 3 2 2 6" xfId="10193" xr:uid="{00000000-0005-0000-0000-000014090000}"/>
    <cellStyle name="2x indented GHG Textfiels 3 3 2 2 7" xfId="10605" xr:uid="{00000000-0005-0000-0000-000015090000}"/>
    <cellStyle name="2x indented GHG Textfiels 3 3 2 2 8" xfId="10732" xr:uid="{00000000-0005-0000-0000-000016090000}"/>
    <cellStyle name="2x indented GHG Textfiels 3 3 2 2 9" xfId="11324" xr:uid="{00000000-0005-0000-0000-000017090000}"/>
    <cellStyle name="2x indented GHG Textfiels 3 3 2 3" xfId="1380" xr:uid="{00000000-0005-0000-0000-000018090000}"/>
    <cellStyle name="2x indented GHG Textfiels 3 3 2 3 2" xfId="13109" xr:uid="{00000000-0005-0000-0000-000019090000}"/>
    <cellStyle name="2x indented GHG Textfiels 3 3 2 3 3" xfId="13864" xr:uid="{00000000-0005-0000-0000-00001A090000}"/>
    <cellStyle name="2x indented GHG Textfiels 3 3 2 3 4" xfId="17128" xr:uid="{00000000-0005-0000-0000-00001B090000}"/>
    <cellStyle name="2x indented GHG Textfiels 3 3 2 3 5" xfId="14166" xr:uid="{00000000-0005-0000-0000-00001C090000}"/>
    <cellStyle name="2x indented GHG Textfiels 3 3 2 3 6" xfId="19080" xr:uid="{00000000-0005-0000-0000-00001D090000}"/>
    <cellStyle name="2x indented GHG Textfiels 3 3 2 4" xfId="4211" xr:uid="{00000000-0005-0000-0000-00001E090000}"/>
    <cellStyle name="2x indented GHG Textfiels 3 3 2 5" xfId="9108" xr:uid="{00000000-0005-0000-0000-00001F090000}"/>
    <cellStyle name="2x indented GHG Textfiels 3 3 2 6" xfId="9552" xr:uid="{00000000-0005-0000-0000-000020090000}"/>
    <cellStyle name="2x indented GHG Textfiels 3 3 2 7" xfId="9979" xr:uid="{00000000-0005-0000-0000-000021090000}"/>
    <cellStyle name="2x indented GHG Textfiels 3 3 2 8" xfId="10391" xr:uid="{00000000-0005-0000-0000-000022090000}"/>
    <cellStyle name="2x indented GHG Textfiels 3 3 2 9" xfId="10938" xr:uid="{00000000-0005-0000-0000-000023090000}"/>
    <cellStyle name="2x indented GHG Textfiels 3 3 3" xfId="650" xr:uid="{00000000-0005-0000-0000-000024090000}"/>
    <cellStyle name="2x indented GHG Textfiels 3 3 3 10" xfId="11117" xr:uid="{00000000-0005-0000-0000-000025090000}"/>
    <cellStyle name="2x indented GHG Textfiels 3 3 3 11" xfId="11504" xr:uid="{00000000-0005-0000-0000-000026090000}"/>
    <cellStyle name="2x indented GHG Textfiels 3 3 3 12" xfId="11876" xr:uid="{00000000-0005-0000-0000-000027090000}"/>
    <cellStyle name="2x indented GHG Textfiels 3 3 3 13" xfId="12389" xr:uid="{00000000-0005-0000-0000-000028090000}"/>
    <cellStyle name="2x indented GHG Textfiels 3 3 3 14" xfId="16276" xr:uid="{00000000-0005-0000-0000-000029090000}"/>
    <cellStyle name="2x indented GHG Textfiels 3 3 3 15" xfId="13700" xr:uid="{00000000-0005-0000-0000-00002A090000}"/>
    <cellStyle name="2x indented GHG Textfiels 3 3 3 16" xfId="14934" xr:uid="{00000000-0005-0000-0000-00002B090000}"/>
    <cellStyle name="2x indented GHG Textfiels 3 3 3 17" xfId="14183" xr:uid="{00000000-0005-0000-0000-00002C090000}"/>
    <cellStyle name="2x indented GHG Textfiels 3 3 3 2" xfId="865" xr:uid="{00000000-0005-0000-0000-00002D090000}"/>
    <cellStyle name="2x indented GHG Textfiels 3 3 3 2 10" xfId="11711" xr:uid="{00000000-0005-0000-0000-00002E090000}"/>
    <cellStyle name="2x indented GHG Textfiels 3 3 3 2 11" xfId="12082" xr:uid="{00000000-0005-0000-0000-00002F090000}"/>
    <cellStyle name="2x indented GHG Textfiels 3 3 3 2 12" xfId="12595" xr:uid="{00000000-0005-0000-0000-000030090000}"/>
    <cellStyle name="2x indented GHG Textfiels 3 3 3 2 13" xfId="14735" xr:uid="{00000000-0005-0000-0000-000031090000}"/>
    <cellStyle name="2x indented GHG Textfiels 3 3 3 2 14" xfId="14750" xr:uid="{00000000-0005-0000-0000-000032090000}"/>
    <cellStyle name="2x indented GHG Textfiels 3 3 3 2 15" xfId="16363" xr:uid="{00000000-0005-0000-0000-000033090000}"/>
    <cellStyle name="2x indented GHG Textfiels 3 3 3 2 16" xfId="16493" xr:uid="{00000000-0005-0000-0000-000034090000}"/>
    <cellStyle name="2x indented GHG Textfiels 3 3 3 2 2" xfId="1244" xr:uid="{00000000-0005-0000-0000-000035090000}"/>
    <cellStyle name="2x indented GHG Textfiels 3 3 3 2 2 2" xfId="12973" xr:uid="{00000000-0005-0000-0000-000036090000}"/>
    <cellStyle name="2x indented GHG Textfiels 3 3 3 2 2 3" xfId="13860" xr:uid="{00000000-0005-0000-0000-000037090000}"/>
    <cellStyle name="2x indented GHG Textfiels 3 3 3 2 2 4" xfId="17225" xr:uid="{00000000-0005-0000-0000-000038090000}"/>
    <cellStyle name="2x indented GHG Textfiels 3 3 3 2 2 5" xfId="13807" xr:uid="{00000000-0005-0000-0000-000039090000}"/>
    <cellStyle name="2x indented GHG Textfiels 3 3 3 2 2 6" xfId="19177" xr:uid="{00000000-0005-0000-0000-00003A090000}"/>
    <cellStyle name="2x indented GHG Textfiels 3 3 3 2 3" xfId="3892" xr:uid="{00000000-0005-0000-0000-00003B090000}"/>
    <cellStyle name="2x indented GHG Textfiels 3 3 3 2 4" xfId="9338" xr:uid="{00000000-0005-0000-0000-00003C090000}"/>
    <cellStyle name="2x indented GHG Textfiels 3 3 3 2 5" xfId="9766" xr:uid="{00000000-0005-0000-0000-00003D090000}"/>
    <cellStyle name="2x indented GHG Textfiels 3 3 3 2 6" xfId="10195" xr:uid="{00000000-0005-0000-0000-00003E090000}"/>
    <cellStyle name="2x indented GHG Textfiels 3 3 3 2 7" xfId="10607" xr:uid="{00000000-0005-0000-0000-00003F090000}"/>
    <cellStyle name="2x indented GHG Textfiels 3 3 3 2 8" xfId="10865" xr:uid="{00000000-0005-0000-0000-000040090000}"/>
    <cellStyle name="2x indented GHG Textfiels 3 3 3 2 9" xfId="11326" xr:uid="{00000000-0005-0000-0000-000041090000}"/>
    <cellStyle name="2x indented GHG Textfiels 3 3 3 3" xfId="938" xr:uid="{00000000-0005-0000-0000-000042090000}"/>
    <cellStyle name="2x indented GHG Textfiels 3 3 3 3 2" xfId="12667" xr:uid="{00000000-0005-0000-0000-000043090000}"/>
    <cellStyle name="2x indented GHG Textfiels 3 3 3 3 3" xfId="15257" xr:uid="{00000000-0005-0000-0000-000044090000}"/>
    <cellStyle name="2x indented GHG Textfiels 3 3 3 3 4" xfId="17441" xr:uid="{00000000-0005-0000-0000-000045090000}"/>
    <cellStyle name="2x indented GHG Textfiels 3 3 3 3 5" xfId="16980" xr:uid="{00000000-0005-0000-0000-000046090000}"/>
    <cellStyle name="2x indented GHG Textfiels 3 3 3 3 6" xfId="19393" xr:uid="{00000000-0005-0000-0000-000047090000}"/>
    <cellStyle name="2x indented GHG Textfiels 3 3 3 4" xfId="3625" xr:uid="{00000000-0005-0000-0000-000048090000}"/>
    <cellStyle name="2x indented GHG Textfiels 3 3 3 5" xfId="9191" xr:uid="{00000000-0005-0000-0000-000049090000}"/>
    <cellStyle name="2x indented GHG Textfiels 3 3 3 6" xfId="9554" xr:uid="{00000000-0005-0000-0000-00004A090000}"/>
    <cellStyle name="2x indented GHG Textfiels 3 3 3 7" xfId="9981" xr:uid="{00000000-0005-0000-0000-00004B090000}"/>
    <cellStyle name="2x indented GHG Textfiels 3 3 3 8" xfId="10393" xr:uid="{00000000-0005-0000-0000-00004C090000}"/>
    <cellStyle name="2x indented GHG Textfiels 3 3 3 9" xfId="8832" xr:uid="{00000000-0005-0000-0000-00004D090000}"/>
    <cellStyle name="2x indented GHG Textfiels 3 3 4" xfId="546" xr:uid="{00000000-0005-0000-0000-00004E090000}"/>
    <cellStyle name="2x indented GHG Textfiels 3 3 4 10" xfId="11013" xr:uid="{00000000-0005-0000-0000-00004F090000}"/>
    <cellStyle name="2x indented GHG Textfiels 3 3 4 11" xfId="11400" xr:uid="{00000000-0005-0000-0000-000050090000}"/>
    <cellStyle name="2x indented GHG Textfiels 3 3 4 12" xfId="11772" xr:uid="{00000000-0005-0000-0000-000051090000}"/>
    <cellStyle name="2x indented GHG Textfiels 3 3 4 13" xfId="12285" xr:uid="{00000000-0005-0000-0000-000052090000}"/>
    <cellStyle name="2x indented GHG Textfiels 3 3 4 14" xfId="15194" xr:uid="{00000000-0005-0000-0000-000053090000}"/>
    <cellStyle name="2x indented GHG Textfiels 3 3 4 15" xfId="17528" xr:uid="{00000000-0005-0000-0000-000054090000}"/>
    <cellStyle name="2x indented GHG Textfiels 3 3 4 16" xfId="15717" xr:uid="{00000000-0005-0000-0000-000055090000}"/>
    <cellStyle name="2x indented GHG Textfiels 3 3 4 17" xfId="19475" xr:uid="{00000000-0005-0000-0000-000056090000}"/>
    <cellStyle name="2x indented GHG Textfiels 3 3 4 2" xfId="761" xr:uid="{00000000-0005-0000-0000-000057090000}"/>
    <cellStyle name="2x indented GHG Textfiels 3 3 4 2 10" xfId="11607" xr:uid="{00000000-0005-0000-0000-000058090000}"/>
    <cellStyle name="2x indented GHG Textfiels 3 3 4 2 11" xfId="11978" xr:uid="{00000000-0005-0000-0000-000059090000}"/>
    <cellStyle name="2x indented GHG Textfiels 3 3 4 2 12" xfId="12491" xr:uid="{00000000-0005-0000-0000-00005A090000}"/>
    <cellStyle name="2x indented GHG Textfiels 3 3 4 2 13" xfId="14157" xr:uid="{00000000-0005-0000-0000-00005B090000}"/>
    <cellStyle name="2x indented GHG Textfiels 3 3 4 2 14" xfId="16494" xr:uid="{00000000-0005-0000-0000-00005C090000}"/>
    <cellStyle name="2x indented GHG Textfiels 3 3 4 2 15" xfId="18500" xr:uid="{00000000-0005-0000-0000-00005D090000}"/>
    <cellStyle name="2x indented GHG Textfiels 3 3 4 2 16" xfId="13826" xr:uid="{00000000-0005-0000-0000-00005E090000}"/>
    <cellStyle name="2x indented GHG Textfiels 3 3 4 2 2" xfId="1017" xr:uid="{00000000-0005-0000-0000-00005F090000}"/>
    <cellStyle name="2x indented GHG Textfiels 3 3 4 2 2 2" xfId="12746" xr:uid="{00000000-0005-0000-0000-000060090000}"/>
    <cellStyle name="2x indented GHG Textfiels 3 3 4 2 2 3" xfId="14781" xr:uid="{00000000-0005-0000-0000-000061090000}"/>
    <cellStyle name="2x indented GHG Textfiels 3 3 4 2 2 4" xfId="17387" xr:uid="{00000000-0005-0000-0000-000062090000}"/>
    <cellStyle name="2x indented GHG Textfiels 3 3 4 2 2 5" xfId="17679" xr:uid="{00000000-0005-0000-0000-000063090000}"/>
    <cellStyle name="2x indented GHG Textfiels 3 3 4 2 2 6" xfId="16479" xr:uid="{00000000-0005-0000-0000-000064090000}"/>
    <cellStyle name="2x indented GHG Textfiels 3 3 4 2 3" xfId="3536" xr:uid="{00000000-0005-0000-0000-000065090000}"/>
    <cellStyle name="2x indented GHG Textfiels 3 3 4 2 4" xfId="8775" xr:uid="{00000000-0005-0000-0000-000066090000}"/>
    <cellStyle name="2x indented GHG Textfiels 3 3 4 2 5" xfId="9662" xr:uid="{00000000-0005-0000-0000-000067090000}"/>
    <cellStyle name="2x indented GHG Textfiels 3 3 4 2 6" xfId="10091" xr:uid="{00000000-0005-0000-0000-000068090000}"/>
    <cellStyle name="2x indented GHG Textfiels 3 3 4 2 7" xfId="10503" xr:uid="{00000000-0005-0000-0000-000069090000}"/>
    <cellStyle name="2x indented GHG Textfiels 3 3 4 2 8" xfId="8682" xr:uid="{00000000-0005-0000-0000-00006A090000}"/>
    <cellStyle name="2x indented GHG Textfiels 3 3 4 2 9" xfId="11222" xr:uid="{00000000-0005-0000-0000-00006B090000}"/>
    <cellStyle name="2x indented GHG Textfiels 3 3 4 3" xfId="1051" xr:uid="{00000000-0005-0000-0000-00006C090000}"/>
    <cellStyle name="2x indented GHG Textfiels 3 3 4 3 2" xfId="12780" xr:uid="{00000000-0005-0000-0000-00006D090000}"/>
    <cellStyle name="2x indented GHG Textfiels 3 3 4 3 3" xfId="15305" xr:uid="{00000000-0005-0000-0000-00006E090000}"/>
    <cellStyle name="2x indented GHG Textfiels 3 3 4 3 4" xfId="17375" xr:uid="{00000000-0005-0000-0000-00006F090000}"/>
    <cellStyle name="2x indented GHG Textfiels 3 3 4 3 5" xfId="16805" xr:uid="{00000000-0005-0000-0000-000070090000}"/>
    <cellStyle name="2x indented GHG Textfiels 3 3 4 3 6" xfId="19327" xr:uid="{00000000-0005-0000-0000-000071090000}"/>
    <cellStyle name="2x indented GHG Textfiels 3 3 4 4" xfId="3593" xr:uid="{00000000-0005-0000-0000-000072090000}"/>
    <cellStyle name="2x indented GHG Textfiels 3 3 4 5" xfId="9156" xr:uid="{00000000-0005-0000-0000-000073090000}"/>
    <cellStyle name="2x indented GHG Textfiels 3 3 4 6" xfId="9450" xr:uid="{00000000-0005-0000-0000-000074090000}"/>
    <cellStyle name="2x indented GHG Textfiels 3 3 4 7" xfId="9877" xr:uid="{00000000-0005-0000-0000-000075090000}"/>
    <cellStyle name="2x indented GHG Textfiels 3 3 4 8" xfId="10289" xr:uid="{00000000-0005-0000-0000-000076090000}"/>
    <cellStyle name="2x indented GHG Textfiels 3 3 4 9" xfId="8976" xr:uid="{00000000-0005-0000-0000-000077090000}"/>
    <cellStyle name="2x indented GHG Textfiels 3 3 5" xfId="1255" xr:uid="{00000000-0005-0000-0000-000078090000}"/>
    <cellStyle name="2x indented GHG Textfiels 3 3 5 2" xfId="12984" xr:uid="{00000000-0005-0000-0000-000079090000}"/>
    <cellStyle name="2x indented GHG Textfiels 3 3 5 3" xfId="13775" xr:uid="{00000000-0005-0000-0000-00007A090000}"/>
    <cellStyle name="2x indented GHG Textfiels 3 3 5 4" xfId="17218" xr:uid="{00000000-0005-0000-0000-00007B090000}"/>
    <cellStyle name="2x indented GHG Textfiels 3 3 5 5" xfId="17037" xr:uid="{00000000-0005-0000-0000-00007C090000}"/>
    <cellStyle name="2x indented GHG Textfiels 3 3 5 6" xfId="19170" xr:uid="{00000000-0005-0000-0000-00007D090000}"/>
    <cellStyle name="2x indented GHG Textfiels 3 3 6" xfId="4025" xr:uid="{00000000-0005-0000-0000-00007E090000}"/>
    <cellStyle name="2x indented GHG Textfiels 3 3 7" xfId="9315" xr:uid="{00000000-0005-0000-0000-00007F090000}"/>
    <cellStyle name="2x indented GHG Textfiels 3 3 8" xfId="9045" xr:uid="{00000000-0005-0000-0000-000080090000}"/>
    <cellStyle name="2x indented GHG Textfiels 3 3 9" xfId="8909" xr:uid="{00000000-0005-0000-0000-000081090000}"/>
    <cellStyle name="40 % - Akzent1" xfId="1296" hidden="1" xr:uid="{00000000-0005-0000-0000-0000220A0000}"/>
    <cellStyle name="40 % - Akzent1" xfId="3185" hidden="1" xr:uid="{00000000-0005-0000-0000-0000210A0000}"/>
    <cellStyle name="40 % - Akzent1" xfId="18850" hidden="1" xr:uid="{00000000-0005-0000-0000-0000AB090000}"/>
    <cellStyle name="40 % - Akzent1" xfId="15812" hidden="1" xr:uid="{00000000-0005-0000-0000-00008F090000}"/>
    <cellStyle name="40 % - Akzent1" xfId="19746" hidden="1" xr:uid="{00000000-0005-0000-0000-0000C8090000}"/>
    <cellStyle name="40 % - Akzent1" xfId="12187" hidden="1" xr:uid="{00000000-0005-0000-0000-00001B0A0000}"/>
    <cellStyle name="40 % - Akzent1" xfId="13079" hidden="1" xr:uid="{00000000-0005-0000-0000-00001C0A0000}"/>
    <cellStyle name="40 % - Akzent1" xfId="13027" hidden="1" xr:uid="{00000000-0005-0000-0000-00001D0A0000}"/>
    <cellStyle name="40 % - Akzent1" xfId="960" hidden="1" xr:uid="{00000000-0005-0000-0000-00001F0A0000}"/>
    <cellStyle name="40 % - Akzent1" xfId="18282" hidden="1" xr:uid="{00000000-0005-0000-0000-0000B9090000}"/>
    <cellStyle name="40 % - Akzent1" xfId="3992" hidden="1" xr:uid="{00000000-0005-0000-0000-00000E0A0000}"/>
    <cellStyle name="40 % - Akzent1" xfId="13497" hidden="1" xr:uid="{00000000-0005-0000-0000-0000120A0000}"/>
    <cellStyle name="40 % - Akzent1" xfId="13198" hidden="1" xr:uid="{00000000-0005-0000-0000-0000150A0000}"/>
    <cellStyle name="40 % - Akzent1" xfId="12208" hidden="1" xr:uid="{00000000-0005-0000-0000-0000170A0000}"/>
    <cellStyle name="40 % - Akzent1" xfId="64" hidden="1" xr:uid="{00000000-0005-0000-0000-00001A0A0000}"/>
    <cellStyle name="40 % - Akzent1" xfId="16839" hidden="1" xr:uid="{00000000-0005-0000-0000-0000FB090000}"/>
    <cellStyle name="40 % - Akzent1" xfId="19715" hidden="1" xr:uid="{00000000-0005-0000-0000-0000C6090000}"/>
    <cellStyle name="40 % - Akzent1" xfId="19140" hidden="1" xr:uid="{00000000-0005-0000-0000-0000C3090000}"/>
    <cellStyle name="40 % - Akzent1" xfId="15727" hidden="1" xr:uid="{00000000-0005-0000-0000-0000ED090000}"/>
    <cellStyle name="40 % - Akzent1" xfId="13582" hidden="1" xr:uid="{00000000-0005-0000-0000-0000FD090000}"/>
    <cellStyle name="40 % - Akzent1" xfId="13678" hidden="1" xr:uid="{00000000-0005-0000-0000-0000000A0000}"/>
    <cellStyle name="40 % - Akzent1" xfId="12689" hidden="1" xr:uid="{00000000-0005-0000-0000-0000020A0000}"/>
    <cellStyle name="40 % - Akzent1" xfId="8508" hidden="1" xr:uid="{00000000-0005-0000-0000-0000040A0000}"/>
    <cellStyle name="40 % - Akzent1" xfId="8588" hidden="1" xr:uid="{00000000-0005-0000-0000-0000050A0000}"/>
    <cellStyle name="40 % - Akzent1" xfId="18947" hidden="1" xr:uid="{00000000-0005-0000-0000-0000B1090000}"/>
    <cellStyle name="40 % - Akzent1" xfId="17544" hidden="1" xr:uid="{00000000-0005-0000-0000-0000D3090000}"/>
    <cellStyle name="40 % - Akzent1" xfId="19036" hidden="1" xr:uid="{00000000-0005-0000-0000-0000B3090000}"/>
    <cellStyle name="40 % - Akzent1" xfId="16564" hidden="1" xr:uid="{00000000-0005-0000-0000-0000AF090000}"/>
    <cellStyle name="40 % - Akzent1" xfId="8462" hidden="1" xr:uid="{00000000-0005-0000-0000-0000DA090000}"/>
    <cellStyle name="40 % - Akzent1" xfId="8993" hidden="1" xr:uid="{00000000-0005-0000-0000-0000070A0000}"/>
    <cellStyle name="40 % - Akzent1" xfId="3233" hidden="1" xr:uid="{00000000-0005-0000-0000-00000A0A0000}"/>
    <cellStyle name="40 % - Akzent1" xfId="3264" hidden="1" xr:uid="{00000000-0005-0000-0000-00000C0A0000}"/>
    <cellStyle name="40 % - Akzent1" xfId="1298" hidden="1" xr:uid="{00000000-0005-0000-0000-00000F0A0000}"/>
    <cellStyle name="40 % - Akzent1" xfId="13449" hidden="1" xr:uid="{00000000-0005-0000-0000-0000100A0000}"/>
    <cellStyle name="40 % - Akzent1" xfId="19556" hidden="1" xr:uid="{00000000-0005-0000-0000-0000BB090000}"/>
    <cellStyle name="40 % - Akzent1" xfId="18390" hidden="1" xr:uid="{00000000-0005-0000-0000-0000B8090000}"/>
    <cellStyle name="40 % - Akzent1" xfId="14416" hidden="1" xr:uid="{00000000-0005-0000-0000-0000E3090000}"/>
    <cellStyle name="40 % - Akzent1" xfId="19635" hidden="1" xr:uid="{00000000-0005-0000-0000-0000BD090000}"/>
    <cellStyle name="40 % - Akzent1" xfId="10934" hidden="1" xr:uid="{00000000-0005-0000-0000-0000D5090000}"/>
    <cellStyle name="40 % - Akzent1" xfId="3337" hidden="1" xr:uid="{00000000-0005-0000-0000-0000D6090000}"/>
    <cellStyle name="40 % - Akzent1" xfId="4067" hidden="1" xr:uid="{00000000-0005-0000-0000-0000D7090000}"/>
    <cellStyle name="40 % - Akzent1" xfId="19797" hidden="1" xr:uid="{00000000-0005-0000-0000-0000D2090000}"/>
    <cellStyle name="40 % - Akzent1" xfId="18676" hidden="1" xr:uid="{00000000-0005-0000-0000-0000A1090000}"/>
    <cellStyle name="40 % - Akzent1" xfId="16016" hidden="1" xr:uid="{00000000-0005-0000-0000-0000F5090000}"/>
    <cellStyle name="40 % - Akzent1" xfId="8523" hidden="1" xr:uid="{00000000-0005-0000-0000-0000DB090000}"/>
    <cellStyle name="40 % - Akzent1" xfId="10248" hidden="1" xr:uid="{00000000-0005-0000-0000-0000DF090000}"/>
    <cellStyle name="40 % - Akzent1" xfId="9379" hidden="1" xr:uid="{00000000-0005-0000-0000-0000E1090000}"/>
    <cellStyle name="40 % - Akzent1" xfId="13734" hidden="1" xr:uid="{00000000-0005-0000-0000-0000E2090000}"/>
    <cellStyle name="40 % - Akzent1" xfId="15775" hidden="1" xr:uid="{00000000-0005-0000-0000-0000D4090000}"/>
    <cellStyle name="40 % - Akzent1" xfId="1350" hidden="1" xr:uid="{00000000-0005-0000-0000-0000200A0000}"/>
    <cellStyle name="40 % - Akzent1" xfId="17186" hidden="1" xr:uid="{00000000-0005-0000-0000-000091090000}"/>
    <cellStyle name="40 % - Akzent1" xfId="17810" hidden="1" xr:uid="{00000000-0005-0000-0000-00008E090000}"/>
    <cellStyle name="40 % - Akzent1" xfId="13470" hidden="1" xr:uid="{00000000-0005-0000-0000-0000110A0000}"/>
    <cellStyle name="40 % - Akzent1" xfId="14737" hidden="1" xr:uid="{00000000-0005-0000-0000-0000E4090000}"/>
    <cellStyle name="40 % - Akzent1" xfId="16292" hidden="1" xr:uid="{00000000-0005-0000-0000-0000E7090000}"/>
    <cellStyle name="40 % - Akzent1" xfId="16340" hidden="1" xr:uid="{00000000-0005-0000-0000-0000E9090000}"/>
    <cellStyle name="40 % - Akzent1" xfId="14300" hidden="1" xr:uid="{00000000-0005-0000-0000-0000EB090000}"/>
    <cellStyle name="40 % - Akzent1" xfId="15941" hidden="1" xr:uid="{00000000-0005-0000-0000-0000EC090000}"/>
    <cellStyle name="40 % - Akzent1" xfId="16773" hidden="1" xr:uid="{00000000-0005-0000-0000-000099090000}"/>
    <cellStyle name="40 % - Akzent1" xfId="18039" hidden="1" xr:uid="{00000000-0005-0000-0000-000096090000}"/>
    <cellStyle name="40 % - Akzent1" xfId="13171" hidden="1" xr:uid="{00000000-0005-0000-0000-0000190A0000}"/>
    <cellStyle name="40 % - Akzent1" xfId="15049" hidden="1" xr:uid="{00000000-0005-0000-0000-00009B090000}"/>
    <cellStyle name="40 % - Akzent1" xfId="18008" hidden="1" xr:uid="{00000000-0005-0000-0000-000097090000}"/>
    <cellStyle name="40 % - Akzent1" xfId="16371" hidden="1" xr:uid="{00000000-0005-0000-0000-0000FC090000}"/>
    <cellStyle name="40 % - Akzent1" xfId="14987" hidden="1" xr:uid="{00000000-0005-0000-0000-0000EE090000}"/>
    <cellStyle name="40 % - Akzent1" xfId="16643" hidden="1" xr:uid="{00000000-0005-0000-0000-0000F1090000}"/>
    <cellStyle name="40 % - Akzent1" xfId="16731" hidden="1" xr:uid="{00000000-0005-0000-0000-0000F3090000}"/>
    <cellStyle name="40 % - Akzent1" xfId="15268" hidden="1" xr:uid="{00000000-0005-0000-0000-0000F6090000}"/>
    <cellStyle name="40 % - Akzent1" xfId="8255" hidden="1" xr:uid="{00000000-0005-0000-0000-0000D9090000}"/>
    <cellStyle name="40 % - Akzent1" xfId="18369" hidden="1" xr:uid="{00000000-0005-0000-0000-0000A3090000}"/>
    <cellStyle name="40 % - Akzent1" xfId="18704" hidden="1" xr:uid="{00000000-0005-0000-0000-0000A0090000}"/>
    <cellStyle name="40 % - Akzent1" xfId="9176" hidden="1" xr:uid="{00000000-0005-0000-0000-0000060A0000}"/>
    <cellStyle name="40 % - Akzent1" xfId="13880" hidden="1" xr:uid="{00000000-0005-0000-0000-0000A5090000}"/>
    <cellStyle name="40 % - Akzent1" xfId="15638" hidden="1" xr:uid="{00000000-0005-0000-0000-0000F7090000}"/>
    <cellStyle name="40 % - Akzent1" xfId="15415" hidden="1" xr:uid="{00000000-0005-0000-0000-0000F8090000}"/>
    <cellStyle name="40 % - Akzent1" xfId="15413" hidden="1" xr:uid="{00000000-0005-0000-0000-0000F9090000}"/>
    <cellStyle name="40 % - Akzent1" xfId="17734" hidden="1" xr:uid="{00000000-0005-0000-0000-00008A090000}"/>
    <cellStyle name="40 % - Akzent1" xfId="19667" hidden="1" xr:uid="{00000000-0005-0000-0000-0000C4090000}"/>
    <cellStyle name="40 % - Akzent1" xfId="16866" hidden="1" xr:uid="{00000000-0005-0000-0000-000082090000}"/>
    <cellStyle name="40 % - Akzent1" xfId="16928" hidden="1" xr:uid="{00000000-0005-0000-0000-000083090000}"/>
    <cellStyle name="40 % - Akzent1" xfId="16818" hidden="1" xr:uid="{00000000-0005-0000-0000-0000FA090000}"/>
    <cellStyle name="40 % - Akzent1" xfId="8598" hidden="1" xr:uid="{00000000-0005-0000-0000-0000DD090000}"/>
    <cellStyle name="40 % - Akzent1" xfId="13170" hidden="1" xr:uid="{00000000-0005-0000-0000-0000180A0000}"/>
    <cellStyle name="40 % - Akzent1" xfId="14610" hidden="1" xr:uid="{00000000-0005-0000-0000-000087090000}"/>
    <cellStyle name="40 % - Akzent1" xfId="16158" hidden="1" xr:uid="{00000000-0005-0000-0000-000088090000}"/>
    <cellStyle name="40 % - Akzent1" xfId="16002" hidden="1" xr:uid="{00000000-0005-0000-0000-000089090000}"/>
    <cellStyle name="40 % - Akzent1" xfId="16897" hidden="1" xr:uid="{00000000-0005-0000-0000-000084090000}"/>
    <cellStyle name="40 % - Akzent1" xfId="3206" hidden="1" xr:uid="{00000000-0005-0000-0000-0000090A0000}"/>
    <cellStyle name="40 % - Akzent1" xfId="18222" hidden="1" xr:uid="{00000000-0005-0000-0000-0000A6090000}"/>
    <cellStyle name="40 % - Akzent1" xfId="17841" hidden="1" xr:uid="{00000000-0005-0000-0000-00008D090000}"/>
    <cellStyle name="40 % - Akzent1" xfId="15867" hidden="1" xr:uid="{00000000-0005-0000-0000-000090090000}"/>
    <cellStyle name="40 % - Akzent1" xfId="17188" hidden="1" xr:uid="{00000000-0005-0000-0000-000092090000}"/>
    <cellStyle name="40 % - Akzent1" xfId="17929" hidden="1" xr:uid="{00000000-0005-0000-0000-000093090000}"/>
    <cellStyle name="40 % - Akzent1" xfId="13810" hidden="1" xr:uid="{00000000-0005-0000-0000-000086090000}"/>
    <cellStyle name="40 % - Akzent1" xfId="19845" hidden="1" xr:uid="{00000000-0005-0000-0000-0000CF090000}"/>
    <cellStyle name="40 % - Akzent1" xfId="13184" hidden="1" xr:uid="{00000000-0005-0000-0000-0000160A0000}"/>
    <cellStyle name="40 % - Akzent1" xfId="13559" hidden="1" xr:uid="{00000000-0005-0000-0000-0000130A0000}"/>
    <cellStyle name="40 % - Akzent1" xfId="16588" hidden="1" xr:uid="{00000000-0005-0000-0000-0000C1090000}"/>
    <cellStyle name="40 % - Akzent1" xfId="17977" hidden="1" xr:uid="{00000000-0005-0000-0000-000095090000}"/>
    <cellStyle name="40 % - Akzent1" xfId="14048" hidden="1" xr:uid="{00000000-0005-0000-0000-000098090000}"/>
    <cellStyle name="40 % - Akzent1" xfId="16745" hidden="1" xr:uid="{00000000-0005-0000-0000-00009A090000}"/>
    <cellStyle name="40 % - Akzent1" xfId="14575" hidden="1" xr:uid="{00000000-0005-0000-0000-00009C090000}"/>
    <cellStyle name="40 % - Akzent1" xfId="18604" hidden="1" xr:uid="{00000000-0005-0000-0000-00009D090000}"/>
    <cellStyle name="40 % - Akzent1" xfId="13651" hidden="1" xr:uid="{00000000-0005-0000-0000-0000010A0000}"/>
    <cellStyle name="40 % - Akzent1" xfId="13603" hidden="1" xr:uid="{00000000-0005-0000-0000-0000FE090000}"/>
    <cellStyle name="40 % - Akzent1" xfId="8518" hidden="1" xr:uid="{00000000-0005-0000-0000-0000030A0000}"/>
    <cellStyle name="40 % - Akzent1" xfId="13630" hidden="1" xr:uid="{00000000-0005-0000-0000-0000FF090000}"/>
    <cellStyle name="40 % - Akzent1" xfId="16749" hidden="1" xr:uid="{00000000-0005-0000-0000-0000AD090000}"/>
    <cellStyle name="40 % - Akzent1" xfId="18652" hidden="1" xr:uid="{00000000-0005-0000-0000-00009F090000}"/>
    <cellStyle name="40 % - Akzent1" xfId="16804" hidden="1" xr:uid="{00000000-0005-0000-0000-0000A2090000}"/>
    <cellStyle name="40 % - Akzent1" xfId="18200" hidden="1" xr:uid="{00000000-0005-0000-0000-0000A4090000}"/>
    <cellStyle name="40 % - Akzent1" xfId="18774" hidden="1" xr:uid="{00000000-0005-0000-0000-0000A7090000}"/>
    <cellStyle name="40 % - Akzent1" xfId="17755" hidden="1" xr:uid="{00000000-0005-0000-0000-00008B090000}"/>
    <cellStyle name="40 % - Akzent1" xfId="3295" hidden="1" xr:uid="{00000000-0005-0000-0000-00000B0A0000}"/>
    <cellStyle name="40 % - Akzent1" xfId="9275" hidden="1" xr:uid="{00000000-0005-0000-0000-0000080A0000}"/>
    <cellStyle name="40 % - Akzent1" xfId="17722" hidden="1" xr:uid="{00000000-0005-0000-0000-0000B6090000}"/>
    <cellStyle name="40 % - Akzent1" xfId="3368" hidden="1" xr:uid="{00000000-0005-0000-0000-00000D0A0000}"/>
    <cellStyle name="40 % - Akzent1" xfId="18795" hidden="1" xr:uid="{00000000-0005-0000-0000-0000A8090000}"/>
    <cellStyle name="40 % - Akzent1" xfId="18822" hidden="1" xr:uid="{00000000-0005-0000-0000-0000A9090000}"/>
    <cellStyle name="40 % - Akzent1" xfId="18878" hidden="1" xr:uid="{00000000-0005-0000-0000-0000AA090000}"/>
    <cellStyle name="40 % - Akzent1" xfId="13025" hidden="1" xr:uid="{00000000-0005-0000-0000-00001E0A0000}"/>
    <cellStyle name="40 % - Akzent1" xfId="16622" hidden="1" xr:uid="{00000000-0005-0000-0000-0000F0090000}"/>
    <cellStyle name="40 % - Akzent1" xfId="18057" hidden="1" xr:uid="{00000000-0005-0000-0000-0000C9090000}"/>
    <cellStyle name="40 % - Akzent1" xfId="14658" hidden="1" xr:uid="{00000000-0005-0000-0000-0000AE090000}"/>
    <cellStyle name="40 % - Akzent1" xfId="18926" hidden="1" xr:uid="{00000000-0005-0000-0000-0000B0090000}"/>
    <cellStyle name="40 % - Akzent1" xfId="18974" hidden="1" xr:uid="{00000000-0005-0000-0000-0000B2090000}"/>
    <cellStyle name="40 % - Akzent1" xfId="19005" hidden="1" xr:uid="{00000000-0005-0000-0000-0000B4090000}"/>
    <cellStyle name="40 % - Akzent1" xfId="18383" hidden="1" xr:uid="{00000000-0005-0000-0000-0000B5090000}"/>
    <cellStyle name="40 % - Akzent1" xfId="10988" hidden="1" xr:uid="{00000000-0005-0000-0000-0000DE090000}"/>
    <cellStyle name="40 % - Akzent1" xfId="16783" hidden="1" xr:uid="{00000000-0005-0000-0000-000085090000}"/>
    <cellStyle name="40 % - Akzent1" xfId="9383" hidden="1" xr:uid="{00000000-0005-0000-0000-0000E0090000}"/>
    <cellStyle name="40 % - Akzent1" xfId="10047" hidden="1" xr:uid="{00000000-0005-0000-0000-0000DC090000}"/>
    <cellStyle name="40 % - Akzent1" xfId="17782" hidden="1" xr:uid="{00000000-0005-0000-0000-00008C090000}"/>
    <cellStyle name="40 % - Akzent1" xfId="18717" hidden="1" xr:uid="{00000000-0005-0000-0000-0000B7090000}"/>
    <cellStyle name="40 % - Akzent1" xfId="19535" hidden="1" xr:uid="{00000000-0005-0000-0000-0000BA090000}"/>
    <cellStyle name="40 % - Akzent1" xfId="19583" hidden="1" xr:uid="{00000000-0005-0000-0000-0000BC090000}"/>
    <cellStyle name="40 % - Akzent1" xfId="14171" hidden="1" xr:uid="{00000000-0005-0000-0000-0000BF090000}"/>
    <cellStyle name="40 % - Akzent1" xfId="19376" hidden="1" xr:uid="{00000000-0005-0000-0000-0000C0090000}"/>
    <cellStyle name="40 % - Akzent1" xfId="16313" hidden="1" xr:uid="{00000000-0005-0000-0000-0000E8090000}"/>
    <cellStyle name="40 % - Akzent1" xfId="14698" hidden="1" xr:uid="{00000000-0005-0000-0000-0000E5090000}"/>
    <cellStyle name="40 % - Akzent1" xfId="17950" hidden="1" xr:uid="{00000000-0005-0000-0000-000094090000}"/>
    <cellStyle name="40 % - Akzent1" xfId="16401" hidden="1" xr:uid="{00000000-0005-0000-0000-0000EA090000}"/>
    <cellStyle name="40 % - Akzent1" xfId="14696" hidden="1" xr:uid="{00000000-0005-0000-0000-0000E6090000}"/>
    <cellStyle name="40 % - Akzent1" xfId="19607" hidden="1" xr:uid="{00000000-0005-0000-0000-0000BE090000}"/>
    <cellStyle name="40 % - Akzent1" xfId="19138" hidden="1" xr:uid="{00000000-0005-0000-0000-0000C2090000}"/>
    <cellStyle name="40 % - Akzent1" xfId="19688" hidden="1" xr:uid="{00000000-0005-0000-0000-0000C5090000}"/>
    <cellStyle name="40 % - Akzent1" xfId="19777" hidden="1" xr:uid="{00000000-0005-0000-0000-0000C7090000}"/>
    <cellStyle name="40 % - Akzent1" xfId="16480" hidden="1" xr:uid="{00000000-0005-0000-0000-0000CA090000}"/>
    <cellStyle name="40 % - Akzent1" xfId="14364" hidden="1" xr:uid="{00000000-0005-0000-0000-0000AC090000}"/>
    <cellStyle name="40 % - Akzent1" xfId="16670" hidden="1" xr:uid="{00000000-0005-0000-0000-0000F2090000}"/>
    <cellStyle name="40 % - Akzent1" xfId="15760" hidden="1" xr:uid="{00000000-0005-0000-0000-0000EF090000}"/>
    <cellStyle name="40 % - Akzent1" xfId="18625" hidden="1" xr:uid="{00000000-0005-0000-0000-00009E090000}"/>
    <cellStyle name="40 % - Akzent1" xfId="16701" hidden="1" xr:uid="{00000000-0005-0000-0000-0000F4090000}"/>
    <cellStyle name="40 % - Akzent1" xfId="16021" hidden="1" xr:uid="{00000000-0005-0000-0000-0000CB090000}"/>
    <cellStyle name="40 % - Akzent1" xfId="18334" hidden="1" xr:uid="{00000000-0005-0000-0000-0000CC090000}"/>
    <cellStyle name="40 % - Akzent1" xfId="18168" hidden="1" xr:uid="{00000000-0005-0000-0000-0000CD090000}"/>
    <cellStyle name="40 % - Akzent1" xfId="19818" hidden="1" xr:uid="{00000000-0005-0000-0000-0000CE090000}"/>
    <cellStyle name="40 % - Akzent1" xfId="4004" hidden="1" xr:uid="{00000000-0005-0000-0000-0000D8090000}"/>
    <cellStyle name="40 % - Akzent1" xfId="13528" hidden="1" xr:uid="{00000000-0005-0000-0000-0000140A0000}"/>
    <cellStyle name="40 % - Akzent1" xfId="19893" hidden="1" xr:uid="{00000000-0005-0000-0000-0000D0090000}"/>
    <cellStyle name="40 % - Akzent1" xfId="19866" hidden="1" xr:uid="{00000000-0005-0000-0000-0000D1090000}"/>
    <cellStyle name="40 % - Akzent1 2" xfId="392" xr:uid="{00000000-0005-0000-0000-0000230A0000}"/>
    <cellStyle name="40 % - Akzent1 3" xfId="261" xr:uid="{00000000-0005-0000-0000-0000240A0000}"/>
    <cellStyle name="40 % - Akzent2" xfId="14296" hidden="1" xr:uid="{00000000-0005-0000-0000-0000940A0000}"/>
    <cellStyle name="40 % - Akzent2" xfId="15632" hidden="1" xr:uid="{00000000-0005-0000-0000-0000930A0000}"/>
    <cellStyle name="40 % - Akzent2" xfId="17737" hidden="1" xr:uid="{00000000-0005-0000-0000-0000280A0000}"/>
    <cellStyle name="40 % - Akzent2" xfId="18696" hidden="1" xr:uid="{00000000-0005-0000-0000-00003E0A0000}"/>
    <cellStyle name="40 % - Akzent2" xfId="18054" hidden="1" xr:uid="{00000000-0005-0000-0000-00005D0A0000}"/>
    <cellStyle name="40 % - Akzent2" xfId="3306" hidden="1" xr:uid="{00000000-0005-0000-0000-0000AA0A0000}"/>
    <cellStyle name="40 % - Akzent2" xfId="16275" hidden="1" xr:uid="{00000000-0005-0000-0000-00002C0A0000}"/>
    <cellStyle name="40 % - Akzent2" xfId="16768" hidden="1" xr:uid="{00000000-0005-0000-0000-00003A0A0000}"/>
    <cellStyle name="40 % - Akzent2" xfId="19569" hidden="1" xr:uid="{00000000-0005-0000-0000-0000590A0000}"/>
    <cellStyle name="40 % - Akzent2" xfId="13412" hidden="1" xr:uid="{00000000-0005-0000-0000-0000B70A0000}"/>
    <cellStyle name="40 % - Akzent2" xfId="13355" hidden="1" xr:uid="{00000000-0005-0000-0000-0000B80A0000}"/>
    <cellStyle name="40 % - Akzent2" xfId="13397" hidden="1" xr:uid="{00000000-0005-0000-0000-0000B90A0000}"/>
    <cellStyle name="40 % - Akzent2" xfId="13585" hidden="1" xr:uid="{00000000-0005-0000-0000-0000BA0A0000}"/>
    <cellStyle name="40 % - Akzent2" xfId="13616" hidden="1" xr:uid="{00000000-0005-0000-0000-0000BB0A0000}"/>
    <cellStyle name="40 % - Akzent2" xfId="12692" hidden="1" xr:uid="{00000000-0005-0000-0000-0000BC0A0000}"/>
    <cellStyle name="40 % - Akzent2" xfId="1371" hidden="1" xr:uid="{00000000-0005-0000-0000-0000AD0A0000}"/>
    <cellStyle name="40 % - Akzent2" xfId="16656" hidden="1" xr:uid="{00000000-0005-0000-0000-00008D0A0000}"/>
    <cellStyle name="40 % - Akzent2" xfId="14723" hidden="1" xr:uid="{00000000-0005-0000-0000-00007F0A0000}"/>
    <cellStyle name="40 % - Akzent2" xfId="13366" hidden="1" xr:uid="{00000000-0005-0000-0000-0000A00A0000}"/>
    <cellStyle name="40 % - Akzent2" xfId="1331" hidden="1" xr:uid="{00000000-0005-0000-0000-0000C10A0000}"/>
    <cellStyle name="40 % - Akzent2" xfId="18367" hidden="1" xr:uid="{00000000-0005-0000-0000-0000410A0000}"/>
    <cellStyle name="40 % - Akzent2" xfId="18186" hidden="1" xr:uid="{00000000-0005-0000-0000-0000430A0000}"/>
    <cellStyle name="40 % - Akzent2" xfId="13195" hidden="1" xr:uid="{00000000-0005-0000-0000-0000B60A0000}"/>
    <cellStyle name="40 % - Akzent2" xfId="18655" hidden="1" xr:uid="{00000000-0005-0000-0000-00003D0A0000}"/>
    <cellStyle name="40 % - Akzent2" xfId="19646" hidden="1" xr:uid="{00000000-0005-0000-0000-00005C0A0000}"/>
    <cellStyle name="40 % - Akzent2" xfId="18904" hidden="1" xr:uid="{00000000-0005-0000-0000-00006A0A0000}"/>
    <cellStyle name="40 % - Akzent2" xfId="8258" hidden="1" xr:uid="{00000000-0005-0000-0000-0000730A0000}"/>
    <cellStyle name="40 % - Akzent2" xfId="8451" hidden="1" xr:uid="{00000000-0005-0000-0000-0000740A0000}"/>
    <cellStyle name="40 % - Akzent2" xfId="15984" hidden="1" xr:uid="{00000000-0005-0000-0000-0000420A0000}"/>
    <cellStyle name="40 % - Akzent2" xfId="15666" hidden="1" xr:uid="{00000000-0005-0000-0000-00009C0A0000}"/>
    <cellStyle name="40 % - Akzent2" xfId="13548" hidden="1" xr:uid="{00000000-0005-0000-0000-0000B40A0000}"/>
    <cellStyle name="40 % - Akzent2" xfId="8914" hidden="1" xr:uid="{00000000-0005-0000-0000-0000780A0000}"/>
    <cellStyle name="40 % - Akzent2" xfId="11367" hidden="1" xr:uid="{00000000-0005-0000-0000-0000790A0000}"/>
    <cellStyle name="40 % - Akzent2" xfId="18825" hidden="1" xr:uid="{00000000-0005-0000-0000-0000470A0000}"/>
    <cellStyle name="40 % - Akzent2" xfId="17768" hidden="1" xr:uid="{00000000-0005-0000-0000-0000290A0000}"/>
    <cellStyle name="40 % - Akzent2" xfId="19373" hidden="1" xr:uid="{00000000-0005-0000-0000-00005E0A0000}"/>
    <cellStyle name="40 % - Akzent2" xfId="18977" hidden="1" xr:uid="{00000000-0005-0000-0000-0000500A0000}"/>
    <cellStyle name="40 % - Akzent2" xfId="16412" hidden="1" xr:uid="{00000000-0005-0000-0000-0000860A0000}"/>
    <cellStyle name="40 % - Akzent2" xfId="16148" hidden="1" xr:uid="{00000000-0005-0000-0000-00004C0A0000}"/>
    <cellStyle name="40 % - Akzent2" xfId="17421" hidden="1" xr:uid="{00000000-0005-0000-0000-00002D0A0000}"/>
    <cellStyle name="40 % - Akzent2" xfId="18607" hidden="1" xr:uid="{00000000-0005-0000-0000-00003B0A0000}"/>
    <cellStyle name="40 % - Akzent2" xfId="18335" hidden="1" xr:uid="{00000000-0005-0000-0000-0000440A0000}"/>
    <cellStyle name="40 % - Akzent2" xfId="18777" hidden="1" xr:uid="{00000000-0005-0000-0000-0000450A0000}"/>
    <cellStyle name="40 % - Akzent2" xfId="19025" hidden="1" xr:uid="{00000000-0005-0000-0000-0000510A0000}"/>
    <cellStyle name="40 % - Akzent2" xfId="3491" hidden="1" xr:uid="{00000000-0005-0000-0000-0000AC0A0000}"/>
    <cellStyle name="40 % - Akzent2" xfId="16343" hidden="1" xr:uid="{00000000-0005-0000-0000-0000840A0000}"/>
    <cellStyle name="40 % - Akzent2" xfId="3188" hidden="1" xr:uid="{00000000-0005-0000-0000-0000C50A0000}"/>
    <cellStyle name="40 % - Akzent2" xfId="963" hidden="1" xr:uid="{00000000-0005-0000-0000-0000C40A0000}"/>
    <cellStyle name="40 % - Akzent2" xfId="18529" hidden="1" xr:uid="{00000000-0005-0000-0000-0000560A0000}"/>
    <cellStyle name="40 % - Akzent2" xfId="19848" hidden="1" xr:uid="{00000000-0005-0000-0000-00006D0A0000}"/>
    <cellStyle name="40 % - Akzent2" xfId="14495" hidden="1" xr:uid="{00000000-0005-0000-0000-00002F0A0000}"/>
    <cellStyle name="40 % - Akzent2" xfId="16939" hidden="1" xr:uid="{00000000-0005-0000-0000-00009A0A0000}"/>
    <cellStyle name="40 % - Akzent2" xfId="13570" hidden="1" xr:uid="{00000000-0005-0000-0000-0000B50A0000}"/>
    <cellStyle name="40 % - Akzent2" xfId="19627" hidden="1" xr:uid="{00000000-0005-0000-0000-00005B0A0000}"/>
    <cellStyle name="40 % - Akzent2" xfId="18293" hidden="1" xr:uid="{00000000-0005-0000-0000-0000690A0000}"/>
    <cellStyle name="40 % - Akzent2" xfId="16987" hidden="1" xr:uid="{00000000-0005-0000-0000-00004A0A0000}"/>
    <cellStyle name="40 % - Akzent2" xfId="15939" hidden="1" xr:uid="{00000000-0005-0000-0000-0000880A0000}"/>
    <cellStyle name="40 % - Akzent2" xfId="15742" hidden="1" xr:uid="{00000000-0005-0000-0000-0000890A0000}"/>
    <cellStyle name="40 % - Akzent2" xfId="15710" hidden="1" xr:uid="{00000000-0005-0000-0000-00008A0A0000}"/>
    <cellStyle name="40 % - Akzent2" xfId="13815" hidden="1" xr:uid="{00000000-0005-0000-0000-00008B0A0000}"/>
    <cellStyle name="40 % - Akzent2" xfId="16625" hidden="1" xr:uid="{00000000-0005-0000-0000-00008C0A0000}"/>
    <cellStyle name="40 % - Akzent2" xfId="13737" hidden="1" xr:uid="{00000000-0005-0000-0000-00007D0A0000}"/>
    <cellStyle name="40 % - Akzent2" xfId="13633" hidden="1" xr:uid="{00000000-0005-0000-0000-00009D0A0000}"/>
    <cellStyle name="40 % - Akzent2" xfId="13060" hidden="1" xr:uid="{00000000-0005-0000-0000-0000BD0A0000}"/>
    <cellStyle name="40 % - Akzent2" xfId="4130" hidden="1" xr:uid="{00000000-0005-0000-0000-0000AF0A0000}"/>
    <cellStyle name="40 % - Akzent2" xfId="16742" hidden="1" xr:uid="{00000000-0005-0000-0000-0000900A0000}"/>
    <cellStyle name="40 % - Akzent2" xfId="10911" hidden="1" xr:uid="{00000000-0005-0000-0000-00007A0A0000}"/>
    <cellStyle name="40 % - Akzent2" xfId="14143" hidden="1" xr:uid="{00000000-0005-0000-0000-0000700A0000}"/>
    <cellStyle name="40 % - Akzent2" xfId="17830" hidden="1" xr:uid="{00000000-0005-0000-0000-0000720A0000}"/>
    <cellStyle name="40 % - Akzent2" xfId="15174" hidden="1" xr:uid="{00000000-0005-0000-0000-0000870A0000}"/>
    <cellStyle name="40 % - Akzent2" xfId="19831" hidden="1" xr:uid="{00000000-0005-0000-0000-00006C0A0000}"/>
    <cellStyle name="40 % - Akzent2" xfId="17006" hidden="1" xr:uid="{00000000-0005-0000-0000-00004D0A0000}"/>
    <cellStyle name="40 % - Akzent2" xfId="17162" hidden="1" xr:uid="{00000000-0005-0000-0000-00002E0A0000}"/>
    <cellStyle name="40 % - Akzent2" xfId="8703" hidden="1" xr:uid="{00000000-0005-0000-0000-0000A30A0000}"/>
    <cellStyle name="40 % - Akzent2" xfId="9141" hidden="1" xr:uid="{00000000-0005-0000-0000-0000A40A0000}"/>
    <cellStyle name="40 % - Akzent2" xfId="17712" hidden="1" xr:uid="{00000000-0005-0000-0000-0000710A0000}"/>
    <cellStyle name="40 % - Akzent2" xfId="19047" hidden="1" xr:uid="{00000000-0005-0000-0000-0000520A0000}"/>
    <cellStyle name="40 % - Akzent2" xfId="16391" hidden="1" xr:uid="{00000000-0005-0000-0000-0000850A0000}"/>
    <cellStyle name="40 % - Akzent2" xfId="3236" hidden="1" xr:uid="{00000000-0005-0000-0000-0000A80A0000}"/>
    <cellStyle name="40 % - Akzent2" xfId="3284" hidden="1" xr:uid="{00000000-0005-0000-0000-0000A90A0000}"/>
    <cellStyle name="40 % - Akzent2" xfId="8521" hidden="1" xr:uid="{00000000-0005-0000-0000-0000760A0000}"/>
    <cellStyle name="40 % - Akzent2" xfId="17903" hidden="1" xr:uid="{00000000-0005-0000-0000-0000570A0000}"/>
    <cellStyle name="40 % - Akzent2" xfId="16603" hidden="1" xr:uid="{00000000-0005-0000-0000-0000300A0000}"/>
    <cellStyle name="40 % - Akzent2" xfId="19904" hidden="1" xr:uid="{00000000-0005-0000-0000-00006F0A0000}"/>
    <cellStyle name="40 % - Akzent2" xfId="19886" hidden="1" xr:uid="{00000000-0005-0000-0000-00006E0A0000}"/>
    <cellStyle name="40 % - Akzent2" xfId="10247" hidden="1" xr:uid="{00000000-0005-0000-0000-00007B0A0000}"/>
    <cellStyle name="40 % - Akzent2" xfId="15271" hidden="1" xr:uid="{00000000-0005-0000-0000-0000920A0000}"/>
    <cellStyle name="40 % - Akzent2" xfId="13483" hidden="1" xr:uid="{00000000-0005-0000-0000-0000B20A0000}"/>
    <cellStyle name="40 % - Akzent2" xfId="18808" hidden="1" xr:uid="{00000000-0005-0000-0000-0000460A0000}"/>
    <cellStyle name="40 % - Akzent2" xfId="18339" hidden="1" xr:uid="{00000000-0005-0000-0000-0000600A0000}"/>
    <cellStyle name="40 % - Akzent2" xfId="14757" hidden="1" xr:uid="{00000000-0005-0000-0000-0000800A0000}"/>
    <cellStyle name="40 % - Akzent2" xfId="16673" hidden="1" xr:uid="{00000000-0005-0000-0000-00008E0A0000}"/>
    <cellStyle name="40 % - Akzent2" xfId="1025" hidden="1" xr:uid="{00000000-0005-0000-0000-0000AE0A0000}"/>
    <cellStyle name="40 % - Akzent2" xfId="18028" hidden="1" xr:uid="{00000000-0005-0000-0000-0000340A0000}"/>
    <cellStyle name="40 % - Akzent2" xfId="18050" hidden="1" xr:uid="{00000000-0005-0000-0000-0000350A0000}"/>
    <cellStyle name="40 % - Akzent2" xfId="14291" hidden="1" xr:uid="{00000000-0005-0000-0000-0000360A0000}"/>
    <cellStyle name="40 % - Akzent2" xfId="14787" hidden="1" xr:uid="{00000000-0005-0000-0000-0000370A0000}"/>
    <cellStyle name="40 % - Akzent2" xfId="16689" hidden="1" xr:uid="{00000000-0005-0000-0000-0000380A0000}"/>
    <cellStyle name="40 % - Akzent2" xfId="17785" hidden="1" xr:uid="{00000000-0005-0000-0000-00002A0A0000}"/>
    <cellStyle name="40 % - Akzent2" xfId="18889" hidden="1" xr:uid="{00000000-0005-0000-0000-0000490A0000}"/>
    <cellStyle name="40 % - Akzent2" xfId="15851" hidden="1" xr:uid="{00000000-0005-0000-0000-0000680A0000}"/>
    <cellStyle name="40 % - Akzent2" xfId="19586" hidden="1" xr:uid="{00000000-0005-0000-0000-00005A0A0000}"/>
    <cellStyle name="40 % - Akzent2" xfId="18638" hidden="1" xr:uid="{00000000-0005-0000-0000-00003C0A0000}"/>
    <cellStyle name="40 % - Akzent2" xfId="14104" hidden="1" xr:uid="{00000000-0005-0000-0000-0000270A0000}"/>
    <cellStyle name="40 % - Akzent2" xfId="16058" hidden="1" xr:uid="{00000000-0005-0000-0000-0000950A0000}"/>
    <cellStyle name="40 % - Akzent2" xfId="16852" hidden="1" xr:uid="{00000000-0005-0000-0000-0000970A0000}"/>
    <cellStyle name="40 % - Akzent2" xfId="17980" hidden="1" xr:uid="{00000000-0005-0000-0000-0000330A0000}"/>
    <cellStyle name="40 % - Akzent2" xfId="14085" hidden="1" xr:uid="{00000000-0005-0000-0000-0000910A0000}"/>
    <cellStyle name="40 % - Akzent2" xfId="3611" hidden="1" xr:uid="{00000000-0005-0000-0000-0000B10A0000}"/>
    <cellStyle name="40 % - Akzent2" xfId="13452" hidden="1" xr:uid="{00000000-0005-0000-0000-0000C00A0000}"/>
    <cellStyle name="40 % - Akzent2" xfId="18929" hidden="1" xr:uid="{00000000-0005-0000-0000-00004E0A0000}"/>
    <cellStyle name="40 % - Akzent2" xfId="18960" hidden="1" xr:uid="{00000000-0005-0000-0000-00004F0A0000}"/>
    <cellStyle name="40 % - Akzent2" xfId="16821" hidden="1" xr:uid="{00000000-0005-0000-0000-0000960A0000}"/>
    <cellStyle name="40 % - Akzent2" xfId="10705" hidden="1" xr:uid="{00000000-0005-0000-0000-0000770A0000}"/>
    <cellStyle name="40 % - Akzent2" xfId="17932" hidden="1" xr:uid="{00000000-0005-0000-0000-0000310A0000}"/>
    <cellStyle name="40 % - Akzent2" xfId="18900" hidden="1" xr:uid="{00000000-0005-0000-0000-0000530A0000}"/>
    <cellStyle name="40 % - Akzent2" xfId="14971" hidden="1" xr:uid="{00000000-0005-0000-0000-0000540A0000}"/>
    <cellStyle name="40 % - Akzent2" xfId="16723" hidden="1" xr:uid="{00000000-0005-0000-0000-00009B0A0000}"/>
    <cellStyle name="40 % - Akzent2" xfId="10260" hidden="1" xr:uid="{00000000-0005-0000-0000-00007C0A0000}"/>
    <cellStyle name="40 % - Akzent2" xfId="13500" hidden="1" xr:uid="{00000000-0005-0000-0000-0000B30A0000}"/>
    <cellStyle name="40 % - Akzent2" xfId="8950" hidden="1" xr:uid="{00000000-0005-0000-0000-0000A50A0000}"/>
    <cellStyle name="40 % - Akzent2" xfId="3219" hidden="1" xr:uid="{00000000-0005-0000-0000-0000A70A0000}"/>
    <cellStyle name="40 % - Akzent2" xfId="13945" hidden="1" xr:uid="{00000000-0005-0000-0000-0000610A0000}"/>
    <cellStyle name="40 % - Akzent2" xfId="8314" hidden="1" xr:uid="{00000000-0005-0000-0000-0000A10A0000}"/>
    <cellStyle name="40 % - Akzent2" xfId="14474" hidden="1" xr:uid="{00000000-0005-0000-0000-0000810A0000}"/>
    <cellStyle name="40 % - Akzent2" xfId="16721" hidden="1" xr:uid="{00000000-0005-0000-0000-00008F0A0000}"/>
    <cellStyle name="40 % - Akzent2" xfId="16869" hidden="1" xr:uid="{00000000-0005-0000-0000-0000980A0000}"/>
    <cellStyle name="40 % - Akzent2" xfId="16917" hidden="1" xr:uid="{00000000-0005-0000-0000-0000990A0000}"/>
    <cellStyle name="40 % - Akzent2" xfId="8539" hidden="1" xr:uid="{00000000-0005-0000-0000-0000A60A0000}"/>
    <cellStyle name="40 % - Akzent2" xfId="18870" hidden="1" xr:uid="{00000000-0005-0000-0000-0000480A0000}"/>
    <cellStyle name="40 % - Akzent2" xfId="17720" hidden="1" xr:uid="{00000000-0005-0000-0000-00005F0A0000}"/>
    <cellStyle name="40 % - Akzent2" xfId="16543" hidden="1" xr:uid="{00000000-0005-0000-0000-0000250A0000}"/>
    <cellStyle name="40 % - Akzent2" xfId="16256" hidden="1" xr:uid="{00000000-0005-0000-0000-0000260A0000}"/>
    <cellStyle name="40 % - Akzent2" xfId="3372" hidden="1" xr:uid="{00000000-0005-0000-0000-0000AB0A0000}"/>
    <cellStyle name="40 % - Akzent2" xfId="12190" hidden="1" xr:uid="{00000000-0005-0000-0000-0000C30A0000}"/>
    <cellStyle name="40 % - Akzent2" xfId="16326" hidden="1" xr:uid="{00000000-0005-0000-0000-0000830A0000}"/>
    <cellStyle name="40 % - Akzent2" xfId="8517" hidden="1" xr:uid="{00000000-0005-0000-0000-0000750A0000}"/>
    <cellStyle name="40 % - Akzent2" xfId="17963" hidden="1" xr:uid="{00000000-0005-0000-0000-0000320A0000}"/>
    <cellStyle name="40 % - Akzent2" xfId="3959" hidden="1" xr:uid="{00000000-0005-0000-0000-0000B00A0000}"/>
    <cellStyle name="40 % - Akzent2" xfId="12754" hidden="1" xr:uid="{00000000-0005-0000-0000-0000BF0A0000}"/>
    <cellStyle name="40 % - Akzent2" xfId="13689" hidden="1" xr:uid="{00000000-0005-0000-0000-00009F0A0000}"/>
    <cellStyle name="40 % - Akzent2" xfId="19701" hidden="1" xr:uid="{00000000-0005-0000-0000-0000630A0000}"/>
    <cellStyle name="40 % - Akzent2" xfId="19718" hidden="1" xr:uid="{00000000-0005-0000-0000-0000640A0000}"/>
    <cellStyle name="40 % - Akzent2" xfId="19766" hidden="1" xr:uid="{00000000-0005-0000-0000-0000650A0000}"/>
    <cellStyle name="40 % - Akzent2" xfId="19788" hidden="1" xr:uid="{00000000-0005-0000-0000-0000660A0000}"/>
    <cellStyle name="40 % - Akzent2" xfId="18553" hidden="1" xr:uid="{00000000-0005-0000-0000-0000670A0000}"/>
    <cellStyle name="40 % - Akzent2" xfId="19538" hidden="1" xr:uid="{00000000-0005-0000-0000-0000580A0000}"/>
    <cellStyle name="40 % - Akzent2" xfId="14623" hidden="1" xr:uid="{00000000-0005-0000-0000-0000390A0000}"/>
    <cellStyle name="40 % - Akzent2" xfId="17852" hidden="1" xr:uid="{00000000-0005-0000-0000-00002B0A0000}"/>
    <cellStyle name="40 % - Akzent2" xfId="18150" hidden="1" xr:uid="{00000000-0005-0000-0000-00004B0A0000}"/>
    <cellStyle name="40 % - Akzent2" xfId="19800" hidden="1" xr:uid="{00000000-0005-0000-0000-00006B0A0000}"/>
    <cellStyle name="40 % - Akzent2" xfId="18267" hidden="1" xr:uid="{00000000-0005-0000-0000-0000550A0000}"/>
    <cellStyle name="40 % - Akzent2" xfId="13100" hidden="1" xr:uid="{00000000-0005-0000-0000-0000BE0A0000}"/>
    <cellStyle name="40 % - Akzent2" xfId="13671" hidden="1" xr:uid="{00000000-0005-0000-0000-00009E0A0000}"/>
    <cellStyle name="40 % - Akzent2" xfId="14419" hidden="1" xr:uid="{00000000-0005-0000-0000-00007E0A0000}"/>
    <cellStyle name="40 % - Akzent2" xfId="19670" hidden="1" xr:uid="{00000000-0005-0000-0000-0000620A0000}"/>
    <cellStyle name="40 % - Akzent2" xfId="67" hidden="1" xr:uid="{00000000-0005-0000-0000-0000C20A0000}"/>
    <cellStyle name="40 % - Akzent2" xfId="8592" hidden="1" xr:uid="{00000000-0005-0000-0000-0000A20A0000}"/>
    <cellStyle name="40 % - Akzent2" xfId="16295" hidden="1" xr:uid="{00000000-0005-0000-0000-0000820A0000}"/>
    <cellStyle name="40 % - Akzent2" xfId="18715" hidden="1" xr:uid="{00000000-0005-0000-0000-00003F0A0000}"/>
    <cellStyle name="40 % - Akzent2" xfId="15141" hidden="1" xr:uid="{00000000-0005-0000-0000-0000400A0000}"/>
    <cellStyle name="40 % - Akzent2 2" xfId="393" xr:uid="{00000000-0005-0000-0000-0000C60A0000}"/>
    <cellStyle name="40 % - Akzent2 3" xfId="262" xr:uid="{00000000-0005-0000-0000-0000C70A0000}"/>
    <cellStyle name="40 % - Akzent3" xfId="12885" hidden="1" xr:uid="{00000000-0005-0000-0000-0000600B0000}"/>
    <cellStyle name="40 % - Akzent3" xfId="1291" hidden="1" xr:uid="{00000000-0005-0000-0000-0000670B0000}"/>
    <cellStyle name="40 % - Akzent3" xfId="13455" hidden="1" xr:uid="{00000000-0005-0000-0000-0000620B0000}"/>
    <cellStyle name="40 % - Akzent3" xfId="15189" hidden="1" xr:uid="{00000000-0005-0000-0000-0000380B0000}"/>
    <cellStyle name="40 % - Akzent3" xfId="70" hidden="1" xr:uid="{00000000-0005-0000-0000-0000640B0000}"/>
    <cellStyle name="40 % - Akzent3" xfId="3277" hidden="1" xr:uid="{00000000-0005-0000-0000-0000470B0000}"/>
    <cellStyle name="40 % - Akzent3" xfId="12696" hidden="1" xr:uid="{00000000-0005-0000-0000-0000660B0000}"/>
    <cellStyle name="40 % - Akzent3" xfId="12838" hidden="1" xr:uid="{00000000-0005-0000-0000-0000610B0000}"/>
    <cellStyle name="40 % - Akzent3" xfId="967" hidden="1" xr:uid="{00000000-0005-0000-0000-0000680B0000}"/>
    <cellStyle name="40 % - Akzent3" xfId="16425" hidden="1" xr:uid="{00000000-0005-0000-0000-0000D80A0000}"/>
    <cellStyle name="40 % - Akzent3" xfId="18610" hidden="1" xr:uid="{00000000-0005-0000-0000-0000D90A0000}"/>
    <cellStyle name="40 % - Akzent3" xfId="18297" hidden="1" xr:uid="{00000000-0005-0000-0000-0000E20A0000}"/>
    <cellStyle name="40 % - Akzent3" xfId="18780" hidden="1" xr:uid="{00000000-0005-0000-0000-0000E30A0000}"/>
    <cellStyle name="40 % - Akzent3" xfId="18796" hidden="1" xr:uid="{00000000-0005-0000-0000-0000E40A0000}"/>
    <cellStyle name="40 % - Akzent3" xfId="18682" hidden="1" xr:uid="{00000000-0005-0000-0000-0000DD0A0000}"/>
    <cellStyle name="40 % - Akzent3" xfId="3191" hidden="1" xr:uid="{00000000-0005-0000-0000-00004D0B0000}"/>
    <cellStyle name="40 % - Akzent3" xfId="16707" hidden="1" xr:uid="{00000000-0005-0000-0000-00002A0B0000}"/>
    <cellStyle name="40 % - Akzent3" xfId="17740" hidden="1" xr:uid="{00000000-0005-0000-0000-00003A0B0000}"/>
    <cellStyle name="40 % - Akzent3" xfId="15154" hidden="1" xr:uid="{00000000-0005-0000-0000-0000E00A0000}"/>
    <cellStyle name="40 % - Akzent3" xfId="8489" hidden="1" xr:uid="{00000000-0005-0000-0000-0000510B0000}"/>
    <cellStyle name="40 % - Akzent3" xfId="8510" hidden="1" xr:uid="{00000000-0005-0000-0000-0000520B0000}"/>
    <cellStyle name="40 % - Akzent3" xfId="8291" hidden="1" xr:uid="{00000000-0005-0000-0000-0000530B0000}"/>
    <cellStyle name="40 % - Akzent3" xfId="13541" hidden="1" xr:uid="{00000000-0005-0000-0000-0000550B0000}"/>
    <cellStyle name="40 % - Akzent3" xfId="17418" hidden="1" xr:uid="{00000000-0005-0000-0000-0000CB0A0000}"/>
    <cellStyle name="40 % - Akzent3" xfId="19018" hidden="1" xr:uid="{00000000-0005-0000-0000-0000EF0A0000}"/>
    <cellStyle name="40 % - Akzent3" xfId="3730" hidden="1" xr:uid="{00000000-0005-0000-0000-00004F0B0000}"/>
    <cellStyle name="40 % - Akzent3" xfId="13371" hidden="1" xr:uid="{00000000-0005-0000-0000-0000590B0000}"/>
    <cellStyle name="40 % - Akzent3" xfId="15410" hidden="1" xr:uid="{00000000-0005-0000-0000-00002D0B0000}"/>
    <cellStyle name="40 % - Akzent3" xfId="18021" hidden="1" xr:uid="{00000000-0005-0000-0000-0000D20A0000}"/>
    <cellStyle name="40 % - Akzent3" xfId="13740" hidden="1" xr:uid="{00000000-0005-0000-0000-0000180B0000}"/>
    <cellStyle name="40 % - Akzent3" xfId="19819" hidden="1" xr:uid="{00000000-0005-0000-0000-00000A0B0000}"/>
    <cellStyle name="40 % - Akzent3" xfId="19541" hidden="1" xr:uid="{00000000-0005-0000-0000-0000F60A0000}"/>
    <cellStyle name="40 % - Akzent3" xfId="10987" hidden="1" xr:uid="{00000000-0005-0000-0000-0000120B0000}"/>
    <cellStyle name="40 % - Akzent3" xfId="14544" hidden="1" xr:uid="{00000000-0005-0000-0000-00001B0B0000}"/>
    <cellStyle name="40 % - Akzent3" xfId="13534" hidden="1" xr:uid="{00000000-0005-0000-0000-0000560B0000}"/>
    <cellStyle name="40 % - Akzent3" xfId="19613" hidden="1" xr:uid="{00000000-0005-0000-0000-0000FA0A0000}"/>
    <cellStyle name="40 % - Akzent3" xfId="18658" hidden="1" xr:uid="{00000000-0005-0000-0000-0000DB0A0000}"/>
    <cellStyle name="40 % - Akzent3" xfId="17293" hidden="1" xr:uid="{00000000-0005-0000-0000-0000CD0A0000}"/>
    <cellStyle name="40 % - Akzent3" xfId="14505" hidden="1" xr:uid="{00000000-0005-0000-0000-00002F0B0000}"/>
    <cellStyle name="40 % - Akzent3" xfId="14699" hidden="1" xr:uid="{00000000-0005-0000-0000-0000D50A0000}"/>
    <cellStyle name="40 % - Akzent3" xfId="13878" hidden="1" xr:uid="{00000000-0005-0000-0000-0000DE0A0000}"/>
    <cellStyle name="40 % - Akzent3" xfId="14423" hidden="1" xr:uid="{00000000-0005-0000-0000-0000190B0000}"/>
    <cellStyle name="40 % - Akzent3" xfId="16910" hidden="1" xr:uid="{00000000-0005-0000-0000-0000330B0000}"/>
    <cellStyle name="40 % - Akzent3" xfId="19759" hidden="1" xr:uid="{00000000-0005-0000-0000-0000030B0000}"/>
    <cellStyle name="40 % - Akzent3" xfId="18524" hidden="1" xr:uid="{00000000-0005-0000-0000-0000040B0000}"/>
    <cellStyle name="40 % - Akzent3" xfId="13409" hidden="1" xr:uid="{00000000-0005-0000-0000-0000580B0000}"/>
    <cellStyle name="40 % - Akzent3" xfId="19144" hidden="1" xr:uid="{00000000-0005-0000-0000-0000FD0A0000}"/>
    <cellStyle name="40 % - Akzent3" xfId="18863" hidden="1" xr:uid="{00000000-0005-0000-0000-0000E50A0000}"/>
    <cellStyle name="40 % - Akzent3" xfId="18689" hidden="1" xr:uid="{00000000-0005-0000-0000-0000DC0A0000}"/>
    <cellStyle name="40 % - Akzent3" xfId="13588" hidden="1" xr:uid="{00000000-0005-0000-0000-00005C0B0000}"/>
    <cellStyle name="40 % - Akzent3" xfId="19689" hidden="1" xr:uid="{00000000-0005-0000-0000-0000010B0000}"/>
    <cellStyle name="40 % - Akzent3" xfId="18144" hidden="1" xr:uid="{00000000-0005-0000-0000-0000E90A0000}"/>
    <cellStyle name="40 % - Akzent3" xfId="15482" hidden="1" xr:uid="{00000000-0005-0000-0000-0000EA0A0000}"/>
    <cellStyle name="40 % - Akzent3" xfId="14717" hidden="1" xr:uid="{00000000-0005-0000-0000-0000EB0A0000}"/>
    <cellStyle name="40 % - Akzent3" xfId="18828" hidden="1" xr:uid="{00000000-0005-0000-0000-00000F0B0000}"/>
    <cellStyle name="40 % - Akzent3" xfId="8315" hidden="1" xr:uid="{00000000-0005-0000-0000-0000100B0000}"/>
    <cellStyle name="40 % - Akzent3" xfId="13471" hidden="1" xr:uid="{00000000-0005-0000-0000-0000630B0000}"/>
    <cellStyle name="40 % - Akzent3" xfId="9317" hidden="1" xr:uid="{00000000-0005-0000-0000-0000420B0000}"/>
    <cellStyle name="40 % - Akzent3" xfId="15670" hidden="1" xr:uid="{00000000-0005-0000-0000-0000E70A0000}"/>
    <cellStyle name="40 % - Akzent3" xfId="4104" hidden="1" xr:uid="{00000000-0005-0000-0000-0000140B0000}"/>
    <cellStyle name="40 % - Akzent3" xfId="3810" hidden="1" xr:uid="{00000000-0005-0000-0000-00004E0B0000}"/>
    <cellStyle name="40 % - Akzent3" xfId="16644" hidden="1" xr:uid="{00000000-0005-0000-0000-0000270B0000}"/>
    <cellStyle name="40 % - Akzent3" xfId="15936" hidden="1" xr:uid="{00000000-0005-0000-0000-0000220B0000}"/>
    <cellStyle name="40 % - Akzent3" xfId="16714" hidden="1" xr:uid="{00000000-0005-0000-0000-0000290B0000}"/>
    <cellStyle name="40 % - Akzent3" xfId="19673" hidden="1" xr:uid="{00000000-0005-0000-0000-0000000B0000}"/>
    <cellStyle name="40 % - Akzent3" xfId="15764" hidden="1" xr:uid="{00000000-0005-0000-0000-0000230B0000}"/>
    <cellStyle name="40 % - Akzent3" xfId="8596" hidden="1" xr:uid="{00000000-0005-0000-0000-0000400B0000}"/>
    <cellStyle name="40 % - Akzent3" xfId="15868" hidden="1" xr:uid="{00000000-0005-0000-0000-0000250B0000}"/>
    <cellStyle name="40 % - Akzent3" xfId="16676" hidden="1" xr:uid="{00000000-0005-0000-0000-0000280B0000}"/>
    <cellStyle name="40 % - Akzent3" xfId="16263" hidden="1" xr:uid="{00000000-0005-0000-0000-0000210B0000}"/>
    <cellStyle name="40 % - Akzent3" xfId="10901" hidden="1" xr:uid="{00000000-0005-0000-0000-0000150B0000}"/>
    <cellStyle name="40 % - Akzent3" xfId="10708" hidden="1" xr:uid="{00000000-0005-0000-0000-0000160B0000}"/>
    <cellStyle name="40 % - Akzent3" xfId="16384" hidden="1" xr:uid="{00000000-0005-0000-0000-00001F0B0000}"/>
    <cellStyle name="40 % - Akzent3" xfId="16377" hidden="1" xr:uid="{00000000-0005-0000-0000-0000200B0000}"/>
    <cellStyle name="40 % - Akzent3" xfId="19245" hidden="1" xr:uid="{00000000-0005-0000-0000-0000FE0A0000}"/>
    <cellStyle name="40 % - Akzent3" xfId="14692" hidden="1" xr:uid="{00000000-0005-0000-0000-00001A0B0000}"/>
    <cellStyle name="40 % - Akzent3" xfId="3239" hidden="1" xr:uid="{00000000-0005-0000-0000-0000460B0000}"/>
    <cellStyle name="40 % - Akzent3" xfId="13636" hidden="1" xr:uid="{00000000-0005-0000-0000-00005E0B0000}"/>
    <cellStyle name="40 % - Akzent3" xfId="19721" hidden="1" xr:uid="{00000000-0005-0000-0000-0000020B0000}"/>
    <cellStyle name="40 % - Akzent3" xfId="16314" hidden="1" xr:uid="{00000000-0005-0000-0000-00001D0B0000}"/>
    <cellStyle name="40 % - Akzent3" xfId="4061" hidden="1" xr:uid="{00000000-0005-0000-0000-00004A0B0000}"/>
    <cellStyle name="40 % - Akzent3" xfId="1156" hidden="1" xr:uid="{00000000-0005-0000-0000-00004B0B0000}"/>
    <cellStyle name="40 % - Akzent3" xfId="1109" hidden="1" xr:uid="{00000000-0005-0000-0000-00004C0B0000}"/>
    <cellStyle name="40 % - Akzent3" xfId="15274" hidden="1" xr:uid="{00000000-0005-0000-0000-00002C0B0000}"/>
    <cellStyle name="40 % - Akzent3" xfId="18907" hidden="1" xr:uid="{00000000-0005-0000-0000-0000080B0000}"/>
    <cellStyle name="40 % - Akzent3" xfId="17533" hidden="1" xr:uid="{00000000-0005-0000-0000-0000E80A0000}"/>
    <cellStyle name="40 % - Akzent3" xfId="3270" hidden="1" xr:uid="{00000000-0005-0000-0000-0000480B0000}"/>
    <cellStyle name="40 % - Akzent3" xfId="16824" hidden="1" xr:uid="{00000000-0005-0000-0000-0000300B0000}"/>
    <cellStyle name="40 % - Akzent3" xfId="14285" hidden="1" xr:uid="{00000000-0005-0000-0000-0000F40A0000}"/>
    <cellStyle name="40 % - Akzent3" xfId="17329" hidden="1" xr:uid="{00000000-0005-0000-0000-0000CE0A0000}"/>
    <cellStyle name="40 % - Akzent3" xfId="17816" hidden="1" xr:uid="{00000000-0005-0000-0000-0000C90A0000}"/>
    <cellStyle name="40 % - Akzent3" xfId="17951" hidden="1" xr:uid="{00000000-0005-0000-0000-0000D00A0000}"/>
    <cellStyle name="40 % - Akzent3" xfId="16298" hidden="1" xr:uid="{00000000-0005-0000-0000-00001C0B0000}"/>
    <cellStyle name="40 % - Akzent3" xfId="14047" hidden="1" xr:uid="{00000000-0005-0000-0000-0000CA0A0000}"/>
    <cellStyle name="40 % - Akzent3" xfId="18856" hidden="1" xr:uid="{00000000-0005-0000-0000-0000E60A0000}"/>
    <cellStyle name="40 % - Akzent3" xfId="15985" hidden="1" xr:uid="{00000000-0005-0000-0000-0000CC0A0000}"/>
    <cellStyle name="40 % - Akzent3" xfId="17935" hidden="1" xr:uid="{00000000-0005-0000-0000-0000CF0A0000}"/>
    <cellStyle name="40 % - Akzent3" xfId="17823" hidden="1" xr:uid="{00000000-0005-0000-0000-0000C80A0000}"/>
    <cellStyle name="40 % - Akzent3" xfId="16840" hidden="1" xr:uid="{00000000-0005-0000-0000-0000310B0000}"/>
    <cellStyle name="40 % - Akzent3" xfId="16872" hidden="1" xr:uid="{00000000-0005-0000-0000-0000320B0000}"/>
    <cellStyle name="40 % - Akzent3" xfId="17756" hidden="1" xr:uid="{00000000-0005-0000-0000-00003B0B0000}"/>
    <cellStyle name="40 % - Akzent3" xfId="17788" hidden="1" xr:uid="{00000000-0005-0000-0000-00003C0B0000}"/>
    <cellStyle name="40 % - Akzent3" xfId="14580" hidden="1" xr:uid="{00000000-0005-0000-0000-00003D0B0000}"/>
    <cellStyle name="40 % - Akzent3" xfId="16096" hidden="1" xr:uid="{00000000-0005-0000-0000-0000360B0000}"/>
    <cellStyle name="40 % - Akzent3" xfId="18932" hidden="1" xr:uid="{00000000-0005-0000-0000-0000EC0A0000}"/>
    <cellStyle name="40 % - Akzent3" xfId="19752" hidden="1" xr:uid="{00000000-0005-0000-0000-00000E0B0000}"/>
    <cellStyle name="40 % - Akzent3" xfId="16346" hidden="1" xr:uid="{00000000-0005-0000-0000-00001E0B0000}"/>
    <cellStyle name="40 % - Akzent3" xfId="13963" hidden="1" xr:uid="{00000000-0005-0000-0000-0000390B0000}"/>
    <cellStyle name="40 % - Akzent3" xfId="19011" hidden="1" xr:uid="{00000000-0005-0000-0000-0000F00A0000}"/>
    <cellStyle name="40 % - Akzent3" xfId="15950" hidden="1" xr:uid="{00000000-0005-0000-0000-0000F10A0000}"/>
    <cellStyle name="40 % - Akzent3" xfId="18163" hidden="1" xr:uid="{00000000-0005-0000-0000-0000F20A0000}"/>
    <cellStyle name="40 % - Akzent3" xfId="18014" hidden="1" xr:uid="{00000000-0005-0000-0000-0000D30A0000}"/>
    <cellStyle name="40 % - Akzent3" xfId="15836" hidden="1" xr:uid="{00000000-0005-0000-0000-0000240B0000}"/>
    <cellStyle name="40 % - Akzent3" xfId="3376" hidden="1" xr:uid="{00000000-0005-0000-0000-0000490B0000}"/>
    <cellStyle name="40 % - Akzent3" xfId="18980" hidden="1" xr:uid="{00000000-0005-0000-0000-0000EE0A0000}"/>
    <cellStyle name="40 % - Akzent3" xfId="13934" hidden="1" xr:uid="{00000000-0005-0000-0000-0000D70A0000}"/>
    <cellStyle name="40 % - Akzent3" xfId="10742" hidden="1" xr:uid="{00000000-0005-0000-0000-0000110B0000}"/>
    <cellStyle name="40 % - Akzent3" xfId="15813" hidden="1" xr:uid="{00000000-0005-0000-0000-00002B0B0000}"/>
    <cellStyle name="40 % - Akzent3" xfId="19620" hidden="1" xr:uid="{00000000-0005-0000-0000-0000F90A0000}"/>
    <cellStyle name="40 % - Akzent3" xfId="18670" hidden="1" xr:uid="{00000000-0005-0000-0000-0000FB0A0000}"/>
    <cellStyle name="40 % - Akzent3" xfId="12193" hidden="1" xr:uid="{00000000-0005-0000-0000-0000650B0000}"/>
    <cellStyle name="40 % - Akzent3" xfId="8261" hidden="1" xr:uid="{00000000-0005-0000-0000-0000500B0000}"/>
    <cellStyle name="40 % - Akzent3" xfId="17671" hidden="1" xr:uid="{00000000-0005-0000-0000-0000F50A0000}"/>
    <cellStyle name="40 % - Akzent3" xfId="19281" hidden="1" xr:uid="{00000000-0005-0000-0000-0000FF0A0000}"/>
    <cellStyle name="40 % - Akzent3" xfId="16472" hidden="1" xr:uid="{00000000-0005-0000-0000-0000D40A0000}"/>
    <cellStyle name="40 % - Akzent3" xfId="13503" hidden="1" xr:uid="{00000000-0005-0000-0000-0000540B0000}"/>
    <cellStyle name="40 % - Akzent3" xfId="16903" hidden="1" xr:uid="{00000000-0005-0000-0000-0000340B0000}"/>
    <cellStyle name="40 % - Akzent3" xfId="16628" hidden="1" xr:uid="{00000000-0005-0000-0000-0000260B0000}"/>
    <cellStyle name="40 % - Akzent3" xfId="11374" hidden="1" xr:uid="{00000000-0005-0000-0000-0000130B0000}"/>
    <cellStyle name="40 % - Akzent3" xfId="15338" hidden="1" xr:uid="{00000000-0005-0000-0000-00002E0B0000}"/>
    <cellStyle name="40 % - Akzent3" xfId="15131" hidden="1" xr:uid="{00000000-0005-0000-0000-0000370B0000}"/>
    <cellStyle name="40 % - Akzent3" xfId="19370" hidden="1" xr:uid="{00000000-0005-0000-0000-0000FC0A0000}"/>
    <cellStyle name="40 % - Akzent3" xfId="10256" hidden="1" xr:uid="{00000000-0005-0000-0000-0000170B0000}"/>
    <cellStyle name="40 % - Akzent3" xfId="13604" hidden="1" xr:uid="{00000000-0005-0000-0000-00005D0B0000}"/>
    <cellStyle name="40 % - Akzent3" xfId="13020" hidden="1" xr:uid="{00000000-0005-0000-0000-00005F0B0000}"/>
    <cellStyle name="40 % - Akzent3" xfId="15855" hidden="1" xr:uid="{00000000-0005-0000-0000-0000D60A0000}"/>
    <cellStyle name="40 % - Akzent3" xfId="13192" hidden="1" xr:uid="{00000000-0005-0000-0000-0000570B0000}"/>
    <cellStyle name="40 % - Akzent3" xfId="13657" hidden="1" xr:uid="{00000000-0005-0000-0000-00003F0B0000}"/>
    <cellStyle name="40 % - Akzent3" xfId="14038" hidden="1" xr:uid="{00000000-0005-0000-0000-0000350B0000}"/>
    <cellStyle name="40 % - Akzent3" xfId="18626" hidden="1" xr:uid="{00000000-0005-0000-0000-0000DA0A0000}"/>
    <cellStyle name="40 % - Akzent3" xfId="13389" hidden="1" xr:uid="{00000000-0005-0000-0000-00005B0B0000}"/>
    <cellStyle name="40 % - Akzent3" xfId="9420" hidden="1" xr:uid="{00000000-0005-0000-0000-0000430B0000}"/>
    <cellStyle name="40 % - Akzent3" xfId="8963" hidden="1" xr:uid="{00000000-0005-0000-0000-0000440B0000}"/>
    <cellStyle name="40 % - Akzent3" xfId="3207" hidden="1" xr:uid="{00000000-0005-0000-0000-0000450B0000}"/>
    <cellStyle name="40 % - Akzent3" xfId="13664" hidden="1" xr:uid="{00000000-0005-0000-0000-00003E0B0000}"/>
    <cellStyle name="40 % - Akzent3" xfId="18310" hidden="1" xr:uid="{00000000-0005-0000-0000-0000F30A0000}"/>
    <cellStyle name="40 % - Akzent3" xfId="17983" hidden="1" xr:uid="{00000000-0005-0000-0000-0000D10A0000}"/>
    <cellStyle name="40 % - Akzent3" xfId="18279" hidden="1" xr:uid="{00000000-0005-0000-0000-0000E10A0000}"/>
    <cellStyle name="40 % - Akzent3" xfId="9244" hidden="1" xr:uid="{00000000-0005-0000-0000-0000410B0000}"/>
    <cellStyle name="40 % - Akzent3" xfId="19557" hidden="1" xr:uid="{00000000-0005-0000-0000-0000F70A0000}"/>
    <cellStyle name="40 % - Akzent3" xfId="19589" hidden="1" xr:uid="{00000000-0005-0000-0000-0000F80A0000}"/>
    <cellStyle name="40 % - Akzent3" xfId="18948" hidden="1" xr:uid="{00000000-0005-0000-0000-0000ED0A0000}"/>
    <cellStyle name="40 % - Akzent3" xfId="19851" hidden="1" xr:uid="{00000000-0005-0000-0000-00000B0B0000}"/>
    <cellStyle name="40 % - Akzent3" xfId="18418" hidden="1" xr:uid="{00000000-0005-0000-0000-0000060B0000}"/>
    <cellStyle name="40 % - Akzent3" xfId="19872" hidden="1" xr:uid="{00000000-0005-0000-0000-00000D0B0000}"/>
    <cellStyle name="40 % - Akzent3" xfId="13135" hidden="1" xr:uid="{00000000-0005-0000-0000-00005A0B0000}"/>
    <cellStyle name="40 % - Akzent3" xfId="18236" hidden="1" xr:uid="{00000000-0005-0000-0000-0000070B0000}"/>
    <cellStyle name="40 % - Akzent3" xfId="16194" hidden="1" xr:uid="{00000000-0005-0000-0000-0000DF0A0000}"/>
    <cellStyle name="40 % - Akzent3" xfId="19803" hidden="1" xr:uid="{00000000-0005-0000-0000-0000090B0000}"/>
    <cellStyle name="40 % - Akzent3" xfId="19879" hidden="1" xr:uid="{00000000-0005-0000-0000-00000C0B0000}"/>
    <cellStyle name="40 % - Akzent3" xfId="19052" hidden="1" xr:uid="{00000000-0005-0000-0000-0000050B0000}"/>
    <cellStyle name="40 % - Akzent3 2" xfId="394" xr:uid="{00000000-0005-0000-0000-0000690B0000}"/>
    <cellStyle name="40 % - Akzent3 3" xfId="263" xr:uid="{00000000-0005-0000-0000-00006A0B0000}"/>
    <cellStyle name="40 % - Akzent4" xfId="18642" hidden="1" xr:uid="{00000000-0005-0000-0000-0000780B0000}"/>
    <cellStyle name="40 % - Akzent4" xfId="15797" hidden="1" xr:uid="{00000000-0005-0000-0000-0000C00B0000}"/>
    <cellStyle name="40 % - Akzent4" xfId="18055" hidden="1" xr:uid="{00000000-0005-0000-0000-0000A40B0000}"/>
    <cellStyle name="40 % - Akzent4" xfId="15682" hidden="1" xr:uid="{00000000-0005-0000-0000-0000A50B0000}"/>
    <cellStyle name="40 % - Akzent4" xfId="3281" hidden="1" xr:uid="{00000000-0005-0000-0000-0000E30B0000}"/>
    <cellStyle name="40 % - Akzent4" xfId="19806" hidden="1" xr:uid="{00000000-0005-0000-0000-0000A70B0000}"/>
    <cellStyle name="40 % - Akzent4" xfId="19835" hidden="1" xr:uid="{00000000-0005-0000-0000-0000A80B0000}"/>
    <cellStyle name="40 % - Akzent4" xfId="19022" hidden="1" xr:uid="{00000000-0005-0000-0000-00008D0B0000}"/>
    <cellStyle name="40 % - Akzent4" xfId="19787" hidden="1" xr:uid="{00000000-0005-0000-0000-0000A10B0000}"/>
    <cellStyle name="40 % - Akzent4" xfId="19650" hidden="1" xr:uid="{00000000-0005-0000-0000-0000A20B0000}"/>
    <cellStyle name="40 % - Akzent4" xfId="9304" hidden="1" xr:uid="{00000000-0005-0000-0000-0000F20B0000}"/>
    <cellStyle name="40 % - Akzent4" xfId="8600" hidden="1" xr:uid="{00000000-0005-0000-0000-0000F10B0000}"/>
    <cellStyle name="40 % - Akzent4" xfId="19883" hidden="1" xr:uid="{00000000-0005-0000-0000-0000AA0B0000}"/>
    <cellStyle name="40 % - Akzent4" xfId="15723" hidden="1" xr:uid="{00000000-0005-0000-0000-0000C10B0000}"/>
    <cellStyle name="40 % - Akzent4" xfId="13380" hidden="1" xr:uid="{00000000-0005-0000-0000-0000F80B0000}"/>
    <cellStyle name="40 % - Akzent4" xfId="13382" hidden="1" xr:uid="{00000000-0005-0000-0000-0000F90B0000}"/>
    <cellStyle name="40 % - Akzent4" xfId="13359" hidden="1" xr:uid="{00000000-0005-0000-0000-0000FA0B0000}"/>
    <cellStyle name="40 % - Akzent4" xfId="13591" hidden="1" xr:uid="{00000000-0005-0000-0000-0000FB0B0000}"/>
    <cellStyle name="40 % - Akzent4" xfId="13620" hidden="1" xr:uid="{00000000-0005-0000-0000-0000FC0B0000}"/>
    <cellStyle name="40 % - Akzent4" xfId="13639" hidden="1" xr:uid="{00000000-0005-0000-0000-0000FD0B0000}"/>
    <cellStyle name="40 % - Akzent4" xfId="19763" hidden="1" xr:uid="{00000000-0005-0000-0000-0000A00B0000}"/>
    <cellStyle name="40 % - Akzent4" xfId="18831" hidden="1" xr:uid="{00000000-0005-0000-0000-0000820B0000}"/>
    <cellStyle name="40 % - Akzent4" xfId="14426" hidden="1" xr:uid="{00000000-0005-0000-0000-0000B40B0000}"/>
    <cellStyle name="40 % - Akzent4" xfId="15059" hidden="1" xr:uid="{00000000-0005-0000-0000-0000BE0B0000}"/>
    <cellStyle name="40 % - Akzent4" xfId="18396" hidden="1" xr:uid="{00000000-0005-0000-0000-0000850B0000}"/>
    <cellStyle name="40 % - Akzent4" xfId="13688" hidden="1" xr:uid="{00000000-0005-0000-0000-0000FF0B0000}"/>
    <cellStyle name="40 % - Akzent4" xfId="12974" hidden="1" xr:uid="{00000000-0005-0000-0000-0000090C0000}"/>
    <cellStyle name="40 % - Akzent4" xfId="17874" hidden="1" xr:uid="{00000000-0005-0000-0000-0000880B0000}"/>
    <cellStyle name="40 % - Akzent4" xfId="9849" hidden="1" xr:uid="{00000000-0005-0000-0000-0000DF0B0000}"/>
    <cellStyle name="40 % - Akzent4" xfId="16856" hidden="1" xr:uid="{00000000-0005-0000-0000-0000CD0B0000}"/>
    <cellStyle name="40 % - Akzent4" xfId="18964" hidden="1" xr:uid="{00000000-0005-0000-0000-00008B0B0000}"/>
    <cellStyle name="40 % - Akzent4" xfId="3242" hidden="1" xr:uid="{00000000-0005-0000-0000-0000E20B0000}"/>
    <cellStyle name="40 % - Akzent4" xfId="17085" hidden="1" xr:uid="{00000000-0005-0000-0000-0000A30B0000}"/>
    <cellStyle name="40 % - Akzent4" xfId="19046" hidden="1" xr:uid="{00000000-0005-0000-0000-00008E0B0000}"/>
    <cellStyle name="40 % - Akzent4" xfId="3380" hidden="1" xr:uid="{00000000-0005-0000-0000-0000E50B0000}"/>
    <cellStyle name="40 % - Akzent4" xfId="16190" hidden="1" xr:uid="{00000000-0005-0000-0000-0000720B0000}"/>
    <cellStyle name="40 % - Akzent4" xfId="18530" hidden="1" xr:uid="{00000000-0005-0000-0000-0000910B0000}"/>
    <cellStyle name="40 % - Akzent4" xfId="1233" hidden="1" xr:uid="{00000000-0005-0000-0000-0000E80B0000}"/>
    <cellStyle name="40 % - Akzent4" xfId="16388" hidden="1" xr:uid="{00000000-0005-0000-0000-0000BB0B0000}"/>
    <cellStyle name="40 % - Akzent4" xfId="19544" hidden="1" xr:uid="{00000000-0005-0000-0000-0000940B0000}"/>
    <cellStyle name="40 % - Akzent4" xfId="970" hidden="1" xr:uid="{00000000-0005-0000-0000-0000EB0B0000}"/>
    <cellStyle name="40 % - Akzent4" xfId="13545" hidden="1" xr:uid="{00000000-0005-0000-0000-0000060C0000}"/>
    <cellStyle name="40 % - Akzent4" xfId="19624" hidden="1" xr:uid="{00000000-0005-0000-0000-0000970B0000}"/>
    <cellStyle name="40 % - Akzent4" xfId="8245" hidden="1" xr:uid="{00000000-0005-0000-0000-0000EE0B0000}"/>
    <cellStyle name="40 % - Akzent4" xfId="14871" hidden="1" xr:uid="{00000000-0005-0000-0000-0000D30B0000}"/>
    <cellStyle name="40 % - Akzent4" xfId="18613" hidden="1" xr:uid="{00000000-0005-0000-0000-0000770B0000}"/>
    <cellStyle name="40 % - Akzent4" xfId="3645" hidden="1" xr:uid="{00000000-0005-0000-0000-0000AE0B0000}"/>
    <cellStyle name="40 % - Akzent4" xfId="3682" hidden="1" xr:uid="{00000000-0005-0000-0000-0000AF0B0000}"/>
    <cellStyle name="40 % - Akzent4" xfId="10878" hidden="1" xr:uid="{00000000-0005-0000-0000-0000B00B0000}"/>
    <cellStyle name="40 % - Akzent4" xfId="8535" hidden="1" xr:uid="{00000000-0005-0000-0000-0000B10B0000}"/>
    <cellStyle name="40 % - Akzent4" xfId="10874" hidden="1" xr:uid="{00000000-0005-0000-0000-0000B20B0000}"/>
    <cellStyle name="40 % - Akzent4" xfId="13743" hidden="1" xr:uid="{00000000-0005-0000-0000-0000B30B0000}"/>
    <cellStyle name="40 % - Akzent4" xfId="18197" hidden="1" xr:uid="{00000000-0005-0000-0000-0000AD0B0000}"/>
    <cellStyle name="40 % - Akzent4" xfId="15578" hidden="1" xr:uid="{00000000-0005-0000-0000-00006B0B0000}"/>
    <cellStyle name="40 % - Akzent4" xfId="15097" hidden="1" xr:uid="{00000000-0005-0000-0000-0000D10B0000}"/>
    <cellStyle name="40 % - Akzent4" xfId="14606" hidden="1" xr:uid="{00000000-0005-0000-0000-0000D20B0000}"/>
    <cellStyle name="40 % - Akzent4" xfId="18935" hidden="1" xr:uid="{00000000-0005-0000-0000-00008A0B0000}"/>
    <cellStyle name="40 % - Akzent4" xfId="13901" hidden="1" xr:uid="{00000000-0005-0000-0000-0000CB0B0000}"/>
    <cellStyle name="40 % - Akzent4" xfId="16827" hidden="1" xr:uid="{00000000-0005-0000-0000-0000CC0B0000}"/>
    <cellStyle name="40 % - Akzent4" xfId="8275" hidden="1" xr:uid="{00000000-0005-0000-0000-0000EF0B0000}"/>
    <cellStyle name="40 % - Akzent4" xfId="16875" hidden="1" xr:uid="{00000000-0005-0000-0000-0000CE0B0000}"/>
    <cellStyle name="40 % - Akzent4" xfId="16914" hidden="1" xr:uid="{00000000-0005-0000-0000-0000CF0B0000}"/>
    <cellStyle name="40 % - Akzent4" xfId="10258" hidden="1" xr:uid="{00000000-0005-0000-0000-0000E00B0000}"/>
    <cellStyle name="40 % - Akzent4" xfId="13950" hidden="1" xr:uid="{00000000-0005-0000-0000-0000760B0000}"/>
    <cellStyle name="40 % - Akzent4" xfId="19645" hidden="1" xr:uid="{00000000-0005-0000-0000-0000980B0000}"/>
    <cellStyle name="40 % - Akzent4" xfId="14344" hidden="1" xr:uid="{00000000-0005-0000-0000-0000CA0B0000}"/>
    <cellStyle name="40 % - Akzent4" xfId="18244" hidden="1" xr:uid="{00000000-0005-0000-0000-00007F0B0000}"/>
    <cellStyle name="40 % - Akzent4" xfId="16660" hidden="1" xr:uid="{00000000-0005-0000-0000-0000C30B0000}"/>
    <cellStyle name="40 % - Akzent4" xfId="16679" hidden="1" xr:uid="{00000000-0005-0000-0000-0000C40B0000}"/>
    <cellStyle name="40 % - Akzent4" xfId="16718" hidden="1" xr:uid="{00000000-0005-0000-0000-0000C50B0000}"/>
    <cellStyle name="40 % - Akzent4" xfId="16741" hidden="1" xr:uid="{00000000-0005-0000-0000-0000C60B0000}"/>
    <cellStyle name="40 % - Akzent4" xfId="15037" hidden="1" xr:uid="{00000000-0005-0000-0000-0000C70B0000}"/>
    <cellStyle name="40 % - Akzent4" xfId="13853" hidden="1" xr:uid="{00000000-0005-0000-0000-0000C80B0000}"/>
    <cellStyle name="40 % - Akzent4" xfId="16631" hidden="1" xr:uid="{00000000-0005-0000-0000-0000C20B0000}"/>
    <cellStyle name="40 % - Akzent4" xfId="1245" hidden="1" xr:uid="{00000000-0005-0000-0000-00000B0C0000}"/>
    <cellStyle name="40 % - Akzent4" xfId="16077" hidden="1" xr:uid="{00000000-0005-0000-0000-0000730B0000}"/>
    <cellStyle name="40 % - Akzent4" xfId="14877" hidden="1" xr:uid="{00000000-0005-0000-0000-0000740B0000}"/>
    <cellStyle name="40 % - Akzent4" xfId="4120" hidden="1" xr:uid="{00000000-0005-0000-0000-0000E60B0000}"/>
    <cellStyle name="40 % - Akzent4" xfId="17938" hidden="1" xr:uid="{00000000-0005-0000-0000-00006D0B0000}"/>
    <cellStyle name="40 % - Akzent4" xfId="17967" hidden="1" xr:uid="{00000000-0005-0000-0000-00006E0B0000}"/>
    <cellStyle name="40 % - Akzent4" xfId="15890" hidden="1" xr:uid="{00000000-0005-0000-0000-0000900B0000}"/>
    <cellStyle name="40 % - Akzent4" xfId="18025" hidden="1" xr:uid="{00000000-0005-0000-0000-0000700B0000}"/>
    <cellStyle name="40 % - Akzent4" xfId="18049" hidden="1" xr:uid="{00000000-0005-0000-0000-0000710B0000}"/>
    <cellStyle name="40 % - Akzent4" xfId="18812" hidden="1" xr:uid="{00000000-0005-0000-0000-0000810B0000}"/>
    <cellStyle name="40 % - Akzent4" xfId="13569" hidden="1" xr:uid="{00000000-0005-0000-0000-0000F50B0000}"/>
    <cellStyle name="40 % - Akzent4" xfId="11370" hidden="1" xr:uid="{00000000-0005-0000-0000-0000F40B0000}"/>
    <cellStyle name="40 % - Akzent4" xfId="17150" hidden="1" xr:uid="{00000000-0005-0000-0000-00006C0B0000}"/>
    <cellStyle name="40 % - Akzent4" xfId="13668" hidden="1" xr:uid="{00000000-0005-0000-0000-0000FE0B0000}"/>
    <cellStyle name="40 % - Akzent4" xfId="17791" hidden="1" xr:uid="{00000000-0005-0000-0000-0000D70B0000}"/>
    <cellStyle name="40 % - Akzent4" xfId="17827" hidden="1" xr:uid="{00000000-0005-0000-0000-0000D80B0000}"/>
    <cellStyle name="40 % - Akzent4" xfId="17851" hidden="1" xr:uid="{00000000-0005-0000-0000-0000D90B0000}"/>
    <cellStyle name="40 % - Akzent4" xfId="16025" hidden="1" xr:uid="{00000000-0005-0000-0000-0000DA0B0000}"/>
    <cellStyle name="40 % - Akzent4" xfId="16453" hidden="1" xr:uid="{00000000-0005-0000-0000-0000DB0B0000}"/>
    <cellStyle name="40 % - Akzent4" xfId="17224" hidden="1" xr:uid="{00000000-0005-0000-0000-0000DC0B0000}"/>
    <cellStyle name="40 % - Akzent4" xfId="17772" hidden="1" xr:uid="{00000000-0005-0000-0000-0000D60B0000}"/>
    <cellStyle name="40 % - Akzent4" xfId="19903" hidden="1" xr:uid="{00000000-0005-0000-0000-0000AB0B0000}"/>
    <cellStyle name="40 % - Akzent4" xfId="13487" hidden="1" xr:uid="{00000000-0005-0000-0000-0000040C0000}"/>
    <cellStyle name="40 % - Akzent4" xfId="13506" hidden="1" xr:uid="{00000000-0005-0000-0000-0000050C0000}"/>
    <cellStyle name="40 % - Akzent4" xfId="17873" hidden="1" xr:uid="{00000000-0005-0000-0000-0000870B0000}"/>
    <cellStyle name="40 % - Akzent4" xfId="12196" hidden="1" xr:uid="{00000000-0005-0000-0000-0000070C0000}"/>
    <cellStyle name="40 % - Akzent4" xfId="12699" hidden="1" xr:uid="{00000000-0005-0000-0000-0000080C0000}"/>
    <cellStyle name="40 % - Akzent4" xfId="8264" hidden="1" xr:uid="{00000000-0005-0000-0000-0000EC0B0000}"/>
    <cellStyle name="40 % - Akzent4" xfId="12962" hidden="1" xr:uid="{00000000-0005-0000-0000-0000010C0000}"/>
    <cellStyle name="40 % - Akzent4" xfId="13084" hidden="1" xr:uid="{00000000-0005-0000-0000-0000020C0000}"/>
    <cellStyle name="40 % - Akzent4" xfId="19592" hidden="1" xr:uid="{00000000-0005-0000-0000-0000960B0000}"/>
    <cellStyle name="40 % - Akzent4" xfId="19573" hidden="1" xr:uid="{00000000-0005-0000-0000-0000950B0000}"/>
    <cellStyle name="40 % - Akzent4" xfId="73" hidden="1" xr:uid="{00000000-0005-0000-0000-00000A0C0000}"/>
    <cellStyle name="40 % - Akzent4" xfId="19705" hidden="1" xr:uid="{00000000-0005-0000-0000-0000AC0B0000}"/>
    <cellStyle name="40 % - Akzent4" xfId="18661" hidden="1" xr:uid="{00000000-0005-0000-0000-0000790B0000}"/>
    <cellStyle name="40 % - Akzent4" xfId="18693" hidden="1" xr:uid="{00000000-0005-0000-0000-00007A0B0000}"/>
    <cellStyle name="40 % - Akzent4" xfId="18714" hidden="1" xr:uid="{00000000-0005-0000-0000-00007B0B0000}"/>
    <cellStyle name="40 % - Akzent4" xfId="14533" hidden="1" xr:uid="{00000000-0005-0000-0000-00007C0B0000}"/>
    <cellStyle name="40 % - Akzent4" xfId="18361" hidden="1" xr:uid="{00000000-0005-0000-0000-00007D0B0000}"/>
    <cellStyle name="40 % - Akzent4" xfId="18240" hidden="1" xr:uid="{00000000-0005-0000-0000-00007E0B0000}"/>
    <cellStyle name="40 % - Akzent4" xfId="8666" hidden="1" xr:uid="{00000000-0005-0000-0000-0000000C0000}"/>
    <cellStyle name="40 % - Akzent4" xfId="15835" hidden="1" xr:uid="{00000000-0005-0000-0000-0000DD0B0000}"/>
    <cellStyle name="40 % - Akzent4" xfId="3223" hidden="1" xr:uid="{00000000-0005-0000-0000-0000E10B0000}"/>
    <cellStyle name="40 % - Akzent4" xfId="19724" hidden="1" xr:uid="{00000000-0005-0000-0000-00009F0B0000}"/>
    <cellStyle name="40 % - Akzent4" xfId="19854" hidden="1" xr:uid="{00000000-0005-0000-0000-0000A90B0000}"/>
    <cellStyle name="40 % - Akzent4" xfId="3305" hidden="1" xr:uid="{00000000-0005-0000-0000-0000E40B0000}"/>
    <cellStyle name="40 % - Akzent4" xfId="18783" hidden="1" xr:uid="{00000000-0005-0000-0000-0000800B0000}"/>
    <cellStyle name="40 % - Akzent4" xfId="17986" hidden="1" xr:uid="{00000000-0005-0000-0000-00006F0B0000}"/>
    <cellStyle name="40 % - Akzent4" xfId="3978" hidden="1" xr:uid="{00000000-0005-0000-0000-0000E70B0000}"/>
    <cellStyle name="40 % - Akzent4" xfId="18867" hidden="1" xr:uid="{00000000-0005-0000-0000-0000830B0000}"/>
    <cellStyle name="40 % - Akzent4" xfId="16301" hidden="1" xr:uid="{00000000-0005-0000-0000-0000B80B0000}"/>
    <cellStyle name="40 % - Akzent4" xfId="3194" hidden="1" xr:uid="{00000000-0005-0000-0000-0000EA0B0000}"/>
    <cellStyle name="40 % - Akzent4" xfId="16992" hidden="1" xr:uid="{00000000-0005-0000-0000-0000860B0000}"/>
    <cellStyle name="40 % - Akzent4" xfId="13458" hidden="1" xr:uid="{00000000-0005-0000-0000-0000030C0000}"/>
    <cellStyle name="40 % - Akzent4" xfId="8430" hidden="1" xr:uid="{00000000-0005-0000-0000-0000ED0B0000}"/>
    <cellStyle name="40 % - Akzent4" xfId="14997" hidden="1" xr:uid="{00000000-0005-0000-0000-0000890B0000}"/>
    <cellStyle name="40 % - Akzent4" xfId="16938" hidden="1" xr:uid="{00000000-0005-0000-0000-0000D00B0000}"/>
    <cellStyle name="40 % - Akzent4" xfId="8421" hidden="1" xr:uid="{00000000-0005-0000-0000-0000F00B0000}"/>
    <cellStyle name="40 % - Akzent4" xfId="18983" hidden="1" xr:uid="{00000000-0005-0000-0000-00008C0B0000}"/>
    <cellStyle name="40 % - Akzent4" xfId="19518" hidden="1" xr:uid="{00000000-0005-0000-0000-0000A60B0000}"/>
    <cellStyle name="40 % - Akzent4" xfId="10921" hidden="1" xr:uid="{00000000-0005-0000-0000-0000F30B0000}"/>
    <cellStyle name="40 % - Akzent4" xfId="17654" hidden="1" xr:uid="{00000000-0005-0000-0000-00008F0B0000}"/>
    <cellStyle name="40 % - Akzent4" xfId="15029" hidden="1" xr:uid="{00000000-0005-0000-0000-0000750B0000}"/>
    <cellStyle name="40 % - Akzent4" xfId="13432" hidden="1" xr:uid="{00000000-0005-0000-0000-0000F60B0000}"/>
    <cellStyle name="40 % - Akzent4" xfId="18318" hidden="1" xr:uid="{00000000-0005-0000-0000-0000920B0000}"/>
    <cellStyle name="40 % - Akzent4" xfId="15000" hidden="1" xr:uid="{00000000-0005-0000-0000-0000BF0B0000}"/>
    <cellStyle name="40 % - Akzent4" xfId="17743" hidden="1" xr:uid="{00000000-0005-0000-0000-0000D50B0000}"/>
    <cellStyle name="40 % - Akzent4" xfId="18158" hidden="1" xr:uid="{00000000-0005-0000-0000-0000990B0000}"/>
    <cellStyle name="40 % - Akzent4" xfId="19368" hidden="1" xr:uid="{00000000-0005-0000-0000-00009A0B0000}"/>
    <cellStyle name="40 % - Akzent4" xfId="19176" hidden="1" xr:uid="{00000000-0005-0000-0000-00009B0B0000}"/>
    <cellStyle name="40 % - Akzent4" xfId="17048" hidden="1" xr:uid="{00000000-0005-0000-0000-00009C0B0000}"/>
    <cellStyle name="40 % - Akzent4" xfId="19102" hidden="1" xr:uid="{00000000-0005-0000-0000-00009D0B0000}"/>
    <cellStyle name="40 % - Akzent4" xfId="19676" hidden="1" xr:uid="{00000000-0005-0000-0000-00009E0B0000}"/>
    <cellStyle name="40 % - Akzent4" xfId="14654" hidden="1" xr:uid="{00000000-0005-0000-0000-0000B50B0000}"/>
    <cellStyle name="40 % - Akzent4" xfId="9418" hidden="1" xr:uid="{00000000-0005-0000-0000-0000DE0B0000}"/>
    <cellStyle name="40 % - Akzent4" xfId="15388" hidden="1" xr:uid="{00000000-0005-0000-0000-0000C90B0000}"/>
    <cellStyle name="40 % - Akzent4" xfId="16411" hidden="1" xr:uid="{00000000-0005-0000-0000-0000BC0B0000}"/>
    <cellStyle name="40 % - Akzent4" xfId="15182" hidden="1" xr:uid="{00000000-0005-0000-0000-0000BD0B0000}"/>
    <cellStyle name="40 % - Akzent4" xfId="1355" hidden="1" xr:uid="{00000000-0005-0000-0000-0000E90B0000}"/>
    <cellStyle name="40 % - Akzent4" xfId="14644" hidden="1" xr:uid="{00000000-0005-0000-0000-0000B60B0000}"/>
    <cellStyle name="40 % - Akzent4" xfId="14742" hidden="1" xr:uid="{00000000-0005-0000-0000-0000B70B0000}"/>
    <cellStyle name="40 % - Akzent4" xfId="18209" hidden="1" xr:uid="{00000000-0005-0000-0000-0000930B0000}"/>
    <cellStyle name="40 % - Akzent4" xfId="16330" hidden="1" xr:uid="{00000000-0005-0000-0000-0000B90B0000}"/>
    <cellStyle name="40 % - Akzent4" xfId="16349" hidden="1" xr:uid="{00000000-0005-0000-0000-0000BA0B0000}"/>
    <cellStyle name="40 % - Akzent4" xfId="18888" hidden="1" xr:uid="{00000000-0005-0000-0000-0000840B0000}"/>
    <cellStyle name="40 % - Akzent4" xfId="14978" hidden="1" xr:uid="{00000000-0005-0000-0000-0000D40B0000}"/>
    <cellStyle name="40 % - Akzent4" xfId="13406" hidden="1" xr:uid="{00000000-0005-0000-0000-0000F70B0000}"/>
    <cellStyle name="40 % - Akzent4 2" xfId="395" xr:uid="{00000000-0005-0000-0000-00000C0C0000}"/>
    <cellStyle name="40 % - Akzent4 3" xfId="264" xr:uid="{00000000-0005-0000-0000-00000D0C0000}"/>
    <cellStyle name="40 % - Akzent5" xfId="3824" hidden="1" xr:uid="{00000000-0005-0000-0000-0000950C0000}"/>
    <cellStyle name="40 % - Akzent5" xfId="17794" hidden="1" xr:uid="{00000000-0005-0000-0000-0000730C0000}"/>
    <cellStyle name="40 % - Akzent5" xfId="15960" hidden="1" xr:uid="{00000000-0005-0000-0000-00006C0C0000}"/>
    <cellStyle name="40 % - Akzent5" xfId="14377" hidden="1" xr:uid="{00000000-0005-0000-0000-00006D0C0000}"/>
    <cellStyle name="40 % - Akzent5" xfId="16460" hidden="1" xr:uid="{00000000-0005-0000-0000-00006E0C0000}"/>
    <cellStyle name="40 % - Akzent5" xfId="17413" hidden="1" xr:uid="{00000000-0005-0000-0000-0000770C0000}"/>
    <cellStyle name="40 % - Akzent5" xfId="16907" hidden="1" xr:uid="{00000000-0005-0000-0000-00006B0C0000}"/>
    <cellStyle name="40 % - Akzent5" xfId="16838" hidden="1" xr:uid="{00000000-0005-0000-0000-0000680C0000}"/>
    <cellStyle name="40 % - Akzent5" xfId="16878" hidden="1" xr:uid="{00000000-0005-0000-0000-0000690C0000}"/>
    <cellStyle name="40 % - Akzent5" xfId="15390" hidden="1" xr:uid="{00000000-0005-0000-0000-0000650C0000}"/>
    <cellStyle name="40 % - Akzent5" xfId="17949" hidden="1" xr:uid="{00000000-0005-0000-0000-00007C0C0000}"/>
    <cellStyle name="40 % - Akzent5" xfId="16830" hidden="1" xr:uid="{00000000-0005-0000-0000-0000670C0000}"/>
    <cellStyle name="40 % - Akzent5" xfId="19595" hidden="1" xr:uid="{00000000-0005-0000-0000-0000340C0000}"/>
    <cellStyle name="40 % - Akzent5" xfId="8473" hidden="1" xr:uid="{00000000-0005-0000-0000-00008E0C0000}"/>
    <cellStyle name="40 % - Akzent5" xfId="8515" hidden="1" xr:uid="{00000000-0005-0000-0000-00008F0C0000}"/>
    <cellStyle name="40 % - Akzent5" xfId="17853" hidden="1" xr:uid="{00000000-0005-0000-0000-0000370C0000}"/>
    <cellStyle name="40 % - Akzent5" xfId="8702" hidden="1" xr:uid="{00000000-0005-0000-0000-0000910C0000}"/>
    <cellStyle name="40 % - Akzent5" xfId="9196" hidden="1" xr:uid="{00000000-0005-0000-0000-0000920C0000}"/>
    <cellStyle name="40 % - Akzent5" xfId="19174" hidden="1" xr:uid="{00000000-0005-0000-0000-00004A0C0000}"/>
    <cellStyle name="40 % - Akzent5" xfId="8722" hidden="1" xr:uid="{00000000-0005-0000-0000-0000930C0000}"/>
    <cellStyle name="40 % - Akzent5" xfId="11372" hidden="1" xr:uid="{00000000-0005-0000-0000-0000940C0000}"/>
    <cellStyle name="40 % - Akzent5" xfId="19876" hidden="1" xr:uid="{00000000-0005-0000-0000-0000490C0000}"/>
    <cellStyle name="40 % - Akzent5" xfId="4216" hidden="1" xr:uid="{00000000-0005-0000-0000-0000960C0000}"/>
    <cellStyle name="40 % - Akzent5" xfId="13404" hidden="1" xr:uid="{00000000-0005-0000-0000-0000970C0000}"/>
    <cellStyle name="40 % - Akzent5" xfId="12176" hidden="1" xr:uid="{00000000-0005-0000-0000-0000990C0000}"/>
    <cellStyle name="40 % - Akzent5" xfId="13177" hidden="1" xr:uid="{00000000-0005-0000-0000-00009A0C0000}"/>
    <cellStyle name="40 % - Akzent5" xfId="18786" hidden="1" xr:uid="{00000000-0005-0000-0000-00001E0C0000}"/>
    <cellStyle name="40 % - Akzent5" xfId="13602" hidden="1" xr:uid="{00000000-0005-0000-0000-00009C0C0000}"/>
    <cellStyle name="40 % - Akzent5" xfId="13642" hidden="1" xr:uid="{00000000-0005-0000-0000-00009D0C0000}"/>
    <cellStyle name="40 % - Akzent5" xfId="18869" hidden="1" xr:uid="{00000000-0005-0000-0000-0000210C0000}"/>
    <cellStyle name="40 % - Akzent5" xfId="13661" hidden="1" xr:uid="{00000000-0005-0000-0000-00009F0C0000}"/>
    <cellStyle name="40 % - Akzent5" xfId="8891" hidden="1" xr:uid="{00000000-0005-0000-0000-0000A00C0000}"/>
    <cellStyle name="40 % - Akzent5" xfId="18027" hidden="1" xr:uid="{00000000-0005-0000-0000-00000E0C0000}"/>
    <cellStyle name="40 % - Akzent5" xfId="10249" hidden="1" xr:uid="{00000000-0005-0000-0000-0000A20C0000}"/>
    <cellStyle name="40 % - Akzent5" xfId="17989" hidden="1" xr:uid="{00000000-0005-0000-0000-00007D0C0000}"/>
    <cellStyle name="40 % - Akzent5" xfId="3245" hidden="1" xr:uid="{00000000-0005-0000-0000-0000800C0000}"/>
    <cellStyle name="40 % - Akzent5" xfId="3283" hidden="1" xr:uid="{00000000-0005-0000-0000-0000810C0000}"/>
    <cellStyle name="40 % - Akzent5" xfId="18946" hidden="1" xr:uid="{00000000-0005-0000-0000-0000290C0000}"/>
    <cellStyle name="40 % - Akzent5" xfId="3383" hidden="1" xr:uid="{00000000-0005-0000-0000-0000830C0000}"/>
    <cellStyle name="40 % - Akzent5" xfId="3490" hidden="1" xr:uid="{00000000-0005-0000-0000-0000840C0000}"/>
    <cellStyle name="40 % - Akzent5" xfId="19015" hidden="1" xr:uid="{00000000-0005-0000-0000-00002C0C0000}"/>
    <cellStyle name="40 % - Akzent5" xfId="1247" hidden="1" xr:uid="{00000000-0005-0000-0000-0000860C0000}"/>
    <cellStyle name="40 % - Akzent5" xfId="1181" hidden="1" xr:uid="{00000000-0005-0000-0000-0000870C0000}"/>
    <cellStyle name="40 % - Akzent5" xfId="15404" hidden="1" xr:uid="{00000000-0005-0000-0000-0000640C0000}"/>
    <cellStyle name="40 % - Akzent5" xfId="973" hidden="1" xr:uid="{00000000-0005-0000-0000-0000890C0000}"/>
    <cellStyle name="40 % - Akzent5" xfId="15278" hidden="1" xr:uid="{00000000-0005-0000-0000-0000630C0000}"/>
    <cellStyle name="40 % - Akzent5" xfId="8267" hidden="1" xr:uid="{00000000-0005-0000-0000-00008B0C0000}"/>
    <cellStyle name="40 % - Akzent5" xfId="8282" hidden="1" xr:uid="{00000000-0005-0000-0000-00008C0C0000}"/>
    <cellStyle name="40 % - Akzent5" xfId="18616" hidden="1" xr:uid="{00000000-0005-0000-0000-0000150C0000}"/>
    <cellStyle name="40 % - Akzent5" xfId="16796" hidden="1" xr:uid="{00000000-0005-0000-0000-0000120C0000}"/>
    <cellStyle name="40 % - Akzent5" xfId="17658" hidden="1" xr:uid="{00000000-0005-0000-0000-0000130C0000}"/>
    <cellStyle name="40 % - Akzent5" xfId="18018" hidden="1" xr:uid="{00000000-0005-0000-0000-00000F0C0000}"/>
    <cellStyle name="40 % - Akzent5" xfId="12261" hidden="1" xr:uid="{00000000-0005-0000-0000-0000A80C0000}"/>
    <cellStyle name="40 % - Akzent5" xfId="14159" hidden="1" xr:uid="{00000000-0005-0000-0000-0000110C0000}"/>
    <cellStyle name="40 % - Akzent5" xfId="18664" hidden="1" xr:uid="{00000000-0005-0000-0000-0000170C0000}"/>
    <cellStyle name="40 % - Akzent5" xfId="18695" hidden="1" xr:uid="{00000000-0005-0000-0000-0000180C0000}"/>
    <cellStyle name="40 % - Akzent5" xfId="13461" hidden="1" xr:uid="{00000000-0005-0000-0000-0000A30C0000}"/>
    <cellStyle name="40 % - Akzent5" xfId="12702" hidden="1" xr:uid="{00000000-0005-0000-0000-0000AD0C0000}"/>
    <cellStyle name="40 % - Akzent5" xfId="18624" hidden="1" xr:uid="{00000000-0005-0000-0000-0000160C0000}"/>
    <cellStyle name="40 % - Akzent5" xfId="1279" hidden="1" xr:uid="{00000000-0005-0000-0000-00008A0C0000}"/>
    <cellStyle name="40 % - Akzent5" xfId="3197" hidden="1" xr:uid="{00000000-0005-0000-0000-0000880C0000}"/>
    <cellStyle name="40 % - Akzent5" xfId="19756" hidden="1" xr:uid="{00000000-0005-0000-0000-00003F0C0000}"/>
    <cellStyle name="40 % - Akzent5" xfId="12976" hidden="1" xr:uid="{00000000-0005-0000-0000-0000AA0C0000}"/>
    <cellStyle name="40 % - Akzent5" xfId="12910" hidden="1" xr:uid="{00000000-0005-0000-0000-0000AB0C0000}"/>
    <cellStyle name="40 % - Akzent5" xfId="12199" hidden="1" xr:uid="{00000000-0005-0000-0000-0000AC0C0000}"/>
    <cellStyle name="40 % - Akzent5" xfId="17587" hidden="1" xr:uid="{00000000-0005-0000-0000-0000430C0000}"/>
    <cellStyle name="40 % - Akzent5" xfId="13008" hidden="1" xr:uid="{00000000-0005-0000-0000-0000A90C0000}"/>
    <cellStyle name="40 % - Akzent5" xfId="13547" hidden="1" xr:uid="{00000000-0005-0000-0000-0000A60C0000}"/>
    <cellStyle name="40 % - Akzent5" xfId="13538" hidden="1" xr:uid="{00000000-0005-0000-0000-0000A70C0000}"/>
    <cellStyle name="40 % - Akzent5" xfId="19765" hidden="1" xr:uid="{00000000-0005-0000-0000-00003E0C0000}"/>
    <cellStyle name="40 % - Akzent5" xfId="19885" hidden="1" xr:uid="{00000000-0005-0000-0000-0000480C0000}"/>
    <cellStyle name="40 % - Akzent5" xfId="13509" hidden="1" xr:uid="{00000000-0005-0000-0000-0000A50C0000}"/>
    <cellStyle name="40 % - Akzent5" xfId="17098" hidden="1" xr:uid="{00000000-0005-0000-0000-0000260C0000}"/>
    <cellStyle name="40 % - Akzent5" xfId="16994" hidden="1" xr:uid="{00000000-0005-0000-0000-0000240C0000}"/>
    <cellStyle name="40 % - Akzent5" xfId="9092" hidden="1" xr:uid="{00000000-0005-0000-0000-00004C0C0000}"/>
    <cellStyle name="40 % - Akzent5" xfId="19809" hidden="1" xr:uid="{00000000-0005-0000-0000-0000450C0000}"/>
    <cellStyle name="40 % - Akzent5" xfId="19817" hidden="1" xr:uid="{00000000-0005-0000-0000-0000460C0000}"/>
    <cellStyle name="40 % - Akzent5" xfId="19857" hidden="1" xr:uid="{00000000-0005-0000-0000-0000470C0000}"/>
    <cellStyle name="40 % - Akzent5" xfId="14681" hidden="1" xr:uid="{00000000-0005-0000-0000-0000500C0000}"/>
    <cellStyle name="40 % - Akzent5" xfId="18564" hidden="1" xr:uid="{00000000-0005-0000-0000-0000440C0000}"/>
    <cellStyle name="40 % - Akzent5" xfId="14218" hidden="1" xr:uid="{00000000-0005-0000-0000-0000410C0000}"/>
    <cellStyle name="40 % - Akzent5" xfId="18891" hidden="1" xr:uid="{00000000-0005-0000-0000-0000420C0000}"/>
    <cellStyle name="40 % - Akzent5" xfId="9206" hidden="1" xr:uid="{00000000-0005-0000-0000-00007E0C0000}"/>
    <cellStyle name="40 % - Akzent5" xfId="16352" hidden="1" xr:uid="{00000000-0005-0000-0000-0000550C0000}"/>
    <cellStyle name="40 % - Akzent5" xfId="18219" hidden="1" xr:uid="{00000000-0005-0000-0000-0000400C0000}"/>
    <cellStyle name="40 % - Akzent5" xfId="3205" hidden="1" xr:uid="{00000000-0005-0000-0000-00007F0C0000}"/>
    <cellStyle name="40 % - Akzent5" xfId="9847" hidden="1" xr:uid="{00000000-0005-0000-0000-0000A10C0000}"/>
    <cellStyle name="40 % - Akzent5" xfId="15932" hidden="1" xr:uid="{00000000-0005-0000-0000-0000590C0000}"/>
    <cellStyle name="40 % - Akzent5" xfId="14602" hidden="1" xr:uid="{00000000-0005-0000-0000-0000520C0000}"/>
    <cellStyle name="40 % - Akzent5" xfId="16304" hidden="1" xr:uid="{00000000-0005-0000-0000-0000530C0000}"/>
    <cellStyle name="40 % - Akzent5" xfId="16312" hidden="1" xr:uid="{00000000-0005-0000-0000-0000540C0000}"/>
    <cellStyle name="40 % - Akzent5" xfId="16634" hidden="1" xr:uid="{00000000-0005-0000-0000-00005D0C0000}"/>
    <cellStyle name="40 % - Akzent5" xfId="14656" hidden="1" xr:uid="{00000000-0005-0000-0000-0000510C0000}"/>
    <cellStyle name="40 % - Akzent5" xfId="13746" hidden="1" xr:uid="{00000000-0005-0000-0000-00004E0C0000}"/>
    <cellStyle name="40 % - Akzent5" xfId="14429" hidden="1" xr:uid="{00000000-0005-0000-0000-00004F0C0000}"/>
    <cellStyle name="40 % - Akzent5" xfId="18358" hidden="1" xr:uid="{00000000-0005-0000-0000-00004B0C0000}"/>
    <cellStyle name="40 % - Akzent5" xfId="13706" hidden="1" xr:uid="{00000000-0005-0000-0000-0000620C0000}"/>
    <cellStyle name="40 % - Akzent5" xfId="10812" hidden="1" xr:uid="{00000000-0005-0000-0000-00004D0C0000}"/>
    <cellStyle name="40 % - Akzent5" xfId="18230" hidden="1" xr:uid="{00000000-0005-0000-0000-00001B0C0000}"/>
    <cellStyle name="40 % - Akzent5" xfId="19687" hidden="1" xr:uid="{00000000-0005-0000-0000-00003C0C0000}"/>
    <cellStyle name="40 % - Akzent5" xfId="15353" hidden="1" xr:uid="{00000000-0005-0000-0000-0000660C0000}"/>
    <cellStyle name="40 % - Akzent5" xfId="16682" hidden="1" xr:uid="{00000000-0005-0000-0000-00005F0C0000}"/>
    <cellStyle name="40 % - Akzent5" xfId="16720" hidden="1" xr:uid="{00000000-0005-0000-0000-0000600C0000}"/>
    <cellStyle name="40 % - Akzent5" xfId="16711" hidden="1" xr:uid="{00000000-0005-0000-0000-0000610C0000}"/>
    <cellStyle name="40 % - Akzent5" xfId="16916" hidden="1" xr:uid="{00000000-0005-0000-0000-00006A0C0000}"/>
    <cellStyle name="40 % - Akzent5" xfId="16642" hidden="1" xr:uid="{00000000-0005-0000-0000-00005E0C0000}"/>
    <cellStyle name="40 % - Akzent5" xfId="15789" hidden="1" xr:uid="{00000000-0005-0000-0000-00005B0C0000}"/>
    <cellStyle name="40 % - Akzent5" xfId="15824" hidden="1" xr:uid="{00000000-0005-0000-0000-00005C0C0000}"/>
    <cellStyle name="40 % - Akzent5" xfId="16261" hidden="1" xr:uid="{00000000-0005-0000-0000-0000580C0000}"/>
    <cellStyle name="40 % - Akzent5" xfId="15134" hidden="1" xr:uid="{00000000-0005-0000-0000-00006F0C0000}"/>
    <cellStyle name="40 % - Akzent5" xfId="15771" hidden="1" xr:uid="{00000000-0005-0000-0000-00005A0C0000}"/>
    <cellStyle name="40 % - Akzent5" xfId="13376" hidden="1" xr:uid="{00000000-0005-0000-0000-0000980C0000}"/>
    <cellStyle name="40 % - Akzent5" xfId="13469" hidden="1" xr:uid="{00000000-0005-0000-0000-0000A40C0000}"/>
    <cellStyle name="40 % - Akzent5" xfId="19626" hidden="1" xr:uid="{00000000-0005-0000-0000-0000350C0000}"/>
    <cellStyle name="40 % - Akzent5" xfId="19617" hidden="1" xr:uid="{00000000-0005-0000-0000-0000360C0000}"/>
    <cellStyle name="40 % - Akzent5" xfId="13594" hidden="1" xr:uid="{00000000-0005-0000-0000-00009B0C0000}"/>
    <cellStyle name="40 % - Akzent5" xfId="19365" hidden="1" xr:uid="{00000000-0005-0000-0000-0000380C0000}"/>
    <cellStyle name="40 % - Akzent5" xfId="19154" hidden="1" xr:uid="{00000000-0005-0000-0000-0000390C0000}"/>
    <cellStyle name="40 % - Akzent5" xfId="13670" hidden="1" xr:uid="{00000000-0005-0000-0000-00009E0C0000}"/>
    <cellStyle name="40 % - Akzent5" xfId="19224" hidden="1" xr:uid="{00000000-0005-0000-0000-00003A0C0000}"/>
    <cellStyle name="40 % - Akzent5" xfId="19679" hidden="1" xr:uid="{00000000-0005-0000-0000-00003B0C0000}"/>
    <cellStyle name="40 % - Akzent5" xfId="76" hidden="1" xr:uid="{00000000-0005-0000-0000-0000AE0C0000}"/>
    <cellStyle name="40 % - Akzent5" xfId="19727" hidden="1" xr:uid="{00000000-0005-0000-0000-00003D0C0000}"/>
    <cellStyle name="40 % - Akzent5" xfId="18591" hidden="1" xr:uid="{00000000-0005-0000-0000-00001A0C0000}"/>
    <cellStyle name="40 % - Akzent5" xfId="17685" hidden="1" xr:uid="{00000000-0005-0000-0000-00001C0C0000}"/>
    <cellStyle name="40 % - Akzent5" xfId="18266" hidden="1" xr:uid="{00000000-0005-0000-0000-00001D0C0000}"/>
    <cellStyle name="40 % - Akzent5" xfId="3274" hidden="1" xr:uid="{00000000-0005-0000-0000-0000820C0000}"/>
    <cellStyle name="40 % - Akzent5" xfId="18794" hidden="1" xr:uid="{00000000-0005-0000-0000-00001F0C0000}"/>
    <cellStyle name="40 % - Akzent5" xfId="18834" hidden="1" xr:uid="{00000000-0005-0000-0000-0000200C0000}"/>
    <cellStyle name="40 % - Akzent5" xfId="3390" hidden="1" xr:uid="{00000000-0005-0000-0000-0000850C0000}"/>
    <cellStyle name="40 % - Akzent5" xfId="18860" hidden="1" xr:uid="{00000000-0005-0000-0000-0000220C0000}"/>
    <cellStyle name="40 % - Akzent5" xfId="18754" hidden="1" xr:uid="{00000000-0005-0000-0000-0000230C0000}"/>
    <cellStyle name="40 % - Akzent5" xfId="17746" hidden="1" xr:uid="{00000000-0005-0000-0000-0000710C0000}"/>
    <cellStyle name="40 % - Akzent5" xfId="17906" hidden="1" xr:uid="{00000000-0005-0000-0000-0000250C0000}"/>
    <cellStyle name="40 % - Akzent5" xfId="15658" hidden="1" xr:uid="{00000000-0005-0000-0000-0000700C0000}"/>
    <cellStyle name="40 % - Akzent5" xfId="17025" hidden="1" xr:uid="{00000000-0005-0000-0000-0000270C0000}"/>
    <cellStyle name="40 % - Akzent5" xfId="18938" hidden="1" xr:uid="{00000000-0005-0000-0000-0000280C0000}"/>
    <cellStyle name="40 % - Akzent5" xfId="8507" hidden="1" xr:uid="{00000000-0005-0000-0000-00008D0C0000}"/>
    <cellStyle name="40 % - Akzent5" xfId="18986" hidden="1" xr:uid="{00000000-0005-0000-0000-00002A0C0000}"/>
    <cellStyle name="40 % - Akzent5" xfId="19024" hidden="1" xr:uid="{00000000-0005-0000-0000-00002B0C0000}"/>
    <cellStyle name="40 % - Akzent5" xfId="8604" hidden="1" xr:uid="{00000000-0005-0000-0000-0000900C0000}"/>
    <cellStyle name="40 % - Akzent5" xfId="13905" hidden="1" xr:uid="{00000000-0005-0000-0000-00002D0C0000}"/>
    <cellStyle name="40 % - Akzent5" xfId="16566" hidden="1" xr:uid="{00000000-0005-0000-0000-00002E0C0000}"/>
    <cellStyle name="40 % - Akzent5" xfId="16381" hidden="1" xr:uid="{00000000-0005-0000-0000-0000570C0000}"/>
    <cellStyle name="40 % - Akzent5" xfId="17705" hidden="1" xr:uid="{00000000-0005-0000-0000-00002F0C0000}"/>
    <cellStyle name="40 % - Akzent5" xfId="16214" hidden="1" xr:uid="{00000000-0005-0000-0000-0000300C0000}"/>
    <cellStyle name="40 % - Akzent5" xfId="16390" hidden="1" xr:uid="{00000000-0005-0000-0000-0000560C0000}"/>
    <cellStyle name="40 % - Akzent5" xfId="19547" hidden="1" xr:uid="{00000000-0005-0000-0000-0000320C0000}"/>
    <cellStyle name="40 % - Akzent5" xfId="19555" hidden="1" xr:uid="{00000000-0005-0000-0000-0000330C0000}"/>
    <cellStyle name="40 % - Akzent5" xfId="13814" hidden="1" xr:uid="{00000000-0005-0000-0000-0000780C0000}"/>
    <cellStyle name="40 % - Akzent5" xfId="17820" hidden="1" xr:uid="{00000000-0005-0000-0000-0000750C0000}"/>
    <cellStyle name="40 % - Akzent5" xfId="14274" hidden="1" xr:uid="{00000000-0005-0000-0000-0000760C0000}"/>
    <cellStyle name="40 % - Akzent5" xfId="17754" hidden="1" xr:uid="{00000000-0005-0000-0000-0000720C0000}"/>
    <cellStyle name="40 % - Akzent5" xfId="18686" hidden="1" xr:uid="{00000000-0005-0000-0000-0000190C0000}"/>
    <cellStyle name="40 % - Akzent5" xfId="17829" hidden="1" xr:uid="{00000000-0005-0000-0000-0000740C0000}"/>
    <cellStyle name="40 % - Akzent5" xfId="17272" hidden="1" xr:uid="{00000000-0005-0000-0000-00007A0C0000}"/>
    <cellStyle name="40 % - Akzent5" xfId="17941" hidden="1" xr:uid="{00000000-0005-0000-0000-00007B0C0000}"/>
    <cellStyle name="40 % - Akzent5" xfId="17065" hidden="1" xr:uid="{00000000-0005-0000-0000-0000140C0000}"/>
    <cellStyle name="40 % - Akzent5" xfId="17899" hidden="1" xr:uid="{00000000-0005-0000-0000-0000100C0000}"/>
    <cellStyle name="40 % - Akzent5" xfId="17222" hidden="1" xr:uid="{00000000-0005-0000-0000-0000790C0000}"/>
    <cellStyle name="40 % - Akzent5" xfId="13909" hidden="1" xr:uid="{00000000-0005-0000-0000-0000310C0000}"/>
    <cellStyle name="40 % - Akzent5 2" xfId="396" xr:uid="{00000000-0005-0000-0000-0000AF0C0000}"/>
    <cellStyle name="40 % - Akzent5 3" xfId="265" xr:uid="{00000000-0005-0000-0000-0000B00C0000}"/>
    <cellStyle name="40 % - Akzent6" xfId="3203" hidden="1" xr:uid="{00000000-0005-0000-0000-0000440D0000}"/>
    <cellStyle name="40 % - Akzent6" xfId="15703" hidden="1" xr:uid="{00000000-0005-0000-0000-0000070D0000}"/>
    <cellStyle name="40 % - Akzent6" xfId="15749" hidden="1" xr:uid="{00000000-0005-0000-0000-0000E10C0000}"/>
    <cellStyle name="40 % - Akzent6" xfId="18692" hidden="1" xr:uid="{00000000-0005-0000-0000-0000E90C0000}"/>
    <cellStyle name="40 % - Akzent6" xfId="16766" hidden="1" xr:uid="{00000000-0005-0000-0000-0000E80C0000}"/>
    <cellStyle name="40 % - Akzent6" xfId="13385" hidden="1" xr:uid="{00000000-0005-0000-0000-00003B0D0000}"/>
    <cellStyle name="40 % - Akzent6" xfId="19860" hidden="1" xr:uid="{00000000-0005-0000-0000-0000E50C0000}"/>
    <cellStyle name="40 % - Akzent6" xfId="19868" hidden="1" xr:uid="{00000000-0005-0000-0000-0000E70C0000}"/>
    <cellStyle name="40 % - Akzent6" xfId="79" hidden="1" xr:uid="{00000000-0005-0000-0000-0000290D0000}"/>
    <cellStyle name="40 % - Akzent6" xfId="14873" hidden="1" xr:uid="{00000000-0005-0000-0000-00000B0D0000}"/>
    <cellStyle name="40 % - Akzent6" xfId="14993" hidden="1" xr:uid="{00000000-0005-0000-0000-00000A0D0000}"/>
    <cellStyle name="40 % - Akzent6" xfId="13667" hidden="1" xr:uid="{00000000-0005-0000-0000-00003F0D0000}"/>
    <cellStyle name="40 % - Akzent6" xfId="8792" hidden="1" xr:uid="{00000000-0005-0000-0000-0000410D0000}"/>
    <cellStyle name="40 % - Akzent6" xfId="10748" hidden="1" xr:uid="{00000000-0005-0000-0000-0000430D0000}"/>
    <cellStyle name="40 % - Akzent6" xfId="3248" hidden="1" xr:uid="{00000000-0005-0000-0000-0000450D0000}"/>
    <cellStyle name="40 % - Akzent6" xfId="13512" hidden="1" xr:uid="{00000000-0005-0000-0000-0000470D0000}"/>
    <cellStyle name="40 % - Akzent6" xfId="8270" hidden="1" xr:uid="{00000000-0005-0000-0000-0000350D0000}"/>
    <cellStyle name="40 % - Akzent6" xfId="4040" hidden="1" xr:uid="{00000000-0005-0000-0000-0000230D0000}"/>
    <cellStyle name="40 % - Akzent6" xfId="1344" hidden="1" xr:uid="{00000000-0005-0000-0000-0000240D0000}"/>
    <cellStyle name="40 % - Akzent6" xfId="13073" hidden="1" xr:uid="{00000000-0005-0000-0000-00004C0D0000}"/>
    <cellStyle name="40 % - Akzent6" xfId="12933" hidden="1" xr:uid="{00000000-0005-0000-0000-00004D0D0000}"/>
    <cellStyle name="40 % - Akzent6" xfId="17409" hidden="1" xr:uid="{00000000-0005-0000-0000-0000120D0000}"/>
    <cellStyle name="40 % - Akzent6" xfId="17192" hidden="1" xr:uid="{00000000-0005-0000-0000-0000130D0000}"/>
    <cellStyle name="40 % - Akzent6" xfId="16703" hidden="1" xr:uid="{00000000-0005-0000-0000-0000FD0C0000}"/>
    <cellStyle name="40 % - Akzent6" xfId="13765" hidden="1" xr:uid="{00000000-0005-0000-0000-0000FF0C0000}"/>
    <cellStyle name="40 % - Akzent6" xfId="1289" hidden="1" xr:uid="{00000000-0005-0000-0000-0000280D0000}"/>
    <cellStyle name="40 % - Akzent6" xfId="17075" hidden="1" xr:uid="{00000000-0005-0000-0000-0000B20C0000}"/>
    <cellStyle name="40 % - Akzent6" xfId="13850" hidden="1" xr:uid="{00000000-0005-0000-0000-0000B10C0000}"/>
    <cellStyle name="40 % - Akzent6" xfId="13600" hidden="1" xr:uid="{00000000-0005-0000-0000-00003D0D0000}"/>
    <cellStyle name="40 % - Akzent6" xfId="15635" hidden="1" xr:uid="{00000000-0005-0000-0000-0000010D0000}"/>
    <cellStyle name="40 % - Akzent6" xfId="13875" hidden="1" xr:uid="{00000000-0005-0000-0000-0000000D0000}"/>
    <cellStyle name="40 % - Akzent6" xfId="8511" hidden="1" xr:uid="{00000000-0005-0000-0000-00002C0D0000}"/>
    <cellStyle name="40 % - Akzent6" xfId="8608" hidden="1" xr:uid="{00000000-0005-0000-0000-00002E0D0000}"/>
    <cellStyle name="40 % - Akzent6" xfId="9093" hidden="1" xr:uid="{00000000-0005-0000-0000-0000300D0000}"/>
    <cellStyle name="40 % - Akzent6" xfId="11368" hidden="1" xr:uid="{00000000-0005-0000-0000-0000320D0000}"/>
    <cellStyle name="40 % - Akzent6" xfId="3387" hidden="1" xr:uid="{00000000-0005-0000-0000-0000210D0000}"/>
    <cellStyle name="40 % - Akzent6" xfId="12178" hidden="1" xr:uid="{00000000-0005-0000-0000-00004A0D0000}"/>
    <cellStyle name="40 % - Akzent6" xfId="10750" hidden="1" xr:uid="{00000000-0005-0000-0000-0000370D0000}"/>
    <cellStyle name="40 % - Akzent6" xfId="10869" hidden="1" xr:uid="{00000000-0005-0000-0000-0000380D0000}"/>
    <cellStyle name="40 % - Akzent6" xfId="14637" hidden="1" xr:uid="{00000000-0005-0000-0000-00001C0D0000}"/>
    <cellStyle name="40 % - Akzent6" xfId="13823" hidden="1" xr:uid="{00000000-0005-0000-0000-00001D0D0000}"/>
    <cellStyle name="40 % - Akzent6" xfId="14370" hidden="1" xr:uid="{00000000-0005-0000-0000-0000080D0000}"/>
    <cellStyle name="40 % - Akzent6" xfId="16270" hidden="1" xr:uid="{00000000-0005-0000-0000-0000090D0000}"/>
    <cellStyle name="40 % - Akzent6" xfId="16355" hidden="1" xr:uid="{00000000-0005-0000-0000-0000F10C0000}"/>
    <cellStyle name="40 % - Akzent6" xfId="16373" hidden="1" xr:uid="{00000000-0005-0000-0000-0000F30C0000}"/>
    <cellStyle name="40 % - Akzent6" xfId="13597" hidden="1" xr:uid="{00000000-0005-0000-0000-00003C0D0000}"/>
    <cellStyle name="40 % - Akzent6" xfId="15580" hidden="1" xr:uid="{00000000-0005-0000-0000-0000150D0000}"/>
    <cellStyle name="40 % - Akzent6" xfId="17156" hidden="1" xr:uid="{00000000-0005-0000-0000-0000140D0000}"/>
    <cellStyle name="40 % - Akzent6" xfId="8392" hidden="1" xr:uid="{00000000-0005-0000-0000-00002A0D0000}"/>
    <cellStyle name="40 % - Akzent6" xfId="15055" hidden="1" xr:uid="{00000000-0005-0000-0000-0000F50C0000}"/>
    <cellStyle name="40 % - Akzent6" xfId="16259" hidden="1" xr:uid="{00000000-0005-0000-0000-0000F40C0000}"/>
    <cellStyle name="40 % - Akzent6" xfId="977" hidden="1" xr:uid="{00000000-0005-0000-0000-0000270D0000}"/>
    <cellStyle name="40 % - Akzent6" xfId="17715" hidden="1" xr:uid="{00000000-0005-0000-0000-0000110D0000}"/>
    <cellStyle name="40 % - Akzent6" xfId="18177" hidden="1" xr:uid="{00000000-0005-0000-0000-0000CD0C0000}"/>
    <cellStyle name="40 % - Akzent6" xfId="9274" hidden="1" xr:uid="{00000000-0005-0000-0000-00002F0D0000}"/>
    <cellStyle name="40 % - Akzent6" xfId="13530" hidden="1" xr:uid="{00000000-0005-0000-0000-0000490D0000}"/>
    <cellStyle name="40 % - Akzent6" xfId="19007" hidden="1" xr:uid="{00000000-0005-0000-0000-0000CA0C0000}"/>
    <cellStyle name="40 % - Akzent6" xfId="18837" hidden="1" xr:uid="{00000000-0005-0000-0000-0000BE0C0000}"/>
    <cellStyle name="40 % - Akzent6" xfId="17944" hidden="1" xr:uid="{00000000-0005-0000-0000-0000160D0000}"/>
    <cellStyle name="40 % - Akzent6" xfId="4092" hidden="1" xr:uid="{00000000-0005-0000-0000-0000220D0000}"/>
    <cellStyle name="40 % - Akzent6" xfId="18941" hidden="1" xr:uid="{00000000-0005-0000-0000-0000C60C0000}"/>
    <cellStyle name="40 % - Akzent6" xfId="18097" hidden="1" xr:uid="{00000000-0005-0000-0000-0000DF0C0000}"/>
    <cellStyle name="40 % - Akzent6" xfId="3280" hidden="1" xr:uid="{00000000-0005-0000-0000-00001F0D0000}"/>
    <cellStyle name="40 % - Akzent6" xfId="13361" hidden="1" xr:uid="{00000000-0005-0000-0000-00003A0D0000}"/>
    <cellStyle name="40 % - Akzent6" xfId="14019" hidden="1" xr:uid="{00000000-0005-0000-0000-00001B0D0000}"/>
    <cellStyle name="40 % - Akzent6" xfId="18224" hidden="1" xr:uid="{00000000-0005-0000-0000-0000B90C0000}"/>
    <cellStyle name="40 % - Akzent6" xfId="8676" hidden="1" xr:uid="{00000000-0005-0000-0000-0000420D0000}"/>
    <cellStyle name="40 % - Akzent6" xfId="3659" hidden="1" xr:uid="{00000000-0005-0000-0000-0000340D0000}"/>
    <cellStyle name="40 % - Akzent6" xfId="18678" hidden="1" xr:uid="{00000000-0005-0000-0000-0000B60C0000}"/>
    <cellStyle name="40 % - Akzent6" xfId="19553" hidden="1" xr:uid="{00000000-0005-0000-0000-0000D10C0000}"/>
    <cellStyle name="40 % - Akzent6" xfId="18619" hidden="1" xr:uid="{00000000-0005-0000-0000-0000B30C0000}"/>
    <cellStyle name="40 % - Akzent6" xfId="13544" hidden="1" xr:uid="{00000000-0005-0000-0000-0000480D0000}"/>
    <cellStyle name="40 % - Akzent6" xfId="19207" hidden="1" xr:uid="{00000000-0005-0000-0000-0000D80C0000}"/>
    <cellStyle name="40 % - Akzent6" xfId="18374" hidden="1" xr:uid="{00000000-0005-0000-0000-0000CB0C0000}"/>
    <cellStyle name="40 % - Akzent6" xfId="13464" hidden="1" xr:uid="{00000000-0005-0000-0000-00004E0D0000}"/>
    <cellStyle name="40 % - Akzent6" xfId="3200" hidden="1" xr:uid="{00000000-0005-0000-0000-0000260D0000}"/>
    <cellStyle name="40 % - Akzent6" xfId="13018" hidden="1" xr:uid="{00000000-0005-0000-0000-0000500D0000}"/>
    <cellStyle name="40 % - Akzent6" xfId="13837" hidden="1" xr:uid="{00000000-0005-0000-0000-0000DE0C0000}"/>
    <cellStyle name="40 % - Akzent6" xfId="8363" hidden="1" xr:uid="{00000000-0005-0000-0000-00002D0D0000}"/>
    <cellStyle name="40 % - Akzent6" xfId="3266" hidden="1" xr:uid="{00000000-0005-0000-0000-0000200D0000}"/>
    <cellStyle name="40 % - Akzent6" xfId="19815" hidden="1" xr:uid="{00000000-0005-0000-0000-0000E40C0000}"/>
    <cellStyle name="40 % - Akzent6" xfId="18792" hidden="1" xr:uid="{00000000-0005-0000-0000-0000BD0C0000}"/>
    <cellStyle name="40 % - Akzent6" xfId="19882" hidden="1" xr:uid="{00000000-0005-0000-0000-0000E60C0000}"/>
    <cellStyle name="40 % - Akzent6" xfId="13968" hidden="1" xr:uid="{00000000-0005-0000-0000-0000C40C0000}"/>
    <cellStyle name="40 % - Akzent6" xfId="18589" hidden="1" xr:uid="{00000000-0005-0000-0000-0000B70C0000}"/>
    <cellStyle name="40 % - Akzent6" xfId="13749" hidden="1" xr:uid="{00000000-0005-0000-0000-0000EA0C0000}"/>
    <cellStyle name="40 % - Akzent6" xfId="13372" hidden="1" xr:uid="{00000000-0005-0000-0000-0000390D0000}"/>
    <cellStyle name="40 % - Akzent6" xfId="14690" hidden="1" xr:uid="{00000000-0005-0000-0000-0000EC0C0000}"/>
    <cellStyle name="40 % - Akzent6" xfId="13653" hidden="1" xr:uid="{00000000-0005-0000-0000-0000400D0000}"/>
    <cellStyle name="40 % - Akzent6" xfId="13467" hidden="1" xr:uid="{00000000-0005-0000-0000-0000460D0000}"/>
    <cellStyle name="40 % - Akzent6" xfId="16310" hidden="1" xr:uid="{00000000-0005-0000-0000-0000F00C0000}"/>
    <cellStyle name="40 % - Akzent6" xfId="19550" hidden="1" xr:uid="{00000000-0005-0000-0000-0000D00C0000}"/>
    <cellStyle name="40 % - Akzent6" xfId="16387" hidden="1" xr:uid="{00000000-0005-0000-0000-0000F20C0000}"/>
    <cellStyle name="40 % - Akzent6" xfId="17695" hidden="1" xr:uid="{00000000-0005-0000-0000-0000D60C0000}"/>
    <cellStyle name="40 % - Akzent6" xfId="19762" hidden="1" xr:uid="{00000000-0005-0000-0000-0000DC0C0000}"/>
    <cellStyle name="40 % - Akzent6" xfId="14989" hidden="1" xr:uid="{00000000-0005-0000-0000-0000F60C0000}"/>
    <cellStyle name="40 % - Akzent6" xfId="1204" hidden="1" xr:uid="{00000000-0005-0000-0000-0000250D0000}"/>
    <cellStyle name="40 % - Akzent6" xfId="15809" hidden="1" xr:uid="{00000000-0005-0000-0000-0000F80C0000}"/>
    <cellStyle name="40 % - Akzent6" xfId="8509" hidden="1" xr:uid="{00000000-0005-0000-0000-00002B0D0000}"/>
    <cellStyle name="40 % - Akzent6" xfId="9415" hidden="1" xr:uid="{00000000-0005-0000-0000-0000310D0000}"/>
    <cellStyle name="40 % - Akzent6" xfId="16717" hidden="1" xr:uid="{00000000-0005-0000-0000-0000FC0C0000}"/>
    <cellStyle name="40 % - Akzent6" xfId="18789" hidden="1" xr:uid="{00000000-0005-0000-0000-0000BC0C0000}"/>
    <cellStyle name="40 % - Akzent6" xfId="14920" hidden="1" xr:uid="{00000000-0005-0000-0000-0000FE0C0000}"/>
    <cellStyle name="40 % - Akzent6" xfId="15468" hidden="1" xr:uid="{00000000-0005-0000-0000-0000C20C0000}"/>
    <cellStyle name="40 % - Akzent6" xfId="18989" hidden="1" xr:uid="{00000000-0005-0000-0000-0000C80C0000}"/>
    <cellStyle name="40 % - Akzent6" xfId="15364" hidden="1" xr:uid="{00000000-0005-0000-0000-0000020D0000}"/>
    <cellStyle name="40 % - Akzent6" xfId="13401" hidden="1" xr:uid="{00000000-0005-0000-0000-00004B0D0000}"/>
    <cellStyle name="40 % - Akzent6" xfId="16836" hidden="1" xr:uid="{00000000-0005-0000-0000-00001E0D0000}"/>
    <cellStyle name="40 % - Akzent6" xfId="13645" hidden="1" xr:uid="{00000000-0005-0000-0000-00003E0D0000}"/>
    <cellStyle name="40 % - Akzent6" xfId="4066" hidden="1" xr:uid="{00000000-0005-0000-0000-0000330D0000}"/>
    <cellStyle name="40 % - Akzent6" xfId="18866" hidden="1" xr:uid="{00000000-0005-0000-0000-0000BF0C0000}"/>
    <cellStyle name="40 % - Akzent6" xfId="12706" hidden="1" xr:uid="{00000000-0005-0000-0000-00004F0D0000}"/>
    <cellStyle name="40 % - Akzent6" xfId="12202" hidden="1" xr:uid="{00000000-0005-0000-0000-0000510D0000}"/>
    <cellStyle name="40 % - Akzent6" xfId="19609" hidden="1" xr:uid="{00000000-0005-0000-0000-0000D40C0000}"/>
    <cellStyle name="40 % - Akzent6" xfId="16899" hidden="1" xr:uid="{00000000-0005-0000-0000-0000060D0000}"/>
    <cellStyle name="40 % - Akzent6" xfId="16913" hidden="1" xr:uid="{00000000-0005-0000-0000-0000050D0000}"/>
    <cellStyle name="40 % - Akzent6" xfId="16442" hidden="1" xr:uid="{00000000-0005-0000-0000-0000C30C0000}"/>
    <cellStyle name="40 % - Akzent6" xfId="14465" hidden="1" xr:uid="{00000000-0005-0000-0000-0000C50C0000}"/>
    <cellStyle name="40 % - Akzent6" xfId="18944" hidden="1" xr:uid="{00000000-0005-0000-0000-0000C70C0000}"/>
    <cellStyle name="40 % - Akzent6" xfId="19021" hidden="1" xr:uid="{00000000-0005-0000-0000-0000C90C0000}"/>
    <cellStyle name="40 % - Akzent6" xfId="17082" hidden="1" xr:uid="{00000000-0005-0000-0000-0000B80C0000}"/>
    <cellStyle name="40 % - Akzent6" xfId="18199" hidden="1" xr:uid="{00000000-0005-0000-0000-0000E00C0000}"/>
    <cellStyle name="40 % - Akzent6" xfId="18201" hidden="1" xr:uid="{00000000-0005-0000-0000-0000CE0C0000}"/>
    <cellStyle name="40 % - Akzent6" xfId="18239" hidden="1" xr:uid="{00000000-0005-0000-0000-0000CF0C0000}"/>
    <cellStyle name="40 % - Akzent6" xfId="18622" hidden="1" xr:uid="{00000000-0005-0000-0000-0000B40C0000}"/>
    <cellStyle name="40 % - Akzent6" xfId="18667" hidden="1" xr:uid="{00000000-0005-0000-0000-0000B50C0000}"/>
    <cellStyle name="40 % - Akzent6" xfId="17752" hidden="1" xr:uid="{00000000-0005-0000-0000-00000D0D0000}"/>
    <cellStyle name="40 % - Akzent6" xfId="17797" hidden="1" xr:uid="{00000000-0005-0000-0000-00000E0D0000}"/>
    <cellStyle name="40 % - Akzent6" xfId="15731" hidden="1" xr:uid="{00000000-0005-0000-0000-0000F70C0000}"/>
    <cellStyle name="40 % - Akzent6" xfId="16637" hidden="1" xr:uid="{00000000-0005-0000-0000-0000F90C0000}"/>
    <cellStyle name="40 % - Akzent6" xfId="19623" hidden="1" xr:uid="{00000000-0005-0000-0000-0000D30C0000}"/>
    <cellStyle name="40 % - Akzent6" xfId="18010" hidden="1" xr:uid="{00000000-0005-0000-0000-00001A0D0000}"/>
    <cellStyle name="40 % - Akzent6" xfId="18024" hidden="1" xr:uid="{00000000-0005-0000-0000-0000190D0000}"/>
    <cellStyle name="40 % - Akzent6" xfId="18752" hidden="1" xr:uid="{00000000-0005-0000-0000-0000C10C0000}"/>
    <cellStyle name="40 % - Akzent6" xfId="16685" hidden="1" xr:uid="{00000000-0005-0000-0000-0000FB0C0000}"/>
    <cellStyle name="40 % - Akzent6" xfId="16640" hidden="1" xr:uid="{00000000-0005-0000-0000-0000FA0C0000}"/>
    <cellStyle name="40 % - Akzent6" xfId="15079" hidden="1" xr:uid="{00000000-0005-0000-0000-0000D70C0000}"/>
    <cellStyle name="40 % - Akzent6" xfId="19682" hidden="1" xr:uid="{00000000-0005-0000-0000-0000D90C0000}"/>
    <cellStyle name="40 % - Akzent6" xfId="19730" hidden="1" xr:uid="{00000000-0005-0000-0000-0000DB0C0000}"/>
    <cellStyle name="40 % - Akzent6" xfId="19748" hidden="1" xr:uid="{00000000-0005-0000-0000-0000DD0C0000}"/>
    <cellStyle name="40 % - Akzent6" xfId="15833" hidden="1" xr:uid="{00000000-0005-0000-0000-0000CC0C0000}"/>
    <cellStyle name="40 % - Akzent6" xfId="18202" hidden="1" xr:uid="{00000000-0005-0000-0000-0000BA0C0000}"/>
    <cellStyle name="40 % - Akzent6" xfId="18255" hidden="1" xr:uid="{00000000-0005-0000-0000-0000BB0C0000}"/>
    <cellStyle name="40 % - Akzent6" xfId="14932" hidden="1" xr:uid="{00000000-0005-0000-0000-0000E20C0000}"/>
    <cellStyle name="40 % - Akzent6" xfId="19812" hidden="1" xr:uid="{00000000-0005-0000-0000-0000E30C0000}"/>
    <cellStyle name="40 % - Akzent6" xfId="17947" hidden="1" xr:uid="{00000000-0005-0000-0000-0000170D0000}"/>
    <cellStyle name="40 % - Akzent6" xfId="17992" hidden="1" xr:uid="{00000000-0005-0000-0000-0000180D0000}"/>
    <cellStyle name="40 % - Akzent6" xfId="16833" hidden="1" xr:uid="{00000000-0005-0000-0000-0000030D0000}"/>
    <cellStyle name="40 % - Akzent6" xfId="16881" hidden="1" xr:uid="{00000000-0005-0000-0000-0000040D0000}"/>
    <cellStyle name="40 % - Akzent6" xfId="14433" hidden="1" xr:uid="{00000000-0005-0000-0000-0000EB0C0000}"/>
    <cellStyle name="40 % - Akzent6" xfId="14732" hidden="1" xr:uid="{00000000-0005-0000-0000-0000ED0C0000}"/>
    <cellStyle name="40 % - Akzent6" xfId="18852" hidden="1" xr:uid="{00000000-0005-0000-0000-0000C00C0000}"/>
    <cellStyle name="40 % - Akzent6" xfId="17812" hidden="1" xr:uid="{00000000-0005-0000-0000-0000100D0000}"/>
    <cellStyle name="40 % - Akzent6" xfId="17826" hidden="1" xr:uid="{00000000-0005-0000-0000-00000F0D0000}"/>
    <cellStyle name="40 % - Akzent6" xfId="19361" hidden="1" xr:uid="{00000000-0005-0000-0000-0000D50C0000}"/>
    <cellStyle name="40 % - Akzent6" xfId="16307" hidden="1" xr:uid="{00000000-0005-0000-0000-0000EF0C0000}"/>
    <cellStyle name="40 % - Akzent6" xfId="14619" hidden="1" xr:uid="{00000000-0005-0000-0000-0000EE0C0000}"/>
    <cellStyle name="40 % - Akzent6" xfId="19598" hidden="1" xr:uid="{00000000-0005-0000-0000-0000D20C0000}"/>
    <cellStyle name="40 % - Akzent6" xfId="17749" hidden="1" xr:uid="{00000000-0005-0000-0000-00000C0D0000}"/>
    <cellStyle name="40 % - Akzent6" xfId="10932" hidden="1" xr:uid="{00000000-0005-0000-0000-0000360D0000}"/>
    <cellStyle name="40 % - Akzent6" xfId="19685" hidden="1" xr:uid="{00000000-0005-0000-0000-0000DA0C0000}"/>
    <cellStyle name="40 % - Akzent6 2" xfId="397" xr:uid="{00000000-0005-0000-0000-0000520D0000}"/>
    <cellStyle name="40 % - Akzent6 3" xfId="266" xr:uid="{00000000-0005-0000-0000-0000530D0000}"/>
    <cellStyle name="40% - Accent1" xfId="12128" builtinId="31" customBuiltin="1"/>
    <cellStyle name="40% - Accent1 10" xfId="3733" xr:uid="{00000000-0005-0000-0000-0000550D0000}"/>
    <cellStyle name="40% - Accent1 10 2" xfId="4157" xr:uid="{00000000-0005-0000-0000-0000560D0000}"/>
    <cellStyle name="40% - Accent1 10 3" xfId="3692" xr:uid="{00000000-0005-0000-0000-0000570D0000}"/>
    <cellStyle name="40% - Accent1 10 4" xfId="3600" xr:uid="{00000000-0005-0000-0000-0000580D0000}"/>
    <cellStyle name="40% - Accent1 10 5" xfId="3595" xr:uid="{00000000-0005-0000-0000-0000590D0000}"/>
    <cellStyle name="40% - Accent1 11" xfId="3329" xr:uid="{00000000-0005-0000-0000-00005A0D0000}"/>
    <cellStyle name="40% - Accent1 11 2" xfId="3981" xr:uid="{00000000-0005-0000-0000-00005B0D0000}"/>
    <cellStyle name="40% - Accent1 11 3" xfId="3477" xr:uid="{00000000-0005-0000-0000-00005C0D0000}"/>
    <cellStyle name="40% - Accent1 11 4" xfId="4029" xr:uid="{00000000-0005-0000-0000-00005D0D0000}"/>
    <cellStyle name="40% - Accent1 11 5" xfId="3496" xr:uid="{00000000-0005-0000-0000-00005E0D0000}"/>
    <cellStyle name="40% - Accent1 12" xfId="3790" xr:uid="{00000000-0005-0000-0000-00005F0D0000}"/>
    <cellStyle name="40% - Accent1 12 2" xfId="4063" xr:uid="{00000000-0005-0000-0000-0000600D0000}"/>
    <cellStyle name="40% - Accent1 12 3" xfId="3669" xr:uid="{00000000-0005-0000-0000-0000610D0000}"/>
    <cellStyle name="40% - Accent1 12 4" xfId="3628" xr:uid="{00000000-0005-0000-0000-0000620D0000}"/>
    <cellStyle name="40% - Accent1 12 5" xfId="4115" xr:uid="{00000000-0005-0000-0000-0000630D0000}"/>
    <cellStyle name="40% - Accent1 13" xfId="3533" xr:uid="{00000000-0005-0000-0000-0000640D0000}"/>
    <cellStyle name="40% - Accent1 14" xfId="3731" xr:uid="{00000000-0005-0000-0000-0000650D0000}"/>
    <cellStyle name="40% - Accent1 15" xfId="3506" xr:uid="{00000000-0005-0000-0000-0000660D0000}"/>
    <cellStyle name="40% - Accent1 16" xfId="4110" xr:uid="{00000000-0005-0000-0000-0000670D0000}"/>
    <cellStyle name="40% - Accent1 17" xfId="3326" xr:uid="{00000000-0005-0000-0000-0000680D0000}"/>
    <cellStyle name="40% - Accent1 18" xfId="4032" xr:uid="{00000000-0005-0000-0000-0000690D0000}"/>
    <cellStyle name="40% - Accent1 19" xfId="3606" xr:uid="{00000000-0005-0000-0000-00006A0D0000}"/>
    <cellStyle name="40% - Accent1 2" xfId="101" xr:uid="{00000000-0005-0000-0000-00006B0D0000}"/>
    <cellStyle name="40% - Accent1 2 10" xfId="4258" xr:uid="{00000000-0005-0000-0000-00006C0D0000}"/>
    <cellStyle name="40% - Accent1 2 10 2" xfId="7857" xr:uid="{00000000-0005-0000-0000-00006D0D0000}"/>
    <cellStyle name="40% - Accent1 2 11" xfId="3456" xr:uid="{00000000-0005-0000-0000-00006E0D0000}"/>
    <cellStyle name="40% - Accent1 2 11 2" xfId="4062" xr:uid="{00000000-0005-0000-0000-00006F0D0000}"/>
    <cellStyle name="40% - Accent1 2 11 2 2" xfId="7858" xr:uid="{00000000-0005-0000-0000-0000700D0000}"/>
    <cellStyle name="40% - Accent1 2 11 3" xfId="4045" xr:uid="{00000000-0005-0000-0000-0000710D0000}"/>
    <cellStyle name="40% - Accent1 2 11 3 2" xfId="7859" xr:uid="{00000000-0005-0000-0000-0000720D0000}"/>
    <cellStyle name="40% - Accent1 2 11 4" xfId="3928" xr:uid="{00000000-0005-0000-0000-0000730D0000}"/>
    <cellStyle name="40% - Accent1 2 11 4 2" xfId="7860" xr:uid="{00000000-0005-0000-0000-0000740D0000}"/>
    <cellStyle name="40% - Accent1 2 11 5" xfId="4055" xr:uid="{00000000-0005-0000-0000-0000750D0000}"/>
    <cellStyle name="40% - Accent1 2 11 5 2" xfId="7861" xr:uid="{00000000-0005-0000-0000-0000760D0000}"/>
    <cellStyle name="40% - Accent1 2 12" xfId="3918" xr:uid="{00000000-0005-0000-0000-0000770D0000}"/>
    <cellStyle name="40% - Accent1 2 13" xfId="4488" xr:uid="{00000000-0005-0000-0000-0000780D0000}"/>
    <cellStyle name="40% - Accent1 2 14" xfId="4652" xr:uid="{00000000-0005-0000-0000-0000790D0000}"/>
    <cellStyle name="40% - Accent1 2 15" xfId="4457" xr:uid="{00000000-0005-0000-0000-00007A0D0000}"/>
    <cellStyle name="40% - Accent1 2 15 2" xfId="7862" xr:uid="{00000000-0005-0000-0000-00007B0D0000}"/>
    <cellStyle name="40% - Accent1 2 16" xfId="4575" xr:uid="{00000000-0005-0000-0000-00007C0D0000}"/>
    <cellStyle name="40% - Accent1 2 17" xfId="3953" xr:uid="{00000000-0005-0000-0000-00007D0D0000}"/>
    <cellStyle name="40% - Accent1 2 2" xfId="1437" xr:uid="{00000000-0005-0000-0000-00007E0D0000}"/>
    <cellStyle name="40% - Accent1 2 2 10" xfId="7863" xr:uid="{00000000-0005-0000-0000-00007F0D0000}"/>
    <cellStyle name="40% - Accent1 2 2 11" xfId="4379" xr:uid="{00000000-0005-0000-0000-0000800D0000}"/>
    <cellStyle name="40% - Accent1 2 2 2" xfId="1438" xr:uid="{00000000-0005-0000-0000-0000810D0000}"/>
    <cellStyle name="40% - Accent1 2 2 2 2" xfId="7864" xr:uid="{00000000-0005-0000-0000-0000820D0000}"/>
    <cellStyle name="40% - Accent1 2 2 2 3" xfId="4625" xr:uid="{00000000-0005-0000-0000-0000830D0000}"/>
    <cellStyle name="40% - Accent1 2 2 3" xfId="1439" xr:uid="{00000000-0005-0000-0000-0000840D0000}"/>
    <cellStyle name="40% - Accent1 2 2 3 2" xfId="7865" xr:uid="{00000000-0005-0000-0000-0000850D0000}"/>
    <cellStyle name="40% - Accent1 2 2 3 3" xfId="4429" xr:uid="{00000000-0005-0000-0000-0000860D0000}"/>
    <cellStyle name="40% - Accent1 2 2 4" xfId="2041" xr:uid="{00000000-0005-0000-0000-0000870D0000}"/>
    <cellStyle name="40% - Accent1 2 2 4 2" xfId="7866" xr:uid="{00000000-0005-0000-0000-0000880D0000}"/>
    <cellStyle name="40% - Accent1 2 2 4 3" xfId="3532" xr:uid="{00000000-0005-0000-0000-0000890D0000}"/>
    <cellStyle name="40% - Accent1 2 2 5" xfId="3346" xr:uid="{00000000-0005-0000-0000-00008A0D0000}"/>
    <cellStyle name="40% - Accent1 2 2 5 2" xfId="7867" xr:uid="{00000000-0005-0000-0000-00008B0D0000}"/>
    <cellStyle name="40% - Accent1 2 2 6" xfId="3877" xr:uid="{00000000-0005-0000-0000-00008C0D0000}"/>
    <cellStyle name="40% - Accent1 2 2 6 2" xfId="7868" xr:uid="{00000000-0005-0000-0000-00008D0D0000}"/>
    <cellStyle name="40% - Accent1 2 2 7" xfId="3568" xr:uid="{00000000-0005-0000-0000-00008E0D0000}"/>
    <cellStyle name="40% - Accent1 2 2 7 2" xfId="7869" xr:uid="{00000000-0005-0000-0000-00008F0D0000}"/>
    <cellStyle name="40% - Accent1 2 2 8" xfId="3314" xr:uid="{00000000-0005-0000-0000-0000900D0000}"/>
    <cellStyle name="40% - Accent1 2 2 8 2" xfId="7870" xr:uid="{00000000-0005-0000-0000-0000910D0000}"/>
    <cellStyle name="40% - Accent1 2 2 9" xfId="3515" xr:uid="{00000000-0005-0000-0000-0000920D0000}"/>
    <cellStyle name="40% - Accent1 2 2 9 2" xfId="7871" xr:uid="{00000000-0005-0000-0000-0000930D0000}"/>
    <cellStyle name="40% - Accent1 2 3" xfId="1440" xr:uid="{00000000-0005-0000-0000-0000940D0000}"/>
    <cellStyle name="40% - Accent1 2 3 10" xfId="7872" xr:uid="{00000000-0005-0000-0000-0000950D0000}"/>
    <cellStyle name="40% - Accent1 2 3 2" xfId="2042" xr:uid="{00000000-0005-0000-0000-0000960D0000}"/>
    <cellStyle name="40% - Accent1 2 3 2 2" xfId="7873" xr:uid="{00000000-0005-0000-0000-0000970D0000}"/>
    <cellStyle name="40% - Accent1 2 3 3" xfId="2043" xr:uid="{00000000-0005-0000-0000-0000980D0000}"/>
    <cellStyle name="40% - Accent1 2 3 3 2" xfId="7874" xr:uid="{00000000-0005-0000-0000-0000990D0000}"/>
    <cellStyle name="40% - Accent1 2 3 4" xfId="2044" xr:uid="{00000000-0005-0000-0000-00009A0D0000}"/>
    <cellStyle name="40% - Accent1 2 3 4 2" xfId="7875" xr:uid="{00000000-0005-0000-0000-00009B0D0000}"/>
    <cellStyle name="40% - Accent1 2 3 4 3" xfId="3769" xr:uid="{00000000-0005-0000-0000-00009C0D0000}"/>
    <cellStyle name="40% - Accent1 2 3 5" xfId="3446" xr:uid="{00000000-0005-0000-0000-00009D0D0000}"/>
    <cellStyle name="40% - Accent1 2 3 5 2" xfId="7876" xr:uid="{00000000-0005-0000-0000-00009E0D0000}"/>
    <cellStyle name="40% - Accent1 2 3 6" xfId="3691" xr:uid="{00000000-0005-0000-0000-00009F0D0000}"/>
    <cellStyle name="40% - Accent1 2 3 6 2" xfId="7877" xr:uid="{00000000-0005-0000-0000-0000A00D0000}"/>
    <cellStyle name="40% - Accent1 2 3 7" xfId="4022" xr:uid="{00000000-0005-0000-0000-0000A10D0000}"/>
    <cellStyle name="40% - Accent1 2 3 7 2" xfId="7878" xr:uid="{00000000-0005-0000-0000-0000A20D0000}"/>
    <cellStyle name="40% - Accent1 2 3 8" xfId="4071" xr:uid="{00000000-0005-0000-0000-0000A30D0000}"/>
    <cellStyle name="40% - Accent1 2 3 8 2" xfId="7879" xr:uid="{00000000-0005-0000-0000-0000A40D0000}"/>
    <cellStyle name="40% - Accent1 2 3 9" xfId="3551" xr:uid="{00000000-0005-0000-0000-0000A50D0000}"/>
    <cellStyle name="40% - Accent1 2 3 9 2" xfId="7880" xr:uid="{00000000-0005-0000-0000-0000A60D0000}"/>
    <cellStyle name="40% - Accent1 2 4" xfId="2045" xr:uid="{00000000-0005-0000-0000-0000A70D0000}"/>
    <cellStyle name="40% - Accent1 2 4 10" xfId="7881" xr:uid="{00000000-0005-0000-0000-0000A80D0000}"/>
    <cellStyle name="40% - Accent1 2 4 2" xfId="2046" xr:uid="{00000000-0005-0000-0000-0000A90D0000}"/>
    <cellStyle name="40% - Accent1 2 4 2 2" xfId="7882" xr:uid="{00000000-0005-0000-0000-0000AA0D0000}"/>
    <cellStyle name="40% - Accent1 2 4 3" xfId="3444" xr:uid="{00000000-0005-0000-0000-0000AB0D0000}"/>
    <cellStyle name="40% - Accent1 2 4 3 2" xfId="7883" xr:uid="{00000000-0005-0000-0000-0000AC0D0000}"/>
    <cellStyle name="40% - Accent1 2 4 4" xfId="3713" xr:uid="{00000000-0005-0000-0000-0000AD0D0000}"/>
    <cellStyle name="40% - Accent1 2 4 4 2" xfId="7884" xr:uid="{00000000-0005-0000-0000-0000AE0D0000}"/>
    <cellStyle name="40% - Accent1 2 4 5" xfId="3750" xr:uid="{00000000-0005-0000-0000-0000AF0D0000}"/>
    <cellStyle name="40% - Accent1 2 4 5 2" xfId="7885" xr:uid="{00000000-0005-0000-0000-0000B00D0000}"/>
    <cellStyle name="40% - Accent1 2 4 6" xfId="4069" xr:uid="{00000000-0005-0000-0000-0000B10D0000}"/>
    <cellStyle name="40% - Accent1 2 4 6 2" xfId="7886" xr:uid="{00000000-0005-0000-0000-0000B20D0000}"/>
    <cellStyle name="40% - Accent1 2 4 7" xfId="4105" xr:uid="{00000000-0005-0000-0000-0000B30D0000}"/>
    <cellStyle name="40% - Accent1 2 4 7 2" xfId="7887" xr:uid="{00000000-0005-0000-0000-0000B40D0000}"/>
    <cellStyle name="40% - Accent1 2 4 8" xfId="3316" xr:uid="{00000000-0005-0000-0000-0000B50D0000}"/>
    <cellStyle name="40% - Accent1 2 4 8 2" xfId="7888" xr:uid="{00000000-0005-0000-0000-0000B60D0000}"/>
    <cellStyle name="40% - Accent1 2 4 9" xfId="3839" xr:uid="{00000000-0005-0000-0000-0000B70D0000}"/>
    <cellStyle name="40% - Accent1 2 4 9 2" xfId="7889" xr:uid="{00000000-0005-0000-0000-0000B80D0000}"/>
    <cellStyle name="40% - Accent1 2 5" xfId="2047" xr:uid="{00000000-0005-0000-0000-0000B90D0000}"/>
    <cellStyle name="40% - Accent1 2 5 10" xfId="7890" xr:uid="{00000000-0005-0000-0000-0000BA0D0000}"/>
    <cellStyle name="40% - Accent1 2 5 2" xfId="3412" xr:uid="{00000000-0005-0000-0000-0000BB0D0000}"/>
    <cellStyle name="40% - Accent1 2 5 2 2" xfId="7891" xr:uid="{00000000-0005-0000-0000-0000BC0D0000}"/>
    <cellStyle name="40% - Accent1 2 5 3" xfId="4009" xr:uid="{00000000-0005-0000-0000-0000BD0D0000}"/>
    <cellStyle name="40% - Accent1 2 5 3 2" xfId="7892" xr:uid="{00000000-0005-0000-0000-0000BE0D0000}"/>
    <cellStyle name="40% - Accent1 2 5 4" xfId="3470" xr:uid="{00000000-0005-0000-0000-0000BF0D0000}"/>
    <cellStyle name="40% - Accent1 2 5 4 2" xfId="7893" xr:uid="{00000000-0005-0000-0000-0000C00D0000}"/>
    <cellStyle name="40% - Accent1 2 5 5" xfId="3647" xr:uid="{00000000-0005-0000-0000-0000C10D0000}"/>
    <cellStyle name="40% - Accent1 2 5 5 2" xfId="7894" xr:uid="{00000000-0005-0000-0000-0000C20D0000}"/>
    <cellStyle name="40% - Accent1 2 5 6" xfId="3887" xr:uid="{00000000-0005-0000-0000-0000C30D0000}"/>
    <cellStyle name="40% - Accent1 2 5 6 2" xfId="7895" xr:uid="{00000000-0005-0000-0000-0000C40D0000}"/>
    <cellStyle name="40% - Accent1 2 5 7" xfId="4528" xr:uid="{00000000-0005-0000-0000-0000C50D0000}"/>
    <cellStyle name="40% - Accent1 2 5 7 2" xfId="7896" xr:uid="{00000000-0005-0000-0000-0000C60D0000}"/>
    <cellStyle name="40% - Accent1 2 5 8" xfId="4335" xr:uid="{00000000-0005-0000-0000-0000C70D0000}"/>
    <cellStyle name="40% - Accent1 2 5 8 2" xfId="7897" xr:uid="{00000000-0005-0000-0000-0000C80D0000}"/>
    <cellStyle name="40% - Accent1 2 5 9" xfId="4626" xr:uid="{00000000-0005-0000-0000-0000C90D0000}"/>
    <cellStyle name="40% - Accent1 2 5 9 2" xfId="7898" xr:uid="{00000000-0005-0000-0000-0000CA0D0000}"/>
    <cellStyle name="40% - Accent1 2 6" xfId="2048" xr:uid="{00000000-0005-0000-0000-0000CB0D0000}"/>
    <cellStyle name="40% - Accent1 2 6 2" xfId="4624" xr:uid="{00000000-0005-0000-0000-0000CC0D0000}"/>
    <cellStyle name="40% - Accent1 2 6 2 2" xfId="7900" xr:uid="{00000000-0005-0000-0000-0000CD0D0000}"/>
    <cellStyle name="40% - Accent1 2 6 3" xfId="4428" xr:uid="{00000000-0005-0000-0000-0000CE0D0000}"/>
    <cellStyle name="40% - Accent1 2 6 3 2" xfId="7901" xr:uid="{00000000-0005-0000-0000-0000CF0D0000}"/>
    <cellStyle name="40% - Accent1 2 6 4" xfId="3989" xr:uid="{00000000-0005-0000-0000-0000D00D0000}"/>
    <cellStyle name="40% - Accent1 2 6 4 2" xfId="7902" xr:uid="{00000000-0005-0000-0000-0000D10D0000}"/>
    <cellStyle name="40% - Accent1 2 6 5" xfId="4492" xr:uid="{00000000-0005-0000-0000-0000D20D0000}"/>
    <cellStyle name="40% - Accent1 2 6 5 2" xfId="7903" xr:uid="{00000000-0005-0000-0000-0000D30D0000}"/>
    <cellStyle name="40% - Accent1 2 6 6" xfId="7899" xr:uid="{00000000-0005-0000-0000-0000D40D0000}"/>
    <cellStyle name="40% - Accent1 2 7" xfId="2049" xr:uid="{00000000-0005-0000-0000-0000D50D0000}"/>
    <cellStyle name="40% - Accent1 2 7 2" xfId="7904" xr:uid="{00000000-0005-0000-0000-0000D60D0000}"/>
    <cellStyle name="40% - Accent1 2 7 3" xfId="4526" xr:uid="{00000000-0005-0000-0000-0000D70D0000}"/>
    <cellStyle name="40% - Accent1 2 8" xfId="2050" xr:uid="{00000000-0005-0000-0000-0000D80D0000}"/>
    <cellStyle name="40% - Accent1 2 8 2" xfId="7905" xr:uid="{00000000-0005-0000-0000-0000D90D0000}"/>
    <cellStyle name="40% - Accent1 2 8 3" xfId="4333" xr:uid="{00000000-0005-0000-0000-0000DA0D0000}"/>
    <cellStyle name="40% - Accent1 2 9" xfId="3719" xr:uid="{00000000-0005-0000-0000-0000DB0D0000}"/>
    <cellStyle name="40% - Accent1 2 9 2" xfId="7906" xr:uid="{00000000-0005-0000-0000-0000DC0D0000}"/>
    <cellStyle name="40% - Accent1 20" xfId="3629" xr:uid="{00000000-0005-0000-0000-0000DD0D0000}"/>
    <cellStyle name="40% - Accent1 21" xfId="3739" xr:uid="{00000000-0005-0000-0000-0000DE0D0000}"/>
    <cellStyle name="40% - Accent1 22" xfId="4232" xr:uid="{00000000-0005-0000-0000-0000DF0D0000}"/>
    <cellStyle name="40% - Accent1 23" xfId="3434" xr:uid="{00000000-0005-0000-0000-0000E00D0000}"/>
    <cellStyle name="40% - Accent1 24" xfId="3564" xr:uid="{00000000-0005-0000-0000-0000E10D0000}"/>
    <cellStyle name="40% - Accent1 25" xfId="4193" xr:uid="{00000000-0005-0000-0000-0000E20D0000}"/>
    <cellStyle name="40% - Accent1 26" xfId="4114" xr:uid="{00000000-0005-0000-0000-0000E30D0000}"/>
    <cellStyle name="40% - Accent1 3" xfId="218" xr:uid="{00000000-0005-0000-0000-0000E40D0000}"/>
    <cellStyle name="40% - Accent1 3 10" xfId="3677" xr:uid="{00000000-0005-0000-0000-0000E50D0000}"/>
    <cellStyle name="40% - Accent1 3 11" xfId="3512" xr:uid="{00000000-0005-0000-0000-0000E60D0000}"/>
    <cellStyle name="40% - Accent1 3 2" xfId="2051" xr:uid="{00000000-0005-0000-0000-0000E70D0000}"/>
    <cellStyle name="40% - Accent1 3 2 2" xfId="7907" xr:uid="{00000000-0005-0000-0000-0000E80D0000}"/>
    <cellStyle name="40% - Accent1 3 2 3" xfId="3497" xr:uid="{00000000-0005-0000-0000-0000E90D0000}"/>
    <cellStyle name="40% - Accent1 3 3" xfId="2052" xr:uid="{00000000-0005-0000-0000-0000EA0D0000}"/>
    <cellStyle name="40% - Accent1 3 3 2" xfId="7908" xr:uid="{00000000-0005-0000-0000-0000EB0D0000}"/>
    <cellStyle name="40% - Accent1 3 4" xfId="3761" xr:uid="{00000000-0005-0000-0000-0000EC0D0000}"/>
    <cellStyle name="40% - Accent1 3 4 2" xfId="7909" xr:uid="{00000000-0005-0000-0000-0000ED0D0000}"/>
    <cellStyle name="40% - Accent1 3 5" xfId="3926" xr:uid="{00000000-0005-0000-0000-0000EE0D0000}"/>
    <cellStyle name="40% - Accent1 3 5 2" xfId="7910" xr:uid="{00000000-0005-0000-0000-0000EF0D0000}"/>
    <cellStyle name="40% - Accent1 3 6" xfId="3850" xr:uid="{00000000-0005-0000-0000-0000F00D0000}"/>
    <cellStyle name="40% - Accent1 3 7" xfId="3391" xr:uid="{00000000-0005-0000-0000-0000F10D0000}"/>
    <cellStyle name="40% - Accent1 3 8" xfId="3504" xr:uid="{00000000-0005-0000-0000-0000F20D0000}"/>
    <cellStyle name="40% - Accent1 3 9" xfId="3727" xr:uid="{00000000-0005-0000-0000-0000F30D0000}"/>
    <cellStyle name="40% - Accent1 4" xfId="2053" xr:uid="{00000000-0005-0000-0000-0000F40D0000}"/>
    <cellStyle name="40% - Accent1 4 2" xfId="2054" xr:uid="{00000000-0005-0000-0000-0000F50D0000}"/>
    <cellStyle name="40% - Accent1 4 2 2" xfId="3776" xr:uid="{00000000-0005-0000-0000-0000F60D0000}"/>
    <cellStyle name="40% - Accent1 4 3" xfId="2055" xr:uid="{00000000-0005-0000-0000-0000F70D0000}"/>
    <cellStyle name="40% - Accent1 4 3 2" xfId="3473" xr:uid="{00000000-0005-0000-0000-0000F80D0000}"/>
    <cellStyle name="40% - Accent1 4 4" xfId="3407" xr:uid="{00000000-0005-0000-0000-0000F90D0000}"/>
    <cellStyle name="40% - Accent1 4 5" xfId="3597" xr:uid="{00000000-0005-0000-0000-0000FA0D0000}"/>
    <cellStyle name="40% - Accent1 4 6" xfId="3494" xr:uid="{00000000-0005-0000-0000-0000FB0D0000}"/>
    <cellStyle name="40% - Accent1 4 7" xfId="4035" xr:uid="{00000000-0005-0000-0000-0000FC0D0000}"/>
    <cellStyle name="40% - Accent1 5" xfId="2056" xr:uid="{00000000-0005-0000-0000-0000FD0D0000}"/>
    <cellStyle name="40% - Accent1 5 2" xfId="4013" xr:uid="{00000000-0005-0000-0000-0000FE0D0000}"/>
    <cellStyle name="40% - Accent1 5 3" xfId="3451" xr:uid="{00000000-0005-0000-0000-0000FF0D0000}"/>
    <cellStyle name="40% - Accent1 5 4" xfId="3460" xr:uid="{00000000-0005-0000-0000-0000000E0000}"/>
    <cellStyle name="40% - Accent1 5 5" xfId="3886" xr:uid="{00000000-0005-0000-0000-0000010E0000}"/>
    <cellStyle name="40% - Accent1 5 6" xfId="3562" xr:uid="{00000000-0005-0000-0000-0000020E0000}"/>
    <cellStyle name="40% - Accent1 5 7" xfId="3355" xr:uid="{00000000-0005-0000-0000-0000030E0000}"/>
    <cellStyle name="40% - Accent1 6" xfId="3688" xr:uid="{00000000-0005-0000-0000-0000040E0000}"/>
    <cellStyle name="40% - Accent1 6 2" xfId="4662" xr:uid="{00000000-0005-0000-0000-0000050E0000}"/>
    <cellStyle name="40% - Accent1 6 3" xfId="4663" xr:uid="{00000000-0005-0000-0000-0000060E0000}"/>
    <cellStyle name="40% - Accent1 6 4" xfId="4664" xr:uid="{00000000-0005-0000-0000-0000070E0000}"/>
    <cellStyle name="40% - Accent1 6 5" xfId="4665" xr:uid="{00000000-0005-0000-0000-0000080E0000}"/>
    <cellStyle name="40% - Accent1 6 6" xfId="4666" xr:uid="{00000000-0005-0000-0000-0000090E0000}"/>
    <cellStyle name="40% - Accent1 7" xfId="4667" xr:uid="{00000000-0005-0000-0000-00000A0E0000}"/>
    <cellStyle name="40% - Accent1 7 2" xfId="4668" xr:uid="{00000000-0005-0000-0000-00000B0E0000}"/>
    <cellStyle name="40% - Accent1 7 3" xfId="4669" xr:uid="{00000000-0005-0000-0000-00000C0E0000}"/>
    <cellStyle name="40% - Accent1 7 4" xfId="4670" xr:uid="{00000000-0005-0000-0000-00000D0E0000}"/>
    <cellStyle name="40% - Accent1 7 5" xfId="4671" xr:uid="{00000000-0005-0000-0000-00000E0E0000}"/>
    <cellStyle name="40% - Accent1 7 6" xfId="4672" xr:uid="{00000000-0005-0000-0000-00000F0E0000}"/>
    <cellStyle name="40% - Accent1 7 7" xfId="7911" xr:uid="{00000000-0005-0000-0000-0000100E0000}"/>
    <cellStyle name="40% - Accent1 8" xfId="4673" xr:uid="{00000000-0005-0000-0000-0000110E0000}"/>
    <cellStyle name="40% - Accent1 8 2" xfId="4674" xr:uid="{00000000-0005-0000-0000-0000120E0000}"/>
    <cellStyle name="40% - Accent1 8 3" xfId="4675" xr:uid="{00000000-0005-0000-0000-0000130E0000}"/>
    <cellStyle name="40% - Accent1 8 4" xfId="4676" xr:uid="{00000000-0005-0000-0000-0000140E0000}"/>
    <cellStyle name="40% - Accent1 8 5" xfId="4677" xr:uid="{00000000-0005-0000-0000-0000150E0000}"/>
    <cellStyle name="40% - Accent1 8 6" xfId="4678" xr:uid="{00000000-0005-0000-0000-0000160E0000}"/>
    <cellStyle name="40% - Accent1 9" xfId="4679" xr:uid="{00000000-0005-0000-0000-0000170E0000}"/>
    <cellStyle name="40% - Accent1 9 2" xfId="4680" xr:uid="{00000000-0005-0000-0000-0000180E0000}"/>
    <cellStyle name="40% - Accent1 9 3" xfId="4681" xr:uid="{00000000-0005-0000-0000-0000190E0000}"/>
    <cellStyle name="40% - Accent1 9 4" xfId="4682" xr:uid="{00000000-0005-0000-0000-00001A0E0000}"/>
    <cellStyle name="40% - Accent1 9 5" xfId="4683" xr:uid="{00000000-0005-0000-0000-00001B0E0000}"/>
    <cellStyle name="40% - Accent2" xfId="12132" builtinId="35" customBuiltin="1"/>
    <cellStyle name="40% - Accent2 10" xfId="4684" xr:uid="{00000000-0005-0000-0000-00001D0E0000}"/>
    <cellStyle name="40% - Accent2 11" xfId="4685" xr:uid="{00000000-0005-0000-0000-00001E0E0000}"/>
    <cellStyle name="40% - Accent2 12" xfId="4686" xr:uid="{00000000-0005-0000-0000-00001F0E0000}"/>
    <cellStyle name="40% - Accent2 13" xfId="4687" xr:uid="{00000000-0005-0000-0000-0000200E0000}"/>
    <cellStyle name="40% - Accent2 14" xfId="4688" xr:uid="{00000000-0005-0000-0000-0000210E0000}"/>
    <cellStyle name="40% - Accent2 15" xfId="4689" xr:uid="{00000000-0005-0000-0000-0000220E0000}"/>
    <cellStyle name="40% - Accent2 16" xfId="4690" xr:uid="{00000000-0005-0000-0000-0000230E0000}"/>
    <cellStyle name="40% - Accent2 2" xfId="102" xr:uid="{00000000-0005-0000-0000-0000240E0000}"/>
    <cellStyle name="40% - Accent2 2 10" xfId="4691" xr:uid="{00000000-0005-0000-0000-0000250E0000}"/>
    <cellStyle name="40% - Accent2 2 10 2" xfId="7912" xr:uid="{00000000-0005-0000-0000-0000260E0000}"/>
    <cellStyle name="40% - Accent2 2 11" xfId="4692" xr:uid="{00000000-0005-0000-0000-0000270E0000}"/>
    <cellStyle name="40% - Accent2 2 11 2" xfId="4693" xr:uid="{00000000-0005-0000-0000-0000280E0000}"/>
    <cellStyle name="40% - Accent2 2 11 2 2" xfId="7913" xr:uid="{00000000-0005-0000-0000-0000290E0000}"/>
    <cellStyle name="40% - Accent2 2 11 3" xfId="4694" xr:uid="{00000000-0005-0000-0000-00002A0E0000}"/>
    <cellStyle name="40% - Accent2 2 11 3 2" xfId="7914" xr:uid="{00000000-0005-0000-0000-00002B0E0000}"/>
    <cellStyle name="40% - Accent2 2 11 4" xfId="4695" xr:uid="{00000000-0005-0000-0000-00002C0E0000}"/>
    <cellStyle name="40% - Accent2 2 11 4 2" xfId="7915" xr:uid="{00000000-0005-0000-0000-00002D0E0000}"/>
    <cellStyle name="40% - Accent2 2 11 5" xfId="4696" xr:uid="{00000000-0005-0000-0000-00002E0E0000}"/>
    <cellStyle name="40% - Accent2 2 11 5 2" xfId="7916" xr:uid="{00000000-0005-0000-0000-00002F0E0000}"/>
    <cellStyle name="40% - Accent2 2 12" xfId="4697" xr:uid="{00000000-0005-0000-0000-0000300E0000}"/>
    <cellStyle name="40% - Accent2 2 13" xfId="4698" xr:uid="{00000000-0005-0000-0000-0000310E0000}"/>
    <cellStyle name="40% - Accent2 2 14" xfId="4699" xr:uid="{00000000-0005-0000-0000-0000320E0000}"/>
    <cellStyle name="40% - Accent2 2 15" xfId="4700" xr:uid="{00000000-0005-0000-0000-0000330E0000}"/>
    <cellStyle name="40% - Accent2 2 15 2" xfId="7917" xr:uid="{00000000-0005-0000-0000-0000340E0000}"/>
    <cellStyle name="40% - Accent2 2 16" xfId="4701" xr:uid="{00000000-0005-0000-0000-0000350E0000}"/>
    <cellStyle name="40% - Accent2 2 2" xfId="1441" xr:uid="{00000000-0005-0000-0000-0000360E0000}"/>
    <cellStyle name="40% - Accent2 2 2 10" xfId="7918" xr:uid="{00000000-0005-0000-0000-0000370E0000}"/>
    <cellStyle name="40% - Accent2 2 2 11" xfId="4702" xr:uid="{00000000-0005-0000-0000-0000380E0000}"/>
    <cellStyle name="40% - Accent2 2 2 2" xfId="1442" xr:uid="{00000000-0005-0000-0000-0000390E0000}"/>
    <cellStyle name="40% - Accent2 2 2 2 2" xfId="7919" xr:uid="{00000000-0005-0000-0000-00003A0E0000}"/>
    <cellStyle name="40% - Accent2 2 2 2 3" xfId="4703" xr:uid="{00000000-0005-0000-0000-00003B0E0000}"/>
    <cellStyle name="40% - Accent2 2 2 3" xfId="1443" xr:uid="{00000000-0005-0000-0000-00003C0E0000}"/>
    <cellStyle name="40% - Accent2 2 2 3 2" xfId="7920" xr:uid="{00000000-0005-0000-0000-00003D0E0000}"/>
    <cellStyle name="40% - Accent2 2 2 3 3" xfId="4704" xr:uid="{00000000-0005-0000-0000-00003E0E0000}"/>
    <cellStyle name="40% - Accent2 2 2 4" xfId="2057" xr:uid="{00000000-0005-0000-0000-00003F0E0000}"/>
    <cellStyle name="40% - Accent2 2 2 4 2" xfId="7921" xr:uid="{00000000-0005-0000-0000-0000400E0000}"/>
    <cellStyle name="40% - Accent2 2 2 4 3" xfId="4705" xr:uid="{00000000-0005-0000-0000-0000410E0000}"/>
    <cellStyle name="40% - Accent2 2 2 5" xfId="4706" xr:uid="{00000000-0005-0000-0000-0000420E0000}"/>
    <cellStyle name="40% - Accent2 2 2 5 2" xfId="7922" xr:uid="{00000000-0005-0000-0000-0000430E0000}"/>
    <cellStyle name="40% - Accent2 2 2 6" xfId="4707" xr:uid="{00000000-0005-0000-0000-0000440E0000}"/>
    <cellStyle name="40% - Accent2 2 2 6 2" xfId="7923" xr:uid="{00000000-0005-0000-0000-0000450E0000}"/>
    <cellStyle name="40% - Accent2 2 2 7" xfId="4708" xr:uid="{00000000-0005-0000-0000-0000460E0000}"/>
    <cellStyle name="40% - Accent2 2 2 7 2" xfId="7924" xr:uid="{00000000-0005-0000-0000-0000470E0000}"/>
    <cellStyle name="40% - Accent2 2 2 8" xfId="4709" xr:uid="{00000000-0005-0000-0000-0000480E0000}"/>
    <cellStyle name="40% - Accent2 2 2 8 2" xfId="7925" xr:uid="{00000000-0005-0000-0000-0000490E0000}"/>
    <cellStyle name="40% - Accent2 2 2 9" xfId="4710" xr:uid="{00000000-0005-0000-0000-00004A0E0000}"/>
    <cellStyle name="40% - Accent2 2 2 9 2" xfId="7926" xr:uid="{00000000-0005-0000-0000-00004B0E0000}"/>
    <cellStyle name="40% - Accent2 2 3" xfId="1444" xr:uid="{00000000-0005-0000-0000-00004C0E0000}"/>
    <cellStyle name="40% - Accent2 2 3 10" xfId="7927" xr:uid="{00000000-0005-0000-0000-00004D0E0000}"/>
    <cellStyle name="40% - Accent2 2 3 2" xfId="2058" xr:uid="{00000000-0005-0000-0000-00004E0E0000}"/>
    <cellStyle name="40% - Accent2 2 3 2 2" xfId="7928" xr:uid="{00000000-0005-0000-0000-00004F0E0000}"/>
    <cellStyle name="40% - Accent2 2 3 3" xfId="2059" xr:uid="{00000000-0005-0000-0000-0000500E0000}"/>
    <cellStyle name="40% - Accent2 2 3 3 2" xfId="7929" xr:uid="{00000000-0005-0000-0000-0000510E0000}"/>
    <cellStyle name="40% - Accent2 2 3 4" xfId="2060" xr:uid="{00000000-0005-0000-0000-0000520E0000}"/>
    <cellStyle name="40% - Accent2 2 3 4 2" xfId="7930" xr:uid="{00000000-0005-0000-0000-0000530E0000}"/>
    <cellStyle name="40% - Accent2 2 3 4 3" xfId="4711" xr:uid="{00000000-0005-0000-0000-0000540E0000}"/>
    <cellStyle name="40% - Accent2 2 3 5" xfId="4712" xr:uid="{00000000-0005-0000-0000-0000550E0000}"/>
    <cellStyle name="40% - Accent2 2 3 5 2" xfId="7931" xr:uid="{00000000-0005-0000-0000-0000560E0000}"/>
    <cellStyle name="40% - Accent2 2 3 6" xfId="4713" xr:uid="{00000000-0005-0000-0000-0000570E0000}"/>
    <cellStyle name="40% - Accent2 2 3 6 2" xfId="7932" xr:uid="{00000000-0005-0000-0000-0000580E0000}"/>
    <cellStyle name="40% - Accent2 2 3 7" xfId="4714" xr:uid="{00000000-0005-0000-0000-0000590E0000}"/>
    <cellStyle name="40% - Accent2 2 3 7 2" xfId="7933" xr:uid="{00000000-0005-0000-0000-00005A0E0000}"/>
    <cellStyle name="40% - Accent2 2 3 8" xfId="4715" xr:uid="{00000000-0005-0000-0000-00005B0E0000}"/>
    <cellStyle name="40% - Accent2 2 3 8 2" xfId="7934" xr:uid="{00000000-0005-0000-0000-00005C0E0000}"/>
    <cellStyle name="40% - Accent2 2 3 9" xfId="4716" xr:uid="{00000000-0005-0000-0000-00005D0E0000}"/>
    <cellStyle name="40% - Accent2 2 3 9 2" xfId="7935" xr:uid="{00000000-0005-0000-0000-00005E0E0000}"/>
    <cellStyle name="40% - Accent2 2 4" xfId="2061" xr:uid="{00000000-0005-0000-0000-00005F0E0000}"/>
    <cellStyle name="40% - Accent2 2 4 10" xfId="7936" xr:uid="{00000000-0005-0000-0000-0000600E0000}"/>
    <cellStyle name="40% - Accent2 2 4 2" xfId="2062" xr:uid="{00000000-0005-0000-0000-0000610E0000}"/>
    <cellStyle name="40% - Accent2 2 4 2 2" xfId="7937" xr:uid="{00000000-0005-0000-0000-0000620E0000}"/>
    <cellStyle name="40% - Accent2 2 4 3" xfId="4717" xr:uid="{00000000-0005-0000-0000-0000630E0000}"/>
    <cellStyle name="40% - Accent2 2 4 3 2" xfId="7938" xr:uid="{00000000-0005-0000-0000-0000640E0000}"/>
    <cellStyle name="40% - Accent2 2 4 4" xfId="4718" xr:uid="{00000000-0005-0000-0000-0000650E0000}"/>
    <cellStyle name="40% - Accent2 2 4 4 2" xfId="7939" xr:uid="{00000000-0005-0000-0000-0000660E0000}"/>
    <cellStyle name="40% - Accent2 2 4 5" xfId="4719" xr:uid="{00000000-0005-0000-0000-0000670E0000}"/>
    <cellStyle name="40% - Accent2 2 4 5 2" xfId="7940" xr:uid="{00000000-0005-0000-0000-0000680E0000}"/>
    <cellStyle name="40% - Accent2 2 4 6" xfId="4720" xr:uid="{00000000-0005-0000-0000-0000690E0000}"/>
    <cellStyle name="40% - Accent2 2 4 6 2" xfId="7941" xr:uid="{00000000-0005-0000-0000-00006A0E0000}"/>
    <cellStyle name="40% - Accent2 2 4 7" xfId="4721" xr:uid="{00000000-0005-0000-0000-00006B0E0000}"/>
    <cellStyle name="40% - Accent2 2 4 7 2" xfId="7942" xr:uid="{00000000-0005-0000-0000-00006C0E0000}"/>
    <cellStyle name="40% - Accent2 2 4 8" xfId="4722" xr:uid="{00000000-0005-0000-0000-00006D0E0000}"/>
    <cellStyle name="40% - Accent2 2 4 8 2" xfId="7943" xr:uid="{00000000-0005-0000-0000-00006E0E0000}"/>
    <cellStyle name="40% - Accent2 2 4 9" xfId="4723" xr:uid="{00000000-0005-0000-0000-00006F0E0000}"/>
    <cellStyle name="40% - Accent2 2 4 9 2" xfId="7944" xr:uid="{00000000-0005-0000-0000-0000700E0000}"/>
    <cellStyle name="40% - Accent2 2 5" xfId="2063" xr:uid="{00000000-0005-0000-0000-0000710E0000}"/>
    <cellStyle name="40% - Accent2 2 5 2" xfId="4724" xr:uid="{00000000-0005-0000-0000-0000720E0000}"/>
    <cellStyle name="40% - Accent2 2 5 2 2" xfId="7946" xr:uid="{00000000-0005-0000-0000-0000730E0000}"/>
    <cellStyle name="40% - Accent2 2 5 3" xfId="4725" xr:uid="{00000000-0005-0000-0000-0000740E0000}"/>
    <cellStyle name="40% - Accent2 2 5 3 2" xfId="7947" xr:uid="{00000000-0005-0000-0000-0000750E0000}"/>
    <cellStyle name="40% - Accent2 2 5 4" xfId="4726" xr:uid="{00000000-0005-0000-0000-0000760E0000}"/>
    <cellStyle name="40% - Accent2 2 5 4 2" xfId="7948" xr:uid="{00000000-0005-0000-0000-0000770E0000}"/>
    <cellStyle name="40% - Accent2 2 5 5" xfId="4727" xr:uid="{00000000-0005-0000-0000-0000780E0000}"/>
    <cellStyle name="40% - Accent2 2 5 5 2" xfId="7949" xr:uid="{00000000-0005-0000-0000-0000790E0000}"/>
    <cellStyle name="40% - Accent2 2 5 6" xfId="7945" xr:uid="{00000000-0005-0000-0000-00007A0E0000}"/>
    <cellStyle name="40% - Accent2 2 6" xfId="2064" xr:uid="{00000000-0005-0000-0000-00007B0E0000}"/>
    <cellStyle name="40% - Accent2 2 6 2" xfId="4728" xr:uid="{00000000-0005-0000-0000-00007C0E0000}"/>
    <cellStyle name="40% - Accent2 2 6 2 2" xfId="7951" xr:uid="{00000000-0005-0000-0000-00007D0E0000}"/>
    <cellStyle name="40% - Accent2 2 6 3" xfId="4729" xr:uid="{00000000-0005-0000-0000-00007E0E0000}"/>
    <cellStyle name="40% - Accent2 2 6 3 2" xfId="7952" xr:uid="{00000000-0005-0000-0000-00007F0E0000}"/>
    <cellStyle name="40% - Accent2 2 6 4" xfId="4730" xr:uid="{00000000-0005-0000-0000-0000800E0000}"/>
    <cellStyle name="40% - Accent2 2 6 4 2" xfId="7953" xr:uid="{00000000-0005-0000-0000-0000810E0000}"/>
    <cellStyle name="40% - Accent2 2 6 5" xfId="4731" xr:uid="{00000000-0005-0000-0000-0000820E0000}"/>
    <cellStyle name="40% - Accent2 2 6 5 2" xfId="7954" xr:uid="{00000000-0005-0000-0000-0000830E0000}"/>
    <cellStyle name="40% - Accent2 2 6 6" xfId="7950" xr:uid="{00000000-0005-0000-0000-0000840E0000}"/>
    <cellStyle name="40% - Accent2 2 7" xfId="2065" xr:uid="{00000000-0005-0000-0000-0000850E0000}"/>
    <cellStyle name="40% - Accent2 2 7 2" xfId="7955" xr:uid="{00000000-0005-0000-0000-0000860E0000}"/>
    <cellStyle name="40% - Accent2 2 7 3" xfId="4732" xr:uid="{00000000-0005-0000-0000-0000870E0000}"/>
    <cellStyle name="40% - Accent2 2 8" xfId="2066" xr:uid="{00000000-0005-0000-0000-0000880E0000}"/>
    <cellStyle name="40% - Accent2 2 8 2" xfId="7956" xr:uid="{00000000-0005-0000-0000-0000890E0000}"/>
    <cellStyle name="40% - Accent2 2 8 3" xfId="4733" xr:uid="{00000000-0005-0000-0000-00008A0E0000}"/>
    <cellStyle name="40% - Accent2 2 9" xfId="4734" xr:uid="{00000000-0005-0000-0000-00008B0E0000}"/>
    <cellStyle name="40% - Accent2 2 9 2" xfId="7957" xr:uid="{00000000-0005-0000-0000-00008C0E0000}"/>
    <cellStyle name="40% - Accent2 3" xfId="219" xr:uid="{00000000-0005-0000-0000-00008D0E0000}"/>
    <cellStyle name="40% - Accent2 3 10" xfId="4736" xr:uid="{00000000-0005-0000-0000-00008E0E0000}"/>
    <cellStyle name="40% - Accent2 3 11" xfId="4735" xr:uid="{00000000-0005-0000-0000-00008F0E0000}"/>
    <cellStyle name="40% - Accent2 3 2" xfId="2067" xr:uid="{00000000-0005-0000-0000-0000900E0000}"/>
    <cellStyle name="40% - Accent2 3 2 2" xfId="7958" xr:uid="{00000000-0005-0000-0000-0000910E0000}"/>
    <cellStyle name="40% - Accent2 3 2 3" xfId="4737" xr:uid="{00000000-0005-0000-0000-0000920E0000}"/>
    <cellStyle name="40% - Accent2 3 3" xfId="2068" xr:uid="{00000000-0005-0000-0000-0000930E0000}"/>
    <cellStyle name="40% - Accent2 3 3 2" xfId="7959" xr:uid="{00000000-0005-0000-0000-0000940E0000}"/>
    <cellStyle name="40% - Accent2 3 4" xfId="4738" xr:uid="{00000000-0005-0000-0000-0000950E0000}"/>
    <cellStyle name="40% - Accent2 3 4 2" xfId="7960" xr:uid="{00000000-0005-0000-0000-0000960E0000}"/>
    <cellStyle name="40% - Accent2 3 5" xfId="4739" xr:uid="{00000000-0005-0000-0000-0000970E0000}"/>
    <cellStyle name="40% - Accent2 3 5 2" xfId="7961" xr:uid="{00000000-0005-0000-0000-0000980E0000}"/>
    <cellStyle name="40% - Accent2 3 6" xfId="4740" xr:uid="{00000000-0005-0000-0000-0000990E0000}"/>
    <cellStyle name="40% - Accent2 3 6 2" xfId="4741" xr:uid="{00000000-0005-0000-0000-00009A0E0000}"/>
    <cellStyle name="40% - Accent2 3 6 2 2" xfId="7962" xr:uid="{00000000-0005-0000-0000-00009B0E0000}"/>
    <cellStyle name="40% - Accent2 3 6 3" xfId="4742" xr:uid="{00000000-0005-0000-0000-00009C0E0000}"/>
    <cellStyle name="40% - Accent2 3 6 3 2" xfId="7963" xr:uid="{00000000-0005-0000-0000-00009D0E0000}"/>
    <cellStyle name="40% - Accent2 3 6 4" xfId="4743" xr:uid="{00000000-0005-0000-0000-00009E0E0000}"/>
    <cellStyle name="40% - Accent2 3 6 4 2" xfId="7964" xr:uid="{00000000-0005-0000-0000-00009F0E0000}"/>
    <cellStyle name="40% - Accent2 3 6 5" xfId="4744" xr:uid="{00000000-0005-0000-0000-0000A00E0000}"/>
    <cellStyle name="40% - Accent2 3 6 5 2" xfId="7965" xr:uid="{00000000-0005-0000-0000-0000A10E0000}"/>
    <cellStyle name="40% - Accent2 3 7" xfId="4745" xr:uid="{00000000-0005-0000-0000-0000A20E0000}"/>
    <cellStyle name="40% - Accent2 3 8" xfId="4746" xr:uid="{00000000-0005-0000-0000-0000A30E0000}"/>
    <cellStyle name="40% - Accent2 3 9" xfId="4747" xr:uid="{00000000-0005-0000-0000-0000A40E0000}"/>
    <cellStyle name="40% - Accent2 4" xfId="2069" xr:uid="{00000000-0005-0000-0000-0000A50E0000}"/>
    <cellStyle name="40% - Accent2 4 10" xfId="4749" xr:uid="{00000000-0005-0000-0000-0000A60E0000}"/>
    <cellStyle name="40% - Accent2 4 11" xfId="4748" xr:uid="{00000000-0005-0000-0000-0000A70E0000}"/>
    <cellStyle name="40% - Accent2 4 2" xfId="2070" xr:uid="{00000000-0005-0000-0000-0000A80E0000}"/>
    <cellStyle name="40% - Accent2 4 2 2" xfId="4751" xr:uid="{00000000-0005-0000-0000-0000A90E0000}"/>
    <cellStyle name="40% - Accent2 4 2 2 2" xfId="7966" xr:uid="{00000000-0005-0000-0000-0000AA0E0000}"/>
    <cellStyle name="40% - Accent2 4 2 3" xfId="4752" xr:uid="{00000000-0005-0000-0000-0000AB0E0000}"/>
    <cellStyle name="40% - Accent2 4 2 3 2" xfId="7967" xr:uid="{00000000-0005-0000-0000-0000AC0E0000}"/>
    <cellStyle name="40% - Accent2 4 2 4" xfId="4753" xr:uid="{00000000-0005-0000-0000-0000AD0E0000}"/>
    <cellStyle name="40% - Accent2 4 2 4 2" xfId="7968" xr:uid="{00000000-0005-0000-0000-0000AE0E0000}"/>
    <cellStyle name="40% - Accent2 4 2 5" xfId="4754" xr:uid="{00000000-0005-0000-0000-0000AF0E0000}"/>
    <cellStyle name="40% - Accent2 4 2 5 2" xfId="7969" xr:uid="{00000000-0005-0000-0000-0000B00E0000}"/>
    <cellStyle name="40% - Accent2 4 2 6" xfId="4750" xr:uid="{00000000-0005-0000-0000-0000B10E0000}"/>
    <cellStyle name="40% - Accent2 4 3" xfId="2071" xr:uid="{00000000-0005-0000-0000-0000B20E0000}"/>
    <cellStyle name="40% - Accent2 4 3 2" xfId="7970" xr:uid="{00000000-0005-0000-0000-0000B30E0000}"/>
    <cellStyle name="40% - Accent2 4 4" xfId="4755" xr:uid="{00000000-0005-0000-0000-0000B40E0000}"/>
    <cellStyle name="40% - Accent2 4 4 2" xfId="7971" xr:uid="{00000000-0005-0000-0000-0000B50E0000}"/>
    <cellStyle name="40% - Accent2 4 5" xfId="4756" xr:uid="{00000000-0005-0000-0000-0000B60E0000}"/>
    <cellStyle name="40% - Accent2 4 5 2" xfId="7972" xr:uid="{00000000-0005-0000-0000-0000B70E0000}"/>
    <cellStyle name="40% - Accent2 4 6" xfId="4757" xr:uid="{00000000-0005-0000-0000-0000B80E0000}"/>
    <cellStyle name="40% - Accent2 4 6 2" xfId="7973" xr:uid="{00000000-0005-0000-0000-0000B90E0000}"/>
    <cellStyle name="40% - Accent2 4 7" xfId="4758" xr:uid="{00000000-0005-0000-0000-0000BA0E0000}"/>
    <cellStyle name="40% - Accent2 4 8" xfId="4759" xr:uid="{00000000-0005-0000-0000-0000BB0E0000}"/>
    <cellStyle name="40% - Accent2 4 9" xfId="4760" xr:uid="{00000000-0005-0000-0000-0000BC0E0000}"/>
    <cellStyle name="40% - Accent2 5" xfId="2072" xr:uid="{00000000-0005-0000-0000-0000BD0E0000}"/>
    <cellStyle name="40% - Accent2 5 2" xfId="4762" xr:uid="{00000000-0005-0000-0000-0000BE0E0000}"/>
    <cellStyle name="40% - Accent2 5 3" xfId="4763" xr:uid="{00000000-0005-0000-0000-0000BF0E0000}"/>
    <cellStyle name="40% - Accent2 5 4" xfId="4764" xr:uid="{00000000-0005-0000-0000-0000C00E0000}"/>
    <cellStyle name="40% - Accent2 5 5" xfId="4765" xr:uid="{00000000-0005-0000-0000-0000C10E0000}"/>
    <cellStyle name="40% - Accent2 5 6" xfId="4766" xr:uid="{00000000-0005-0000-0000-0000C20E0000}"/>
    <cellStyle name="40% - Accent2 5 7" xfId="4761" xr:uid="{00000000-0005-0000-0000-0000C30E0000}"/>
    <cellStyle name="40% - Accent2 6" xfId="4767" xr:uid="{00000000-0005-0000-0000-0000C40E0000}"/>
    <cellStyle name="40% - Accent2 6 2" xfId="4768" xr:uid="{00000000-0005-0000-0000-0000C50E0000}"/>
    <cellStyle name="40% - Accent2 6 3" xfId="4769" xr:uid="{00000000-0005-0000-0000-0000C60E0000}"/>
    <cellStyle name="40% - Accent2 6 4" xfId="4770" xr:uid="{00000000-0005-0000-0000-0000C70E0000}"/>
    <cellStyle name="40% - Accent2 6 5" xfId="4771" xr:uid="{00000000-0005-0000-0000-0000C80E0000}"/>
    <cellStyle name="40% - Accent2 6 6" xfId="4772" xr:uid="{00000000-0005-0000-0000-0000C90E0000}"/>
    <cellStyle name="40% - Accent2 7" xfId="4773" xr:uid="{00000000-0005-0000-0000-0000CA0E0000}"/>
    <cellStyle name="40% - Accent2 7 2" xfId="4774" xr:uid="{00000000-0005-0000-0000-0000CB0E0000}"/>
    <cellStyle name="40% - Accent2 7 3" xfId="4775" xr:uid="{00000000-0005-0000-0000-0000CC0E0000}"/>
    <cellStyle name="40% - Accent2 7 4" xfId="4776" xr:uid="{00000000-0005-0000-0000-0000CD0E0000}"/>
    <cellStyle name="40% - Accent2 7 5" xfId="4777" xr:uid="{00000000-0005-0000-0000-0000CE0E0000}"/>
    <cellStyle name="40% - Accent2 7 6" xfId="4778" xr:uid="{00000000-0005-0000-0000-0000CF0E0000}"/>
    <cellStyle name="40% - Accent2 7 7" xfId="7974" xr:uid="{00000000-0005-0000-0000-0000D00E0000}"/>
    <cellStyle name="40% - Accent2 8" xfId="4779" xr:uid="{00000000-0005-0000-0000-0000D10E0000}"/>
    <cellStyle name="40% - Accent2 8 2" xfId="4780" xr:uid="{00000000-0005-0000-0000-0000D20E0000}"/>
    <cellStyle name="40% - Accent2 9" xfId="4781" xr:uid="{00000000-0005-0000-0000-0000D30E0000}"/>
    <cellStyle name="40% - Accent3" xfId="12136" builtinId="39" customBuiltin="1"/>
    <cellStyle name="40% - Accent3 10" xfId="4782" xr:uid="{00000000-0005-0000-0000-0000D50E0000}"/>
    <cellStyle name="40% - Accent3 10 2" xfId="4783" xr:uid="{00000000-0005-0000-0000-0000D60E0000}"/>
    <cellStyle name="40% - Accent3 10 3" xfId="4784" xr:uid="{00000000-0005-0000-0000-0000D70E0000}"/>
    <cellStyle name="40% - Accent3 10 4" xfId="4785" xr:uid="{00000000-0005-0000-0000-0000D80E0000}"/>
    <cellStyle name="40% - Accent3 10 5" xfId="4786" xr:uid="{00000000-0005-0000-0000-0000D90E0000}"/>
    <cellStyle name="40% - Accent3 11" xfId="4787" xr:uid="{00000000-0005-0000-0000-0000DA0E0000}"/>
    <cellStyle name="40% - Accent3 11 2" xfId="4788" xr:uid="{00000000-0005-0000-0000-0000DB0E0000}"/>
    <cellStyle name="40% - Accent3 11 3" xfId="4789" xr:uid="{00000000-0005-0000-0000-0000DC0E0000}"/>
    <cellStyle name="40% - Accent3 11 4" xfId="4790" xr:uid="{00000000-0005-0000-0000-0000DD0E0000}"/>
    <cellStyle name="40% - Accent3 11 5" xfId="4791" xr:uid="{00000000-0005-0000-0000-0000DE0E0000}"/>
    <cellStyle name="40% - Accent3 12" xfId="4792" xr:uid="{00000000-0005-0000-0000-0000DF0E0000}"/>
    <cellStyle name="40% - Accent3 12 2" xfId="4793" xr:uid="{00000000-0005-0000-0000-0000E00E0000}"/>
    <cellStyle name="40% - Accent3 12 3" xfId="4794" xr:uid="{00000000-0005-0000-0000-0000E10E0000}"/>
    <cellStyle name="40% - Accent3 12 4" xfId="4795" xr:uid="{00000000-0005-0000-0000-0000E20E0000}"/>
    <cellStyle name="40% - Accent3 12 5" xfId="4796" xr:uid="{00000000-0005-0000-0000-0000E30E0000}"/>
    <cellStyle name="40% - Accent3 13" xfId="4797" xr:uid="{00000000-0005-0000-0000-0000E40E0000}"/>
    <cellStyle name="40% - Accent3 14" xfId="4798" xr:uid="{00000000-0005-0000-0000-0000E50E0000}"/>
    <cellStyle name="40% - Accent3 15" xfId="4799" xr:uid="{00000000-0005-0000-0000-0000E60E0000}"/>
    <cellStyle name="40% - Accent3 16" xfId="4800" xr:uid="{00000000-0005-0000-0000-0000E70E0000}"/>
    <cellStyle name="40% - Accent3 17" xfId="4801" xr:uid="{00000000-0005-0000-0000-0000E80E0000}"/>
    <cellStyle name="40% - Accent3 18" xfId="4802" xr:uid="{00000000-0005-0000-0000-0000E90E0000}"/>
    <cellStyle name="40% - Accent3 19" xfId="4803" xr:uid="{00000000-0005-0000-0000-0000EA0E0000}"/>
    <cellStyle name="40% - Accent3 2" xfId="103" xr:uid="{00000000-0005-0000-0000-0000EB0E0000}"/>
    <cellStyle name="40% - Accent3 2 10" xfId="4805" xr:uid="{00000000-0005-0000-0000-0000EC0E0000}"/>
    <cellStyle name="40% - Accent3 2 10 2" xfId="7975" xr:uid="{00000000-0005-0000-0000-0000ED0E0000}"/>
    <cellStyle name="40% - Accent3 2 11" xfId="4806" xr:uid="{00000000-0005-0000-0000-0000EE0E0000}"/>
    <cellStyle name="40% - Accent3 2 11 2" xfId="4807" xr:uid="{00000000-0005-0000-0000-0000EF0E0000}"/>
    <cellStyle name="40% - Accent3 2 11 2 2" xfId="7976" xr:uid="{00000000-0005-0000-0000-0000F00E0000}"/>
    <cellStyle name="40% - Accent3 2 11 3" xfId="4808" xr:uid="{00000000-0005-0000-0000-0000F10E0000}"/>
    <cellStyle name="40% - Accent3 2 11 3 2" xfId="7977" xr:uid="{00000000-0005-0000-0000-0000F20E0000}"/>
    <cellStyle name="40% - Accent3 2 11 4" xfId="4809" xr:uid="{00000000-0005-0000-0000-0000F30E0000}"/>
    <cellStyle name="40% - Accent3 2 11 4 2" xfId="7978" xr:uid="{00000000-0005-0000-0000-0000F40E0000}"/>
    <cellStyle name="40% - Accent3 2 11 5" xfId="4810" xr:uid="{00000000-0005-0000-0000-0000F50E0000}"/>
    <cellStyle name="40% - Accent3 2 11 5 2" xfId="7979" xr:uid="{00000000-0005-0000-0000-0000F60E0000}"/>
    <cellStyle name="40% - Accent3 2 12" xfId="4811" xr:uid="{00000000-0005-0000-0000-0000F70E0000}"/>
    <cellStyle name="40% - Accent3 2 13" xfId="4812" xr:uid="{00000000-0005-0000-0000-0000F80E0000}"/>
    <cellStyle name="40% - Accent3 2 14" xfId="4813" xr:uid="{00000000-0005-0000-0000-0000F90E0000}"/>
    <cellStyle name="40% - Accent3 2 15" xfId="4814" xr:uid="{00000000-0005-0000-0000-0000FA0E0000}"/>
    <cellStyle name="40% - Accent3 2 15 2" xfId="7980" xr:uid="{00000000-0005-0000-0000-0000FB0E0000}"/>
    <cellStyle name="40% - Accent3 2 16" xfId="4815" xr:uid="{00000000-0005-0000-0000-0000FC0E0000}"/>
    <cellStyle name="40% - Accent3 2 17" xfId="4804" xr:uid="{00000000-0005-0000-0000-0000FD0E0000}"/>
    <cellStyle name="40% - Accent3 2 2" xfId="1445" xr:uid="{00000000-0005-0000-0000-0000FE0E0000}"/>
    <cellStyle name="40% - Accent3 2 2 10" xfId="7981" xr:uid="{00000000-0005-0000-0000-0000FF0E0000}"/>
    <cellStyle name="40% - Accent3 2 2 11" xfId="4816" xr:uid="{00000000-0005-0000-0000-0000000F0000}"/>
    <cellStyle name="40% - Accent3 2 2 2" xfId="1446" xr:uid="{00000000-0005-0000-0000-0000010F0000}"/>
    <cellStyle name="40% - Accent3 2 2 2 2" xfId="7982" xr:uid="{00000000-0005-0000-0000-0000020F0000}"/>
    <cellStyle name="40% - Accent3 2 2 2 3" xfId="4817" xr:uid="{00000000-0005-0000-0000-0000030F0000}"/>
    <cellStyle name="40% - Accent3 2 2 3" xfId="1447" xr:uid="{00000000-0005-0000-0000-0000040F0000}"/>
    <cellStyle name="40% - Accent3 2 2 3 2" xfId="7983" xr:uid="{00000000-0005-0000-0000-0000050F0000}"/>
    <cellStyle name="40% - Accent3 2 2 3 3" xfId="4818" xr:uid="{00000000-0005-0000-0000-0000060F0000}"/>
    <cellStyle name="40% - Accent3 2 2 4" xfId="2073" xr:uid="{00000000-0005-0000-0000-0000070F0000}"/>
    <cellStyle name="40% - Accent3 2 2 4 2" xfId="7984" xr:uid="{00000000-0005-0000-0000-0000080F0000}"/>
    <cellStyle name="40% - Accent3 2 2 4 3" xfId="4819" xr:uid="{00000000-0005-0000-0000-0000090F0000}"/>
    <cellStyle name="40% - Accent3 2 2 5" xfId="4820" xr:uid="{00000000-0005-0000-0000-00000A0F0000}"/>
    <cellStyle name="40% - Accent3 2 2 5 2" xfId="7985" xr:uid="{00000000-0005-0000-0000-00000B0F0000}"/>
    <cellStyle name="40% - Accent3 2 2 6" xfId="4821" xr:uid="{00000000-0005-0000-0000-00000C0F0000}"/>
    <cellStyle name="40% - Accent3 2 2 6 2" xfId="7986" xr:uid="{00000000-0005-0000-0000-00000D0F0000}"/>
    <cellStyle name="40% - Accent3 2 2 7" xfId="4822" xr:uid="{00000000-0005-0000-0000-00000E0F0000}"/>
    <cellStyle name="40% - Accent3 2 2 7 2" xfId="7987" xr:uid="{00000000-0005-0000-0000-00000F0F0000}"/>
    <cellStyle name="40% - Accent3 2 2 8" xfId="4823" xr:uid="{00000000-0005-0000-0000-0000100F0000}"/>
    <cellStyle name="40% - Accent3 2 2 8 2" xfId="7988" xr:uid="{00000000-0005-0000-0000-0000110F0000}"/>
    <cellStyle name="40% - Accent3 2 2 9" xfId="4824" xr:uid="{00000000-0005-0000-0000-0000120F0000}"/>
    <cellStyle name="40% - Accent3 2 2 9 2" xfId="7989" xr:uid="{00000000-0005-0000-0000-0000130F0000}"/>
    <cellStyle name="40% - Accent3 2 3" xfId="1448" xr:uid="{00000000-0005-0000-0000-0000140F0000}"/>
    <cellStyle name="40% - Accent3 2 3 10" xfId="7990" xr:uid="{00000000-0005-0000-0000-0000150F0000}"/>
    <cellStyle name="40% - Accent3 2 3 2" xfId="2074" xr:uid="{00000000-0005-0000-0000-0000160F0000}"/>
    <cellStyle name="40% - Accent3 2 3 2 2" xfId="7991" xr:uid="{00000000-0005-0000-0000-0000170F0000}"/>
    <cellStyle name="40% - Accent3 2 3 3" xfId="2075" xr:uid="{00000000-0005-0000-0000-0000180F0000}"/>
    <cellStyle name="40% - Accent3 2 3 3 2" xfId="7992" xr:uid="{00000000-0005-0000-0000-0000190F0000}"/>
    <cellStyle name="40% - Accent3 2 3 4" xfId="2076" xr:uid="{00000000-0005-0000-0000-00001A0F0000}"/>
    <cellStyle name="40% - Accent3 2 3 4 2" xfId="7993" xr:uid="{00000000-0005-0000-0000-00001B0F0000}"/>
    <cellStyle name="40% - Accent3 2 3 4 3" xfId="4825" xr:uid="{00000000-0005-0000-0000-00001C0F0000}"/>
    <cellStyle name="40% - Accent3 2 3 5" xfId="4826" xr:uid="{00000000-0005-0000-0000-00001D0F0000}"/>
    <cellStyle name="40% - Accent3 2 3 5 2" xfId="7994" xr:uid="{00000000-0005-0000-0000-00001E0F0000}"/>
    <cellStyle name="40% - Accent3 2 3 6" xfId="4827" xr:uid="{00000000-0005-0000-0000-00001F0F0000}"/>
    <cellStyle name="40% - Accent3 2 3 6 2" xfId="7995" xr:uid="{00000000-0005-0000-0000-0000200F0000}"/>
    <cellStyle name="40% - Accent3 2 3 7" xfId="4828" xr:uid="{00000000-0005-0000-0000-0000210F0000}"/>
    <cellStyle name="40% - Accent3 2 3 7 2" xfId="7996" xr:uid="{00000000-0005-0000-0000-0000220F0000}"/>
    <cellStyle name="40% - Accent3 2 3 8" xfId="4829" xr:uid="{00000000-0005-0000-0000-0000230F0000}"/>
    <cellStyle name="40% - Accent3 2 3 8 2" xfId="7997" xr:uid="{00000000-0005-0000-0000-0000240F0000}"/>
    <cellStyle name="40% - Accent3 2 3 9" xfId="4830" xr:uid="{00000000-0005-0000-0000-0000250F0000}"/>
    <cellStyle name="40% - Accent3 2 3 9 2" xfId="7998" xr:uid="{00000000-0005-0000-0000-0000260F0000}"/>
    <cellStyle name="40% - Accent3 2 4" xfId="2077" xr:uid="{00000000-0005-0000-0000-0000270F0000}"/>
    <cellStyle name="40% - Accent3 2 4 10" xfId="7999" xr:uid="{00000000-0005-0000-0000-0000280F0000}"/>
    <cellStyle name="40% - Accent3 2 4 2" xfId="2078" xr:uid="{00000000-0005-0000-0000-0000290F0000}"/>
    <cellStyle name="40% - Accent3 2 4 2 2" xfId="8000" xr:uid="{00000000-0005-0000-0000-00002A0F0000}"/>
    <cellStyle name="40% - Accent3 2 4 3" xfId="4831" xr:uid="{00000000-0005-0000-0000-00002B0F0000}"/>
    <cellStyle name="40% - Accent3 2 4 3 2" xfId="8001" xr:uid="{00000000-0005-0000-0000-00002C0F0000}"/>
    <cellStyle name="40% - Accent3 2 4 4" xfId="4832" xr:uid="{00000000-0005-0000-0000-00002D0F0000}"/>
    <cellStyle name="40% - Accent3 2 4 4 2" xfId="8002" xr:uid="{00000000-0005-0000-0000-00002E0F0000}"/>
    <cellStyle name="40% - Accent3 2 4 5" xfId="4833" xr:uid="{00000000-0005-0000-0000-00002F0F0000}"/>
    <cellStyle name="40% - Accent3 2 4 5 2" xfId="8003" xr:uid="{00000000-0005-0000-0000-0000300F0000}"/>
    <cellStyle name="40% - Accent3 2 4 6" xfId="4834" xr:uid="{00000000-0005-0000-0000-0000310F0000}"/>
    <cellStyle name="40% - Accent3 2 4 6 2" xfId="8004" xr:uid="{00000000-0005-0000-0000-0000320F0000}"/>
    <cellStyle name="40% - Accent3 2 4 7" xfId="4835" xr:uid="{00000000-0005-0000-0000-0000330F0000}"/>
    <cellStyle name="40% - Accent3 2 4 7 2" xfId="8005" xr:uid="{00000000-0005-0000-0000-0000340F0000}"/>
    <cellStyle name="40% - Accent3 2 4 8" xfId="4836" xr:uid="{00000000-0005-0000-0000-0000350F0000}"/>
    <cellStyle name="40% - Accent3 2 4 8 2" xfId="8006" xr:uid="{00000000-0005-0000-0000-0000360F0000}"/>
    <cellStyle name="40% - Accent3 2 4 9" xfId="4837" xr:uid="{00000000-0005-0000-0000-0000370F0000}"/>
    <cellStyle name="40% - Accent3 2 4 9 2" xfId="8007" xr:uid="{00000000-0005-0000-0000-0000380F0000}"/>
    <cellStyle name="40% - Accent3 2 5" xfId="2079" xr:uid="{00000000-0005-0000-0000-0000390F0000}"/>
    <cellStyle name="40% - Accent3 2 5 10" xfId="8008" xr:uid="{00000000-0005-0000-0000-00003A0F0000}"/>
    <cellStyle name="40% - Accent3 2 5 2" xfId="4838" xr:uid="{00000000-0005-0000-0000-00003B0F0000}"/>
    <cellStyle name="40% - Accent3 2 5 2 2" xfId="8009" xr:uid="{00000000-0005-0000-0000-00003C0F0000}"/>
    <cellStyle name="40% - Accent3 2 5 3" xfId="4839" xr:uid="{00000000-0005-0000-0000-00003D0F0000}"/>
    <cellStyle name="40% - Accent3 2 5 3 2" xfId="8010" xr:uid="{00000000-0005-0000-0000-00003E0F0000}"/>
    <cellStyle name="40% - Accent3 2 5 4" xfId="4840" xr:uid="{00000000-0005-0000-0000-00003F0F0000}"/>
    <cellStyle name="40% - Accent3 2 5 4 2" xfId="8011" xr:uid="{00000000-0005-0000-0000-0000400F0000}"/>
    <cellStyle name="40% - Accent3 2 5 5" xfId="4841" xr:uid="{00000000-0005-0000-0000-0000410F0000}"/>
    <cellStyle name="40% - Accent3 2 5 5 2" xfId="8012" xr:uid="{00000000-0005-0000-0000-0000420F0000}"/>
    <cellStyle name="40% - Accent3 2 5 6" xfId="4842" xr:uid="{00000000-0005-0000-0000-0000430F0000}"/>
    <cellStyle name="40% - Accent3 2 5 6 2" xfId="8013" xr:uid="{00000000-0005-0000-0000-0000440F0000}"/>
    <cellStyle name="40% - Accent3 2 5 7" xfId="4843" xr:uid="{00000000-0005-0000-0000-0000450F0000}"/>
    <cellStyle name="40% - Accent3 2 5 7 2" xfId="8014" xr:uid="{00000000-0005-0000-0000-0000460F0000}"/>
    <cellStyle name="40% - Accent3 2 5 8" xfId="4844" xr:uid="{00000000-0005-0000-0000-0000470F0000}"/>
    <cellStyle name="40% - Accent3 2 5 8 2" xfId="8015" xr:uid="{00000000-0005-0000-0000-0000480F0000}"/>
    <cellStyle name="40% - Accent3 2 5 9" xfId="4845" xr:uid="{00000000-0005-0000-0000-0000490F0000}"/>
    <cellStyle name="40% - Accent3 2 5 9 2" xfId="8016" xr:uid="{00000000-0005-0000-0000-00004A0F0000}"/>
    <cellStyle name="40% - Accent3 2 6" xfId="2080" xr:uid="{00000000-0005-0000-0000-00004B0F0000}"/>
    <cellStyle name="40% - Accent3 2 6 2" xfId="4846" xr:uid="{00000000-0005-0000-0000-00004C0F0000}"/>
    <cellStyle name="40% - Accent3 2 6 2 2" xfId="8018" xr:uid="{00000000-0005-0000-0000-00004D0F0000}"/>
    <cellStyle name="40% - Accent3 2 6 3" xfId="4847" xr:uid="{00000000-0005-0000-0000-00004E0F0000}"/>
    <cellStyle name="40% - Accent3 2 6 3 2" xfId="8019" xr:uid="{00000000-0005-0000-0000-00004F0F0000}"/>
    <cellStyle name="40% - Accent3 2 6 4" xfId="4848" xr:uid="{00000000-0005-0000-0000-0000500F0000}"/>
    <cellStyle name="40% - Accent3 2 6 4 2" xfId="8020" xr:uid="{00000000-0005-0000-0000-0000510F0000}"/>
    <cellStyle name="40% - Accent3 2 6 5" xfId="4849" xr:uid="{00000000-0005-0000-0000-0000520F0000}"/>
    <cellStyle name="40% - Accent3 2 6 5 2" xfId="8021" xr:uid="{00000000-0005-0000-0000-0000530F0000}"/>
    <cellStyle name="40% - Accent3 2 6 6" xfId="8017" xr:uid="{00000000-0005-0000-0000-0000540F0000}"/>
    <cellStyle name="40% - Accent3 2 7" xfId="2081" xr:uid="{00000000-0005-0000-0000-0000550F0000}"/>
    <cellStyle name="40% - Accent3 2 7 2" xfId="8022" xr:uid="{00000000-0005-0000-0000-0000560F0000}"/>
    <cellStyle name="40% - Accent3 2 7 3" xfId="4850" xr:uid="{00000000-0005-0000-0000-0000570F0000}"/>
    <cellStyle name="40% - Accent3 2 8" xfId="2082" xr:uid="{00000000-0005-0000-0000-0000580F0000}"/>
    <cellStyle name="40% - Accent3 2 8 2" xfId="8023" xr:uid="{00000000-0005-0000-0000-0000590F0000}"/>
    <cellStyle name="40% - Accent3 2 8 3" xfId="4851" xr:uid="{00000000-0005-0000-0000-00005A0F0000}"/>
    <cellStyle name="40% - Accent3 2 9" xfId="4852" xr:uid="{00000000-0005-0000-0000-00005B0F0000}"/>
    <cellStyle name="40% - Accent3 2 9 2" xfId="8024" xr:uid="{00000000-0005-0000-0000-00005C0F0000}"/>
    <cellStyle name="40% - Accent3 20" xfId="4853" xr:uid="{00000000-0005-0000-0000-00005D0F0000}"/>
    <cellStyle name="40% - Accent3 21" xfId="4854" xr:uid="{00000000-0005-0000-0000-00005E0F0000}"/>
    <cellStyle name="40% - Accent3 22" xfId="4855" xr:uid="{00000000-0005-0000-0000-00005F0F0000}"/>
    <cellStyle name="40% - Accent3 23" xfId="4856" xr:uid="{00000000-0005-0000-0000-0000600F0000}"/>
    <cellStyle name="40% - Accent3 24" xfId="4857" xr:uid="{00000000-0005-0000-0000-0000610F0000}"/>
    <cellStyle name="40% - Accent3 25" xfId="4858" xr:uid="{00000000-0005-0000-0000-0000620F0000}"/>
    <cellStyle name="40% - Accent3 26" xfId="4859" xr:uid="{00000000-0005-0000-0000-0000630F0000}"/>
    <cellStyle name="40% - Accent3 3" xfId="220" xr:uid="{00000000-0005-0000-0000-0000640F0000}"/>
    <cellStyle name="40% - Accent3 3 10" xfId="4861" xr:uid="{00000000-0005-0000-0000-0000650F0000}"/>
    <cellStyle name="40% - Accent3 3 11" xfId="4860" xr:uid="{00000000-0005-0000-0000-0000660F0000}"/>
    <cellStyle name="40% - Accent3 3 2" xfId="2083" xr:uid="{00000000-0005-0000-0000-0000670F0000}"/>
    <cellStyle name="40% - Accent3 3 2 2" xfId="8025" xr:uid="{00000000-0005-0000-0000-0000680F0000}"/>
    <cellStyle name="40% - Accent3 3 2 3" xfId="4862" xr:uid="{00000000-0005-0000-0000-0000690F0000}"/>
    <cellStyle name="40% - Accent3 3 3" xfId="2084" xr:uid="{00000000-0005-0000-0000-00006A0F0000}"/>
    <cellStyle name="40% - Accent3 3 3 2" xfId="8026" xr:uid="{00000000-0005-0000-0000-00006B0F0000}"/>
    <cellStyle name="40% - Accent3 3 4" xfId="4863" xr:uid="{00000000-0005-0000-0000-00006C0F0000}"/>
    <cellStyle name="40% - Accent3 3 4 2" xfId="8027" xr:uid="{00000000-0005-0000-0000-00006D0F0000}"/>
    <cellStyle name="40% - Accent3 3 5" xfId="4864" xr:uid="{00000000-0005-0000-0000-00006E0F0000}"/>
    <cellStyle name="40% - Accent3 3 5 2" xfId="8028" xr:uid="{00000000-0005-0000-0000-00006F0F0000}"/>
    <cellStyle name="40% - Accent3 3 6" xfId="4865" xr:uid="{00000000-0005-0000-0000-0000700F0000}"/>
    <cellStyle name="40% - Accent3 3 7" xfId="4866" xr:uid="{00000000-0005-0000-0000-0000710F0000}"/>
    <cellStyle name="40% - Accent3 3 8" xfId="4867" xr:uid="{00000000-0005-0000-0000-0000720F0000}"/>
    <cellStyle name="40% - Accent3 3 9" xfId="4868" xr:uid="{00000000-0005-0000-0000-0000730F0000}"/>
    <cellStyle name="40% - Accent3 4" xfId="2085" xr:uid="{00000000-0005-0000-0000-0000740F0000}"/>
    <cellStyle name="40% - Accent3 4 2" xfId="2086" xr:uid="{00000000-0005-0000-0000-0000750F0000}"/>
    <cellStyle name="40% - Accent3 4 2 2" xfId="4870" xr:uid="{00000000-0005-0000-0000-0000760F0000}"/>
    <cellStyle name="40% - Accent3 4 3" xfId="2087" xr:uid="{00000000-0005-0000-0000-0000770F0000}"/>
    <cellStyle name="40% - Accent3 4 3 2" xfId="4871" xr:uid="{00000000-0005-0000-0000-0000780F0000}"/>
    <cellStyle name="40% - Accent3 4 4" xfId="4872" xr:uid="{00000000-0005-0000-0000-0000790F0000}"/>
    <cellStyle name="40% - Accent3 4 5" xfId="4873" xr:uid="{00000000-0005-0000-0000-00007A0F0000}"/>
    <cellStyle name="40% - Accent3 4 6" xfId="4874" xr:uid="{00000000-0005-0000-0000-00007B0F0000}"/>
    <cellStyle name="40% - Accent3 4 7" xfId="4869" xr:uid="{00000000-0005-0000-0000-00007C0F0000}"/>
    <cellStyle name="40% - Accent3 5" xfId="2088" xr:uid="{00000000-0005-0000-0000-00007D0F0000}"/>
    <cellStyle name="40% - Accent3 5 2" xfId="4876" xr:uid="{00000000-0005-0000-0000-00007E0F0000}"/>
    <cellStyle name="40% - Accent3 5 3" xfId="4877" xr:uid="{00000000-0005-0000-0000-00007F0F0000}"/>
    <cellStyle name="40% - Accent3 5 4" xfId="4878" xr:uid="{00000000-0005-0000-0000-0000800F0000}"/>
    <cellStyle name="40% - Accent3 5 5" xfId="4879" xr:uid="{00000000-0005-0000-0000-0000810F0000}"/>
    <cellStyle name="40% - Accent3 5 6" xfId="4880" xr:uid="{00000000-0005-0000-0000-0000820F0000}"/>
    <cellStyle name="40% - Accent3 5 7" xfId="4875" xr:uid="{00000000-0005-0000-0000-0000830F0000}"/>
    <cellStyle name="40% - Accent3 6" xfId="4881" xr:uid="{00000000-0005-0000-0000-0000840F0000}"/>
    <cellStyle name="40% - Accent3 6 2" xfId="4882" xr:uid="{00000000-0005-0000-0000-0000850F0000}"/>
    <cellStyle name="40% - Accent3 6 3" xfId="4883" xr:uid="{00000000-0005-0000-0000-0000860F0000}"/>
    <cellStyle name="40% - Accent3 6 4" xfId="4884" xr:uid="{00000000-0005-0000-0000-0000870F0000}"/>
    <cellStyle name="40% - Accent3 6 5" xfId="4885" xr:uid="{00000000-0005-0000-0000-0000880F0000}"/>
    <cellStyle name="40% - Accent3 6 6" xfId="4886" xr:uid="{00000000-0005-0000-0000-0000890F0000}"/>
    <cellStyle name="40% - Accent3 7" xfId="4887" xr:uid="{00000000-0005-0000-0000-00008A0F0000}"/>
    <cellStyle name="40% - Accent3 7 2" xfId="4888" xr:uid="{00000000-0005-0000-0000-00008B0F0000}"/>
    <cellStyle name="40% - Accent3 7 3" xfId="4889" xr:uid="{00000000-0005-0000-0000-00008C0F0000}"/>
    <cellStyle name="40% - Accent3 7 4" xfId="4890" xr:uid="{00000000-0005-0000-0000-00008D0F0000}"/>
    <cellStyle name="40% - Accent3 7 5" xfId="4891" xr:uid="{00000000-0005-0000-0000-00008E0F0000}"/>
    <cellStyle name="40% - Accent3 7 6" xfId="4892" xr:uid="{00000000-0005-0000-0000-00008F0F0000}"/>
    <cellStyle name="40% - Accent3 7 7" xfId="8029" xr:uid="{00000000-0005-0000-0000-0000900F0000}"/>
    <cellStyle name="40% - Accent3 8" xfId="4893" xr:uid="{00000000-0005-0000-0000-0000910F0000}"/>
    <cellStyle name="40% - Accent3 8 2" xfId="4894" xr:uid="{00000000-0005-0000-0000-0000920F0000}"/>
    <cellStyle name="40% - Accent3 8 3" xfId="4895" xr:uid="{00000000-0005-0000-0000-0000930F0000}"/>
    <cellStyle name="40% - Accent3 8 4" xfId="4896" xr:uid="{00000000-0005-0000-0000-0000940F0000}"/>
    <cellStyle name="40% - Accent3 8 5" xfId="4897" xr:uid="{00000000-0005-0000-0000-0000950F0000}"/>
    <cellStyle name="40% - Accent3 8 6" xfId="4898" xr:uid="{00000000-0005-0000-0000-0000960F0000}"/>
    <cellStyle name="40% - Accent3 9" xfId="4899" xr:uid="{00000000-0005-0000-0000-0000970F0000}"/>
    <cellStyle name="40% - Accent3 9 2" xfId="4900" xr:uid="{00000000-0005-0000-0000-0000980F0000}"/>
    <cellStyle name="40% - Accent3 9 3" xfId="4901" xr:uid="{00000000-0005-0000-0000-0000990F0000}"/>
    <cellStyle name="40% - Accent3 9 4" xfId="4902" xr:uid="{00000000-0005-0000-0000-00009A0F0000}"/>
    <cellStyle name="40% - Accent3 9 5" xfId="4903" xr:uid="{00000000-0005-0000-0000-00009B0F0000}"/>
    <cellStyle name="40% - Accent4" xfId="12140" builtinId="43" customBuiltin="1"/>
    <cellStyle name="40% - Accent4 10" xfId="4904" xr:uid="{00000000-0005-0000-0000-00009D0F0000}"/>
    <cellStyle name="40% - Accent4 10 2" xfId="4905" xr:uid="{00000000-0005-0000-0000-00009E0F0000}"/>
    <cellStyle name="40% - Accent4 10 3" xfId="4906" xr:uid="{00000000-0005-0000-0000-00009F0F0000}"/>
    <cellStyle name="40% - Accent4 10 4" xfId="4907" xr:uid="{00000000-0005-0000-0000-0000A00F0000}"/>
    <cellStyle name="40% - Accent4 10 5" xfId="4908" xr:uid="{00000000-0005-0000-0000-0000A10F0000}"/>
    <cellStyle name="40% - Accent4 11" xfId="4909" xr:uid="{00000000-0005-0000-0000-0000A20F0000}"/>
    <cellStyle name="40% - Accent4 11 2" xfId="4910" xr:uid="{00000000-0005-0000-0000-0000A30F0000}"/>
    <cellStyle name="40% - Accent4 11 3" xfId="4911" xr:uid="{00000000-0005-0000-0000-0000A40F0000}"/>
    <cellStyle name="40% - Accent4 11 4" xfId="4912" xr:uid="{00000000-0005-0000-0000-0000A50F0000}"/>
    <cellStyle name="40% - Accent4 11 5" xfId="4913" xr:uid="{00000000-0005-0000-0000-0000A60F0000}"/>
    <cellStyle name="40% - Accent4 12" xfId="4914" xr:uid="{00000000-0005-0000-0000-0000A70F0000}"/>
    <cellStyle name="40% - Accent4 12 2" xfId="4915" xr:uid="{00000000-0005-0000-0000-0000A80F0000}"/>
    <cellStyle name="40% - Accent4 12 3" xfId="4916" xr:uid="{00000000-0005-0000-0000-0000A90F0000}"/>
    <cellStyle name="40% - Accent4 12 4" xfId="4917" xr:uid="{00000000-0005-0000-0000-0000AA0F0000}"/>
    <cellStyle name="40% - Accent4 12 5" xfId="4918" xr:uid="{00000000-0005-0000-0000-0000AB0F0000}"/>
    <cellStyle name="40% - Accent4 13" xfId="4919" xr:uid="{00000000-0005-0000-0000-0000AC0F0000}"/>
    <cellStyle name="40% - Accent4 14" xfId="4920" xr:uid="{00000000-0005-0000-0000-0000AD0F0000}"/>
    <cellStyle name="40% - Accent4 15" xfId="4921" xr:uid="{00000000-0005-0000-0000-0000AE0F0000}"/>
    <cellStyle name="40% - Accent4 16" xfId="4922" xr:uid="{00000000-0005-0000-0000-0000AF0F0000}"/>
    <cellStyle name="40% - Accent4 17" xfId="4923" xr:uid="{00000000-0005-0000-0000-0000B00F0000}"/>
    <cellStyle name="40% - Accent4 18" xfId="4924" xr:uid="{00000000-0005-0000-0000-0000B10F0000}"/>
    <cellStyle name="40% - Accent4 19" xfId="4925" xr:uid="{00000000-0005-0000-0000-0000B20F0000}"/>
    <cellStyle name="40% - Accent4 2" xfId="104" xr:uid="{00000000-0005-0000-0000-0000B30F0000}"/>
    <cellStyle name="40% - Accent4 2 10" xfId="4927" xr:uid="{00000000-0005-0000-0000-0000B40F0000}"/>
    <cellStyle name="40% - Accent4 2 10 2" xfId="8030" xr:uid="{00000000-0005-0000-0000-0000B50F0000}"/>
    <cellStyle name="40% - Accent4 2 11" xfId="4928" xr:uid="{00000000-0005-0000-0000-0000B60F0000}"/>
    <cellStyle name="40% - Accent4 2 11 2" xfId="4929" xr:uid="{00000000-0005-0000-0000-0000B70F0000}"/>
    <cellStyle name="40% - Accent4 2 11 2 2" xfId="8031" xr:uid="{00000000-0005-0000-0000-0000B80F0000}"/>
    <cellStyle name="40% - Accent4 2 11 3" xfId="4930" xr:uid="{00000000-0005-0000-0000-0000B90F0000}"/>
    <cellStyle name="40% - Accent4 2 11 3 2" xfId="8032" xr:uid="{00000000-0005-0000-0000-0000BA0F0000}"/>
    <cellStyle name="40% - Accent4 2 11 4" xfId="4931" xr:uid="{00000000-0005-0000-0000-0000BB0F0000}"/>
    <cellStyle name="40% - Accent4 2 11 4 2" xfId="8033" xr:uid="{00000000-0005-0000-0000-0000BC0F0000}"/>
    <cellStyle name="40% - Accent4 2 11 5" xfId="4932" xr:uid="{00000000-0005-0000-0000-0000BD0F0000}"/>
    <cellStyle name="40% - Accent4 2 11 5 2" xfId="8034" xr:uid="{00000000-0005-0000-0000-0000BE0F0000}"/>
    <cellStyle name="40% - Accent4 2 12" xfId="4933" xr:uid="{00000000-0005-0000-0000-0000BF0F0000}"/>
    <cellStyle name="40% - Accent4 2 13" xfId="4934" xr:uid="{00000000-0005-0000-0000-0000C00F0000}"/>
    <cellStyle name="40% - Accent4 2 14" xfId="4935" xr:uid="{00000000-0005-0000-0000-0000C10F0000}"/>
    <cellStyle name="40% - Accent4 2 15" xfId="4936" xr:uid="{00000000-0005-0000-0000-0000C20F0000}"/>
    <cellStyle name="40% - Accent4 2 15 2" xfId="8035" xr:uid="{00000000-0005-0000-0000-0000C30F0000}"/>
    <cellStyle name="40% - Accent4 2 16" xfId="4937" xr:uid="{00000000-0005-0000-0000-0000C40F0000}"/>
    <cellStyle name="40% - Accent4 2 17" xfId="4926" xr:uid="{00000000-0005-0000-0000-0000C50F0000}"/>
    <cellStyle name="40% - Accent4 2 2" xfId="1449" xr:uid="{00000000-0005-0000-0000-0000C60F0000}"/>
    <cellStyle name="40% - Accent4 2 2 10" xfId="8036" xr:uid="{00000000-0005-0000-0000-0000C70F0000}"/>
    <cellStyle name="40% - Accent4 2 2 11" xfId="4938" xr:uid="{00000000-0005-0000-0000-0000C80F0000}"/>
    <cellStyle name="40% - Accent4 2 2 2" xfId="1450" xr:uid="{00000000-0005-0000-0000-0000C90F0000}"/>
    <cellStyle name="40% - Accent4 2 2 2 2" xfId="8037" xr:uid="{00000000-0005-0000-0000-0000CA0F0000}"/>
    <cellStyle name="40% - Accent4 2 2 2 3" xfId="4939" xr:uid="{00000000-0005-0000-0000-0000CB0F0000}"/>
    <cellStyle name="40% - Accent4 2 2 3" xfId="1451" xr:uid="{00000000-0005-0000-0000-0000CC0F0000}"/>
    <cellStyle name="40% - Accent4 2 2 3 2" xfId="8038" xr:uid="{00000000-0005-0000-0000-0000CD0F0000}"/>
    <cellStyle name="40% - Accent4 2 2 3 3" xfId="4940" xr:uid="{00000000-0005-0000-0000-0000CE0F0000}"/>
    <cellStyle name="40% - Accent4 2 2 4" xfId="2089" xr:uid="{00000000-0005-0000-0000-0000CF0F0000}"/>
    <cellStyle name="40% - Accent4 2 2 4 2" xfId="8039" xr:uid="{00000000-0005-0000-0000-0000D00F0000}"/>
    <cellStyle name="40% - Accent4 2 2 4 3" xfId="4941" xr:uid="{00000000-0005-0000-0000-0000D10F0000}"/>
    <cellStyle name="40% - Accent4 2 2 5" xfId="4942" xr:uid="{00000000-0005-0000-0000-0000D20F0000}"/>
    <cellStyle name="40% - Accent4 2 2 5 2" xfId="8040" xr:uid="{00000000-0005-0000-0000-0000D30F0000}"/>
    <cellStyle name="40% - Accent4 2 2 6" xfId="4943" xr:uid="{00000000-0005-0000-0000-0000D40F0000}"/>
    <cellStyle name="40% - Accent4 2 2 6 2" xfId="8041" xr:uid="{00000000-0005-0000-0000-0000D50F0000}"/>
    <cellStyle name="40% - Accent4 2 2 7" xfId="4944" xr:uid="{00000000-0005-0000-0000-0000D60F0000}"/>
    <cellStyle name="40% - Accent4 2 2 7 2" xfId="8042" xr:uid="{00000000-0005-0000-0000-0000D70F0000}"/>
    <cellStyle name="40% - Accent4 2 2 8" xfId="4945" xr:uid="{00000000-0005-0000-0000-0000D80F0000}"/>
    <cellStyle name="40% - Accent4 2 2 8 2" xfId="8043" xr:uid="{00000000-0005-0000-0000-0000D90F0000}"/>
    <cellStyle name="40% - Accent4 2 2 9" xfId="4946" xr:uid="{00000000-0005-0000-0000-0000DA0F0000}"/>
    <cellStyle name="40% - Accent4 2 2 9 2" xfId="8044" xr:uid="{00000000-0005-0000-0000-0000DB0F0000}"/>
    <cellStyle name="40% - Accent4 2 3" xfId="1452" xr:uid="{00000000-0005-0000-0000-0000DC0F0000}"/>
    <cellStyle name="40% - Accent4 2 3 10" xfId="8045" xr:uid="{00000000-0005-0000-0000-0000DD0F0000}"/>
    <cellStyle name="40% - Accent4 2 3 2" xfId="2090" xr:uid="{00000000-0005-0000-0000-0000DE0F0000}"/>
    <cellStyle name="40% - Accent4 2 3 2 2" xfId="8046" xr:uid="{00000000-0005-0000-0000-0000DF0F0000}"/>
    <cellStyle name="40% - Accent4 2 3 3" xfId="2091" xr:uid="{00000000-0005-0000-0000-0000E00F0000}"/>
    <cellStyle name="40% - Accent4 2 3 3 2" xfId="8047" xr:uid="{00000000-0005-0000-0000-0000E10F0000}"/>
    <cellStyle name="40% - Accent4 2 3 4" xfId="2092" xr:uid="{00000000-0005-0000-0000-0000E20F0000}"/>
    <cellStyle name="40% - Accent4 2 3 4 2" xfId="8048" xr:uid="{00000000-0005-0000-0000-0000E30F0000}"/>
    <cellStyle name="40% - Accent4 2 3 4 3" xfId="4947" xr:uid="{00000000-0005-0000-0000-0000E40F0000}"/>
    <cellStyle name="40% - Accent4 2 3 5" xfId="4948" xr:uid="{00000000-0005-0000-0000-0000E50F0000}"/>
    <cellStyle name="40% - Accent4 2 3 5 2" xfId="8049" xr:uid="{00000000-0005-0000-0000-0000E60F0000}"/>
    <cellStyle name="40% - Accent4 2 3 6" xfId="4949" xr:uid="{00000000-0005-0000-0000-0000E70F0000}"/>
    <cellStyle name="40% - Accent4 2 3 6 2" xfId="8050" xr:uid="{00000000-0005-0000-0000-0000E80F0000}"/>
    <cellStyle name="40% - Accent4 2 3 7" xfId="4950" xr:uid="{00000000-0005-0000-0000-0000E90F0000}"/>
    <cellStyle name="40% - Accent4 2 3 7 2" xfId="8051" xr:uid="{00000000-0005-0000-0000-0000EA0F0000}"/>
    <cellStyle name="40% - Accent4 2 3 8" xfId="4951" xr:uid="{00000000-0005-0000-0000-0000EB0F0000}"/>
    <cellStyle name="40% - Accent4 2 3 8 2" xfId="8052" xr:uid="{00000000-0005-0000-0000-0000EC0F0000}"/>
    <cellStyle name="40% - Accent4 2 3 9" xfId="4952" xr:uid="{00000000-0005-0000-0000-0000ED0F0000}"/>
    <cellStyle name="40% - Accent4 2 3 9 2" xfId="8053" xr:uid="{00000000-0005-0000-0000-0000EE0F0000}"/>
    <cellStyle name="40% - Accent4 2 4" xfId="2093" xr:uid="{00000000-0005-0000-0000-0000EF0F0000}"/>
    <cellStyle name="40% - Accent4 2 4 10" xfId="8054" xr:uid="{00000000-0005-0000-0000-0000F00F0000}"/>
    <cellStyle name="40% - Accent4 2 4 2" xfId="2094" xr:uid="{00000000-0005-0000-0000-0000F10F0000}"/>
    <cellStyle name="40% - Accent4 2 4 2 2" xfId="8055" xr:uid="{00000000-0005-0000-0000-0000F20F0000}"/>
    <cellStyle name="40% - Accent4 2 4 3" xfId="4953" xr:uid="{00000000-0005-0000-0000-0000F30F0000}"/>
    <cellStyle name="40% - Accent4 2 4 3 2" xfId="8056" xr:uid="{00000000-0005-0000-0000-0000F40F0000}"/>
    <cellStyle name="40% - Accent4 2 4 4" xfId="4954" xr:uid="{00000000-0005-0000-0000-0000F50F0000}"/>
    <cellStyle name="40% - Accent4 2 4 4 2" xfId="8057" xr:uid="{00000000-0005-0000-0000-0000F60F0000}"/>
    <cellStyle name="40% - Accent4 2 4 5" xfId="4955" xr:uid="{00000000-0005-0000-0000-0000F70F0000}"/>
    <cellStyle name="40% - Accent4 2 4 5 2" xfId="8058" xr:uid="{00000000-0005-0000-0000-0000F80F0000}"/>
    <cellStyle name="40% - Accent4 2 4 6" xfId="4956" xr:uid="{00000000-0005-0000-0000-0000F90F0000}"/>
    <cellStyle name="40% - Accent4 2 4 6 2" xfId="8059" xr:uid="{00000000-0005-0000-0000-0000FA0F0000}"/>
    <cellStyle name="40% - Accent4 2 4 7" xfId="4957" xr:uid="{00000000-0005-0000-0000-0000FB0F0000}"/>
    <cellStyle name="40% - Accent4 2 4 7 2" xfId="8060" xr:uid="{00000000-0005-0000-0000-0000FC0F0000}"/>
    <cellStyle name="40% - Accent4 2 4 8" xfId="4958" xr:uid="{00000000-0005-0000-0000-0000FD0F0000}"/>
    <cellStyle name="40% - Accent4 2 4 8 2" xfId="8061" xr:uid="{00000000-0005-0000-0000-0000FE0F0000}"/>
    <cellStyle name="40% - Accent4 2 4 9" xfId="4959" xr:uid="{00000000-0005-0000-0000-0000FF0F0000}"/>
    <cellStyle name="40% - Accent4 2 4 9 2" xfId="8062" xr:uid="{00000000-0005-0000-0000-000000100000}"/>
    <cellStyle name="40% - Accent4 2 5" xfId="2095" xr:uid="{00000000-0005-0000-0000-000001100000}"/>
    <cellStyle name="40% - Accent4 2 5 10" xfId="8063" xr:uid="{00000000-0005-0000-0000-000002100000}"/>
    <cellStyle name="40% - Accent4 2 5 2" xfId="4960" xr:uid="{00000000-0005-0000-0000-000003100000}"/>
    <cellStyle name="40% - Accent4 2 5 2 2" xfId="8064" xr:uid="{00000000-0005-0000-0000-000004100000}"/>
    <cellStyle name="40% - Accent4 2 5 3" xfId="4961" xr:uid="{00000000-0005-0000-0000-000005100000}"/>
    <cellStyle name="40% - Accent4 2 5 3 2" xfId="8065" xr:uid="{00000000-0005-0000-0000-000006100000}"/>
    <cellStyle name="40% - Accent4 2 5 4" xfId="4962" xr:uid="{00000000-0005-0000-0000-000007100000}"/>
    <cellStyle name="40% - Accent4 2 5 4 2" xfId="8066" xr:uid="{00000000-0005-0000-0000-000008100000}"/>
    <cellStyle name="40% - Accent4 2 5 5" xfId="4963" xr:uid="{00000000-0005-0000-0000-000009100000}"/>
    <cellStyle name="40% - Accent4 2 5 5 2" xfId="8067" xr:uid="{00000000-0005-0000-0000-00000A100000}"/>
    <cellStyle name="40% - Accent4 2 5 6" xfId="4964" xr:uid="{00000000-0005-0000-0000-00000B100000}"/>
    <cellStyle name="40% - Accent4 2 5 6 2" xfId="8068" xr:uid="{00000000-0005-0000-0000-00000C100000}"/>
    <cellStyle name="40% - Accent4 2 5 7" xfId="4965" xr:uid="{00000000-0005-0000-0000-00000D100000}"/>
    <cellStyle name="40% - Accent4 2 5 7 2" xfId="8069" xr:uid="{00000000-0005-0000-0000-00000E100000}"/>
    <cellStyle name="40% - Accent4 2 5 8" xfId="4966" xr:uid="{00000000-0005-0000-0000-00000F100000}"/>
    <cellStyle name="40% - Accent4 2 5 8 2" xfId="8070" xr:uid="{00000000-0005-0000-0000-000010100000}"/>
    <cellStyle name="40% - Accent4 2 5 9" xfId="4967" xr:uid="{00000000-0005-0000-0000-000011100000}"/>
    <cellStyle name="40% - Accent4 2 5 9 2" xfId="8071" xr:uid="{00000000-0005-0000-0000-000012100000}"/>
    <cellStyle name="40% - Accent4 2 6" xfId="2096" xr:uid="{00000000-0005-0000-0000-000013100000}"/>
    <cellStyle name="40% - Accent4 2 6 2" xfId="4968" xr:uid="{00000000-0005-0000-0000-000014100000}"/>
    <cellStyle name="40% - Accent4 2 6 2 2" xfId="8073" xr:uid="{00000000-0005-0000-0000-000015100000}"/>
    <cellStyle name="40% - Accent4 2 6 3" xfId="4969" xr:uid="{00000000-0005-0000-0000-000016100000}"/>
    <cellStyle name="40% - Accent4 2 6 3 2" xfId="8074" xr:uid="{00000000-0005-0000-0000-000017100000}"/>
    <cellStyle name="40% - Accent4 2 6 4" xfId="4970" xr:uid="{00000000-0005-0000-0000-000018100000}"/>
    <cellStyle name="40% - Accent4 2 6 4 2" xfId="8075" xr:uid="{00000000-0005-0000-0000-000019100000}"/>
    <cellStyle name="40% - Accent4 2 6 5" xfId="4971" xr:uid="{00000000-0005-0000-0000-00001A100000}"/>
    <cellStyle name="40% - Accent4 2 6 5 2" xfId="8076" xr:uid="{00000000-0005-0000-0000-00001B100000}"/>
    <cellStyle name="40% - Accent4 2 6 6" xfId="8072" xr:uid="{00000000-0005-0000-0000-00001C100000}"/>
    <cellStyle name="40% - Accent4 2 7" xfId="2097" xr:uid="{00000000-0005-0000-0000-00001D100000}"/>
    <cellStyle name="40% - Accent4 2 7 2" xfId="8077" xr:uid="{00000000-0005-0000-0000-00001E100000}"/>
    <cellStyle name="40% - Accent4 2 7 3" xfId="4972" xr:uid="{00000000-0005-0000-0000-00001F100000}"/>
    <cellStyle name="40% - Accent4 2 8" xfId="2098" xr:uid="{00000000-0005-0000-0000-000020100000}"/>
    <cellStyle name="40% - Accent4 2 8 2" xfId="8078" xr:uid="{00000000-0005-0000-0000-000021100000}"/>
    <cellStyle name="40% - Accent4 2 8 3" xfId="4973" xr:uid="{00000000-0005-0000-0000-000022100000}"/>
    <cellStyle name="40% - Accent4 2 9" xfId="4974" xr:uid="{00000000-0005-0000-0000-000023100000}"/>
    <cellStyle name="40% - Accent4 2 9 2" xfId="8079" xr:uid="{00000000-0005-0000-0000-000024100000}"/>
    <cellStyle name="40% - Accent4 20" xfId="4975" xr:uid="{00000000-0005-0000-0000-000025100000}"/>
    <cellStyle name="40% - Accent4 21" xfId="4976" xr:uid="{00000000-0005-0000-0000-000026100000}"/>
    <cellStyle name="40% - Accent4 22" xfId="4977" xr:uid="{00000000-0005-0000-0000-000027100000}"/>
    <cellStyle name="40% - Accent4 23" xfId="4978" xr:uid="{00000000-0005-0000-0000-000028100000}"/>
    <cellStyle name="40% - Accent4 24" xfId="4979" xr:uid="{00000000-0005-0000-0000-000029100000}"/>
    <cellStyle name="40% - Accent4 25" xfId="4980" xr:uid="{00000000-0005-0000-0000-00002A100000}"/>
    <cellStyle name="40% - Accent4 26" xfId="4981" xr:uid="{00000000-0005-0000-0000-00002B100000}"/>
    <cellStyle name="40% - Accent4 3" xfId="221" xr:uid="{00000000-0005-0000-0000-00002C100000}"/>
    <cellStyle name="40% - Accent4 3 10" xfId="4983" xr:uid="{00000000-0005-0000-0000-00002D100000}"/>
    <cellStyle name="40% - Accent4 3 11" xfId="4982" xr:uid="{00000000-0005-0000-0000-00002E100000}"/>
    <cellStyle name="40% - Accent4 3 2" xfId="2099" xr:uid="{00000000-0005-0000-0000-00002F100000}"/>
    <cellStyle name="40% - Accent4 3 2 2" xfId="8080" xr:uid="{00000000-0005-0000-0000-000030100000}"/>
    <cellStyle name="40% - Accent4 3 2 3" xfId="4984" xr:uid="{00000000-0005-0000-0000-000031100000}"/>
    <cellStyle name="40% - Accent4 3 3" xfId="2100" xr:uid="{00000000-0005-0000-0000-000032100000}"/>
    <cellStyle name="40% - Accent4 3 3 2" xfId="8081" xr:uid="{00000000-0005-0000-0000-000033100000}"/>
    <cellStyle name="40% - Accent4 3 4" xfId="4985" xr:uid="{00000000-0005-0000-0000-000034100000}"/>
    <cellStyle name="40% - Accent4 3 4 2" xfId="8082" xr:uid="{00000000-0005-0000-0000-000035100000}"/>
    <cellStyle name="40% - Accent4 3 5" xfId="4986" xr:uid="{00000000-0005-0000-0000-000036100000}"/>
    <cellStyle name="40% - Accent4 3 5 2" xfId="8083" xr:uid="{00000000-0005-0000-0000-000037100000}"/>
    <cellStyle name="40% - Accent4 3 6" xfId="4987" xr:uid="{00000000-0005-0000-0000-000038100000}"/>
    <cellStyle name="40% - Accent4 3 7" xfId="4988" xr:uid="{00000000-0005-0000-0000-000039100000}"/>
    <cellStyle name="40% - Accent4 3 8" xfId="4989" xr:uid="{00000000-0005-0000-0000-00003A100000}"/>
    <cellStyle name="40% - Accent4 3 9" xfId="4990" xr:uid="{00000000-0005-0000-0000-00003B100000}"/>
    <cellStyle name="40% - Accent4 4" xfId="2101" xr:uid="{00000000-0005-0000-0000-00003C100000}"/>
    <cellStyle name="40% - Accent4 4 2" xfId="2102" xr:uid="{00000000-0005-0000-0000-00003D100000}"/>
    <cellStyle name="40% - Accent4 4 2 2" xfId="4992" xr:uid="{00000000-0005-0000-0000-00003E100000}"/>
    <cellStyle name="40% - Accent4 4 3" xfId="2103" xr:uid="{00000000-0005-0000-0000-00003F100000}"/>
    <cellStyle name="40% - Accent4 4 3 2" xfId="4993" xr:uid="{00000000-0005-0000-0000-000040100000}"/>
    <cellStyle name="40% - Accent4 4 4" xfId="4994" xr:uid="{00000000-0005-0000-0000-000041100000}"/>
    <cellStyle name="40% - Accent4 4 5" xfId="4995" xr:uid="{00000000-0005-0000-0000-000042100000}"/>
    <cellStyle name="40% - Accent4 4 6" xfId="4996" xr:uid="{00000000-0005-0000-0000-000043100000}"/>
    <cellStyle name="40% - Accent4 4 7" xfId="4991" xr:uid="{00000000-0005-0000-0000-000044100000}"/>
    <cellStyle name="40% - Accent4 5" xfId="2104" xr:uid="{00000000-0005-0000-0000-000045100000}"/>
    <cellStyle name="40% - Accent4 5 2" xfId="4998" xr:uid="{00000000-0005-0000-0000-000046100000}"/>
    <cellStyle name="40% - Accent4 5 3" xfId="4999" xr:uid="{00000000-0005-0000-0000-000047100000}"/>
    <cellStyle name="40% - Accent4 5 4" xfId="5000" xr:uid="{00000000-0005-0000-0000-000048100000}"/>
    <cellStyle name="40% - Accent4 5 5" xfId="5001" xr:uid="{00000000-0005-0000-0000-000049100000}"/>
    <cellStyle name="40% - Accent4 5 6" xfId="5002" xr:uid="{00000000-0005-0000-0000-00004A100000}"/>
    <cellStyle name="40% - Accent4 5 7" xfId="4997" xr:uid="{00000000-0005-0000-0000-00004B100000}"/>
    <cellStyle name="40% - Accent4 6" xfId="5003" xr:uid="{00000000-0005-0000-0000-00004C100000}"/>
    <cellStyle name="40% - Accent4 6 2" xfId="5004" xr:uid="{00000000-0005-0000-0000-00004D100000}"/>
    <cellStyle name="40% - Accent4 6 3" xfId="5005" xr:uid="{00000000-0005-0000-0000-00004E100000}"/>
    <cellStyle name="40% - Accent4 6 4" xfId="5006" xr:uid="{00000000-0005-0000-0000-00004F100000}"/>
    <cellStyle name="40% - Accent4 6 5" xfId="5007" xr:uid="{00000000-0005-0000-0000-000050100000}"/>
    <cellStyle name="40% - Accent4 6 6" xfId="5008" xr:uid="{00000000-0005-0000-0000-000051100000}"/>
    <cellStyle name="40% - Accent4 7" xfId="5009" xr:uid="{00000000-0005-0000-0000-000052100000}"/>
    <cellStyle name="40% - Accent4 7 2" xfId="5010" xr:uid="{00000000-0005-0000-0000-000053100000}"/>
    <cellStyle name="40% - Accent4 7 3" xfId="5011" xr:uid="{00000000-0005-0000-0000-000054100000}"/>
    <cellStyle name="40% - Accent4 7 4" xfId="5012" xr:uid="{00000000-0005-0000-0000-000055100000}"/>
    <cellStyle name="40% - Accent4 7 5" xfId="5013" xr:uid="{00000000-0005-0000-0000-000056100000}"/>
    <cellStyle name="40% - Accent4 7 6" xfId="5014" xr:uid="{00000000-0005-0000-0000-000057100000}"/>
    <cellStyle name="40% - Accent4 7 7" xfId="8084" xr:uid="{00000000-0005-0000-0000-000058100000}"/>
    <cellStyle name="40% - Accent4 8" xfId="5015" xr:uid="{00000000-0005-0000-0000-000059100000}"/>
    <cellStyle name="40% - Accent4 8 2" xfId="5016" xr:uid="{00000000-0005-0000-0000-00005A100000}"/>
    <cellStyle name="40% - Accent4 8 3" xfId="5017" xr:uid="{00000000-0005-0000-0000-00005B100000}"/>
    <cellStyle name="40% - Accent4 8 4" xfId="5018" xr:uid="{00000000-0005-0000-0000-00005C100000}"/>
    <cellStyle name="40% - Accent4 8 5" xfId="5019" xr:uid="{00000000-0005-0000-0000-00005D100000}"/>
    <cellStyle name="40% - Accent4 8 6" xfId="5020" xr:uid="{00000000-0005-0000-0000-00005E100000}"/>
    <cellStyle name="40% - Accent4 9" xfId="5021" xr:uid="{00000000-0005-0000-0000-00005F100000}"/>
    <cellStyle name="40% - Accent4 9 2" xfId="5022" xr:uid="{00000000-0005-0000-0000-000060100000}"/>
    <cellStyle name="40% - Accent4 9 3" xfId="5023" xr:uid="{00000000-0005-0000-0000-000061100000}"/>
    <cellStyle name="40% - Accent4 9 4" xfId="5024" xr:uid="{00000000-0005-0000-0000-000062100000}"/>
    <cellStyle name="40% - Accent4 9 5" xfId="5025" xr:uid="{00000000-0005-0000-0000-000063100000}"/>
    <cellStyle name="40% - Accent5" xfId="12144" builtinId="47" customBuiltin="1"/>
    <cellStyle name="40% - Accent5 10" xfId="5026" xr:uid="{00000000-0005-0000-0000-000065100000}"/>
    <cellStyle name="40% - Accent5 11" xfId="5027" xr:uid="{00000000-0005-0000-0000-000066100000}"/>
    <cellStyle name="40% - Accent5 12" xfId="5028" xr:uid="{00000000-0005-0000-0000-000067100000}"/>
    <cellStyle name="40% - Accent5 13" xfId="5029" xr:uid="{00000000-0005-0000-0000-000068100000}"/>
    <cellStyle name="40% - Accent5 14" xfId="5030" xr:uid="{00000000-0005-0000-0000-000069100000}"/>
    <cellStyle name="40% - Accent5 15" xfId="5031" xr:uid="{00000000-0005-0000-0000-00006A100000}"/>
    <cellStyle name="40% - Accent5 16" xfId="5032" xr:uid="{00000000-0005-0000-0000-00006B100000}"/>
    <cellStyle name="40% - Accent5 2" xfId="105" xr:uid="{00000000-0005-0000-0000-00006C100000}"/>
    <cellStyle name="40% - Accent5 2 10" xfId="5034" xr:uid="{00000000-0005-0000-0000-00006D100000}"/>
    <cellStyle name="40% - Accent5 2 10 2" xfId="8085" xr:uid="{00000000-0005-0000-0000-00006E100000}"/>
    <cellStyle name="40% - Accent5 2 11" xfId="5035" xr:uid="{00000000-0005-0000-0000-00006F100000}"/>
    <cellStyle name="40% - Accent5 2 11 2" xfId="5036" xr:uid="{00000000-0005-0000-0000-000070100000}"/>
    <cellStyle name="40% - Accent5 2 11 2 2" xfId="8086" xr:uid="{00000000-0005-0000-0000-000071100000}"/>
    <cellStyle name="40% - Accent5 2 11 3" xfId="5037" xr:uid="{00000000-0005-0000-0000-000072100000}"/>
    <cellStyle name="40% - Accent5 2 11 3 2" xfId="8087" xr:uid="{00000000-0005-0000-0000-000073100000}"/>
    <cellStyle name="40% - Accent5 2 11 4" xfId="5038" xr:uid="{00000000-0005-0000-0000-000074100000}"/>
    <cellStyle name="40% - Accent5 2 11 4 2" xfId="8088" xr:uid="{00000000-0005-0000-0000-000075100000}"/>
    <cellStyle name="40% - Accent5 2 11 5" xfId="5039" xr:uid="{00000000-0005-0000-0000-000076100000}"/>
    <cellStyle name="40% - Accent5 2 11 5 2" xfId="8089" xr:uid="{00000000-0005-0000-0000-000077100000}"/>
    <cellStyle name="40% - Accent5 2 12" xfId="5040" xr:uid="{00000000-0005-0000-0000-000078100000}"/>
    <cellStyle name="40% - Accent5 2 13" xfId="5041" xr:uid="{00000000-0005-0000-0000-000079100000}"/>
    <cellStyle name="40% - Accent5 2 14" xfId="5042" xr:uid="{00000000-0005-0000-0000-00007A100000}"/>
    <cellStyle name="40% - Accent5 2 15" xfId="5043" xr:uid="{00000000-0005-0000-0000-00007B100000}"/>
    <cellStyle name="40% - Accent5 2 15 2" xfId="8090" xr:uid="{00000000-0005-0000-0000-00007C100000}"/>
    <cellStyle name="40% - Accent5 2 16" xfId="5044" xr:uid="{00000000-0005-0000-0000-00007D100000}"/>
    <cellStyle name="40% - Accent5 2 17" xfId="5033" xr:uid="{00000000-0005-0000-0000-00007E100000}"/>
    <cellStyle name="40% - Accent5 2 2" xfId="1453" xr:uid="{00000000-0005-0000-0000-00007F100000}"/>
    <cellStyle name="40% - Accent5 2 2 10" xfId="8091" xr:uid="{00000000-0005-0000-0000-000080100000}"/>
    <cellStyle name="40% - Accent5 2 2 11" xfId="5045" xr:uid="{00000000-0005-0000-0000-000081100000}"/>
    <cellStyle name="40% - Accent5 2 2 2" xfId="1454" xr:uid="{00000000-0005-0000-0000-000082100000}"/>
    <cellStyle name="40% - Accent5 2 2 2 2" xfId="8092" xr:uid="{00000000-0005-0000-0000-000083100000}"/>
    <cellStyle name="40% - Accent5 2 2 2 3" xfId="5046" xr:uid="{00000000-0005-0000-0000-000084100000}"/>
    <cellStyle name="40% - Accent5 2 2 3" xfId="1455" xr:uid="{00000000-0005-0000-0000-000085100000}"/>
    <cellStyle name="40% - Accent5 2 2 3 2" xfId="8093" xr:uid="{00000000-0005-0000-0000-000086100000}"/>
    <cellStyle name="40% - Accent5 2 2 3 3" xfId="5047" xr:uid="{00000000-0005-0000-0000-000087100000}"/>
    <cellStyle name="40% - Accent5 2 2 4" xfId="2105" xr:uid="{00000000-0005-0000-0000-000088100000}"/>
    <cellStyle name="40% - Accent5 2 2 4 2" xfId="8094" xr:uid="{00000000-0005-0000-0000-000089100000}"/>
    <cellStyle name="40% - Accent5 2 2 4 3" xfId="5048" xr:uid="{00000000-0005-0000-0000-00008A100000}"/>
    <cellStyle name="40% - Accent5 2 2 5" xfId="5049" xr:uid="{00000000-0005-0000-0000-00008B100000}"/>
    <cellStyle name="40% - Accent5 2 2 5 2" xfId="8095" xr:uid="{00000000-0005-0000-0000-00008C100000}"/>
    <cellStyle name="40% - Accent5 2 2 6" xfId="5050" xr:uid="{00000000-0005-0000-0000-00008D100000}"/>
    <cellStyle name="40% - Accent5 2 2 6 2" xfId="8096" xr:uid="{00000000-0005-0000-0000-00008E100000}"/>
    <cellStyle name="40% - Accent5 2 2 7" xfId="5051" xr:uid="{00000000-0005-0000-0000-00008F100000}"/>
    <cellStyle name="40% - Accent5 2 2 7 2" xfId="8097" xr:uid="{00000000-0005-0000-0000-000090100000}"/>
    <cellStyle name="40% - Accent5 2 2 8" xfId="5052" xr:uid="{00000000-0005-0000-0000-000091100000}"/>
    <cellStyle name="40% - Accent5 2 2 8 2" xfId="8098" xr:uid="{00000000-0005-0000-0000-000092100000}"/>
    <cellStyle name="40% - Accent5 2 2 9" xfId="5053" xr:uid="{00000000-0005-0000-0000-000093100000}"/>
    <cellStyle name="40% - Accent5 2 2 9 2" xfId="8099" xr:uid="{00000000-0005-0000-0000-000094100000}"/>
    <cellStyle name="40% - Accent5 2 3" xfId="1456" xr:uid="{00000000-0005-0000-0000-000095100000}"/>
    <cellStyle name="40% - Accent5 2 3 10" xfId="8100" xr:uid="{00000000-0005-0000-0000-000096100000}"/>
    <cellStyle name="40% - Accent5 2 3 2" xfId="2106" xr:uid="{00000000-0005-0000-0000-000097100000}"/>
    <cellStyle name="40% - Accent5 2 3 2 2" xfId="8101" xr:uid="{00000000-0005-0000-0000-000098100000}"/>
    <cellStyle name="40% - Accent5 2 3 3" xfId="2107" xr:uid="{00000000-0005-0000-0000-000099100000}"/>
    <cellStyle name="40% - Accent5 2 3 3 2" xfId="8102" xr:uid="{00000000-0005-0000-0000-00009A100000}"/>
    <cellStyle name="40% - Accent5 2 3 4" xfId="2108" xr:uid="{00000000-0005-0000-0000-00009B100000}"/>
    <cellStyle name="40% - Accent5 2 3 4 2" xfId="8103" xr:uid="{00000000-0005-0000-0000-00009C100000}"/>
    <cellStyle name="40% - Accent5 2 3 4 3" xfId="5054" xr:uid="{00000000-0005-0000-0000-00009D100000}"/>
    <cellStyle name="40% - Accent5 2 3 5" xfId="5055" xr:uid="{00000000-0005-0000-0000-00009E100000}"/>
    <cellStyle name="40% - Accent5 2 3 5 2" xfId="8104" xr:uid="{00000000-0005-0000-0000-00009F100000}"/>
    <cellStyle name="40% - Accent5 2 3 6" xfId="5056" xr:uid="{00000000-0005-0000-0000-0000A0100000}"/>
    <cellStyle name="40% - Accent5 2 3 6 2" xfId="8105" xr:uid="{00000000-0005-0000-0000-0000A1100000}"/>
    <cellStyle name="40% - Accent5 2 3 7" xfId="5057" xr:uid="{00000000-0005-0000-0000-0000A2100000}"/>
    <cellStyle name="40% - Accent5 2 3 7 2" xfId="8106" xr:uid="{00000000-0005-0000-0000-0000A3100000}"/>
    <cellStyle name="40% - Accent5 2 3 8" xfId="5058" xr:uid="{00000000-0005-0000-0000-0000A4100000}"/>
    <cellStyle name="40% - Accent5 2 3 8 2" xfId="8107" xr:uid="{00000000-0005-0000-0000-0000A5100000}"/>
    <cellStyle name="40% - Accent5 2 3 9" xfId="5059" xr:uid="{00000000-0005-0000-0000-0000A6100000}"/>
    <cellStyle name="40% - Accent5 2 3 9 2" xfId="8108" xr:uid="{00000000-0005-0000-0000-0000A7100000}"/>
    <cellStyle name="40% - Accent5 2 4" xfId="2109" xr:uid="{00000000-0005-0000-0000-0000A8100000}"/>
    <cellStyle name="40% - Accent5 2 4 10" xfId="8109" xr:uid="{00000000-0005-0000-0000-0000A9100000}"/>
    <cellStyle name="40% - Accent5 2 4 2" xfId="2110" xr:uid="{00000000-0005-0000-0000-0000AA100000}"/>
    <cellStyle name="40% - Accent5 2 4 2 2" xfId="8110" xr:uid="{00000000-0005-0000-0000-0000AB100000}"/>
    <cellStyle name="40% - Accent5 2 4 3" xfId="5060" xr:uid="{00000000-0005-0000-0000-0000AC100000}"/>
    <cellStyle name="40% - Accent5 2 4 3 2" xfId="8111" xr:uid="{00000000-0005-0000-0000-0000AD100000}"/>
    <cellStyle name="40% - Accent5 2 4 4" xfId="5061" xr:uid="{00000000-0005-0000-0000-0000AE100000}"/>
    <cellStyle name="40% - Accent5 2 4 4 2" xfId="8112" xr:uid="{00000000-0005-0000-0000-0000AF100000}"/>
    <cellStyle name="40% - Accent5 2 4 5" xfId="5062" xr:uid="{00000000-0005-0000-0000-0000B0100000}"/>
    <cellStyle name="40% - Accent5 2 4 5 2" xfId="8113" xr:uid="{00000000-0005-0000-0000-0000B1100000}"/>
    <cellStyle name="40% - Accent5 2 4 6" xfId="5063" xr:uid="{00000000-0005-0000-0000-0000B2100000}"/>
    <cellStyle name="40% - Accent5 2 4 6 2" xfId="8114" xr:uid="{00000000-0005-0000-0000-0000B3100000}"/>
    <cellStyle name="40% - Accent5 2 4 7" xfId="5064" xr:uid="{00000000-0005-0000-0000-0000B4100000}"/>
    <cellStyle name="40% - Accent5 2 4 7 2" xfId="8115" xr:uid="{00000000-0005-0000-0000-0000B5100000}"/>
    <cellStyle name="40% - Accent5 2 4 8" xfId="5065" xr:uid="{00000000-0005-0000-0000-0000B6100000}"/>
    <cellStyle name="40% - Accent5 2 4 8 2" xfId="8116" xr:uid="{00000000-0005-0000-0000-0000B7100000}"/>
    <cellStyle name="40% - Accent5 2 4 9" xfId="5066" xr:uid="{00000000-0005-0000-0000-0000B8100000}"/>
    <cellStyle name="40% - Accent5 2 4 9 2" xfId="8117" xr:uid="{00000000-0005-0000-0000-0000B9100000}"/>
    <cellStyle name="40% - Accent5 2 5" xfId="2111" xr:uid="{00000000-0005-0000-0000-0000BA100000}"/>
    <cellStyle name="40% - Accent5 2 5 10" xfId="8118" xr:uid="{00000000-0005-0000-0000-0000BB100000}"/>
    <cellStyle name="40% - Accent5 2 5 2" xfId="5067" xr:uid="{00000000-0005-0000-0000-0000BC100000}"/>
    <cellStyle name="40% - Accent5 2 5 2 2" xfId="8119" xr:uid="{00000000-0005-0000-0000-0000BD100000}"/>
    <cellStyle name="40% - Accent5 2 5 3" xfId="5068" xr:uid="{00000000-0005-0000-0000-0000BE100000}"/>
    <cellStyle name="40% - Accent5 2 5 3 2" xfId="8120" xr:uid="{00000000-0005-0000-0000-0000BF100000}"/>
    <cellStyle name="40% - Accent5 2 5 4" xfId="5069" xr:uid="{00000000-0005-0000-0000-0000C0100000}"/>
    <cellStyle name="40% - Accent5 2 5 4 2" xfId="8121" xr:uid="{00000000-0005-0000-0000-0000C1100000}"/>
    <cellStyle name="40% - Accent5 2 5 5" xfId="5070" xr:uid="{00000000-0005-0000-0000-0000C2100000}"/>
    <cellStyle name="40% - Accent5 2 5 5 2" xfId="8122" xr:uid="{00000000-0005-0000-0000-0000C3100000}"/>
    <cellStyle name="40% - Accent5 2 5 6" xfId="5071" xr:uid="{00000000-0005-0000-0000-0000C4100000}"/>
    <cellStyle name="40% - Accent5 2 5 6 2" xfId="8123" xr:uid="{00000000-0005-0000-0000-0000C5100000}"/>
    <cellStyle name="40% - Accent5 2 5 7" xfId="5072" xr:uid="{00000000-0005-0000-0000-0000C6100000}"/>
    <cellStyle name="40% - Accent5 2 5 7 2" xfId="8124" xr:uid="{00000000-0005-0000-0000-0000C7100000}"/>
    <cellStyle name="40% - Accent5 2 5 8" xfId="5073" xr:uid="{00000000-0005-0000-0000-0000C8100000}"/>
    <cellStyle name="40% - Accent5 2 5 8 2" xfId="8125" xr:uid="{00000000-0005-0000-0000-0000C9100000}"/>
    <cellStyle name="40% - Accent5 2 5 9" xfId="5074" xr:uid="{00000000-0005-0000-0000-0000CA100000}"/>
    <cellStyle name="40% - Accent5 2 5 9 2" xfId="8126" xr:uid="{00000000-0005-0000-0000-0000CB100000}"/>
    <cellStyle name="40% - Accent5 2 6" xfId="2112" xr:uid="{00000000-0005-0000-0000-0000CC100000}"/>
    <cellStyle name="40% - Accent5 2 6 2" xfId="5075" xr:uid="{00000000-0005-0000-0000-0000CD100000}"/>
    <cellStyle name="40% - Accent5 2 6 2 2" xfId="8128" xr:uid="{00000000-0005-0000-0000-0000CE100000}"/>
    <cellStyle name="40% - Accent5 2 6 3" xfId="5076" xr:uid="{00000000-0005-0000-0000-0000CF100000}"/>
    <cellStyle name="40% - Accent5 2 6 3 2" xfId="8129" xr:uid="{00000000-0005-0000-0000-0000D0100000}"/>
    <cellStyle name="40% - Accent5 2 6 4" xfId="5077" xr:uid="{00000000-0005-0000-0000-0000D1100000}"/>
    <cellStyle name="40% - Accent5 2 6 4 2" xfId="8130" xr:uid="{00000000-0005-0000-0000-0000D2100000}"/>
    <cellStyle name="40% - Accent5 2 6 5" xfId="5078" xr:uid="{00000000-0005-0000-0000-0000D3100000}"/>
    <cellStyle name="40% - Accent5 2 6 5 2" xfId="8131" xr:uid="{00000000-0005-0000-0000-0000D4100000}"/>
    <cellStyle name="40% - Accent5 2 6 6" xfId="8127" xr:uid="{00000000-0005-0000-0000-0000D5100000}"/>
    <cellStyle name="40% - Accent5 2 7" xfId="2113" xr:uid="{00000000-0005-0000-0000-0000D6100000}"/>
    <cellStyle name="40% - Accent5 2 7 2" xfId="8132" xr:uid="{00000000-0005-0000-0000-0000D7100000}"/>
    <cellStyle name="40% - Accent5 2 7 3" xfId="5079" xr:uid="{00000000-0005-0000-0000-0000D8100000}"/>
    <cellStyle name="40% - Accent5 2 8" xfId="2114" xr:uid="{00000000-0005-0000-0000-0000D9100000}"/>
    <cellStyle name="40% - Accent5 2 8 2" xfId="8133" xr:uid="{00000000-0005-0000-0000-0000DA100000}"/>
    <cellStyle name="40% - Accent5 2 8 3" xfId="5080" xr:uid="{00000000-0005-0000-0000-0000DB100000}"/>
    <cellStyle name="40% - Accent5 2 9" xfId="5081" xr:uid="{00000000-0005-0000-0000-0000DC100000}"/>
    <cellStyle name="40% - Accent5 2 9 2" xfId="8134" xr:uid="{00000000-0005-0000-0000-0000DD100000}"/>
    <cellStyle name="40% - Accent5 3" xfId="222" xr:uid="{00000000-0005-0000-0000-0000DE100000}"/>
    <cellStyle name="40% - Accent5 3 10" xfId="5083" xr:uid="{00000000-0005-0000-0000-0000DF100000}"/>
    <cellStyle name="40% - Accent5 3 11" xfId="5082" xr:uid="{00000000-0005-0000-0000-0000E0100000}"/>
    <cellStyle name="40% - Accent5 3 2" xfId="2115" xr:uid="{00000000-0005-0000-0000-0000E1100000}"/>
    <cellStyle name="40% - Accent5 3 2 2" xfId="8135" xr:uid="{00000000-0005-0000-0000-0000E2100000}"/>
    <cellStyle name="40% - Accent5 3 2 3" xfId="5084" xr:uid="{00000000-0005-0000-0000-0000E3100000}"/>
    <cellStyle name="40% - Accent5 3 3" xfId="2116" xr:uid="{00000000-0005-0000-0000-0000E4100000}"/>
    <cellStyle name="40% - Accent5 3 3 2" xfId="8136" xr:uid="{00000000-0005-0000-0000-0000E5100000}"/>
    <cellStyle name="40% - Accent5 3 4" xfId="5085" xr:uid="{00000000-0005-0000-0000-0000E6100000}"/>
    <cellStyle name="40% - Accent5 3 4 2" xfId="8137" xr:uid="{00000000-0005-0000-0000-0000E7100000}"/>
    <cellStyle name="40% - Accent5 3 5" xfId="5086" xr:uid="{00000000-0005-0000-0000-0000E8100000}"/>
    <cellStyle name="40% - Accent5 3 5 2" xfId="8138" xr:uid="{00000000-0005-0000-0000-0000E9100000}"/>
    <cellStyle name="40% - Accent5 3 6" xfId="5087" xr:uid="{00000000-0005-0000-0000-0000EA100000}"/>
    <cellStyle name="40% - Accent5 3 7" xfId="5088" xr:uid="{00000000-0005-0000-0000-0000EB100000}"/>
    <cellStyle name="40% - Accent5 3 8" xfId="5089" xr:uid="{00000000-0005-0000-0000-0000EC100000}"/>
    <cellStyle name="40% - Accent5 3 9" xfId="5090" xr:uid="{00000000-0005-0000-0000-0000ED100000}"/>
    <cellStyle name="40% - Accent5 4" xfId="2117" xr:uid="{00000000-0005-0000-0000-0000EE100000}"/>
    <cellStyle name="40% - Accent5 4 2" xfId="2118" xr:uid="{00000000-0005-0000-0000-0000EF100000}"/>
    <cellStyle name="40% - Accent5 4 2 2" xfId="5092" xr:uid="{00000000-0005-0000-0000-0000F0100000}"/>
    <cellStyle name="40% - Accent5 4 3" xfId="2119" xr:uid="{00000000-0005-0000-0000-0000F1100000}"/>
    <cellStyle name="40% - Accent5 4 3 2" xfId="5093" xr:uid="{00000000-0005-0000-0000-0000F2100000}"/>
    <cellStyle name="40% - Accent5 4 4" xfId="5094" xr:uid="{00000000-0005-0000-0000-0000F3100000}"/>
    <cellStyle name="40% - Accent5 4 5" xfId="5095" xr:uid="{00000000-0005-0000-0000-0000F4100000}"/>
    <cellStyle name="40% - Accent5 4 6" xfId="5096" xr:uid="{00000000-0005-0000-0000-0000F5100000}"/>
    <cellStyle name="40% - Accent5 4 7" xfId="5091" xr:uid="{00000000-0005-0000-0000-0000F6100000}"/>
    <cellStyle name="40% - Accent5 5" xfId="2120" xr:uid="{00000000-0005-0000-0000-0000F7100000}"/>
    <cellStyle name="40% - Accent5 5 2" xfId="5098" xr:uid="{00000000-0005-0000-0000-0000F8100000}"/>
    <cellStyle name="40% - Accent5 5 3" xfId="5099" xr:uid="{00000000-0005-0000-0000-0000F9100000}"/>
    <cellStyle name="40% - Accent5 5 4" xfId="5100" xr:uid="{00000000-0005-0000-0000-0000FA100000}"/>
    <cellStyle name="40% - Accent5 5 5" xfId="5101" xr:uid="{00000000-0005-0000-0000-0000FB100000}"/>
    <cellStyle name="40% - Accent5 5 6" xfId="5102" xr:uid="{00000000-0005-0000-0000-0000FC100000}"/>
    <cellStyle name="40% - Accent5 5 7" xfId="5097" xr:uid="{00000000-0005-0000-0000-0000FD100000}"/>
    <cellStyle name="40% - Accent5 6" xfId="5103" xr:uid="{00000000-0005-0000-0000-0000FE100000}"/>
    <cellStyle name="40% - Accent5 6 2" xfId="5104" xr:uid="{00000000-0005-0000-0000-0000FF100000}"/>
    <cellStyle name="40% - Accent5 6 3" xfId="5105" xr:uid="{00000000-0005-0000-0000-000000110000}"/>
    <cellStyle name="40% - Accent5 6 4" xfId="5106" xr:uid="{00000000-0005-0000-0000-000001110000}"/>
    <cellStyle name="40% - Accent5 6 5" xfId="5107" xr:uid="{00000000-0005-0000-0000-000002110000}"/>
    <cellStyle name="40% - Accent5 6 6" xfId="5108" xr:uid="{00000000-0005-0000-0000-000003110000}"/>
    <cellStyle name="40% - Accent5 7" xfId="5109" xr:uid="{00000000-0005-0000-0000-000004110000}"/>
    <cellStyle name="40% - Accent5 7 2" xfId="5110" xr:uid="{00000000-0005-0000-0000-000005110000}"/>
    <cellStyle name="40% - Accent5 7 3" xfId="5111" xr:uid="{00000000-0005-0000-0000-000006110000}"/>
    <cellStyle name="40% - Accent5 7 4" xfId="5112" xr:uid="{00000000-0005-0000-0000-000007110000}"/>
    <cellStyle name="40% - Accent5 7 5" xfId="5113" xr:uid="{00000000-0005-0000-0000-000008110000}"/>
    <cellStyle name="40% - Accent5 7 6" xfId="5114" xr:uid="{00000000-0005-0000-0000-000009110000}"/>
    <cellStyle name="40% - Accent5 7 7" xfId="8139" xr:uid="{00000000-0005-0000-0000-00000A110000}"/>
    <cellStyle name="40% - Accent5 8" xfId="5115" xr:uid="{00000000-0005-0000-0000-00000B110000}"/>
    <cellStyle name="40% - Accent5 8 2" xfId="5116" xr:uid="{00000000-0005-0000-0000-00000C110000}"/>
    <cellStyle name="40% - Accent5 9" xfId="5117" xr:uid="{00000000-0005-0000-0000-00000D110000}"/>
    <cellStyle name="40% - Accent6" xfId="12148" builtinId="51" customBuiltin="1"/>
    <cellStyle name="40% - Accent6 10" xfId="5118" xr:uid="{00000000-0005-0000-0000-00000F110000}"/>
    <cellStyle name="40% - Accent6 10 2" xfId="5119" xr:uid="{00000000-0005-0000-0000-000010110000}"/>
    <cellStyle name="40% - Accent6 10 3" xfId="5120" xr:uid="{00000000-0005-0000-0000-000011110000}"/>
    <cellStyle name="40% - Accent6 10 4" xfId="5121" xr:uid="{00000000-0005-0000-0000-000012110000}"/>
    <cellStyle name="40% - Accent6 10 5" xfId="5122" xr:uid="{00000000-0005-0000-0000-000013110000}"/>
    <cellStyle name="40% - Accent6 11" xfId="5123" xr:uid="{00000000-0005-0000-0000-000014110000}"/>
    <cellStyle name="40% - Accent6 11 2" xfId="5124" xr:uid="{00000000-0005-0000-0000-000015110000}"/>
    <cellStyle name="40% - Accent6 11 3" xfId="5125" xr:uid="{00000000-0005-0000-0000-000016110000}"/>
    <cellStyle name="40% - Accent6 11 4" xfId="5126" xr:uid="{00000000-0005-0000-0000-000017110000}"/>
    <cellStyle name="40% - Accent6 11 5" xfId="5127" xr:uid="{00000000-0005-0000-0000-000018110000}"/>
    <cellStyle name="40% - Accent6 12" xfId="5128" xr:uid="{00000000-0005-0000-0000-000019110000}"/>
    <cellStyle name="40% - Accent6 12 2" xfId="5129" xr:uid="{00000000-0005-0000-0000-00001A110000}"/>
    <cellStyle name="40% - Accent6 12 3" xfId="5130" xr:uid="{00000000-0005-0000-0000-00001B110000}"/>
    <cellStyle name="40% - Accent6 12 4" xfId="5131" xr:uid="{00000000-0005-0000-0000-00001C110000}"/>
    <cellStyle name="40% - Accent6 12 5" xfId="5132" xr:uid="{00000000-0005-0000-0000-00001D110000}"/>
    <cellStyle name="40% - Accent6 13" xfId="5133" xr:uid="{00000000-0005-0000-0000-00001E110000}"/>
    <cellStyle name="40% - Accent6 14" xfId="5134" xr:uid="{00000000-0005-0000-0000-00001F110000}"/>
    <cellStyle name="40% - Accent6 15" xfId="5135" xr:uid="{00000000-0005-0000-0000-000020110000}"/>
    <cellStyle name="40% - Accent6 16" xfId="5136" xr:uid="{00000000-0005-0000-0000-000021110000}"/>
    <cellStyle name="40% - Accent6 17" xfId="5137" xr:uid="{00000000-0005-0000-0000-000022110000}"/>
    <cellStyle name="40% - Accent6 18" xfId="5138" xr:uid="{00000000-0005-0000-0000-000023110000}"/>
    <cellStyle name="40% - Accent6 19" xfId="5139" xr:uid="{00000000-0005-0000-0000-000024110000}"/>
    <cellStyle name="40% - Accent6 2" xfId="106" xr:uid="{00000000-0005-0000-0000-000025110000}"/>
    <cellStyle name="40% - Accent6 2 10" xfId="5141" xr:uid="{00000000-0005-0000-0000-000026110000}"/>
    <cellStyle name="40% - Accent6 2 10 2" xfId="8140" xr:uid="{00000000-0005-0000-0000-000027110000}"/>
    <cellStyle name="40% - Accent6 2 11" xfId="5142" xr:uid="{00000000-0005-0000-0000-000028110000}"/>
    <cellStyle name="40% - Accent6 2 11 2" xfId="5143" xr:uid="{00000000-0005-0000-0000-000029110000}"/>
    <cellStyle name="40% - Accent6 2 11 2 2" xfId="8141" xr:uid="{00000000-0005-0000-0000-00002A110000}"/>
    <cellStyle name="40% - Accent6 2 11 3" xfId="5144" xr:uid="{00000000-0005-0000-0000-00002B110000}"/>
    <cellStyle name="40% - Accent6 2 11 3 2" xfId="8142" xr:uid="{00000000-0005-0000-0000-00002C110000}"/>
    <cellStyle name="40% - Accent6 2 11 4" xfId="5145" xr:uid="{00000000-0005-0000-0000-00002D110000}"/>
    <cellStyle name="40% - Accent6 2 11 4 2" xfId="8143" xr:uid="{00000000-0005-0000-0000-00002E110000}"/>
    <cellStyle name="40% - Accent6 2 11 5" xfId="5146" xr:uid="{00000000-0005-0000-0000-00002F110000}"/>
    <cellStyle name="40% - Accent6 2 11 5 2" xfId="8144" xr:uid="{00000000-0005-0000-0000-000030110000}"/>
    <cellStyle name="40% - Accent6 2 12" xfId="5147" xr:uid="{00000000-0005-0000-0000-000031110000}"/>
    <cellStyle name="40% - Accent6 2 13" xfId="5148" xr:uid="{00000000-0005-0000-0000-000032110000}"/>
    <cellStyle name="40% - Accent6 2 14" xfId="5149" xr:uid="{00000000-0005-0000-0000-000033110000}"/>
    <cellStyle name="40% - Accent6 2 15" xfId="5150" xr:uid="{00000000-0005-0000-0000-000034110000}"/>
    <cellStyle name="40% - Accent6 2 15 2" xfId="8145" xr:uid="{00000000-0005-0000-0000-000035110000}"/>
    <cellStyle name="40% - Accent6 2 16" xfId="5151" xr:uid="{00000000-0005-0000-0000-000036110000}"/>
    <cellStyle name="40% - Accent6 2 17" xfId="5140" xr:uid="{00000000-0005-0000-0000-000037110000}"/>
    <cellStyle name="40% - Accent6 2 2" xfId="1457" xr:uid="{00000000-0005-0000-0000-000038110000}"/>
    <cellStyle name="40% - Accent6 2 2 10" xfId="8146" xr:uid="{00000000-0005-0000-0000-000039110000}"/>
    <cellStyle name="40% - Accent6 2 2 11" xfId="5152" xr:uid="{00000000-0005-0000-0000-00003A110000}"/>
    <cellStyle name="40% - Accent6 2 2 2" xfId="1458" xr:uid="{00000000-0005-0000-0000-00003B110000}"/>
    <cellStyle name="40% - Accent6 2 2 2 2" xfId="8147" xr:uid="{00000000-0005-0000-0000-00003C110000}"/>
    <cellStyle name="40% - Accent6 2 2 2 3" xfId="5153" xr:uid="{00000000-0005-0000-0000-00003D110000}"/>
    <cellStyle name="40% - Accent6 2 2 3" xfId="1459" xr:uid="{00000000-0005-0000-0000-00003E110000}"/>
    <cellStyle name="40% - Accent6 2 2 3 2" xfId="8148" xr:uid="{00000000-0005-0000-0000-00003F110000}"/>
    <cellStyle name="40% - Accent6 2 2 3 3" xfId="5154" xr:uid="{00000000-0005-0000-0000-000040110000}"/>
    <cellStyle name="40% - Accent6 2 2 4" xfId="2121" xr:uid="{00000000-0005-0000-0000-000041110000}"/>
    <cellStyle name="40% - Accent6 2 2 4 2" xfId="8149" xr:uid="{00000000-0005-0000-0000-000042110000}"/>
    <cellStyle name="40% - Accent6 2 2 4 3" xfId="5155" xr:uid="{00000000-0005-0000-0000-000043110000}"/>
    <cellStyle name="40% - Accent6 2 2 5" xfId="5156" xr:uid="{00000000-0005-0000-0000-000044110000}"/>
    <cellStyle name="40% - Accent6 2 2 5 2" xfId="8150" xr:uid="{00000000-0005-0000-0000-000045110000}"/>
    <cellStyle name="40% - Accent6 2 2 6" xfId="5157" xr:uid="{00000000-0005-0000-0000-000046110000}"/>
    <cellStyle name="40% - Accent6 2 2 6 2" xfId="8151" xr:uid="{00000000-0005-0000-0000-000047110000}"/>
    <cellStyle name="40% - Accent6 2 2 7" xfId="5158" xr:uid="{00000000-0005-0000-0000-000048110000}"/>
    <cellStyle name="40% - Accent6 2 2 7 2" xfId="8152" xr:uid="{00000000-0005-0000-0000-000049110000}"/>
    <cellStyle name="40% - Accent6 2 2 8" xfId="5159" xr:uid="{00000000-0005-0000-0000-00004A110000}"/>
    <cellStyle name="40% - Accent6 2 2 8 2" xfId="8153" xr:uid="{00000000-0005-0000-0000-00004B110000}"/>
    <cellStyle name="40% - Accent6 2 2 9" xfId="5160" xr:uid="{00000000-0005-0000-0000-00004C110000}"/>
    <cellStyle name="40% - Accent6 2 2 9 2" xfId="8154" xr:uid="{00000000-0005-0000-0000-00004D110000}"/>
    <cellStyle name="40% - Accent6 2 3" xfId="1460" xr:uid="{00000000-0005-0000-0000-00004E110000}"/>
    <cellStyle name="40% - Accent6 2 3 10" xfId="8155" xr:uid="{00000000-0005-0000-0000-00004F110000}"/>
    <cellStyle name="40% - Accent6 2 3 2" xfId="2122" xr:uid="{00000000-0005-0000-0000-000050110000}"/>
    <cellStyle name="40% - Accent6 2 3 2 2" xfId="8156" xr:uid="{00000000-0005-0000-0000-000051110000}"/>
    <cellStyle name="40% - Accent6 2 3 3" xfId="2123" xr:uid="{00000000-0005-0000-0000-000052110000}"/>
    <cellStyle name="40% - Accent6 2 3 3 2" xfId="8157" xr:uid="{00000000-0005-0000-0000-000053110000}"/>
    <cellStyle name="40% - Accent6 2 3 4" xfId="2124" xr:uid="{00000000-0005-0000-0000-000054110000}"/>
    <cellStyle name="40% - Accent6 2 3 4 2" xfId="8158" xr:uid="{00000000-0005-0000-0000-000055110000}"/>
    <cellStyle name="40% - Accent6 2 3 4 3" xfId="5161" xr:uid="{00000000-0005-0000-0000-000056110000}"/>
    <cellStyle name="40% - Accent6 2 3 5" xfId="5162" xr:uid="{00000000-0005-0000-0000-000057110000}"/>
    <cellStyle name="40% - Accent6 2 3 5 2" xfId="8159" xr:uid="{00000000-0005-0000-0000-000058110000}"/>
    <cellStyle name="40% - Accent6 2 3 6" xfId="5163" xr:uid="{00000000-0005-0000-0000-000059110000}"/>
    <cellStyle name="40% - Accent6 2 3 6 2" xfId="8160" xr:uid="{00000000-0005-0000-0000-00005A110000}"/>
    <cellStyle name="40% - Accent6 2 3 7" xfId="5164" xr:uid="{00000000-0005-0000-0000-00005B110000}"/>
    <cellStyle name="40% - Accent6 2 3 7 2" xfId="8161" xr:uid="{00000000-0005-0000-0000-00005C110000}"/>
    <cellStyle name="40% - Accent6 2 3 8" xfId="5165" xr:uid="{00000000-0005-0000-0000-00005D110000}"/>
    <cellStyle name="40% - Accent6 2 3 8 2" xfId="8162" xr:uid="{00000000-0005-0000-0000-00005E110000}"/>
    <cellStyle name="40% - Accent6 2 3 9" xfId="5166" xr:uid="{00000000-0005-0000-0000-00005F110000}"/>
    <cellStyle name="40% - Accent6 2 3 9 2" xfId="8163" xr:uid="{00000000-0005-0000-0000-000060110000}"/>
    <cellStyle name="40% - Accent6 2 4" xfId="2125" xr:uid="{00000000-0005-0000-0000-000061110000}"/>
    <cellStyle name="40% - Accent6 2 4 10" xfId="8164" xr:uid="{00000000-0005-0000-0000-000062110000}"/>
    <cellStyle name="40% - Accent6 2 4 2" xfId="2126" xr:uid="{00000000-0005-0000-0000-000063110000}"/>
    <cellStyle name="40% - Accent6 2 4 2 2" xfId="8165" xr:uid="{00000000-0005-0000-0000-000064110000}"/>
    <cellStyle name="40% - Accent6 2 4 3" xfId="5167" xr:uid="{00000000-0005-0000-0000-000065110000}"/>
    <cellStyle name="40% - Accent6 2 4 3 2" xfId="8166" xr:uid="{00000000-0005-0000-0000-000066110000}"/>
    <cellStyle name="40% - Accent6 2 4 4" xfId="5168" xr:uid="{00000000-0005-0000-0000-000067110000}"/>
    <cellStyle name="40% - Accent6 2 4 4 2" xfId="8167" xr:uid="{00000000-0005-0000-0000-000068110000}"/>
    <cellStyle name="40% - Accent6 2 4 5" xfId="5169" xr:uid="{00000000-0005-0000-0000-000069110000}"/>
    <cellStyle name="40% - Accent6 2 4 5 2" xfId="8168" xr:uid="{00000000-0005-0000-0000-00006A110000}"/>
    <cellStyle name="40% - Accent6 2 4 6" xfId="5170" xr:uid="{00000000-0005-0000-0000-00006B110000}"/>
    <cellStyle name="40% - Accent6 2 4 6 2" xfId="8169" xr:uid="{00000000-0005-0000-0000-00006C110000}"/>
    <cellStyle name="40% - Accent6 2 4 7" xfId="5171" xr:uid="{00000000-0005-0000-0000-00006D110000}"/>
    <cellStyle name="40% - Accent6 2 4 7 2" xfId="8170" xr:uid="{00000000-0005-0000-0000-00006E110000}"/>
    <cellStyle name="40% - Accent6 2 4 8" xfId="5172" xr:uid="{00000000-0005-0000-0000-00006F110000}"/>
    <cellStyle name="40% - Accent6 2 4 8 2" xfId="8171" xr:uid="{00000000-0005-0000-0000-000070110000}"/>
    <cellStyle name="40% - Accent6 2 4 9" xfId="5173" xr:uid="{00000000-0005-0000-0000-000071110000}"/>
    <cellStyle name="40% - Accent6 2 4 9 2" xfId="8172" xr:uid="{00000000-0005-0000-0000-000072110000}"/>
    <cellStyle name="40% - Accent6 2 5" xfId="2127" xr:uid="{00000000-0005-0000-0000-000073110000}"/>
    <cellStyle name="40% - Accent6 2 5 10" xfId="8173" xr:uid="{00000000-0005-0000-0000-000074110000}"/>
    <cellStyle name="40% - Accent6 2 5 2" xfId="5174" xr:uid="{00000000-0005-0000-0000-000075110000}"/>
    <cellStyle name="40% - Accent6 2 5 2 2" xfId="8174" xr:uid="{00000000-0005-0000-0000-000076110000}"/>
    <cellStyle name="40% - Accent6 2 5 3" xfId="5175" xr:uid="{00000000-0005-0000-0000-000077110000}"/>
    <cellStyle name="40% - Accent6 2 5 3 2" xfId="8175" xr:uid="{00000000-0005-0000-0000-000078110000}"/>
    <cellStyle name="40% - Accent6 2 5 4" xfId="5176" xr:uid="{00000000-0005-0000-0000-000079110000}"/>
    <cellStyle name="40% - Accent6 2 5 4 2" xfId="8176" xr:uid="{00000000-0005-0000-0000-00007A110000}"/>
    <cellStyle name="40% - Accent6 2 5 5" xfId="5177" xr:uid="{00000000-0005-0000-0000-00007B110000}"/>
    <cellStyle name="40% - Accent6 2 5 5 2" xfId="8177" xr:uid="{00000000-0005-0000-0000-00007C110000}"/>
    <cellStyle name="40% - Accent6 2 5 6" xfId="5178" xr:uid="{00000000-0005-0000-0000-00007D110000}"/>
    <cellStyle name="40% - Accent6 2 5 6 2" xfId="8178" xr:uid="{00000000-0005-0000-0000-00007E110000}"/>
    <cellStyle name="40% - Accent6 2 5 7" xfId="5179" xr:uid="{00000000-0005-0000-0000-00007F110000}"/>
    <cellStyle name="40% - Accent6 2 5 7 2" xfId="8179" xr:uid="{00000000-0005-0000-0000-000080110000}"/>
    <cellStyle name="40% - Accent6 2 5 8" xfId="5180" xr:uid="{00000000-0005-0000-0000-000081110000}"/>
    <cellStyle name="40% - Accent6 2 5 8 2" xfId="8180" xr:uid="{00000000-0005-0000-0000-000082110000}"/>
    <cellStyle name="40% - Accent6 2 5 9" xfId="5181" xr:uid="{00000000-0005-0000-0000-000083110000}"/>
    <cellStyle name="40% - Accent6 2 5 9 2" xfId="8181" xr:uid="{00000000-0005-0000-0000-000084110000}"/>
    <cellStyle name="40% - Accent6 2 6" xfId="2128" xr:uid="{00000000-0005-0000-0000-000085110000}"/>
    <cellStyle name="40% - Accent6 2 6 2" xfId="5182" xr:uid="{00000000-0005-0000-0000-000086110000}"/>
    <cellStyle name="40% - Accent6 2 6 2 2" xfId="8183" xr:uid="{00000000-0005-0000-0000-000087110000}"/>
    <cellStyle name="40% - Accent6 2 6 3" xfId="5183" xr:uid="{00000000-0005-0000-0000-000088110000}"/>
    <cellStyle name="40% - Accent6 2 6 3 2" xfId="8184" xr:uid="{00000000-0005-0000-0000-000089110000}"/>
    <cellStyle name="40% - Accent6 2 6 4" xfId="5184" xr:uid="{00000000-0005-0000-0000-00008A110000}"/>
    <cellStyle name="40% - Accent6 2 6 4 2" xfId="8185" xr:uid="{00000000-0005-0000-0000-00008B110000}"/>
    <cellStyle name="40% - Accent6 2 6 5" xfId="5185" xr:uid="{00000000-0005-0000-0000-00008C110000}"/>
    <cellStyle name="40% - Accent6 2 6 5 2" xfId="8186" xr:uid="{00000000-0005-0000-0000-00008D110000}"/>
    <cellStyle name="40% - Accent6 2 6 6" xfId="8182" xr:uid="{00000000-0005-0000-0000-00008E110000}"/>
    <cellStyle name="40% - Accent6 2 7" xfId="2129" xr:uid="{00000000-0005-0000-0000-00008F110000}"/>
    <cellStyle name="40% - Accent6 2 7 2" xfId="8187" xr:uid="{00000000-0005-0000-0000-000090110000}"/>
    <cellStyle name="40% - Accent6 2 7 3" xfId="5186" xr:uid="{00000000-0005-0000-0000-000091110000}"/>
    <cellStyle name="40% - Accent6 2 8" xfId="2130" xr:uid="{00000000-0005-0000-0000-000092110000}"/>
    <cellStyle name="40% - Accent6 2 8 2" xfId="8188" xr:uid="{00000000-0005-0000-0000-000093110000}"/>
    <cellStyle name="40% - Accent6 2 8 3" xfId="5187" xr:uid="{00000000-0005-0000-0000-000094110000}"/>
    <cellStyle name="40% - Accent6 2 9" xfId="5188" xr:uid="{00000000-0005-0000-0000-000095110000}"/>
    <cellStyle name="40% - Accent6 2 9 2" xfId="8189" xr:uid="{00000000-0005-0000-0000-000096110000}"/>
    <cellStyle name="40% - Accent6 20" xfId="5189" xr:uid="{00000000-0005-0000-0000-000097110000}"/>
    <cellStyle name="40% - Accent6 21" xfId="5190" xr:uid="{00000000-0005-0000-0000-000098110000}"/>
    <cellStyle name="40% - Accent6 22" xfId="5191" xr:uid="{00000000-0005-0000-0000-000099110000}"/>
    <cellStyle name="40% - Accent6 23" xfId="5192" xr:uid="{00000000-0005-0000-0000-00009A110000}"/>
    <cellStyle name="40% - Accent6 24" xfId="5193" xr:uid="{00000000-0005-0000-0000-00009B110000}"/>
    <cellStyle name="40% - Accent6 25" xfId="5194" xr:uid="{00000000-0005-0000-0000-00009C110000}"/>
    <cellStyle name="40% - Accent6 26" xfId="5195" xr:uid="{00000000-0005-0000-0000-00009D110000}"/>
    <cellStyle name="40% - Accent6 3" xfId="223" xr:uid="{00000000-0005-0000-0000-00009E110000}"/>
    <cellStyle name="40% - Accent6 3 10" xfId="5197" xr:uid="{00000000-0005-0000-0000-00009F110000}"/>
    <cellStyle name="40% - Accent6 3 11" xfId="5196" xr:uid="{00000000-0005-0000-0000-0000A0110000}"/>
    <cellStyle name="40% - Accent6 3 2" xfId="2131" xr:uid="{00000000-0005-0000-0000-0000A1110000}"/>
    <cellStyle name="40% - Accent6 3 2 2" xfId="8190" xr:uid="{00000000-0005-0000-0000-0000A2110000}"/>
    <cellStyle name="40% - Accent6 3 2 3" xfId="5198" xr:uid="{00000000-0005-0000-0000-0000A3110000}"/>
    <cellStyle name="40% - Accent6 3 3" xfId="2132" xr:uid="{00000000-0005-0000-0000-0000A4110000}"/>
    <cellStyle name="40% - Accent6 3 3 2" xfId="8191" xr:uid="{00000000-0005-0000-0000-0000A5110000}"/>
    <cellStyle name="40% - Accent6 3 4" xfId="5199" xr:uid="{00000000-0005-0000-0000-0000A6110000}"/>
    <cellStyle name="40% - Accent6 3 4 2" xfId="8192" xr:uid="{00000000-0005-0000-0000-0000A7110000}"/>
    <cellStyle name="40% - Accent6 3 5" xfId="5200" xr:uid="{00000000-0005-0000-0000-0000A8110000}"/>
    <cellStyle name="40% - Accent6 3 5 2" xfId="8193" xr:uid="{00000000-0005-0000-0000-0000A9110000}"/>
    <cellStyle name="40% - Accent6 3 6" xfId="5201" xr:uid="{00000000-0005-0000-0000-0000AA110000}"/>
    <cellStyle name="40% - Accent6 3 7" xfId="5202" xr:uid="{00000000-0005-0000-0000-0000AB110000}"/>
    <cellStyle name="40% - Accent6 3 8" xfId="5203" xr:uid="{00000000-0005-0000-0000-0000AC110000}"/>
    <cellStyle name="40% - Accent6 3 9" xfId="5204" xr:uid="{00000000-0005-0000-0000-0000AD110000}"/>
    <cellStyle name="40% - Accent6 4" xfId="2133" xr:uid="{00000000-0005-0000-0000-0000AE110000}"/>
    <cellStyle name="40% - Accent6 4 2" xfId="2134" xr:uid="{00000000-0005-0000-0000-0000AF110000}"/>
    <cellStyle name="40% - Accent6 4 2 2" xfId="5206" xr:uid="{00000000-0005-0000-0000-0000B0110000}"/>
    <cellStyle name="40% - Accent6 4 3" xfId="2135" xr:uid="{00000000-0005-0000-0000-0000B1110000}"/>
    <cellStyle name="40% - Accent6 4 3 2" xfId="5207" xr:uid="{00000000-0005-0000-0000-0000B2110000}"/>
    <cellStyle name="40% - Accent6 4 4" xfId="5208" xr:uid="{00000000-0005-0000-0000-0000B3110000}"/>
    <cellStyle name="40% - Accent6 4 5" xfId="5209" xr:uid="{00000000-0005-0000-0000-0000B4110000}"/>
    <cellStyle name="40% - Accent6 4 6" xfId="5210" xr:uid="{00000000-0005-0000-0000-0000B5110000}"/>
    <cellStyle name="40% - Accent6 4 7" xfId="5205" xr:uid="{00000000-0005-0000-0000-0000B6110000}"/>
    <cellStyle name="40% - Accent6 5" xfId="2136" xr:uid="{00000000-0005-0000-0000-0000B7110000}"/>
    <cellStyle name="40% - Accent6 5 2" xfId="5212" xr:uid="{00000000-0005-0000-0000-0000B8110000}"/>
    <cellStyle name="40% - Accent6 5 3" xfId="5213" xr:uid="{00000000-0005-0000-0000-0000B9110000}"/>
    <cellStyle name="40% - Accent6 5 4" xfId="5214" xr:uid="{00000000-0005-0000-0000-0000BA110000}"/>
    <cellStyle name="40% - Accent6 5 5" xfId="5215" xr:uid="{00000000-0005-0000-0000-0000BB110000}"/>
    <cellStyle name="40% - Accent6 5 6" xfId="5216" xr:uid="{00000000-0005-0000-0000-0000BC110000}"/>
    <cellStyle name="40% - Accent6 5 7" xfId="5211" xr:uid="{00000000-0005-0000-0000-0000BD110000}"/>
    <cellStyle name="40% - Accent6 6" xfId="5217" xr:uid="{00000000-0005-0000-0000-0000BE110000}"/>
    <cellStyle name="40% - Accent6 6 2" xfId="5218" xr:uid="{00000000-0005-0000-0000-0000BF110000}"/>
    <cellStyle name="40% - Accent6 6 3" xfId="5219" xr:uid="{00000000-0005-0000-0000-0000C0110000}"/>
    <cellStyle name="40% - Accent6 6 4" xfId="5220" xr:uid="{00000000-0005-0000-0000-0000C1110000}"/>
    <cellStyle name="40% - Accent6 6 5" xfId="5221" xr:uid="{00000000-0005-0000-0000-0000C2110000}"/>
    <cellStyle name="40% - Accent6 6 6" xfId="5222" xr:uid="{00000000-0005-0000-0000-0000C3110000}"/>
    <cellStyle name="40% - Accent6 7" xfId="5223" xr:uid="{00000000-0005-0000-0000-0000C4110000}"/>
    <cellStyle name="40% - Accent6 7 2" xfId="5224" xr:uid="{00000000-0005-0000-0000-0000C5110000}"/>
    <cellStyle name="40% - Accent6 7 3" xfId="5225" xr:uid="{00000000-0005-0000-0000-0000C6110000}"/>
    <cellStyle name="40% - Accent6 7 4" xfId="5226" xr:uid="{00000000-0005-0000-0000-0000C7110000}"/>
    <cellStyle name="40% - Accent6 7 5" xfId="5227" xr:uid="{00000000-0005-0000-0000-0000C8110000}"/>
    <cellStyle name="40% - Accent6 7 6" xfId="5228" xr:uid="{00000000-0005-0000-0000-0000C9110000}"/>
    <cellStyle name="40% - Accent6 7 7" xfId="8194" xr:uid="{00000000-0005-0000-0000-0000CA110000}"/>
    <cellStyle name="40% - Accent6 8" xfId="5229" xr:uid="{00000000-0005-0000-0000-0000CB110000}"/>
    <cellStyle name="40% - Accent6 8 2" xfId="5230" xr:uid="{00000000-0005-0000-0000-0000CC110000}"/>
    <cellStyle name="40% - Accent6 8 3" xfId="5231" xr:uid="{00000000-0005-0000-0000-0000CD110000}"/>
    <cellStyle name="40% - Accent6 8 4" xfId="5232" xr:uid="{00000000-0005-0000-0000-0000CE110000}"/>
    <cellStyle name="40% - Accent6 8 5" xfId="5233" xr:uid="{00000000-0005-0000-0000-0000CF110000}"/>
    <cellStyle name="40% - Accent6 8 6" xfId="5234" xr:uid="{00000000-0005-0000-0000-0000D0110000}"/>
    <cellStyle name="40% - Accent6 9" xfId="5235" xr:uid="{00000000-0005-0000-0000-0000D1110000}"/>
    <cellStyle name="40% - Accent6 9 2" xfId="5236" xr:uid="{00000000-0005-0000-0000-0000D2110000}"/>
    <cellStyle name="40% - Accent6 9 3" xfId="5237" xr:uid="{00000000-0005-0000-0000-0000D3110000}"/>
    <cellStyle name="40% - Accent6 9 4" xfId="5238" xr:uid="{00000000-0005-0000-0000-0000D4110000}"/>
    <cellStyle name="40% - Accent6 9 5" xfId="5239" xr:uid="{00000000-0005-0000-0000-0000D5110000}"/>
    <cellStyle name="5x indented GHG Textfiels" xfId="23" xr:uid="{00000000-0005-0000-0000-0000D6110000}"/>
    <cellStyle name="5x indented GHG Textfiels 2" xfId="107" xr:uid="{00000000-0005-0000-0000-0000D7110000}"/>
    <cellStyle name="5x indented GHG Textfiels 2 2" xfId="108" xr:uid="{00000000-0005-0000-0000-0000D8110000}"/>
    <cellStyle name="5x indented GHG Textfiels 3" xfId="109" xr:uid="{00000000-0005-0000-0000-0000D9110000}"/>
    <cellStyle name="5x indented GHG Textfiels 3 2" xfId="414" xr:uid="{00000000-0005-0000-0000-0000DA110000}"/>
    <cellStyle name="5x indented GHG Textfiels 3 2 2" xfId="14010" xr:uid="{00000000-0005-0000-0000-0000DB110000}"/>
    <cellStyle name="5x indented GHG Textfiels 3 3" xfId="362" xr:uid="{00000000-0005-0000-0000-0000DC110000}"/>
    <cellStyle name="5x indented GHG Textfiels 3 3 10" xfId="9175" xr:uid="{00000000-0005-0000-0000-0000DD110000}"/>
    <cellStyle name="5x indented GHG Textfiels 3 3 11" xfId="9049" xr:uid="{00000000-0005-0000-0000-0000DE110000}"/>
    <cellStyle name="5x indented GHG Textfiels 3 3 12" xfId="10923" xr:uid="{00000000-0005-0000-0000-0000DF110000}"/>
    <cellStyle name="5x indented GHG Textfiels 3 3 13" xfId="10684" xr:uid="{00000000-0005-0000-0000-0000E0110000}"/>
    <cellStyle name="5x indented GHG Textfiels 3 3 14" xfId="10765" xr:uid="{00000000-0005-0000-0000-0000E1110000}"/>
    <cellStyle name="5x indented GHG Textfiels 3 3 15" xfId="10799" xr:uid="{00000000-0005-0000-0000-0000E2110000}"/>
    <cellStyle name="5x indented GHG Textfiels 3 3 16" xfId="12249" xr:uid="{00000000-0005-0000-0000-0000E3110000}"/>
    <cellStyle name="5x indented GHG Textfiels 3 3 17" xfId="16458" xr:uid="{00000000-0005-0000-0000-0000E4110000}"/>
    <cellStyle name="5x indented GHG Textfiels 3 3 18" xfId="16431" xr:uid="{00000000-0005-0000-0000-0000E5110000}"/>
    <cellStyle name="5x indented GHG Textfiels 3 3 19" xfId="17559" xr:uid="{00000000-0005-0000-0000-0000E6110000}"/>
    <cellStyle name="5x indented GHG Textfiels 3 3 2" xfId="649" xr:uid="{00000000-0005-0000-0000-0000E7110000}"/>
    <cellStyle name="5x indented GHG Textfiels 3 3 2 10" xfId="11116" xr:uid="{00000000-0005-0000-0000-0000E8110000}"/>
    <cellStyle name="5x indented GHG Textfiels 3 3 2 11" xfId="11503" xr:uid="{00000000-0005-0000-0000-0000E9110000}"/>
    <cellStyle name="5x indented GHG Textfiels 3 3 2 12" xfId="11875" xr:uid="{00000000-0005-0000-0000-0000EA110000}"/>
    <cellStyle name="5x indented GHG Textfiels 3 3 2 13" xfId="12388" xr:uid="{00000000-0005-0000-0000-0000EB110000}"/>
    <cellStyle name="5x indented GHG Textfiels 3 3 2 14" xfId="16238" xr:uid="{00000000-0005-0000-0000-0000EC110000}"/>
    <cellStyle name="5x indented GHG Textfiels 3 3 2 15" xfId="14917" xr:uid="{00000000-0005-0000-0000-0000ED110000}"/>
    <cellStyle name="5x indented GHG Textfiels 3 3 2 16" xfId="18845" xr:uid="{00000000-0005-0000-0000-0000EE110000}"/>
    <cellStyle name="5x indented GHG Textfiels 3 3 2 17" xfId="18114" xr:uid="{00000000-0005-0000-0000-0000EF110000}"/>
    <cellStyle name="5x indented GHG Textfiels 3 3 2 2" xfId="864" xr:uid="{00000000-0005-0000-0000-0000F0110000}"/>
    <cellStyle name="5x indented GHG Textfiels 3 3 2 2 10" xfId="11710" xr:uid="{00000000-0005-0000-0000-0000F1110000}"/>
    <cellStyle name="5x indented GHG Textfiels 3 3 2 2 11" xfId="12081" xr:uid="{00000000-0005-0000-0000-0000F2110000}"/>
    <cellStyle name="5x indented GHG Textfiels 3 3 2 2 12" xfId="12594" xr:uid="{00000000-0005-0000-0000-0000F3110000}"/>
    <cellStyle name="5x indented GHG Textfiels 3 3 2 2 13" xfId="14100" xr:uid="{00000000-0005-0000-0000-0000F4110000}"/>
    <cellStyle name="5x indented GHG Textfiels 3 3 2 2 14" xfId="13799" xr:uid="{00000000-0005-0000-0000-0000F5110000}"/>
    <cellStyle name="5x indented GHG Textfiels 3 3 2 2 15" xfId="17637" xr:uid="{00000000-0005-0000-0000-0000F6110000}"/>
    <cellStyle name="5x indented GHG Textfiels 3 3 2 2 16" xfId="18380" xr:uid="{00000000-0005-0000-0000-0000F7110000}"/>
    <cellStyle name="5x indented GHG Textfiels 3 3 2 2 2" xfId="1200" xr:uid="{00000000-0005-0000-0000-0000F8110000}"/>
    <cellStyle name="5x indented GHG Textfiels 3 3 2 2 2 2" xfId="12929" xr:uid="{00000000-0005-0000-0000-0000F9110000}"/>
    <cellStyle name="5x indented GHG Textfiels 3 3 2 2 2 3" xfId="15362" xr:uid="{00000000-0005-0000-0000-0000FA110000}"/>
    <cellStyle name="5x indented GHG Textfiels 3 3 2 2 2 4" xfId="14098" xr:uid="{00000000-0005-0000-0000-0000FB110000}"/>
    <cellStyle name="5x indented GHG Textfiels 3 3 2 2 2 5" xfId="16758" xr:uid="{00000000-0005-0000-0000-0000FC110000}"/>
    <cellStyle name="5x indented GHG Textfiels 3 3 2 2 2 6" xfId="19210" xr:uid="{00000000-0005-0000-0000-0000FD110000}"/>
    <cellStyle name="5x indented GHG Textfiels 3 3 2 2 3" xfId="3930" xr:uid="{00000000-0005-0000-0000-0000FE110000}"/>
    <cellStyle name="5x indented GHG Textfiels 3 3 2 2 4" xfId="9337" xr:uid="{00000000-0005-0000-0000-0000FF110000}"/>
    <cellStyle name="5x indented GHG Textfiels 3 3 2 2 5" xfId="9765" xr:uid="{00000000-0005-0000-0000-000000120000}"/>
    <cellStyle name="5x indented GHG Textfiels 3 3 2 2 6" xfId="10194" xr:uid="{00000000-0005-0000-0000-000001120000}"/>
    <cellStyle name="5x indented GHG Textfiels 3 3 2 2 7" xfId="10606" xr:uid="{00000000-0005-0000-0000-000002120000}"/>
    <cellStyle name="5x indented GHG Textfiels 3 3 2 2 8" xfId="9818" xr:uid="{00000000-0005-0000-0000-000003120000}"/>
    <cellStyle name="5x indented GHG Textfiels 3 3 2 2 9" xfId="11325" xr:uid="{00000000-0005-0000-0000-000004120000}"/>
    <cellStyle name="5x indented GHG Textfiels 3 3 2 3" xfId="1158" xr:uid="{00000000-0005-0000-0000-000005120000}"/>
    <cellStyle name="5x indented GHG Textfiels 3 3 2 3 2" xfId="12887" xr:uid="{00000000-0005-0000-0000-000006120000}"/>
    <cellStyle name="5x indented GHG Textfiels 3 3 2 3 3" xfId="13857" xr:uid="{00000000-0005-0000-0000-000007120000}"/>
    <cellStyle name="5x indented GHG Textfiels 3 3 2 3 4" xfId="17291" xr:uid="{00000000-0005-0000-0000-000008120000}"/>
    <cellStyle name="5x indented GHG Textfiels 3 3 2 3 5" xfId="17881" xr:uid="{00000000-0005-0000-0000-000009120000}"/>
    <cellStyle name="5x indented GHG Textfiels 3 3 2 3 6" xfId="19243" xr:uid="{00000000-0005-0000-0000-00000A120000}"/>
    <cellStyle name="5x indented GHG Textfiels 3 3 2 4" xfId="3443" xr:uid="{00000000-0005-0000-0000-00000B120000}"/>
    <cellStyle name="5x indented GHG Textfiels 3 3 2 5" xfId="8900" xr:uid="{00000000-0005-0000-0000-00000C120000}"/>
    <cellStyle name="5x indented GHG Textfiels 3 3 2 6" xfId="9553" xr:uid="{00000000-0005-0000-0000-00000D120000}"/>
    <cellStyle name="5x indented GHG Textfiels 3 3 2 7" xfId="9980" xr:uid="{00000000-0005-0000-0000-00000E120000}"/>
    <cellStyle name="5x indented GHG Textfiels 3 3 2 8" xfId="10392" xr:uid="{00000000-0005-0000-0000-00000F120000}"/>
    <cellStyle name="5x indented GHG Textfiels 3 3 2 9" xfId="9010" xr:uid="{00000000-0005-0000-0000-000010120000}"/>
    <cellStyle name="5x indented GHG Textfiels 3 3 20" xfId="19487" xr:uid="{00000000-0005-0000-0000-000011120000}"/>
    <cellStyle name="5x indented GHG Textfiels 3 3 3" xfId="596" xr:uid="{00000000-0005-0000-0000-000012120000}"/>
    <cellStyle name="5x indented GHG Textfiels 3 3 3 10" xfId="11063" xr:uid="{00000000-0005-0000-0000-000013120000}"/>
    <cellStyle name="5x indented GHG Textfiels 3 3 3 11" xfId="11450" xr:uid="{00000000-0005-0000-0000-000014120000}"/>
    <cellStyle name="5x indented GHG Textfiels 3 3 3 12" xfId="11822" xr:uid="{00000000-0005-0000-0000-000015120000}"/>
    <cellStyle name="5x indented GHG Textfiels 3 3 3 13" xfId="12335" xr:uid="{00000000-0005-0000-0000-000016120000}"/>
    <cellStyle name="5x indented GHG Textfiels 3 3 3 14" xfId="16233" xr:uid="{00000000-0005-0000-0000-000017120000}"/>
    <cellStyle name="5x indented GHG Textfiels 3 3 3 15" xfId="14914" xr:uid="{00000000-0005-0000-0000-000018120000}"/>
    <cellStyle name="5x indented GHG Textfiels 3 3 3 16" xfId="18558" xr:uid="{00000000-0005-0000-0000-000019120000}"/>
    <cellStyle name="5x indented GHG Textfiels 3 3 3 17" xfId="18109" xr:uid="{00000000-0005-0000-0000-00001A120000}"/>
    <cellStyle name="5x indented GHG Textfiels 3 3 3 2" xfId="811" xr:uid="{00000000-0005-0000-0000-00001B120000}"/>
    <cellStyle name="5x indented GHG Textfiels 3 3 3 2 10" xfId="11657" xr:uid="{00000000-0005-0000-0000-00001C120000}"/>
    <cellStyle name="5x indented GHG Textfiels 3 3 3 2 11" xfId="12028" xr:uid="{00000000-0005-0000-0000-00001D120000}"/>
    <cellStyle name="5x indented GHG Textfiels 3 3 3 2 12" xfId="12541" xr:uid="{00000000-0005-0000-0000-00001E120000}"/>
    <cellStyle name="5x indented GHG Textfiels 3 3 3 2 13" xfId="15137" xr:uid="{00000000-0005-0000-0000-00001F120000}"/>
    <cellStyle name="5x indented GHG Textfiels 3 3 3 2 14" xfId="16170" xr:uid="{00000000-0005-0000-0000-000020120000}"/>
    <cellStyle name="5x indented GHG Textfiels 3 3 3 2 15" xfId="18448" xr:uid="{00000000-0005-0000-0000-000021120000}"/>
    <cellStyle name="5x indented GHG Textfiels 3 3 3 2 16" xfId="18437" xr:uid="{00000000-0005-0000-0000-000022120000}"/>
    <cellStyle name="5x indented GHG Textfiels 3 3 3 2 2" xfId="1163" xr:uid="{00000000-0005-0000-0000-000023120000}"/>
    <cellStyle name="5x indented GHG Textfiels 3 3 3 2 2 2" xfId="12892" xr:uid="{00000000-0005-0000-0000-000024120000}"/>
    <cellStyle name="5x indented GHG Textfiels 3 3 3 2 2 3" xfId="15343" xr:uid="{00000000-0005-0000-0000-000025120000}"/>
    <cellStyle name="5x indented GHG Textfiels 3 3 3 2 2 4" xfId="17287" xr:uid="{00000000-0005-0000-0000-000026120000}"/>
    <cellStyle name="5x indented GHG Textfiels 3 3 3 2 2 5" xfId="17021" xr:uid="{00000000-0005-0000-0000-000027120000}"/>
    <cellStyle name="5x indented GHG Textfiels 3 3 3 2 2 6" xfId="19239" xr:uid="{00000000-0005-0000-0000-000028120000}"/>
    <cellStyle name="5x indented GHG Textfiels 3 3 3 2 3" xfId="3651" xr:uid="{00000000-0005-0000-0000-000029120000}"/>
    <cellStyle name="5x indented GHG Textfiels 3 3 3 2 4" xfId="9282" xr:uid="{00000000-0005-0000-0000-00002A120000}"/>
    <cellStyle name="5x indented GHG Textfiels 3 3 3 2 5" xfId="9712" xr:uid="{00000000-0005-0000-0000-00002B120000}"/>
    <cellStyle name="5x indented GHG Textfiels 3 3 3 2 6" xfId="10141" xr:uid="{00000000-0005-0000-0000-00002C120000}"/>
    <cellStyle name="5x indented GHG Textfiels 3 3 3 2 7" xfId="10553" xr:uid="{00000000-0005-0000-0000-00002D120000}"/>
    <cellStyle name="5x indented GHG Textfiels 3 3 3 2 8" xfId="10731" xr:uid="{00000000-0005-0000-0000-00002E120000}"/>
    <cellStyle name="5x indented GHG Textfiels 3 3 3 2 9" xfId="11272" xr:uid="{00000000-0005-0000-0000-00002F120000}"/>
    <cellStyle name="5x indented GHG Textfiels 3 3 3 3" xfId="1096" xr:uid="{00000000-0005-0000-0000-000030120000}"/>
    <cellStyle name="5x indented GHG Textfiels 3 3 3 3 2" xfId="12825" xr:uid="{00000000-0005-0000-0000-000031120000}"/>
    <cellStyle name="5x indented GHG Textfiels 3 3 3 3 3" xfId="14009" xr:uid="{00000000-0005-0000-0000-000032120000}"/>
    <cellStyle name="5x indented GHG Textfiels 3 3 3 3 4" xfId="16416" xr:uid="{00000000-0005-0000-0000-000033120000}"/>
    <cellStyle name="5x indented GHG Textfiels 3 3 3 3 5" xfId="17885" xr:uid="{00000000-0005-0000-0000-000034120000}"/>
    <cellStyle name="5x indented GHG Textfiels 3 3 3 3 6" xfId="19291" xr:uid="{00000000-0005-0000-0000-000035120000}"/>
    <cellStyle name="5x indented GHG Textfiels 3 3 3 4" xfId="3531" xr:uid="{00000000-0005-0000-0000-000036120000}"/>
    <cellStyle name="5x indented GHG Textfiels 3 3 3 5" xfId="9260" xr:uid="{00000000-0005-0000-0000-000037120000}"/>
    <cellStyle name="5x indented GHG Textfiels 3 3 3 6" xfId="9500" xr:uid="{00000000-0005-0000-0000-000038120000}"/>
    <cellStyle name="5x indented GHG Textfiels 3 3 3 7" xfId="9927" xr:uid="{00000000-0005-0000-0000-000039120000}"/>
    <cellStyle name="5x indented GHG Textfiels 3 3 3 8" xfId="10339" xr:uid="{00000000-0005-0000-0000-00003A120000}"/>
    <cellStyle name="5x indented GHG Textfiels 3 3 3 9" xfId="10919" xr:uid="{00000000-0005-0000-0000-00003B120000}"/>
    <cellStyle name="5x indented GHG Textfiels 3 3 4" xfId="680" xr:uid="{00000000-0005-0000-0000-00003C120000}"/>
    <cellStyle name="5x indented GHG Textfiels 3 3 4 10" xfId="11147" xr:uid="{00000000-0005-0000-0000-00003D120000}"/>
    <cellStyle name="5x indented GHG Textfiels 3 3 4 11" xfId="11534" xr:uid="{00000000-0005-0000-0000-00003E120000}"/>
    <cellStyle name="5x indented GHG Textfiels 3 3 4 12" xfId="11906" xr:uid="{00000000-0005-0000-0000-00003F120000}"/>
    <cellStyle name="5x indented GHG Textfiels 3 3 4 13" xfId="12419" xr:uid="{00000000-0005-0000-0000-000040120000}"/>
    <cellStyle name="5x indented GHG Textfiels 3 3 4 14" xfId="13754" xr:uid="{00000000-0005-0000-0000-000041120000}"/>
    <cellStyle name="5x indented GHG Textfiels 3 3 4 15" xfId="15779" xr:uid="{00000000-0005-0000-0000-000042120000}"/>
    <cellStyle name="5x indented GHG Textfiels 3 3 4 16" xfId="15729" xr:uid="{00000000-0005-0000-0000-000043120000}"/>
    <cellStyle name="5x indented GHG Textfiels 3 3 4 17" xfId="15108" xr:uid="{00000000-0005-0000-0000-000044120000}"/>
    <cellStyle name="5x indented GHG Textfiels 3 3 4 2" xfId="895" xr:uid="{00000000-0005-0000-0000-000045120000}"/>
    <cellStyle name="5x indented GHG Textfiels 3 3 4 2 10" xfId="11741" xr:uid="{00000000-0005-0000-0000-000046120000}"/>
    <cellStyle name="5x indented GHG Textfiels 3 3 4 2 11" xfId="12112" xr:uid="{00000000-0005-0000-0000-000047120000}"/>
    <cellStyle name="5x indented GHG Textfiels 3 3 4 2 12" xfId="12625" xr:uid="{00000000-0005-0000-0000-000048120000}"/>
    <cellStyle name="5x indented GHG Textfiels 3 3 4 2 13" xfId="16152" xr:uid="{00000000-0005-0000-0000-000049120000}"/>
    <cellStyle name="5x indented GHG Textfiels 3 3 4 2 14" xfId="17448" xr:uid="{00000000-0005-0000-0000-00004A120000}"/>
    <cellStyle name="5x indented GHG Textfiels 3 3 4 2 15" xfId="18464" xr:uid="{00000000-0005-0000-0000-00004B120000}"/>
    <cellStyle name="5x indented GHG Textfiels 3 3 4 2 16" xfId="18093" xr:uid="{00000000-0005-0000-0000-00004C120000}"/>
    <cellStyle name="5x indented GHG Textfiels 3 3 4 2 2" xfId="1397" xr:uid="{00000000-0005-0000-0000-00004D120000}"/>
    <cellStyle name="5x indented GHG Textfiels 3 3 4 2 2 2" xfId="13126" xr:uid="{00000000-0005-0000-0000-00004E120000}"/>
    <cellStyle name="5x indented GHG Textfiels 3 3 4 2 2 3" xfId="15178" xr:uid="{00000000-0005-0000-0000-00004F120000}"/>
    <cellStyle name="5x indented GHG Textfiels 3 3 4 2 2 4" xfId="15157" xr:uid="{00000000-0005-0000-0000-000050120000}"/>
    <cellStyle name="5x indented GHG Textfiels 3 3 4 2 2 5" xfId="14207" xr:uid="{00000000-0005-0000-0000-000051120000}"/>
    <cellStyle name="5x indented GHG Textfiels 3 3 4 2 2 6" xfId="14970" xr:uid="{00000000-0005-0000-0000-000052120000}"/>
    <cellStyle name="5x indented GHG Textfiels 3 3 4 2 3" xfId="4249" xr:uid="{00000000-0005-0000-0000-000053120000}"/>
    <cellStyle name="5x indented GHG Textfiels 3 3 4 2 4" xfId="9368" xr:uid="{00000000-0005-0000-0000-000054120000}"/>
    <cellStyle name="5x indented GHG Textfiels 3 3 4 2 5" xfId="9796" xr:uid="{00000000-0005-0000-0000-000055120000}"/>
    <cellStyle name="5x indented GHG Textfiels 3 3 4 2 6" xfId="10225" xr:uid="{00000000-0005-0000-0000-000056120000}"/>
    <cellStyle name="5x indented GHG Textfiels 3 3 4 2 7" xfId="10637" xr:uid="{00000000-0005-0000-0000-000057120000}"/>
    <cellStyle name="5x indented GHG Textfiels 3 3 4 2 8" xfId="10967" xr:uid="{00000000-0005-0000-0000-000058120000}"/>
    <cellStyle name="5x indented GHG Textfiels 3 3 4 2 9" xfId="11356" xr:uid="{00000000-0005-0000-0000-000059120000}"/>
    <cellStyle name="5x indented GHG Textfiels 3 3 4 3" xfId="933" xr:uid="{00000000-0005-0000-0000-00005A120000}"/>
    <cellStyle name="5x indented GHG Textfiels 3 3 4 3 2" xfId="12662" xr:uid="{00000000-0005-0000-0000-00005B120000}"/>
    <cellStyle name="5x indented GHG Textfiels 3 3 4 3 3" xfId="15252" xr:uid="{00000000-0005-0000-0000-00005C120000}"/>
    <cellStyle name="5x indented GHG Textfiels 3 3 4 3 4" xfId="15576" xr:uid="{00000000-0005-0000-0000-00005D120000}"/>
    <cellStyle name="5x indented GHG Textfiels 3 3 4 3 5" xfId="17651" xr:uid="{00000000-0005-0000-0000-00005E120000}"/>
    <cellStyle name="5x indented GHG Textfiels 3 3 4 3 6" xfId="19398" xr:uid="{00000000-0005-0000-0000-00005F120000}"/>
    <cellStyle name="5x indented GHG Textfiels 3 3 4 4" xfId="3858" xr:uid="{00000000-0005-0000-0000-000060120000}"/>
    <cellStyle name="5x indented GHG Textfiels 3 3 4 5" xfId="9068" xr:uid="{00000000-0005-0000-0000-000061120000}"/>
    <cellStyle name="5x indented GHG Textfiels 3 3 4 6" xfId="9584" xr:uid="{00000000-0005-0000-0000-000062120000}"/>
    <cellStyle name="5x indented GHG Textfiels 3 3 4 7" xfId="10011" xr:uid="{00000000-0005-0000-0000-000063120000}"/>
    <cellStyle name="5x indented GHG Textfiels 3 3 4 8" xfId="10423" xr:uid="{00000000-0005-0000-0000-000064120000}"/>
    <cellStyle name="5x indented GHG Textfiels 3 3 4 9" xfId="10876" xr:uid="{00000000-0005-0000-0000-000065120000}"/>
    <cellStyle name="5x indented GHG Textfiels 3 3 5" xfId="717" xr:uid="{00000000-0005-0000-0000-000066120000}"/>
    <cellStyle name="5x indented GHG Textfiels 3 3 5 2" xfId="14241" xr:uid="{00000000-0005-0000-0000-000067120000}"/>
    <cellStyle name="5x indented GHG Textfiels 3 3 6" xfId="11" xr:uid="{00000000-0005-0000-0000-000068120000}"/>
    <cellStyle name="5x indented GHG Textfiels 3 3 6 2" xfId="12172" xr:uid="{00000000-0005-0000-0000-000069120000}"/>
    <cellStyle name="5x indented GHG Textfiels 3 3 6 3" xfId="16613" xr:uid="{00000000-0005-0000-0000-00006A120000}"/>
    <cellStyle name="5x indented GHG Textfiels 3 3 6 4" xfId="17725" xr:uid="{00000000-0005-0000-0000-00006B120000}"/>
    <cellStyle name="5x indented GHG Textfiels 3 3 6 5" xfId="18765" xr:uid="{00000000-0005-0000-0000-00006C120000}"/>
    <cellStyle name="5x indented GHG Textfiels 3 3 6 6" xfId="19527" xr:uid="{00000000-0005-0000-0000-00006D120000}"/>
    <cellStyle name="5x indented GHG Textfiels 3 3 7" xfId="3573" xr:uid="{00000000-0005-0000-0000-00006E120000}"/>
    <cellStyle name="5x indented GHG Textfiels 3 3 8" xfId="9130" xr:uid="{00000000-0005-0000-0000-00006F120000}"/>
    <cellStyle name="5x indented GHG Textfiels 3 3 9" xfId="8677" xr:uid="{00000000-0005-0000-0000-000070120000}"/>
    <cellStyle name="5x indented GHG Textfiels_Table 4(II)" xfId="204" xr:uid="{00000000-0005-0000-0000-000071120000}"/>
    <cellStyle name="60 % - Akzent1" xfId="3369" hidden="1" xr:uid="{00000000-0005-0000-0000-000012130000}"/>
    <cellStyle name="60 % - Akzent1" xfId="1261" hidden="1" xr:uid="{00000000-0005-0000-0000-000011130000}"/>
    <cellStyle name="60 % - Akzent1" xfId="1001" hidden="1" xr:uid="{00000000-0005-0000-0000-00000F130000}"/>
    <cellStyle name="60 % - Akzent1" xfId="1368" hidden="1" xr:uid="{00000000-0005-0000-0000-000010130000}"/>
    <cellStyle name="60 % - Akzent1" xfId="961" hidden="1" xr:uid="{00000000-0005-0000-0000-00000A130000}"/>
    <cellStyle name="60 % - Akzent1" xfId="65" hidden="1" xr:uid="{00000000-0005-0000-0000-00000B130000}"/>
    <cellStyle name="60 % - Akzent1" xfId="12188" hidden="1" xr:uid="{00000000-0005-0000-0000-00000C130000}"/>
    <cellStyle name="60 % - Akzent1" xfId="12690" hidden="1" xr:uid="{00000000-0005-0000-0000-00000D130000}"/>
    <cellStyle name="60 % - Akzent1" xfId="12990" hidden="1" xr:uid="{00000000-0005-0000-0000-00000E130000}"/>
    <cellStyle name="60 % - Akzent1" xfId="8256" hidden="1" xr:uid="{00000000-0005-0000-0000-0000F6120000}"/>
    <cellStyle name="60 % - Akzent1" xfId="13735" hidden="1" xr:uid="{00000000-0005-0000-0000-0000D7120000}"/>
    <cellStyle name="60 % - Akzent1" xfId="14342" hidden="1" xr:uid="{00000000-0005-0000-0000-0000BC120000}"/>
    <cellStyle name="60 % - Akzent1" xfId="19164" hidden="1" xr:uid="{00000000-0005-0000-0000-0000BE120000}"/>
    <cellStyle name="60 % - Akzent1" xfId="13357" hidden="1" xr:uid="{00000000-0005-0000-0000-0000F0120000}"/>
    <cellStyle name="60 % - Akzent1" xfId="18643" hidden="1" xr:uid="{00000000-0005-0000-0000-00009E120000}"/>
    <cellStyle name="60 % - Akzent1" xfId="8378" hidden="1" xr:uid="{00000000-0005-0000-0000-0000F8120000}"/>
    <cellStyle name="60 % - Akzent1" xfId="18823" hidden="1" xr:uid="{00000000-0005-0000-0000-0000A6120000}"/>
    <cellStyle name="60 % - Akzent1" xfId="3234" hidden="1" xr:uid="{00000000-0005-0000-0000-000000130000}"/>
    <cellStyle name="60 % - Akzent1" xfId="13097" hidden="1" xr:uid="{00000000-0005-0000-0000-000002130000}"/>
    <cellStyle name="60 % - Akzent1" xfId="13488" hidden="1" xr:uid="{00000000-0005-0000-0000-000007130000}"/>
    <cellStyle name="60 % - Akzent1" xfId="8948" hidden="1" xr:uid="{00000000-0005-0000-0000-0000D6120000}"/>
    <cellStyle name="60 % - Akzent1" xfId="9393" hidden="1" xr:uid="{00000000-0005-0000-0000-0000D1120000}"/>
    <cellStyle name="60 % - Akzent1" xfId="10770" hidden="1" xr:uid="{00000000-0005-0000-0000-0000D2120000}"/>
    <cellStyle name="60 % - Akzent1" xfId="10755" hidden="1" xr:uid="{00000000-0005-0000-0000-0000D3120000}"/>
    <cellStyle name="60 % - Akzent1" xfId="9851" hidden="1" xr:uid="{00000000-0005-0000-0000-0000D4120000}"/>
    <cellStyle name="60 % - Akzent1" xfId="8913" hidden="1" xr:uid="{00000000-0005-0000-0000-0000D5120000}"/>
    <cellStyle name="60 % - Akzent1" xfId="13482" hidden="1" xr:uid="{00000000-0005-0000-0000-000004130000}"/>
    <cellStyle name="60 % - Akzent1" xfId="13414" hidden="1" xr:uid="{00000000-0005-0000-0000-000009130000}"/>
    <cellStyle name="60 % - Akzent1" xfId="15585" hidden="1" xr:uid="{00000000-0005-0000-0000-0000AD120000}"/>
    <cellStyle name="60 % - Akzent1" xfId="14666" hidden="1" xr:uid="{00000000-0005-0000-0000-0000D9120000}"/>
    <cellStyle name="60 % - Akzent1" xfId="14455" hidden="1" xr:uid="{00000000-0005-0000-0000-0000DA120000}"/>
    <cellStyle name="60 % - Akzent1" xfId="14754" hidden="1" xr:uid="{00000000-0005-0000-0000-0000DB120000}"/>
    <cellStyle name="60 % - Akzent1" xfId="16293" hidden="1" xr:uid="{00000000-0005-0000-0000-0000DC120000}"/>
    <cellStyle name="60 % - Akzent1" xfId="16325" hidden="1" xr:uid="{00000000-0005-0000-0000-0000DD120000}"/>
    <cellStyle name="60 % - Akzent1" xfId="13539" hidden="1" xr:uid="{00000000-0005-0000-0000-000006130000}"/>
    <cellStyle name="60 % - Akzent1" xfId="18653" hidden="1" xr:uid="{00000000-0005-0000-0000-00009C120000}"/>
    <cellStyle name="60 % - Akzent1" xfId="18759" hidden="1" xr:uid="{00000000-0005-0000-0000-0000B5120000}"/>
    <cellStyle name="60 % - Akzent1" xfId="14137" hidden="1" xr:uid="{00000000-0005-0000-0000-0000E1120000}"/>
    <cellStyle name="60 % - Akzent1" xfId="15061" hidden="1" xr:uid="{00000000-0005-0000-0000-0000E2120000}"/>
    <cellStyle name="60 % - Akzent1" xfId="15780" hidden="1" xr:uid="{00000000-0005-0000-0000-0000E3120000}"/>
    <cellStyle name="60 % - Akzent1" xfId="14026" hidden="1" xr:uid="{00000000-0005-0000-0000-0000E4120000}"/>
    <cellStyle name="60 % - Akzent1" xfId="15713" hidden="1" xr:uid="{00000000-0005-0000-0000-0000E5120000}"/>
    <cellStyle name="60 % - Akzent1" xfId="19090" hidden="1" xr:uid="{00000000-0005-0000-0000-0000C0120000}"/>
    <cellStyle name="60 % - Akzent1" xfId="19706" hidden="1" xr:uid="{00000000-0005-0000-0000-0000C5120000}"/>
    <cellStyle name="60 % - Akzent1" xfId="14092" hidden="1" xr:uid="{00000000-0005-0000-0000-000085120000}"/>
    <cellStyle name="60 % - Akzent1" xfId="16712" hidden="1" xr:uid="{00000000-0005-0000-0000-0000E9120000}"/>
    <cellStyle name="60 % - Akzent1" xfId="16661" hidden="1" xr:uid="{00000000-0005-0000-0000-0000EA120000}"/>
    <cellStyle name="60 % - Akzent1" xfId="15052" hidden="1" xr:uid="{00000000-0005-0000-0000-0000EB120000}"/>
    <cellStyle name="60 % - Akzent1" xfId="15269" hidden="1" xr:uid="{00000000-0005-0000-0000-0000EC120000}"/>
    <cellStyle name="60 % - Akzent1" xfId="15395" hidden="1" xr:uid="{00000000-0005-0000-0000-0000ED120000}"/>
    <cellStyle name="60 % - Akzent1" xfId="19700" hidden="1" xr:uid="{00000000-0005-0000-0000-0000C2120000}"/>
    <cellStyle name="60 % - Akzent1" xfId="15989" hidden="1" xr:uid="{00000000-0005-0000-0000-0000AC120000}"/>
    <cellStyle name="60 % - Akzent1" xfId="17212" hidden="1" xr:uid="{00000000-0005-0000-0000-00008D120000}"/>
    <cellStyle name="60 % - Akzent1" xfId="13583" hidden="1" xr:uid="{00000000-0005-0000-0000-0000F1120000}"/>
    <cellStyle name="60 % - Akzent1" xfId="13615" hidden="1" xr:uid="{00000000-0005-0000-0000-0000F2120000}"/>
    <cellStyle name="60 % - Akzent1" xfId="13631" hidden="1" xr:uid="{00000000-0005-0000-0000-0000F3120000}"/>
    <cellStyle name="60 % - Akzent1" xfId="13662" hidden="1" xr:uid="{00000000-0005-0000-0000-0000F4120000}"/>
    <cellStyle name="60 % - Akzent1" xfId="13621" hidden="1" xr:uid="{00000000-0005-0000-0000-0000F5120000}"/>
    <cellStyle name="60 % - Akzent1" xfId="16851" hidden="1" xr:uid="{00000000-0005-0000-0000-00007D120000}"/>
    <cellStyle name="60 % - Akzent1" xfId="13717" hidden="1" xr:uid="{00000000-0005-0000-0000-000082120000}"/>
    <cellStyle name="60 % - Akzent1" xfId="3186" hidden="1" xr:uid="{00000000-0005-0000-0000-0000FE120000}"/>
    <cellStyle name="60 % - Akzent1" xfId="8431" hidden="1" xr:uid="{00000000-0005-0000-0000-0000F9120000}"/>
    <cellStyle name="60 % - Akzent1" xfId="8474" hidden="1" xr:uid="{00000000-0005-0000-0000-0000FA120000}"/>
    <cellStyle name="60 % - Akzent1" xfId="8589" hidden="1" xr:uid="{00000000-0005-0000-0000-0000FB120000}"/>
    <cellStyle name="60 % - Akzent1" xfId="9234" hidden="1" xr:uid="{00000000-0005-0000-0000-0000FC120000}"/>
    <cellStyle name="60 % - Akzent1" xfId="8944" hidden="1" xr:uid="{00000000-0005-0000-0000-0000FD120000}"/>
    <cellStyle name="60 % - Akzent1" xfId="16908" hidden="1" xr:uid="{00000000-0005-0000-0000-00007F120000}"/>
    <cellStyle name="60 % - Akzent1" xfId="15665" hidden="1" xr:uid="{00000000-0005-0000-0000-000084120000}"/>
    <cellStyle name="60 % - Akzent1" xfId="18687" hidden="1" xr:uid="{00000000-0005-0000-0000-00009D120000}"/>
    <cellStyle name="60 % - Akzent1" xfId="3275" hidden="1" xr:uid="{00000000-0005-0000-0000-0000C9120000}"/>
    <cellStyle name="60 % - Akzent1" xfId="3224" hidden="1" xr:uid="{00000000-0005-0000-0000-0000CA120000}"/>
    <cellStyle name="60 % - Akzent1" xfId="9386" hidden="1" xr:uid="{00000000-0005-0000-0000-0000CB120000}"/>
    <cellStyle name="60 % - Akzent1" xfId="8970" hidden="1" xr:uid="{00000000-0005-0000-0000-0000CC120000}"/>
    <cellStyle name="60 % - Akzent1" xfId="4051" hidden="1" xr:uid="{00000000-0005-0000-0000-0000CD120000}"/>
    <cellStyle name="60 % - Akzent1" xfId="17423" hidden="1" xr:uid="{00000000-0005-0000-0000-00008C120000}"/>
    <cellStyle name="60 % - Akzent1" xfId="18807" hidden="1" xr:uid="{00000000-0005-0000-0000-0000A5120000}"/>
    <cellStyle name="60 % - Akzent1" xfId="16623" hidden="1" xr:uid="{00000000-0005-0000-0000-0000E6120000}"/>
    <cellStyle name="60 % - Akzent1" xfId="3218" hidden="1" xr:uid="{00000000-0005-0000-0000-0000FF120000}"/>
    <cellStyle name="60 % - Akzent1" xfId="12730" hidden="1" xr:uid="{00000000-0005-0000-0000-000001130000}"/>
    <cellStyle name="60 % - Akzent1" xfId="17735" hidden="1" xr:uid="{00000000-0005-0000-0000-000086120000}"/>
    <cellStyle name="60 % - Akzent1" xfId="16331" hidden="1" xr:uid="{00000000-0005-0000-0000-0000E0120000}"/>
    <cellStyle name="60 % - Akzent1" xfId="16022" hidden="1" xr:uid="{00000000-0005-0000-0000-00008E120000}"/>
    <cellStyle name="60 % - Akzent1" xfId="16671" hidden="1" xr:uid="{00000000-0005-0000-0000-0000E8120000}"/>
    <cellStyle name="60 % - Akzent1" xfId="13816" hidden="1" xr:uid="{00000000-0005-0000-0000-000096120000}"/>
    <cellStyle name="60 % - Akzent1" xfId="14841" hidden="1" xr:uid="{00000000-0005-0000-0000-00007C120000}"/>
    <cellStyle name="60 % - Akzent1" xfId="15784" hidden="1" xr:uid="{00000000-0005-0000-0000-000081120000}"/>
    <cellStyle name="60 % - Akzent1" xfId="18775" hidden="1" xr:uid="{00000000-0005-0000-0000-0000A4120000}"/>
    <cellStyle name="60 % - Akzent1" xfId="14107" hidden="1" xr:uid="{00000000-0005-0000-0000-00009F120000}"/>
    <cellStyle name="60 % - Akzent1" xfId="18368" hidden="1" xr:uid="{00000000-0005-0000-0000-0000A0120000}"/>
    <cellStyle name="60 % - Akzent1" xfId="15678" hidden="1" xr:uid="{00000000-0005-0000-0000-0000A1120000}"/>
    <cellStyle name="60 % - Akzent1" xfId="17079" hidden="1" xr:uid="{00000000-0005-0000-0000-0000A2120000}"/>
    <cellStyle name="60 % - Akzent1" xfId="17602" hidden="1" xr:uid="{00000000-0005-0000-0000-0000A3120000}"/>
    <cellStyle name="60 % - Akzent1" xfId="16867" hidden="1" xr:uid="{00000000-0005-0000-0000-00007E120000}"/>
    <cellStyle name="60 % - Akzent1" xfId="14056" hidden="1" xr:uid="{00000000-0005-0000-0000-000083120000}"/>
    <cellStyle name="60 % - Akzent1" xfId="13181" hidden="1" xr:uid="{00000000-0005-0000-0000-0000EF120000}"/>
    <cellStyle name="60 % - Akzent1" xfId="18861" hidden="1" xr:uid="{00000000-0005-0000-0000-0000A7120000}"/>
    <cellStyle name="60 % - Akzent1" xfId="18813" hidden="1" xr:uid="{00000000-0005-0000-0000-0000A8120000}"/>
    <cellStyle name="60 % - Akzent1" xfId="18401" hidden="1" xr:uid="{00000000-0005-0000-0000-0000A9120000}"/>
    <cellStyle name="60 % - Akzent1" xfId="16986" hidden="1" xr:uid="{00000000-0005-0000-0000-0000AA120000}"/>
    <cellStyle name="60 % - Akzent1" xfId="17858" hidden="1" xr:uid="{00000000-0005-0000-0000-0000AB120000}"/>
    <cellStyle name="60 % - Akzent1" xfId="16857" hidden="1" xr:uid="{00000000-0005-0000-0000-000080120000}"/>
    <cellStyle name="60 % - Akzent1" xfId="16341" hidden="1" xr:uid="{00000000-0005-0000-0000-0000DE120000}"/>
    <cellStyle name="60 % - Akzent1" xfId="8352" hidden="1" xr:uid="{00000000-0005-0000-0000-0000F7120000}"/>
    <cellStyle name="60 % - Akzent1" xfId="18959" hidden="1" xr:uid="{00000000-0005-0000-0000-0000AF120000}"/>
    <cellStyle name="60 % - Akzent1" xfId="18975" hidden="1" xr:uid="{00000000-0005-0000-0000-0000B0120000}"/>
    <cellStyle name="60 % - Akzent1" xfId="19016" hidden="1" xr:uid="{00000000-0005-0000-0000-0000B1120000}"/>
    <cellStyle name="60 % - Akzent1" xfId="18965" hidden="1" xr:uid="{00000000-0005-0000-0000-0000B2120000}"/>
    <cellStyle name="60 % - Akzent1" xfId="15650" hidden="1" xr:uid="{00000000-0005-0000-0000-0000B3120000}"/>
    <cellStyle name="60 % - Akzent1" xfId="13450" hidden="1" xr:uid="{00000000-0005-0000-0000-000003130000}"/>
    <cellStyle name="60 % - Akzent1" xfId="13197" hidden="1" xr:uid="{00000000-0005-0000-0000-000008130000}"/>
    <cellStyle name="60 % - Akzent1" xfId="19574" hidden="1" xr:uid="{00000000-0005-0000-0000-0000C7120000}"/>
    <cellStyle name="60 % - Akzent1" xfId="15128" hidden="1" xr:uid="{00000000-0005-0000-0000-0000B7120000}"/>
    <cellStyle name="60 % - Akzent1" xfId="19536" hidden="1" xr:uid="{00000000-0005-0000-0000-0000B8120000}"/>
    <cellStyle name="60 % - Akzent1" xfId="19568" hidden="1" xr:uid="{00000000-0005-0000-0000-0000B9120000}"/>
    <cellStyle name="60 % - Akzent1" xfId="19584" hidden="1" xr:uid="{00000000-0005-0000-0000-0000BA120000}"/>
    <cellStyle name="60 % - Akzent1" xfId="19618" hidden="1" xr:uid="{00000000-0005-0000-0000-0000BB120000}"/>
    <cellStyle name="60 % - Akzent1" xfId="13498" hidden="1" xr:uid="{00000000-0005-0000-0000-000005130000}"/>
    <cellStyle name="60 % - Akzent1" xfId="12175" hidden="1" xr:uid="{00000000-0005-0000-0000-0000EE120000}"/>
    <cellStyle name="60 % - Akzent1" xfId="3722" hidden="1" xr:uid="{00000000-0005-0000-0000-0000CF120000}"/>
    <cellStyle name="60 % - Akzent1" xfId="17767" hidden="1" xr:uid="{00000000-0005-0000-0000-000087120000}"/>
    <cellStyle name="60 % - Akzent1" xfId="17783" hidden="1" xr:uid="{00000000-0005-0000-0000-000088120000}"/>
    <cellStyle name="60 % - Akzent1" xfId="17821" hidden="1" xr:uid="{00000000-0005-0000-0000-000089120000}"/>
    <cellStyle name="60 % - Akzent1" xfId="17773" hidden="1" xr:uid="{00000000-0005-0000-0000-00008A120000}"/>
    <cellStyle name="60 % - Akzent1" xfId="14260" hidden="1" xr:uid="{00000000-0005-0000-0000-00008B120000}"/>
    <cellStyle name="60 % - Akzent1" xfId="18547" hidden="1" xr:uid="{00000000-0005-0000-0000-0000BF120000}"/>
    <cellStyle name="60 % - Akzent1" xfId="19757" hidden="1" xr:uid="{00000000-0005-0000-0000-0000C4120000}"/>
    <cellStyle name="60 % - Akzent1" xfId="17968" hidden="1" xr:uid="{00000000-0005-0000-0000-000094120000}"/>
    <cellStyle name="60 % - Akzent1" xfId="17138" hidden="1" xr:uid="{00000000-0005-0000-0000-00008F120000}"/>
    <cellStyle name="60 % - Akzent1" xfId="17930" hidden="1" xr:uid="{00000000-0005-0000-0000-000090120000}"/>
    <cellStyle name="60 % - Akzent1" xfId="17962" hidden="1" xr:uid="{00000000-0005-0000-0000-000091120000}"/>
    <cellStyle name="60 % - Akzent1" xfId="17978" hidden="1" xr:uid="{00000000-0005-0000-0000-000092120000}"/>
    <cellStyle name="60 % - Akzent1" xfId="18019" hidden="1" xr:uid="{00000000-0005-0000-0000-000093120000}"/>
    <cellStyle name="60 % - Akzent1" xfId="19668" hidden="1" xr:uid="{00000000-0005-0000-0000-0000C1120000}"/>
    <cellStyle name="60 % - Akzent1" xfId="14045" hidden="1" xr:uid="{00000000-0005-0000-0000-0000C6120000}"/>
    <cellStyle name="60 % - Akzent1" xfId="16382" hidden="1" xr:uid="{00000000-0005-0000-0000-0000DF120000}"/>
    <cellStyle name="60 % - Akzent1" xfId="15904" hidden="1" xr:uid="{00000000-0005-0000-0000-000097120000}"/>
    <cellStyle name="60 % - Akzent1" xfId="16485" hidden="1" xr:uid="{00000000-0005-0000-0000-000098120000}"/>
    <cellStyle name="60 % - Akzent1" xfId="17568" hidden="1" xr:uid="{00000000-0005-0000-0000-000099120000}"/>
    <cellStyle name="60 % - Akzent1" xfId="18605" hidden="1" xr:uid="{00000000-0005-0000-0000-00009A120000}"/>
    <cellStyle name="60 % - Akzent1" xfId="18637" hidden="1" xr:uid="{00000000-0005-0000-0000-00009B120000}"/>
    <cellStyle name="60 % - Akzent1" xfId="19716" hidden="1" xr:uid="{00000000-0005-0000-0000-0000C3120000}"/>
    <cellStyle name="60 % - Akzent1" xfId="3410" hidden="1" xr:uid="{00000000-0005-0000-0000-0000CE120000}"/>
    <cellStyle name="60 % - Akzent1" xfId="16655" hidden="1" xr:uid="{00000000-0005-0000-0000-0000E7120000}"/>
    <cellStyle name="60 % - Akzent1" xfId="16283" hidden="1" xr:uid="{00000000-0005-0000-0000-0000B4120000}"/>
    <cellStyle name="60 % - Akzent1" xfId="16464" hidden="1" xr:uid="{00000000-0005-0000-0000-000095120000}"/>
    <cellStyle name="60 % - Akzent1" xfId="14708" hidden="1" xr:uid="{00000000-0005-0000-0000-00007B120000}"/>
    <cellStyle name="60 % - Akzent1" xfId="16819" hidden="1" xr:uid="{00000000-0005-0000-0000-0000C8120000}"/>
    <cellStyle name="60 % - Akzent1" xfId="18927" hidden="1" xr:uid="{00000000-0005-0000-0000-0000AE120000}"/>
    <cellStyle name="60 % - Akzent1" xfId="3817" hidden="1" xr:uid="{00000000-0005-0000-0000-0000D0120000}"/>
    <cellStyle name="60 % - Akzent1" xfId="18159" hidden="1" xr:uid="{00000000-0005-0000-0000-0000B6120000}"/>
    <cellStyle name="60 % - Akzent1" xfId="14417" hidden="1" xr:uid="{00000000-0005-0000-0000-0000D8120000}"/>
    <cellStyle name="60 % - Akzent1" xfId="19375" hidden="1" xr:uid="{00000000-0005-0000-0000-0000BD120000}"/>
    <cellStyle name="60 % - Akzent1" xfId="19051" hidden="1" xr:uid="{00000000-0005-0000-0000-000072120000}"/>
    <cellStyle name="60 % - Akzent1" xfId="18102" hidden="1" xr:uid="{00000000-0005-0000-0000-000073120000}"/>
    <cellStyle name="60 % - Akzent1" xfId="15177" hidden="1" xr:uid="{00000000-0005-0000-0000-000074120000}"/>
    <cellStyle name="60 % - Akzent1" xfId="18407" hidden="1" xr:uid="{00000000-0005-0000-0000-000075120000}"/>
    <cellStyle name="60 % - Akzent1" xfId="19798" hidden="1" xr:uid="{00000000-0005-0000-0000-000076120000}"/>
    <cellStyle name="60 % - Akzent1" xfId="19830" hidden="1" xr:uid="{00000000-0005-0000-0000-000077120000}"/>
    <cellStyle name="60 % - Akzent1" xfId="19846" hidden="1" xr:uid="{00000000-0005-0000-0000-000078120000}"/>
    <cellStyle name="60 % - Akzent1" xfId="19877" hidden="1" xr:uid="{00000000-0005-0000-0000-000079120000}"/>
    <cellStyle name="60 % - Akzent1" xfId="19836" hidden="1" xr:uid="{00000000-0005-0000-0000-00007A120000}"/>
    <cellStyle name="60 % - Akzent1 2" xfId="398" xr:uid="{00000000-0005-0000-0000-000013130000}"/>
    <cellStyle name="60 % - Akzent1 3" xfId="267" xr:uid="{00000000-0005-0000-0000-000014130000}"/>
    <cellStyle name="60 % - Akzent2" xfId="1237" hidden="1" xr:uid="{00000000-0005-0000-0000-0000B5130000}"/>
    <cellStyle name="60 % - Akzent2" xfId="1369" hidden="1" xr:uid="{00000000-0005-0000-0000-0000B4130000}"/>
    <cellStyle name="60 % - Akzent2" xfId="1216" hidden="1" xr:uid="{00000000-0005-0000-0000-0000B2130000}"/>
    <cellStyle name="60 % - Akzent2" xfId="964" hidden="1" xr:uid="{00000000-0005-0000-0000-0000B3130000}"/>
    <cellStyle name="60 % - Akzent2" xfId="8290" hidden="1" xr:uid="{00000000-0005-0000-0000-000097130000}"/>
    <cellStyle name="60 % - Akzent2" xfId="17050" hidden="1" xr:uid="{00000000-0005-0000-0000-000032130000}"/>
    <cellStyle name="60 % - Akzent2" xfId="16408" hidden="1" xr:uid="{00000000-0005-0000-0000-00007E130000}"/>
    <cellStyle name="60 % - Akzent2" xfId="13453" hidden="1" xr:uid="{00000000-0005-0000-0000-0000A4130000}"/>
    <cellStyle name="60 % - Akzent2" xfId="18249" hidden="1" xr:uid="{00000000-0005-0000-0000-00003E130000}"/>
    <cellStyle name="60 % - Akzent2" xfId="13562" hidden="1" xr:uid="{00000000-0005-0000-0000-0000A8130000}"/>
    <cellStyle name="60 % - Akzent2" xfId="17848" hidden="1" xr:uid="{00000000-0005-0000-0000-000025130000}"/>
    <cellStyle name="60 % - Akzent2" xfId="14755" hidden="1" xr:uid="{00000000-0005-0000-0000-000079130000}"/>
    <cellStyle name="60 % - Akzent2" xfId="14630" hidden="1" xr:uid="{00000000-0005-0000-0000-00007A130000}"/>
    <cellStyle name="60 % - Akzent2" xfId="13356" hidden="1" xr:uid="{00000000-0005-0000-0000-0000AC130000}"/>
    <cellStyle name="60 % - Akzent2" xfId="15793" hidden="1" xr:uid="{00000000-0005-0000-0000-000029130000}"/>
    <cellStyle name="60 % - Akzent2" xfId="9146" hidden="1" xr:uid="{00000000-0005-0000-0000-00009B130000}"/>
    <cellStyle name="60 % - Akzent2" xfId="9131" hidden="1" xr:uid="{00000000-0005-0000-0000-00009C130000}"/>
    <cellStyle name="60 % - Akzent2" xfId="12191" hidden="1" xr:uid="{00000000-0005-0000-0000-0000AE130000}"/>
    <cellStyle name="60 % - Akzent2" xfId="18950" hidden="1" xr:uid="{00000000-0005-0000-0000-00004A130000}"/>
    <cellStyle name="60 % - Akzent2" xfId="15938" hidden="1" xr:uid="{00000000-0005-0000-0000-000081130000}"/>
    <cellStyle name="60 % - Akzent2" xfId="15794" hidden="1" xr:uid="{00000000-0005-0000-0000-000082130000}"/>
    <cellStyle name="60 % - Akzent2" xfId="12966" hidden="1" xr:uid="{00000000-0005-0000-0000-0000B0130000}"/>
    <cellStyle name="60 % - Akzent2" xfId="15712" hidden="1" xr:uid="{00000000-0005-0000-0000-000083130000}"/>
    <cellStyle name="60 % - Akzent2" xfId="15806" hidden="1" xr:uid="{00000000-0005-0000-0000-000084130000}"/>
    <cellStyle name="60 % - Akzent2" xfId="19801" hidden="1" xr:uid="{00000000-0005-0000-0000-000067130000}"/>
    <cellStyle name="60 % - Akzent2" xfId="16626" hidden="1" xr:uid="{00000000-0005-0000-0000-000085130000}"/>
    <cellStyle name="60 % - Akzent2" xfId="16646" hidden="1" xr:uid="{00000000-0005-0000-0000-000086130000}"/>
    <cellStyle name="60 % - Akzent2" xfId="16674" hidden="1" xr:uid="{00000000-0005-0000-0000-000087130000}"/>
    <cellStyle name="60 % - Akzent2" xfId="13473" hidden="1" xr:uid="{00000000-0005-0000-0000-0000A5130000}"/>
    <cellStyle name="60 % - Akzent2" xfId="13501" hidden="1" xr:uid="{00000000-0005-0000-0000-0000A6130000}"/>
    <cellStyle name="60 % - Akzent2" xfId="13566" hidden="1" xr:uid="{00000000-0005-0000-0000-0000A7130000}"/>
    <cellStyle name="60 % - Akzent2" xfId="4116" hidden="1" xr:uid="{00000000-0005-0000-0000-00006D130000}"/>
    <cellStyle name="60 % - Akzent2" xfId="8259" hidden="1" xr:uid="{00000000-0005-0000-0000-00006F130000}"/>
    <cellStyle name="60 % - Akzent2" xfId="15427" hidden="1" xr:uid="{00000000-0005-0000-0000-00008D130000}"/>
    <cellStyle name="60 % - Akzent2" xfId="16822" hidden="1" xr:uid="{00000000-0005-0000-0000-00008F130000}"/>
    <cellStyle name="60 % - Akzent2" xfId="13383" hidden="1" xr:uid="{00000000-0005-0000-0000-000090130000}"/>
    <cellStyle name="60 % - Akzent2" xfId="13606" hidden="1" xr:uid="{00000000-0005-0000-0000-000092130000}"/>
    <cellStyle name="60 % - Akzent2" xfId="13634" hidden="1" xr:uid="{00000000-0005-0000-0000-000093130000}"/>
    <cellStyle name="60 % - Akzent2" xfId="13681" hidden="1" xr:uid="{00000000-0005-0000-0000-000095130000}"/>
    <cellStyle name="60 % - Akzent2" xfId="8341" hidden="1" xr:uid="{00000000-0005-0000-0000-000096130000}"/>
    <cellStyle name="60 % - Akzent2" xfId="10778" hidden="1" xr:uid="{00000000-0005-0000-0000-000070130000}"/>
    <cellStyle name="60 % - Akzent2" xfId="16571" hidden="1" xr:uid="{00000000-0005-0000-0000-000044130000}"/>
    <cellStyle name="60 % - Akzent2" xfId="16316" hidden="1" xr:uid="{00000000-0005-0000-0000-00007C130000}"/>
    <cellStyle name="60 % - Akzent2" xfId="16344" hidden="1" xr:uid="{00000000-0005-0000-0000-00007D130000}"/>
    <cellStyle name="60 % - Akzent2" xfId="14103" hidden="1" xr:uid="{00000000-0005-0000-0000-000063130000}"/>
    <cellStyle name="60 % - Akzent2" xfId="17933" hidden="1" xr:uid="{00000000-0005-0000-0000-00002C130000}"/>
    <cellStyle name="60 % - Akzent2" xfId="3189" hidden="1" xr:uid="{00000000-0005-0000-0000-00009D130000}"/>
    <cellStyle name="60 % - Akzent2" xfId="3209" hidden="1" xr:uid="{00000000-0005-0000-0000-00009E130000}"/>
    <cellStyle name="60 % - Akzent2" xfId="15692" hidden="1" xr:uid="{00000000-0005-0000-0000-000065130000}"/>
    <cellStyle name="60 % - Akzent2" xfId="3237" hidden="1" xr:uid="{00000000-0005-0000-0000-00009F130000}"/>
    <cellStyle name="60 % - Akzent2" xfId="3302" hidden="1" xr:uid="{00000000-0005-0000-0000-0000A0130000}"/>
    <cellStyle name="60 % - Akzent2" xfId="15768" hidden="1" xr:uid="{00000000-0005-0000-0000-00001D130000}"/>
    <cellStyle name="60 % - Akzent2" xfId="3298" hidden="1" xr:uid="{00000000-0005-0000-0000-0000A1130000}"/>
    <cellStyle name="60 % - Akzent2" xfId="3373" hidden="1" xr:uid="{00000000-0005-0000-0000-0000A2130000}"/>
    <cellStyle name="60 % - Akzent2" xfId="12945" hidden="1" xr:uid="{00000000-0005-0000-0000-0000A3130000}"/>
    <cellStyle name="60 % - Akzent2" xfId="8803" hidden="1" xr:uid="{00000000-0005-0000-0000-000069130000}"/>
    <cellStyle name="60 % - Akzent2" xfId="10855" hidden="1" xr:uid="{00000000-0005-0000-0000-00006A130000}"/>
    <cellStyle name="60 % - Akzent2" xfId="3960" hidden="1" xr:uid="{00000000-0005-0000-0000-00006B130000}"/>
    <cellStyle name="60 % - Akzent2" xfId="16734" hidden="1" xr:uid="{00000000-0005-0000-0000-000089130000}"/>
    <cellStyle name="60 % - Akzent2" xfId="14395" hidden="1" xr:uid="{00000000-0005-0000-0000-00008A130000}"/>
    <cellStyle name="60 % - Akzent2" xfId="14281" hidden="1" xr:uid="{00000000-0005-0000-0000-00008B130000}"/>
    <cellStyle name="60 % - Akzent2" xfId="13194" hidden="1" xr:uid="{00000000-0005-0000-0000-0000A9130000}"/>
    <cellStyle name="60 % - Akzent2" xfId="13381" hidden="1" xr:uid="{00000000-0005-0000-0000-0000AB130000}"/>
    <cellStyle name="60 % - Akzent2" xfId="10886" hidden="1" xr:uid="{00000000-0005-0000-0000-000071130000}"/>
    <cellStyle name="60 % - Akzent2" xfId="8834" hidden="1" xr:uid="{00000000-0005-0000-0000-000073130000}"/>
    <cellStyle name="60 % - Akzent2" xfId="10261" hidden="1" xr:uid="{00000000-0005-0000-0000-000074130000}"/>
    <cellStyle name="60 % - Akzent2" xfId="13738" hidden="1" xr:uid="{00000000-0005-0000-0000-000076130000}"/>
    <cellStyle name="60 % - Akzent2" xfId="14420" hidden="1" xr:uid="{00000000-0005-0000-0000-000077130000}"/>
    <cellStyle name="60 % - Akzent2" xfId="15383" hidden="1" xr:uid="{00000000-0005-0000-0000-00008C130000}"/>
    <cellStyle name="60 % - Akzent2" xfId="19784" hidden="1" xr:uid="{00000000-0005-0000-0000-000060130000}"/>
    <cellStyle name="60 % - Akzent2" xfId="8475" hidden="1" xr:uid="{00000000-0005-0000-0000-000098130000}"/>
    <cellStyle name="60 % - Akzent2" xfId="8317" hidden="1" xr:uid="{00000000-0005-0000-0000-000099130000}"/>
    <cellStyle name="60 % - Akzent2" xfId="16842" hidden="1" xr:uid="{00000000-0005-0000-0000-000019130000}"/>
    <cellStyle name="60 % - Akzent2" xfId="14448" hidden="1" xr:uid="{00000000-0005-0000-0000-000047130000}"/>
    <cellStyle name="60 % - Akzent2" xfId="16404" hidden="1" xr:uid="{00000000-0005-0000-0000-00007F130000}"/>
    <cellStyle name="60 % - Akzent2" xfId="16265" hidden="1" xr:uid="{00000000-0005-0000-0000-000080130000}"/>
    <cellStyle name="60 % - Akzent2" xfId="16935" hidden="1" xr:uid="{00000000-0005-0000-0000-00001B130000}"/>
    <cellStyle name="60 % - Akzent2" xfId="18046" hidden="1" xr:uid="{00000000-0005-0000-0000-00002F130000}"/>
    <cellStyle name="60 % - Akzent2" xfId="16296" hidden="1" xr:uid="{00000000-0005-0000-0000-00007B130000}"/>
    <cellStyle name="60 % - Akzent2" xfId="18392" hidden="1" xr:uid="{00000000-0005-0000-0000-000050130000}"/>
    <cellStyle name="60 % - Akzent2" xfId="15993" hidden="1" xr:uid="{00000000-0005-0000-0000-00001F130000}"/>
    <cellStyle name="60 % - Akzent2" xfId="16738" hidden="1" xr:uid="{00000000-0005-0000-0000-000088130000}"/>
    <cellStyle name="60 % - Akzent2" xfId="17758" hidden="1" xr:uid="{00000000-0005-0000-0000-000023130000}"/>
    <cellStyle name="60 % - Akzent2" xfId="3859" hidden="1" xr:uid="{00000000-0005-0000-0000-00006E130000}"/>
    <cellStyle name="60 % - Akzent2" xfId="18978" hidden="1" xr:uid="{00000000-0005-0000-0000-00004B130000}"/>
    <cellStyle name="60 % - Akzent2" xfId="19043" hidden="1" xr:uid="{00000000-0005-0000-0000-00004C130000}"/>
    <cellStyle name="60 % - Akzent2" xfId="14119" hidden="1" xr:uid="{00000000-0005-0000-0000-000027130000}"/>
    <cellStyle name="60 % - Akzent2" xfId="10243" hidden="1" xr:uid="{00000000-0005-0000-0000-000072130000}"/>
    <cellStyle name="60 % - Akzent2" xfId="16446" hidden="1" xr:uid="{00000000-0005-0000-0000-000033130000}"/>
    <cellStyle name="60 % - Akzent2" xfId="17724" hidden="1" xr:uid="{00000000-0005-0000-0000-000034130000}"/>
    <cellStyle name="60 % - Akzent2" xfId="16870" hidden="1" xr:uid="{00000000-0005-0000-0000-00001A130000}"/>
    <cellStyle name="60 % - Akzent2" xfId="13685" hidden="1" xr:uid="{00000000-0005-0000-0000-000094130000}"/>
    <cellStyle name="60 % - Akzent2" xfId="19539" hidden="1" xr:uid="{00000000-0005-0000-0000-000053130000}"/>
    <cellStyle name="60 % - Akzent2" xfId="19559" hidden="1" xr:uid="{00000000-0005-0000-0000-000054130000}"/>
    <cellStyle name="60 % - Akzent2" xfId="16931" hidden="1" xr:uid="{00000000-0005-0000-0000-00001C130000}"/>
    <cellStyle name="60 % - Akzent2" xfId="19587" hidden="1" xr:uid="{00000000-0005-0000-0000-000055130000}"/>
    <cellStyle name="60 % - Akzent2" xfId="19642" hidden="1" xr:uid="{00000000-0005-0000-0000-000056130000}"/>
    <cellStyle name="60 % - Akzent2" xfId="13098" hidden="1" xr:uid="{00000000-0005-0000-0000-0000B1130000}"/>
    <cellStyle name="60 % - Akzent2" xfId="19638" hidden="1" xr:uid="{00000000-0005-0000-0000-000057130000}"/>
    <cellStyle name="60 % - Akzent2" xfId="18271" hidden="1" xr:uid="{00000000-0005-0000-0000-000058130000}"/>
    <cellStyle name="60 % - Akzent2" xfId="14788" hidden="1" xr:uid="{00000000-0005-0000-0000-000059130000}"/>
    <cellStyle name="60 % - Akzent2" xfId="14043" hidden="1" xr:uid="{00000000-0005-0000-0000-000020130000}"/>
    <cellStyle name="60 % - Akzent2" xfId="16439" hidden="1" xr:uid="{00000000-0005-0000-0000-000021130000}"/>
    <cellStyle name="60 % - Akzent2" xfId="17738" hidden="1" xr:uid="{00000000-0005-0000-0000-000022130000}"/>
    <cellStyle name="60 % - Akzent2" xfId="18778" hidden="1" xr:uid="{00000000-0005-0000-0000-00003F130000}"/>
    <cellStyle name="60 % - Akzent2" xfId="18798" hidden="1" xr:uid="{00000000-0005-0000-0000-000040130000}"/>
    <cellStyle name="60 % - Akzent2" xfId="18826" hidden="1" xr:uid="{00000000-0005-0000-0000-000041130000}"/>
    <cellStyle name="60 % - Akzent2" xfId="19719" hidden="1" xr:uid="{00000000-0005-0000-0000-00005F130000}"/>
    <cellStyle name="60 % - Akzent2" xfId="19780" hidden="1" xr:uid="{00000000-0005-0000-0000-000061130000}"/>
    <cellStyle name="60 % - Akzent2" xfId="17420" hidden="1" xr:uid="{00000000-0005-0000-0000-000028130000}"/>
    <cellStyle name="60 % - Akzent2" xfId="17137" hidden="1" xr:uid="{00000000-0005-0000-0000-00002A130000}"/>
    <cellStyle name="60 % - Akzent2" xfId="17244" hidden="1" xr:uid="{00000000-0005-0000-0000-00002B130000}"/>
    <cellStyle name="60 % - Akzent2" xfId="17953" hidden="1" xr:uid="{00000000-0005-0000-0000-00002D130000}"/>
    <cellStyle name="60 % - Akzent2" xfId="17981" hidden="1" xr:uid="{00000000-0005-0000-0000-00002E130000}"/>
    <cellStyle name="60 % - Akzent2" xfId="18885" hidden="1" xr:uid="{00000000-0005-0000-0000-000042130000}"/>
    <cellStyle name="60 % - Akzent2" xfId="15374" hidden="1" xr:uid="{00000000-0005-0000-0000-00008E130000}"/>
    <cellStyle name="60 % - Akzent2" xfId="18899" hidden="1" xr:uid="{00000000-0005-0000-0000-00004E130000}"/>
    <cellStyle name="60 % - Akzent2" xfId="18550" hidden="1" xr:uid="{00000000-0005-0000-0000-00004F130000}"/>
    <cellStyle name="60 % - Akzent2" xfId="68" hidden="1" xr:uid="{00000000-0005-0000-0000-0000AD130000}"/>
    <cellStyle name="60 % - Akzent2" xfId="9421" hidden="1" xr:uid="{00000000-0005-0000-0000-000075130000}"/>
    <cellStyle name="60 % - Akzent2" xfId="18608" hidden="1" xr:uid="{00000000-0005-0000-0000-000035130000}"/>
    <cellStyle name="60 % - Akzent2" xfId="18628" hidden="1" xr:uid="{00000000-0005-0000-0000-000036130000}"/>
    <cellStyle name="60 % - Akzent2" xfId="12693" hidden="1" xr:uid="{00000000-0005-0000-0000-0000AF130000}"/>
    <cellStyle name="60 % - Akzent2" xfId="18656" hidden="1" xr:uid="{00000000-0005-0000-0000-000037130000}"/>
    <cellStyle name="60 % - Akzent2" xfId="18711" hidden="1" xr:uid="{00000000-0005-0000-0000-000038130000}"/>
    <cellStyle name="60 % - Akzent2" xfId="18466" hidden="1" xr:uid="{00000000-0005-0000-0000-000066130000}"/>
    <cellStyle name="60 % - Akzent2" xfId="18707" hidden="1" xr:uid="{00000000-0005-0000-0000-000039130000}"/>
    <cellStyle name="60 % - Akzent2" xfId="17071" hidden="1" xr:uid="{00000000-0005-0000-0000-00003A130000}"/>
    <cellStyle name="60 % - Akzent2" xfId="16362" hidden="1" xr:uid="{00000000-0005-0000-0000-00001E130000}"/>
    <cellStyle name="60 % - Akzent2" xfId="18366" hidden="1" xr:uid="{00000000-0005-0000-0000-00003B130000}"/>
    <cellStyle name="60 % - Akzent2" xfId="15541" hidden="1" xr:uid="{00000000-0005-0000-0000-00003C130000}"/>
    <cellStyle name="60 % - Akzent2" xfId="17595" hidden="1" xr:uid="{00000000-0005-0000-0000-00003D130000}"/>
    <cellStyle name="60 % - Akzent2" xfId="19089" hidden="1" xr:uid="{00000000-0005-0000-0000-00005B130000}"/>
    <cellStyle name="60 % - Akzent2" xfId="19196" hidden="1" xr:uid="{00000000-0005-0000-0000-00005C130000}"/>
    <cellStyle name="60 % - Akzent2" xfId="19671" hidden="1" xr:uid="{00000000-0005-0000-0000-00005D130000}"/>
    <cellStyle name="60 % - Akzent2" xfId="17786" hidden="1" xr:uid="{00000000-0005-0000-0000-000024130000}"/>
    <cellStyle name="60 % - Akzent2" xfId="17844" hidden="1" xr:uid="{00000000-0005-0000-0000-000026130000}"/>
    <cellStyle name="60 % - Akzent2" xfId="18881" hidden="1" xr:uid="{00000000-0005-0000-0000-000043130000}"/>
    <cellStyle name="60 % - Akzent2" xfId="16988" hidden="1" xr:uid="{00000000-0005-0000-0000-000045130000}"/>
    <cellStyle name="60 % - Akzent2" xfId="15765" hidden="1" xr:uid="{00000000-0005-0000-0000-000046130000}"/>
    <cellStyle name="60 % - Akzent2" xfId="17031" hidden="1" xr:uid="{00000000-0005-0000-0000-000048130000}"/>
    <cellStyle name="60 % - Akzent2" xfId="18930" hidden="1" xr:uid="{00000000-0005-0000-0000-000049130000}"/>
    <cellStyle name="60 % - Akzent2" xfId="19691" hidden="1" xr:uid="{00000000-0005-0000-0000-00005E130000}"/>
    <cellStyle name="60 % - Akzent2" xfId="13411" hidden="1" xr:uid="{00000000-0005-0000-0000-0000AA130000}"/>
    <cellStyle name="60 % - Akzent2" xfId="18042" hidden="1" xr:uid="{00000000-0005-0000-0000-000030130000}"/>
    <cellStyle name="60 % - Akzent2" xfId="16606" hidden="1" xr:uid="{00000000-0005-0000-0000-000031130000}"/>
    <cellStyle name="60 % - Akzent2" xfId="16954" hidden="1" xr:uid="{00000000-0005-0000-0000-000062130000}"/>
    <cellStyle name="60 % - Akzent2" xfId="13586" hidden="1" xr:uid="{00000000-0005-0000-0000-000091130000}"/>
    <cellStyle name="60 % - Akzent2" xfId="14496" hidden="1" xr:uid="{00000000-0005-0000-0000-000051130000}"/>
    <cellStyle name="60 % - Akzent2" xfId="14857" hidden="1" xr:uid="{00000000-0005-0000-0000-000052130000}"/>
    <cellStyle name="60 % - Akzent2" xfId="13925" hidden="1" xr:uid="{00000000-0005-0000-0000-000064130000}"/>
    <cellStyle name="60 % - Akzent2" xfId="14648" hidden="1" xr:uid="{00000000-0005-0000-0000-000078130000}"/>
    <cellStyle name="60 % - Akzent2" xfId="19039" hidden="1" xr:uid="{00000000-0005-0000-0000-00004D130000}"/>
    <cellStyle name="60 % - Akzent2" xfId="8593" hidden="1" xr:uid="{00000000-0005-0000-0000-00009A130000}"/>
    <cellStyle name="60 % - Akzent2" xfId="15683" hidden="1" xr:uid="{00000000-0005-0000-0000-000068130000}"/>
    <cellStyle name="60 % - Akzent2" xfId="19182" hidden="1" xr:uid="{00000000-0005-0000-0000-00005A130000}"/>
    <cellStyle name="60 % - Akzent2" xfId="3553" hidden="1" xr:uid="{00000000-0005-0000-0000-00006C130000}"/>
    <cellStyle name="60 % - Akzent2" xfId="19821" hidden="1" xr:uid="{00000000-0005-0000-0000-000015130000}"/>
    <cellStyle name="60 % - Akzent2" xfId="19849" hidden="1" xr:uid="{00000000-0005-0000-0000-000016130000}"/>
    <cellStyle name="60 % - Akzent2" xfId="19900" hidden="1" xr:uid="{00000000-0005-0000-0000-000017130000}"/>
    <cellStyle name="60 % - Akzent2" xfId="19896" hidden="1" xr:uid="{00000000-0005-0000-0000-000018130000}"/>
    <cellStyle name="60 % - Akzent2 2" xfId="399" xr:uid="{00000000-0005-0000-0000-0000B6130000}"/>
    <cellStyle name="60 % - Akzent2 3" xfId="268" xr:uid="{00000000-0005-0000-0000-0000B7130000}"/>
    <cellStyle name="60 % - Akzent3" xfId="18781" hidden="1" xr:uid="{00000000-0005-0000-0000-0000DC130000}"/>
    <cellStyle name="60 % - Akzent3" xfId="1143" hidden="1" xr:uid="{00000000-0005-0000-0000-000057140000}"/>
    <cellStyle name="60 % - Akzent3" xfId="17688" hidden="1" xr:uid="{00000000-0005-0000-0000-0000E3130000}"/>
    <cellStyle name="60 % - Akzent3" xfId="16825" hidden="1" xr:uid="{00000000-0005-0000-0000-00002D140000}"/>
    <cellStyle name="60 % - Akzent3" xfId="968" hidden="1" xr:uid="{00000000-0005-0000-0000-000056140000}"/>
    <cellStyle name="60 % - Akzent3" xfId="13663" hidden="1" xr:uid="{00000000-0005-0000-0000-000037140000}"/>
    <cellStyle name="60 % - Akzent3" xfId="19758" hidden="1" xr:uid="{00000000-0005-0000-0000-0000FD130000}"/>
    <cellStyle name="60 % - Akzent3" xfId="14001" hidden="1" xr:uid="{00000000-0005-0000-0000-00002A140000}"/>
    <cellStyle name="60 % - Akzent3" xfId="13481" hidden="1" xr:uid="{00000000-0005-0000-0000-000048140000}"/>
    <cellStyle name="60 % - Akzent3" xfId="13504" hidden="1" xr:uid="{00000000-0005-0000-0000-000049140000}"/>
    <cellStyle name="60 % - Akzent3" xfId="13529" hidden="1" xr:uid="{00000000-0005-0000-0000-00004A140000}"/>
    <cellStyle name="60 % - Akzent3" xfId="13540" hidden="1" xr:uid="{00000000-0005-0000-0000-00004B140000}"/>
    <cellStyle name="60 % - Akzent3" xfId="13191" hidden="1" xr:uid="{00000000-0005-0000-0000-00004C140000}"/>
    <cellStyle name="60 % - Akzent3" xfId="13408" hidden="1" xr:uid="{00000000-0005-0000-0000-00004D140000}"/>
    <cellStyle name="60 % - Akzent3" xfId="71" hidden="1" xr:uid="{00000000-0005-0000-0000-000050140000}"/>
    <cellStyle name="60 % - Akzent3" xfId="3265" hidden="1" xr:uid="{00000000-0005-0000-0000-000042140000}"/>
    <cellStyle name="60 % - Akzent3" xfId="13637" hidden="1" xr:uid="{00000000-0005-0000-0000-000035140000}"/>
    <cellStyle name="60 % - Akzent3" xfId="13652" hidden="1" xr:uid="{00000000-0005-0000-0000-000036140000}"/>
    <cellStyle name="60 % - Akzent3" xfId="16898" hidden="1" xr:uid="{00000000-0005-0000-0000-000030140000}"/>
    <cellStyle name="60 % - Akzent3" xfId="16713" hidden="1" xr:uid="{00000000-0005-0000-0000-000031140000}"/>
    <cellStyle name="60 % - Akzent3" xfId="13456" hidden="1" xr:uid="{00000000-0005-0000-0000-000047140000}"/>
    <cellStyle name="60 % - Akzent3" xfId="19542" hidden="1" xr:uid="{00000000-0005-0000-0000-0000EF130000}"/>
    <cellStyle name="60 % - Akzent3" xfId="8527" hidden="1" xr:uid="{00000000-0005-0000-0000-00000E140000}"/>
    <cellStyle name="60 % - Akzent3" xfId="8531" hidden="1" xr:uid="{00000000-0005-0000-0000-000039140000}"/>
    <cellStyle name="60 % - Akzent3" xfId="8597" hidden="1" xr:uid="{00000000-0005-0000-0000-00003A140000}"/>
    <cellStyle name="60 % - Akzent3" xfId="9057" hidden="1" xr:uid="{00000000-0005-0000-0000-00003B140000}"/>
    <cellStyle name="60 % - Akzent3" xfId="9005" hidden="1" xr:uid="{00000000-0005-0000-0000-00003C140000}"/>
    <cellStyle name="60 % - Akzent3" xfId="8707" hidden="1" xr:uid="{00000000-0005-0000-0000-00003D140000}"/>
    <cellStyle name="60 % - Akzent3" xfId="3192" hidden="1" xr:uid="{00000000-0005-0000-0000-00003F140000}"/>
    <cellStyle name="60 % - Akzent3" xfId="13365" hidden="1" xr:uid="{00000000-0005-0000-0000-000032140000}"/>
    <cellStyle name="60 % - Akzent3" xfId="13089" hidden="1" xr:uid="{00000000-0005-0000-0000-000053140000}"/>
    <cellStyle name="60 % - Akzent3" xfId="12872" hidden="1" xr:uid="{00000000-0005-0000-0000-000054140000}"/>
    <cellStyle name="60 % - Akzent3" xfId="11375" hidden="1" xr:uid="{00000000-0005-0000-0000-000045140000}"/>
    <cellStyle name="60 % - Akzent3" xfId="13062" hidden="1" xr:uid="{00000000-0005-0000-0000-000046140000}"/>
    <cellStyle name="60 % - Akzent3" xfId="15843" hidden="1" xr:uid="{00000000-0005-0000-0000-000008140000}"/>
    <cellStyle name="60 % - Akzent3" xfId="16299" hidden="1" xr:uid="{00000000-0005-0000-0000-00001A140000}"/>
    <cellStyle name="60 % - Akzent3" xfId="8307" hidden="1" xr:uid="{00000000-0005-0000-0000-000038140000}"/>
    <cellStyle name="60 % - Akzent3" xfId="18053" hidden="1" xr:uid="{00000000-0005-0000-0000-000000140000}"/>
    <cellStyle name="60 % - Akzent3" xfId="16372" hidden="1" xr:uid="{00000000-0005-0000-0000-00001D140000}"/>
    <cellStyle name="60 % - Akzent3" xfId="3870" hidden="1" xr:uid="{00000000-0005-0000-0000-000009140000}"/>
    <cellStyle name="60 % - Akzent3" xfId="18020" hidden="1" xr:uid="{00000000-0005-0000-0000-0000CC130000}"/>
    <cellStyle name="60 % - Akzent3" xfId="1333" hidden="1" xr:uid="{00000000-0005-0000-0000-000055140000}"/>
    <cellStyle name="60 % - Akzent3" xfId="3971" hidden="1" xr:uid="{00000000-0005-0000-0000-00000B140000}"/>
    <cellStyle name="60 % - Akzent3" xfId="15935" hidden="1" xr:uid="{00000000-0005-0000-0000-000020140000}"/>
    <cellStyle name="60 % - Akzent3" xfId="17961" hidden="1" xr:uid="{00000000-0005-0000-0000-0000C9130000}"/>
    <cellStyle name="60 % - Akzent3" xfId="12697" hidden="1" xr:uid="{00000000-0005-0000-0000-000052140000}"/>
    <cellStyle name="60 % - Akzent3" xfId="10768" hidden="1" xr:uid="{00000000-0005-0000-0000-000013140000}"/>
    <cellStyle name="60 % - Akzent3" xfId="9850" hidden="1" xr:uid="{00000000-0005-0000-0000-000014140000}"/>
    <cellStyle name="60 % - Akzent3" xfId="13741" hidden="1" xr:uid="{00000000-0005-0000-0000-000015140000}"/>
    <cellStyle name="60 % - Akzent3" xfId="14424" hidden="1" xr:uid="{00000000-0005-0000-0000-000016140000}"/>
    <cellStyle name="60 % - Akzent3" xfId="14747" hidden="1" xr:uid="{00000000-0005-0000-0000-000017140000}"/>
    <cellStyle name="60 % - Akzent3" xfId="14570" hidden="1" xr:uid="{00000000-0005-0000-0000-000018140000}"/>
    <cellStyle name="60 % - Akzent3" xfId="4122" hidden="1" xr:uid="{00000000-0005-0000-0000-00000C140000}"/>
    <cellStyle name="60 % - Akzent3" xfId="14816" hidden="1" xr:uid="{00000000-0005-0000-0000-00002B140000}"/>
    <cellStyle name="60 % - Akzent3" xfId="16383" hidden="1" xr:uid="{00000000-0005-0000-0000-00001E140000}"/>
    <cellStyle name="60 % - Akzent3" xfId="15173" hidden="1" xr:uid="{00000000-0005-0000-0000-00001F140000}"/>
    <cellStyle name="60 % - Akzent3" xfId="1360" hidden="1" xr:uid="{00000000-0005-0000-0000-000058140000}"/>
    <cellStyle name="60 % - Akzent3" xfId="13387" hidden="1" xr:uid="{00000000-0005-0000-0000-00004F140000}"/>
    <cellStyle name="60 % - Akzent3" xfId="10259" hidden="1" xr:uid="{00000000-0005-0000-0000-000012140000}"/>
    <cellStyle name="60 % - Akzent3" xfId="18192" hidden="1" xr:uid="{00000000-0005-0000-0000-0000D9130000}"/>
    <cellStyle name="60 % - Akzent3" xfId="13614" hidden="1" xr:uid="{00000000-0005-0000-0000-000034140000}"/>
    <cellStyle name="60 % - Akzent3" xfId="15846" hidden="1" xr:uid="{00000000-0005-0000-0000-000022140000}"/>
    <cellStyle name="60 % - Akzent3" xfId="15740" hidden="1" xr:uid="{00000000-0005-0000-0000-000023140000}"/>
    <cellStyle name="60 % - Akzent3" xfId="16629" hidden="1" xr:uid="{00000000-0005-0000-0000-000024140000}"/>
    <cellStyle name="60 % - Akzent3" xfId="16654" hidden="1" xr:uid="{00000000-0005-0000-0000-000025140000}"/>
    <cellStyle name="60 % - Akzent3" xfId="16677" hidden="1" xr:uid="{00000000-0005-0000-0000-000026140000}"/>
    <cellStyle name="60 % - Akzent3" xfId="15986" hidden="1" xr:uid="{00000000-0005-0000-0000-000028140000}"/>
    <cellStyle name="60 % - Akzent3" xfId="16324" hidden="1" xr:uid="{00000000-0005-0000-0000-00001B140000}"/>
    <cellStyle name="60 % - Akzent3" xfId="8681" hidden="1" xr:uid="{00000000-0005-0000-0000-00000F140000}"/>
    <cellStyle name="60 % - Akzent3" xfId="8613" hidden="1" xr:uid="{00000000-0005-0000-0000-000010140000}"/>
    <cellStyle name="60 % - Akzent3" xfId="3694" hidden="1" xr:uid="{00000000-0005-0000-0000-00000A140000}"/>
    <cellStyle name="60 % - Akzent3" xfId="16850" hidden="1" xr:uid="{00000000-0005-0000-0000-00002E140000}"/>
    <cellStyle name="60 % - Akzent3" xfId="9821" hidden="1" xr:uid="{00000000-0005-0000-0000-000011140000}"/>
    <cellStyle name="60 % - Akzent3" xfId="16769" hidden="1" xr:uid="{00000000-0005-0000-0000-0000D7130000}"/>
    <cellStyle name="60 % - Akzent3" xfId="3240" hidden="1" xr:uid="{00000000-0005-0000-0000-000041140000}"/>
    <cellStyle name="60 % - Akzent3" xfId="15718" hidden="1" xr:uid="{00000000-0005-0000-0000-000021140000}"/>
    <cellStyle name="60 % - Akzent3" xfId="15132" hidden="1" xr:uid="{00000000-0005-0000-0000-0000BD130000}"/>
    <cellStyle name="60 % - Akzent3" xfId="3377" hidden="1" xr:uid="{00000000-0005-0000-0000-000044140000}"/>
    <cellStyle name="60 % - Akzent3" xfId="16873" hidden="1" xr:uid="{00000000-0005-0000-0000-00002F140000}"/>
    <cellStyle name="60 % - Akzent3" xfId="19608" hidden="1" xr:uid="{00000000-0005-0000-0000-0000F2130000}"/>
    <cellStyle name="60 % - Akzent3" xfId="13876" hidden="1" xr:uid="{00000000-0005-0000-0000-00002C140000}"/>
    <cellStyle name="60 % - Akzent3" xfId="15118" hidden="1" xr:uid="{00000000-0005-0000-0000-0000B9130000}"/>
    <cellStyle name="60 % - Akzent3" xfId="13589" hidden="1" xr:uid="{00000000-0005-0000-0000-000033140000}"/>
    <cellStyle name="60 % - Akzent3" xfId="19829" hidden="1" xr:uid="{00000000-0005-0000-0000-000004140000}"/>
    <cellStyle name="60 % - Akzent3" xfId="15730" hidden="1" xr:uid="{00000000-0005-0000-0000-0000BB130000}"/>
    <cellStyle name="60 % - Akzent3" xfId="16565" hidden="1" xr:uid="{00000000-0005-0000-0000-0000D0130000}"/>
    <cellStyle name="60 % - Akzent3" xfId="13167" hidden="1" xr:uid="{00000000-0005-0000-0000-00004E140000}"/>
    <cellStyle name="60 % - Akzent3" xfId="13725" hidden="1" xr:uid="{00000000-0005-0000-0000-000001140000}"/>
    <cellStyle name="60 % - Akzent3" xfId="15444" hidden="1" xr:uid="{00000000-0005-0000-0000-0000C3130000}"/>
    <cellStyle name="60 % - Akzent3" xfId="17417" hidden="1" xr:uid="{00000000-0005-0000-0000-0000C4130000}"/>
    <cellStyle name="60 % - Akzent3" xfId="17145" hidden="1" xr:uid="{00000000-0005-0000-0000-0000C5130000}"/>
    <cellStyle name="60 % - Akzent3" xfId="16224" hidden="1" xr:uid="{00000000-0005-0000-0000-0000C6130000}"/>
    <cellStyle name="60 % - Akzent3" xfId="17161" hidden="1" xr:uid="{00000000-0005-0000-0000-0000C7130000}"/>
    <cellStyle name="60 % - Akzent3" xfId="17936" hidden="1" xr:uid="{00000000-0005-0000-0000-0000C8130000}"/>
    <cellStyle name="60 % - Akzent3" xfId="15750" hidden="1" xr:uid="{00000000-0005-0000-0000-0000BC130000}"/>
    <cellStyle name="60 % - Akzent3" xfId="18208" hidden="1" xr:uid="{00000000-0005-0000-0000-0000DB130000}"/>
    <cellStyle name="60 % - Akzent3" xfId="14896" hidden="1" xr:uid="{00000000-0005-0000-0000-0000CE130000}"/>
    <cellStyle name="60 % - Akzent3" xfId="16797" hidden="1" xr:uid="{00000000-0005-0000-0000-0000CF130000}"/>
    <cellStyle name="60 % - Akzent3" xfId="19878" hidden="1" xr:uid="{00000000-0005-0000-0000-000007140000}"/>
    <cellStyle name="60 % - Akzent3" xfId="18161" hidden="1" xr:uid="{00000000-0005-0000-0000-0000FE130000}"/>
    <cellStyle name="60 % - Akzent3" xfId="17822" hidden="1" xr:uid="{00000000-0005-0000-0000-0000C2130000}"/>
    <cellStyle name="60 % - Akzent3" xfId="3217" hidden="1" xr:uid="{00000000-0005-0000-0000-000040140000}"/>
    <cellStyle name="60 % - Akzent3" xfId="15185" hidden="1" xr:uid="{00000000-0005-0000-0000-0000E4130000}"/>
    <cellStyle name="60 % - Akzent3" xfId="18611" hidden="1" xr:uid="{00000000-0005-0000-0000-0000D2130000}"/>
    <cellStyle name="60 % - Akzent3" xfId="18636" hidden="1" xr:uid="{00000000-0005-0000-0000-0000D3130000}"/>
    <cellStyle name="60 % - Akzent3" xfId="18659" hidden="1" xr:uid="{00000000-0005-0000-0000-0000D4130000}"/>
    <cellStyle name="60 % - Akzent3" xfId="18677" hidden="1" xr:uid="{00000000-0005-0000-0000-0000D5130000}"/>
    <cellStyle name="60 % - Akzent3" xfId="18688" hidden="1" xr:uid="{00000000-0005-0000-0000-0000D6130000}"/>
    <cellStyle name="60 % - Akzent3" xfId="18363" hidden="1" xr:uid="{00000000-0005-0000-0000-0000D8130000}"/>
    <cellStyle name="60 % - Akzent3" xfId="18009" hidden="1" xr:uid="{00000000-0005-0000-0000-0000CB130000}"/>
    <cellStyle name="60 % - Akzent3" xfId="17766" hidden="1" xr:uid="{00000000-0005-0000-0000-0000BF130000}"/>
    <cellStyle name="60 % - Akzent3" xfId="17789" hidden="1" xr:uid="{00000000-0005-0000-0000-0000C0130000}"/>
    <cellStyle name="60 % - Akzent3" xfId="18829" hidden="1" xr:uid="{00000000-0005-0000-0000-0000DE130000}"/>
    <cellStyle name="60 % - Akzent3" xfId="17811" hidden="1" xr:uid="{00000000-0005-0000-0000-0000C1130000}"/>
    <cellStyle name="60 % - Akzent3" xfId="8262" hidden="1" xr:uid="{00000000-0005-0000-0000-00003E140000}"/>
    <cellStyle name="60 % - Akzent3" xfId="19567" hidden="1" xr:uid="{00000000-0005-0000-0000-0000F0130000}"/>
    <cellStyle name="60 % - Akzent3" xfId="14607" hidden="1" xr:uid="{00000000-0005-0000-0000-0000D1130000}"/>
    <cellStyle name="60 % - Akzent3" xfId="12194" hidden="1" xr:uid="{00000000-0005-0000-0000-000051140000}"/>
    <cellStyle name="60 % - Akzent3" xfId="19619" hidden="1" xr:uid="{00000000-0005-0000-0000-0000F3130000}"/>
    <cellStyle name="60 % - Akzent3" xfId="18851" hidden="1" xr:uid="{00000000-0005-0000-0000-0000DF130000}"/>
    <cellStyle name="60 % - Akzent3" xfId="16347" hidden="1" xr:uid="{00000000-0005-0000-0000-00001C140000}"/>
    <cellStyle name="60 % - Akzent3" xfId="13727" hidden="1" xr:uid="{00000000-0005-0000-0000-0000BA130000}"/>
    <cellStyle name="60 % - Akzent3" xfId="18338" hidden="1" xr:uid="{00000000-0005-0000-0000-0000E1130000}"/>
    <cellStyle name="60 % - Akzent3" xfId="19097" hidden="1" xr:uid="{00000000-0005-0000-0000-0000F6130000}"/>
    <cellStyle name="60 % - Akzent3" xfId="14725" hidden="1" xr:uid="{00000000-0005-0000-0000-000019140000}"/>
    <cellStyle name="60 % - Akzent3" xfId="17741" hidden="1" xr:uid="{00000000-0005-0000-0000-0000BE130000}"/>
    <cellStyle name="60 % - Akzent3" xfId="19006" hidden="1" xr:uid="{00000000-0005-0000-0000-0000E9130000}"/>
    <cellStyle name="60 % - Akzent3" xfId="19017" hidden="1" xr:uid="{00000000-0005-0000-0000-0000EA130000}"/>
    <cellStyle name="60 % - Akzent3" xfId="17665" hidden="1" xr:uid="{00000000-0005-0000-0000-0000EB130000}"/>
    <cellStyle name="60 % - Akzent3" xfId="18324" hidden="1" xr:uid="{00000000-0005-0000-0000-0000EC130000}"/>
    <cellStyle name="60 % - Akzent3" xfId="15523" hidden="1" xr:uid="{00000000-0005-0000-0000-0000ED130000}"/>
    <cellStyle name="60 % - Akzent3" xfId="14198" hidden="1" xr:uid="{00000000-0005-0000-0000-0000EE130000}"/>
    <cellStyle name="60 % - Akzent3" xfId="17678" hidden="1" xr:uid="{00000000-0005-0000-0000-0000E2130000}"/>
    <cellStyle name="60 % - Akzent3" xfId="17864" hidden="1" xr:uid="{00000000-0005-0000-0000-000002140000}"/>
    <cellStyle name="60 % - Akzent3" xfId="19804" hidden="1" xr:uid="{00000000-0005-0000-0000-000003140000}"/>
    <cellStyle name="60 % - Akzent3" xfId="17539" hidden="1" xr:uid="{00000000-0005-0000-0000-0000F4130000}"/>
    <cellStyle name="60 % - Akzent3" xfId="19369" hidden="1" xr:uid="{00000000-0005-0000-0000-0000F5130000}"/>
    <cellStyle name="60 % - Akzent3" xfId="16909" hidden="1" xr:uid="{00000000-0005-0000-0000-0000B8130000}"/>
    <cellStyle name="60 % - Akzent3" xfId="17984" hidden="1" xr:uid="{00000000-0005-0000-0000-0000CA130000}"/>
    <cellStyle name="60 % - Akzent3" xfId="18981" hidden="1" xr:uid="{00000000-0005-0000-0000-0000E8130000}"/>
    <cellStyle name="60 % - Akzent3" xfId="15275" hidden="1" xr:uid="{00000000-0005-0000-0000-000029140000}"/>
    <cellStyle name="60 % - Akzent3" xfId="16071" hidden="1" xr:uid="{00000000-0005-0000-0000-0000CD130000}"/>
    <cellStyle name="60 % - Akzent3" xfId="17548" hidden="1" xr:uid="{00000000-0005-0000-0000-0000F8130000}"/>
    <cellStyle name="60 % - Akzent3" xfId="19674" hidden="1" xr:uid="{00000000-0005-0000-0000-0000F9130000}"/>
    <cellStyle name="60 % - Akzent3" xfId="19699" hidden="1" xr:uid="{00000000-0005-0000-0000-0000FA130000}"/>
    <cellStyle name="60 % - Akzent3" xfId="19722" hidden="1" xr:uid="{00000000-0005-0000-0000-0000FB130000}"/>
    <cellStyle name="60 % - Akzent3" xfId="19747" hidden="1" xr:uid="{00000000-0005-0000-0000-0000FC130000}"/>
    <cellStyle name="60 % - Akzent3" xfId="18067" hidden="1" xr:uid="{00000000-0005-0000-0000-0000FF130000}"/>
    <cellStyle name="60 % - Akzent3" xfId="19590" hidden="1" xr:uid="{00000000-0005-0000-0000-0000F1130000}"/>
    <cellStyle name="60 % - Akzent3" xfId="16159" hidden="1" xr:uid="{00000000-0005-0000-0000-0000E5130000}"/>
    <cellStyle name="60 % - Akzent3" xfId="18933" hidden="1" xr:uid="{00000000-0005-0000-0000-0000E6130000}"/>
    <cellStyle name="60 % - Akzent3" xfId="18862" hidden="1" xr:uid="{00000000-0005-0000-0000-0000E0130000}"/>
    <cellStyle name="60 % - Akzent3" xfId="19852" hidden="1" xr:uid="{00000000-0005-0000-0000-000005140000}"/>
    <cellStyle name="60 % - Akzent3" xfId="18958" hidden="1" xr:uid="{00000000-0005-0000-0000-0000E7130000}"/>
    <cellStyle name="60 % - Akzent3" xfId="16702" hidden="1" xr:uid="{00000000-0005-0000-0000-000027140000}"/>
    <cellStyle name="60 % - Akzent3" xfId="18284" hidden="1" xr:uid="{00000000-0005-0000-0000-0000DA130000}"/>
    <cellStyle name="60 % - Akzent3" xfId="19255" hidden="1" xr:uid="{00000000-0005-0000-0000-0000F7130000}"/>
    <cellStyle name="60 % - Akzent3" xfId="8379" hidden="1" xr:uid="{00000000-0005-0000-0000-00000D140000}"/>
    <cellStyle name="60 % - Akzent3" xfId="18806" hidden="1" xr:uid="{00000000-0005-0000-0000-0000DD130000}"/>
    <cellStyle name="60 % - Akzent3" xfId="19867" hidden="1" xr:uid="{00000000-0005-0000-0000-000006140000}"/>
    <cellStyle name="60 % - Akzent3" xfId="3276" hidden="1" xr:uid="{00000000-0005-0000-0000-000043140000}"/>
    <cellStyle name="60 % - Akzent3 2" xfId="400" xr:uid="{00000000-0005-0000-0000-000059140000}"/>
    <cellStyle name="60 % - Akzent3 3" xfId="269" xr:uid="{00000000-0005-0000-0000-00005A140000}"/>
    <cellStyle name="60 % - Akzent4" xfId="17547" hidden="1" xr:uid="{00000000-0005-0000-0000-00008F140000}"/>
    <cellStyle name="60 % - Akzent4" xfId="74" hidden="1" xr:uid="{00000000-0005-0000-0000-0000F9140000}"/>
    <cellStyle name="60 % - Akzent4" xfId="3195" hidden="1" xr:uid="{00000000-0005-0000-0000-0000FA140000}"/>
    <cellStyle name="60 % - Akzent4" xfId="971" hidden="1" xr:uid="{00000000-0005-0000-0000-0000F7140000}"/>
    <cellStyle name="60 % - Akzent4" xfId="1066" hidden="1" xr:uid="{00000000-0005-0000-0000-0000F8140000}"/>
    <cellStyle name="60 % - Akzent4" xfId="18936" hidden="1" xr:uid="{00000000-0005-0000-0000-000086140000}"/>
    <cellStyle name="60 % - Akzent4" xfId="3243" hidden="1" xr:uid="{00000000-0005-0000-0000-0000DF140000}"/>
    <cellStyle name="60 % - Akzent4" xfId="17182" hidden="1" xr:uid="{00000000-0005-0000-0000-000068140000}"/>
    <cellStyle name="60 % - Akzent4" xfId="16730" hidden="1" xr:uid="{00000000-0005-0000-0000-0000C6140000}"/>
    <cellStyle name="60 % - Akzent4" xfId="16739" hidden="1" xr:uid="{00000000-0005-0000-0000-0000C7140000}"/>
    <cellStyle name="60 % - Akzent4" xfId="13613" hidden="1" xr:uid="{00000000-0005-0000-0000-0000D3140000}"/>
    <cellStyle name="60 % - Akzent4" xfId="13640" hidden="1" xr:uid="{00000000-0005-0000-0000-0000D4140000}"/>
    <cellStyle name="60 % - Akzent4" xfId="13677" hidden="1" xr:uid="{00000000-0005-0000-0000-0000D5140000}"/>
    <cellStyle name="60 % - Akzent4" xfId="15276" hidden="1" xr:uid="{00000000-0005-0000-0000-0000C9140000}"/>
    <cellStyle name="60 % - Akzent4" xfId="14604" hidden="1" xr:uid="{00000000-0005-0000-0000-0000B7140000}"/>
    <cellStyle name="60 % - Akzent4" xfId="14703" hidden="1" xr:uid="{00000000-0005-0000-0000-0000B8140000}"/>
    <cellStyle name="60 % - Akzent4" xfId="16302" hidden="1" xr:uid="{00000000-0005-0000-0000-0000B9140000}"/>
    <cellStyle name="60 % - Akzent4" xfId="16350" hidden="1" xr:uid="{00000000-0005-0000-0000-0000BB140000}"/>
    <cellStyle name="60 % - Akzent4" xfId="16400" hidden="1" xr:uid="{00000000-0005-0000-0000-0000BC140000}"/>
    <cellStyle name="60 % - Akzent4" xfId="16409" hidden="1" xr:uid="{00000000-0005-0000-0000-0000BD140000}"/>
    <cellStyle name="60 % - Akzent4" xfId="15933" hidden="1" xr:uid="{00000000-0005-0000-0000-0000BF140000}"/>
    <cellStyle name="60 % - Akzent4" xfId="15894" hidden="1" xr:uid="{00000000-0005-0000-0000-0000C0140000}"/>
    <cellStyle name="60 % - Akzent4" xfId="15821" hidden="1" xr:uid="{00000000-0005-0000-0000-0000C1140000}"/>
    <cellStyle name="60 % - Akzent4" xfId="3932" hidden="1" xr:uid="{00000000-0005-0000-0000-0000E3140000}"/>
    <cellStyle name="60 % - Akzent4" xfId="12700" hidden="1" xr:uid="{00000000-0005-0000-0000-0000F2140000}"/>
    <cellStyle name="60 % - Akzent4" xfId="18038" hidden="1" xr:uid="{00000000-0005-0000-0000-0000A9140000}"/>
    <cellStyle name="60 % - Akzent4" xfId="3825" hidden="1" xr:uid="{00000000-0005-0000-0000-0000AA140000}"/>
    <cellStyle name="60 % - Akzent4" xfId="8265" hidden="1" xr:uid="{00000000-0005-0000-0000-0000AB140000}"/>
    <cellStyle name="60 % - Akzent4" xfId="3216" hidden="1" xr:uid="{00000000-0005-0000-0000-0000DE140000}"/>
    <cellStyle name="60 % - Akzent4" xfId="9119" hidden="1" xr:uid="{00000000-0005-0000-0000-0000DB140000}"/>
    <cellStyle name="60 % - Akzent4" xfId="9145" hidden="1" xr:uid="{00000000-0005-0000-0000-0000DC140000}"/>
    <cellStyle name="60 % - Akzent4" xfId="8570" hidden="1" xr:uid="{00000000-0005-0000-0000-0000DD140000}"/>
    <cellStyle name="60 % - Akzent4" xfId="19055" hidden="1" xr:uid="{00000000-0005-0000-0000-0000A2140000}"/>
    <cellStyle name="60 % - Akzent4" xfId="1303" hidden="1" xr:uid="{00000000-0005-0000-0000-0000FB140000}"/>
    <cellStyle name="60 % - Akzent4" xfId="17887" hidden="1" xr:uid="{00000000-0005-0000-0000-000083140000}"/>
    <cellStyle name="60 % - Akzent4" xfId="8757" hidden="1" xr:uid="{00000000-0005-0000-0000-0000B3140000}"/>
    <cellStyle name="60 % - Akzent4" xfId="13744" hidden="1" xr:uid="{00000000-0005-0000-0000-0000B4140000}"/>
    <cellStyle name="60 % - Akzent4" xfId="13176" hidden="1" xr:uid="{00000000-0005-0000-0000-0000EF140000}"/>
    <cellStyle name="60 % - Akzent4" xfId="13169" hidden="1" xr:uid="{00000000-0005-0000-0000-0000F0140000}"/>
    <cellStyle name="60 % - Akzent4" xfId="13592" hidden="1" xr:uid="{00000000-0005-0000-0000-0000F1140000}"/>
    <cellStyle name="60 % - Akzent4" xfId="14506" hidden="1" xr:uid="{00000000-0005-0000-0000-0000B6140000}"/>
    <cellStyle name="60 % - Akzent4" xfId="16680" hidden="1" xr:uid="{00000000-0005-0000-0000-0000C5140000}"/>
    <cellStyle name="60 % - Akzent4" xfId="18784" hidden="1" xr:uid="{00000000-0005-0000-0000-00007C140000}"/>
    <cellStyle name="60 % - Akzent4" xfId="18805" hidden="1" xr:uid="{00000000-0005-0000-0000-00007D140000}"/>
    <cellStyle name="60 % - Akzent4" xfId="18832" hidden="1" xr:uid="{00000000-0005-0000-0000-00007E140000}"/>
    <cellStyle name="60 % - Akzent4" xfId="8867" hidden="1" xr:uid="{00000000-0005-0000-0000-0000B1140000}"/>
    <cellStyle name="60 % - Akzent4" xfId="10814" hidden="1" xr:uid="{00000000-0005-0000-0000-0000AE140000}"/>
    <cellStyle name="60 % - Akzent4" xfId="8857" hidden="1" xr:uid="{00000000-0005-0000-0000-0000AF140000}"/>
    <cellStyle name="60 % - Akzent4" xfId="9105" hidden="1" xr:uid="{00000000-0005-0000-0000-0000B0140000}"/>
    <cellStyle name="60 % - Akzent4" xfId="18703" hidden="1" xr:uid="{00000000-0005-0000-0000-000075140000}"/>
    <cellStyle name="60 % - Akzent4" xfId="16849" hidden="1" xr:uid="{00000000-0005-0000-0000-0000CE140000}"/>
    <cellStyle name="60 % - Akzent4" xfId="19643" hidden="1" xr:uid="{00000000-0005-0000-0000-000094140000}"/>
    <cellStyle name="60 % - Akzent4" xfId="12795" hidden="1" xr:uid="{00000000-0005-0000-0000-0000F3140000}"/>
    <cellStyle name="60 % - Akzent4" xfId="12914" hidden="1" xr:uid="{00000000-0005-0000-0000-0000F4140000}"/>
    <cellStyle name="60 % - Akzent4" xfId="15756" hidden="1" xr:uid="{00000000-0005-0000-0000-0000C2140000}"/>
    <cellStyle name="60 % - Akzent4" xfId="16632" hidden="1" xr:uid="{00000000-0005-0000-0000-0000C3140000}"/>
    <cellStyle name="60 % - Akzent4" xfId="16653" hidden="1" xr:uid="{00000000-0005-0000-0000-0000C4140000}"/>
    <cellStyle name="60 % - Akzent4" xfId="13459" hidden="1" xr:uid="{00000000-0005-0000-0000-0000F6140000}"/>
    <cellStyle name="60 % - Akzent4" xfId="1185" hidden="1" xr:uid="{00000000-0005-0000-0000-0000E4140000}"/>
    <cellStyle name="60 % - Akzent4" xfId="11373" hidden="1" xr:uid="{00000000-0005-0000-0000-0000E5140000}"/>
    <cellStyle name="60 % - Akzent4" xfId="3420" hidden="1" xr:uid="{00000000-0005-0000-0000-0000E6140000}"/>
    <cellStyle name="60 % - Akzent4" xfId="8601" hidden="1" xr:uid="{00000000-0005-0000-0000-0000DA140000}"/>
    <cellStyle name="60 % - Akzent4" xfId="13480" hidden="1" xr:uid="{00000000-0005-0000-0000-0000E8140000}"/>
    <cellStyle name="60 % - Akzent4" xfId="13507" hidden="1" xr:uid="{00000000-0005-0000-0000-0000E9140000}"/>
    <cellStyle name="60 % - Akzent4" xfId="13558" hidden="1" xr:uid="{00000000-0005-0000-0000-0000EA140000}"/>
    <cellStyle name="60 % - Akzent4" xfId="13189" hidden="1" xr:uid="{00000000-0005-0000-0000-0000EC140000}"/>
    <cellStyle name="60 % - Akzent4" xfId="13405" hidden="1" xr:uid="{00000000-0005-0000-0000-0000ED140000}"/>
    <cellStyle name="60 % - Akzent4" xfId="13391" hidden="1" xr:uid="{00000000-0005-0000-0000-0000EE140000}"/>
    <cellStyle name="60 % - Akzent4" xfId="14042" hidden="1" xr:uid="{00000000-0005-0000-0000-0000D2140000}"/>
    <cellStyle name="60 % - Akzent4" xfId="10741" hidden="1" xr:uid="{00000000-0005-0000-0000-0000B2140000}"/>
    <cellStyle name="60 % - Akzent4" xfId="19221" hidden="1" xr:uid="{00000000-0005-0000-0000-000098140000}"/>
    <cellStyle name="60 % - Akzent4" xfId="12197" hidden="1" xr:uid="{00000000-0005-0000-0000-0000D7140000}"/>
    <cellStyle name="60 % - Akzent4" xfId="8498" hidden="1" xr:uid="{00000000-0005-0000-0000-0000D8140000}"/>
    <cellStyle name="60 % - Akzent4" xfId="16828" hidden="1" xr:uid="{00000000-0005-0000-0000-0000CD140000}"/>
    <cellStyle name="60 % - Akzent4" xfId="14811" hidden="1" xr:uid="{00000000-0005-0000-0000-0000CA140000}"/>
    <cellStyle name="60 % - Akzent4" xfId="13858" hidden="1" xr:uid="{00000000-0005-0000-0000-0000CB140000}"/>
    <cellStyle name="60 % - Akzent4" xfId="15419" hidden="1" xr:uid="{00000000-0005-0000-0000-0000CC140000}"/>
    <cellStyle name="60 % - Akzent4" xfId="17849" hidden="1" xr:uid="{00000000-0005-0000-0000-000063140000}"/>
    <cellStyle name="60 % - Akzent4" xfId="8242" hidden="1" xr:uid="{00000000-0005-0000-0000-0000AD140000}"/>
    <cellStyle name="60 % - Akzent4" xfId="18614" hidden="1" xr:uid="{00000000-0005-0000-0000-000072140000}"/>
    <cellStyle name="60 % - Akzent4" xfId="3294" hidden="1" xr:uid="{00000000-0005-0000-0000-0000E0140000}"/>
    <cellStyle name="60 % - Akzent4" xfId="3303" hidden="1" xr:uid="{00000000-0005-0000-0000-0000E1140000}"/>
    <cellStyle name="60 % - Akzent4" xfId="3381" hidden="1" xr:uid="{00000000-0005-0000-0000-0000E2140000}"/>
    <cellStyle name="60 % - Akzent4" xfId="17744" hidden="1" xr:uid="{00000000-0005-0000-0000-00005F140000}"/>
    <cellStyle name="60 % - Akzent4" xfId="15962" hidden="1" xr:uid="{00000000-0005-0000-0000-00005C140000}"/>
    <cellStyle name="60 % - Akzent4" xfId="13702" hidden="1" xr:uid="{00000000-0005-0000-0000-00005D140000}"/>
    <cellStyle name="60 % - Akzent4" xfId="15103" hidden="1" xr:uid="{00000000-0005-0000-0000-00005E140000}"/>
    <cellStyle name="60 % - Akzent4" xfId="8445" hidden="1" xr:uid="{00000000-0005-0000-0000-0000D9140000}"/>
    <cellStyle name="60 % - Akzent4" xfId="18220" hidden="1" xr:uid="{00000000-0005-0000-0000-00007B140000}"/>
    <cellStyle name="60 % - Akzent4" xfId="16323" hidden="1" xr:uid="{00000000-0005-0000-0000-0000BA140000}"/>
    <cellStyle name="60 % - Akzent4" xfId="16477" hidden="1" xr:uid="{00000000-0005-0000-0000-0000A0140000}"/>
    <cellStyle name="60 % - Akzent4" xfId="13920" hidden="1" xr:uid="{00000000-0005-0000-0000-0000A1140000}"/>
    <cellStyle name="60 % - Akzent4" xfId="14390" hidden="1" xr:uid="{00000000-0005-0000-0000-00006F140000}"/>
    <cellStyle name="60 % - Akzent4" xfId="17067" hidden="1" xr:uid="{00000000-0005-0000-0000-000070140000}"/>
    <cellStyle name="60 % - Akzent4" xfId="16020" hidden="1" xr:uid="{00000000-0005-0000-0000-000071140000}"/>
    <cellStyle name="60 % - Akzent4" xfId="14960" hidden="1" xr:uid="{00000000-0005-0000-0000-0000A3140000}"/>
    <cellStyle name="60 % - Akzent4" xfId="19566" hidden="1" xr:uid="{00000000-0005-0000-0000-000091140000}"/>
    <cellStyle name="60 % - Akzent4" xfId="19593" hidden="1" xr:uid="{00000000-0005-0000-0000-000092140000}"/>
    <cellStyle name="60 % - Akzent4" xfId="19634" hidden="1" xr:uid="{00000000-0005-0000-0000-000093140000}"/>
    <cellStyle name="60 % - Akzent4" xfId="18957" hidden="1" xr:uid="{00000000-0005-0000-0000-000087140000}"/>
    <cellStyle name="60 % - Akzent4" xfId="16743" hidden="1" xr:uid="{00000000-0005-0000-0000-000095140000}"/>
    <cellStyle name="60 % - Akzent4" xfId="19367" hidden="1" xr:uid="{00000000-0005-0000-0000-000096140000}"/>
    <cellStyle name="60 % - Akzent4" xfId="19315" hidden="1" xr:uid="{00000000-0005-0000-0000-000097140000}"/>
    <cellStyle name="60 % - Akzent4" xfId="19134" hidden="1" xr:uid="{00000000-0005-0000-0000-000099140000}"/>
    <cellStyle name="60 % - Akzent4" xfId="19677" hidden="1" xr:uid="{00000000-0005-0000-0000-00009A140000}"/>
    <cellStyle name="60 % - Akzent4" xfId="19698" hidden="1" xr:uid="{00000000-0005-0000-0000-00009B140000}"/>
    <cellStyle name="60 % - Akzent4" xfId="18877" hidden="1" xr:uid="{00000000-0005-0000-0000-00007F140000}"/>
    <cellStyle name="60 % - Akzent4" xfId="17765" hidden="1" xr:uid="{00000000-0005-0000-0000-000060140000}"/>
    <cellStyle name="60 % - Akzent4" xfId="13883" hidden="1" xr:uid="{00000000-0005-0000-0000-0000BE140000}"/>
    <cellStyle name="60 % - Akzent4" xfId="14122" hidden="1" xr:uid="{00000000-0005-0000-0000-000084140000}"/>
    <cellStyle name="60 % - Akzent4" xfId="17588" hidden="1" xr:uid="{00000000-0005-0000-0000-000085140000}"/>
    <cellStyle name="60 % - Akzent4" xfId="18264" hidden="1" xr:uid="{00000000-0005-0000-0000-00007A140000}"/>
    <cellStyle name="60 % - Akzent4" xfId="16432" hidden="1" xr:uid="{00000000-0005-0000-0000-000077140000}"/>
    <cellStyle name="60 % - Akzent4" xfId="18360" hidden="1" xr:uid="{00000000-0005-0000-0000-000078140000}"/>
    <cellStyle name="60 % - Akzent4" xfId="18316" hidden="1" xr:uid="{00000000-0005-0000-0000-000079140000}"/>
    <cellStyle name="60 % - Akzent4" xfId="13032" hidden="1" xr:uid="{00000000-0005-0000-0000-0000F5140000}"/>
    <cellStyle name="60 % - Akzent4" xfId="14780" hidden="1" xr:uid="{00000000-0005-0000-0000-00005B140000}"/>
    <cellStyle name="60 % - Akzent4" xfId="13686" hidden="1" xr:uid="{00000000-0005-0000-0000-0000D6140000}"/>
    <cellStyle name="60 % - Akzent4" xfId="15905" hidden="1" xr:uid="{00000000-0005-0000-0000-00008D140000}"/>
    <cellStyle name="60 % - Akzent4" xfId="14080" hidden="1" xr:uid="{00000000-0005-0000-0000-00008E140000}"/>
    <cellStyle name="60 % - Akzent4" xfId="18047" hidden="1" xr:uid="{00000000-0005-0000-0000-00006C140000}"/>
    <cellStyle name="60 % - Akzent4" xfId="14362" hidden="1" xr:uid="{00000000-0005-0000-0000-00006D140000}"/>
    <cellStyle name="60 % - Akzent4" xfId="16772" hidden="1" xr:uid="{00000000-0005-0000-0000-00006E140000}"/>
    <cellStyle name="60 % - Akzent4" xfId="19545" hidden="1" xr:uid="{00000000-0005-0000-0000-000090140000}"/>
    <cellStyle name="60 % - Akzent4" xfId="19649" hidden="1" xr:uid="{00000000-0005-0000-0000-00009F140000}"/>
    <cellStyle name="60 % - Akzent4" xfId="16876" hidden="1" xr:uid="{00000000-0005-0000-0000-0000CF140000}"/>
    <cellStyle name="60 % - Akzent4" xfId="16927" hidden="1" xr:uid="{00000000-0005-0000-0000-0000D0140000}"/>
    <cellStyle name="60 % - Akzent4" xfId="16936" hidden="1" xr:uid="{00000000-0005-0000-0000-0000D1140000}"/>
    <cellStyle name="60 % - Akzent4" xfId="18341" hidden="1" xr:uid="{00000000-0005-0000-0000-00008B140000}"/>
    <cellStyle name="60 % - Akzent4" xfId="18984" hidden="1" xr:uid="{00000000-0005-0000-0000-000088140000}"/>
    <cellStyle name="60 % - Akzent4" xfId="19035" hidden="1" xr:uid="{00000000-0005-0000-0000-000089140000}"/>
    <cellStyle name="60 % - Akzent4" xfId="19044" hidden="1" xr:uid="{00000000-0005-0000-0000-00008A140000}"/>
    <cellStyle name="60 % - Akzent4" xfId="15825" hidden="1" xr:uid="{00000000-0005-0000-0000-0000C8140000}"/>
    <cellStyle name="60 % - Akzent4" xfId="19901" hidden="1" xr:uid="{00000000-0005-0000-0000-0000A8140000}"/>
    <cellStyle name="60 % - Akzent4" xfId="4218" hidden="1" xr:uid="{00000000-0005-0000-0000-0000E7140000}"/>
    <cellStyle name="60 % - Akzent4" xfId="17792" hidden="1" xr:uid="{00000000-0005-0000-0000-000061140000}"/>
    <cellStyle name="60 % - Akzent4" xfId="17840" hidden="1" xr:uid="{00000000-0005-0000-0000-000062140000}"/>
    <cellStyle name="60 % - Akzent4" xfId="19725" hidden="1" xr:uid="{00000000-0005-0000-0000-00009C140000}"/>
    <cellStyle name="60 % - Akzent4" xfId="19776" hidden="1" xr:uid="{00000000-0005-0000-0000-00009D140000}"/>
    <cellStyle name="60 % - Akzent4" xfId="19785" hidden="1" xr:uid="{00000000-0005-0000-0000-00009E140000}"/>
    <cellStyle name="60 % - Akzent4" xfId="14638" hidden="1" xr:uid="{00000000-0005-0000-0000-000064140000}"/>
    <cellStyle name="60 % - Akzent4" xfId="18886" hidden="1" xr:uid="{00000000-0005-0000-0000-000080140000}"/>
    <cellStyle name="60 % - Akzent4" xfId="18419" hidden="1" xr:uid="{00000000-0005-0000-0000-000081140000}"/>
    <cellStyle name="60 % - Akzent4" xfId="16993" hidden="1" xr:uid="{00000000-0005-0000-0000-000082140000}"/>
    <cellStyle name="60 % - Akzent4" xfId="18712" hidden="1" xr:uid="{00000000-0005-0000-0000-000076140000}"/>
    <cellStyle name="60 % - Akzent4" xfId="17415" hidden="1" xr:uid="{00000000-0005-0000-0000-000065140000}"/>
    <cellStyle name="60 % - Akzent4" xfId="17363" hidden="1" xr:uid="{00000000-0005-0000-0000-000066140000}"/>
    <cellStyle name="60 % - Akzent4" xfId="15184" hidden="1" xr:uid="{00000000-0005-0000-0000-000067140000}"/>
    <cellStyle name="60 % - Akzent4" xfId="17939" hidden="1" xr:uid="{00000000-0005-0000-0000-000069140000}"/>
    <cellStyle name="60 % - Akzent4" xfId="17960" hidden="1" xr:uid="{00000000-0005-0000-0000-00006A140000}"/>
    <cellStyle name="60 % - Akzent4" xfId="17987" hidden="1" xr:uid="{00000000-0005-0000-0000-00006B140000}"/>
    <cellStyle name="60 % - Akzent4" xfId="8324" hidden="1" xr:uid="{00000000-0005-0000-0000-0000AC140000}"/>
    <cellStyle name="60 % - Akzent4" xfId="14475" hidden="1" xr:uid="{00000000-0005-0000-0000-00008C140000}"/>
    <cellStyle name="60 % - Akzent4" xfId="13567" hidden="1" xr:uid="{00000000-0005-0000-0000-0000EB140000}"/>
    <cellStyle name="60 % - Akzent4" xfId="18635" hidden="1" xr:uid="{00000000-0005-0000-0000-000073140000}"/>
    <cellStyle name="60 % - Akzent4" xfId="18662" hidden="1" xr:uid="{00000000-0005-0000-0000-000074140000}"/>
    <cellStyle name="60 % - Akzent4" xfId="19892" hidden="1" xr:uid="{00000000-0005-0000-0000-0000A7140000}"/>
    <cellStyle name="60 % - Akzent4" xfId="19807" hidden="1" xr:uid="{00000000-0005-0000-0000-0000A4140000}"/>
    <cellStyle name="60 % - Akzent4" xfId="19828" hidden="1" xr:uid="{00000000-0005-0000-0000-0000A5140000}"/>
    <cellStyle name="60 % - Akzent4" xfId="19855" hidden="1" xr:uid="{00000000-0005-0000-0000-0000A6140000}"/>
    <cellStyle name="60 % - Akzent4" xfId="14427" hidden="1" xr:uid="{00000000-0005-0000-0000-0000B5140000}"/>
    <cellStyle name="60 % - Akzent4 2" xfId="401" xr:uid="{00000000-0005-0000-0000-0000FC140000}"/>
    <cellStyle name="60 % - Akzent4 3" xfId="270" xr:uid="{00000000-0005-0000-0000-0000FD140000}"/>
    <cellStyle name="60 % - Akzent5" xfId="13747" hidden="1" xr:uid="{00000000-0005-0000-0000-000053150000}"/>
    <cellStyle name="60 % - Akzent5" xfId="14088" hidden="1" xr:uid="{00000000-0005-0000-0000-000071150000}"/>
    <cellStyle name="60 % - Akzent5" xfId="17718" hidden="1" xr:uid="{00000000-0005-0000-0000-00001B150000}"/>
    <cellStyle name="60 % - Akzent5" xfId="13535" hidden="1" xr:uid="{00000000-0005-0000-0000-00008D150000}"/>
    <cellStyle name="60 % - Akzent5" xfId="12262" hidden="1" xr:uid="{00000000-0005-0000-0000-00008E150000}"/>
    <cellStyle name="60 % - Akzent5" xfId="18835" hidden="1" xr:uid="{00000000-0005-0000-0000-00001F150000}"/>
    <cellStyle name="60 % - Akzent5" xfId="12694" hidden="1" xr:uid="{00000000-0005-0000-0000-000098150000}"/>
    <cellStyle name="60 % - Akzent5" xfId="3709" hidden="1" xr:uid="{00000000-0005-0000-0000-000089150000}"/>
    <cellStyle name="60 % - Akzent5" xfId="13442" hidden="1" xr:uid="{00000000-0005-0000-0000-00008A150000}"/>
    <cellStyle name="60 % - Akzent5" xfId="13595" hidden="1" xr:uid="{00000000-0005-0000-0000-000093150000}"/>
    <cellStyle name="60 % - Akzent5" xfId="13575" hidden="1" xr:uid="{00000000-0005-0000-0000-000094150000}"/>
    <cellStyle name="60 % - Akzent5" xfId="12703" hidden="1" xr:uid="{00000000-0005-0000-0000-000095150000}"/>
    <cellStyle name="60 % - Akzent5" xfId="8699" hidden="1" xr:uid="{00000000-0005-0000-0000-000086150000}"/>
    <cellStyle name="60 % - Akzent5" xfId="13403" hidden="1" xr:uid="{00000000-0005-0000-0000-00008F150000}"/>
    <cellStyle name="60 % - Akzent5" xfId="16930" hidden="1" xr:uid="{00000000-0005-0000-0000-00006F150000}"/>
    <cellStyle name="60 % - Akzent5" xfId="13179" hidden="1" xr:uid="{00000000-0005-0000-0000-000091150000}"/>
    <cellStyle name="60 % - Akzent5" xfId="1327" hidden="1" xr:uid="{00000000-0005-0000-0000-00009A150000}"/>
    <cellStyle name="60 % - Akzent5" xfId="77" hidden="1" xr:uid="{00000000-0005-0000-0000-00009B150000}"/>
    <cellStyle name="60 % - Akzent5" xfId="13561" hidden="1" xr:uid="{00000000-0005-0000-0000-00008C150000}"/>
    <cellStyle name="60 % - Akzent5" xfId="16831" hidden="1" xr:uid="{00000000-0005-0000-0000-00006C150000}"/>
    <cellStyle name="60 % - Akzent5" xfId="13056" hidden="1" xr:uid="{00000000-0005-0000-0000-000096150000}"/>
    <cellStyle name="60 % - Akzent5" xfId="12811" hidden="1" xr:uid="{00000000-0005-0000-0000-000097150000}"/>
    <cellStyle name="60 % - Akzent5" xfId="15272" hidden="1" xr:uid="{00000000-0005-0000-0000-00006B150000}"/>
    <cellStyle name="60 % - Akzent5" xfId="13856" hidden="1" xr:uid="{00000000-0005-0000-0000-00006A150000}"/>
    <cellStyle name="60 % - Akzent5" xfId="8516" hidden="1" xr:uid="{00000000-0005-0000-0000-00004C150000}"/>
    <cellStyle name="60 % - Akzent5" xfId="13410" hidden="1" xr:uid="{00000000-0005-0000-0000-000092150000}"/>
    <cellStyle name="60 % - Akzent5" xfId="16811" hidden="1" xr:uid="{00000000-0005-0000-0000-00006D150000}"/>
    <cellStyle name="60 % - Akzent5" xfId="18597" hidden="1" xr:uid="{00000000-0005-0000-0000-000014150000}"/>
    <cellStyle name="60 % - Akzent5" xfId="13643" hidden="1" xr:uid="{00000000-0005-0000-0000-000075150000}"/>
    <cellStyle name="60 % - Akzent5" xfId="17350" hidden="1" xr:uid="{00000000-0005-0000-0000-000007150000}"/>
    <cellStyle name="60 % - Akzent5" xfId="14965" hidden="1" xr:uid="{00000000-0005-0000-0000-000073150000}"/>
    <cellStyle name="60 % - Akzent5" xfId="14261" hidden="1" xr:uid="{00000000-0005-0000-0000-000072150000}"/>
    <cellStyle name="60 % - Akzent5" xfId="14430" hidden="1" xr:uid="{00000000-0005-0000-0000-000054150000}"/>
    <cellStyle name="60 % - Akzent5" xfId="17843" hidden="1" xr:uid="{00000000-0005-0000-0000-000002150000}"/>
    <cellStyle name="60 % - Akzent5" xfId="16615" hidden="1" xr:uid="{00000000-0005-0000-0000-000063150000}"/>
    <cellStyle name="60 % - Akzent5" xfId="8412" hidden="1" xr:uid="{00000000-0005-0000-0000-000078150000}"/>
    <cellStyle name="60 % - Akzent5" xfId="13658" hidden="1" xr:uid="{00000000-0005-0000-0000-000077150000}"/>
    <cellStyle name="60 % - Akzent5" xfId="18357" hidden="1" xr:uid="{00000000-0005-0000-0000-000019150000}"/>
    <cellStyle name="60 % - Akzent5" xfId="15057" hidden="1" xr:uid="{00000000-0005-0000-0000-00005E150000}"/>
    <cellStyle name="60 % - Akzent5" xfId="8605" hidden="1" xr:uid="{00000000-0005-0000-0000-00007A150000}"/>
    <cellStyle name="60 % - Akzent5" xfId="18857" hidden="1" xr:uid="{00000000-0005-0000-0000-000021150000}"/>
    <cellStyle name="60 % - Akzent5" xfId="3384" hidden="1" xr:uid="{00000000-0005-0000-0000-000082150000}"/>
    <cellStyle name="60 % - Akzent5" xfId="14367" hidden="1" xr:uid="{00000000-0005-0000-0000-000043150000}"/>
    <cellStyle name="60 % - Akzent5" xfId="3246" hidden="1" xr:uid="{00000000-0005-0000-0000-00007F150000}"/>
    <cellStyle name="60 % - Akzent5" xfId="974" hidden="1" xr:uid="{00000000-0005-0000-0000-00009D150000}"/>
    <cellStyle name="60 % - Akzent5" xfId="19858" hidden="1" xr:uid="{00000000-0005-0000-0000-000046150000}"/>
    <cellStyle name="60 % - Akzent5" xfId="13370" hidden="1" xr:uid="{00000000-0005-0000-0000-000090150000}"/>
    <cellStyle name="60 % - Akzent5" xfId="965" hidden="1" xr:uid="{00000000-0005-0000-0000-000085150000}"/>
    <cellStyle name="60 % - Akzent5" xfId="1082" hidden="1" xr:uid="{00000000-0005-0000-0000-000084150000}"/>
    <cellStyle name="60 % - Akzent5" xfId="16989" hidden="1" xr:uid="{00000000-0005-0000-0000-000026150000}"/>
    <cellStyle name="60 % - Akzent5" xfId="13510" hidden="1" xr:uid="{00000000-0005-0000-0000-00008B150000}"/>
    <cellStyle name="60 % - Akzent5" xfId="3516" hidden="1" xr:uid="{00000000-0005-0000-0000-000087150000}"/>
    <cellStyle name="60 % - Akzent5" xfId="18234" hidden="1" xr:uid="{00000000-0005-0000-0000-00002D150000}"/>
    <cellStyle name="60 % - Akzent5" xfId="10867" hidden="1" xr:uid="{00000000-0005-0000-0000-00004E150000}"/>
    <cellStyle name="60 % - Akzent5" xfId="15024" hidden="1" xr:uid="{00000000-0005-0000-0000-000060150000}"/>
    <cellStyle name="60 % - Akzent5" xfId="15937" hidden="1" xr:uid="{00000000-0005-0000-0000-000061150000}"/>
    <cellStyle name="60 % - Akzent5" xfId="8972" hidden="1" xr:uid="{00000000-0005-0000-0000-000052150000}"/>
    <cellStyle name="60 % - Akzent5" xfId="16403" hidden="1" xr:uid="{00000000-0005-0000-0000-00005B150000}"/>
    <cellStyle name="60 % - Akzent5" xfId="9267" hidden="1" xr:uid="{00000000-0005-0000-0000-00007C150000}"/>
    <cellStyle name="60 % - Akzent5" xfId="15180" hidden="1" xr:uid="{00000000-0005-0000-0000-00005D150000}"/>
    <cellStyle name="60 % - Akzent5" xfId="16708" hidden="1" xr:uid="{00000000-0005-0000-0000-000066150000}"/>
    <cellStyle name="60 % - Akzent5" xfId="16222" hidden="1" xr:uid="{00000000-0005-0000-0000-000067150000}"/>
    <cellStyle name="60 % - Akzent5" xfId="16305" hidden="1" xr:uid="{00000000-0005-0000-0000-000058150000}"/>
    <cellStyle name="60 % - Akzent5" xfId="8288" hidden="1" xr:uid="{00000000-0005-0000-0000-000079150000}"/>
    <cellStyle name="60 % - Akzent5" xfId="16635" hidden="1" xr:uid="{00000000-0005-0000-0000-000062150000}"/>
    <cellStyle name="60 % - Akzent5" xfId="18897" hidden="1" xr:uid="{00000000-0005-0000-0000-00002B150000}"/>
    <cellStyle name="60 % - Akzent5" xfId="16683" hidden="1" xr:uid="{00000000-0005-0000-0000-000064150000}"/>
    <cellStyle name="60 % - Akzent5" xfId="14720" hidden="1" xr:uid="{00000000-0005-0000-0000-000055150000}"/>
    <cellStyle name="60 % - Akzent5" xfId="14521" hidden="1" xr:uid="{00000000-0005-0000-0000-000056150000}"/>
    <cellStyle name="60 % - Akzent5" xfId="14975" hidden="1" xr:uid="{00000000-0005-0000-0000-00005F150000}"/>
    <cellStyle name="60 % - Akzent5" xfId="18919" hidden="1" xr:uid="{00000000-0005-0000-0000-000028150000}"/>
    <cellStyle name="60 % - Akzent5" xfId="16285" hidden="1" xr:uid="{00000000-0005-0000-0000-000059150000}"/>
    <cellStyle name="60 % - Akzent5" xfId="16353" hidden="1" xr:uid="{00000000-0005-0000-0000-00005A150000}"/>
    <cellStyle name="60 % - Akzent5" xfId="3178" hidden="1" xr:uid="{00000000-0005-0000-0000-00007E150000}"/>
    <cellStyle name="60 % - Akzent5" xfId="3198" hidden="1" xr:uid="{00000000-0005-0000-0000-00009E150000}"/>
    <cellStyle name="60 % - Akzent5" xfId="3297" hidden="1" xr:uid="{00000000-0005-0000-0000-000080150000}"/>
    <cellStyle name="60 % - Akzent5" xfId="16733" hidden="1" xr:uid="{00000000-0005-0000-0000-000065150000}"/>
    <cellStyle name="60 % - Akzent5" xfId="19038" hidden="1" xr:uid="{00000000-0005-0000-0000-000029150000}"/>
    <cellStyle name="60 % - Akzent5" xfId="19895" hidden="1" xr:uid="{00000000-0005-0000-0000-000047150000}"/>
    <cellStyle name="60 % - Akzent5" xfId="15279" hidden="1" xr:uid="{00000000-0005-0000-0000-000068150000}"/>
    <cellStyle name="60 % - Akzent5" xfId="19680" hidden="1" xr:uid="{00000000-0005-0000-0000-00003A150000}"/>
    <cellStyle name="60 % - Akzent5" xfId="18469" hidden="1" xr:uid="{00000000-0005-0000-0000-00002F150000}"/>
    <cellStyle name="60 % - Akzent5" xfId="18458" hidden="1" xr:uid="{00000000-0005-0000-0000-00002E150000}"/>
    <cellStyle name="60 % - Akzent5" xfId="3923" hidden="1" xr:uid="{00000000-0005-0000-0000-000088150000}"/>
    <cellStyle name="60 % - Akzent5" xfId="18103" hidden="1" xr:uid="{00000000-0005-0000-0000-000035150000}"/>
    <cellStyle name="60 % - Akzent5" xfId="19528" hidden="1" xr:uid="{00000000-0005-0000-0000-000031150000}"/>
    <cellStyle name="60 % - Akzent5" xfId="10984" hidden="1" xr:uid="{00000000-0005-0000-0000-00004F150000}"/>
    <cellStyle name="60 % - Akzent5" xfId="16904" hidden="1" xr:uid="{00000000-0005-0000-0000-000070150000}"/>
    <cellStyle name="60 % - Akzent5" xfId="17990" hidden="1" xr:uid="{00000000-0005-0000-0000-00000B150000}"/>
    <cellStyle name="60 % - Akzent5" xfId="18041" hidden="1" xr:uid="{00000000-0005-0000-0000-00000C150000}"/>
    <cellStyle name="60 % - Akzent5" xfId="13923" hidden="1" xr:uid="{00000000-0005-0000-0000-000074150000}"/>
    <cellStyle name="60 % - Akzent5" xfId="17166" hidden="1" xr:uid="{00000000-0005-0000-0000-000006150000}"/>
    <cellStyle name="60 % - Akzent5" xfId="18939" hidden="1" xr:uid="{00000000-0005-0000-0000-000027150000}"/>
    <cellStyle name="60 % - Akzent5" xfId="16551" hidden="1" xr:uid="{00000000-0005-0000-0000-000008150000}"/>
    <cellStyle name="60 % - Akzent5" xfId="14064" hidden="1" xr:uid="{00000000-0005-0000-0000-000011150000}"/>
    <cellStyle name="60 % - Akzent5" xfId="14651" hidden="1" xr:uid="{00000000-0005-0000-0000-000012150000}"/>
    <cellStyle name="60 % - Akzent5" xfId="17817" hidden="1" xr:uid="{00000000-0005-0000-0000-000003150000}"/>
    <cellStyle name="60 % - Akzent5" xfId="17056" hidden="1" xr:uid="{00000000-0005-0000-0000-000024150000}"/>
    <cellStyle name="60 % - Akzent5" xfId="18015" hidden="1" xr:uid="{00000000-0005-0000-0000-00000D150000}"/>
    <cellStyle name="60 % - Akzent5" xfId="9381" hidden="1" xr:uid="{00000000-0005-0000-0000-00004D150000}"/>
    <cellStyle name="60 % - Akzent5" xfId="14258" hidden="1" xr:uid="{00000000-0005-0000-0000-00000F150000}"/>
    <cellStyle name="60 % - Akzent5" xfId="17727" hidden="1" xr:uid="{00000000-0005-0000-0000-000000150000}"/>
    <cellStyle name="60 % - Akzent5" xfId="17795" hidden="1" xr:uid="{00000000-0005-0000-0000-000001150000}"/>
    <cellStyle name="60 % - Akzent5" xfId="17922" hidden="1" xr:uid="{00000000-0005-0000-0000-00000A150000}"/>
    <cellStyle name="60 % - Akzent5" xfId="8268" hidden="1" xr:uid="{00000000-0005-0000-0000-00004A150000}"/>
    <cellStyle name="60 % - Akzent5" xfId="16468" hidden="1" xr:uid="{00000000-0005-0000-0000-000004150000}"/>
    <cellStyle name="60 % - Akzent5" xfId="17412" hidden="1" xr:uid="{00000000-0005-0000-0000-000005150000}"/>
    <cellStyle name="60 % - Akzent5" xfId="18987" hidden="1" xr:uid="{00000000-0005-0000-0000-000049150000}"/>
    <cellStyle name="60 % - Akzent5" xfId="19873" hidden="1" xr:uid="{00000000-0005-0000-0000-000048150000}"/>
    <cellStyle name="60 % - Akzent5" xfId="19012" hidden="1" xr:uid="{00000000-0005-0000-0000-00002A150000}"/>
    <cellStyle name="60 % - Akzent5" xfId="17572" hidden="1" xr:uid="{00000000-0005-0000-0000-000010150000}"/>
    <cellStyle name="60 % - Akzent5" xfId="8243" hidden="1" xr:uid="{00000000-0005-0000-0000-00004B150000}"/>
    <cellStyle name="60 % - Akzent5" xfId="14582" hidden="1" xr:uid="{00000000-0005-0000-0000-000069150000}"/>
    <cellStyle name="60 % - Akzent5" xfId="18617" hidden="1" xr:uid="{00000000-0005-0000-0000-000013150000}"/>
    <cellStyle name="60 % - Akzent5" xfId="16378" hidden="1" xr:uid="{00000000-0005-0000-0000-00005C150000}"/>
    <cellStyle name="60 % - Akzent5" xfId="10915" hidden="1" xr:uid="{00000000-0005-0000-0000-000051150000}"/>
    <cellStyle name="60 % - Akzent5" xfId="10255" hidden="1" xr:uid="{00000000-0005-0000-0000-000050150000}"/>
    <cellStyle name="60 % - Akzent5" xfId="19596" hidden="1" xr:uid="{00000000-0005-0000-0000-000032150000}"/>
    <cellStyle name="60 % - Akzent5" xfId="14421" hidden="1" xr:uid="{00000000-0005-0000-0000-000057150000}"/>
    <cellStyle name="60 % - Akzent5" xfId="13944" hidden="1" xr:uid="{00000000-0005-0000-0000-000041150000}"/>
    <cellStyle name="60 % - Akzent5" xfId="18706" hidden="1" xr:uid="{00000000-0005-0000-0000-000016150000}"/>
    <cellStyle name="60 % - Akzent5" xfId="18665" hidden="1" xr:uid="{00000000-0005-0000-0000-000015150000}"/>
    <cellStyle name="60 % - Akzent5" xfId="16879" hidden="1" xr:uid="{00000000-0005-0000-0000-00006E150000}"/>
    <cellStyle name="60 % - Akzent5" xfId="19728" hidden="1" xr:uid="{00000000-0005-0000-0000-00003C150000}"/>
    <cellStyle name="60 % - Akzent5" xfId="14614" hidden="1" xr:uid="{00000000-0005-0000-0000-000018150000}"/>
    <cellStyle name="60 % - Akzent5" xfId="13680" hidden="1" xr:uid="{00000000-0005-0000-0000-000076150000}"/>
    <cellStyle name="60 % - Akzent5" xfId="18880" hidden="1" xr:uid="{00000000-0005-0000-0000-000020150000}"/>
    <cellStyle name="60 % - Akzent5" xfId="13462" hidden="1" xr:uid="{00000000-0005-0000-0000-000099150000}"/>
    <cellStyle name="60 % - Akzent5" xfId="18767" hidden="1" xr:uid="{00000000-0005-0000-0000-00001E150000}"/>
    <cellStyle name="60 % - Akzent5" xfId="18787" hidden="1" xr:uid="{00000000-0005-0000-0000-00001D150000}"/>
    <cellStyle name="60 % - Akzent5" xfId="17747" hidden="1" xr:uid="{00000000-0005-0000-0000-0000FF140000}"/>
    <cellStyle name="60 % - Akzent5" xfId="12200" hidden="1" xr:uid="{00000000-0005-0000-0000-00009C150000}"/>
    <cellStyle name="60 % - Akzent5" xfId="17898" hidden="1" xr:uid="{00000000-0005-0000-0000-00000E150000}"/>
    <cellStyle name="60 % - Akzent5" xfId="16995" hidden="1" xr:uid="{00000000-0005-0000-0000-000023150000}"/>
    <cellStyle name="60 % - Akzent5" xfId="15751" hidden="1" xr:uid="{00000000-0005-0000-0000-000022150000}"/>
    <cellStyle name="60 % - Akzent5" xfId="9142" hidden="1" xr:uid="{00000000-0005-0000-0000-00007B150000}"/>
    <cellStyle name="60 % - Akzent5" xfId="17942" hidden="1" xr:uid="{00000000-0005-0000-0000-000009150000}"/>
    <cellStyle name="60 % - Akzent5" xfId="15064" hidden="1" xr:uid="{00000000-0005-0000-0000-000025150000}"/>
    <cellStyle name="60 % - Akzent5" xfId="3954" hidden="1" xr:uid="{00000000-0005-0000-0000-000083150000}"/>
    <cellStyle name="60 % - Akzent5" xfId="17605" hidden="1" xr:uid="{00000000-0005-0000-0000-00002C150000}"/>
    <cellStyle name="60 % - Akzent5" xfId="19753" hidden="1" xr:uid="{00000000-0005-0000-0000-00003E150000}"/>
    <cellStyle name="60 % - Akzent5" xfId="15669" hidden="1" xr:uid="{00000000-0005-0000-0000-00003F150000}"/>
    <cellStyle name="60 % - Akzent5" xfId="19548" hidden="1" xr:uid="{00000000-0005-0000-0000-000030150000}"/>
    <cellStyle name="60 % - Akzent5" xfId="19372" hidden="1" xr:uid="{00000000-0005-0000-0000-000039150000}"/>
    <cellStyle name="60 % - Akzent5" xfId="18211" hidden="1" xr:uid="{00000000-0005-0000-0000-00001A150000}"/>
    <cellStyle name="60 % - Akzent5" xfId="19660" hidden="1" xr:uid="{00000000-0005-0000-0000-00003B150000}"/>
    <cellStyle name="60 % - Akzent5" xfId="19810" hidden="1" xr:uid="{00000000-0005-0000-0000-000044150000}"/>
    <cellStyle name="60 % - Akzent5" xfId="19790" hidden="1" xr:uid="{00000000-0005-0000-0000-000045150000}"/>
    <cellStyle name="60 % - Akzent5" xfId="19364" hidden="1" xr:uid="{00000000-0005-0000-0000-000036150000}"/>
    <cellStyle name="60 % - Akzent5" xfId="18683" hidden="1" xr:uid="{00000000-0005-0000-0000-000017150000}"/>
    <cellStyle name="60 % - Akzent5" xfId="17059" hidden="1" xr:uid="{00000000-0005-0000-0000-000040150000}"/>
    <cellStyle name="60 % - Akzent5" xfId="3271" hidden="1" xr:uid="{00000000-0005-0000-0000-000081150000}"/>
    <cellStyle name="60 % - Akzent5" xfId="18095" hidden="1" xr:uid="{00000000-0005-0000-0000-000042150000}"/>
    <cellStyle name="60 % - Akzent5" xfId="19637" hidden="1" xr:uid="{00000000-0005-0000-0000-000033150000}"/>
    <cellStyle name="60 % - Akzent5" xfId="19614" hidden="1" xr:uid="{00000000-0005-0000-0000-000034150000}"/>
    <cellStyle name="60 % - Akzent5" xfId="19779" hidden="1" xr:uid="{00000000-0005-0000-0000-00003D150000}"/>
    <cellStyle name="60 % - Akzent5" xfId="8701" hidden="1" xr:uid="{00000000-0005-0000-0000-00007D150000}"/>
    <cellStyle name="60 % - Akzent5" xfId="19118" hidden="1" xr:uid="{00000000-0005-0000-0000-000037150000}"/>
    <cellStyle name="60 % - Akzent5" xfId="19302" hidden="1" xr:uid="{00000000-0005-0000-0000-000038150000}"/>
    <cellStyle name="60 % - Akzent5" xfId="18365" hidden="1" xr:uid="{00000000-0005-0000-0000-00001C150000}"/>
    <cellStyle name="60 % - Akzent5" xfId="14235" hidden="1" xr:uid="{00000000-0005-0000-0000-0000FE140000}"/>
    <cellStyle name="60 % - Akzent5 2" xfId="402" xr:uid="{00000000-0005-0000-0000-00009F150000}"/>
    <cellStyle name="60 % - Akzent5 3" xfId="271" xr:uid="{00000000-0005-0000-0000-0000A0150000}"/>
    <cellStyle name="60 % - Akzent6" xfId="3201" hidden="1" xr:uid="{00000000-0005-0000-0000-000041160000}"/>
    <cellStyle name="60 % - Akzent6" xfId="8271" hidden="1" xr:uid="{00000000-0005-0000-0000-00002C160000}"/>
    <cellStyle name="60 % - Akzent6" xfId="16729" hidden="1" xr:uid="{00000000-0005-0000-0000-000005160000}"/>
    <cellStyle name="60 % - Akzent6" xfId="19599" hidden="1" xr:uid="{00000000-0005-0000-0000-0000D3150000}"/>
    <cellStyle name="60 % - Akzent6" xfId="12771" hidden="1" xr:uid="{00000000-0005-0000-0000-00003B160000}"/>
    <cellStyle name="60 % - Akzent6" xfId="13363" hidden="1" xr:uid="{00000000-0005-0000-0000-000033160000}"/>
    <cellStyle name="60 % - Akzent6" xfId="1340" hidden="1" xr:uid="{00000000-0005-0000-0000-00003D160000}"/>
    <cellStyle name="60 % - Akzent6" xfId="13513" hidden="1" xr:uid="{00000000-0005-0000-0000-00002E160000}"/>
    <cellStyle name="60 % - Akzent6" xfId="18330" hidden="1" xr:uid="{00000000-0005-0000-0000-0000BC150000}"/>
    <cellStyle name="60 % - Akzent6" xfId="18214" hidden="1" xr:uid="{00000000-0005-0000-0000-0000CE150000}"/>
    <cellStyle name="60 % - Akzent6" xfId="13598" hidden="1" xr:uid="{00000000-0005-0000-0000-000036160000}"/>
    <cellStyle name="60 % - Akzent6" xfId="14493" hidden="1" xr:uid="{00000000-0005-0000-0000-0000F6150000}"/>
    <cellStyle name="60 % - Akzent6" xfId="13465" hidden="1" xr:uid="{00000000-0005-0000-0000-00003C160000}"/>
    <cellStyle name="60 % - Akzent6" xfId="18205" hidden="1" xr:uid="{00000000-0005-0000-0000-0000BA150000}"/>
    <cellStyle name="60 % - Akzent6" xfId="13431" hidden="1" xr:uid="{00000000-0005-0000-0000-000031160000}"/>
    <cellStyle name="60 % - Akzent6" xfId="8318" hidden="1" xr:uid="{00000000-0005-0000-0000-00001A160000}"/>
    <cellStyle name="60 % - Akzent6" xfId="16333" hidden="1" xr:uid="{00000000-0005-0000-0000-0000FC150000}"/>
    <cellStyle name="60 % - Akzent6" xfId="18815" hidden="1" xr:uid="{00000000-0005-0000-0000-0000C1150000}"/>
    <cellStyle name="60 % - Akzent6" xfId="12779" hidden="1" xr:uid="{00000000-0005-0000-0000-00003A160000}"/>
    <cellStyle name="60 % - Akzent6" xfId="15054" hidden="1" xr:uid="{00000000-0005-0000-0000-0000FE150000}"/>
    <cellStyle name="60 % - Akzent6" xfId="13937" hidden="1" xr:uid="{00000000-0005-0000-0000-0000CD150000}"/>
    <cellStyle name="60 % - Akzent6" xfId="80" hidden="1" xr:uid="{00000000-0005-0000-0000-00003E160000}"/>
    <cellStyle name="60 % - Akzent6" xfId="19891" hidden="1" xr:uid="{00000000-0005-0000-0000-0000E7150000}"/>
    <cellStyle name="60 % - Akzent6" xfId="18942" hidden="1" xr:uid="{00000000-0005-0000-0000-0000C7150000}"/>
    <cellStyle name="60 % - Akzent6" xfId="18943" hidden="1" xr:uid="{00000000-0005-0000-0000-0000C8150000}"/>
    <cellStyle name="60 % - Akzent6" xfId="18990" hidden="1" xr:uid="{00000000-0005-0000-0000-0000C9150000}"/>
    <cellStyle name="60 % - Akzent6" xfId="19480" hidden="1" xr:uid="{00000000-0005-0000-0000-0000E0150000}"/>
    <cellStyle name="60 % - Akzent6" xfId="1042" hidden="1" xr:uid="{00000000-0005-0000-0000-000027160000}"/>
    <cellStyle name="60 % - Akzent6" xfId="19576" hidden="1" xr:uid="{00000000-0005-0000-0000-0000D5150000}"/>
    <cellStyle name="60 % - Akzent6" xfId="8435" hidden="1" xr:uid="{00000000-0005-0000-0000-0000EB150000}"/>
    <cellStyle name="60 % - Akzent6" xfId="14802" hidden="1" xr:uid="{00000000-0005-0000-0000-000008160000}"/>
    <cellStyle name="60 % - Akzent6" xfId="14174" hidden="1" xr:uid="{00000000-0005-0000-0000-0000AE150000}"/>
    <cellStyle name="60 % - Akzent6" xfId="13721" hidden="1" xr:uid="{00000000-0005-0000-0000-0000D0150000}"/>
    <cellStyle name="60 % - Akzent6" xfId="19551" hidden="1" xr:uid="{00000000-0005-0000-0000-0000D1150000}"/>
    <cellStyle name="60 % - Akzent6" xfId="19552" hidden="1" xr:uid="{00000000-0005-0000-0000-0000D2150000}"/>
    <cellStyle name="60 % - Akzent6" xfId="14156" hidden="1" xr:uid="{00000000-0005-0000-0000-0000A7150000}"/>
    <cellStyle name="60 % - Akzent6" xfId="10821" hidden="1" xr:uid="{00000000-0005-0000-0000-0000EE150000}"/>
    <cellStyle name="60 % - Akzent6" xfId="15766" hidden="1" xr:uid="{00000000-0005-0000-0000-000013160000}"/>
    <cellStyle name="60 % - Akzent6" xfId="15774" hidden="1" xr:uid="{00000000-0005-0000-0000-0000B2150000}"/>
    <cellStyle name="60 % - Akzent6" xfId="13400" hidden="1" xr:uid="{00000000-0005-0000-0000-000032160000}"/>
    <cellStyle name="60 % - Akzent6" xfId="19111" hidden="1" xr:uid="{00000000-0005-0000-0000-0000D8150000}"/>
    <cellStyle name="60 % - Akzent6" xfId="16882" hidden="1" xr:uid="{00000000-0005-0000-0000-00000E160000}"/>
    <cellStyle name="60 % - Akzent6" xfId="16926" hidden="1" xr:uid="{00000000-0005-0000-0000-00000F160000}"/>
    <cellStyle name="60 % - Akzent6" xfId="16859" hidden="1" xr:uid="{00000000-0005-0000-0000-000010160000}"/>
    <cellStyle name="60 % - Akzent6" xfId="14165" hidden="1" xr:uid="{00000000-0005-0000-0000-0000E1150000}"/>
    <cellStyle name="60 % - Akzent6" xfId="18668" hidden="1" xr:uid="{00000000-0005-0000-0000-0000B5150000}"/>
    <cellStyle name="60 % - Akzent6" xfId="8609" hidden="1" xr:uid="{00000000-0005-0000-0000-00001C160000}"/>
    <cellStyle name="60 % - Akzent6" xfId="19684" hidden="1" xr:uid="{00000000-0005-0000-0000-0000DC150000}"/>
    <cellStyle name="60 % - Akzent6" xfId="16309" hidden="1" xr:uid="{00000000-0005-0000-0000-0000F9150000}"/>
    <cellStyle name="60 % - Akzent6" xfId="17750" hidden="1" xr:uid="{00000000-0005-0000-0000-000016160000}"/>
    <cellStyle name="60 % - Akzent6" xfId="13646" hidden="1" xr:uid="{00000000-0005-0000-0000-000017160000}"/>
    <cellStyle name="60 % - Akzent6" xfId="13676" hidden="1" xr:uid="{00000000-0005-0000-0000-000018160000}"/>
    <cellStyle name="60 % - Akzent6" xfId="16258" hidden="1" xr:uid="{00000000-0005-0000-0000-0000FD150000}"/>
    <cellStyle name="60 % - Akzent6" xfId="18790" hidden="1" xr:uid="{00000000-0005-0000-0000-0000BD150000}"/>
    <cellStyle name="60 % - Akzent6" xfId="16639" hidden="1" xr:uid="{00000000-0005-0000-0000-000003160000}"/>
    <cellStyle name="60 % - Akzent6" xfId="16997" hidden="1" xr:uid="{00000000-0005-0000-0000-0000C3150000}"/>
    <cellStyle name="60 % - Akzent6" xfId="16308" hidden="1" xr:uid="{00000000-0005-0000-0000-0000F8150000}"/>
    <cellStyle name="60 % - Akzent6" xfId="3226" hidden="1" xr:uid="{00000000-0005-0000-0000-000023160000}"/>
    <cellStyle name="60 % - Akzent6" xfId="12203" hidden="1" xr:uid="{00000000-0005-0000-0000-00003F160000}"/>
    <cellStyle name="60 % - Akzent6" xfId="19034" hidden="1" xr:uid="{00000000-0005-0000-0000-0000CA150000}"/>
    <cellStyle name="60 % - Akzent6" xfId="15909" hidden="1" xr:uid="{00000000-0005-0000-0000-000001160000}"/>
    <cellStyle name="60 % - Akzent6" xfId="14778" hidden="1" xr:uid="{00000000-0005-0000-0000-000009160000}"/>
    <cellStyle name="60 % - Akzent6" xfId="14514" hidden="1" xr:uid="{00000000-0005-0000-0000-00000B160000}"/>
    <cellStyle name="60 % - Akzent6" xfId="16356" hidden="1" xr:uid="{00000000-0005-0000-0000-0000FA150000}"/>
    <cellStyle name="60 % - Akzent6" xfId="16686" hidden="1" xr:uid="{00000000-0005-0000-0000-000004160000}"/>
    <cellStyle name="60 % - Akzent6" xfId="14729" hidden="1" xr:uid="{00000000-0005-0000-0000-0000F5150000}"/>
    <cellStyle name="60 % - Akzent6" xfId="16941" hidden="1" xr:uid="{00000000-0005-0000-0000-0000C5150000}"/>
    <cellStyle name="60 % - Akzent6" xfId="16834" hidden="1" xr:uid="{00000000-0005-0000-0000-00000C160000}"/>
    <cellStyle name="60 % - Akzent6" xfId="13557" hidden="1" xr:uid="{00000000-0005-0000-0000-00002F160000}"/>
    <cellStyle name="60 % - Akzent6" xfId="16638" hidden="1" xr:uid="{00000000-0005-0000-0000-000002160000}"/>
    <cellStyle name="60 % - Akzent6" xfId="13750" hidden="1" xr:uid="{00000000-0005-0000-0000-0000F3150000}"/>
    <cellStyle name="60 % - Akzent6" xfId="16598" hidden="1" xr:uid="{00000000-0005-0000-0000-000007160000}"/>
    <cellStyle name="60 % - Akzent6" xfId="15929" hidden="1" xr:uid="{00000000-0005-0000-0000-000011160000}"/>
    <cellStyle name="60 % - Akzent6" xfId="13180" hidden="1" xr:uid="{00000000-0005-0000-0000-000035160000}"/>
    <cellStyle name="60 % - Akzent6" xfId="18588" hidden="1" xr:uid="{00000000-0005-0000-0000-0000B8150000}"/>
    <cellStyle name="60 % - Akzent6" xfId="15028" hidden="1" xr:uid="{00000000-0005-0000-0000-000000160000}"/>
    <cellStyle name="60 % - Akzent6" xfId="13599" hidden="1" xr:uid="{00000000-0005-0000-0000-000037160000}"/>
    <cellStyle name="60 % - Akzent6" xfId="15996" hidden="1" xr:uid="{00000000-0005-0000-0000-0000C4150000}"/>
    <cellStyle name="60 % - Akzent6" xfId="16399" hidden="1" xr:uid="{00000000-0005-0000-0000-0000FB150000}"/>
    <cellStyle name="60 % - Akzent6" xfId="17798" hidden="1" xr:uid="{00000000-0005-0000-0000-0000A2150000}"/>
    <cellStyle name="60 % - Akzent6" xfId="18791" hidden="1" xr:uid="{00000000-0005-0000-0000-0000BE150000}"/>
    <cellStyle name="60 % - Akzent6" xfId="18838" hidden="1" xr:uid="{00000000-0005-0000-0000-0000BF150000}"/>
    <cellStyle name="60 % - Akzent6" xfId="18876" hidden="1" xr:uid="{00000000-0005-0000-0000-0000C0150000}"/>
    <cellStyle name="60 % - Akzent6" xfId="17408" hidden="1" xr:uid="{00000000-0005-0000-0000-0000A6150000}"/>
    <cellStyle name="60 % - Akzent6" xfId="9155" hidden="1" xr:uid="{00000000-0005-0000-0000-00001E160000}"/>
    <cellStyle name="60 % - Akzent6" xfId="17993" hidden="1" xr:uid="{00000000-0005-0000-0000-0000AB150000}"/>
    <cellStyle name="60 % - Akzent6" xfId="3388" hidden="1" xr:uid="{00000000-0005-0000-0000-000024160000}"/>
    <cellStyle name="60 % - Akzent6" xfId="17751" hidden="1" xr:uid="{00000000-0005-0000-0000-0000A1150000}"/>
    <cellStyle name="60 % - Akzent6" xfId="18967" hidden="1" xr:uid="{00000000-0005-0000-0000-0000CB150000}"/>
    <cellStyle name="60 % - Akzent6" xfId="19861" hidden="1" xr:uid="{00000000-0005-0000-0000-0000E6150000}"/>
    <cellStyle name="60 % - Akzent6" xfId="4155" hidden="1" xr:uid="{00000000-0005-0000-0000-00002B160000}"/>
    <cellStyle name="60 % - Akzent6" xfId="17945" hidden="1" xr:uid="{00000000-0005-0000-0000-0000A9150000}"/>
    <cellStyle name="60 % - Akzent6" xfId="15898" hidden="1" xr:uid="{00000000-0005-0000-0000-0000B1150000}"/>
    <cellStyle name="60 % - Akzent6" xfId="18620" hidden="1" xr:uid="{00000000-0005-0000-0000-0000B3150000}"/>
    <cellStyle name="60 % - Akzent6" xfId="17839" hidden="1" xr:uid="{00000000-0005-0000-0000-0000A3150000}"/>
    <cellStyle name="60 % - Akzent6" xfId="18037" hidden="1" xr:uid="{00000000-0005-0000-0000-0000AC150000}"/>
    <cellStyle name="60 % - Akzent6" xfId="15664" hidden="1" xr:uid="{00000000-0005-0000-0000-000014160000}"/>
    <cellStyle name="60 % - Akzent6" xfId="1050" hidden="1" xr:uid="{00000000-0005-0000-0000-000026160000}"/>
    <cellStyle name="60 % - Akzent6" xfId="18621" hidden="1" xr:uid="{00000000-0005-0000-0000-0000B4150000}"/>
    <cellStyle name="60 % - Akzent6" xfId="19360" hidden="1" xr:uid="{00000000-0005-0000-0000-0000D7150000}"/>
    <cellStyle name="60 % - Akzent6" xfId="17946" hidden="1" xr:uid="{00000000-0005-0000-0000-0000AA150000}"/>
    <cellStyle name="60 % - Akzent6" xfId="15144" hidden="1" xr:uid="{00000000-0005-0000-0000-000012160000}"/>
    <cellStyle name="60 % - Akzent6" xfId="14341" hidden="1" xr:uid="{00000000-0005-0000-0000-0000AF150000}"/>
    <cellStyle name="60 % - Akzent6" xfId="18354" hidden="1" xr:uid="{00000000-0005-0000-0000-0000B9150000}"/>
    <cellStyle name="60 % - Akzent6" xfId="19731" hidden="1" xr:uid="{00000000-0005-0000-0000-0000DD150000}"/>
    <cellStyle name="60 % - Akzent6" xfId="13623" hidden="1" xr:uid="{00000000-0005-0000-0000-000019160000}"/>
    <cellStyle name="60 % - Akzent6" xfId="13913" hidden="1" xr:uid="{00000000-0005-0000-0000-0000A8150000}"/>
    <cellStyle name="60 % - Akzent6" xfId="19708" hidden="1" xr:uid="{00000000-0005-0000-0000-0000DF150000}"/>
    <cellStyle name="60 % - Akzent6" xfId="3900" hidden="1" xr:uid="{00000000-0005-0000-0000-000025160000}"/>
    <cellStyle name="60 % - Akzent6" xfId="17775" hidden="1" xr:uid="{00000000-0005-0000-0000-0000A4150000}"/>
    <cellStyle name="60 % - Akzent6" xfId="978" hidden="1" xr:uid="{00000000-0005-0000-0000-000040160000}"/>
    <cellStyle name="60 % - Akzent6" xfId="9089" hidden="1" xr:uid="{00000000-0005-0000-0000-00001F160000}"/>
    <cellStyle name="60 % - Akzent6" xfId="3202" hidden="1" xr:uid="{00000000-0005-0000-0000-000020160000}"/>
    <cellStyle name="60 % - Akzent6" xfId="3249" hidden="1" xr:uid="{00000000-0005-0000-0000-000021160000}"/>
    <cellStyle name="60 % - Akzent6" xfId="12707" hidden="1" xr:uid="{00000000-0005-0000-0000-000038160000}"/>
    <cellStyle name="60 % - Akzent6" xfId="14509" hidden="1" xr:uid="{00000000-0005-0000-0000-0000C6150000}"/>
    <cellStyle name="60 % - Akzent6" xfId="13466" hidden="1" xr:uid="{00000000-0005-0000-0000-00002D160000}"/>
    <cellStyle name="60 % - Akzent6" xfId="18325" hidden="1" xr:uid="{00000000-0005-0000-0000-0000CC150000}"/>
    <cellStyle name="60 % - Akzent6" xfId="19814" hidden="1" xr:uid="{00000000-0005-0000-0000-0000E9150000}"/>
    <cellStyle name="60 % - Akzent6" xfId="16663" hidden="1" xr:uid="{00000000-0005-0000-0000-000006160000}"/>
    <cellStyle name="60 % - Akzent6" xfId="11369" hidden="1" xr:uid="{00000000-0005-0000-0000-000028160000}"/>
    <cellStyle name="60 % - Akzent6" xfId="3349" hidden="1" xr:uid="{00000000-0005-0000-0000-000029160000}"/>
    <cellStyle name="60 % - Akzent6" xfId="3612" hidden="1" xr:uid="{00000000-0005-0000-0000-00002A160000}"/>
    <cellStyle name="60 % - Akzent6" xfId="15735" hidden="1" xr:uid="{00000000-0005-0000-0000-0000FF150000}"/>
    <cellStyle name="60 % - Akzent6" xfId="14330" hidden="1" xr:uid="{00000000-0005-0000-0000-0000CF150000}"/>
    <cellStyle name="60 % - Akzent6" xfId="14434" hidden="1" xr:uid="{00000000-0005-0000-0000-0000F4150000}"/>
    <cellStyle name="60 % - Akzent6" xfId="15304" hidden="1" xr:uid="{00000000-0005-0000-0000-00000A160000}"/>
    <cellStyle name="60 % - Akzent6" xfId="15699" hidden="1" xr:uid="{00000000-0005-0000-0000-0000B0150000}"/>
    <cellStyle name="60 % - Akzent6" xfId="13490" hidden="1" xr:uid="{00000000-0005-0000-0000-000030160000}"/>
    <cellStyle name="60 % - Akzent6" xfId="9251" hidden="1" xr:uid="{00000000-0005-0000-0000-0000EF150000}"/>
    <cellStyle name="60 % - Akzent6" xfId="10252" hidden="1" xr:uid="{00000000-0005-0000-0000-0000F0150000}"/>
    <cellStyle name="60 % - Akzent6" xfId="8822" hidden="1" xr:uid="{00000000-0005-0000-0000-0000F1150000}"/>
    <cellStyle name="60 % - Akzent6" xfId="13069" hidden="1" xr:uid="{00000000-0005-0000-0000-000039160000}"/>
    <cellStyle name="60 % - Akzent6" xfId="16835" hidden="1" xr:uid="{00000000-0005-0000-0000-00000D160000}"/>
    <cellStyle name="60 % - Akzent6" xfId="18327" hidden="1" xr:uid="{00000000-0005-0000-0000-0000BB150000}"/>
    <cellStyle name="60 % - Akzent6" xfId="13393" hidden="1" xr:uid="{00000000-0005-0000-0000-000034160000}"/>
    <cellStyle name="60 % - Akzent6" xfId="18447" hidden="1" xr:uid="{00000000-0005-0000-0000-0000DA150000}"/>
    <cellStyle name="60 % - Akzent6" xfId="14485" hidden="1" xr:uid="{00000000-0005-0000-0000-0000F7150000}"/>
    <cellStyle name="60 % - Akzent6" xfId="18702" hidden="1" xr:uid="{00000000-0005-0000-0000-0000B6150000}"/>
    <cellStyle name="60 % - Akzent6" xfId="18645" hidden="1" xr:uid="{00000000-0005-0000-0000-0000B7150000}"/>
    <cellStyle name="60 % - Akzent6" xfId="19775" hidden="1" xr:uid="{00000000-0005-0000-0000-0000DE150000}"/>
    <cellStyle name="60 % - Akzent6" xfId="16211" hidden="1" xr:uid="{00000000-0005-0000-0000-000015160000}"/>
    <cellStyle name="60 % - Akzent6" xfId="18892" hidden="1" xr:uid="{00000000-0005-0000-0000-0000E4150000}"/>
    <cellStyle name="60 % - Akzent6" xfId="8276" hidden="1" xr:uid="{00000000-0005-0000-0000-00001B160000}"/>
    <cellStyle name="60 % - Akzent6" xfId="19328" hidden="1" xr:uid="{00000000-0005-0000-0000-0000D9150000}"/>
    <cellStyle name="60 % - Akzent6" xfId="18751" hidden="1" xr:uid="{00000000-0005-0000-0000-0000C2150000}"/>
    <cellStyle name="60 % - Akzent6" xfId="13981" hidden="1" xr:uid="{00000000-0005-0000-0000-0000A5150000}"/>
    <cellStyle name="60 % - Akzent6" xfId="3293" hidden="1" xr:uid="{00000000-0005-0000-0000-000022160000}"/>
    <cellStyle name="60 % - Akzent6" xfId="18386" hidden="1" xr:uid="{00000000-0005-0000-0000-0000E2150000}"/>
    <cellStyle name="60 % - Akzent6" xfId="15068" hidden="1" xr:uid="{00000000-0005-0000-0000-0000EA150000}"/>
    <cellStyle name="60 % - Akzent6" xfId="8520" hidden="1" xr:uid="{00000000-0005-0000-0000-0000EC150000}"/>
    <cellStyle name="60 % - Akzent6" xfId="19683" hidden="1" xr:uid="{00000000-0005-0000-0000-0000DB150000}"/>
    <cellStyle name="60 % - Akzent6" xfId="19813" hidden="1" xr:uid="{00000000-0005-0000-0000-0000E5150000}"/>
    <cellStyle name="60 % - Akzent6" xfId="19524" hidden="1" xr:uid="{00000000-0005-0000-0000-0000D6150000}"/>
    <cellStyle name="60 % - Akzent6" xfId="9088" hidden="1" xr:uid="{00000000-0005-0000-0000-00001D160000}"/>
    <cellStyle name="60 % - Akzent6" xfId="8978" hidden="1" xr:uid="{00000000-0005-0000-0000-0000ED150000}"/>
    <cellStyle name="60 % - Akzent6" xfId="17970" hidden="1" xr:uid="{00000000-0005-0000-0000-0000AD150000}"/>
    <cellStyle name="60 % - Akzent6" xfId="9201" hidden="1" xr:uid="{00000000-0005-0000-0000-0000F2150000}"/>
    <cellStyle name="60 % - Akzent6" xfId="19054" hidden="1" xr:uid="{00000000-0005-0000-0000-0000E3150000}"/>
    <cellStyle name="60 % - Akzent6" xfId="19633" hidden="1" xr:uid="{00000000-0005-0000-0000-0000D4150000}"/>
    <cellStyle name="60 % - Akzent6" xfId="19838" hidden="1" xr:uid="{00000000-0005-0000-0000-0000E8150000}"/>
    <cellStyle name="60 % - Akzent6 2" xfId="403" xr:uid="{00000000-0005-0000-0000-000042160000}"/>
    <cellStyle name="60 % - Akzent6 3" xfId="272" xr:uid="{00000000-0005-0000-0000-000043160000}"/>
    <cellStyle name="60% - Accent1" xfId="12129" builtinId="32" customBuiltin="1"/>
    <cellStyle name="60% - Accent1 10" xfId="5240" xr:uid="{00000000-0005-0000-0000-000045160000}"/>
    <cellStyle name="60% - Accent1 11" xfId="5241" xr:uid="{00000000-0005-0000-0000-000046160000}"/>
    <cellStyle name="60% - Accent1 12" xfId="5242" xr:uid="{00000000-0005-0000-0000-000047160000}"/>
    <cellStyle name="60% - Accent1 13" xfId="5243" xr:uid="{00000000-0005-0000-0000-000048160000}"/>
    <cellStyle name="60% - Accent1 14" xfId="5244" xr:uid="{00000000-0005-0000-0000-000049160000}"/>
    <cellStyle name="60% - Accent1 15" xfId="5245" xr:uid="{00000000-0005-0000-0000-00004A160000}"/>
    <cellStyle name="60% - Accent1 16" xfId="5246" xr:uid="{00000000-0005-0000-0000-00004B160000}"/>
    <cellStyle name="60% - Accent1 17" xfId="5247" xr:uid="{00000000-0005-0000-0000-00004C160000}"/>
    <cellStyle name="60% - Accent1 18" xfId="5248" xr:uid="{00000000-0005-0000-0000-00004D160000}"/>
    <cellStyle name="60% - Accent1 19" xfId="5249" xr:uid="{00000000-0005-0000-0000-00004E160000}"/>
    <cellStyle name="60% - Accent1 2" xfId="110" xr:uid="{00000000-0005-0000-0000-00004F160000}"/>
    <cellStyle name="60% - Accent1 2 10" xfId="5251" xr:uid="{00000000-0005-0000-0000-000050160000}"/>
    <cellStyle name="60% - Accent1 2 11" xfId="5252" xr:uid="{00000000-0005-0000-0000-000051160000}"/>
    <cellStyle name="60% - Accent1 2 12" xfId="5253" xr:uid="{00000000-0005-0000-0000-000052160000}"/>
    <cellStyle name="60% - Accent1 2 13" xfId="5254" xr:uid="{00000000-0005-0000-0000-000053160000}"/>
    <cellStyle name="60% - Accent1 2 14" xfId="5255" xr:uid="{00000000-0005-0000-0000-000054160000}"/>
    <cellStyle name="60% - Accent1 2 15" xfId="5256" xr:uid="{00000000-0005-0000-0000-000055160000}"/>
    <cellStyle name="60% - Accent1 2 16" xfId="5257" xr:uid="{00000000-0005-0000-0000-000056160000}"/>
    <cellStyle name="60% - Accent1 2 17" xfId="5250" xr:uid="{00000000-0005-0000-0000-000057160000}"/>
    <cellStyle name="60% - Accent1 2 2" xfId="1461" xr:uid="{00000000-0005-0000-0000-000058160000}"/>
    <cellStyle name="60% - Accent1 2 2 2" xfId="1462" xr:uid="{00000000-0005-0000-0000-000059160000}"/>
    <cellStyle name="60% - Accent1 2 2 2 2" xfId="5259" xr:uid="{00000000-0005-0000-0000-00005A160000}"/>
    <cellStyle name="60% - Accent1 2 2 3" xfId="1463" xr:uid="{00000000-0005-0000-0000-00005B160000}"/>
    <cellStyle name="60% - Accent1 2 2 3 2" xfId="5260" xr:uid="{00000000-0005-0000-0000-00005C160000}"/>
    <cellStyle name="60% - Accent1 2 2 4" xfId="2137" xr:uid="{00000000-0005-0000-0000-00005D160000}"/>
    <cellStyle name="60% - Accent1 2 2 4 2" xfId="5261" xr:uid="{00000000-0005-0000-0000-00005E160000}"/>
    <cellStyle name="60% - Accent1 2 2 5" xfId="5262" xr:uid="{00000000-0005-0000-0000-00005F160000}"/>
    <cellStyle name="60% - Accent1 2 2 6" xfId="5258" xr:uid="{00000000-0005-0000-0000-000060160000}"/>
    <cellStyle name="60% - Accent1 2 3" xfId="1464" xr:uid="{00000000-0005-0000-0000-000061160000}"/>
    <cellStyle name="60% - Accent1 2 3 2" xfId="5263" xr:uid="{00000000-0005-0000-0000-000062160000}"/>
    <cellStyle name="60% - Accent1 2 4" xfId="2138" xr:uid="{00000000-0005-0000-0000-000063160000}"/>
    <cellStyle name="60% - Accent1 2 4 2" xfId="5264" xr:uid="{00000000-0005-0000-0000-000064160000}"/>
    <cellStyle name="60% - Accent1 2 5" xfId="5265" xr:uid="{00000000-0005-0000-0000-000065160000}"/>
    <cellStyle name="60% - Accent1 2 6" xfId="5266" xr:uid="{00000000-0005-0000-0000-000066160000}"/>
    <cellStyle name="60% - Accent1 2 7" xfId="5267" xr:uid="{00000000-0005-0000-0000-000067160000}"/>
    <cellStyle name="60% - Accent1 2 8" xfId="5268" xr:uid="{00000000-0005-0000-0000-000068160000}"/>
    <cellStyle name="60% - Accent1 2 9" xfId="5269" xr:uid="{00000000-0005-0000-0000-000069160000}"/>
    <cellStyle name="60% - Accent1 20" xfId="5270" xr:uid="{00000000-0005-0000-0000-00006A160000}"/>
    <cellStyle name="60% - Accent1 21" xfId="5271" xr:uid="{00000000-0005-0000-0000-00006B160000}"/>
    <cellStyle name="60% - Accent1 22" xfId="5272" xr:uid="{00000000-0005-0000-0000-00006C160000}"/>
    <cellStyle name="60% - Accent1 3" xfId="224" xr:uid="{00000000-0005-0000-0000-00006D160000}"/>
    <cellStyle name="60% - Accent1 3 2" xfId="5274" xr:uid="{00000000-0005-0000-0000-00006E160000}"/>
    <cellStyle name="60% - Accent1 3 3" xfId="5275" xr:uid="{00000000-0005-0000-0000-00006F160000}"/>
    <cellStyle name="60% - Accent1 3 4" xfId="5276" xr:uid="{00000000-0005-0000-0000-000070160000}"/>
    <cellStyle name="60% - Accent1 3 5" xfId="5277" xr:uid="{00000000-0005-0000-0000-000071160000}"/>
    <cellStyle name="60% - Accent1 3 6" xfId="5278" xr:uid="{00000000-0005-0000-0000-000072160000}"/>
    <cellStyle name="60% - Accent1 3 7" xfId="5273" xr:uid="{00000000-0005-0000-0000-000073160000}"/>
    <cellStyle name="60% - Accent1 4" xfId="5279" xr:uid="{00000000-0005-0000-0000-000074160000}"/>
    <cellStyle name="60% - Accent1 4 2" xfId="5280" xr:uid="{00000000-0005-0000-0000-000075160000}"/>
    <cellStyle name="60% - Accent1 5" xfId="5281" xr:uid="{00000000-0005-0000-0000-000076160000}"/>
    <cellStyle name="60% - Accent1 5 2" xfId="5282" xr:uid="{00000000-0005-0000-0000-000077160000}"/>
    <cellStyle name="60% - Accent1 6" xfId="5283" xr:uid="{00000000-0005-0000-0000-000078160000}"/>
    <cellStyle name="60% - Accent1 6 2" xfId="5284" xr:uid="{00000000-0005-0000-0000-000079160000}"/>
    <cellStyle name="60% - Accent1 7" xfId="5285" xr:uid="{00000000-0005-0000-0000-00007A160000}"/>
    <cellStyle name="60% - Accent1 7 2" xfId="5286" xr:uid="{00000000-0005-0000-0000-00007B160000}"/>
    <cellStyle name="60% - Accent1 8" xfId="5287" xr:uid="{00000000-0005-0000-0000-00007C160000}"/>
    <cellStyle name="60% - Accent1 8 2" xfId="5288" xr:uid="{00000000-0005-0000-0000-00007D160000}"/>
    <cellStyle name="60% - Accent1 9" xfId="5289" xr:uid="{00000000-0005-0000-0000-00007E160000}"/>
    <cellStyle name="60% - Accent2" xfId="12133" builtinId="36" customBuiltin="1"/>
    <cellStyle name="60% - Accent2 10" xfId="5290" xr:uid="{00000000-0005-0000-0000-000080160000}"/>
    <cellStyle name="60% - Accent2 11" xfId="5291" xr:uid="{00000000-0005-0000-0000-000081160000}"/>
    <cellStyle name="60% - Accent2 12" xfId="5292" xr:uid="{00000000-0005-0000-0000-000082160000}"/>
    <cellStyle name="60% - Accent2 13" xfId="5293" xr:uid="{00000000-0005-0000-0000-000083160000}"/>
    <cellStyle name="60% - Accent2 2" xfId="111" xr:uid="{00000000-0005-0000-0000-000084160000}"/>
    <cellStyle name="60% - Accent2 2 10" xfId="5295" xr:uid="{00000000-0005-0000-0000-000085160000}"/>
    <cellStyle name="60% - Accent2 2 11" xfId="5296" xr:uid="{00000000-0005-0000-0000-000086160000}"/>
    <cellStyle name="60% - Accent2 2 12" xfId="5297" xr:uid="{00000000-0005-0000-0000-000087160000}"/>
    <cellStyle name="60% - Accent2 2 13" xfId="5298" xr:uid="{00000000-0005-0000-0000-000088160000}"/>
    <cellStyle name="60% - Accent2 2 14" xfId="5299" xr:uid="{00000000-0005-0000-0000-000089160000}"/>
    <cellStyle name="60% - Accent2 2 15" xfId="5300" xr:uid="{00000000-0005-0000-0000-00008A160000}"/>
    <cellStyle name="60% - Accent2 2 16" xfId="5301" xr:uid="{00000000-0005-0000-0000-00008B160000}"/>
    <cellStyle name="60% - Accent2 2 17" xfId="5294" xr:uid="{00000000-0005-0000-0000-00008C160000}"/>
    <cellStyle name="60% - Accent2 2 2" xfId="1465" xr:uid="{00000000-0005-0000-0000-00008D160000}"/>
    <cellStyle name="60% - Accent2 2 2 2" xfId="1466" xr:uid="{00000000-0005-0000-0000-00008E160000}"/>
    <cellStyle name="60% - Accent2 2 2 2 2" xfId="5303" xr:uid="{00000000-0005-0000-0000-00008F160000}"/>
    <cellStyle name="60% - Accent2 2 2 3" xfId="1467" xr:uid="{00000000-0005-0000-0000-000090160000}"/>
    <cellStyle name="60% - Accent2 2 2 3 2" xfId="5304" xr:uid="{00000000-0005-0000-0000-000091160000}"/>
    <cellStyle name="60% - Accent2 2 2 4" xfId="2139" xr:uid="{00000000-0005-0000-0000-000092160000}"/>
    <cellStyle name="60% - Accent2 2 2 4 2" xfId="5305" xr:uid="{00000000-0005-0000-0000-000093160000}"/>
    <cellStyle name="60% - Accent2 2 2 5" xfId="5306" xr:uid="{00000000-0005-0000-0000-000094160000}"/>
    <cellStyle name="60% - Accent2 2 2 6" xfId="5302" xr:uid="{00000000-0005-0000-0000-000095160000}"/>
    <cellStyle name="60% - Accent2 2 3" xfId="1468" xr:uid="{00000000-0005-0000-0000-000096160000}"/>
    <cellStyle name="60% - Accent2 2 3 2" xfId="5307" xr:uid="{00000000-0005-0000-0000-000097160000}"/>
    <cellStyle name="60% - Accent2 2 4" xfId="2140" xr:uid="{00000000-0005-0000-0000-000098160000}"/>
    <cellStyle name="60% - Accent2 2 4 2" xfId="5308" xr:uid="{00000000-0005-0000-0000-000099160000}"/>
    <cellStyle name="60% - Accent2 2 5" xfId="5309" xr:uid="{00000000-0005-0000-0000-00009A160000}"/>
    <cellStyle name="60% - Accent2 2 6" xfId="5310" xr:uid="{00000000-0005-0000-0000-00009B160000}"/>
    <cellStyle name="60% - Accent2 2 7" xfId="5311" xr:uid="{00000000-0005-0000-0000-00009C160000}"/>
    <cellStyle name="60% - Accent2 2 8" xfId="5312" xr:uid="{00000000-0005-0000-0000-00009D160000}"/>
    <cellStyle name="60% - Accent2 2 9" xfId="5313" xr:uid="{00000000-0005-0000-0000-00009E160000}"/>
    <cellStyle name="60% - Accent2 3" xfId="225" xr:uid="{00000000-0005-0000-0000-00009F160000}"/>
    <cellStyle name="60% - Accent2 3 2" xfId="5315" xr:uid="{00000000-0005-0000-0000-0000A0160000}"/>
    <cellStyle name="60% - Accent2 3 3" xfId="5316" xr:uid="{00000000-0005-0000-0000-0000A1160000}"/>
    <cellStyle name="60% - Accent2 3 4" xfId="5317" xr:uid="{00000000-0005-0000-0000-0000A2160000}"/>
    <cellStyle name="60% - Accent2 3 5" xfId="5318" xr:uid="{00000000-0005-0000-0000-0000A3160000}"/>
    <cellStyle name="60% - Accent2 3 6" xfId="5319" xr:uid="{00000000-0005-0000-0000-0000A4160000}"/>
    <cellStyle name="60% - Accent2 3 7" xfId="5314" xr:uid="{00000000-0005-0000-0000-0000A5160000}"/>
    <cellStyle name="60% - Accent2 4" xfId="5320" xr:uid="{00000000-0005-0000-0000-0000A6160000}"/>
    <cellStyle name="60% - Accent2 4 2" xfId="5321" xr:uid="{00000000-0005-0000-0000-0000A7160000}"/>
    <cellStyle name="60% - Accent2 5" xfId="5322" xr:uid="{00000000-0005-0000-0000-0000A8160000}"/>
    <cellStyle name="60% - Accent2 5 2" xfId="5323" xr:uid="{00000000-0005-0000-0000-0000A9160000}"/>
    <cellStyle name="60% - Accent2 6" xfId="5324" xr:uid="{00000000-0005-0000-0000-0000AA160000}"/>
    <cellStyle name="60% - Accent2 6 2" xfId="5325" xr:uid="{00000000-0005-0000-0000-0000AB160000}"/>
    <cellStyle name="60% - Accent2 7" xfId="5326" xr:uid="{00000000-0005-0000-0000-0000AC160000}"/>
    <cellStyle name="60% - Accent2 7 2" xfId="5327" xr:uid="{00000000-0005-0000-0000-0000AD160000}"/>
    <cellStyle name="60% - Accent2 8" xfId="5328" xr:uid="{00000000-0005-0000-0000-0000AE160000}"/>
    <cellStyle name="60% - Accent2 8 2" xfId="5329" xr:uid="{00000000-0005-0000-0000-0000AF160000}"/>
    <cellStyle name="60% - Accent2 9" xfId="5330" xr:uid="{00000000-0005-0000-0000-0000B0160000}"/>
    <cellStyle name="60% - Accent3" xfId="12137" builtinId="40" customBuiltin="1"/>
    <cellStyle name="60% - Accent3 10" xfId="5331" xr:uid="{00000000-0005-0000-0000-0000B2160000}"/>
    <cellStyle name="60% - Accent3 11" xfId="5332" xr:uid="{00000000-0005-0000-0000-0000B3160000}"/>
    <cellStyle name="60% - Accent3 12" xfId="5333" xr:uid="{00000000-0005-0000-0000-0000B4160000}"/>
    <cellStyle name="60% - Accent3 13" xfId="5334" xr:uid="{00000000-0005-0000-0000-0000B5160000}"/>
    <cellStyle name="60% - Accent3 14" xfId="5335" xr:uid="{00000000-0005-0000-0000-0000B6160000}"/>
    <cellStyle name="60% - Accent3 15" xfId="5336" xr:uid="{00000000-0005-0000-0000-0000B7160000}"/>
    <cellStyle name="60% - Accent3 16" xfId="5337" xr:uid="{00000000-0005-0000-0000-0000B8160000}"/>
    <cellStyle name="60% - Accent3 17" xfId="5338" xr:uid="{00000000-0005-0000-0000-0000B9160000}"/>
    <cellStyle name="60% - Accent3 18" xfId="5339" xr:uid="{00000000-0005-0000-0000-0000BA160000}"/>
    <cellStyle name="60% - Accent3 19" xfId="5340" xr:uid="{00000000-0005-0000-0000-0000BB160000}"/>
    <cellStyle name="60% - Accent3 2" xfId="112" xr:uid="{00000000-0005-0000-0000-0000BC160000}"/>
    <cellStyle name="60% - Accent3 2 10" xfId="5342" xr:uid="{00000000-0005-0000-0000-0000BD160000}"/>
    <cellStyle name="60% - Accent3 2 11" xfId="5343" xr:uid="{00000000-0005-0000-0000-0000BE160000}"/>
    <cellStyle name="60% - Accent3 2 12" xfId="5344" xr:uid="{00000000-0005-0000-0000-0000BF160000}"/>
    <cellStyle name="60% - Accent3 2 13" xfId="5345" xr:uid="{00000000-0005-0000-0000-0000C0160000}"/>
    <cellStyle name="60% - Accent3 2 14" xfId="5346" xr:uid="{00000000-0005-0000-0000-0000C1160000}"/>
    <cellStyle name="60% - Accent3 2 15" xfId="5347" xr:uid="{00000000-0005-0000-0000-0000C2160000}"/>
    <cellStyle name="60% - Accent3 2 16" xfId="5348" xr:uid="{00000000-0005-0000-0000-0000C3160000}"/>
    <cellStyle name="60% - Accent3 2 17" xfId="5341" xr:uid="{00000000-0005-0000-0000-0000C4160000}"/>
    <cellStyle name="60% - Accent3 2 2" xfId="1469" xr:uid="{00000000-0005-0000-0000-0000C5160000}"/>
    <cellStyle name="60% - Accent3 2 2 2" xfId="1470" xr:uid="{00000000-0005-0000-0000-0000C6160000}"/>
    <cellStyle name="60% - Accent3 2 2 2 2" xfId="5350" xr:uid="{00000000-0005-0000-0000-0000C7160000}"/>
    <cellStyle name="60% - Accent3 2 2 3" xfId="1471" xr:uid="{00000000-0005-0000-0000-0000C8160000}"/>
    <cellStyle name="60% - Accent3 2 2 3 2" xfId="5351" xr:uid="{00000000-0005-0000-0000-0000C9160000}"/>
    <cellStyle name="60% - Accent3 2 2 4" xfId="2141" xr:uid="{00000000-0005-0000-0000-0000CA160000}"/>
    <cellStyle name="60% - Accent3 2 2 4 2" xfId="5352" xr:uid="{00000000-0005-0000-0000-0000CB160000}"/>
    <cellStyle name="60% - Accent3 2 2 5" xfId="5353" xr:uid="{00000000-0005-0000-0000-0000CC160000}"/>
    <cellStyle name="60% - Accent3 2 2 6" xfId="5349" xr:uid="{00000000-0005-0000-0000-0000CD160000}"/>
    <cellStyle name="60% - Accent3 2 3" xfId="1472" xr:uid="{00000000-0005-0000-0000-0000CE160000}"/>
    <cellStyle name="60% - Accent3 2 3 2" xfId="5354" xr:uid="{00000000-0005-0000-0000-0000CF160000}"/>
    <cellStyle name="60% - Accent3 2 4" xfId="2142" xr:uid="{00000000-0005-0000-0000-0000D0160000}"/>
    <cellStyle name="60% - Accent3 2 4 2" xfId="5355" xr:uid="{00000000-0005-0000-0000-0000D1160000}"/>
    <cellStyle name="60% - Accent3 2 5" xfId="5356" xr:uid="{00000000-0005-0000-0000-0000D2160000}"/>
    <cellStyle name="60% - Accent3 2 6" xfId="5357" xr:uid="{00000000-0005-0000-0000-0000D3160000}"/>
    <cellStyle name="60% - Accent3 2 7" xfId="5358" xr:uid="{00000000-0005-0000-0000-0000D4160000}"/>
    <cellStyle name="60% - Accent3 2 8" xfId="5359" xr:uid="{00000000-0005-0000-0000-0000D5160000}"/>
    <cellStyle name="60% - Accent3 2 9" xfId="5360" xr:uid="{00000000-0005-0000-0000-0000D6160000}"/>
    <cellStyle name="60% - Accent3 20" xfId="5361" xr:uid="{00000000-0005-0000-0000-0000D7160000}"/>
    <cellStyle name="60% - Accent3 21" xfId="5362" xr:uid="{00000000-0005-0000-0000-0000D8160000}"/>
    <cellStyle name="60% - Accent3 22" xfId="5363" xr:uid="{00000000-0005-0000-0000-0000D9160000}"/>
    <cellStyle name="60% - Accent3 3" xfId="226" xr:uid="{00000000-0005-0000-0000-0000DA160000}"/>
    <cellStyle name="60% - Accent3 3 2" xfId="5365" xr:uid="{00000000-0005-0000-0000-0000DB160000}"/>
    <cellStyle name="60% - Accent3 3 3" xfId="5366" xr:uid="{00000000-0005-0000-0000-0000DC160000}"/>
    <cellStyle name="60% - Accent3 3 4" xfId="5367" xr:uid="{00000000-0005-0000-0000-0000DD160000}"/>
    <cellStyle name="60% - Accent3 3 5" xfId="5368" xr:uid="{00000000-0005-0000-0000-0000DE160000}"/>
    <cellStyle name="60% - Accent3 3 6" xfId="5369" xr:uid="{00000000-0005-0000-0000-0000DF160000}"/>
    <cellStyle name="60% - Accent3 3 7" xfId="5364" xr:uid="{00000000-0005-0000-0000-0000E0160000}"/>
    <cellStyle name="60% - Accent3 4" xfId="5370" xr:uid="{00000000-0005-0000-0000-0000E1160000}"/>
    <cellStyle name="60% - Accent3 4 2" xfId="5371" xr:uid="{00000000-0005-0000-0000-0000E2160000}"/>
    <cellStyle name="60% - Accent3 5" xfId="5372" xr:uid="{00000000-0005-0000-0000-0000E3160000}"/>
    <cellStyle name="60% - Accent3 5 2" xfId="5373" xr:uid="{00000000-0005-0000-0000-0000E4160000}"/>
    <cellStyle name="60% - Accent3 6" xfId="5374" xr:uid="{00000000-0005-0000-0000-0000E5160000}"/>
    <cellStyle name="60% - Accent3 6 2" xfId="5375" xr:uid="{00000000-0005-0000-0000-0000E6160000}"/>
    <cellStyle name="60% - Accent3 7" xfId="5376" xr:uid="{00000000-0005-0000-0000-0000E7160000}"/>
    <cellStyle name="60% - Accent3 7 2" xfId="5377" xr:uid="{00000000-0005-0000-0000-0000E8160000}"/>
    <cellStyle name="60% - Accent3 8" xfId="5378" xr:uid="{00000000-0005-0000-0000-0000E9160000}"/>
    <cellStyle name="60% - Accent3 8 2" xfId="5379" xr:uid="{00000000-0005-0000-0000-0000EA160000}"/>
    <cellStyle name="60% - Accent3 9" xfId="5380" xr:uid="{00000000-0005-0000-0000-0000EB160000}"/>
    <cellStyle name="60% - Accent4" xfId="12141" builtinId="44" customBuiltin="1"/>
    <cellStyle name="60% - Accent4 10" xfId="5381" xr:uid="{00000000-0005-0000-0000-0000ED160000}"/>
    <cellStyle name="60% - Accent4 11" xfId="5382" xr:uid="{00000000-0005-0000-0000-0000EE160000}"/>
    <cellStyle name="60% - Accent4 12" xfId="5383" xr:uid="{00000000-0005-0000-0000-0000EF160000}"/>
    <cellStyle name="60% - Accent4 13" xfId="5384" xr:uid="{00000000-0005-0000-0000-0000F0160000}"/>
    <cellStyle name="60% - Accent4 14" xfId="5385" xr:uid="{00000000-0005-0000-0000-0000F1160000}"/>
    <cellStyle name="60% - Accent4 15" xfId="5386" xr:uid="{00000000-0005-0000-0000-0000F2160000}"/>
    <cellStyle name="60% - Accent4 16" xfId="5387" xr:uid="{00000000-0005-0000-0000-0000F3160000}"/>
    <cellStyle name="60% - Accent4 17" xfId="5388" xr:uid="{00000000-0005-0000-0000-0000F4160000}"/>
    <cellStyle name="60% - Accent4 18" xfId="5389" xr:uid="{00000000-0005-0000-0000-0000F5160000}"/>
    <cellStyle name="60% - Accent4 19" xfId="5390" xr:uid="{00000000-0005-0000-0000-0000F6160000}"/>
    <cellStyle name="60% - Accent4 2" xfId="113" xr:uid="{00000000-0005-0000-0000-0000F7160000}"/>
    <cellStyle name="60% - Accent4 2 10" xfId="5392" xr:uid="{00000000-0005-0000-0000-0000F8160000}"/>
    <cellStyle name="60% - Accent4 2 11" xfId="5393" xr:uid="{00000000-0005-0000-0000-0000F9160000}"/>
    <cellStyle name="60% - Accent4 2 12" xfId="5394" xr:uid="{00000000-0005-0000-0000-0000FA160000}"/>
    <cellStyle name="60% - Accent4 2 13" xfId="5395" xr:uid="{00000000-0005-0000-0000-0000FB160000}"/>
    <cellStyle name="60% - Accent4 2 14" xfId="5396" xr:uid="{00000000-0005-0000-0000-0000FC160000}"/>
    <cellStyle name="60% - Accent4 2 15" xfId="5397" xr:uid="{00000000-0005-0000-0000-0000FD160000}"/>
    <cellStyle name="60% - Accent4 2 16" xfId="5398" xr:uid="{00000000-0005-0000-0000-0000FE160000}"/>
    <cellStyle name="60% - Accent4 2 17" xfId="5391" xr:uid="{00000000-0005-0000-0000-0000FF160000}"/>
    <cellStyle name="60% - Accent4 2 2" xfId="1473" xr:uid="{00000000-0005-0000-0000-000000170000}"/>
    <cellStyle name="60% - Accent4 2 2 2" xfId="1474" xr:uid="{00000000-0005-0000-0000-000001170000}"/>
    <cellStyle name="60% - Accent4 2 2 2 2" xfId="5400" xr:uid="{00000000-0005-0000-0000-000002170000}"/>
    <cellStyle name="60% - Accent4 2 2 3" xfId="1475" xr:uid="{00000000-0005-0000-0000-000003170000}"/>
    <cellStyle name="60% - Accent4 2 2 3 2" xfId="5401" xr:uid="{00000000-0005-0000-0000-000004170000}"/>
    <cellStyle name="60% - Accent4 2 2 4" xfId="2143" xr:uid="{00000000-0005-0000-0000-000005170000}"/>
    <cellStyle name="60% - Accent4 2 2 4 2" xfId="5402" xr:uid="{00000000-0005-0000-0000-000006170000}"/>
    <cellStyle name="60% - Accent4 2 2 5" xfId="5403" xr:uid="{00000000-0005-0000-0000-000007170000}"/>
    <cellStyle name="60% - Accent4 2 2 6" xfId="5399" xr:uid="{00000000-0005-0000-0000-000008170000}"/>
    <cellStyle name="60% - Accent4 2 3" xfId="1476" xr:uid="{00000000-0005-0000-0000-000009170000}"/>
    <cellStyle name="60% - Accent4 2 3 2" xfId="5404" xr:uid="{00000000-0005-0000-0000-00000A170000}"/>
    <cellStyle name="60% - Accent4 2 4" xfId="2144" xr:uid="{00000000-0005-0000-0000-00000B170000}"/>
    <cellStyle name="60% - Accent4 2 4 2" xfId="5405" xr:uid="{00000000-0005-0000-0000-00000C170000}"/>
    <cellStyle name="60% - Accent4 2 5" xfId="5406" xr:uid="{00000000-0005-0000-0000-00000D170000}"/>
    <cellStyle name="60% - Accent4 2 6" xfId="5407" xr:uid="{00000000-0005-0000-0000-00000E170000}"/>
    <cellStyle name="60% - Accent4 2 7" xfId="5408" xr:uid="{00000000-0005-0000-0000-00000F170000}"/>
    <cellStyle name="60% - Accent4 2 8" xfId="5409" xr:uid="{00000000-0005-0000-0000-000010170000}"/>
    <cellStyle name="60% - Accent4 2 9" xfId="5410" xr:uid="{00000000-0005-0000-0000-000011170000}"/>
    <cellStyle name="60% - Accent4 20" xfId="5411" xr:uid="{00000000-0005-0000-0000-000012170000}"/>
    <cellStyle name="60% - Accent4 21" xfId="5412" xr:uid="{00000000-0005-0000-0000-000013170000}"/>
    <cellStyle name="60% - Accent4 22" xfId="5413" xr:uid="{00000000-0005-0000-0000-000014170000}"/>
    <cellStyle name="60% - Accent4 3" xfId="227" xr:uid="{00000000-0005-0000-0000-000015170000}"/>
    <cellStyle name="60% - Accent4 3 2" xfId="5415" xr:uid="{00000000-0005-0000-0000-000016170000}"/>
    <cellStyle name="60% - Accent4 3 3" xfId="5416" xr:uid="{00000000-0005-0000-0000-000017170000}"/>
    <cellStyle name="60% - Accent4 3 4" xfId="5417" xr:uid="{00000000-0005-0000-0000-000018170000}"/>
    <cellStyle name="60% - Accent4 3 5" xfId="5418" xr:uid="{00000000-0005-0000-0000-000019170000}"/>
    <cellStyle name="60% - Accent4 3 6" xfId="5419" xr:uid="{00000000-0005-0000-0000-00001A170000}"/>
    <cellStyle name="60% - Accent4 3 7" xfId="5414" xr:uid="{00000000-0005-0000-0000-00001B170000}"/>
    <cellStyle name="60% - Accent4 4" xfId="5420" xr:uid="{00000000-0005-0000-0000-00001C170000}"/>
    <cellStyle name="60% - Accent4 4 2" xfId="5421" xr:uid="{00000000-0005-0000-0000-00001D170000}"/>
    <cellStyle name="60% - Accent4 5" xfId="5422" xr:uid="{00000000-0005-0000-0000-00001E170000}"/>
    <cellStyle name="60% - Accent4 5 2" xfId="5423" xr:uid="{00000000-0005-0000-0000-00001F170000}"/>
    <cellStyle name="60% - Accent4 6" xfId="5424" xr:uid="{00000000-0005-0000-0000-000020170000}"/>
    <cellStyle name="60% - Accent4 6 2" xfId="5425" xr:uid="{00000000-0005-0000-0000-000021170000}"/>
    <cellStyle name="60% - Accent4 7" xfId="5426" xr:uid="{00000000-0005-0000-0000-000022170000}"/>
    <cellStyle name="60% - Accent4 7 2" xfId="5427" xr:uid="{00000000-0005-0000-0000-000023170000}"/>
    <cellStyle name="60% - Accent4 8" xfId="5428" xr:uid="{00000000-0005-0000-0000-000024170000}"/>
    <cellStyle name="60% - Accent4 8 2" xfId="5429" xr:uid="{00000000-0005-0000-0000-000025170000}"/>
    <cellStyle name="60% - Accent4 9" xfId="5430" xr:uid="{00000000-0005-0000-0000-000026170000}"/>
    <cellStyle name="60% - Accent5" xfId="12145" builtinId="48" customBuiltin="1"/>
    <cellStyle name="60% - Accent5 10" xfId="5431" xr:uid="{00000000-0005-0000-0000-000028170000}"/>
    <cellStyle name="60% - Accent5 11" xfId="5432" xr:uid="{00000000-0005-0000-0000-000029170000}"/>
    <cellStyle name="60% - Accent5 12" xfId="5433" xr:uid="{00000000-0005-0000-0000-00002A170000}"/>
    <cellStyle name="60% - Accent5 13" xfId="5434" xr:uid="{00000000-0005-0000-0000-00002B170000}"/>
    <cellStyle name="60% - Accent5 2" xfId="114" xr:uid="{00000000-0005-0000-0000-00002C170000}"/>
    <cellStyle name="60% - Accent5 2 10" xfId="5436" xr:uid="{00000000-0005-0000-0000-00002D170000}"/>
    <cellStyle name="60% - Accent5 2 11" xfId="5437" xr:uid="{00000000-0005-0000-0000-00002E170000}"/>
    <cellStyle name="60% - Accent5 2 12" xfId="5438" xr:uid="{00000000-0005-0000-0000-00002F170000}"/>
    <cellStyle name="60% - Accent5 2 13" xfId="5439" xr:uid="{00000000-0005-0000-0000-000030170000}"/>
    <cellStyle name="60% - Accent5 2 14" xfId="5440" xr:uid="{00000000-0005-0000-0000-000031170000}"/>
    <cellStyle name="60% - Accent5 2 15" xfId="5441" xr:uid="{00000000-0005-0000-0000-000032170000}"/>
    <cellStyle name="60% - Accent5 2 16" xfId="5442" xr:uid="{00000000-0005-0000-0000-000033170000}"/>
    <cellStyle name="60% - Accent5 2 17" xfId="5435" xr:uid="{00000000-0005-0000-0000-000034170000}"/>
    <cellStyle name="60% - Accent5 2 2" xfId="1477" xr:uid="{00000000-0005-0000-0000-000035170000}"/>
    <cellStyle name="60% - Accent5 2 2 2" xfId="1478" xr:uid="{00000000-0005-0000-0000-000036170000}"/>
    <cellStyle name="60% - Accent5 2 2 2 2" xfId="5444" xr:uid="{00000000-0005-0000-0000-000037170000}"/>
    <cellStyle name="60% - Accent5 2 2 3" xfId="1479" xr:uid="{00000000-0005-0000-0000-000038170000}"/>
    <cellStyle name="60% - Accent5 2 2 3 2" xfId="5445" xr:uid="{00000000-0005-0000-0000-000039170000}"/>
    <cellStyle name="60% - Accent5 2 2 4" xfId="2145" xr:uid="{00000000-0005-0000-0000-00003A170000}"/>
    <cellStyle name="60% - Accent5 2 2 4 2" xfId="5446" xr:uid="{00000000-0005-0000-0000-00003B170000}"/>
    <cellStyle name="60% - Accent5 2 2 5" xfId="5447" xr:uid="{00000000-0005-0000-0000-00003C170000}"/>
    <cellStyle name="60% - Accent5 2 2 6" xfId="5443" xr:uid="{00000000-0005-0000-0000-00003D170000}"/>
    <cellStyle name="60% - Accent5 2 3" xfId="1480" xr:uid="{00000000-0005-0000-0000-00003E170000}"/>
    <cellStyle name="60% - Accent5 2 3 2" xfId="5448" xr:uid="{00000000-0005-0000-0000-00003F170000}"/>
    <cellStyle name="60% - Accent5 2 4" xfId="2146" xr:uid="{00000000-0005-0000-0000-000040170000}"/>
    <cellStyle name="60% - Accent5 2 4 2" xfId="5449" xr:uid="{00000000-0005-0000-0000-000041170000}"/>
    <cellStyle name="60% - Accent5 2 5" xfId="5450" xr:uid="{00000000-0005-0000-0000-000042170000}"/>
    <cellStyle name="60% - Accent5 2 6" xfId="5451" xr:uid="{00000000-0005-0000-0000-000043170000}"/>
    <cellStyle name="60% - Accent5 2 7" xfId="5452" xr:uid="{00000000-0005-0000-0000-000044170000}"/>
    <cellStyle name="60% - Accent5 2 8" xfId="5453" xr:uid="{00000000-0005-0000-0000-000045170000}"/>
    <cellStyle name="60% - Accent5 2 9" xfId="5454" xr:uid="{00000000-0005-0000-0000-000046170000}"/>
    <cellStyle name="60% - Accent5 3" xfId="228" xr:uid="{00000000-0005-0000-0000-000047170000}"/>
    <cellStyle name="60% - Accent5 3 2" xfId="5456" xr:uid="{00000000-0005-0000-0000-000048170000}"/>
    <cellStyle name="60% - Accent5 3 3" xfId="5457" xr:uid="{00000000-0005-0000-0000-000049170000}"/>
    <cellStyle name="60% - Accent5 3 4" xfId="5458" xr:uid="{00000000-0005-0000-0000-00004A170000}"/>
    <cellStyle name="60% - Accent5 3 5" xfId="5459" xr:uid="{00000000-0005-0000-0000-00004B170000}"/>
    <cellStyle name="60% - Accent5 3 6" xfId="5460" xr:uid="{00000000-0005-0000-0000-00004C170000}"/>
    <cellStyle name="60% - Accent5 3 7" xfId="5455" xr:uid="{00000000-0005-0000-0000-00004D170000}"/>
    <cellStyle name="60% - Accent5 4" xfId="5461" xr:uid="{00000000-0005-0000-0000-00004E170000}"/>
    <cellStyle name="60% - Accent5 4 2" xfId="5462" xr:uid="{00000000-0005-0000-0000-00004F170000}"/>
    <cellStyle name="60% - Accent5 5" xfId="5463" xr:uid="{00000000-0005-0000-0000-000050170000}"/>
    <cellStyle name="60% - Accent5 5 2" xfId="5464" xr:uid="{00000000-0005-0000-0000-000051170000}"/>
    <cellStyle name="60% - Accent5 6" xfId="5465" xr:uid="{00000000-0005-0000-0000-000052170000}"/>
    <cellStyle name="60% - Accent5 6 2" xfId="5466" xr:uid="{00000000-0005-0000-0000-000053170000}"/>
    <cellStyle name="60% - Accent5 7" xfId="5467" xr:uid="{00000000-0005-0000-0000-000054170000}"/>
    <cellStyle name="60% - Accent5 7 2" xfId="5468" xr:uid="{00000000-0005-0000-0000-000055170000}"/>
    <cellStyle name="60% - Accent5 8" xfId="5469" xr:uid="{00000000-0005-0000-0000-000056170000}"/>
    <cellStyle name="60% - Accent5 8 2" xfId="5470" xr:uid="{00000000-0005-0000-0000-000057170000}"/>
    <cellStyle name="60% - Accent5 9" xfId="5471" xr:uid="{00000000-0005-0000-0000-000058170000}"/>
    <cellStyle name="60% - Accent6" xfId="12149" builtinId="52" customBuiltin="1"/>
    <cellStyle name="60% - Accent6 10" xfId="5472" xr:uid="{00000000-0005-0000-0000-00005A170000}"/>
    <cellStyle name="60% - Accent6 11" xfId="5473" xr:uid="{00000000-0005-0000-0000-00005B170000}"/>
    <cellStyle name="60% - Accent6 12" xfId="5474" xr:uid="{00000000-0005-0000-0000-00005C170000}"/>
    <cellStyle name="60% - Accent6 13" xfId="5475" xr:uid="{00000000-0005-0000-0000-00005D170000}"/>
    <cellStyle name="60% - Accent6 14" xfId="5476" xr:uid="{00000000-0005-0000-0000-00005E170000}"/>
    <cellStyle name="60% - Accent6 15" xfId="5477" xr:uid="{00000000-0005-0000-0000-00005F170000}"/>
    <cellStyle name="60% - Accent6 16" xfId="5478" xr:uid="{00000000-0005-0000-0000-000060170000}"/>
    <cellStyle name="60% - Accent6 17" xfId="5479" xr:uid="{00000000-0005-0000-0000-000061170000}"/>
    <cellStyle name="60% - Accent6 18" xfId="5480" xr:uid="{00000000-0005-0000-0000-000062170000}"/>
    <cellStyle name="60% - Accent6 19" xfId="5481" xr:uid="{00000000-0005-0000-0000-000063170000}"/>
    <cellStyle name="60% - Accent6 2" xfId="115" xr:uid="{00000000-0005-0000-0000-000064170000}"/>
    <cellStyle name="60% - Accent6 2 10" xfId="5483" xr:uid="{00000000-0005-0000-0000-000065170000}"/>
    <cellStyle name="60% - Accent6 2 11" xfId="5484" xr:uid="{00000000-0005-0000-0000-000066170000}"/>
    <cellStyle name="60% - Accent6 2 12" xfId="5485" xr:uid="{00000000-0005-0000-0000-000067170000}"/>
    <cellStyle name="60% - Accent6 2 13" xfId="5486" xr:uid="{00000000-0005-0000-0000-000068170000}"/>
    <cellStyle name="60% - Accent6 2 14" xfId="5487" xr:uid="{00000000-0005-0000-0000-000069170000}"/>
    <cellStyle name="60% - Accent6 2 15" xfId="5488" xr:uid="{00000000-0005-0000-0000-00006A170000}"/>
    <cellStyle name="60% - Accent6 2 16" xfId="5489" xr:uid="{00000000-0005-0000-0000-00006B170000}"/>
    <cellStyle name="60% - Accent6 2 17" xfId="5482" xr:uid="{00000000-0005-0000-0000-00006C170000}"/>
    <cellStyle name="60% - Accent6 2 2" xfId="1481" xr:uid="{00000000-0005-0000-0000-00006D170000}"/>
    <cellStyle name="60% - Accent6 2 2 2" xfId="1482" xr:uid="{00000000-0005-0000-0000-00006E170000}"/>
    <cellStyle name="60% - Accent6 2 2 2 2" xfId="5491" xr:uid="{00000000-0005-0000-0000-00006F170000}"/>
    <cellStyle name="60% - Accent6 2 2 3" xfId="1483" xr:uid="{00000000-0005-0000-0000-000070170000}"/>
    <cellStyle name="60% - Accent6 2 2 3 2" xfId="5492" xr:uid="{00000000-0005-0000-0000-000071170000}"/>
    <cellStyle name="60% - Accent6 2 2 4" xfId="2147" xr:uid="{00000000-0005-0000-0000-000072170000}"/>
    <cellStyle name="60% - Accent6 2 2 4 2" xfId="5493" xr:uid="{00000000-0005-0000-0000-000073170000}"/>
    <cellStyle name="60% - Accent6 2 2 5" xfId="5494" xr:uid="{00000000-0005-0000-0000-000074170000}"/>
    <cellStyle name="60% - Accent6 2 2 6" xfId="5490" xr:uid="{00000000-0005-0000-0000-000075170000}"/>
    <cellStyle name="60% - Accent6 2 3" xfId="1484" xr:uid="{00000000-0005-0000-0000-000076170000}"/>
    <cellStyle name="60% - Accent6 2 3 2" xfId="5495" xr:uid="{00000000-0005-0000-0000-000077170000}"/>
    <cellStyle name="60% - Accent6 2 4" xfId="2148" xr:uid="{00000000-0005-0000-0000-000078170000}"/>
    <cellStyle name="60% - Accent6 2 4 2" xfId="5496" xr:uid="{00000000-0005-0000-0000-000079170000}"/>
    <cellStyle name="60% - Accent6 2 5" xfId="5497" xr:uid="{00000000-0005-0000-0000-00007A170000}"/>
    <cellStyle name="60% - Accent6 2 6" xfId="5498" xr:uid="{00000000-0005-0000-0000-00007B170000}"/>
    <cellStyle name="60% - Accent6 2 7" xfId="5499" xr:uid="{00000000-0005-0000-0000-00007C170000}"/>
    <cellStyle name="60% - Accent6 2 8" xfId="5500" xr:uid="{00000000-0005-0000-0000-00007D170000}"/>
    <cellStyle name="60% - Accent6 2 9" xfId="5501" xr:uid="{00000000-0005-0000-0000-00007E170000}"/>
    <cellStyle name="60% - Accent6 20" xfId="5502" xr:uid="{00000000-0005-0000-0000-00007F170000}"/>
    <cellStyle name="60% - Accent6 21" xfId="5503" xr:uid="{00000000-0005-0000-0000-000080170000}"/>
    <cellStyle name="60% - Accent6 22" xfId="5504" xr:uid="{00000000-0005-0000-0000-000081170000}"/>
    <cellStyle name="60% - Accent6 3" xfId="229" xr:uid="{00000000-0005-0000-0000-000082170000}"/>
    <cellStyle name="60% - Accent6 3 2" xfId="5506" xr:uid="{00000000-0005-0000-0000-000083170000}"/>
    <cellStyle name="60% - Accent6 3 3" xfId="5507" xr:uid="{00000000-0005-0000-0000-000084170000}"/>
    <cellStyle name="60% - Accent6 3 4" xfId="5508" xr:uid="{00000000-0005-0000-0000-000085170000}"/>
    <cellStyle name="60% - Accent6 3 5" xfId="5509" xr:uid="{00000000-0005-0000-0000-000086170000}"/>
    <cellStyle name="60% - Accent6 3 6" xfId="5510" xr:uid="{00000000-0005-0000-0000-000087170000}"/>
    <cellStyle name="60% - Accent6 3 7" xfId="5505" xr:uid="{00000000-0005-0000-0000-000088170000}"/>
    <cellStyle name="60% - Accent6 4" xfId="5511" xr:uid="{00000000-0005-0000-0000-000089170000}"/>
    <cellStyle name="60% - Accent6 4 2" xfId="5512" xr:uid="{00000000-0005-0000-0000-00008A170000}"/>
    <cellStyle name="60% - Accent6 5" xfId="5513" xr:uid="{00000000-0005-0000-0000-00008B170000}"/>
    <cellStyle name="60% - Accent6 5 2" xfId="5514" xr:uid="{00000000-0005-0000-0000-00008C170000}"/>
    <cellStyle name="60% - Accent6 6" xfId="5515" xr:uid="{00000000-0005-0000-0000-00008D170000}"/>
    <cellStyle name="60% - Accent6 6 2" xfId="5516" xr:uid="{00000000-0005-0000-0000-00008E170000}"/>
    <cellStyle name="60% - Accent6 7" xfId="5517" xr:uid="{00000000-0005-0000-0000-00008F170000}"/>
    <cellStyle name="60% - Accent6 7 2" xfId="5518" xr:uid="{00000000-0005-0000-0000-000090170000}"/>
    <cellStyle name="60% - Accent6 8" xfId="5519" xr:uid="{00000000-0005-0000-0000-000091170000}"/>
    <cellStyle name="60% - Accent6 8 2" xfId="5520" xr:uid="{00000000-0005-0000-0000-000092170000}"/>
    <cellStyle name="60% - Accent6 9" xfId="5521" xr:uid="{00000000-0005-0000-0000-000093170000}"/>
    <cellStyle name="Accent1" xfId="12126" builtinId="29" customBuiltin="1"/>
    <cellStyle name="Accent1 10" xfId="5522" xr:uid="{00000000-0005-0000-0000-000095170000}"/>
    <cellStyle name="Accent1 11" xfId="5523" xr:uid="{00000000-0005-0000-0000-000096170000}"/>
    <cellStyle name="Accent1 12" xfId="5524" xr:uid="{00000000-0005-0000-0000-000097170000}"/>
    <cellStyle name="Accent1 13" xfId="5525" xr:uid="{00000000-0005-0000-0000-000098170000}"/>
    <cellStyle name="Accent1 14" xfId="5526" xr:uid="{00000000-0005-0000-0000-000099170000}"/>
    <cellStyle name="Accent1 15" xfId="5527" xr:uid="{00000000-0005-0000-0000-00009A170000}"/>
    <cellStyle name="Accent1 16" xfId="5528" xr:uid="{00000000-0005-0000-0000-00009B170000}"/>
    <cellStyle name="Accent1 17" xfId="5529" xr:uid="{00000000-0005-0000-0000-00009C170000}"/>
    <cellStyle name="Accent1 18" xfId="5530" xr:uid="{00000000-0005-0000-0000-00009D170000}"/>
    <cellStyle name="Accent1 19" xfId="5531" xr:uid="{00000000-0005-0000-0000-00009E170000}"/>
    <cellStyle name="Accent1 2" xfId="116" xr:uid="{00000000-0005-0000-0000-00009F170000}"/>
    <cellStyle name="Accent1 2 10" xfId="5533" xr:uid="{00000000-0005-0000-0000-0000A0170000}"/>
    <cellStyle name="Accent1 2 11" xfId="5534" xr:uid="{00000000-0005-0000-0000-0000A1170000}"/>
    <cellStyle name="Accent1 2 12" xfId="5535" xr:uid="{00000000-0005-0000-0000-0000A2170000}"/>
    <cellStyle name="Accent1 2 13" xfId="5536" xr:uid="{00000000-0005-0000-0000-0000A3170000}"/>
    <cellStyle name="Accent1 2 14" xfId="5537" xr:uid="{00000000-0005-0000-0000-0000A4170000}"/>
    <cellStyle name="Accent1 2 15" xfId="5538" xr:uid="{00000000-0005-0000-0000-0000A5170000}"/>
    <cellStyle name="Accent1 2 16" xfId="5539" xr:uid="{00000000-0005-0000-0000-0000A6170000}"/>
    <cellStyle name="Accent1 2 17" xfId="5532" xr:uid="{00000000-0005-0000-0000-0000A7170000}"/>
    <cellStyle name="Accent1 2 2" xfId="1485" xr:uid="{00000000-0005-0000-0000-0000A8170000}"/>
    <cellStyle name="Accent1 2 2 2" xfId="1486" xr:uid="{00000000-0005-0000-0000-0000A9170000}"/>
    <cellStyle name="Accent1 2 2 2 2" xfId="5541" xr:uid="{00000000-0005-0000-0000-0000AA170000}"/>
    <cellStyle name="Accent1 2 2 3" xfId="1487" xr:uid="{00000000-0005-0000-0000-0000AB170000}"/>
    <cellStyle name="Accent1 2 2 3 2" xfId="5542" xr:uid="{00000000-0005-0000-0000-0000AC170000}"/>
    <cellStyle name="Accent1 2 2 4" xfId="2149" xr:uid="{00000000-0005-0000-0000-0000AD170000}"/>
    <cellStyle name="Accent1 2 2 4 2" xfId="5543" xr:uid="{00000000-0005-0000-0000-0000AE170000}"/>
    <cellStyle name="Accent1 2 2 5" xfId="5544" xr:uid="{00000000-0005-0000-0000-0000AF170000}"/>
    <cellStyle name="Accent1 2 2 6" xfId="5540" xr:uid="{00000000-0005-0000-0000-0000B0170000}"/>
    <cellStyle name="Accent1 2 3" xfId="1488" xr:uid="{00000000-0005-0000-0000-0000B1170000}"/>
    <cellStyle name="Accent1 2 3 2" xfId="5545" xr:uid="{00000000-0005-0000-0000-0000B2170000}"/>
    <cellStyle name="Accent1 2 4" xfId="2150" xr:uid="{00000000-0005-0000-0000-0000B3170000}"/>
    <cellStyle name="Accent1 2 4 2" xfId="5546" xr:uid="{00000000-0005-0000-0000-0000B4170000}"/>
    <cellStyle name="Accent1 2 5" xfId="5547" xr:uid="{00000000-0005-0000-0000-0000B5170000}"/>
    <cellStyle name="Accent1 2 6" xfId="5548" xr:uid="{00000000-0005-0000-0000-0000B6170000}"/>
    <cellStyle name="Accent1 2 7" xfId="5549" xr:uid="{00000000-0005-0000-0000-0000B7170000}"/>
    <cellStyle name="Accent1 2 8" xfId="5550" xr:uid="{00000000-0005-0000-0000-0000B8170000}"/>
    <cellStyle name="Accent1 2 9" xfId="5551" xr:uid="{00000000-0005-0000-0000-0000B9170000}"/>
    <cellStyle name="Accent1 20" xfId="5552" xr:uid="{00000000-0005-0000-0000-0000BA170000}"/>
    <cellStyle name="Accent1 21" xfId="5553" xr:uid="{00000000-0005-0000-0000-0000BB170000}"/>
    <cellStyle name="Accent1 22" xfId="5554" xr:uid="{00000000-0005-0000-0000-0000BC170000}"/>
    <cellStyle name="Accent1 3" xfId="230" xr:uid="{00000000-0005-0000-0000-0000BD170000}"/>
    <cellStyle name="Accent1 3 2" xfId="5556" xr:uid="{00000000-0005-0000-0000-0000BE170000}"/>
    <cellStyle name="Accent1 3 3" xfId="5557" xr:uid="{00000000-0005-0000-0000-0000BF170000}"/>
    <cellStyle name="Accent1 3 4" xfId="5558" xr:uid="{00000000-0005-0000-0000-0000C0170000}"/>
    <cellStyle name="Accent1 3 5" xfId="5559" xr:uid="{00000000-0005-0000-0000-0000C1170000}"/>
    <cellStyle name="Accent1 3 6" xfId="5560" xr:uid="{00000000-0005-0000-0000-0000C2170000}"/>
    <cellStyle name="Accent1 3 7" xfId="5555" xr:uid="{00000000-0005-0000-0000-0000C3170000}"/>
    <cellStyle name="Accent1 4" xfId="363" xr:uid="{00000000-0005-0000-0000-0000C4170000}"/>
    <cellStyle name="Accent1 4 2" xfId="5562" xr:uid="{00000000-0005-0000-0000-0000C5170000}"/>
    <cellStyle name="Accent1 4 3" xfId="5561" xr:uid="{00000000-0005-0000-0000-0000C6170000}"/>
    <cellStyle name="Accent1 5" xfId="5563" xr:uid="{00000000-0005-0000-0000-0000C7170000}"/>
    <cellStyle name="Accent1 5 2" xfId="5564" xr:uid="{00000000-0005-0000-0000-0000C8170000}"/>
    <cellStyle name="Accent1 6" xfId="5565" xr:uid="{00000000-0005-0000-0000-0000C9170000}"/>
    <cellStyle name="Accent1 6 2" xfId="5566" xr:uid="{00000000-0005-0000-0000-0000CA170000}"/>
    <cellStyle name="Accent1 7" xfId="5567" xr:uid="{00000000-0005-0000-0000-0000CB170000}"/>
    <cellStyle name="Accent1 7 2" xfId="5568" xr:uid="{00000000-0005-0000-0000-0000CC170000}"/>
    <cellStyle name="Accent1 8" xfId="5569" xr:uid="{00000000-0005-0000-0000-0000CD170000}"/>
    <cellStyle name="Accent1 8 2" xfId="5570" xr:uid="{00000000-0005-0000-0000-0000CE170000}"/>
    <cellStyle name="Accent1 9" xfId="5571" xr:uid="{00000000-0005-0000-0000-0000CF170000}"/>
    <cellStyle name="Accent2" xfId="12130" builtinId="33" customBuiltin="1"/>
    <cellStyle name="Accent2 10" xfId="5572" xr:uid="{00000000-0005-0000-0000-0000D1170000}"/>
    <cellStyle name="Accent2 11" xfId="5573" xr:uid="{00000000-0005-0000-0000-0000D2170000}"/>
    <cellStyle name="Accent2 12" xfId="5574" xr:uid="{00000000-0005-0000-0000-0000D3170000}"/>
    <cellStyle name="Accent2 13" xfId="5575" xr:uid="{00000000-0005-0000-0000-0000D4170000}"/>
    <cellStyle name="Accent2 2" xfId="117" xr:uid="{00000000-0005-0000-0000-0000D5170000}"/>
    <cellStyle name="Accent2 2 10" xfId="5577" xr:uid="{00000000-0005-0000-0000-0000D6170000}"/>
    <cellStyle name="Accent2 2 11" xfId="5578" xr:uid="{00000000-0005-0000-0000-0000D7170000}"/>
    <cellStyle name="Accent2 2 12" xfId="5579" xr:uid="{00000000-0005-0000-0000-0000D8170000}"/>
    <cellStyle name="Accent2 2 13" xfId="5580" xr:uid="{00000000-0005-0000-0000-0000D9170000}"/>
    <cellStyle name="Accent2 2 14" xfId="5581" xr:uid="{00000000-0005-0000-0000-0000DA170000}"/>
    <cellStyle name="Accent2 2 15" xfId="5582" xr:uid="{00000000-0005-0000-0000-0000DB170000}"/>
    <cellStyle name="Accent2 2 16" xfId="5583" xr:uid="{00000000-0005-0000-0000-0000DC170000}"/>
    <cellStyle name="Accent2 2 17" xfId="5576" xr:uid="{00000000-0005-0000-0000-0000DD170000}"/>
    <cellStyle name="Accent2 2 2" xfId="1489" xr:uid="{00000000-0005-0000-0000-0000DE170000}"/>
    <cellStyle name="Accent2 2 2 2" xfId="1490" xr:uid="{00000000-0005-0000-0000-0000DF170000}"/>
    <cellStyle name="Accent2 2 2 2 2" xfId="5585" xr:uid="{00000000-0005-0000-0000-0000E0170000}"/>
    <cellStyle name="Accent2 2 2 3" xfId="1491" xr:uid="{00000000-0005-0000-0000-0000E1170000}"/>
    <cellStyle name="Accent2 2 2 3 2" xfId="5586" xr:uid="{00000000-0005-0000-0000-0000E2170000}"/>
    <cellStyle name="Accent2 2 2 4" xfId="2151" xr:uid="{00000000-0005-0000-0000-0000E3170000}"/>
    <cellStyle name="Accent2 2 2 4 2" xfId="5587" xr:uid="{00000000-0005-0000-0000-0000E4170000}"/>
    <cellStyle name="Accent2 2 2 5" xfId="5588" xr:uid="{00000000-0005-0000-0000-0000E5170000}"/>
    <cellStyle name="Accent2 2 2 6" xfId="5584" xr:uid="{00000000-0005-0000-0000-0000E6170000}"/>
    <cellStyle name="Accent2 2 3" xfId="1492" xr:uid="{00000000-0005-0000-0000-0000E7170000}"/>
    <cellStyle name="Accent2 2 3 2" xfId="5589" xr:uid="{00000000-0005-0000-0000-0000E8170000}"/>
    <cellStyle name="Accent2 2 4" xfId="2152" xr:uid="{00000000-0005-0000-0000-0000E9170000}"/>
    <cellStyle name="Accent2 2 4 2" xfId="5590" xr:uid="{00000000-0005-0000-0000-0000EA170000}"/>
    <cellStyle name="Accent2 2 5" xfId="5591" xr:uid="{00000000-0005-0000-0000-0000EB170000}"/>
    <cellStyle name="Accent2 2 6" xfId="5592" xr:uid="{00000000-0005-0000-0000-0000EC170000}"/>
    <cellStyle name="Accent2 2 7" xfId="5593" xr:uid="{00000000-0005-0000-0000-0000ED170000}"/>
    <cellStyle name="Accent2 2 8" xfId="5594" xr:uid="{00000000-0005-0000-0000-0000EE170000}"/>
    <cellStyle name="Accent2 2 9" xfId="5595" xr:uid="{00000000-0005-0000-0000-0000EF170000}"/>
    <cellStyle name="Accent2 3" xfId="231" xr:uid="{00000000-0005-0000-0000-0000F0170000}"/>
    <cellStyle name="Accent2 3 2" xfId="5597" xr:uid="{00000000-0005-0000-0000-0000F1170000}"/>
    <cellStyle name="Accent2 3 3" xfId="5598" xr:uid="{00000000-0005-0000-0000-0000F2170000}"/>
    <cellStyle name="Accent2 3 4" xfId="5599" xr:uid="{00000000-0005-0000-0000-0000F3170000}"/>
    <cellStyle name="Accent2 3 5" xfId="5600" xr:uid="{00000000-0005-0000-0000-0000F4170000}"/>
    <cellStyle name="Accent2 3 6" xfId="5601" xr:uid="{00000000-0005-0000-0000-0000F5170000}"/>
    <cellStyle name="Accent2 3 7" xfId="5596" xr:uid="{00000000-0005-0000-0000-0000F6170000}"/>
    <cellStyle name="Accent2 4" xfId="364" xr:uid="{00000000-0005-0000-0000-0000F7170000}"/>
    <cellStyle name="Accent2 4 2" xfId="5603" xr:uid="{00000000-0005-0000-0000-0000F8170000}"/>
    <cellStyle name="Accent2 4 3" xfId="5602" xr:uid="{00000000-0005-0000-0000-0000F9170000}"/>
    <cellStyle name="Accent2 5" xfId="5604" xr:uid="{00000000-0005-0000-0000-0000FA170000}"/>
    <cellStyle name="Accent2 5 2" xfId="5605" xr:uid="{00000000-0005-0000-0000-0000FB170000}"/>
    <cellStyle name="Accent2 6" xfId="5606" xr:uid="{00000000-0005-0000-0000-0000FC170000}"/>
    <cellStyle name="Accent2 6 2" xfId="5607" xr:uid="{00000000-0005-0000-0000-0000FD170000}"/>
    <cellStyle name="Accent2 7" xfId="5608" xr:uid="{00000000-0005-0000-0000-0000FE170000}"/>
    <cellStyle name="Accent2 7 2" xfId="5609" xr:uid="{00000000-0005-0000-0000-0000FF170000}"/>
    <cellStyle name="Accent2 8" xfId="5610" xr:uid="{00000000-0005-0000-0000-000000180000}"/>
    <cellStyle name="Accent2 8 2" xfId="5611" xr:uid="{00000000-0005-0000-0000-000001180000}"/>
    <cellStyle name="Accent2 9" xfId="5612" xr:uid="{00000000-0005-0000-0000-000002180000}"/>
    <cellStyle name="Accent3" xfId="12134" builtinId="37" customBuiltin="1"/>
    <cellStyle name="Accent3 10" xfId="5613" xr:uid="{00000000-0005-0000-0000-000004180000}"/>
    <cellStyle name="Accent3 11" xfId="5614" xr:uid="{00000000-0005-0000-0000-000005180000}"/>
    <cellStyle name="Accent3 12" xfId="5615" xr:uid="{00000000-0005-0000-0000-000006180000}"/>
    <cellStyle name="Accent3 13" xfId="5616" xr:uid="{00000000-0005-0000-0000-000007180000}"/>
    <cellStyle name="Accent3 2" xfId="118" xr:uid="{00000000-0005-0000-0000-000008180000}"/>
    <cellStyle name="Accent3 2 10" xfId="5618" xr:uid="{00000000-0005-0000-0000-000009180000}"/>
    <cellStyle name="Accent3 2 11" xfId="5619" xr:uid="{00000000-0005-0000-0000-00000A180000}"/>
    <cellStyle name="Accent3 2 12" xfId="5620" xr:uid="{00000000-0005-0000-0000-00000B180000}"/>
    <cellStyle name="Accent3 2 13" xfId="5621" xr:uid="{00000000-0005-0000-0000-00000C180000}"/>
    <cellStyle name="Accent3 2 14" xfId="5622" xr:uid="{00000000-0005-0000-0000-00000D180000}"/>
    <cellStyle name="Accent3 2 15" xfId="5623" xr:uid="{00000000-0005-0000-0000-00000E180000}"/>
    <cellStyle name="Accent3 2 16" xfId="5624" xr:uid="{00000000-0005-0000-0000-00000F180000}"/>
    <cellStyle name="Accent3 2 17" xfId="5617" xr:uid="{00000000-0005-0000-0000-000010180000}"/>
    <cellStyle name="Accent3 2 2" xfId="1493" xr:uid="{00000000-0005-0000-0000-000011180000}"/>
    <cellStyle name="Accent3 2 2 2" xfId="1494" xr:uid="{00000000-0005-0000-0000-000012180000}"/>
    <cellStyle name="Accent3 2 2 2 2" xfId="5626" xr:uid="{00000000-0005-0000-0000-000013180000}"/>
    <cellStyle name="Accent3 2 2 3" xfId="1495" xr:uid="{00000000-0005-0000-0000-000014180000}"/>
    <cellStyle name="Accent3 2 2 3 2" xfId="5627" xr:uid="{00000000-0005-0000-0000-000015180000}"/>
    <cellStyle name="Accent3 2 2 4" xfId="2153" xr:uid="{00000000-0005-0000-0000-000016180000}"/>
    <cellStyle name="Accent3 2 2 4 2" xfId="5628" xr:uid="{00000000-0005-0000-0000-000017180000}"/>
    <cellStyle name="Accent3 2 2 5" xfId="5629" xr:uid="{00000000-0005-0000-0000-000018180000}"/>
    <cellStyle name="Accent3 2 2 6" xfId="5625" xr:uid="{00000000-0005-0000-0000-000019180000}"/>
    <cellStyle name="Accent3 2 3" xfId="1496" xr:uid="{00000000-0005-0000-0000-00001A180000}"/>
    <cellStyle name="Accent3 2 3 2" xfId="5630" xr:uid="{00000000-0005-0000-0000-00001B180000}"/>
    <cellStyle name="Accent3 2 4" xfId="2154" xr:uid="{00000000-0005-0000-0000-00001C180000}"/>
    <cellStyle name="Accent3 2 4 2" xfId="5631" xr:uid="{00000000-0005-0000-0000-00001D180000}"/>
    <cellStyle name="Accent3 2 5" xfId="5632" xr:uid="{00000000-0005-0000-0000-00001E180000}"/>
    <cellStyle name="Accent3 2 6" xfId="5633" xr:uid="{00000000-0005-0000-0000-00001F180000}"/>
    <cellStyle name="Accent3 2 7" xfId="5634" xr:uid="{00000000-0005-0000-0000-000020180000}"/>
    <cellStyle name="Accent3 2 8" xfId="5635" xr:uid="{00000000-0005-0000-0000-000021180000}"/>
    <cellStyle name="Accent3 2 9" xfId="5636" xr:uid="{00000000-0005-0000-0000-000022180000}"/>
    <cellStyle name="Accent3 3" xfId="232" xr:uid="{00000000-0005-0000-0000-000023180000}"/>
    <cellStyle name="Accent3 3 2" xfId="5638" xr:uid="{00000000-0005-0000-0000-000024180000}"/>
    <cellStyle name="Accent3 3 3" xfId="5639" xr:uid="{00000000-0005-0000-0000-000025180000}"/>
    <cellStyle name="Accent3 3 4" xfId="5640" xr:uid="{00000000-0005-0000-0000-000026180000}"/>
    <cellStyle name="Accent3 3 5" xfId="5641" xr:uid="{00000000-0005-0000-0000-000027180000}"/>
    <cellStyle name="Accent3 3 6" xfId="5642" xr:uid="{00000000-0005-0000-0000-000028180000}"/>
    <cellStyle name="Accent3 3 7" xfId="5637" xr:uid="{00000000-0005-0000-0000-000029180000}"/>
    <cellStyle name="Accent3 4" xfId="365" xr:uid="{00000000-0005-0000-0000-00002A180000}"/>
    <cellStyle name="Accent3 4 2" xfId="5644" xr:uid="{00000000-0005-0000-0000-00002B180000}"/>
    <cellStyle name="Accent3 4 3" xfId="5643" xr:uid="{00000000-0005-0000-0000-00002C180000}"/>
    <cellStyle name="Accent3 5" xfId="5645" xr:uid="{00000000-0005-0000-0000-00002D180000}"/>
    <cellStyle name="Accent3 5 2" xfId="5646" xr:uid="{00000000-0005-0000-0000-00002E180000}"/>
    <cellStyle name="Accent3 6" xfId="5647" xr:uid="{00000000-0005-0000-0000-00002F180000}"/>
    <cellStyle name="Accent3 6 2" xfId="5648" xr:uid="{00000000-0005-0000-0000-000030180000}"/>
    <cellStyle name="Accent3 7" xfId="5649" xr:uid="{00000000-0005-0000-0000-000031180000}"/>
    <cellStyle name="Accent3 7 2" xfId="5650" xr:uid="{00000000-0005-0000-0000-000032180000}"/>
    <cellStyle name="Accent3 8" xfId="5651" xr:uid="{00000000-0005-0000-0000-000033180000}"/>
    <cellStyle name="Accent3 8 2" xfId="5652" xr:uid="{00000000-0005-0000-0000-000034180000}"/>
    <cellStyle name="Accent3 9" xfId="5653" xr:uid="{00000000-0005-0000-0000-000035180000}"/>
    <cellStyle name="Accent4" xfId="12138" builtinId="41" customBuiltin="1"/>
    <cellStyle name="Accent4 10" xfId="5654" xr:uid="{00000000-0005-0000-0000-000037180000}"/>
    <cellStyle name="Accent4 11" xfId="5655" xr:uid="{00000000-0005-0000-0000-000038180000}"/>
    <cellStyle name="Accent4 12" xfId="5656" xr:uid="{00000000-0005-0000-0000-000039180000}"/>
    <cellStyle name="Accent4 13" xfId="5657" xr:uid="{00000000-0005-0000-0000-00003A180000}"/>
    <cellStyle name="Accent4 14" xfId="5658" xr:uid="{00000000-0005-0000-0000-00003B180000}"/>
    <cellStyle name="Accent4 15" xfId="5659" xr:uid="{00000000-0005-0000-0000-00003C180000}"/>
    <cellStyle name="Accent4 16" xfId="5660" xr:uid="{00000000-0005-0000-0000-00003D180000}"/>
    <cellStyle name="Accent4 17" xfId="5661" xr:uid="{00000000-0005-0000-0000-00003E180000}"/>
    <cellStyle name="Accent4 18" xfId="5662" xr:uid="{00000000-0005-0000-0000-00003F180000}"/>
    <cellStyle name="Accent4 19" xfId="5663" xr:uid="{00000000-0005-0000-0000-000040180000}"/>
    <cellStyle name="Accent4 2" xfId="119" xr:uid="{00000000-0005-0000-0000-000041180000}"/>
    <cellStyle name="Accent4 2 10" xfId="5665" xr:uid="{00000000-0005-0000-0000-000042180000}"/>
    <cellStyle name="Accent4 2 11" xfId="5666" xr:uid="{00000000-0005-0000-0000-000043180000}"/>
    <cellStyle name="Accent4 2 12" xfId="5667" xr:uid="{00000000-0005-0000-0000-000044180000}"/>
    <cellStyle name="Accent4 2 13" xfId="5668" xr:uid="{00000000-0005-0000-0000-000045180000}"/>
    <cellStyle name="Accent4 2 14" xfId="5669" xr:uid="{00000000-0005-0000-0000-000046180000}"/>
    <cellStyle name="Accent4 2 15" xfId="5670" xr:uid="{00000000-0005-0000-0000-000047180000}"/>
    <cellStyle name="Accent4 2 16" xfId="5671" xr:uid="{00000000-0005-0000-0000-000048180000}"/>
    <cellStyle name="Accent4 2 17" xfId="5664" xr:uid="{00000000-0005-0000-0000-000049180000}"/>
    <cellStyle name="Accent4 2 2" xfId="1497" xr:uid="{00000000-0005-0000-0000-00004A180000}"/>
    <cellStyle name="Accent4 2 2 2" xfId="1498" xr:uid="{00000000-0005-0000-0000-00004B180000}"/>
    <cellStyle name="Accent4 2 2 2 2" xfId="5673" xr:uid="{00000000-0005-0000-0000-00004C180000}"/>
    <cellStyle name="Accent4 2 2 3" xfId="1499" xr:uid="{00000000-0005-0000-0000-00004D180000}"/>
    <cellStyle name="Accent4 2 2 3 2" xfId="5674" xr:uid="{00000000-0005-0000-0000-00004E180000}"/>
    <cellStyle name="Accent4 2 2 4" xfId="2155" xr:uid="{00000000-0005-0000-0000-00004F180000}"/>
    <cellStyle name="Accent4 2 2 4 2" xfId="5675" xr:uid="{00000000-0005-0000-0000-000050180000}"/>
    <cellStyle name="Accent4 2 2 5" xfId="5676" xr:uid="{00000000-0005-0000-0000-000051180000}"/>
    <cellStyle name="Accent4 2 2 6" xfId="5672" xr:uid="{00000000-0005-0000-0000-000052180000}"/>
    <cellStyle name="Accent4 2 3" xfId="1500" xr:uid="{00000000-0005-0000-0000-000053180000}"/>
    <cellStyle name="Accent4 2 3 2" xfId="5677" xr:uid="{00000000-0005-0000-0000-000054180000}"/>
    <cellStyle name="Accent4 2 4" xfId="2156" xr:uid="{00000000-0005-0000-0000-000055180000}"/>
    <cellStyle name="Accent4 2 4 2" xfId="5678" xr:uid="{00000000-0005-0000-0000-000056180000}"/>
    <cellStyle name="Accent4 2 5" xfId="5679" xr:uid="{00000000-0005-0000-0000-000057180000}"/>
    <cellStyle name="Accent4 2 6" xfId="5680" xr:uid="{00000000-0005-0000-0000-000058180000}"/>
    <cellStyle name="Accent4 2 7" xfId="5681" xr:uid="{00000000-0005-0000-0000-000059180000}"/>
    <cellStyle name="Accent4 2 8" xfId="5682" xr:uid="{00000000-0005-0000-0000-00005A180000}"/>
    <cellStyle name="Accent4 2 9" xfId="5683" xr:uid="{00000000-0005-0000-0000-00005B180000}"/>
    <cellStyle name="Accent4 20" xfId="5684" xr:uid="{00000000-0005-0000-0000-00005C180000}"/>
    <cellStyle name="Accent4 21" xfId="5685" xr:uid="{00000000-0005-0000-0000-00005D180000}"/>
    <cellStyle name="Accent4 22" xfId="5686" xr:uid="{00000000-0005-0000-0000-00005E180000}"/>
    <cellStyle name="Accent4 3" xfId="233" xr:uid="{00000000-0005-0000-0000-00005F180000}"/>
    <cellStyle name="Accent4 3 2" xfId="5688" xr:uid="{00000000-0005-0000-0000-000060180000}"/>
    <cellStyle name="Accent4 3 3" xfId="5689" xr:uid="{00000000-0005-0000-0000-000061180000}"/>
    <cellStyle name="Accent4 3 4" xfId="5690" xr:uid="{00000000-0005-0000-0000-000062180000}"/>
    <cellStyle name="Accent4 3 5" xfId="5691" xr:uid="{00000000-0005-0000-0000-000063180000}"/>
    <cellStyle name="Accent4 3 6" xfId="5692" xr:uid="{00000000-0005-0000-0000-000064180000}"/>
    <cellStyle name="Accent4 3 7" xfId="5687" xr:uid="{00000000-0005-0000-0000-000065180000}"/>
    <cellStyle name="Accent4 4" xfId="366" xr:uid="{00000000-0005-0000-0000-000066180000}"/>
    <cellStyle name="Accent4 4 2" xfId="5694" xr:uid="{00000000-0005-0000-0000-000067180000}"/>
    <cellStyle name="Accent4 4 3" xfId="5693" xr:uid="{00000000-0005-0000-0000-000068180000}"/>
    <cellStyle name="Accent4 5" xfId="5695" xr:uid="{00000000-0005-0000-0000-000069180000}"/>
    <cellStyle name="Accent4 5 2" xfId="5696" xr:uid="{00000000-0005-0000-0000-00006A180000}"/>
    <cellStyle name="Accent4 6" xfId="5697" xr:uid="{00000000-0005-0000-0000-00006B180000}"/>
    <cellStyle name="Accent4 6 2" xfId="5698" xr:uid="{00000000-0005-0000-0000-00006C180000}"/>
    <cellStyle name="Accent4 7" xfId="5699" xr:uid="{00000000-0005-0000-0000-00006D180000}"/>
    <cellStyle name="Accent4 7 2" xfId="5700" xr:uid="{00000000-0005-0000-0000-00006E180000}"/>
    <cellStyle name="Accent4 8" xfId="5701" xr:uid="{00000000-0005-0000-0000-00006F180000}"/>
    <cellStyle name="Accent4 8 2" xfId="5702" xr:uid="{00000000-0005-0000-0000-000070180000}"/>
    <cellStyle name="Accent4 9" xfId="5703" xr:uid="{00000000-0005-0000-0000-000071180000}"/>
    <cellStyle name="Accent5" xfId="12142" builtinId="45" customBuiltin="1"/>
    <cellStyle name="Accent5 10" xfId="5704" xr:uid="{00000000-0005-0000-0000-000073180000}"/>
    <cellStyle name="Accent5 11" xfId="5705" xr:uid="{00000000-0005-0000-0000-000074180000}"/>
    <cellStyle name="Accent5 12" xfId="5706" xr:uid="{00000000-0005-0000-0000-000075180000}"/>
    <cellStyle name="Accent5 13" xfId="5707" xr:uid="{00000000-0005-0000-0000-000076180000}"/>
    <cellStyle name="Accent5 2" xfId="120" xr:uid="{00000000-0005-0000-0000-000077180000}"/>
    <cellStyle name="Accent5 2 10" xfId="5709" xr:uid="{00000000-0005-0000-0000-000078180000}"/>
    <cellStyle name="Accent5 2 11" xfId="5710" xr:uid="{00000000-0005-0000-0000-000079180000}"/>
    <cellStyle name="Accent5 2 12" xfId="5711" xr:uid="{00000000-0005-0000-0000-00007A180000}"/>
    <cellStyle name="Accent5 2 13" xfId="5712" xr:uid="{00000000-0005-0000-0000-00007B180000}"/>
    <cellStyle name="Accent5 2 14" xfId="5713" xr:uid="{00000000-0005-0000-0000-00007C180000}"/>
    <cellStyle name="Accent5 2 15" xfId="5714" xr:uid="{00000000-0005-0000-0000-00007D180000}"/>
    <cellStyle name="Accent5 2 16" xfId="5715" xr:uid="{00000000-0005-0000-0000-00007E180000}"/>
    <cellStyle name="Accent5 2 17" xfId="5708" xr:uid="{00000000-0005-0000-0000-00007F180000}"/>
    <cellStyle name="Accent5 2 2" xfId="1501" xr:uid="{00000000-0005-0000-0000-000080180000}"/>
    <cellStyle name="Accent5 2 2 2" xfId="1502" xr:uid="{00000000-0005-0000-0000-000081180000}"/>
    <cellStyle name="Accent5 2 2 2 2" xfId="5717" xr:uid="{00000000-0005-0000-0000-000082180000}"/>
    <cellStyle name="Accent5 2 2 3" xfId="1503" xr:uid="{00000000-0005-0000-0000-000083180000}"/>
    <cellStyle name="Accent5 2 2 3 2" xfId="5718" xr:uid="{00000000-0005-0000-0000-000084180000}"/>
    <cellStyle name="Accent5 2 2 4" xfId="2157" xr:uid="{00000000-0005-0000-0000-000085180000}"/>
    <cellStyle name="Accent5 2 2 4 2" xfId="5719" xr:uid="{00000000-0005-0000-0000-000086180000}"/>
    <cellStyle name="Accent5 2 2 5" xfId="5720" xr:uid="{00000000-0005-0000-0000-000087180000}"/>
    <cellStyle name="Accent5 2 2 6" xfId="5716" xr:uid="{00000000-0005-0000-0000-000088180000}"/>
    <cellStyle name="Accent5 2 3" xfId="1504" xr:uid="{00000000-0005-0000-0000-000089180000}"/>
    <cellStyle name="Accent5 2 3 2" xfId="5721" xr:uid="{00000000-0005-0000-0000-00008A180000}"/>
    <cellStyle name="Accent5 2 4" xfId="2158" xr:uid="{00000000-0005-0000-0000-00008B180000}"/>
    <cellStyle name="Accent5 2 4 2" xfId="5722" xr:uid="{00000000-0005-0000-0000-00008C180000}"/>
    <cellStyle name="Accent5 2 5" xfId="5723" xr:uid="{00000000-0005-0000-0000-00008D180000}"/>
    <cellStyle name="Accent5 2 6" xfId="5724" xr:uid="{00000000-0005-0000-0000-00008E180000}"/>
    <cellStyle name="Accent5 2 7" xfId="5725" xr:uid="{00000000-0005-0000-0000-00008F180000}"/>
    <cellStyle name="Accent5 2 8" xfId="5726" xr:uid="{00000000-0005-0000-0000-000090180000}"/>
    <cellStyle name="Accent5 2 9" xfId="5727" xr:uid="{00000000-0005-0000-0000-000091180000}"/>
    <cellStyle name="Accent5 3" xfId="234" xr:uid="{00000000-0005-0000-0000-000092180000}"/>
    <cellStyle name="Accent5 3 10" xfId="5729" xr:uid="{00000000-0005-0000-0000-000093180000}"/>
    <cellStyle name="Accent5 3 11" xfId="5728" xr:uid="{00000000-0005-0000-0000-000094180000}"/>
    <cellStyle name="Accent5 3 2" xfId="5730" xr:uid="{00000000-0005-0000-0000-000095180000}"/>
    <cellStyle name="Accent5 3 2 2" xfId="5731" xr:uid="{00000000-0005-0000-0000-000096180000}"/>
    <cellStyle name="Accent5 3 2 3" xfId="5732" xr:uid="{00000000-0005-0000-0000-000097180000}"/>
    <cellStyle name="Accent5 3 2 4" xfId="5733" xr:uid="{00000000-0005-0000-0000-000098180000}"/>
    <cellStyle name="Accent5 3 2 5" xfId="5734" xr:uid="{00000000-0005-0000-0000-000099180000}"/>
    <cellStyle name="Accent5 3 3" xfId="5735" xr:uid="{00000000-0005-0000-0000-00009A180000}"/>
    <cellStyle name="Accent5 3 4" xfId="5736" xr:uid="{00000000-0005-0000-0000-00009B180000}"/>
    <cellStyle name="Accent5 3 5" xfId="5737" xr:uid="{00000000-0005-0000-0000-00009C180000}"/>
    <cellStyle name="Accent5 3 6" xfId="5738" xr:uid="{00000000-0005-0000-0000-00009D180000}"/>
    <cellStyle name="Accent5 3 7" xfId="5739" xr:uid="{00000000-0005-0000-0000-00009E180000}"/>
    <cellStyle name="Accent5 3 8" xfId="5740" xr:uid="{00000000-0005-0000-0000-00009F180000}"/>
    <cellStyle name="Accent5 3 9" xfId="5741" xr:uid="{00000000-0005-0000-0000-0000A0180000}"/>
    <cellStyle name="Accent5 4" xfId="367" xr:uid="{00000000-0005-0000-0000-0000A1180000}"/>
    <cellStyle name="Accent5 4 2" xfId="5743" xr:uid="{00000000-0005-0000-0000-0000A2180000}"/>
    <cellStyle name="Accent5 4 3" xfId="5744" xr:uid="{00000000-0005-0000-0000-0000A3180000}"/>
    <cellStyle name="Accent5 4 4" xfId="5745" xr:uid="{00000000-0005-0000-0000-0000A4180000}"/>
    <cellStyle name="Accent5 4 5" xfId="5746" xr:uid="{00000000-0005-0000-0000-0000A5180000}"/>
    <cellStyle name="Accent5 4 6" xfId="5747" xr:uid="{00000000-0005-0000-0000-0000A6180000}"/>
    <cellStyle name="Accent5 4 7" xfId="5748" xr:uid="{00000000-0005-0000-0000-0000A7180000}"/>
    <cellStyle name="Accent5 4 8" xfId="5742" xr:uid="{00000000-0005-0000-0000-0000A8180000}"/>
    <cellStyle name="Accent5 5" xfId="5749" xr:uid="{00000000-0005-0000-0000-0000A9180000}"/>
    <cellStyle name="Accent5 5 2" xfId="5750" xr:uid="{00000000-0005-0000-0000-0000AA180000}"/>
    <cellStyle name="Accent5 6" xfId="5751" xr:uid="{00000000-0005-0000-0000-0000AB180000}"/>
    <cellStyle name="Accent5 6 2" xfId="5752" xr:uid="{00000000-0005-0000-0000-0000AC180000}"/>
    <cellStyle name="Accent5 7" xfId="5753" xr:uid="{00000000-0005-0000-0000-0000AD180000}"/>
    <cellStyle name="Accent5 7 2" xfId="5754" xr:uid="{00000000-0005-0000-0000-0000AE180000}"/>
    <cellStyle name="Accent5 8" xfId="5755" xr:uid="{00000000-0005-0000-0000-0000AF180000}"/>
    <cellStyle name="Accent5 8 2" xfId="5756" xr:uid="{00000000-0005-0000-0000-0000B0180000}"/>
    <cellStyle name="Accent5 9" xfId="5757" xr:uid="{00000000-0005-0000-0000-0000B1180000}"/>
    <cellStyle name="Accent6" xfId="12146" builtinId="49" customBuiltin="1"/>
    <cellStyle name="Accent6 10" xfId="5758" xr:uid="{00000000-0005-0000-0000-0000B3180000}"/>
    <cellStyle name="Accent6 11" xfId="5759" xr:uid="{00000000-0005-0000-0000-0000B4180000}"/>
    <cellStyle name="Accent6 12" xfId="5760" xr:uid="{00000000-0005-0000-0000-0000B5180000}"/>
    <cellStyle name="Accent6 13" xfId="5761" xr:uid="{00000000-0005-0000-0000-0000B6180000}"/>
    <cellStyle name="Accent6 14" xfId="5762" xr:uid="{00000000-0005-0000-0000-0000B7180000}"/>
    <cellStyle name="Accent6 15" xfId="5763" xr:uid="{00000000-0005-0000-0000-0000B8180000}"/>
    <cellStyle name="Accent6 16" xfId="5764" xr:uid="{00000000-0005-0000-0000-0000B9180000}"/>
    <cellStyle name="Accent6 17" xfId="5765" xr:uid="{00000000-0005-0000-0000-0000BA180000}"/>
    <cellStyle name="Accent6 18" xfId="5766" xr:uid="{00000000-0005-0000-0000-0000BB180000}"/>
    <cellStyle name="Accent6 19" xfId="5767" xr:uid="{00000000-0005-0000-0000-0000BC180000}"/>
    <cellStyle name="Accent6 2" xfId="121" xr:uid="{00000000-0005-0000-0000-0000BD180000}"/>
    <cellStyle name="Accent6 2 10" xfId="5769" xr:uid="{00000000-0005-0000-0000-0000BE180000}"/>
    <cellStyle name="Accent6 2 11" xfId="5770" xr:uid="{00000000-0005-0000-0000-0000BF180000}"/>
    <cellStyle name="Accent6 2 12" xfId="5771" xr:uid="{00000000-0005-0000-0000-0000C0180000}"/>
    <cellStyle name="Accent6 2 13" xfId="5772" xr:uid="{00000000-0005-0000-0000-0000C1180000}"/>
    <cellStyle name="Accent6 2 14" xfId="5773" xr:uid="{00000000-0005-0000-0000-0000C2180000}"/>
    <cellStyle name="Accent6 2 15" xfId="5774" xr:uid="{00000000-0005-0000-0000-0000C3180000}"/>
    <cellStyle name="Accent6 2 16" xfId="5775" xr:uid="{00000000-0005-0000-0000-0000C4180000}"/>
    <cellStyle name="Accent6 2 17" xfId="5768" xr:uid="{00000000-0005-0000-0000-0000C5180000}"/>
    <cellStyle name="Accent6 2 2" xfId="1505" xr:uid="{00000000-0005-0000-0000-0000C6180000}"/>
    <cellStyle name="Accent6 2 2 2" xfId="1506" xr:uid="{00000000-0005-0000-0000-0000C7180000}"/>
    <cellStyle name="Accent6 2 2 2 2" xfId="5777" xr:uid="{00000000-0005-0000-0000-0000C8180000}"/>
    <cellStyle name="Accent6 2 2 3" xfId="1507" xr:uid="{00000000-0005-0000-0000-0000C9180000}"/>
    <cellStyle name="Accent6 2 2 3 2" xfId="5778" xr:uid="{00000000-0005-0000-0000-0000CA180000}"/>
    <cellStyle name="Accent6 2 2 4" xfId="2159" xr:uid="{00000000-0005-0000-0000-0000CB180000}"/>
    <cellStyle name="Accent6 2 2 4 2" xfId="5779" xr:uid="{00000000-0005-0000-0000-0000CC180000}"/>
    <cellStyle name="Accent6 2 2 5" xfId="5780" xr:uid="{00000000-0005-0000-0000-0000CD180000}"/>
    <cellStyle name="Accent6 2 2 6" xfId="5776" xr:uid="{00000000-0005-0000-0000-0000CE180000}"/>
    <cellStyle name="Accent6 2 3" xfId="1508" xr:uid="{00000000-0005-0000-0000-0000CF180000}"/>
    <cellStyle name="Accent6 2 3 2" xfId="5781" xr:uid="{00000000-0005-0000-0000-0000D0180000}"/>
    <cellStyle name="Accent6 2 4" xfId="2160" xr:uid="{00000000-0005-0000-0000-0000D1180000}"/>
    <cellStyle name="Accent6 2 4 2" xfId="5782" xr:uid="{00000000-0005-0000-0000-0000D2180000}"/>
    <cellStyle name="Accent6 2 5" xfId="5783" xr:uid="{00000000-0005-0000-0000-0000D3180000}"/>
    <cellStyle name="Accent6 2 6" xfId="5784" xr:uid="{00000000-0005-0000-0000-0000D4180000}"/>
    <cellStyle name="Accent6 2 7" xfId="5785" xr:uid="{00000000-0005-0000-0000-0000D5180000}"/>
    <cellStyle name="Accent6 2 8" xfId="5786" xr:uid="{00000000-0005-0000-0000-0000D6180000}"/>
    <cellStyle name="Accent6 2 9" xfId="5787" xr:uid="{00000000-0005-0000-0000-0000D7180000}"/>
    <cellStyle name="Accent6 20" xfId="5788" xr:uid="{00000000-0005-0000-0000-0000D8180000}"/>
    <cellStyle name="Accent6 21" xfId="5789" xr:uid="{00000000-0005-0000-0000-0000D9180000}"/>
    <cellStyle name="Accent6 22" xfId="5790" xr:uid="{00000000-0005-0000-0000-0000DA180000}"/>
    <cellStyle name="Accent6 23" xfId="5791" xr:uid="{00000000-0005-0000-0000-0000DB180000}"/>
    <cellStyle name="Accent6 3" xfId="235" xr:uid="{00000000-0005-0000-0000-0000DC180000}"/>
    <cellStyle name="Accent6 3 2" xfId="5793" xr:uid="{00000000-0005-0000-0000-0000DD180000}"/>
    <cellStyle name="Accent6 3 3" xfId="5794" xr:uid="{00000000-0005-0000-0000-0000DE180000}"/>
    <cellStyle name="Accent6 3 4" xfId="5795" xr:uid="{00000000-0005-0000-0000-0000DF180000}"/>
    <cellStyle name="Accent6 3 5" xfId="5796" xr:uid="{00000000-0005-0000-0000-0000E0180000}"/>
    <cellStyle name="Accent6 3 6" xfId="5797" xr:uid="{00000000-0005-0000-0000-0000E1180000}"/>
    <cellStyle name="Accent6 3 7" xfId="5792" xr:uid="{00000000-0005-0000-0000-0000E2180000}"/>
    <cellStyle name="Accent6 4" xfId="368" xr:uid="{00000000-0005-0000-0000-0000E3180000}"/>
    <cellStyle name="Accent6 4 2" xfId="5799" xr:uid="{00000000-0005-0000-0000-0000E4180000}"/>
    <cellStyle name="Accent6 4 3" xfId="5798" xr:uid="{00000000-0005-0000-0000-0000E5180000}"/>
    <cellStyle name="Accent6 5" xfId="5800" xr:uid="{00000000-0005-0000-0000-0000E6180000}"/>
    <cellStyle name="Accent6 5 2" xfId="5801" xr:uid="{00000000-0005-0000-0000-0000E7180000}"/>
    <cellStyle name="Accent6 6" xfId="5802" xr:uid="{00000000-0005-0000-0000-0000E8180000}"/>
    <cellStyle name="Accent6 6 2" xfId="5803" xr:uid="{00000000-0005-0000-0000-0000E9180000}"/>
    <cellStyle name="Accent6 7" xfId="5804" xr:uid="{00000000-0005-0000-0000-0000EA180000}"/>
    <cellStyle name="Accent6 7 2" xfId="5805" xr:uid="{00000000-0005-0000-0000-0000EB180000}"/>
    <cellStyle name="Accent6 8" xfId="5806" xr:uid="{00000000-0005-0000-0000-0000EC180000}"/>
    <cellStyle name="Accent6 8 2" xfId="5807" xr:uid="{00000000-0005-0000-0000-0000ED180000}"/>
    <cellStyle name="Accent6 9" xfId="5808" xr:uid="{00000000-0005-0000-0000-0000EE180000}"/>
    <cellStyle name="Agara" xfId="5809" xr:uid="{00000000-0005-0000-0000-0000EF180000}"/>
    <cellStyle name="AggblueBoldCels" xfId="122" xr:uid="{00000000-0005-0000-0000-0000F0180000}"/>
    <cellStyle name="AggblueBoldCels 2" xfId="123" xr:uid="{00000000-0005-0000-0000-0000F1180000}"/>
    <cellStyle name="AggblueCels" xfId="44" xr:uid="{00000000-0005-0000-0000-0000F2180000}"/>
    <cellStyle name="AggblueCels 2" xfId="124" xr:uid="{00000000-0005-0000-0000-0000F3180000}"/>
    <cellStyle name="AggblueCels_1x" xfId="43" xr:uid="{00000000-0005-0000-0000-0000F4180000}"/>
    <cellStyle name="AggBoldCells" xfId="16" xr:uid="{00000000-0005-0000-0000-0000F5180000}"/>
    <cellStyle name="AggBoldCells 2" xfId="125" xr:uid="{00000000-0005-0000-0000-0000F6180000}"/>
    <cellStyle name="AggBoldCells 3" xfId="205" xr:uid="{00000000-0005-0000-0000-0000F7180000}"/>
    <cellStyle name="AggBoldCells 4" xfId="357" xr:uid="{00000000-0005-0000-0000-0000F8180000}"/>
    <cellStyle name="AggCels" xfId="19" xr:uid="{00000000-0005-0000-0000-0000F9180000}"/>
    <cellStyle name="AggCels 2" xfId="126" xr:uid="{00000000-0005-0000-0000-0000FA180000}"/>
    <cellStyle name="AggCels 3" xfId="206" xr:uid="{00000000-0005-0000-0000-0000FB180000}"/>
    <cellStyle name="AggCels 4" xfId="358" xr:uid="{00000000-0005-0000-0000-0000FC180000}"/>
    <cellStyle name="AggCels_T(2)" xfId="17" xr:uid="{00000000-0005-0000-0000-0000FD180000}"/>
    <cellStyle name="AggGreen" xfId="34" xr:uid="{00000000-0005-0000-0000-0000FE180000}"/>
    <cellStyle name="AggGreen 2" xfId="127" xr:uid="{00000000-0005-0000-0000-0000FF180000}"/>
    <cellStyle name="AggGreen 2 2" xfId="416" xr:uid="{00000000-0005-0000-0000-000000190000}"/>
    <cellStyle name="AggGreen 2 2 2" xfId="593" xr:uid="{00000000-0005-0000-0000-000001190000}"/>
    <cellStyle name="AggGreen 2 2 2 10" xfId="11060" xr:uid="{00000000-0005-0000-0000-000002190000}"/>
    <cellStyle name="AggGreen 2 2 2 11" xfId="11447" xr:uid="{00000000-0005-0000-0000-000003190000}"/>
    <cellStyle name="AggGreen 2 2 2 12" xfId="11819" xr:uid="{00000000-0005-0000-0000-000004190000}"/>
    <cellStyle name="AggGreen 2 2 2 13" xfId="12332" xr:uid="{00000000-0005-0000-0000-000005190000}"/>
    <cellStyle name="AggGreen 2 2 2 14" xfId="15121" xr:uid="{00000000-0005-0000-0000-000006190000}"/>
    <cellStyle name="AggGreen 2 2 2 15" xfId="17515" xr:uid="{00000000-0005-0000-0000-000007190000}"/>
    <cellStyle name="AggGreen 2 2 2 16" xfId="18576" xr:uid="{00000000-0005-0000-0000-000008190000}"/>
    <cellStyle name="AggGreen 2 2 2 17" xfId="14095" xr:uid="{00000000-0005-0000-0000-000009190000}"/>
    <cellStyle name="AggGreen 2 2 2 2" xfId="808" xr:uid="{00000000-0005-0000-0000-00000A190000}"/>
    <cellStyle name="AggGreen 2 2 2 2 10" xfId="11654" xr:uid="{00000000-0005-0000-0000-00000B190000}"/>
    <cellStyle name="AggGreen 2 2 2 2 11" xfId="12025" xr:uid="{00000000-0005-0000-0000-00000C190000}"/>
    <cellStyle name="AggGreen 2 2 2 2 12" xfId="12538" xr:uid="{00000000-0005-0000-0000-00000D190000}"/>
    <cellStyle name="AggGreen 2 2 2 2 13" xfId="15238" xr:uid="{00000000-0005-0000-0000-00000E190000}"/>
    <cellStyle name="AggGreen 2 2 2 2 14" xfId="16455" xr:uid="{00000000-0005-0000-0000-00000F190000}"/>
    <cellStyle name="AggGreen 2 2 2 2 15" xfId="15187" xr:uid="{00000000-0005-0000-0000-000010190000}"/>
    <cellStyle name="AggGreen 2 2 2 2 16" xfId="19418" xr:uid="{00000000-0005-0000-0000-000011190000}"/>
    <cellStyle name="AggGreen 2 2 2 2 2" xfId="1088" xr:uid="{00000000-0005-0000-0000-000012190000}"/>
    <cellStyle name="AggGreen 2 2 2 2 2 2" xfId="12817" xr:uid="{00000000-0005-0000-0000-000013190000}"/>
    <cellStyle name="AggGreen 2 2 2 2 2 3" xfId="15328" xr:uid="{00000000-0005-0000-0000-000014190000}"/>
    <cellStyle name="AggGreen 2 2 2 2 2 4" xfId="17345" xr:uid="{00000000-0005-0000-0000-000015190000}"/>
    <cellStyle name="AggGreen 2 2 2 2 2 5" xfId="17012" xr:uid="{00000000-0005-0000-0000-000016190000}"/>
    <cellStyle name="AggGreen 2 2 2 2 2 6" xfId="19297" xr:uid="{00000000-0005-0000-0000-000017190000}"/>
    <cellStyle name="AggGreen 2 2 2 2 3" xfId="3400" xr:uid="{00000000-0005-0000-0000-000018190000}"/>
    <cellStyle name="AggGreen 2 2 2 2 4" xfId="9007" xr:uid="{00000000-0005-0000-0000-000019190000}"/>
    <cellStyle name="AggGreen 2 2 2 2 5" xfId="9709" xr:uid="{00000000-0005-0000-0000-00001A190000}"/>
    <cellStyle name="AggGreen 2 2 2 2 6" xfId="10138" xr:uid="{00000000-0005-0000-0000-00001B190000}"/>
    <cellStyle name="AggGreen 2 2 2 2 7" xfId="10550" xr:uid="{00000000-0005-0000-0000-00001C190000}"/>
    <cellStyle name="AggGreen 2 2 2 2 8" xfId="10931" xr:uid="{00000000-0005-0000-0000-00001D190000}"/>
    <cellStyle name="AggGreen 2 2 2 2 9" xfId="11269" xr:uid="{00000000-0005-0000-0000-00001E190000}"/>
    <cellStyle name="AggGreen 2 2 2 3" xfId="1302" xr:uid="{00000000-0005-0000-0000-00001F190000}"/>
    <cellStyle name="AggGreen 2 2 2 3 2" xfId="13031" xr:uid="{00000000-0005-0000-0000-000020190000}"/>
    <cellStyle name="AggGreen 2 2 2 3 3" xfId="15418" xr:uid="{00000000-0005-0000-0000-000021190000}"/>
    <cellStyle name="AggGreen 2 2 2 3 4" xfId="17183" xr:uid="{00000000-0005-0000-0000-000022190000}"/>
    <cellStyle name="AggGreen 2 2 2 3 5" xfId="16744" xr:uid="{00000000-0005-0000-0000-000023190000}"/>
    <cellStyle name="AggGreen 2 2 2 3 6" xfId="19135" xr:uid="{00000000-0005-0000-0000-000024190000}"/>
    <cellStyle name="AggGreen 2 2 2 4" xfId="3338" xr:uid="{00000000-0005-0000-0000-000025190000}"/>
    <cellStyle name="AggGreen 2 2 2 5" xfId="9040" xr:uid="{00000000-0005-0000-0000-000026190000}"/>
    <cellStyle name="AggGreen 2 2 2 6" xfId="9497" xr:uid="{00000000-0005-0000-0000-000027190000}"/>
    <cellStyle name="AggGreen 2 2 2 7" xfId="9924" xr:uid="{00000000-0005-0000-0000-000028190000}"/>
    <cellStyle name="AggGreen 2 2 2 8" xfId="10336" xr:uid="{00000000-0005-0000-0000-000029190000}"/>
    <cellStyle name="AggGreen 2 2 2 9" xfId="10761" xr:uid="{00000000-0005-0000-0000-00002A190000}"/>
    <cellStyle name="AggGreen 2 2 3" xfId="723" xr:uid="{00000000-0005-0000-0000-00002B190000}"/>
    <cellStyle name="AggGreen 2 2 3 10" xfId="11569" xr:uid="{00000000-0005-0000-0000-00002C190000}"/>
    <cellStyle name="AggGreen 2 2 3 11" xfId="11940" xr:uid="{00000000-0005-0000-0000-00002D190000}"/>
    <cellStyle name="AggGreen 2 2 3 12" xfId="12453" xr:uid="{00000000-0005-0000-0000-00002E190000}"/>
    <cellStyle name="AggGreen 2 2 3 13" xfId="15229" xr:uid="{00000000-0005-0000-0000-00002F190000}"/>
    <cellStyle name="AggGreen 2 2 3 14" xfId="17492" xr:uid="{00000000-0005-0000-0000-000030190000}"/>
    <cellStyle name="AggGreen 2 2 3 15" xfId="15927" xr:uid="{00000000-0005-0000-0000-000031190000}"/>
    <cellStyle name="AggGreen 2 2 3 16" xfId="19444" xr:uid="{00000000-0005-0000-0000-000032190000}"/>
    <cellStyle name="AggGreen 2 2 3 2" xfId="1155" xr:uid="{00000000-0005-0000-0000-000033190000}"/>
    <cellStyle name="AggGreen 2 2 3 2 2" xfId="12884" xr:uid="{00000000-0005-0000-0000-000034190000}"/>
    <cellStyle name="AggGreen 2 2 3 2 3" xfId="15337" xr:uid="{00000000-0005-0000-0000-000035190000}"/>
    <cellStyle name="AggGreen 2 2 3 2 4" xfId="16415" xr:uid="{00000000-0005-0000-0000-000036190000}"/>
    <cellStyle name="AggGreen 2 2 3 2 5" xfId="17020" xr:uid="{00000000-0005-0000-0000-000037190000}"/>
    <cellStyle name="AggGreen 2 2 3 2 6" xfId="19246" xr:uid="{00000000-0005-0000-0000-000038190000}"/>
    <cellStyle name="AggGreen 2 2 3 3" xfId="3330" xr:uid="{00000000-0005-0000-0000-000039190000}"/>
    <cellStyle name="AggGreen 2 2 3 4" xfId="8652" xr:uid="{00000000-0005-0000-0000-00003A190000}"/>
    <cellStyle name="AggGreen 2 2 3 5" xfId="9624" xr:uid="{00000000-0005-0000-0000-00003B190000}"/>
    <cellStyle name="AggGreen 2 2 3 6" xfId="10053" xr:uid="{00000000-0005-0000-0000-00003C190000}"/>
    <cellStyle name="AggGreen 2 2 3 7" xfId="10465" xr:uid="{00000000-0005-0000-0000-00003D190000}"/>
    <cellStyle name="AggGreen 2 2 3 8" xfId="8706" xr:uid="{00000000-0005-0000-0000-00003E190000}"/>
    <cellStyle name="AggGreen 2 2 3 9" xfId="11184" xr:uid="{00000000-0005-0000-0000-00003F190000}"/>
    <cellStyle name="AggGreen 2 3" xfId="274" xr:uid="{00000000-0005-0000-0000-000040190000}"/>
    <cellStyle name="AggGreen 2 3 10" xfId="8969" xr:uid="{00000000-0005-0000-0000-000041190000}"/>
    <cellStyle name="AggGreen 2 3 11" xfId="10897" xr:uid="{00000000-0005-0000-0000-000042190000}"/>
    <cellStyle name="AggGreen 2 3 12" xfId="8678" xr:uid="{00000000-0005-0000-0000-000043190000}"/>
    <cellStyle name="AggGreen 2 3 13" xfId="11365" xr:uid="{00000000-0005-0000-0000-000044190000}"/>
    <cellStyle name="AggGreen 2 3 14" xfId="10846" xr:uid="{00000000-0005-0000-0000-000045190000}"/>
    <cellStyle name="AggGreen 2 3 15" xfId="12224" xr:uid="{00000000-0005-0000-0000-000046190000}"/>
    <cellStyle name="AggGreen 2 3 16" xfId="16521" xr:uid="{00000000-0005-0000-0000-000047190000}"/>
    <cellStyle name="AggGreen 2 3 17" xfId="17634" xr:uid="{00000000-0005-0000-0000-000048190000}"/>
    <cellStyle name="AggGreen 2 3 18" xfId="15706" xr:uid="{00000000-0005-0000-0000-000049190000}"/>
    <cellStyle name="AggGreen 2 3 19" xfId="19511" xr:uid="{00000000-0005-0000-0000-00004A190000}"/>
    <cellStyle name="AggGreen 2 3 2" xfId="613" xr:uid="{00000000-0005-0000-0000-00004B190000}"/>
    <cellStyle name="AggGreen 2 3 2 10" xfId="11080" xr:uid="{00000000-0005-0000-0000-00004C190000}"/>
    <cellStyle name="AggGreen 2 3 2 11" xfId="11467" xr:uid="{00000000-0005-0000-0000-00004D190000}"/>
    <cellStyle name="AggGreen 2 3 2 12" xfId="11839" xr:uid="{00000000-0005-0000-0000-00004E190000}"/>
    <cellStyle name="AggGreen 2 3 2 13" xfId="12352" xr:uid="{00000000-0005-0000-0000-00004F190000}"/>
    <cellStyle name="AggGreen 2 3 2 14" xfId="14265" xr:uid="{00000000-0005-0000-0000-000050190000}"/>
    <cellStyle name="AggGreen 2 3 2 15" xfId="16147" xr:uid="{00000000-0005-0000-0000-000051190000}"/>
    <cellStyle name="AggGreen 2 3 2 16" xfId="18187" xr:uid="{00000000-0005-0000-0000-000052190000}"/>
    <cellStyle name="AggGreen 2 3 2 17" xfId="16282" xr:uid="{00000000-0005-0000-0000-000053190000}"/>
    <cellStyle name="AggGreen 2 3 2 2" xfId="828" xr:uid="{00000000-0005-0000-0000-000054190000}"/>
    <cellStyle name="AggGreen 2 3 2 2 10" xfId="11674" xr:uid="{00000000-0005-0000-0000-000055190000}"/>
    <cellStyle name="AggGreen 2 3 2 2 11" xfId="12045" xr:uid="{00000000-0005-0000-0000-000056190000}"/>
    <cellStyle name="AggGreen 2 3 2 2 12" xfId="12558" xr:uid="{00000000-0005-0000-0000-000057190000}"/>
    <cellStyle name="AggGreen 2 3 2 2 13" xfId="15150" xr:uid="{00000000-0005-0000-0000-000058190000}"/>
    <cellStyle name="AggGreen 2 3 2 2 14" xfId="14221" xr:uid="{00000000-0005-0000-0000-000059190000}"/>
    <cellStyle name="AggGreen 2 3 2 2 15" xfId="15976" xr:uid="{00000000-0005-0000-0000-00005A190000}"/>
    <cellStyle name="AggGreen 2 3 2 2 16" xfId="18245" xr:uid="{00000000-0005-0000-0000-00005B190000}"/>
    <cellStyle name="AggGreen 2 3 2 2 2" xfId="1229" xr:uid="{00000000-0005-0000-0000-00005C190000}"/>
    <cellStyle name="AggGreen 2 3 2 2 2 2" xfId="12958" xr:uid="{00000000-0005-0000-0000-00005D190000}"/>
    <cellStyle name="AggGreen 2 3 2 2 2 3" xfId="15379" xr:uid="{00000000-0005-0000-0000-00005E190000}"/>
    <cellStyle name="AggGreen 2 3 2 2 2 4" xfId="17234" xr:uid="{00000000-0005-0000-0000-00005F190000}"/>
    <cellStyle name="AggGreen 2 3 2 2 2 5" xfId="17639" xr:uid="{00000000-0005-0000-0000-000060190000}"/>
    <cellStyle name="AggGreen 2 3 2 2 2 6" xfId="19186" xr:uid="{00000000-0005-0000-0000-000061190000}"/>
    <cellStyle name="AggGreen 2 3 2 2 3" xfId="4140" xr:uid="{00000000-0005-0000-0000-000062190000}"/>
    <cellStyle name="AggGreen 2 3 2 2 4" xfId="8726" xr:uid="{00000000-0005-0000-0000-000063190000}"/>
    <cellStyle name="AggGreen 2 3 2 2 5" xfId="9729" xr:uid="{00000000-0005-0000-0000-000064190000}"/>
    <cellStyle name="AggGreen 2 3 2 2 6" xfId="10158" xr:uid="{00000000-0005-0000-0000-000065190000}"/>
    <cellStyle name="AggGreen 2 3 2 2 7" xfId="10570" xr:uid="{00000000-0005-0000-0000-000066190000}"/>
    <cellStyle name="AggGreen 2 3 2 2 8" xfId="9172" xr:uid="{00000000-0005-0000-0000-000067190000}"/>
    <cellStyle name="AggGreen 2 3 2 2 9" xfId="11289" xr:uid="{00000000-0005-0000-0000-000068190000}"/>
    <cellStyle name="AggGreen 2 3 2 3" xfId="929" xr:uid="{00000000-0005-0000-0000-000069190000}"/>
    <cellStyle name="AggGreen 2 3 2 3 2" xfId="12658" xr:uid="{00000000-0005-0000-0000-00006A190000}"/>
    <cellStyle name="AggGreen 2 3 2 3 3" xfId="16132" xr:uid="{00000000-0005-0000-0000-00006B190000}"/>
    <cellStyle name="AggGreen 2 3 2 3 4" xfId="15802" xr:uid="{00000000-0005-0000-0000-00006C190000}"/>
    <cellStyle name="AggGreen 2 3 2 3 5" xfId="18521" xr:uid="{00000000-0005-0000-0000-00006D190000}"/>
    <cellStyle name="AggGreen 2 3 2 3 6" xfId="18393" xr:uid="{00000000-0005-0000-0000-00006E190000}"/>
    <cellStyle name="AggGreen 2 3 2 4" xfId="4123" xr:uid="{00000000-0005-0000-0000-00006F190000}"/>
    <cellStyle name="AggGreen 2 3 2 5" xfId="9249" xr:uid="{00000000-0005-0000-0000-000070190000}"/>
    <cellStyle name="AggGreen 2 3 2 6" xfId="9517" xr:uid="{00000000-0005-0000-0000-000071190000}"/>
    <cellStyle name="AggGreen 2 3 2 7" xfId="9944" xr:uid="{00000000-0005-0000-0000-000072190000}"/>
    <cellStyle name="AggGreen 2 3 2 8" xfId="10356" xr:uid="{00000000-0005-0000-0000-000073190000}"/>
    <cellStyle name="AggGreen 2 3 2 9" xfId="10776" xr:uid="{00000000-0005-0000-0000-000074190000}"/>
    <cellStyle name="AggGreen 2 3 3" xfId="682" xr:uid="{00000000-0005-0000-0000-000075190000}"/>
    <cellStyle name="AggGreen 2 3 3 10" xfId="11149" xr:uid="{00000000-0005-0000-0000-000076190000}"/>
    <cellStyle name="AggGreen 2 3 3 11" xfId="11536" xr:uid="{00000000-0005-0000-0000-000077190000}"/>
    <cellStyle name="AggGreen 2 3 3 12" xfId="11908" xr:uid="{00000000-0005-0000-0000-000078190000}"/>
    <cellStyle name="AggGreen 2 3 3 13" xfId="12421" xr:uid="{00000000-0005-0000-0000-000079190000}"/>
    <cellStyle name="AggGreen 2 3 3 14" xfId="13802" xr:uid="{00000000-0005-0000-0000-00007A190000}"/>
    <cellStyle name="AggGreen 2 3 3 15" xfId="14972" xr:uid="{00000000-0005-0000-0000-00007B190000}"/>
    <cellStyle name="AggGreen 2 3 3 16" xfId="14601" xr:uid="{00000000-0005-0000-0000-00007C190000}"/>
    <cellStyle name="AggGreen 2 3 3 17" xfId="14523" xr:uid="{00000000-0005-0000-0000-00007D190000}"/>
    <cellStyle name="AggGreen 2 3 3 2" xfId="897" xr:uid="{00000000-0005-0000-0000-00007E190000}"/>
    <cellStyle name="AggGreen 2 3 3 2 10" xfId="11743" xr:uid="{00000000-0005-0000-0000-00007F190000}"/>
    <cellStyle name="AggGreen 2 3 3 2 11" xfId="12114" xr:uid="{00000000-0005-0000-0000-000080190000}"/>
    <cellStyle name="AggGreen 2 3 3 2 12" xfId="12627" xr:uid="{00000000-0005-0000-0000-000081190000}"/>
    <cellStyle name="AggGreen 2 3 3 2 13" xfId="16091" xr:uid="{00000000-0005-0000-0000-000082190000}"/>
    <cellStyle name="AggGreen 2 3 3 2 14" xfId="15791" xr:uid="{00000000-0005-0000-0000-000083190000}"/>
    <cellStyle name="AggGreen 2 3 3 2 15" xfId="18496" xr:uid="{00000000-0005-0000-0000-000084190000}"/>
    <cellStyle name="AggGreen 2 3 3 2 16" xfId="17077" xr:uid="{00000000-0005-0000-0000-000085190000}"/>
    <cellStyle name="AggGreen 2 3 3 2 2" xfId="1399" xr:uid="{00000000-0005-0000-0000-000086190000}"/>
    <cellStyle name="AggGreen 2 3 3 2 2 2" xfId="13128" xr:uid="{00000000-0005-0000-0000-000087190000}"/>
    <cellStyle name="AggGreen 2 3 3 2 2 3" xfId="15433" xr:uid="{00000000-0005-0000-0000-000088190000}"/>
    <cellStyle name="AggGreen 2 3 3 2 2 4" xfId="14727" xr:uid="{00000000-0005-0000-0000-000089190000}"/>
    <cellStyle name="AggGreen 2 3 3 2 2 5" xfId="13841" xr:uid="{00000000-0005-0000-0000-00008A190000}"/>
    <cellStyle name="AggGreen 2 3 3 2 2 6" xfId="19065" xr:uid="{00000000-0005-0000-0000-00008B190000}"/>
    <cellStyle name="AggGreen 2 3 3 2 3" xfId="4251" xr:uid="{00000000-0005-0000-0000-00008C190000}"/>
    <cellStyle name="AggGreen 2 3 3 2 4" xfId="9370" xr:uid="{00000000-0005-0000-0000-00008D190000}"/>
    <cellStyle name="AggGreen 2 3 3 2 5" xfId="9798" xr:uid="{00000000-0005-0000-0000-00008E190000}"/>
    <cellStyle name="AggGreen 2 3 3 2 6" xfId="10227" xr:uid="{00000000-0005-0000-0000-00008F190000}"/>
    <cellStyle name="AggGreen 2 3 3 2 7" xfId="10639" xr:uid="{00000000-0005-0000-0000-000090190000}"/>
    <cellStyle name="AggGreen 2 3 3 2 8" xfId="10969" xr:uid="{00000000-0005-0000-0000-000091190000}"/>
    <cellStyle name="AggGreen 2 3 3 2 9" xfId="11358" xr:uid="{00000000-0005-0000-0000-000092190000}"/>
    <cellStyle name="AggGreen 2 3 3 3" xfId="1300" xr:uid="{00000000-0005-0000-0000-000093190000}"/>
    <cellStyle name="AggGreen 2 3 3 3 2" xfId="13029" xr:uid="{00000000-0005-0000-0000-000094190000}"/>
    <cellStyle name="AggGreen 2 3 3 3 3" xfId="14926" xr:uid="{00000000-0005-0000-0000-000095190000}"/>
    <cellStyle name="AggGreen 2 3 3 3 4" xfId="17184" xr:uid="{00000000-0005-0000-0000-000096190000}"/>
    <cellStyle name="AggGreen 2 3 3 3 5" xfId="15648" xr:uid="{00000000-0005-0000-0000-000097190000}"/>
    <cellStyle name="AggGreen 2 3 3 3 6" xfId="18568" xr:uid="{00000000-0005-0000-0000-000098190000}"/>
    <cellStyle name="AggGreen 2 3 3 4" xfId="3760" xr:uid="{00000000-0005-0000-0000-000099190000}"/>
    <cellStyle name="AggGreen 2 3 3 5" xfId="9165" xr:uid="{00000000-0005-0000-0000-00009A190000}"/>
    <cellStyle name="AggGreen 2 3 3 6" xfId="9586" xr:uid="{00000000-0005-0000-0000-00009B190000}"/>
    <cellStyle name="AggGreen 2 3 3 7" xfId="10013" xr:uid="{00000000-0005-0000-0000-00009C190000}"/>
    <cellStyle name="AggGreen 2 3 3 8" xfId="10425" xr:uid="{00000000-0005-0000-0000-00009D190000}"/>
    <cellStyle name="AggGreen 2 3 3 9" xfId="9831" xr:uid="{00000000-0005-0000-0000-00009E190000}"/>
    <cellStyle name="AggGreen 2 3 4" xfId="678" xr:uid="{00000000-0005-0000-0000-00009F190000}"/>
    <cellStyle name="AggGreen 2 3 4 10" xfId="11145" xr:uid="{00000000-0005-0000-0000-0000A0190000}"/>
    <cellStyle name="AggGreen 2 3 4 11" xfId="11532" xr:uid="{00000000-0005-0000-0000-0000A1190000}"/>
    <cellStyle name="AggGreen 2 3 4 12" xfId="11904" xr:uid="{00000000-0005-0000-0000-0000A2190000}"/>
    <cellStyle name="AggGreen 2 3 4 13" xfId="12417" xr:uid="{00000000-0005-0000-0000-0000A3190000}"/>
    <cellStyle name="AggGreen 2 3 4 14" xfId="16394" xr:uid="{00000000-0005-0000-0000-0000A4190000}"/>
    <cellStyle name="AggGreen 2 3 4 15" xfId="14937" xr:uid="{00000000-0005-0000-0000-0000A5190000}"/>
    <cellStyle name="AggGreen 2 3 4 16" xfId="18125" xr:uid="{00000000-0005-0000-0000-0000A6190000}"/>
    <cellStyle name="AggGreen 2 3 4 17" xfId="18227" xr:uid="{00000000-0005-0000-0000-0000A7190000}"/>
    <cellStyle name="AggGreen 2 3 4 2" xfId="893" xr:uid="{00000000-0005-0000-0000-0000A8190000}"/>
    <cellStyle name="AggGreen 2 3 4 2 10" xfId="11739" xr:uid="{00000000-0005-0000-0000-0000A9190000}"/>
    <cellStyle name="AggGreen 2 3 4 2 11" xfId="12110" xr:uid="{00000000-0005-0000-0000-0000AA190000}"/>
    <cellStyle name="AggGreen 2 3 4 2 12" xfId="12623" xr:uid="{00000000-0005-0000-0000-0000AB190000}"/>
    <cellStyle name="AggGreen 2 3 4 2 13" xfId="14796" xr:uid="{00000000-0005-0000-0000-0000AC190000}"/>
    <cellStyle name="AggGreen 2 3 4 2 14" xfId="14866" xr:uid="{00000000-0005-0000-0000-0000AD190000}"/>
    <cellStyle name="AggGreen 2 3 4 2 15" xfId="18526" xr:uid="{00000000-0005-0000-0000-0000AE190000}"/>
    <cellStyle name="AggGreen 2 3 4 2 16" xfId="19402" xr:uid="{00000000-0005-0000-0000-0000AF190000}"/>
    <cellStyle name="AggGreen 2 3 4 2 2" xfId="1395" xr:uid="{00000000-0005-0000-0000-0000B0190000}"/>
    <cellStyle name="AggGreen 2 3 4 2 2 2" xfId="13124" xr:uid="{00000000-0005-0000-0000-0000B1190000}"/>
    <cellStyle name="AggGreen 2 3 4 2 2 3" xfId="14853" xr:uid="{00000000-0005-0000-0000-0000B2190000}"/>
    <cellStyle name="AggGreen 2 3 4 2 2 4" xfId="17114" xr:uid="{00000000-0005-0000-0000-0000B3190000}"/>
    <cellStyle name="AggGreen 2 3 4 2 2 5" xfId="18596" xr:uid="{00000000-0005-0000-0000-0000B4190000}"/>
    <cellStyle name="AggGreen 2 3 4 2 2 6" xfId="19066" xr:uid="{00000000-0005-0000-0000-0000B5190000}"/>
    <cellStyle name="AggGreen 2 3 4 2 3" xfId="4247" xr:uid="{00000000-0005-0000-0000-0000B6190000}"/>
    <cellStyle name="AggGreen 2 3 4 2 4" xfId="9366" xr:uid="{00000000-0005-0000-0000-0000B7190000}"/>
    <cellStyle name="AggGreen 2 3 4 2 5" xfId="9794" xr:uid="{00000000-0005-0000-0000-0000B8190000}"/>
    <cellStyle name="AggGreen 2 3 4 2 6" xfId="10223" xr:uid="{00000000-0005-0000-0000-0000B9190000}"/>
    <cellStyle name="AggGreen 2 3 4 2 7" xfId="10635" xr:uid="{00000000-0005-0000-0000-0000BA190000}"/>
    <cellStyle name="AggGreen 2 3 4 2 8" xfId="10965" xr:uid="{00000000-0005-0000-0000-0000BB190000}"/>
    <cellStyle name="AggGreen 2 3 4 2 9" xfId="11354" xr:uid="{00000000-0005-0000-0000-0000BC190000}"/>
    <cellStyle name="AggGreen 2 3 4 3" xfId="1000" xr:uid="{00000000-0005-0000-0000-0000BD190000}"/>
    <cellStyle name="AggGreen 2 3 4 3 2" xfId="12729" xr:uid="{00000000-0005-0000-0000-0000BE190000}"/>
    <cellStyle name="AggGreen 2 3 4 3 3" xfId="14586" xr:uid="{00000000-0005-0000-0000-0000BF190000}"/>
    <cellStyle name="AggGreen 2 3 4 3 4" xfId="17392" xr:uid="{00000000-0005-0000-0000-0000C0190000}"/>
    <cellStyle name="AggGreen 2 3 4 3 5" xfId="14951" xr:uid="{00000000-0005-0000-0000-0000C1190000}"/>
    <cellStyle name="AggGreen 2 3 4 3 6" xfId="15089" xr:uid="{00000000-0005-0000-0000-0000C2190000}"/>
    <cellStyle name="AggGreen 2 3 4 4" xfId="4086" xr:uid="{00000000-0005-0000-0000-0000C3190000}"/>
    <cellStyle name="AggGreen 2 3 4 5" xfId="9024" xr:uid="{00000000-0005-0000-0000-0000C4190000}"/>
    <cellStyle name="AggGreen 2 3 4 6" xfId="9582" xr:uid="{00000000-0005-0000-0000-0000C5190000}"/>
    <cellStyle name="AggGreen 2 3 4 7" xfId="10009" xr:uid="{00000000-0005-0000-0000-0000C6190000}"/>
    <cellStyle name="AggGreen 2 3 4 8" xfId="10421" xr:uid="{00000000-0005-0000-0000-0000C7190000}"/>
    <cellStyle name="AggGreen 2 3 4 9" xfId="9060" xr:uid="{00000000-0005-0000-0000-0000C8190000}"/>
    <cellStyle name="AggGreen 2 3 5" xfId="941" xr:uid="{00000000-0005-0000-0000-0000C9190000}"/>
    <cellStyle name="AggGreen 2 3 5 2" xfId="12670" xr:uid="{00000000-0005-0000-0000-0000CA190000}"/>
    <cellStyle name="AggGreen 2 3 5 3" xfId="15259" xr:uid="{00000000-0005-0000-0000-0000CB190000}"/>
    <cellStyle name="AggGreen 2 3 5 4" xfId="17439" xr:uid="{00000000-0005-0000-0000-0000CC190000}"/>
    <cellStyle name="AggGreen 2 3 5 5" xfId="15584" xr:uid="{00000000-0005-0000-0000-0000CD190000}"/>
    <cellStyle name="AggGreen 2 3 5 6" xfId="19391" xr:uid="{00000000-0005-0000-0000-0000CE190000}"/>
    <cellStyle name="AggGreen 2 3 6" xfId="4036" xr:uid="{00000000-0005-0000-0000-0000CF190000}"/>
    <cellStyle name="AggGreen 2 3 7" xfId="8936" xr:uid="{00000000-0005-0000-0000-0000D0190000}"/>
    <cellStyle name="AggGreen 2 3 8" xfId="9170" xr:uid="{00000000-0005-0000-0000-0000D1190000}"/>
    <cellStyle name="AggGreen 2 3 9" xfId="9276" xr:uid="{00000000-0005-0000-0000-0000D2190000}"/>
    <cellStyle name="AggGreen 3" xfId="415" xr:uid="{00000000-0005-0000-0000-0000D3190000}"/>
    <cellStyle name="AggGreen 3 2" xfId="542" xr:uid="{00000000-0005-0000-0000-0000D4190000}"/>
    <cellStyle name="AggGreen 3 2 10" xfId="11009" xr:uid="{00000000-0005-0000-0000-0000D5190000}"/>
    <cellStyle name="AggGreen 3 2 11" xfId="11396" xr:uid="{00000000-0005-0000-0000-0000D6190000}"/>
    <cellStyle name="AggGreen 3 2 12" xfId="11768" xr:uid="{00000000-0005-0000-0000-0000D7190000}"/>
    <cellStyle name="AggGreen 3 2 13" xfId="12281" xr:uid="{00000000-0005-0000-0000-0000D8190000}"/>
    <cellStyle name="AggGreen 3 2 14" xfId="13978" xr:uid="{00000000-0005-0000-0000-0000D9190000}"/>
    <cellStyle name="AggGreen 3 2 15" xfId="14943" xr:uid="{00000000-0005-0000-0000-0000DA190000}"/>
    <cellStyle name="AggGreen 3 2 16" xfId="17896" xr:uid="{00000000-0005-0000-0000-0000DB190000}"/>
    <cellStyle name="AggGreen 3 2 17" xfId="14902" xr:uid="{00000000-0005-0000-0000-0000DC190000}"/>
    <cellStyle name="AggGreen 3 2 2" xfId="757" xr:uid="{00000000-0005-0000-0000-0000DD190000}"/>
    <cellStyle name="AggGreen 3 2 2 10" xfId="11603" xr:uid="{00000000-0005-0000-0000-0000DE190000}"/>
    <cellStyle name="AggGreen 3 2 2 11" xfId="11974" xr:uid="{00000000-0005-0000-0000-0000DF190000}"/>
    <cellStyle name="AggGreen 3 2 2 12" xfId="12487" xr:uid="{00000000-0005-0000-0000-0000E0190000}"/>
    <cellStyle name="AggGreen 3 2 2 13" xfId="16098" xr:uid="{00000000-0005-0000-0000-0000E1190000}"/>
    <cellStyle name="AggGreen 3 2 2 14" xfId="16366" xr:uid="{00000000-0005-0000-0000-0000E2190000}"/>
    <cellStyle name="AggGreen 3 2 2 15" xfId="18480" xr:uid="{00000000-0005-0000-0000-0000E3190000}"/>
    <cellStyle name="AggGreen 3 2 2 16" xfId="18068" xr:uid="{00000000-0005-0000-0000-0000E4190000}"/>
    <cellStyle name="AggGreen 3 2 2 2" xfId="1027" xr:uid="{00000000-0005-0000-0000-0000E5190000}"/>
    <cellStyle name="AggGreen 3 2 2 2 2" xfId="12756" xr:uid="{00000000-0005-0000-0000-0000E6190000}"/>
    <cellStyle name="AggGreen 3 2 2 2 3" xfId="14807" xr:uid="{00000000-0005-0000-0000-0000E7190000}"/>
    <cellStyle name="AggGreen 3 2 2 2 4" xfId="15512" xr:uid="{00000000-0005-0000-0000-0000E8190000}"/>
    <cellStyle name="AggGreen 3 2 2 2 5" xfId="16594" xr:uid="{00000000-0005-0000-0000-0000E9190000}"/>
    <cellStyle name="AggGreen 3 2 2 2 6" xfId="19337" xr:uid="{00000000-0005-0000-0000-0000EA190000}"/>
    <cellStyle name="AggGreen 3 2 2 3" xfId="3522" xr:uid="{00000000-0005-0000-0000-0000EB190000}"/>
    <cellStyle name="AggGreen 3 2 2 4" xfId="8777" xr:uid="{00000000-0005-0000-0000-0000EC190000}"/>
    <cellStyle name="AggGreen 3 2 2 5" xfId="9658" xr:uid="{00000000-0005-0000-0000-0000ED190000}"/>
    <cellStyle name="AggGreen 3 2 2 6" xfId="10087" xr:uid="{00000000-0005-0000-0000-0000EE190000}"/>
    <cellStyle name="AggGreen 3 2 2 7" xfId="10499" xr:uid="{00000000-0005-0000-0000-0000EF190000}"/>
    <cellStyle name="AggGreen 3 2 2 8" xfId="8836" xr:uid="{00000000-0005-0000-0000-0000F0190000}"/>
    <cellStyle name="AggGreen 3 2 2 9" xfId="11218" xr:uid="{00000000-0005-0000-0000-0000F1190000}"/>
    <cellStyle name="AggGreen 3 2 3" xfId="1253" xr:uid="{00000000-0005-0000-0000-0000F2190000}"/>
    <cellStyle name="AggGreen 3 2 3 2" xfId="12982" xr:uid="{00000000-0005-0000-0000-0000F3190000}"/>
    <cellStyle name="AggGreen 3 2 3 3" xfId="13843" xr:uid="{00000000-0005-0000-0000-0000F4190000}"/>
    <cellStyle name="AggGreen 3 2 3 4" xfId="15840" xr:uid="{00000000-0005-0000-0000-0000F5190000}"/>
    <cellStyle name="AggGreen 3 2 3 5" xfId="17036" xr:uid="{00000000-0005-0000-0000-0000F6190000}"/>
    <cellStyle name="AggGreen 3 2 3 6" xfId="18918" xr:uid="{00000000-0005-0000-0000-0000F7190000}"/>
    <cellStyle name="AggGreen 3 2 4" xfId="3479" xr:uid="{00000000-0005-0000-0000-0000F8190000}"/>
    <cellStyle name="AggGreen 3 2 5" xfId="9307" xr:uid="{00000000-0005-0000-0000-0000F9190000}"/>
    <cellStyle name="AggGreen 3 2 6" xfId="9446" xr:uid="{00000000-0005-0000-0000-0000FA190000}"/>
    <cellStyle name="AggGreen 3 2 7" xfId="9873" xr:uid="{00000000-0005-0000-0000-0000FB190000}"/>
    <cellStyle name="AggGreen 3 2 8" xfId="10285" xr:uid="{00000000-0005-0000-0000-0000FC190000}"/>
    <cellStyle name="AggGreen 3 2 9" xfId="10737" xr:uid="{00000000-0005-0000-0000-0000FD190000}"/>
    <cellStyle name="AggGreen 3 3" xfId="722" xr:uid="{00000000-0005-0000-0000-0000FE190000}"/>
    <cellStyle name="AggGreen 3 3 10" xfId="11568" xr:uid="{00000000-0005-0000-0000-0000FF190000}"/>
    <cellStyle name="AggGreen 3 3 11" xfId="11939" xr:uid="{00000000-0005-0000-0000-0000001A0000}"/>
    <cellStyle name="AggGreen 3 3 12" xfId="12452" xr:uid="{00000000-0005-0000-0000-0000011A0000}"/>
    <cellStyle name="AggGreen 3 3 13" xfId="15228" xr:uid="{00000000-0005-0000-0000-0000021A0000}"/>
    <cellStyle name="AggGreen 3 3 14" xfId="17493" xr:uid="{00000000-0005-0000-0000-0000031A0000}"/>
    <cellStyle name="AggGreen 3 3 15" xfId="14941" xr:uid="{00000000-0005-0000-0000-0000041A0000}"/>
    <cellStyle name="AggGreen 3 3 16" xfId="19445" xr:uid="{00000000-0005-0000-0000-0000051A0000}"/>
    <cellStyle name="AggGreen 3 3 2" xfId="1342" xr:uid="{00000000-0005-0000-0000-0000061A0000}"/>
    <cellStyle name="AggGreen 3 3 2 2" xfId="13071" xr:uid="{00000000-0005-0000-0000-0000071A0000}"/>
    <cellStyle name="AggGreen 3 3 2 3" xfId="14394" xr:uid="{00000000-0005-0000-0000-0000081A0000}"/>
    <cellStyle name="AggGreen 3 3 2 4" xfId="14084" xr:uid="{00000000-0005-0000-0000-0000091A0000}"/>
    <cellStyle name="AggGreen 3 3 2 5" xfId="14688" xr:uid="{00000000-0005-0000-0000-00000A1A0000}"/>
    <cellStyle name="AggGreen 3 3 2 6" xfId="19110" xr:uid="{00000000-0005-0000-0000-00000B1A0000}"/>
    <cellStyle name="AggGreen 3 3 3" xfId="4127" xr:uid="{00000000-0005-0000-0000-00000C1A0000}"/>
    <cellStyle name="AggGreen 3 3 4" xfId="8541" xr:uid="{00000000-0005-0000-0000-00000D1A0000}"/>
    <cellStyle name="AggGreen 3 3 5" xfId="9623" xr:uid="{00000000-0005-0000-0000-00000E1A0000}"/>
    <cellStyle name="AggGreen 3 3 6" xfId="10052" xr:uid="{00000000-0005-0000-0000-00000F1A0000}"/>
    <cellStyle name="AggGreen 3 3 7" xfId="10464" xr:uid="{00000000-0005-0000-0000-0000101A0000}"/>
    <cellStyle name="AggGreen 3 3 8" xfId="10739" xr:uid="{00000000-0005-0000-0000-0000111A0000}"/>
    <cellStyle name="AggGreen 3 3 9" xfId="11183" xr:uid="{00000000-0005-0000-0000-0000121A0000}"/>
    <cellStyle name="AggGreen 4" xfId="273" xr:uid="{00000000-0005-0000-0000-0000131A0000}"/>
    <cellStyle name="AggGreen 4 10" xfId="9273" xr:uid="{00000000-0005-0000-0000-0000141A0000}"/>
    <cellStyle name="AggGreen 4 11" xfId="10745" xr:uid="{00000000-0005-0000-0000-0000151A0000}"/>
    <cellStyle name="AggGreen 4 12" xfId="10454" xr:uid="{00000000-0005-0000-0000-0000161A0000}"/>
    <cellStyle name="AggGreen 4 13" xfId="11174" xr:uid="{00000000-0005-0000-0000-0000171A0000}"/>
    <cellStyle name="AggGreen 4 14" xfId="11377" xr:uid="{00000000-0005-0000-0000-0000181A0000}"/>
    <cellStyle name="AggGreen 4 15" xfId="12223" xr:uid="{00000000-0005-0000-0000-0000191A0000}"/>
    <cellStyle name="AggGreen 4 16" xfId="16522" xr:uid="{00000000-0005-0000-0000-00001A1A0000}"/>
    <cellStyle name="AggGreen 4 17" xfId="17635" xr:uid="{00000000-0005-0000-0000-00001B1A0000}"/>
    <cellStyle name="AggGreen 4 18" xfId="15798" xr:uid="{00000000-0005-0000-0000-00001C1A0000}"/>
    <cellStyle name="AggGreen 4 19" xfId="19512" xr:uid="{00000000-0005-0000-0000-00001D1A0000}"/>
    <cellStyle name="AggGreen 4 2" xfId="612" xr:uid="{00000000-0005-0000-0000-00001E1A0000}"/>
    <cellStyle name="AggGreen 4 2 10" xfId="11079" xr:uid="{00000000-0005-0000-0000-00001F1A0000}"/>
    <cellStyle name="AggGreen 4 2 11" xfId="11466" xr:uid="{00000000-0005-0000-0000-0000201A0000}"/>
    <cellStyle name="AggGreen 4 2 12" xfId="11838" xr:uid="{00000000-0005-0000-0000-0000211A0000}"/>
    <cellStyle name="AggGreen 4 2 13" xfId="12351" xr:uid="{00000000-0005-0000-0000-0000221A0000}"/>
    <cellStyle name="AggGreen 4 2 14" xfId="16001" xr:uid="{00000000-0005-0000-0000-0000231A0000}"/>
    <cellStyle name="AggGreen 4 2 15" xfId="15663" xr:uid="{00000000-0005-0000-0000-0000241A0000}"/>
    <cellStyle name="AggGreen 4 2 16" xfId="18301" xr:uid="{00000000-0005-0000-0000-0000251A0000}"/>
    <cellStyle name="AggGreen 4 2 17" xfId="14994" xr:uid="{00000000-0005-0000-0000-0000261A0000}"/>
    <cellStyle name="AggGreen 4 2 2" xfId="827" xr:uid="{00000000-0005-0000-0000-0000271A0000}"/>
    <cellStyle name="AggGreen 4 2 2 10" xfId="11673" xr:uid="{00000000-0005-0000-0000-0000281A0000}"/>
    <cellStyle name="AggGreen 4 2 2 11" xfId="12044" xr:uid="{00000000-0005-0000-0000-0000291A0000}"/>
    <cellStyle name="AggGreen 4 2 2 12" xfId="12557" xr:uid="{00000000-0005-0000-0000-00002A1A0000}"/>
    <cellStyle name="AggGreen 4 2 2 13" xfId="16108" xr:uid="{00000000-0005-0000-0000-00002B1A0000}"/>
    <cellStyle name="AggGreen 4 2 2 14" xfId="16539" xr:uid="{00000000-0005-0000-0000-00002C1A0000}"/>
    <cellStyle name="AggGreen 4 2 2 15" xfId="18516" xr:uid="{00000000-0005-0000-0000-00002D1A0000}"/>
    <cellStyle name="AggGreen 4 2 2 16" xfId="18251" xr:uid="{00000000-0005-0000-0000-00002E1A0000}"/>
    <cellStyle name="AggGreen 4 2 2 2" xfId="1198" xr:uid="{00000000-0005-0000-0000-00002F1A0000}"/>
    <cellStyle name="AggGreen 4 2 2 2 2" xfId="12927" xr:uid="{00000000-0005-0000-0000-0000301A0000}"/>
    <cellStyle name="AggGreen 4 2 2 2 3" xfId="14824" xr:uid="{00000000-0005-0000-0000-0000311A0000}"/>
    <cellStyle name="AggGreen 4 2 2 2 4" xfId="17259" xr:uid="{00000000-0005-0000-0000-0000321A0000}"/>
    <cellStyle name="AggGreen 4 2 2 2 5" xfId="17877" xr:uid="{00000000-0005-0000-0000-0000331A0000}"/>
    <cellStyle name="AggGreen 4 2 2 2 6" xfId="19211" xr:uid="{00000000-0005-0000-0000-0000341A0000}"/>
    <cellStyle name="AggGreen 4 2 2 3" xfId="3805" xr:uid="{00000000-0005-0000-0000-0000351A0000}"/>
    <cellStyle name="AggGreen 4 2 2 4" xfId="8623" xr:uid="{00000000-0005-0000-0000-0000361A0000}"/>
    <cellStyle name="AggGreen 4 2 2 5" xfId="9728" xr:uid="{00000000-0005-0000-0000-0000371A0000}"/>
    <cellStyle name="AggGreen 4 2 2 6" xfId="10157" xr:uid="{00000000-0005-0000-0000-0000381A0000}"/>
    <cellStyle name="AggGreen 4 2 2 7" xfId="10569" xr:uid="{00000000-0005-0000-0000-0000391A0000}"/>
    <cellStyle name="AggGreen 4 2 2 8" xfId="10664" xr:uid="{00000000-0005-0000-0000-00003A1A0000}"/>
    <cellStyle name="AggGreen 4 2 2 9" xfId="11288" xr:uid="{00000000-0005-0000-0000-00003B1A0000}"/>
    <cellStyle name="AggGreen 4 2 3" xfId="1260" xr:uid="{00000000-0005-0000-0000-00003C1A0000}"/>
    <cellStyle name="AggGreen 4 2 3 2" xfId="12989" xr:uid="{00000000-0005-0000-0000-00003D1A0000}"/>
    <cellStyle name="AggGreen 4 2 3 3" xfId="14833" xr:uid="{00000000-0005-0000-0000-00003E1A0000}"/>
    <cellStyle name="AggGreen 4 2 3 4" xfId="17213" xr:uid="{00000000-0005-0000-0000-00003F1A0000}"/>
    <cellStyle name="AggGreen 4 2 3 5" xfId="16035" xr:uid="{00000000-0005-0000-0000-0000401A0000}"/>
    <cellStyle name="AggGreen 4 2 3 6" xfId="19165" xr:uid="{00000000-0005-0000-0000-0000411A0000}"/>
    <cellStyle name="AggGreen 4 2 4" xfId="3956" xr:uid="{00000000-0005-0000-0000-0000421A0000}"/>
    <cellStyle name="AggGreen 4 2 5" xfId="8611" xr:uid="{00000000-0005-0000-0000-0000431A0000}"/>
    <cellStyle name="AggGreen 4 2 6" xfId="9516" xr:uid="{00000000-0005-0000-0000-0000441A0000}"/>
    <cellStyle name="AggGreen 4 2 7" xfId="9943" xr:uid="{00000000-0005-0000-0000-0000451A0000}"/>
    <cellStyle name="AggGreen 4 2 8" xfId="10355" xr:uid="{00000000-0005-0000-0000-0000461A0000}"/>
    <cellStyle name="AggGreen 4 2 9" xfId="10904" xr:uid="{00000000-0005-0000-0000-0000471A0000}"/>
    <cellStyle name="AggGreen 4 3" xfId="527" xr:uid="{00000000-0005-0000-0000-0000481A0000}"/>
    <cellStyle name="AggGreen 4 3 10" xfId="10994" xr:uid="{00000000-0005-0000-0000-0000491A0000}"/>
    <cellStyle name="AggGreen 4 3 11" xfId="11381" xr:uid="{00000000-0005-0000-0000-00004A1A0000}"/>
    <cellStyle name="AggGreen 4 3 12" xfId="11753" xr:uid="{00000000-0005-0000-0000-00004B1A0000}"/>
    <cellStyle name="AggGreen 4 3 13" xfId="12266" xr:uid="{00000000-0005-0000-0000-00004C1A0000}"/>
    <cellStyle name="AggGreen 4 3 14" xfId="16228" xr:uid="{00000000-0005-0000-0000-00004D1A0000}"/>
    <cellStyle name="AggGreen 4 3 15" xfId="14086" xr:uid="{00000000-0005-0000-0000-00004E1A0000}"/>
    <cellStyle name="AggGreen 4 3 16" xfId="18309" xr:uid="{00000000-0005-0000-0000-00004F1A0000}"/>
    <cellStyle name="AggGreen 4 3 17" xfId="18104" xr:uid="{00000000-0005-0000-0000-0000501A0000}"/>
    <cellStyle name="AggGreen 4 3 2" xfId="742" xr:uid="{00000000-0005-0000-0000-0000511A0000}"/>
    <cellStyle name="AggGreen 4 3 2 10" xfId="11588" xr:uid="{00000000-0005-0000-0000-0000521A0000}"/>
    <cellStyle name="AggGreen 4 3 2 11" xfId="11959" xr:uid="{00000000-0005-0000-0000-0000531A0000}"/>
    <cellStyle name="AggGreen 4 3 2 12" xfId="12472" xr:uid="{00000000-0005-0000-0000-0000541A0000}"/>
    <cellStyle name="AggGreen 4 3 2 13" xfId="13987" xr:uid="{00000000-0005-0000-0000-0000551A0000}"/>
    <cellStyle name="AggGreen 4 3 2 14" xfId="14864" xr:uid="{00000000-0005-0000-0000-0000561A0000}"/>
    <cellStyle name="AggGreen 4 3 2 15" xfId="15096" xr:uid="{00000000-0005-0000-0000-0000571A0000}"/>
    <cellStyle name="AggGreen 4 3 2 16" xfId="19433" xr:uid="{00000000-0005-0000-0000-0000581A0000}"/>
    <cellStyle name="AggGreen 4 3 2 2" xfId="1295" xr:uid="{00000000-0005-0000-0000-0000591A0000}"/>
    <cellStyle name="AggGreen 4 3 2 2 2" xfId="13024" xr:uid="{00000000-0005-0000-0000-00005A1A0000}"/>
    <cellStyle name="AggGreen 4 3 2 2 3" xfId="15412" xr:uid="{00000000-0005-0000-0000-00005B1A0000}"/>
    <cellStyle name="AggGreen 4 3 2 2 4" xfId="17189" xr:uid="{00000000-0005-0000-0000-00005C1A0000}"/>
    <cellStyle name="AggGreen 4 3 2 2 5" xfId="14537" xr:uid="{00000000-0005-0000-0000-00005D1A0000}"/>
    <cellStyle name="AggGreen 4 3 2 2 6" xfId="19141" xr:uid="{00000000-0005-0000-0000-00005E1A0000}"/>
    <cellStyle name="AggGreen 4 3 2 3" xfId="4023" xr:uid="{00000000-0005-0000-0000-00005F1A0000}"/>
    <cellStyle name="AggGreen 4 3 2 4" xfId="8851" xr:uid="{00000000-0005-0000-0000-0000601A0000}"/>
    <cellStyle name="AggGreen 4 3 2 5" xfId="9643" xr:uid="{00000000-0005-0000-0000-0000611A0000}"/>
    <cellStyle name="AggGreen 4 3 2 6" xfId="10072" xr:uid="{00000000-0005-0000-0000-0000621A0000}"/>
    <cellStyle name="AggGreen 4 3 2 7" xfId="10484" xr:uid="{00000000-0005-0000-0000-0000631A0000}"/>
    <cellStyle name="AggGreen 4 3 2 8" xfId="8807" xr:uid="{00000000-0005-0000-0000-0000641A0000}"/>
    <cellStyle name="AggGreen 4 3 2 9" xfId="11203" xr:uid="{00000000-0005-0000-0000-0000651A0000}"/>
    <cellStyle name="AggGreen 4 3 3" xfId="1273" xr:uid="{00000000-0005-0000-0000-0000661A0000}"/>
    <cellStyle name="AggGreen 4 3 3 2" xfId="13002" xr:uid="{00000000-0005-0000-0000-0000671A0000}"/>
    <cellStyle name="AggGreen 4 3 3 3" xfId="15402" xr:uid="{00000000-0005-0000-0000-0000681A0000}"/>
    <cellStyle name="AggGreen 4 3 3 4" xfId="17205" xr:uid="{00000000-0005-0000-0000-0000691A0000}"/>
    <cellStyle name="AggGreen 4 3 3 5" xfId="17871" xr:uid="{00000000-0005-0000-0000-00006A1A0000}"/>
    <cellStyle name="AggGreen 4 3 3 6" xfId="19157" xr:uid="{00000000-0005-0000-0000-00006B1A0000}"/>
    <cellStyle name="AggGreen 4 3 4" xfId="3587" xr:uid="{00000000-0005-0000-0000-00006C1A0000}"/>
    <cellStyle name="AggGreen 4 3 5" xfId="9264" xr:uid="{00000000-0005-0000-0000-00006D1A0000}"/>
    <cellStyle name="AggGreen 4 3 6" xfId="9431" xr:uid="{00000000-0005-0000-0000-00006E1A0000}"/>
    <cellStyle name="AggGreen 4 3 7" xfId="9858" xr:uid="{00000000-0005-0000-0000-00006F1A0000}"/>
    <cellStyle name="AggGreen 4 3 8" xfId="10270" xr:uid="{00000000-0005-0000-0000-0000701A0000}"/>
    <cellStyle name="AggGreen 4 3 9" xfId="10250" xr:uid="{00000000-0005-0000-0000-0000711A0000}"/>
    <cellStyle name="AggGreen 4 4" xfId="645" xr:uid="{00000000-0005-0000-0000-0000721A0000}"/>
    <cellStyle name="AggGreen 4 4 10" xfId="11112" xr:uid="{00000000-0005-0000-0000-0000731A0000}"/>
    <cellStyle name="AggGreen 4 4 11" xfId="11499" xr:uid="{00000000-0005-0000-0000-0000741A0000}"/>
    <cellStyle name="AggGreen 4 4 12" xfId="11871" xr:uid="{00000000-0005-0000-0000-0000751A0000}"/>
    <cellStyle name="AggGreen 4 4 13" xfId="12384" xr:uid="{00000000-0005-0000-0000-0000761A0000}"/>
    <cellStyle name="AggGreen 4 4 14" xfId="14081" xr:uid="{00000000-0005-0000-0000-0000771A0000}"/>
    <cellStyle name="AggGreen 4 4 15" xfId="15761" xr:uid="{00000000-0005-0000-0000-0000781A0000}"/>
    <cellStyle name="AggGreen 4 4 16" xfId="16559" xr:uid="{00000000-0005-0000-0000-0000791A0000}"/>
    <cellStyle name="AggGreen 4 4 17" xfId="18410" xr:uid="{00000000-0005-0000-0000-00007A1A0000}"/>
    <cellStyle name="AggGreen 4 4 2" xfId="860" xr:uid="{00000000-0005-0000-0000-00007B1A0000}"/>
    <cellStyle name="AggGreen 4 4 2 10" xfId="11706" xr:uid="{00000000-0005-0000-0000-00007C1A0000}"/>
    <cellStyle name="AggGreen 4 4 2 11" xfId="12077" xr:uid="{00000000-0005-0000-0000-00007D1A0000}"/>
    <cellStyle name="AggGreen 4 4 2 12" xfId="12590" xr:uid="{00000000-0005-0000-0000-00007E1A0000}"/>
    <cellStyle name="AggGreen 4 4 2 13" xfId="16113" xr:uid="{00000000-0005-0000-0000-00007F1A0000}"/>
    <cellStyle name="AggGreen 4 4 2 14" xfId="15983" xr:uid="{00000000-0005-0000-0000-0000801A0000}"/>
    <cellStyle name="AggGreen 4 4 2 15" xfId="18513" xr:uid="{00000000-0005-0000-0000-0000811A0000}"/>
    <cellStyle name="AggGreen 4 4 2 16" xfId="18174" xr:uid="{00000000-0005-0000-0000-0000821A0000}"/>
    <cellStyle name="AggGreen 4 4 2 2" xfId="1199" xr:uid="{00000000-0005-0000-0000-0000831A0000}"/>
    <cellStyle name="AggGreen 4 4 2 2 2" xfId="12928" xr:uid="{00000000-0005-0000-0000-0000841A0000}"/>
    <cellStyle name="AggGreen 4 4 2 2 3" xfId="14179" xr:uid="{00000000-0005-0000-0000-0000851A0000}"/>
    <cellStyle name="AggGreen 4 4 2 2 4" xfId="17258" xr:uid="{00000000-0005-0000-0000-0000861A0000}"/>
    <cellStyle name="AggGreen 4 4 2 2 5" xfId="16759" xr:uid="{00000000-0005-0000-0000-0000871A0000}"/>
    <cellStyle name="AggGreen 4 4 2 2 6" xfId="18755" xr:uid="{00000000-0005-0000-0000-0000881A0000}"/>
    <cellStyle name="AggGreen 4 4 2 3" xfId="4064" xr:uid="{00000000-0005-0000-0000-0000891A0000}"/>
    <cellStyle name="AggGreen 4 4 2 4" xfId="9333" xr:uid="{00000000-0005-0000-0000-00008A1A0000}"/>
    <cellStyle name="AggGreen 4 4 2 5" xfId="9761" xr:uid="{00000000-0005-0000-0000-00008B1A0000}"/>
    <cellStyle name="AggGreen 4 4 2 6" xfId="10190" xr:uid="{00000000-0005-0000-0000-00008C1A0000}"/>
    <cellStyle name="AggGreen 4 4 2 7" xfId="10602" xr:uid="{00000000-0005-0000-0000-00008D1A0000}"/>
    <cellStyle name="AggGreen 4 4 2 8" xfId="9286" xr:uid="{00000000-0005-0000-0000-00008E1A0000}"/>
    <cellStyle name="AggGreen 4 4 2 9" xfId="11321" xr:uid="{00000000-0005-0000-0000-00008F1A0000}"/>
    <cellStyle name="AggGreen 4 4 3" xfId="1049" xr:uid="{00000000-0005-0000-0000-0000901A0000}"/>
    <cellStyle name="AggGreen 4 4 3 2" xfId="12778" xr:uid="{00000000-0005-0000-0000-0000911A0000}"/>
    <cellStyle name="AggGreen 4 4 3 3" xfId="16246" xr:uid="{00000000-0005-0000-0000-0000921A0000}"/>
    <cellStyle name="AggGreen 4 4 3 4" xfId="13884" xr:uid="{00000000-0005-0000-0000-0000931A0000}"/>
    <cellStyle name="AggGreen 4 4 3 5" xfId="17009" xr:uid="{00000000-0005-0000-0000-0000941A0000}"/>
    <cellStyle name="AggGreen 4 4 3 6" xfId="17861" xr:uid="{00000000-0005-0000-0000-0000951A0000}"/>
    <cellStyle name="AggGreen 4 4 4" xfId="3973" xr:uid="{00000000-0005-0000-0000-0000961A0000}"/>
    <cellStyle name="AggGreen 4 4 5" xfId="8781" xr:uid="{00000000-0005-0000-0000-0000971A0000}"/>
    <cellStyle name="AggGreen 4 4 6" xfId="9549" xr:uid="{00000000-0005-0000-0000-0000981A0000}"/>
    <cellStyle name="AggGreen 4 4 7" xfId="9976" xr:uid="{00000000-0005-0000-0000-0000991A0000}"/>
    <cellStyle name="AggGreen 4 4 8" xfId="10388" xr:uid="{00000000-0005-0000-0000-00009A1A0000}"/>
    <cellStyle name="AggGreen 4 4 9" xfId="10866" xr:uid="{00000000-0005-0000-0000-00009B1A0000}"/>
    <cellStyle name="AggGreen 4 5" xfId="1008" xr:uid="{00000000-0005-0000-0000-00009C1A0000}"/>
    <cellStyle name="AggGreen 4 5 2" xfId="12737" xr:uid="{00000000-0005-0000-0000-00009D1A0000}"/>
    <cellStyle name="AggGreen 4 5 3" xfId="15294" xr:uid="{00000000-0005-0000-0000-00009E1A0000}"/>
    <cellStyle name="AggGreen 4 5 4" xfId="14176" xr:uid="{00000000-0005-0000-0000-00009F1A0000}"/>
    <cellStyle name="AggGreen 4 5 5" xfId="16529" xr:uid="{00000000-0005-0000-0000-0000A01A0000}"/>
    <cellStyle name="AggGreen 4 5 6" xfId="19343" xr:uid="{00000000-0005-0000-0000-0000A11A0000}"/>
    <cellStyle name="AggGreen 4 6" xfId="3773" xr:uid="{00000000-0005-0000-0000-0000A21A0000}"/>
    <cellStyle name="AggGreen 4 7" xfId="8826" xr:uid="{00000000-0005-0000-0000-0000A31A0000}"/>
    <cellStyle name="AggGreen 4 8" xfId="9152" xr:uid="{00000000-0005-0000-0000-0000A41A0000}"/>
    <cellStyle name="AggGreen 4 9" xfId="9426" xr:uid="{00000000-0005-0000-0000-0000A51A0000}"/>
    <cellStyle name="AggGreen 5" xfId="89" xr:uid="{00000000-0005-0000-0000-0000A61A0000}"/>
    <cellStyle name="AggGreen 5 2" xfId="3258" xr:uid="{00000000-0005-0000-0000-0000A71A0000}"/>
    <cellStyle name="AggGreen 5 2 2" xfId="13522" xr:uid="{00000000-0005-0000-0000-0000A81A0000}"/>
    <cellStyle name="AggGreen 5 2 3" xfId="16891" xr:uid="{00000000-0005-0000-0000-0000A91A0000}"/>
    <cellStyle name="AggGreen 5 2 4" xfId="18002" xr:uid="{00000000-0005-0000-0000-0000AA1A0000}"/>
    <cellStyle name="AggGreen 5 2 5" xfId="18999" xr:uid="{00000000-0005-0000-0000-0000AB1A0000}"/>
    <cellStyle name="AggGreen 5 2 6" xfId="19740" xr:uid="{00000000-0005-0000-0000-0000AC1A0000}"/>
    <cellStyle name="AggGreen 5 3" xfId="9178" xr:uid="{00000000-0005-0000-0000-0000AD1A0000}"/>
    <cellStyle name="AggGreen 5 4" xfId="13759" xr:uid="{00000000-0005-0000-0000-0000AE1A0000}"/>
    <cellStyle name="AggGreen_Bbdr" xfId="35" xr:uid="{00000000-0005-0000-0000-0000AF1A0000}"/>
    <cellStyle name="AggGreen12" xfId="32" xr:uid="{00000000-0005-0000-0000-0000B01A0000}"/>
    <cellStyle name="AggGreen12 2" xfId="128" xr:uid="{00000000-0005-0000-0000-0000B11A0000}"/>
    <cellStyle name="AggGreen12 2 2" xfId="418" xr:uid="{00000000-0005-0000-0000-0000B21A0000}"/>
    <cellStyle name="AggGreen12 2 2 2" xfId="611" xr:uid="{00000000-0005-0000-0000-0000B31A0000}"/>
    <cellStyle name="AggGreen12 2 2 2 10" xfId="11078" xr:uid="{00000000-0005-0000-0000-0000B41A0000}"/>
    <cellStyle name="AggGreen12 2 2 2 11" xfId="11465" xr:uid="{00000000-0005-0000-0000-0000B51A0000}"/>
    <cellStyle name="AggGreen12 2 2 2 12" xfId="11837" xr:uid="{00000000-0005-0000-0000-0000B61A0000}"/>
    <cellStyle name="AggGreen12 2 2 2 13" xfId="12350" xr:uid="{00000000-0005-0000-0000-0000B71A0000}"/>
    <cellStyle name="AggGreen12 2 2 2 14" xfId="15861" xr:uid="{00000000-0005-0000-0000-0000B81A0000}"/>
    <cellStyle name="AggGreen12 2 2 2 15" xfId="14027" xr:uid="{00000000-0005-0000-0000-0000B91A0000}"/>
    <cellStyle name="AggGreen12 2 2 2 16" xfId="14879" xr:uid="{00000000-0005-0000-0000-0000BA1A0000}"/>
    <cellStyle name="AggGreen12 2 2 2 17" xfId="17717" xr:uid="{00000000-0005-0000-0000-0000BB1A0000}"/>
    <cellStyle name="AggGreen12 2 2 2 2" xfId="826" xr:uid="{00000000-0005-0000-0000-0000BC1A0000}"/>
    <cellStyle name="AggGreen12 2 2 2 2 10" xfId="11672" xr:uid="{00000000-0005-0000-0000-0000BD1A0000}"/>
    <cellStyle name="AggGreen12 2 2 2 2 11" xfId="12043" xr:uid="{00000000-0005-0000-0000-0000BE1A0000}"/>
    <cellStyle name="AggGreen12 2 2 2 2 12" xfId="12556" xr:uid="{00000000-0005-0000-0000-0000BF1A0000}"/>
    <cellStyle name="AggGreen12 2 2 2 2 13" xfId="14405" xr:uid="{00000000-0005-0000-0000-0000C01A0000}"/>
    <cellStyle name="AggGreen12 2 2 2 2 14" xfId="14443" xr:uid="{00000000-0005-0000-0000-0000C11A0000}"/>
    <cellStyle name="AggGreen12 2 2 2 2 15" xfId="18501" xr:uid="{00000000-0005-0000-0000-0000C21A0000}"/>
    <cellStyle name="AggGreen12 2 2 2 2 16" xfId="18536" xr:uid="{00000000-0005-0000-0000-0000C31A0000}"/>
    <cellStyle name="AggGreen12 2 2 2 2 2" xfId="1033" xr:uid="{00000000-0005-0000-0000-0000C41A0000}"/>
    <cellStyle name="AggGreen12 2 2 2 2 2 2" xfId="12762" xr:uid="{00000000-0005-0000-0000-0000C51A0000}"/>
    <cellStyle name="AggGreen12 2 2 2 2 2 3" xfId="14809" xr:uid="{00000000-0005-0000-0000-0000C61A0000}"/>
    <cellStyle name="AggGreen12 2 2 2 2 2 4" xfId="13711" xr:uid="{00000000-0005-0000-0000-0000C71A0000}"/>
    <cellStyle name="AggGreen12 2 2 2 2 2 5" xfId="16748" xr:uid="{00000000-0005-0000-0000-0000C81A0000}"/>
    <cellStyle name="AggGreen12 2 2 2 2 2 6" xfId="19334" xr:uid="{00000000-0005-0000-0000-0000C91A0000}"/>
    <cellStyle name="AggGreen12 2 2 2 2 3" xfId="3353" xr:uid="{00000000-0005-0000-0000-0000CA1A0000}"/>
    <cellStyle name="AggGreen12 2 2 2 2 4" xfId="8727" xr:uid="{00000000-0005-0000-0000-0000CB1A0000}"/>
    <cellStyle name="AggGreen12 2 2 2 2 5" xfId="9727" xr:uid="{00000000-0005-0000-0000-0000CC1A0000}"/>
    <cellStyle name="AggGreen12 2 2 2 2 6" xfId="10156" xr:uid="{00000000-0005-0000-0000-0000CD1A0000}"/>
    <cellStyle name="AggGreen12 2 2 2 2 7" xfId="10568" xr:uid="{00000000-0005-0000-0000-0000CE1A0000}"/>
    <cellStyle name="AggGreen12 2 2 2 2 8" xfId="10747" xr:uid="{00000000-0005-0000-0000-0000CF1A0000}"/>
    <cellStyle name="AggGreen12 2 2 2 2 9" xfId="11287" xr:uid="{00000000-0005-0000-0000-0000D01A0000}"/>
    <cellStyle name="AggGreen12 2 2 2 3" xfId="1235" xr:uid="{00000000-0005-0000-0000-0000D11A0000}"/>
    <cellStyle name="AggGreen12 2 2 2 3 2" xfId="12964" xr:uid="{00000000-0005-0000-0000-0000D21A0000}"/>
    <cellStyle name="AggGreen12 2 2 2 3 3" xfId="15382" xr:uid="{00000000-0005-0000-0000-0000D31A0000}"/>
    <cellStyle name="AggGreen12 2 2 2 3 4" xfId="17231" xr:uid="{00000000-0005-0000-0000-0000D41A0000}"/>
    <cellStyle name="AggGreen12 2 2 2 3 5" xfId="15919" xr:uid="{00000000-0005-0000-0000-0000D51A0000}"/>
    <cellStyle name="AggGreen12 2 2 2 3 6" xfId="19183" xr:uid="{00000000-0005-0000-0000-0000D61A0000}"/>
    <cellStyle name="AggGreen12 2 2 2 4" xfId="3695" xr:uid="{00000000-0005-0000-0000-0000D71A0000}"/>
    <cellStyle name="AggGreen12 2 2 2 5" xfId="8559" xr:uid="{00000000-0005-0000-0000-0000D81A0000}"/>
    <cellStyle name="AggGreen12 2 2 2 6" xfId="9515" xr:uid="{00000000-0005-0000-0000-0000D91A0000}"/>
    <cellStyle name="AggGreen12 2 2 2 7" xfId="9942" xr:uid="{00000000-0005-0000-0000-0000DA1A0000}"/>
    <cellStyle name="AggGreen12 2 2 2 8" xfId="10354" xr:uid="{00000000-0005-0000-0000-0000DB1A0000}"/>
    <cellStyle name="AggGreen12 2 2 2 9" xfId="9837" xr:uid="{00000000-0005-0000-0000-0000DC1A0000}"/>
    <cellStyle name="AggGreen12 2 2 3" xfId="725" xr:uid="{00000000-0005-0000-0000-0000DD1A0000}"/>
    <cellStyle name="AggGreen12 2 2 3 10" xfId="11571" xr:uid="{00000000-0005-0000-0000-0000DE1A0000}"/>
    <cellStyle name="AggGreen12 2 2 3 11" xfId="11942" xr:uid="{00000000-0005-0000-0000-0000DF1A0000}"/>
    <cellStyle name="AggGreen12 2 2 3 12" xfId="12455" xr:uid="{00000000-0005-0000-0000-0000E01A0000}"/>
    <cellStyle name="AggGreen12 2 2 3 13" xfId="14922" xr:uid="{00000000-0005-0000-0000-0000E11A0000}"/>
    <cellStyle name="AggGreen12 2 2 3 14" xfId="17490" xr:uid="{00000000-0005-0000-0000-0000E21A0000}"/>
    <cellStyle name="AggGreen12 2 2 3 15" xfId="16775" xr:uid="{00000000-0005-0000-0000-0000E31A0000}"/>
    <cellStyle name="AggGreen12 2 2 3 16" xfId="15503" xr:uid="{00000000-0005-0000-0000-0000E41A0000}"/>
    <cellStyle name="AggGreen12 2 2 3 2" xfId="1048" xr:uid="{00000000-0005-0000-0000-0000E51A0000}"/>
    <cellStyle name="AggGreen12 2 2 3 2 2" xfId="12777" xr:uid="{00000000-0005-0000-0000-0000E61A0000}"/>
    <cellStyle name="AggGreen12 2 2 3 2 3" xfId="16245" xr:uid="{00000000-0005-0000-0000-0000E71A0000}"/>
    <cellStyle name="AggGreen12 2 2 3 2 4" xfId="15577" xr:uid="{00000000-0005-0000-0000-0000E81A0000}"/>
    <cellStyle name="AggGreen12 2 2 3 2 5" xfId="14770" xr:uid="{00000000-0005-0000-0000-0000E91A0000}"/>
    <cellStyle name="AggGreen12 2 2 3 2 6" xfId="16217" xr:uid="{00000000-0005-0000-0000-0000EA1A0000}"/>
    <cellStyle name="AggGreen12 2 2 3 3" xfId="4137" xr:uid="{00000000-0005-0000-0000-0000EB1A0000}"/>
    <cellStyle name="AggGreen12 2 2 3 4" xfId="8651" xr:uid="{00000000-0005-0000-0000-0000EC1A0000}"/>
    <cellStyle name="AggGreen12 2 2 3 5" xfId="9626" xr:uid="{00000000-0005-0000-0000-0000ED1A0000}"/>
    <cellStyle name="AggGreen12 2 2 3 6" xfId="10055" xr:uid="{00000000-0005-0000-0000-0000EE1A0000}"/>
    <cellStyle name="AggGreen12 2 2 3 7" xfId="10467" xr:uid="{00000000-0005-0000-0000-0000EF1A0000}"/>
    <cellStyle name="AggGreen12 2 2 3 8" xfId="8714" xr:uid="{00000000-0005-0000-0000-0000F01A0000}"/>
    <cellStyle name="AggGreen12 2 2 3 9" xfId="11186" xr:uid="{00000000-0005-0000-0000-0000F11A0000}"/>
    <cellStyle name="AggGreen12 2 3" xfId="276" xr:uid="{00000000-0005-0000-0000-0000F21A0000}"/>
    <cellStyle name="AggGreen12 2 3 10" xfId="8973" xr:uid="{00000000-0005-0000-0000-0000F31A0000}"/>
    <cellStyle name="AggGreen12 2 3 11" xfId="8844" xr:uid="{00000000-0005-0000-0000-0000F41A0000}"/>
    <cellStyle name="AggGreen12 2 3 12" xfId="9281" xr:uid="{00000000-0005-0000-0000-0000F51A0000}"/>
    <cellStyle name="AggGreen12 2 3 13" xfId="9822" xr:uid="{00000000-0005-0000-0000-0000F61A0000}"/>
    <cellStyle name="AggGreen12 2 3 14" xfId="11560" xr:uid="{00000000-0005-0000-0000-0000F71A0000}"/>
    <cellStyle name="AggGreen12 2 3 15" xfId="12226" xr:uid="{00000000-0005-0000-0000-0000F81A0000}"/>
    <cellStyle name="AggGreen12 2 3 16" xfId="16519" xr:uid="{00000000-0005-0000-0000-0000F91A0000}"/>
    <cellStyle name="AggGreen12 2 3 17" xfId="17632" xr:uid="{00000000-0005-0000-0000-0000FA1A0000}"/>
    <cellStyle name="AggGreen12 2 3 18" xfId="16068" xr:uid="{00000000-0005-0000-0000-0000FB1A0000}"/>
    <cellStyle name="AggGreen12 2 3 19" xfId="19509" xr:uid="{00000000-0005-0000-0000-0000FC1A0000}"/>
    <cellStyle name="AggGreen12 2 3 2" xfId="615" xr:uid="{00000000-0005-0000-0000-0000FD1A0000}"/>
    <cellStyle name="AggGreen12 2 3 2 10" xfId="11082" xr:uid="{00000000-0005-0000-0000-0000FE1A0000}"/>
    <cellStyle name="AggGreen12 2 3 2 11" xfId="11469" xr:uid="{00000000-0005-0000-0000-0000FF1A0000}"/>
    <cellStyle name="AggGreen12 2 3 2 12" xfId="11841" xr:uid="{00000000-0005-0000-0000-0000001B0000}"/>
    <cellStyle name="AggGreen12 2 3 2 13" xfId="12354" xr:uid="{00000000-0005-0000-0000-0000011B0000}"/>
    <cellStyle name="AggGreen12 2 3 2 14" xfId="15711" xr:uid="{00000000-0005-0000-0000-0000021B0000}"/>
    <cellStyle name="AggGreen12 2 3 2 15" xfId="16085" xr:uid="{00000000-0005-0000-0000-0000031B0000}"/>
    <cellStyle name="AggGreen12 2 3 2 16" xfId="16764" xr:uid="{00000000-0005-0000-0000-0000041B0000}"/>
    <cellStyle name="AggGreen12 2 3 2 17" xfId="18443" xr:uid="{00000000-0005-0000-0000-0000051B0000}"/>
    <cellStyle name="AggGreen12 2 3 2 2" xfId="830" xr:uid="{00000000-0005-0000-0000-0000061B0000}"/>
    <cellStyle name="AggGreen12 2 3 2 2 10" xfId="11676" xr:uid="{00000000-0005-0000-0000-0000071B0000}"/>
    <cellStyle name="AggGreen12 2 3 2 2 11" xfId="12047" xr:uid="{00000000-0005-0000-0000-0000081B0000}"/>
    <cellStyle name="AggGreen12 2 3 2 2 12" xfId="12560" xr:uid="{00000000-0005-0000-0000-0000091B0000}"/>
    <cellStyle name="AggGreen12 2 3 2 2 13" xfId="14145" xr:uid="{00000000-0005-0000-0000-00000A1B0000}"/>
    <cellStyle name="AggGreen12 2 3 2 2 14" xfId="15456" xr:uid="{00000000-0005-0000-0000-00000B1B0000}"/>
    <cellStyle name="AggGreen12 2 3 2 2 15" xfId="18486" xr:uid="{00000000-0005-0000-0000-00000C1B0000}"/>
    <cellStyle name="AggGreen12 2 3 2 2 16" xfId="18454" xr:uid="{00000000-0005-0000-0000-00000D1B0000}"/>
    <cellStyle name="AggGreen12 2 3 2 2 2" xfId="1013" xr:uid="{00000000-0005-0000-0000-00000E1B0000}"/>
    <cellStyle name="AggGreen12 2 3 2 2 2 2" xfId="12742" xr:uid="{00000000-0005-0000-0000-00000F1B0000}"/>
    <cellStyle name="AggGreen12 2 3 2 2 2 3" xfId="14213" xr:uid="{00000000-0005-0000-0000-0000101B0000}"/>
    <cellStyle name="AggGreen12 2 3 2 2 2 4" xfId="17389" xr:uid="{00000000-0005-0000-0000-0000111B0000}"/>
    <cellStyle name="AggGreen12 2 3 2 2 2 5" xfId="17541" xr:uid="{00000000-0005-0000-0000-0000121B0000}"/>
    <cellStyle name="AggGreen12 2 3 2 2 2 6" xfId="18223" xr:uid="{00000000-0005-0000-0000-0000131B0000}"/>
    <cellStyle name="AggGreen12 2 3 2 2 3" xfId="3897" xr:uid="{00000000-0005-0000-0000-0000141B0000}"/>
    <cellStyle name="AggGreen12 2 3 2 2 4" xfId="8725" xr:uid="{00000000-0005-0000-0000-0000151B0000}"/>
    <cellStyle name="AggGreen12 2 3 2 2 5" xfId="9731" xr:uid="{00000000-0005-0000-0000-0000161B0000}"/>
    <cellStyle name="AggGreen12 2 3 2 2 6" xfId="10160" xr:uid="{00000000-0005-0000-0000-0000171B0000}"/>
    <cellStyle name="AggGreen12 2 3 2 2 7" xfId="10572" xr:uid="{00000000-0005-0000-0000-0000181B0000}"/>
    <cellStyle name="AggGreen12 2 3 2 2 8" xfId="8571" xr:uid="{00000000-0005-0000-0000-0000191B0000}"/>
    <cellStyle name="AggGreen12 2 3 2 2 9" xfId="11291" xr:uid="{00000000-0005-0000-0000-00001A1B0000}"/>
    <cellStyle name="AggGreen12 2 3 2 3" xfId="1268" xr:uid="{00000000-0005-0000-0000-00001B1B0000}"/>
    <cellStyle name="AggGreen12 2 3 2 3 2" xfId="12997" xr:uid="{00000000-0005-0000-0000-00001C1B0000}"/>
    <cellStyle name="AggGreen12 2 3 2 3 3" xfId="15399" xr:uid="{00000000-0005-0000-0000-00001D1B0000}"/>
    <cellStyle name="AggGreen12 2 3 2 3 4" xfId="17208" xr:uid="{00000000-0005-0000-0000-00001E1B0000}"/>
    <cellStyle name="AggGreen12 2 3 2 3 5" xfId="18138" xr:uid="{00000000-0005-0000-0000-00001F1B0000}"/>
    <cellStyle name="AggGreen12 2 3 2 3 6" xfId="19160" xr:uid="{00000000-0005-0000-0000-0000201B0000}"/>
    <cellStyle name="AggGreen12 2 3 2 4" xfId="3699" xr:uid="{00000000-0005-0000-0000-0000211B0000}"/>
    <cellStyle name="AggGreen12 2 3 2 5" xfId="9213" xr:uid="{00000000-0005-0000-0000-0000221B0000}"/>
    <cellStyle name="AggGreen12 2 3 2 6" xfId="9519" xr:uid="{00000000-0005-0000-0000-0000231B0000}"/>
    <cellStyle name="AggGreen12 2 3 2 7" xfId="9946" xr:uid="{00000000-0005-0000-0000-0000241B0000}"/>
    <cellStyle name="AggGreen12 2 3 2 8" xfId="10358" xr:uid="{00000000-0005-0000-0000-0000251B0000}"/>
    <cellStyle name="AggGreen12 2 3 2 9" xfId="10039" xr:uid="{00000000-0005-0000-0000-0000261B0000}"/>
    <cellStyle name="AggGreen12 2 3 3" xfId="564" xr:uid="{00000000-0005-0000-0000-0000271B0000}"/>
    <cellStyle name="AggGreen12 2 3 3 10" xfId="11031" xr:uid="{00000000-0005-0000-0000-0000281B0000}"/>
    <cellStyle name="AggGreen12 2 3 3 11" xfId="11418" xr:uid="{00000000-0005-0000-0000-0000291B0000}"/>
    <cellStyle name="AggGreen12 2 3 3 12" xfId="11790" xr:uid="{00000000-0005-0000-0000-00002A1B0000}"/>
    <cellStyle name="AggGreen12 2 3 3 13" xfId="12303" xr:uid="{00000000-0005-0000-0000-00002B1B0000}"/>
    <cellStyle name="AggGreen12 2 3 3 14" xfId="14035" xr:uid="{00000000-0005-0000-0000-00002C1B0000}"/>
    <cellStyle name="AggGreen12 2 3 3 15" xfId="16200" xr:uid="{00000000-0005-0000-0000-00002D1B0000}"/>
    <cellStyle name="AggGreen12 2 3 3 16" xfId="15763" xr:uid="{00000000-0005-0000-0000-00002E1B0000}"/>
    <cellStyle name="AggGreen12 2 3 3 17" xfId="18586" xr:uid="{00000000-0005-0000-0000-00002F1B0000}"/>
    <cellStyle name="AggGreen12 2 3 3 2" xfId="779" xr:uid="{00000000-0005-0000-0000-0000301B0000}"/>
    <cellStyle name="AggGreen12 2 3 3 2 10" xfId="11625" xr:uid="{00000000-0005-0000-0000-0000311B0000}"/>
    <cellStyle name="AggGreen12 2 3 3 2 11" xfId="11996" xr:uid="{00000000-0005-0000-0000-0000321B0000}"/>
    <cellStyle name="AggGreen12 2 3 3 2 12" xfId="12509" xr:uid="{00000000-0005-0000-0000-0000331B0000}"/>
    <cellStyle name="AggGreen12 2 3 3 2 13" xfId="16102" xr:uid="{00000000-0005-0000-0000-0000341B0000}"/>
    <cellStyle name="AggGreen12 2 3 3 2 14" xfId="16168" xr:uid="{00000000-0005-0000-0000-0000351B0000}"/>
    <cellStyle name="AggGreen12 2 3 3 2 15" xfId="14519" xr:uid="{00000000-0005-0000-0000-0000361B0000}"/>
    <cellStyle name="AggGreen12 2 3 3 2 16" xfId="18173" xr:uid="{00000000-0005-0000-0000-0000371B0000}"/>
    <cellStyle name="AggGreen12 2 3 3 2 2" xfId="1186" xr:uid="{00000000-0005-0000-0000-0000381B0000}"/>
    <cellStyle name="AggGreen12 2 3 3 2 2 2" xfId="12915" xr:uid="{00000000-0005-0000-0000-0000391B0000}"/>
    <cellStyle name="AggGreen12 2 3 3 2 2 3" xfId="15356" xr:uid="{00000000-0005-0000-0000-00003A1B0000}"/>
    <cellStyle name="AggGreen12 2 3 3 2 2 4" xfId="17268" xr:uid="{00000000-0005-0000-0000-00003B1B0000}"/>
    <cellStyle name="AggGreen12 2 3 3 2 2 5" xfId="17878" xr:uid="{00000000-0005-0000-0000-00003C1B0000}"/>
    <cellStyle name="AggGreen12 2 3 3 2 2 6" xfId="19220" xr:uid="{00000000-0005-0000-0000-00003D1B0000}"/>
    <cellStyle name="AggGreen12 2 3 3 2 3" xfId="3580" xr:uid="{00000000-0005-0000-0000-00003E1B0000}"/>
    <cellStyle name="AggGreen12 2 3 3 2 4" xfId="8637" xr:uid="{00000000-0005-0000-0000-00003F1B0000}"/>
    <cellStyle name="AggGreen12 2 3 3 2 5" xfId="9680" xr:uid="{00000000-0005-0000-0000-0000401B0000}"/>
    <cellStyle name="AggGreen12 2 3 3 2 6" xfId="10109" xr:uid="{00000000-0005-0000-0000-0000411B0000}"/>
    <cellStyle name="AggGreen12 2 3 3 2 7" xfId="10521" xr:uid="{00000000-0005-0000-0000-0000421B0000}"/>
    <cellStyle name="AggGreen12 2 3 3 2 8" xfId="9219" xr:uid="{00000000-0005-0000-0000-0000431B0000}"/>
    <cellStyle name="AggGreen12 2 3 3 2 9" xfId="11240" xr:uid="{00000000-0005-0000-0000-0000441B0000}"/>
    <cellStyle name="AggGreen12 2 3 3 3" xfId="999" xr:uid="{00000000-0005-0000-0000-0000451B0000}"/>
    <cellStyle name="AggGreen12 2 3 3 3 2" xfId="12728" xr:uid="{00000000-0005-0000-0000-0000461B0000}"/>
    <cellStyle name="AggGreen12 2 3 3 3 3" xfId="15292" xr:uid="{00000000-0005-0000-0000-0000471B0000}"/>
    <cellStyle name="AggGreen12 2 3 3 3 4" xfId="13971" xr:uid="{00000000-0005-0000-0000-0000481B0000}"/>
    <cellStyle name="AggGreen12 2 3 3 3 5" xfId="16779" xr:uid="{00000000-0005-0000-0000-0000491B0000}"/>
    <cellStyle name="AggGreen12 2 3 3 3 6" xfId="19345" xr:uid="{00000000-0005-0000-0000-00004A1B0000}"/>
    <cellStyle name="AggGreen12 2 3 3 4" xfId="3876" xr:uid="{00000000-0005-0000-0000-00004B1B0000}"/>
    <cellStyle name="AggGreen12 2 3 3 5" xfId="8614" xr:uid="{00000000-0005-0000-0000-00004C1B0000}"/>
    <cellStyle name="AggGreen12 2 3 3 6" xfId="9468" xr:uid="{00000000-0005-0000-0000-00004D1B0000}"/>
    <cellStyle name="AggGreen12 2 3 3 7" xfId="9895" xr:uid="{00000000-0005-0000-0000-00004E1B0000}"/>
    <cellStyle name="AggGreen12 2 3 3 8" xfId="10307" xr:uid="{00000000-0005-0000-0000-00004F1B0000}"/>
    <cellStyle name="AggGreen12 2 3 3 9" xfId="9218" xr:uid="{00000000-0005-0000-0000-0000501B0000}"/>
    <cellStyle name="AggGreen12 2 3 4" xfId="644" xr:uid="{00000000-0005-0000-0000-0000511B0000}"/>
    <cellStyle name="AggGreen12 2 3 4 10" xfId="11111" xr:uid="{00000000-0005-0000-0000-0000521B0000}"/>
    <cellStyle name="AggGreen12 2 3 4 11" xfId="11498" xr:uid="{00000000-0005-0000-0000-0000531B0000}"/>
    <cellStyle name="AggGreen12 2 3 4 12" xfId="11870" xr:uid="{00000000-0005-0000-0000-0000541B0000}"/>
    <cellStyle name="AggGreen12 2 3 4 13" xfId="12383" xr:uid="{00000000-0005-0000-0000-0000551B0000}"/>
    <cellStyle name="AggGreen12 2 3 4 14" xfId="15870" xr:uid="{00000000-0005-0000-0000-0000561B0000}"/>
    <cellStyle name="AggGreen12 2 3 4 15" xfId="15971" xr:uid="{00000000-0005-0000-0000-0000571B0000}"/>
    <cellStyle name="AggGreen12 2 3 4 16" xfId="14456" xr:uid="{00000000-0005-0000-0000-0000581B0000}"/>
    <cellStyle name="AggGreen12 2 3 4 17" xfId="14160" xr:uid="{00000000-0005-0000-0000-0000591B0000}"/>
    <cellStyle name="AggGreen12 2 3 4 2" xfId="859" xr:uid="{00000000-0005-0000-0000-00005A1B0000}"/>
    <cellStyle name="AggGreen12 2 3 4 2 10" xfId="11705" xr:uid="{00000000-0005-0000-0000-00005B1B0000}"/>
    <cellStyle name="AggGreen12 2 3 4 2 11" xfId="12076" xr:uid="{00000000-0005-0000-0000-00005C1B0000}"/>
    <cellStyle name="AggGreen12 2 3 4 2 12" xfId="12589" xr:uid="{00000000-0005-0000-0000-00005D1B0000}"/>
    <cellStyle name="AggGreen12 2 3 4 2 13" xfId="13921" xr:uid="{00000000-0005-0000-0000-00005E1B0000}"/>
    <cellStyle name="AggGreen12 2 3 4 2 14" xfId="15872" xr:uid="{00000000-0005-0000-0000-00005F1B0000}"/>
    <cellStyle name="AggGreen12 2 3 4 2 15" xfId="18504" xr:uid="{00000000-0005-0000-0000-0000601B0000}"/>
    <cellStyle name="AggGreen12 2 3 4 2 16" xfId="15086" xr:uid="{00000000-0005-0000-0000-0000611B0000}"/>
    <cellStyle name="AggGreen12 2 3 4 2 2" xfId="1312" xr:uid="{00000000-0005-0000-0000-0000621B0000}"/>
    <cellStyle name="AggGreen12 2 3 4 2 2 2" xfId="13041" xr:uid="{00000000-0005-0000-0000-0000631B0000}"/>
    <cellStyle name="AggGreen12 2 3 4 2 2 3" xfId="15424" xr:uid="{00000000-0005-0000-0000-0000641B0000}"/>
    <cellStyle name="AggGreen12 2 3 4 2 2 4" xfId="17176" xr:uid="{00000000-0005-0000-0000-0000651B0000}"/>
    <cellStyle name="AggGreen12 2 3 4 2 2 5" xfId="18148" xr:uid="{00000000-0005-0000-0000-0000661B0000}"/>
    <cellStyle name="AggGreen12 2 3 4 2 2 6" xfId="19128" xr:uid="{00000000-0005-0000-0000-0000671B0000}"/>
    <cellStyle name="AggGreen12 2 3 4 2 3" xfId="3780" xr:uid="{00000000-0005-0000-0000-0000681B0000}"/>
    <cellStyle name="AggGreen12 2 3 4 2 4" xfId="9332" xr:uid="{00000000-0005-0000-0000-0000691B0000}"/>
    <cellStyle name="AggGreen12 2 3 4 2 5" xfId="9760" xr:uid="{00000000-0005-0000-0000-00006A1B0000}"/>
    <cellStyle name="AggGreen12 2 3 4 2 6" xfId="10189" xr:uid="{00000000-0005-0000-0000-00006B1B0000}"/>
    <cellStyle name="AggGreen12 2 3 4 2 7" xfId="10601" xr:uid="{00000000-0005-0000-0000-00006C1B0000}"/>
    <cellStyle name="AggGreen12 2 3 4 2 8" xfId="10811" xr:uid="{00000000-0005-0000-0000-00006D1B0000}"/>
    <cellStyle name="AggGreen12 2 3 4 2 9" xfId="11320" xr:uid="{00000000-0005-0000-0000-00006E1B0000}"/>
    <cellStyle name="AggGreen12 2 3 4 3" xfId="1299" xr:uid="{00000000-0005-0000-0000-00006F1B0000}"/>
    <cellStyle name="AggGreen12 2 3 4 3 2" xfId="13028" xr:uid="{00000000-0005-0000-0000-0000701B0000}"/>
    <cellStyle name="AggGreen12 2 3 4 3 3" xfId="15416" xr:uid="{00000000-0005-0000-0000-0000711B0000}"/>
    <cellStyle name="AggGreen12 2 3 4 3 4" xfId="17185" xr:uid="{00000000-0005-0000-0000-0000721B0000}"/>
    <cellStyle name="AggGreen12 2 3 4 3 5" xfId="15151" xr:uid="{00000000-0005-0000-0000-0000731B0000}"/>
    <cellStyle name="AggGreen12 2 3 4 3 6" xfId="19137" xr:uid="{00000000-0005-0000-0000-0000741B0000}"/>
    <cellStyle name="AggGreen12 2 3 4 4" xfId="3542" xr:uid="{00000000-0005-0000-0000-0000751B0000}"/>
    <cellStyle name="AggGreen12 2 3 4 5" xfId="9069" xr:uid="{00000000-0005-0000-0000-0000761B0000}"/>
    <cellStyle name="AggGreen12 2 3 4 6" xfId="9548" xr:uid="{00000000-0005-0000-0000-0000771B0000}"/>
    <cellStyle name="AggGreen12 2 3 4 7" xfId="9975" xr:uid="{00000000-0005-0000-0000-0000781B0000}"/>
    <cellStyle name="AggGreen12 2 3 4 8" xfId="10387" xr:uid="{00000000-0005-0000-0000-0000791B0000}"/>
    <cellStyle name="AggGreen12 2 3 4 9" xfId="10840" xr:uid="{00000000-0005-0000-0000-00007A1B0000}"/>
    <cellStyle name="AggGreen12 2 3 5" xfId="1241" xr:uid="{00000000-0005-0000-0000-00007B1B0000}"/>
    <cellStyle name="AggGreen12 2 3 5 2" xfId="12970" xr:uid="{00000000-0005-0000-0000-00007C1B0000}"/>
    <cellStyle name="AggGreen12 2 3 5 3" xfId="14223" xr:uid="{00000000-0005-0000-0000-00007D1B0000}"/>
    <cellStyle name="AggGreen12 2 3 5 4" xfId="17227" xr:uid="{00000000-0005-0000-0000-00007E1B0000}"/>
    <cellStyle name="AggGreen12 2 3 5 5" xfId="16197" xr:uid="{00000000-0005-0000-0000-00007F1B0000}"/>
    <cellStyle name="AggGreen12 2 3 5 6" xfId="14979" xr:uid="{00000000-0005-0000-0000-0000801B0000}"/>
    <cellStyle name="AggGreen12 2 3 6" xfId="3667" xr:uid="{00000000-0005-0000-0000-0000811B0000}"/>
    <cellStyle name="AggGreen12 2 3 7" xfId="8829" xr:uid="{00000000-0005-0000-0000-0000821B0000}"/>
    <cellStyle name="AggGreen12 2 3 8" xfId="8897" xr:uid="{00000000-0005-0000-0000-0000831B0000}"/>
    <cellStyle name="AggGreen12 2 3 9" xfId="9613" xr:uid="{00000000-0005-0000-0000-0000841B0000}"/>
    <cellStyle name="AggGreen12 3" xfId="417" xr:uid="{00000000-0005-0000-0000-0000851B0000}"/>
    <cellStyle name="AggGreen12 3 2" xfId="541" xr:uid="{00000000-0005-0000-0000-0000861B0000}"/>
    <cellStyle name="AggGreen12 3 2 10" xfId="11008" xr:uid="{00000000-0005-0000-0000-0000871B0000}"/>
    <cellStyle name="AggGreen12 3 2 11" xfId="11395" xr:uid="{00000000-0005-0000-0000-0000881B0000}"/>
    <cellStyle name="AggGreen12 3 2 12" xfId="11767" xr:uid="{00000000-0005-0000-0000-0000891B0000}"/>
    <cellStyle name="AggGreen12 3 2 13" xfId="12280" xr:uid="{00000000-0005-0000-0000-00008A1B0000}"/>
    <cellStyle name="AggGreen12 3 2 14" xfId="14073" xr:uid="{00000000-0005-0000-0000-00008B1B0000}"/>
    <cellStyle name="AggGreen12 3 2 15" xfId="13726" xr:uid="{00000000-0005-0000-0000-00008C1B0000}"/>
    <cellStyle name="AggGreen12 3 2 16" xfId="18573" xr:uid="{00000000-0005-0000-0000-00008D1B0000}"/>
    <cellStyle name="AggGreen12 3 2 17" xfId="14639" xr:uid="{00000000-0005-0000-0000-00008E1B0000}"/>
    <cellStyle name="AggGreen12 3 2 2" xfId="756" xr:uid="{00000000-0005-0000-0000-00008F1B0000}"/>
    <cellStyle name="AggGreen12 3 2 2 10" xfId="11602" xr:uid="{00000000-0005-0000-0000-0000901B0000}"/>
    <cellStyle name="AggGreen12 3 2 2 11" xfId="11973" xr:uid="{00000000-0005-0000-0000-0000911B0000}"/>
    <cellStyle name="AggGreen12 3 2 2 12" xfId="12486" xr:uid="{00000000-0005-0000-0000-0000921B0000}"/>
    <cellStyle name="AggGreen12 3 2 2 13" xfId="14772" xr:uid="{00000000-0005-0000-0000-0000931B0000}"/>
    <cellStyle name="AggGreen12 3 2 2 14" xfId="14882" xr:uid="{00000000-0005-0000-0000-0000941B0000}"/>
    <cellStyle name="AggGreen12 3 2 2 15" xfId="14140" xr:uid="{00000000-0005-0000-0000-0000951B0000}"/>
    <cellStyle name="AggGreen12 3 2 2 16" xfId="18571" xr:uid="{00000000-0005-0000-0000-0000961B0000}"/>
    <cellStyle name="AggGreen12 3 2 2 2" xfId="1232" xr:uid="{00000000-0005-0000-0000-0000971B0000}"/>
    <cellStyle name="AggGreen12 3 2 2 2 2" xfId="12961" xr:uid="{00000000-0005-0000-0000-0000981B0000}"/>
    <cellStyle name="AggGreen12 3 2 2 2 3" xfId="16248" xr:uid="{00000000-0005-0000-0000-0000991B0000}"/>
    <cellStyle name="AggGreen12 3 2 2 2 4" xfId="16014" xr:uid="{00000000-0005-0000-0000-00009A1B0000}"/>
    <cellStyle name="AggGreen12 3 2 2 2 5" xfId="14194" xr:uid="{00000000-0005-0000-0000-00009B1B0000}"/>
    <cellStyle name="AggGreen12 3 2 2 2 6" xfId="17581" xr:uid="{00000000-0005-0000-0000-00009C1B0000}"/>
    <cellStyle name="AggGreen12 3 2 2 3" xfId="4125" xr:uid="{00000000-0005-0000-0000-00009D1B0000}"/>
    <cellStyle name="AggGreen12 3 2 2 4" xfId="8638" xr:uid="{00000000-0005-0000-0000-00009E1B0000}"/>
    <cellStyle name="AggGreen12 3 2 2 5" xfId="9657" xr:uid="{00000000-0005-0000-0000-00009F1B0000}"/>
    <cellStyle name="AggGreen12 3 2 2 6" xfId="10086" xr:uid="{00000000-0005-0000-0000-0000A01B0000}"/>
    <cellStyle name="AggGreen12 3 2 2 7" xfId="10498" xr:uid="{00000000-0005-0000-0000-0000A11B0000}"/>
    <cellStyle name="AggGreen12 3 2 2 8" xfId="9806" xr:uid="{00000000-0005-0000-0000-0000A21B0000}"/>
    <cellStyle name="AggGreen12 3 2 2 9" xfId="11217" xr:uid="{00000000-0005-0000-0000-0000A31B0000}"/>
    <cellStyle name="AggGreen12 3 2 3" xfId="1375" xr:uid="{00000000-0005-0000-0000-0000A41B0000}"/>
    <cellStyle name="AggGreen12 3 2 3 2" xfId="13104" xr:uid="{00000000-0005-0000-0000-0000A51B0000}"/>
    <cellStyle name="AggGreen12 3 2 3 3" xfId="14843" xr:uid="{00000000-0005-0000-0000-0000A61B0000}"/>
    <cellStyle name="AggGreen12 3 2 3 4" xfId="17133" xr:uid="{00000000-0005-0000-0000-0000A71B0000}"/>
    <cellStyle name="AggGreen12 3 2 3 5" xfId="16070" xr:uid="{00000000-0005-0000-0000-0000A81B0000}"/>
    <cellStyle name="AggGreen12 3 2 3 6" xfId="19085" xr:uid="{00000000-0005-0000-0000-0000A91B0000}"/>
    <cellStyle name="AggGreen12 3 2 4" xfId="3819" xr:uid="{00000000-0005-0000-0000-0000AA1B0000}"/>
    <cellStyle name="AggGreen12 3 2 5" xfId="9136" xr:uid="{00000000-0005-0000-0000-0000AB1B0000}"/>
    <cellStyle name="AggGreen12 3 2 6" xfId="9445" xr:uid="{00000000-0005-0000-0000-0000AC1B0000}"/>
    <cellStyle name="AggGreen12 3 2 7" xfId="9872" xr:uid="{00000000-0005-0000-0000-0000AD1B0000}"/>
    <cellStyle name="AggGreen12 3 2 8" xfId="10284" xr:uid="{00000000-0005-0000-0000-0000AE1B0000}"/>
    <cellStyle name="AggGreen12 3 2 9" xfId="9300" xr:uid="{00000000-0005-0000-0000-0000AF1B0000}"/>
    <cellStyle name="AggGreen12 3 3" xfId="724" xr:uid="{00000000-0005-0000-0000-0000B01B0000}"/>
    <cellStyle name="AggGreen12 3 3 10" xfId="11570" xr:uid="{00000000-0005-0000-0000-0000B11B0000}"/>
    <cellStyle name="AggGreen12 3 3 11" xfId="11941" xr:uid="{00000000-0005-0000-0000-0000B21B0000}"/>
    <cellStyle name="AggGreen12 3 3 12" xfId="12454" xr:uid="{00000000-0005-0000-0000-0000B31B0000}"/>
    <cellStyle name="AggGreen12 3 3 13" xfId="15230" xr:uid="{00000000-0005-0000-0000-0000B41B0000}"/>
    <cellStyle name="AggGreen12 3 3 14" xfId="17491" xr:uid="{00000000-0005-0000-0000-0000B51B0000}"/>
    <cellStyle name="AggGreen12 3 3 15" xfId="13947" xr:uid="{00000000-0005-0000-0000-0000B61B0000}"/>
    <cellStyle name="AggGreen12 3 3 16" xfId="19443" xr:uid="{00000000-0005-0000-0000-0000B71B0000}"/>
    <cellStyle name="AggGreen12 3 3 2" xfId="1242" xr:uid="{00000000-0005-0000-0000-0000B81B0000}"/>
    <cellStyle name="AggGreen12 3 3 2 2" xfId="12971" xr:uid="{00000000-0005-0000-0000-0000B91B0000}"/>
    <cellStyle name="AggGreen12 3 3 2 3" xfId="15386" xr:uid="{00000000-0005-0000-0000-0000BA1B0000}"/>
    <cellStyle name="AggGreen12 3 3 2 4" xfId="13828" xr:uid="{00000000-0005-0000-0000-0000BB1B0000}"/>
    <cellStyle name="AggGreen12 3 3 2 5" xfId="17035" xr:uid="{00000000-0005-0000-0000-0000BC1B0000}"/>
    <cellStyle name="AggGreen12 3 3 2 6" xfId="19179" xr:uid="{00000000-0005-0000-0000-0000BD1B0000}"/>
    <cellStyle name="AggGreen12 3 3 3" xfId="3843" xr:uid="{00000000-0005-0000-0000-0000BE1B0000}"/>
    <cellStyle name="AggGreen12 3 3 4" xfId="8563" xr:uid="{00000000-0005-0000-0000-0000BF1B0000}"/>
    <cellStyle name="AggGreen12 3 3 5" xfId="9625" xr:uid="{00000000-0005-0000-0000-0000C01B0000}"/>
    <cellStyle name="AggGreen12 3 3 6" xfId="10054" xr:uid="{00000000-0005-0000-0000-0000C11B0000}"/>
    <cellStyle name="AggGreen12 3 3 7" xfId="10466" xr:uid="{00000000-0005-0000-0000-0000C21B0000}"/>
    <cellStyle name="AggGreen12 3 3 8" xfId="8538" xr:uid="{00000000-0005-0000-0000-0000C31B0000}"/>
    <cellStyle name="AggGreen12 3 3 9" xfId="11185" xr:uid="{00000000-0005-0000-0000-0000C41B0000}"/>
    <cellStyle name="AggGreen12 4" xfId="275" xr:uid="{00000000-0005-0000-0000-0000C51B0000}"/>
    <cellStyle name="AggGreen12 4 10" xfId="9241" xr:uid="{00000000-0005-0000-0000-0000C61B0000}"/>
    <cellStyle name="AggGreen12 4 11" xfId="9845" xr:uid="{00000000-0005-0000-0000-0000C71B0000}"/>
    <cellStyle name="AggGreen12 4 12" xfId="8705" xr:uid="{00000000-0005-0000-0000-0000C81B0000}"/>
    <cellStyle name="AggGreen12 4 13" xfId="10990" xr:uid="{00000000-0005-0000-0000-0000C91B0000}"/>
    <cellStyle name="AggGreen12 4 14" xfId="9412" xr:uid="{00000000-0005-0000-0000-0000CA1B0000}"/>
    <cellStyle name="AggGreen12 4 15" xfId="12225" xr:uid="{00000000-0005-0000-0000-0000CB1B0000}"/>
    <cellStyle name="AggGreen12 4 16" xfId="16520" xr:uid="{00000000-0005-0000-0000-0000CC1B0000}"/>
    <cellStyle name="AggGreen12 4 17" xfId="17633" xr:uid="{00000000-0005-0000-0000-0000CD1B0000}"/>
    <cellStyle name="AggGreen12 4 18" xfId="16810" xr:uid="{00000000-0005-0000-0000-0000CE1B0000}"/>
    <cellStyle name="AggGreen12 4 19" xfId="19510" xr:uid="{00000000-0005-0000-0000-0000CF1B0000}"/>
    <cellStyle name="AggGreen12 4 2" xfId="614" xr:uid="{00000000-0005-0000-0000-0000D01B0000}"/>
    <cellStyle name="AggGreen12 4 2 10" xfId="11081" xr:uid="{00000000-0005-0000-0000-0000D11B0000}"/>
    <cellStyle name="AggGreen12 4 2 11" xfId="11468" xr:uid="{00000000-0005-0000-0000-0000D21B0000}"/>
    <cellStyle name="AggGreen12 4 2 12" xfId="11840" xr:uid="{00000000-0005-0000-0000-0000D31B0000}"/>
    <cellStyle name="AggGreen12 4 2 13" xfId="12353" xr:uid="{00000000-0005-0000-0000-0000D41B0000}"/>
    <cellStyle name="AggGreen12 4 2 14" xfId="15874" xr:uid="{00000000-0005-0000-0000-0000D51B0000}"/>
    <cellStyle name="AggGreen12 4 2 15" xfId="15040" xr:uid="{00000000-0005-0000-0000-0000D61B0000}"/>
    <cellStyle name="AggGreen12 4 2 16" xfId="14859" xr:uid="{00000000-0005-0000-0000-0000D71B0000}"/>
    <cellStyle name="AggGreen12 4 2 17" xfId="18259" xr:uid="{00000000-0005-0000-0000-0000D81B0000}"/>
    <cellStyle name="AggGreen12 4 2 2" xfId="829" xr:uid="{00000000-0005-0000-0000-0000D91B0000}"/>
    <cellStyle name="AggGreen12 4 2 2 10" xfId="11675" xr:uid="{00000000-0005-0000-0000-0000DA1B0000}"/>
    <cellStyle name="AggGreen12 4 2 2 11" xfId="12046" xr:uid="{00000000-0005-0000-0000-0000DB1B0000}"/>
    <cellStyle name="AggGreen12 4 2 2 12" xfId="12559" xr:uid="{00000000-0005-0000-0000-0000DC1B0000}"/>
    <cellStyle name="AggGreen12 4 2 2 13" xfId="16140" xr:uid="{00000000-0005-0000-0000-0000DD1B0000}"/>
    <cellStyle name="AggGreen12 4 2 2 14" xfId="14950" xr:uid="{00000000-0005-0000-0000-0000DE1B0000}"/>
    <cellStyle name="AggGreen12 4 2 2 15" xfId="15222" xr:uid="{00000000-0005-0000-0000-0000DF1B0000}"/>
    <cellStyle name="AggGreen12 4 2 2 16" xfId="17726" xr:uid="{00000000-0005-0000-0000-0000E01B0000}"/>
    <cellStyle name="AggGreen12 4 2 2 2" xfId="1026" xr:uid="{00000000-0005-0000-0000-0000E11B0000}"/>
    <cellStyle name="AggGreen12 4 2 2 2 2" xfId="12755" xr:uid="{00000000-0005-0000-0000-0000E21B0000}"/>
    <cellStyle name="AggGreen12 4 2 2 2 3" xfId="16208" xr:uid="{00000000-0005-0000-0000-0000E31B0000}"/>
    <cellStyle name="AggGreen12 4 2 2 2 4" xfId="15782" xr:uid="{00000000-0005-0000-0000-0000E41B0000}"/>
    <cellStyle name="AggGreen12 4 2 2 2 5" xfId="17007" xr:uid="{00000000-0005-0000-0000-0000E51B0000}"/>
    <cellStyle name="AggGreen12 4 2 2 2 6" xfId="18099" xr:uid="{00000000-0005-0000-0000-0000E61B0000}"/>
    <cellStyle name="AggGreen12 4 2 2 3" xfId="4003" xr:uid="{00000000-0005-0000-0000-0000E71B0000}"/>
    <cellStyle name="AggGreen12 4 2 2 4" xfId="8622" xr:uid="{00000000-0005-0000-0000-0000E81B0000}"/>
    <cellStyle name="AggGreen12 4 2 2 5" xfId="9730" xr:uid="{00000000-0005-0000-0000-0000E91B0000}"/>
    <cellStyle name="AggGreen12 4 2 2 6" xfId="10159" xr:uid="{00000000-0005-0000-0000-0000EA1B0000}"/>
    <cellStyle name="AggGreen12 4 2 2 7" xfId="10571" xr:uid="{00000000-0005-0000-0000-0000EB1B0000}"/>
    <cellStyle name="AggGreen12 4 2 2 8" xfId="10663" xr:uid="{00000000-0005-0000-0000-0000EC1B0000}"/>
    <cellStyle name="AggGreen12 4 2 2 9" xfId="11290" xr:uid="{00000000-0005-0000-0000-0000ED1B0000}"/>
    <cellStyle name="AggGreen12 4 2 3" xfId="1323" xr:uid="{00000000-0005-0000-0000-0000EE1B0000}"/>
    <cellStyle name="AggGreen12 4 2 3 2" xfId="13052" xr:uid="{00000000-0005-0000-0000-0000EF1B0000}"/>
    <cellStyle name="AggGreen12 4 2 3 3" xfId="14930" xr:uid="{00000000-0005-0000-0000-0000F01B0000}"/>
    <cellStyle name="AggGreen12 4 2 3 4" xfId="14177" xr:uid="{00000000-0005-0000-0000-0000F11B0000}"/>
    <cellStyle name="AggGreen12 4 2 3 5" xfId="15101" xr:uid="{00000000-0005-0000-0000-0000F21B0000}"/>
    <cellStyle name="AggGreen12 4 2 3 6" xfId="18265" xr:uid="{00000000-0005-0000-0000-0000F31B0000}"/>
    <cellStyle name="AggGreen12 4 2 4" xfId="3485" xr:uid="{00000000-0005-0000-0000-0000F41B0000}"/>
    <cellStyle name="AggGreen12 4 2 5" xfId="9062" xr:uid="{00000000-0005-0000-0000-0000F51B0000}"/>
    <cellStyle name="AggGreen12 4 2 6" xfId="9518" xr:uid="{00000000-0005-0000-0000-0000F61B0000}"/>
    <cellStyle name="AggGreen12 4 2 7" xfId="9945" xr:uid="{00000000-0005-0000-0000-0000F71B0000}"/>
    <cellStyle name="AggGreen12 4 2 8" xfId="10357" xr:uid="{00000000-0005-0000-0000-0000F81B0000}"/>
    <cellStyle name="AggGreen12 4 2 9" xfId="9385" xr:uid="{00000000-0005-0000-0000-0000F91B0000}"/>
    <cellStyle name="AggGreen12 4 3" xfId="666" xr:uid="{00000000-0005-0000-0000-0000FA1B0000}"/>
    <cellStyle name="AggGreen12 4 3 10" xfId="11133" xr:uid="{00000000-0005-0000-0000-0000FB1B0000}"/>
    <cellStyle name="AggGreen12 4 3 11" xfId="11520" xr:uid="{00000000-0005-0000-0000-0000FC1B0000}"/>
    <cellStyle name="AggGreen12 4 3 12" xfId="11892" xr:uid="{00000000-0005-0000-0000-0000FD1B0000}"/>
    <cellStyle name="AggGreen12 4 3 13" xfId="12405" xr:uid="{00000000-0005-0000-0000-0000FE1B0000}"/>
    <cellStyle name="AggGreen12 4 3 14" xfId="16089" xr:uid="{00000000-0005-0000-0000-0000FF1B0000}"/>
    <cellStyle name="AggGreen12 4 3 15" xfId="16253" xr:uid="{00000000-0005-0000-0000-0000001C0000}"/>
    <cellStyle name="AggGreen12 4 3 16" xfId="17090" xr:uid="{00000000-0005-0000-0000-0000011C0000}"/>
    <cellStyle name="AggGreen12 4 3 17" xfId="18052" xr:uid="{00000000-0005-0000-0000-0000021C0000}"/>
    <cellStyle name="AggGreen12 4 3 2" xfId="881" xr:uid="{00000000-0005-0000-0000-0000031C0000}"/>
    <cellStyle name="AggGreen12 4 3 2 10" xfId="11727" xr:uid="{00000000-0005-0000-0000-0000041C0000}"/>
    <cellStyle name="AggGreen12 4 3 2 11" xfId="12098" xr:uid="{00000000-0005-0000-0000-0000051C0000}"/>
    <cellStyle name="AggGreen12 4 3 2 12" xfId="12611" xr:uid="{00000000-0005-0000-0000-0000061C0000}"/>
    <cellStyle name="AggGreen12 4 3 2 13" xfId="14252" xr:uid="{00000000-0005-0000-0000-0000071C0000}"/>
    <cellStyle name="AggGreen12 4 3 2 14" xfId="17458" xr:uid="{00000000-0005-0000-0000-0000081C0000}"/>
    <cellStyle name="AggGreen12 4 3 2 15" xfId="16182" xr:uid="{00000000-0005-0000-0000-0000091C0000}"/>
    <cellStyle name="AggGreen12 4 3 2 16" xfId="18231" xr:uid="{00000000-0005-0000-0000-00000A1C0000}"/>
    <cellStyle name="AggGreen12 4 3 2 2" xfId="1307" xr:uid="{00000000-0005-0000-0000-00000B1C0000}"/>
    <cellStyle name="AggGreen12 4 3 2 2 2" xfId="13036" xr:uid="{00000000-0005-0000-0000-00000C1C0000}"/>
    <cellStyle name="AggGreen12 4 3 2 2 3" xfId="15422" xr:uid="{00000000-0005-0000-0000-00000D1C0000}"/>
    <cellStyle name="AggGreen12 4 3 2 2 4" xfId="17178" xr:uid="{00000000-0005-0000-0000-00000E1C0000}"/>
    <cellStyle name="AggGreen12 4 3 2 2 5" xfId="18145" xr:uid="{00000000-0005-0000-0000-00000F1C0000}"/>
    <cellStyle name="AggGreen12 4 3 2 2 6" xfId="19130" xr:uid="{00000000-0005-0000-0000-0000101C0000}"/>
    <cellStyle name="AggGreen12 4 3 2 3" xfId="4235" xr:uid="{00000000-0005-0000-0000-0000111C0000}"/>
    <cellStyle name="AggGreen12 4 3 2 4" xfId="9354" xr:uid="{00000000-0005-0000-0000-0000121C0000}"/>
    <cellStyle name="AggGreen12 4 3 2 5" xfId="9782" xr:uid="{00000000-0005-0000-0000-0000131C0000}"/>
    <cellStyle name="AggGreen12 4 3 2 6" xfId="10211" xr:uid="{00000000-0005-0000-0000-0000141C0000}"/>
    <cellStyle name="AggGreen12 4 3 2 7" xfId="10623" xr:uid="{00000000-0005-0000-0000-0000151C0000}"/>
    <cellStyle name="AggGreen12 4 3 2 8" xfId="10953" xr:uid="{00000000-0005-0000-0000-0000161C0000}"/>
    <cellStyle name="AggGreen12 4 3 2 9" xfId="11342" xr:uid="{00000000-0005-0000-0000-0000171C0000}"/>
    <cellStyle name="AggGreen12 4 3 3" xfId="1139" xr:uid="{00000000-0005-0000-0000-0000181C0000}"/>
    <cellStyle name="AggGreen12 4 3 3 2" xfId="12868" xr:uid="{00000000-0005-0000-0000-0000191C0000}"/>
    <cellStyle name="AggGreen12 4 3 3 3" xfId="13771" xr:uid="{00000000-0005-0000-0000-00001A1C0000}"/>
    <cellStyle name="AggGreen12 4 3 3 4" xfId="16792" xr:uid="{00000000-0005-0000-0000-00001B1C0000}"/>
    <cellStyle name="AggGreen12 4 3 3 5" xfId="13755" xr:uid="{00000000-0005-0000-0000-00001C1C0000}"/>
    <cellStyle name="AggGreen12 4 3 3 6" xfId="19258" xr:uid="{00000000-0005-0000-0000-00001D1C0000}"/>
    <cellStyle name="AggGreen12 4 3 4" xfId="3875" xr:uid="{00000000-0005-0000-0000-00001E1C0000}"/>
    <cellStyle name="AggGreen12 4 3 5" xfId="9298" xr:uid="{00000000-0005-0000-0000-00001F1C0000}"/>
    <cellStyle name="AggGreen12 4 3 6" xfId="9570" xr:uid="{00000000-0005-0000-0000-0000201C0000}"/>
    <cellStyle name="AggGreen12 4 3 7" xfId="9997" xr:uid="{00000000-0005-0000-0000-0000211C0000}"/>
    <cellStyle name="AggGreen12 4 3 8" xfId="10409" xr:uid="{00000000-0005-0000-0000-0000221C0000}"/>
    <cellStyle name="AggGreen12 4 3 9" xfId="10795" xr:uid="{00000000-0005-0000-0000-0000231C0000}"/>
    <cellStyle name="AggGreen12 4 4" xfId="677" xr:uid="{00000000-0005-0000-0000-0000241C0000}"/>
    <cellStyle name="AggGreen12 4 4 10" xfId="11144" xr:uid="{00000000-0005-0000-0000-0000251C0000}"/>
    <cellStyle name="AggGreen12 4 4 11" xfId="11531" xr:uid="{00000000-0005-0000-0000-0000261C0000}"/>
    <cellStyle name="AggGreen12 4 4 12" xfId="11903" xr:uid="{00000000-0005-0000-0000-0000271C0000}"/>
    <cellStyle name="AggGreen12 4 4 13" xfId="12416" xr:uid="{00000000-0005-0000-0000-0000281C0000}"/>
    <cellStyle name="AggGreen12 4 4 14" xfId="14236" xr:uid="{00000000-0005-0000-0000-0000291C0000}"/>
    <cellStyle name="AggGreen12 4 4 15" xfId="15574" xr:uid="{00000000-0005-0000-0000-00002A1C0000}"/>
    <cellStyle name="AggGreen12 4 4 16" xfId="18124" xr:uid="{00000000-0005-0000-0000-00002B1C0000}"/>
    <cellStyle name="AggGreen12 4 4 17" xfId="17603" xr:uid="{00000000-0005-0000-0000-00002C1C0000}"/>
    <cellStyle name="AggGreen12 4 4 2" xfId="892" xr:uid="{00000000-0005-0000-0000-00002D1C0000}"/>
    <cellStyle name="AggGreen12 4 4 2 10" xfId="11738" xr:uid="{00000000-0005-0000-0000-00002E1C0000}"/>
    <cellStyle name="AggGreen12 4 4 2 11" xfId="12109" xr:uid="{00000000-0005-0000-0000-00002F1C0000}"/>
    <cellStyle name="AggGreen12 4 4 2 12" xfId="12622" xr:uid="{00000000-0005-0000-0000-0000301C0000}"/>
    <cellStyle name="AggGreen12 4 4 2 13" xfId="13916" xr:uid="{00000000-0005-0000-0000-0000311C0000}"/>
    <cellStyle name="AggGreen12 4 4 2 14" xfId="17450" xr:uid="{00000000-0005-0000-0000-0000321C0000}"/>
    <cellStyle name="AggGreen12 4 4 2 15" xfId="17891" xr:uid="{00000000-0005-0000-0000-0000331C0000}"/>
    <cellStyle name="AggGreen12 4 4 2 16" xfId="18724" xr:uid="{00000000-0005-0000-0000-0000341C0000}"/>
    <cellStyle name="AggGreen12 4 4 2 2" xfId="1394" xr:uid="{00000000-0005-0000-0000-0000351C0000}"/>
    <cellStyle name="AggGreen12 4 4 2 2 2" xfId="13123" xr:uid="{00000000-0005-0000-0000-0000361C0000}"/>
    <cellStyle name="AggGreen12 4 4 2 2 3" xfId="15432" xr:uid="{00000000-0005-0000-0000-0000371C0000}"/>
    <cellStyle name="AggGreen12 4 4 2 2 4" xfId="17115" xr:uid="{00000000-0005-0000-0000-0000381C0000}"/>
    <cellStyle name="AggGreen12 4 4 2 2 5" xfId="18435" xr:uid="{00000000-0005-0000-0000-0000391C0000}"/>
    <cellStyle name="AggGreen12 4 4 2 2 6" xfId="19067" xr:uid="{00000000-0005-0000-0000-00003A1C0000}"/>
    <cellStyle name="AggGreen12 4 4 2 3" xfId="4246" xr:uid="{00000000-0005-0000-0000-00003B1C0000}"/>
    <cellStyle name="AggGreen12 4 4 2 4" xfId="9365" xr:uid="{00000000-0005-0000-0000-00003C1C0000}"/>
    <cellStyle name="AggGreen12 4 4 2 5" xfId="9793" xr:uid="{00000000-0005-0000-0000-00003D1C0000}"/>
    <cellStyle name="AggGreen12 4 4 2 6" xfId="10222" xr:uid="{00000000-0005-0000-0000-00003E1C0000}"/>
    <cellStyle name="AggGreen12 4 4 2 7" xfId="10634" xr:uid="{00000000-0005-0000-0000-00003F1C0000}"/>
    <cellStyle name="AggGreen12 4 4 2 8" xfId="10964" xr:uid="{00000000-0005-0000-0000-0000401C0000}"/>
    <cellStyle name="AggGreen12 4 4 2 9" xfId="11353" xr:uid="{00000000-0005-0000-0000-0000411C0000}"/>
    <cellStyle name="AggGreen12 4 4 3" xfId="1071" xr:uid="{00000000-0005-0000-0000-0000421C0000}"/>
    <cellStyle name="AggGreen12 4 4 3 2" xfId="12800" xr:uid="{00000000-0005-0000-0000-0000431C0000}"/>
    <cellStyle name="AggGreen12 4 4 3 3" xfId="15315" xr:uid="{00000000-0005-0000-0000-0000441C0000}"/>
    <cellStyle name="AggGreen12 4 4 3 4" xfId="17359" xr:uid="{00000000-0005-0000-0000-0000451C0000}"/>
    <cellStyle name="AggGreen12 4 4 3 5" xfId="17647" xr:uid="{00000000-0005-0000-0000-0000461C0000}"/>
    <cellStyle name="AggGreen12 4 4 3 6" xfId="19311" xr:uid="{00000000-0005-0000-0000-0000471C0000}"/>
    <cellStyle name="AggGreen12 4 4 4" xfId="3421" xr:uid="{00000000-0005-0000-0000-0000481C0000}"/>
    <cellStyle name="AggGreen12 4 4 5" xfId="9214" xr:uid="{00000000-0005-0000-0000-0000491C0000}"/>
    <cellStyle name="AggGreen12 4 4 6" xfId="9581" xr:uid="{00000000-0005-0000-0000-00004A1C0000}"/>
    <cellStyle name="AggGreen12 4 4 7" xfId="10008" xr:uid="{00000000-0005-0000-0000-00004B1C0000}"/>
    <cellStyle name="AggGreen12 4 4 8" xfId="10420" xr:uid="{00000000-0005-0000-0000-00004C1C0000}"/>
    <cellStyle name="AggGreen12 4 4 9" xfId="10723" xr:uid="{00000000-0005-0000-0000-00004D1C0000}"/>
    <cellStyle name="AggGreen12 4 5" xfId="935" xr:uid="{00000000-0005-0000-0000-00004E1C0000}"/>
    <cellStyle name="AggGreen12 4 5 2" xfId="12664" xr:uid="{00000000-0005-0000-0000-00004F1C0000}"/>
    <cellStyle name="AggGreen12 4 5 3" xfId="15254" xr:uid="{00000000-0005-0000-0000-0000501C0000}"/>
    <cellStyle name="AggGreen12 4 5 4" xfId="17444" xr:uid="{00000000-0005-0000-0000-0000511C0000}"/>
    <cellStyle name="AggGreen12 4 5 5" xfId="16978" xr:uid="{00000000-0005-0000-0000-0000521C0000}"/>
    <cellStyle name="AggGreen12 4 5 6" xfId="19396" xr:uid="{00000000-0005-0000-0000-0000531C0000}"/>
    <cellStyle name="AggGreen12 4 6" xfId="3696" xr:uid="{00000000-0005-0000-0000-0000541C0000}"/>
    <cellStyle name="AggGreen12 4 7" xfId="8937" xr:uid="{00000000-0005-0000-0000-0000551C0000}"/>
    <cellStyle name="AggGreen12 4 8" xfId="8723" xr:uid="{00000000-0005-0000-0000-0000561C0000}"/>
    <cellStyle name="AggGreen12 4 9" xfId="8575" xr:uid="{00000000-0005-0000-0000-0000571C0000}"/>
    <cellStyle name="AggGreen12 5" xfId="87" xr:uid="{00000000-0005-0000-0000-0000581C0000}"/>
    <cellStyle name="AggGreen12 5 2" xfId="3256" xr:uid="{00000000-0005-0000-0000-0000591C0000}"/>
    <cellStyle name="AggGreen12 5 2 2" xfId="13520" xr:uid="{00000000-0005-0000-0000-00005A1C0000}"/>
    <cellStyle name="AggGreen12 5 2 3" xfId="16889" xr:uid="{00000000-0005-0000-0000-00005B1C0000}"/>
    <cellStyle name="AggGreen12 5 2 4" xfId="18000" xr:uid="{00000000-0005-0000-0000-00005C1C0000}"/>
    <cellStyle name="AggGreen12 5 2 5" xfId="18997" xr:uid="{00000000-0005-0000-0000-00005D1C0000}"/>
    <cellStyle name="AggGreen12 5 2 6" xfId="19738" xr:uid="{00000000-0005-0000-0000-00005E1C0000}"/>
    <cellStyle name="AggGreen12 5 3" xfId="9840" xr:uid="{00000000-0005-0000-0000-00005F1C0000}"/>
    <cellStyle name="AggGreen12 5 4" xfId="13757" xr:uid="{00000000-0005-0000-0000-0000601C0000}"/>
    <cellStyle name="AggOrange" xfId="27" xr:uid="{00000000-0005-0000-0000-0000611C0000}"/>
    <cellStyle name="AggOrange 2" xfId="129" xr:uid="{00000000-0005-0000-0000-0000621C0000}"/>
    <cellStyle name="AggOrange 2 2" xfId="420" xr:uid="{00000000-0005-0000-0000-0000631C0000}"/>
    <cellStyle name="AggOrange 2 2 2" xfId="540" xr:uid="{00000000-0005-0000-0000-0000641C0000}"/>
    <cellStyle name="AggOrange 2 2 2 10" xfId="11007" xr:uid="{00000000-0005-0000-0000-0000651C0000}"/>
    <cellStyle name="AggOrange 2 2 2 11" xfId="11394" xr:uid="{00000000-0005-0000-0000-0000661C0000}"/>
    <cellStyle name="AggOrange 2 2 2 12" xfId="11766" xr:uid="{00000000-0005-0000-0000-0000671C0000}"/>
    <cellStyle name="AggOrange 2 2 2 13" xfId="12279" xr:uid="{00000000-0005-0000-0000-0000681C0000}"/>
    <cellStyle name="AggOrange 2 2 2 14" xfId="15954" xr:uid="{00000000-0005-0000-0000-0000691C0000}"/>
    <cellStyle name="AggOrange 2 2 2 15" xfId="15152" xr:uid="{00000000-0005-0000-0000-00006A1C0000}"/>
    <cellStyle name="AggOrange 2 2 2 16" xfId="17660" xr:uid="{00000000-0005-0000-0000-00006B1C0000}"/>
    <cellStyle name="AggOrange 2 2 2 17" xfId="18552" xr:uid="{00000000-0005-0000-0000-00006C1C0000}"/>
    <cellStyle name="AggOrange 2 2 2 2" xfId="755" xr:uid="{00000000-0005-0000-0000-00006D1C0000}"/>
    <cellStyle name="AggOrange 2 2 2 2 10" xfId="11601" xr:uid="{00000000-0005-0000-0000-00006E1C0000}"/>
    <cellStyle name="AggOrange 2 2 2 2 11" xfId="11972" xr:uid="{00000000-0005-0000-0000-00006F1C0000}"/>
    <cellStyle name="AggOrange 2 2 2 2 12" xfId="12485" xr:uid="{00000000-0005-0000-0000-0000701C0000}"/>
    <cellStyle name="AggOrange 2 2 2 2 13" xfId="16146" xr:uid="{00000000-0005-0000-0000-0000711C0000}"/>
    <cellStyle name="AggOrange 2 2 2 2 14" xfId="16456" xr:uid="{00000000-0005-0000-0000-0000721C0000}"/>
    <cellStyle name="AggOrange 2 2 2 2 15" xfId="18471" xr:uid="{00000000-0005-0000-0000-0000731C0000}"/>
    <cellStyle name="AggOrange 2 2 2 2 16" xfId="18090" xr:uid="{00000000-0005-0000-0000-0000741C0000}"/>
    <cellStyle name="AggOrange 2 2 2 2 2" xfId="1037" xr:uid="{00000000-0005-0000-0000-0000751C0000}"/>
    <cellStyle name="AggOrange 2 2 2 2 2 2" xfId="12766" xr:uid="{00000000-0005-0000-0000-0000761C0000}"/>
    <cellStyle name="AggOrange 2 2 2 2 2 3" xfId="14147" xr:uid="{00000000-0005-0000-0000-0000771C0000}"/>
    <cellStyle name="AggOrange 2 2 2 2 2 4" xfId="17379" xr:uid="{00000000-0005-0000-0000-0000781C0000}"/>
    <cellStyle name="AggOrange 2 2 2 2 2 5" xfId="17008" xr:uid="{00000000-0005-0000-0000-0000791C0000}"/>
    <cellStyle name="AggOrange 2 2 2 2 2 6" xfId="18720" xr:uid="{00000000-0005-0000-0000-00007A1C0000}"/>
    <cellStyle name="AggOrange 2 2 2 2 3" xfId="3922" xr:uid="{00000000-0005-0000-0000-00007B1C0000}"/>
    <cellStyle name="AggOrange 2 2 2 2 4" xfId="8736" xr:uid="{00000000-0005-0000-0000-00007C1C0000}"/>
    <cellStyle name="AggOrange 2 2 2 2 5" xfId="9656" xr:uid="{00000000-0005-0000-0000-00007D1C0000}"/>
    <cellStyle name="AggOrange 2 2 2 2 6" xfId="10085" xr:uid="{00000000-0005-0000-0000-00007E1C0000}"/>
    <cellStyle name="AggOrange 2 2 2 2 7" xfId="10497" xr:uid="{00000000-0005-0000-0000-00007F1C0000}"/>
    <cellStyle name="AggOrange 2 2 2 2 8" xfId="9289" xr:uid="{00000000-0005-0000-0000-0000801C0000}"/>
    <cellStyle name="AggOrange 2 2 2 2 9" xfId="11216" xr:uid="{00000000-0005-0000-0000-0000811C0000}"/>
    <cellStyle name="AggOrange 2 2 2 3" xfId="1085" xr:uid="{00000000-0005-0000-0000-0000821C0000}"/>
    <cellStyle name="AggOrange 2 2 2 3 2" xfId="12814" xr:uid="{00000000-0005-0000-0000-0000831C0000}"/>
    <cellStyle name="AggOrange 2 2 2 3 3" xfId="15325" xr:uid="{00000000-0005-0000-0000-0000841C0000}"/>
    <cellStyle name="AggOrange 2 2 2 3 4" xfId="14919" xr:uid="{00000000-0005-0000-0000-0000851C0000}"/>
    <cellStyle name="AggOrange 2 2 2 3 5" xfId="13910" xr:uid="{00000000-0005-0000-0000-0000861C0000}"/>
    <cellStyle name="AggOrange 2 2 2 3 6" xfId="19300" xr:uid="{00000000-0005-0000-0000-0000871C0000}"/>
    <cellStyle name="AggOrange 2 2 2 4" xfId="3401" xr:uid="{00000000-0005-0000-0000-0000881C0000}"/>
    <cellStyle name="AggOrange 2 2 2 5" xfId="8665" xr:uid="{00000000-0005-0000-0000-0000891C0000}"/>
    <cellStyle name="AggOrange 2 2 2 6" xfId="9444" xr:uid="{00000000-0005-0000-0000-00008A1C0000}"/>
    <cellStyle name="AggOrange 2 2 2 7" xfId="9871" xr:uid="{00000000-0005-0000-0000-00008B1C0000}"/>
    <cellStyle name="AggOrange 2 2 2 8" xfId="10283" xr:uid="{00000000-0005-0000-0000-00008C1C0000}"/>
    <cellStyle name="AggOrange 2 2 2 9" xfId="10759" xr:uid="{00000000-0005-0000-0000-00008D1C0000}"/>
    <cellStyle name="AggOrange 2 2 3" xfId="727" xr:uid="{00000000-0005-0000-0000-00008E1C0000}"/>
    <cellStyle name="AggOrange 2 2 3 10" xfId="11573" xr:uid="{00000000-0005-0000-0000-00008F1C0000}"/>
    <cellStyle name="AggOrange 2 2 3 11" xfId="11944" xr:uid="{00000000-0005-0000-0000-0000901C0000}"/>
    <cellStyle name="AggOrange 2 2 3 12" xfId="12457" xr:uid="{00000000-0005-0000-0000-0000911C0000}"/>
    <cellStyle name="AggOrange 2 2 3 13" xfId="15232" xr:uid="{00000000-0005-0000-0000-0000921C0000}"/>
    <cellStyle name="AggOrange 2 2 3 14" xfId="17489" xr:uid="{00000000-0005-0000-0000-0000931C0000}"/>
    <cellStyle name="AggOrange 2 2 3 15" xfId="13839" xr:uid="{00000000-0005-0000-0000-0000941C0000}"/>
    <cellStyle name="AggOrange 2 2 3 16" xfId="19441" xr:uid="{00000000-0005-0000-0000-0000951C0000}"/>
    <cellStyle name="AggOrange 2 2 3 2" xfId="1177" xr:uid="{00000000-0005-0000-0000-0000961C0000}"/>
    <cellStyle name="AggOrange 2 2 3 2 2" xfId="12906" xr:uid="{00000000-0005-0000-0000-0000971C0000}"/>
    <cellStyle name="AggOrange 2 2 3 2 3" xfId="15349" xr:uid="{00000000-0005-0000-0000-0000981C0000}"/>
    <cellStyle name="AggOrange 2 2 3 2 4" xfId="17276" xr:uid="{00000000-0005-0000-0000-0000991C0000}"/>
    <cellStyle name="AggOrange 2 2 3 2 5" xfId="17879" xr:uid="{00000000-0005-0000-0000-00009A1C0000}"/>
    <cellStyle name="AggOrange 2 2 3 2 6" xfId="19228" xr:uid="{00000000-0005-0000-0000-00009B1C0000}"/>
    <cellStyle name="AggOrange 2 2 3 3" xfId="3598" xr:uid="{00000000-0005-0000-0000-00009C1C0000}"/>
    <cellStyle name="AggOrange 2 2 3 4" xfId="8856" xr:uid="{00000000-0005-0000-0000-00009D1C0000}"/>
    <cellStyle name="AggOrange 2 2 3 5" xfId="9628" xr:uid="{00000000-0005-0000-0000-00009E1C0000}"/>
    <cellStyle name="AggOrange 2 2 3 6" xfId="10057" xr:uid="{00000000-0005-0000-0000-00009F1C0000}"/>
    <cellStyle name="AggOrange 2 2 3 7" xfId="10469" xr:uid="{00000000-0005-0000-0000-0000A01C0000}"/>
    <cellStyle name="AggOrange 2 2 3 8" xfId="9424" xr:uid="{00000000-0005-0000-0000-0000A11C0000}"/>
    <cellStyle name="AggOrange 2 2 3 9" xfId="11188" xr:uid="{00000000-0005-0000-0000-0000A21C0000}"/>
    <cellStyle name="AggOrange 2 3" xfId="278" xr:uid="{00000000-0005-0000-0000-0000A31C0000}"/>
    <cellStyle name="AggOrange 2 3 10" xfId="8574" xr:uid="{00000000-0005-0000-0000-0000A41C0000}"/>
    <cellStyle name="AggOrange 2 3 11" xfId="10879" xr:uid="{00000000-0005-0000-0000-0000A51C0000}"/>
    <cellStyle name="AggOrange 2 3 12" xfId="10783" xr:uid="{00000000-0005-0000-0000-0000A61C0000}"/>
    <cellStyle name="AggOrange 2 3 13" xfId="11173" xr:uid="{00000000-0005-0000-0000-0000A71C0000}"/>
    <cellStyle name="AggOrange 2 3 14" xfId="10853" xr:uid="{00000000-0005-0000-0000-0000A81C0000}"/>
    <cellStyle name="AggOrange 2 3 15" xfId="12228" xr:uid="{00000000-0005-0000-0000-0000A91C0000}"/>
    <cellStyle name="AggOrange 2 3 16" xfId="16517" xr:uid="{00000000-0005-0000-0000-0000AA1C0000}"/>
    <cellStyle name="AggOrange 2 3 17" xfId="17630" xr:uid="{00000000-0005-0000-0000-0000AB1C0000}"/>
    <cellStyle name="AggOrange 2 3 18" xfId="16753" xr:uid="{00000000-0005-0000-0000-0000AC1C0000}"/>
    <cellStyle name="AggOrange 2 3 19" xfId="19507" xr:uid="{00000000-0005-0000-0000-0000AD1C0000}"/>
    <cellStyle name="AggOrange 2 3 2" xfId="617" xr:uid="{00000000-0005-0000-0000-0000AE1C0000}"/>
    <cellStyle name="AggOrange 2 3 2 10" xfId="11084" xr:uid="{00000000-0005-0000-0000-0000AF1C0000}"/>
    <cellStyle name="AggOrange 2 3 2 11" xfId="11471" xr:uid="{00000000-0005-0000-0000-0000B01C0000}"/>
    <cellStyle name="AggOrange 2 3 2 12" xfId="11843" xr:uid="{00000000-0005-0000-0000-0000B11C0000}"/>
    <cellStyle name="AggOrange 2 3 2 13" xfId="12356" xr:uid="{00000000-0005-0000-0000-0000B21C0000}"/>
    <cellStyle name="AggOrange 2 3 2 14" xfId="14779" xr:uid="{00000000-0005-0000-0000-0000B31C0000}"/>
    <cellStyle name="AggOrange 2 3 2 15" xfId="14366" xr:uid="{00000000-0005-0000-0000-0000B41C0000}"/>
    <cellStyle name="AggOrange 2 3 2 16" xfId="16004" xr:uid="{00000000-0005-0000-0000-0000B51C0000}"/>
    <cellStyle name="AggOrange 2 3 2 17" xfId="18554" xr:uid="{00000000-0005-0000-0000-0000B61C0000}"/>
    <cellStyle name="AggOrange 2 3 2 2" xfId="832" xr:uid="{00000000-0005-0000-0000-0000B71C0000}"/>
    <cellStyle name="AggOrange 2 3 2 2 10" xfId="11678" xr:uid="{00000000-0005-0000-0000-0000B81C0000}"/>
    <cellStyle name="AggOrange 2 3 2 2 11" xfId="12049" xr:uid="{00000000-0005-0000-0000-0000B91C0000}"/>
    <cellStyle name="AggOrange 2 3 2 2 12" xfId="12562" xr:uid="{00000000-0005-0000-0000-0000BA1C0000}"/>
    <cellStyle name="AggOrange 2 3 2 2 13" xfId="16112" xr:uid="{00000000-0005-0000-0000-0000BB1C0000}"/>
    <cellStyle name="AggOrange 2 3 2 2 14" xfId="15902" xr:uid="{00000000-0005-0000-0000-0000BC1C0000}"/>
    <cellStyle name="AggOrange 2 3 2 2 15" xfId="14712" xr:uid="{00000000-0005-0000-0000-0000BD1C0000}"/>
    <cellStyle name="AggOrange 2 3 2 2 16" xfId="13951" xr:uid="{00000000-0005-0000-0000-0000BE1C0000}"/>
    <cellStyle name="AggOrange 2 3 2 2 2" xfId="1061" xr:uid="{00000000-0005-0000-0000-0000BF1C0000}"/>
    <cellStyle name="AggOrange 2 3 2 2 2 2" xfId="12790" xr:uid="{00000000-0005-0000-0000-0000C01C0000}"/>
    <cellStyle name="AggOrange 2 3 2 2 2 3" xfId="15312" xr:uid="{00000000-0005-0000-0000-0000C11C0000}"/>
    <cellStyle name="AggOrange 2 3 2 2 2 4" xfId="17367" xr:uid="{00000000-0005-0000-0000-0000C21C0000}"/>
    <cellStyle name="AggOrange 2 3 2 2 2 5" xfId="17645" xr:uid="{00000000-0005-0000-0000-0000C31C0000}"/>
    <cellStyle name="AggOrange 2 3 2 2 2 6" xfId="19319" xr:uid="{00000000-0005-0000-0000-0000C41C0000}"/>
    <cellStyle name="AggOrange 2 3 2 2 3" xfId="3558" xr:uid="{00000000-0005-0000-0000-0000C51C0000}"/>
    <cellStyle name="AggOrange 2 3 2 2 4" xfId="8724" xr:uid="{00000000-0005-0000-0000-0000C61C0000}"/>
    <cellStyle name="AggOrange 2 3 2 2 5" xfId="9733" xr:uid="{00000000-0005-0000-0000-0000C71C0000}"/>
    <cellStyle name="AggOrange 2 3 2 2 6" xfId="10162" xr:uid="{00000000-0005-0000-0000-0000C81C0000}"/>
    <cellStyle name="AggOrange 2 3 2 2 7" xfId="10574" xr:uid="{00000000-0005-0000-0000-0000C91C0000}"/>
    <cellStyle name="AggOrange 2 3 2 2 8" xfId="9394" xr:uid="{00000000-0005-0000-0000-0000CA1C0000}"/>
    <cellStyle name="AggOrange 2 3 2 2 9" xfId="11293" xr:uid="{00000000-0005-0000-0000-0000CB1C0000}"/>
    <cellStyle name="AggOrange 2 3 2 3" xfId="1004" xr:uid="{00000000-0005-0000-0000-0000CC1C0000}"/>
    <cellStyle name="AggOrange 2 3 2 3 2" xfId="12733" xr:uid="{00000000-0005-0000-0000-0000CD1C0000}"/>
    <cellStyle name="AggOrange 2 3 2 3 3" xfId="14388" xr:uid="{00000000-0005-0000-0000-0000CE1C0000}"/>
    <cellStyle name="AggOrange 2 3 2 3 4" xfId="14498" xr:uid="{00000000-0005-0000-0000-0000CF1C0000}"/>
    <cellStyle name="AggOrange 2 3 2 3 5" xfId="15649" xr:uid="{00000000-0005-0000-0000-0000D01C0000}"/>
    <cellStyle name="AggOrange 2 3 2 3 6" xfId="18722" xr:uid="{00000000-0005-0000-0000-0000D11C0000}"/>
    <cellStyle name="AggOrange 2 3 2 4" xfId="3806" xr:uid="{00000000-0005-0000-0000-0000D21C0000}"/>
    <cellStyle name="AggOrange 2 3 2 5" xfId="9258" xr:uid="{00000000-0005-0000-0000-0000D31C0000}"/>
    <cellStyle name="AggOrange 2 3 2 6" xfId="9521" xr:uid="{00000000-0005-0000-0000-0000D41C0000}"/>
    <cellStyle name="AggOrange 2 3 2 7" xfId="9948" xr:uid="{00000000-0005-0000-0000-0000D51C0000}"/>
    <cellStyle name="AggOrange 2 3 2 8" xfId="10360" xr:uid="{00000000-0005-0000-0000-0000D61C0000}"/>
    <cellStyle name="AggOrange 2 3 2 9" xfId="9245" xr:uid="{00000000-0005-0000-0000-0000D71C0000}"/>
    <cellStyle name="AggOrange 2 3 3" xfId="524" xr:uid="{00000000-0005-0000-0000-0000D81C0000}"/>
    <cellStyle name="AggOrange 2 3 3 10" xfId="10991" xr:uid="{00000000-0005-0000-0000-0000D91C0000}"/>
    <cellStyle name="AggOrange 2 3 3 11" xfId="11378" xr:uid="{00000000-0005-0000-0000-0000DA1C0000}"/>
    <cellStyle name="AggOrange 2 3 3 12" xfId="11750" xr:uid="{00000000-0005-0000-0000-0000DB1C0000}"/>
    <cellStyle name="AggOrange 2 3 3 13" xfId="12263" xr:uid="{00000000-0005-0000-0000-0000DC1C0000}"/>
    <cellStyle name="AggOrange 2 3 3 14" xfId="15826" xr:uid="{00000000-0005-0000-0000-0000DD1C0000}"/>
    <cellStyle name="AggOrange 2 3 3 15" xfId="14642" xr:uid="{00000000-0005-0000-0000-0000DE1C0000}"/>
    <cellStyle name="AggOrange 2 3 3 16" xfId="15530" xr:uid="{00000000-0005-0000-0000-0000DF1C0000}"/>
    <cellStyle name="AggOrange 2 3 3 17" xfId="18312" xr:uid="{00000000-0005-0000-0000-0000E01C0000}"/>
    <cellStyle name="AggOrange 2 3 3 2" xfId="739" xr:uid="{00000000-0005-0000-0000-0000E11C0000}"/>
    <cellStyle name="AggOrange 2 3 3 2 10" xfId="11585" xr:uid="{00000000-0005-0000-0000-0000E21C0000}"/>
    <cellStyle name="AggOrange 2 3 3 2 11" xfId="11956" xr:uid="{00000000-0005-0000-0000-0000E31C0000}"/>
    <cellStyle name="AggOrange 2 3 3 2 12" xfId="12469" xr:uid="{00000000-0005-0000-0000-0000E41C0000}"/>
    <cellStyle name="AggOrange 2 3 3 2 13" xfId="15618" xr:uid="{00000000-0005-0000-0000-0000E51C0000}"/>
    <cellStyle name="AggOrange 2 3 3 2 14" xfId="17482" xr:uid="{00000000-0005-0000-0000-0000E61C0000}"/>
    <cellStyle name="AggOrange 2 3 3 2 15" xfId="14596" xr:uid="{00000000-0005-0000-0000-0000E71C0000}"/>
    <cellStyle name="AggOrange 2 3 3 2 16" xfId="17584" xr:uid="{00000000-0005-0000-0000-0000E81C0000}"/>
    <cellStyle name="AggOrange 2 3 3 2 2" xfId="1309" xr:uid="{00000000-0005-0000-0000-0000E91C0000}"/>
    <cellStyle name="AggOrange 2 3 3 2 2 2" xfId="13038" xr:uid="{00000000-0005-0000-0000-0000EA1C0000}"/>
    <cellStyle name="AggOrange 2 3 3 2 2 3" xfId="13804" xr:uid="{00000000-0005-0000-0000-0000EB1C0000}"/>
    <cellStyle name="AggOrange 2 3 3 2 2 4" xfId="16445" xr:uid="{00000000-0005-0000-0000-0000EC1C0000}"/>
    <cellStyle name="AggOrange 2 3 3 2 2 5" xfId="16776" xr:uid="{00000000-0005-0000-0000-0000ED1C0000}"/>
    <cellStyle name="AggOrange 2 3 3 2 2 6" xfId="18340" xr:uid="{00000000-0005-0000-0000-0000EE1C0000}"/>
    <cellStyle name="AggOrange 2 3 3 2 3" xfId="3888" xr:uid="{00000000-0005-0000-0000-0000EF1C0000}"/>
    <cellStyle name="AggOrange 2 3 3 2 4" xfId="8852" xr:uid="{00000000-0005-0000-0000-0000F01C0000}"/>
    <cellStyle name="AggOrange 2 3 3 2 5" xfId="9640" xr:uid="{00000000-0005-0000-0000-0000F11C0000}"/>
    <cellStyle name="AggOrange 2 3 3 2 6" xfId="10069" xr:uid="{00000000-0005-0000-0000-0000F21C0000}"/>
    <cellStyle name="AggOrange 2 3 3 2 7" xfId="10481" xr:uid="{00000000-0005-0000-0000-0000F31C0000}"/>
    <cellStyle name="AggOrange 2 3 3 2 8" xfId="10916" xr:uid="{00000000-0005-0000-0000-0000F41C0000}"/>
    <cellStyle name="AggOrange 2 3 3 2 9" xfId="11200" xr:uid="{00000000-0005-0000-0000-0000F51C0000}"/>
    <cellStyle name="AggOrange 2 3 3 3" xfId="1080" xr:uid="{00000000-0005-0000-0000-0000F61C0000}"/>
    <cellStyle name="AggOrange 2 3 3 3 2" xfId="12809" xr:uid="{00000000-0005-0000-0000-0000F71C0000}"/>
    <cellStyle name="AggOrange 2 3 3 3 3" xfId="15322" xr:uid="{00000000-0005-0000-0000-0000F81C0000}"/>
    <cellStyle name="AggOrange 2 3 3 3 4" xfId="16220" xr:uid="{00000000-0005-0000-0000-0000F91C0000}"/>
    <cellStyle name="AggOrange 2 3 3 3 5" xfId="17650" xr:uid="{00000000-0005-0000-0000-0000FA1C0000}"/>
    <cellStyle name="AggOrange 2 3 3 3 6" xfId="19304" xr:uid="{00000000-0005-0000-0000-0000FB1C0000}"/>
    <cellStyle name="AggOrange 2 3 3 4" xfId="3741" xr:uid="{00000000-0005-0000-0000-0000FC1C0000}"/>
    <cellStyle name="AggOrange 2 3 3 5" xfId="9030" xr:uid="{00000000-0005-0000-0000-0000FD1C0000}"/>
    <cellStyle name="AggOrange 2 3 3 6" xfId="9428" xr:uid="{00000000-0005-0000-0000-0000FE1C0000}"/>
    <cellStyle name="AggOrange 2 3 3 7" xfId="9855" xr:uid="{00000000-0005-0000-0000-0000FF1C0000}"/>
    <cellStyle name="AggOrange 2 3 3 8" xfId="10267" xr:uid="{00000000-0005-0000-0000-0000001D0000}"/>
    <cellStyle name="AggOrange 2 3 3 9" xfId="10241" xr:uid="{00000000-0005-0000-0000-0000011D0000}"/>
    <cellStyle name="AggOrange 2 3 4" xfId="539" xr:uid="{00000000-0005-0000-0000-0000021D0000}"/>
    <cellStyle name="AggOrange 2 3 4 10" xfId="11006" xr:uid="{00000000-0005-0000-0000-0000031D0000}"/>
    <cellStyle name="AggOrange 2 3 4 11" xfId="11393" xr:uid="{00000000-0005-0000-0000-0000041D0000}"/>
    <cellStyle name="AggOrange 2 3 4 12" xfId="11765" xr:uid="{00000000-0005-0000-0000-0000051D0000}"/>
    <cellStyle name="AggOrange 2 3 4 13" xfId="12278" xr:uid="{00000000-0005-0000-0000-0000061D0000}"/>
    <cellStyle name="AggOrange 2 3 4 14" xfId="15969" xr:uid="{00000000-0005-0000-0000-0000071D0000}"/>
    <cellStyle name="AggOrange 2 3 4 15" xfId="15006" xr:uid="{00000000-0005-0000-0000-0000081D0000}"/>
    <cellStyle name="AggOrange 2 3 4 16" xfId="17089" xr:uid="{00000000-0005-0000-0000-0000091D0000}"/>
    <cellStyle name="AggOrange 2 3 4 17" xfId="14036" xr:uid="{00000000-0005-0000-0000-00000A1D0000}"/>
    <cellStyle name="AggOrange 2 3 4 2" xfId="754" xr:uid="{00000000-0005-0000-0000-00000B1D0000}"/>
    <cellStyle name="AggOrange 2 3 4 2 10" xfId="11600" xr:uid="{00000000-0005-0000-0000-00000C1D0000}"/>
    <cellStyle name="AggOrange 2 3 4 2 11" xfId="11971" xr:uid="{00000000-0005-0000-0000-00000D1D0000}"/>
    <cellStyle name="AggOrange 2 3 4 2 12" xfId="12484" xr:uid="{00000000-0005-0000-0000-00000E1D0000}"/>
    <cellStyle name="AggOrange 2 3 4 2 13" xfId="15625" xr:uid="{00000000-0005-0000-0000-00000F1D0000}"/>
    <cellStyle name="AggOrange 2 3 4 2 14" xfId="17474" xr:uid="{00000000-0005-0000-0000-0000101D0000}"/>
    <cellStyle name="AggOrange 2 3 4 2 15" xfId="13813" xr:uid="{00000000-0005-0000-0000-0000111D0000}"/>
    <cellStyle name="AggOrange 2 3 4 2 16" xfId="16065" xr:uid="{00000000-0005-0000-0000-0000121D0000}"/>
    <cellStyle name="AggOrange 2 3 4 2 2" xfId="1205" xr:uid="{00000000-0005-0000-0000-0000131D0000}"/>
    <cellStyle name="AggOrange 2 3 4 2 2 2" xfId="12934" xr:uid="{00000000-0005-0000-0000-0000141D0000}"/>
    <cellStyle name="AggOrange 2 3 4 2 2 3" xfId="15365" xr:uid="{00000000-0005-0000-0000-0000151D0000}"/>
    <cellStyle name="AggOrange 2 3 4 2 2 4" xfId="17254" xr:uid="{00000000-0005-0000-0000-0000161D0000}"/>
    <cellStyle name="AggOrange 2 3 4 2 2 5" xfId="17029" xr:uid="{00000000-0005-0000-0000-0000171D0000}"/>
    <cellStyle name="AggOrange 2 3 4 2 2 6" xfId="19206" xr:uid="{00000000-0005-0000-0000-0000181D0000}"/>
    <cellStyle name="AggOrange 2 3 4 2 3" xfId="4165" xr:uid="{00000000-0005-0000-0000-0000191D0000}"/>
    <cellStyle name="AggOrange 2 3 4 2 4" xfId="8639" xr:uid="{00000000-0005-0000-0000-00001A1D0000}"/>
    <cellStyle name="AggOrange 2 3 4 2 5" xfId="9655" xr:uid="{00000000-0005-0000-0000-00001B1D0000}"/>
    <cellStyle name="AggOrange 2 3 4 2 6" xfId="10084" xr:uid="{00000000-0005-0000-0000-00001C1D0000}"/>
    <cellStyle name="AggOrange 2 3 4 2 7" xfId="10496" xr:uid="{00000000-0005-0000-0000-00001D1D0000}"/>
    <cellStyle name="AggOrange 2 3 4 2 8" xfId="10736" xr:uid="{00000000-0005-0000-0000-00001E1D0000}"/>
    <cellStyle name="AggOrange 2 3 4 2 9" xfId="11215" xr:uid="{00000000-0005-0000-0000-00001F1D0000}"/>
    <cellStyle name="AggOrange 2 3 4 3" xfId="1383" xr:uid="{00000000-0005-0000-0000-0000201D0000}"/>
    <cellStyle name="AggOrange 2 3 4 3 2" xfId="13112" xr:uid="{00000000-0005-0000-0000-0000211D0000}"/>
    <cellStyle name="AggOrange 2 3 4 3 3" xfId="14847" xr:uid="{00000000-0005-0000-0000-0000221D0000}"/>
    <cellStyle name="AggOrange 2 3 4 3 4" xfId="17125" xr:uid="{00000000-0005-0000-0000-0000231D0000}"/>
    <cellStyle name="AggOrange 2 3 4 3 5" xfId="17570" xr:uid="{00000000-0005-0000-0000-0000241D0000}"/>
    <cellStyle name="AggOrange 2 3 4 3 6" xfId="19077" xr:uid="{00000000-0005-0000-0000-0000251D0000}"/>
    <cellStyle name="AggOrange 2 3 4 4" xfId="4220" xr:uid="{00000000-0005-0000-0000-0000261D0000}"/>
    <cellStyle name="AggOrange 2 3 4 5" xfId="8748" xr:uid="{00000000-0005-0000-0000-0000271D0000}"/>
    <cellStyle name="AggOrange 2 3 4 6" xfId="9443" xr:uid="{00000000-0005-0000-0000-0000281D0000}"/>
    <cellStyle name="AggOrange 2 3 4 7" xfId="9870" xr:uid="{00000000-0005-0000-0000-0000291D0000}"/>
    <cellStyle name="AggOrange 2 3 4 8" xfId="10282" xr:uid="{00000000-0005-0000-0000-00002A1D0000}"/>
    <cellStyle name="AggOrange 2 3 4 9" xfId="10942" xr:uid="{00000000-0005-0000-0000-00002B1D0000}"/>
    <cellStyle name="AggOrange 2 3 5" xfId="1064" xr:uid="{00000000-0005-0000-0000-00002C1D0000}"/>
    <cellStyle name="AggOrange 2 3 5 2" xfId="12793" xr:uid="{00000000-0005-0000-0000-00002D1D0000}"/>
    <cellStyle name="AggOrange 2 3 5 3" xfId="14244" xr:uid="{00000000-0005-0000-0000-00002E1D0000}"/>
    <cellStyle name="AggOrange 2 3 5 4" xfId="17364" xr:uid="{00000000-0005-0000-0000-00002F1D0000}"/>
    <cellStyle name="AggOrange 2 3 5 5" xfId="17646" xr:uid="{00000000-0005-0000-0000-0000301D0000}"/>
    <cellStyle name="AggOrange 2 3 5 6" xfId="18736" xr:uid="{00000000-0005-0000-0000-0000311D0000}"/>
    <cellStyle name="AggOrange 2 3 6" xfId="3508" xr:uid="{00000000-0005-0000-0000-0000321D0000}"/>
    <cellStyle name="AggOrange 2 3 7" xfId="8932" xr:uid="{00000000-0005-0000-0000-0000331D0000}"/>
    <cellStyle name="AggOrange 2 3 8" xfId="8793" xr:uid="{00000000-0005-0000-0000-0000341D0000}"/>
    <cellStyle name="AggOrange 2 3 9" xfId="8941" xr:uid="{00000000-0005-0000-0000-0000351D0000}"/>
    <cellStyle name="AggOrange 3" xfId="419" xr:uid="{00000000-0005-0000-0000-0000361D0000}"/>
    <cellStyle name="AggOrange 3 2" xfId="659" xr:uid="{00000000-0005-0000-0000-0000371D0000}"/>
    <cellStyle name="AggOrange 3 2 10" xfId="11126" xr:uid="{00000000-0005-0000-0000-0000381D0000}"/>
    <cellStyle name="AggOrange 3 2 11" xfId="11513" xr:uid="{00000000-0005-0000-0000-0000391D0000}"/>
    <cellStyle name="AggOrange 3 2 12" xfId="11885" xr:uid="{00000000-0005-0000-0000-00003A1D0000}"/>
    <cellStyle name="AggOrange 3 2 13" xfId="12398" xr:uid="{00000000-0005-0000-0000-00003B1D0000}"/>
    <cellStyle name="AggOrange 3 2 14" xfId="15907" xr:uid="{00000000-0005-0000-0000-00003C1D0000}"/>
    <cellStyle name="AggOrange 3 2 15" xfId="14117" xr:uid="{00000000-0005-0000-0000-00003D1D0000}"/>
    <cellStyle name="AggOrange 3 2 16" xfId="15978" xr:uid="{00000000-0005-0000-0000-00003E1D0000}"/>
    <cellStyle name="AggOrange 3 2 17" xfId="18306" xr:uid="{00000000-0005-0000-0000-00003F1D0000}"/>
    <cellStyle name="AggOrange 3 2 2" xfId="874" xr:uid="{00000000-0005-0000-0000-0000401D0000}"/>
    <cellStyle name="AggOrange 3 2 2 10" xfId="11720" xr:uid="{00000000-0005-0000-0000-0000411D0000}"/>
    <cellStyle name="AggOrange 3 2 2 11" xfId="12091" xr:uid="{00000000-0005-0000-0000-0000421D0000}"/>
    <cellStyle name="AggOrange 3 2 2 12" xfId="12604" xr:uid="{00000000-0005-0000-0000-0000431D0000}"/>
    <cellStyle name="AggOrange 3 2 2 13" xfId="15242" xr:uid="{00000000-0005-0000-0000-0000441D0000}"/>
    <cellStyle name="AggOrange 3 2 2 14" xfId="13970" xr:uid="{00000000-0005-0000-0000-0000451D0000}"/>
    <cellStyle name="AggOrange 3 2 2 15" xfId="16970" xr:uid="{00000000-0005-0000-0000-0000461D0000}"/>
    <cellStyle name="AggOrange 3 2 2 16" xfId="19414" xr:uid="{00000000-0005-0000-0000-0000471D0000}"/>
    <cellStyle name="AggOrange 3 2 2 2" xfId="1182" xr:uid="{00000000-0005-0000-0000-0000481D0000}"/>
    <cellStyle name="AggOrange 3 2 2 2 2" xfId="12911" xr:uid="{00000000-0005-0000-0000-0000491D0000}"/>
    <cellStyle name="AggOrange 3 2 2 2 3" xfId="15354" xr:uid="{00000000-0005-0000-0000-00004A1D0000}"/>
    <cellStyle name="AggOrange 3 2 2 2 4" xfId="17271" xr:uid="{00000000-0005-0000-0000-00004B1D0000}"/>
    <cellStyle name="AggOrange 3 2 2 2 5" xfId="15922" xr:uid="{00000000-0005-0000-0000-00004C1D0000}"/>
    <cellStyle name="AggOrange 3 2 2 2 6" xfId="19223" xr:uid="{00000000-0005-0000-0000-00004D1D0000}"/>
    <cellStyle name="AggOrange 3 2 2 3" xfId="3793" xr:uid="{00000000-0005-0000-0000-00004E1D0000}"/>
    <cellStyle name="AggOrange 3 2 2 4" xfId="9347" xr:uid="{00000000-0005-0000-0000-00004F1D0000}"/>
    <cellStyle name="AggOrange 3 2 2 5" xfId="9775" xr:uid="{00000000-0005-0000-0000-0000501D0000}"/>
    <cellStyle name="AggOrange 3 2 2 6" xfId="10204" xr:uid="{00000000-0005-0000-0000-0000511D0000}"/>
    <cellStyle name="AggOrange 3 2 2 7" xfId="10616" xr:uid="{00000000-0005-0000-0000-0000521D0000}"/>
    <cellStyle name="AggOrange 3 2 2 8" xfId="10668" xr:uid="{00000000-0005-0000-0000-0000531D0000}"/>
    <cellStyle name="AggOrange 3 2 2 9" xfId="11335" xr:uid="{00000000-0005-0000-0000-0000541D0000}"/>
    <cellStyle name="AggOrange 3 2 3" xfId="1219" xr:uid="{00000000-0005-0000-0000-0000551D0000}"/>
    <cellStyle name="AggOrange 3 2 3 2" xfId="12948" xr:uid="{00000000-0005-0000-0000-0000561D0000}"/>
    <cellStyle name="AggOrange 3 2 3 3" xfId="15376" xr:uid="{00000000-0005-0000-0000-0000571D0000}"/>
    <cellStyle name="AggOrange 3 2 3 4" xfId="17242" xr:uid="{00000000-0005-0000-0000-0000581D0000}"/>
    <cellStyle name="AggOrange 3 2 3 5" xfId="17875" xr:uid="{00000000-0005-0000-0000-0000591D0000}"/>
    <cellStyle name="AggOrange 3 2 3 6" xfId="19194" xr:uid="{00000000-0005-0000-0000-00005A1D0000}"/>
    <cellStyle name="AggOrange 3 2 4" xfId="3328" xr:uid="{00000000-0005-0000-0000-00005B1D0000}"/>
    <cellStyle name="AggOrange 3 2 5" xfId="9001" xr:uid="{00000000-0005-0000-0000-00005C1D0000}"/>
    <cellStyle name="AggOrange 3 2 6" xfId="9563" xr:uid="{00000000-0005-0000-0000-00005D1D0000}"/>
    <cellStyle name="AggOrange 3 2 7" xfId="9990" xr:uid="{00000000-0005-0000-0000-00005E1D0000}"/>
    <cellStyle name="AggOrange 3 2 8" xfId="10402" xr:uid="{00000000-0005-0000-0000-00005F1D0000}"/>
    <cellStyle name="AggOrange 3 2 9" xfId="10697" xr:uid="{00000000-0005-0000-0000-0000601D0000}"/>
    <cellStyle name="AggOrange 3 3" xfId="726" xr:uid="{00000000-0005-0000-0000-0000611D0000}"/>
    <cellStyle name="AggOrange 3 3 10" xfId="11572" xr:uid="{00000000-0005-0000-0000-0000621D0000}"/>
    <cellStyle name="AggOrange 3 3 11" xfId="11943" xr:uid="{00000000-0005-0000-0000-0000631D0000}"/>
    <cellStyle name="AggOrange 3 3 12" xfId="12456" xr:uid="{00000000-0005-0000-0000-0000641D0000}"/>
    <cellStyle name="AggOrange 3 3 13" xfId="15231" xr:uid="{00000000-0005-0000-0000-0000651D0000}"/>
    <cellStyle name="AggOrange 3 3 14" xfId="16555" xr:uid="{00000000-0005-0000-0000-0000661D0000}"/>
    <cellStyle name="AggOrange 3 3 15" xfId="18440" xr:uid="{00000000-0005-0000-0000-0000671D0000}"/>
    <cellStyle name="AggOrange 3 3 16" xfId="19442" xr:uid="{00000000-0005-0000-0000-0000681D0000}"/>
    <cellStyle name="AggOrange 3 3 2" xfId="1002" xr:uid="{00000000-0005-0000-0000-0000691D0000}"/>
    <cellStyle name="AggOrange 3 3 2 2" xfId="12731" xr:uid="{00000000-0005-0000-0000-00006A1D0000}"/>
    <cellStyle name="AggOrange 3 3 2 3" xfId="14125" xr:uid="{00000000-0005-0000-0000-00006B1D0000}"/>
    <cellStyle name="AggOrange 3 3 2 4" xfId="16550" xr:uid="{00000000-0005-0000-0000-00006C1D0000}"/>
    <cellStyle name="AggOrange 3 3 2 5" xfId="16750" xr:uid="{00000000-0005-0000-0000-00006D1D0000}"/>
    <cellStyle name="AggOrange 3 3 2 6" xfId="17607" xr:uid="{00000000-0005-0000-0000-00006E1D0000}"/>
    <cellStyle name="AggOrange 3 3 3" xfId="3868" xr:uid="{00000000-0005-0000-0000-00006F1D0000}"/>
    <cellStyle name="AggOrange 3 3 4" xfId="8650" xr:uid="{00000000-0005-0000-0000-0000701D0000}"/>
    <cellStyle name="AggOrange 3 3 5" xfId="9627" xr:uid="{00000000-0005-0000-0000-0000711D0000}"/>
    <cellStyle name="AggOrange 3 3 6" xfId="10056" xr:uid="{00000000-0005-0000-0000-0000721D0000}"/>
    <cellStyle name="AggOrange 3 3 7" xfId="10468" xr:uid="{00000000-0005-0000-0000-0000731D0000}"/>
    <cellStyle name="AggOrange 3 3 8" xfId="10834" xr:uid="{00000000-0005-0000-0000-0000741D0000}"/>
    <cellStyle name="AggOrange 3 3 9" xfId="11187" xr:uid="{00000000-0005-0000-0000-0000751D0000}"/>
    <cellStyle name="AggOrange 4" xfId="277" xr:uid="{00000000-0005-0000-0000-0000761D0000}"/>
    <cellStyle name="AggOrange 4 10" xfId="10043" xr:uid="{00000000-0005-0000-0000-0000771D0000}"/>
    <cellStyle name="AggOrange 4 11" xfId="10816" xr:uid="{00000000-0005-0000-0000-0000781D0000}"/>
    <cellStyle name="AggOrange 4 12" xfId="9202" xr:uid="{00000000-0005-0000-0000-0000791D0000}"/>
    <cellStyle name="AggOrange 4 13" xfId="9398" xr:uid="{00000000-0005-0000-0000-00007A1D0000}"/>
    <cellStyle name="AggOrange 4 14" xfId="11376" xr:uid="{00000000-0005-0000-0000-00007B1D0000}"/>
    <cellStyle name="AggOrange 4 15" xfId="12227" xr:uid="{00000000-0005-0000-0000-00007C1D0000}"/>
    <cellStyle name="AggOrange 4 16" xfId="16518" xr:uid="{00000000-0005-0000-0000-00007D1D0000}"/>
    <cellStyle name="AggOrange 4 17" xfId="17631" xr:uid="{00000000-0005-0000-0000-00007E1D0000}"/>
    <cellStyle name="AggOrange 4 18" xfId="16942" xr:uid="{00000000-0005-0000-0000-00007F1D0000}"/>
    <cellStyle name="AggOrange 4 19" xfId="19508" xr:uid="{00000000-0005-0000-0000-0000801D0000}"/>
    <cellStyle name="AggOrange 4 2" xfId="616" xr:uid="{00000000-0005-0000-0000-0000811D0000}"/>
    <cellStyle name="AggOrange 4 2 10" xfId="11083" xr:uid="{00000000-0005-0000-0000-0000821D0000}"/>
    <cellStyle name="AggOrange 4 2 11" xfId="11470" xr:uid="{00000000-0005-0000-0000-0000831D0000}"/>
    <cellStyle name="AggOrange 4 2 12" xfId="11842" xr:uid="{00000000-0005-0000-0000-0000841D0000}"/>
    <cellStyle name="AggOrange 4 2 13" xfId="12355" xr:uid="{00000000-0005-0000-0000-0000851D0000}"/>
    <cellStyle name="AggOrange 4 2 14" xfId="15991" xr:uid="{00000000-0005-0000-0000-0000861D0000}"/>
    <cellStyle name="AggOrange 4 2 15" xfId="16546" xr:uid="{00000000-0005-0000-0000-0000871D0000}"/>
    <cellStyle name="AggOrange 4 2 16" xfId="18525" xr:uid="{00000000-0005-0000-0000-0000881D0000}"/>
    <cellStyle name="AggOrange 4 2 17" xfId="18445" xr:uid="{00000000-0005-0000-0000-0000891D0000}"/>
    <cellStyle name="AggOrange 4 2 2" xfId="831" xr:uid="{00000000-0005-0000-0000-00008A1D0000}"/>
    <cellStyle name="AggOrange 4 2 2 10" xfId="11677" xr:uid="{00000000-0005-0000-0000-00008B1D0000}"/>
    <cellStyle name="AggOrange 4 2 2 11" xfId="12048" xr:uid="{00000000-0005-0000-0000-00008C1D0000}"/>
    <cellStyle name="AggOrange 4 2 2 12" xfId="12561" xr:uid="{00000000-0005-0000-0000-00008D1D0000}"/>
    <cellStyle name="AggOrange 4 2 2 13" xfId="14349" xr:uid="{00000000-0005-0000-0000-00008E1D0000}"/>
    <cellStyle name="AggOrange 4 2 2 14" xfId="15790" xr:uid="{00000000-0005-0000-0000-00008F1D0000}"/>
    <cellStyle name="AggOrange 4 2 2 15" xfId="17583" xr:uid="{00000000-0005-0000-0000-0000901D0000}"/>
    <cellStyle name="AggOrange 4 2 2 16" xfId="14984" xr:uid="{00000000-0005-0000-0000-0000911D0000}"/>
    <cellStyle name="AggOrange 4 2 2 2" xfId="1165" xr:uid="{00000000-0005-0000-0000-0000921D0000}"/>
    <cellStyle name="AggOrange 4 2 2 2 2" xfId="12894" xr:uid="{00000000-0005-0000-0000-0000931D0000}"/>
    <cellStyle name="AggOrange 4 2 2 2 3" xfId="15344" xr:uid="{00000000-0005-0000-0000-0000941D0000}"/>
    <cellStyle name="AggOrange 4 2 2 2 4" xfId="15581" xr:uid="{00000000-0005-0000-0000-0000951D0000}"/>
    <cellStyle name="AggOrange 4 2 2 2 5" xfId="17022" xr:uid="{00000000-0005-0000-0000-0000961D0000}"/>
    <cellStyle name="AggOrange 4 2 2 2 6" xfId="19238" xr:uid="{00000000-0005-0000-0000-0000971D0000}"/>
    <cellStyle name="AggOrange 4 2 2 3" xfId="3579" xr:uid="{00000000-0005-0000-0000-0000981D0000}"/>
    <cellStyle name="AggOrange 4 2 2 4" xfId="8621" xr:uid="{00000000-0005-0000-0000-0000991D0000}"/>
    <cellStyle name="AggOrange 4 2 2 5" xfId="9732" xr:uid="{00000000-0005-0000-0000-00009A1D0000}"/>
    <cellStyle name="AggOrange 4 2 2 6" xfId="10161" xr:uid="{00000000-0005-0000-0000-00009B1D0000}"/>
    <cellStyle name="AggOrange 4 2 2 7" xfId="10573" xr:uid="{00000000-0005-0000-0000-00009C1D0000}"/>
    <cellStyle name="AggOrange 4 2 2 8" xfId="9395" xr:uid="{00000000-0005-0000-0000-00009D1D0000}"/>
    <cellStyle name="AggOrange 4 2 2 9" xfId="11292" xr:uid="{00000000-0005-0000-0000-00009E1D0000}"/>
    <cellStyle name="AggOrange 4 2 3" xfId="1149" xr:uid="{00000000-0005-0000-0000-00009F1D0000}"/>
    <cellStyle name="AggOrange 4 2 3 2" xfId="12878" xr:uid="{00000000-0005-0000-0000-0000A01D0000}"/>
    <cellStyle name="AggOrange 4 2 3 3" xfId="15333" xr:uid="{00000000-0005-0000-0000-0000A11D0000}"/>
    <cellStyle name="AggOrange 4 2 3 4" xfId="17298" xr:uid="{00000000-0005-0000-0000-0000A21D0000}"/>
    <cellStyle name="AggOrange 4 2 3 5" xfId="16084" xr:uid="{00000000-0005-0000-0000-0000A31D0000}"/>
    <cellStyle name="AggOrange 4 2 3 6" xfId="19250" xr:uid="{00000000-0005-0000-0000-0000A41D0000}"/>
    <cellStyle name="AggOrange 4 2 4" xfId="3602" xr:uid="{00000000-0005-0000-0000-0000A51D0000}"/>
    <cellStyle name="AggOrange 4 2 5" xfId="9023" xr:uid="{00000000-0005-0000-0000-0000A61D0000}"/>
    <cellStyle name="AggOrange 4 2 6" xfId="9520" xr:uid="{00000000-0005-0000-0000-0000A71D0000}"/>
    <cellStyle name="AggOrange 4 2 7" xfId="9947" xr:uid="{00000000-0005-0000-0000-0000A81D0000}"/>
    <cellStyle name="AggOrange 4 2 8" xfId="10359" xr:uid="{00000000-0005-0000-0000-0000A91D0000}"/>
    <cellStyle name="AggOrange 4 2 9" xfId="9116" xr:uid="{00000000-0005-0000-0000-0000AA1D0000}"/>
    <cellStyle name="AggOrange 4 3" xfId="605" xr:uid="{00000000-0005-0000-0000-0000AB1D0000}"/>
    <cellStyle name="AggOrange 4 3 10" xfId="11072" xr:uid="{00000000-0005-0000-0000-0000AC1D0000}"/>
    <cellStyle name="AggOrange 4 3 11" xfId="11459" xr:uid="{00000000-0005-0000-0000-0000AD1D0000}"/>
    <cellStyle name="AggOrange 4 3 12" xfId="11831" xr:uid="{00000000-0005-0000-0000-0000AE1D0000}"/>
    <cellStyle name="AggOrange 4 3 13" xfId="12344" xr:uid="{00000000-0005-0000-0000-0000AF1D0000}"/>
    <cellStyle name="AggOrange 4 3 14" xfId="13927" xr:uid="{00000000-0005-0000-0000-0000B01D0000}"/>
    <cellStyle name="AggOrange 4 3 15" xfId="16782" xr:uid="{00000000-0005-0000-0000-0000B11D0000}"/>
    <cellStyle name="AggOrange 4 3 16" xfId="18198" xr:uid="{00000000-0005-0000-0000-0000B21D0000}"/>
    <cellStyle name="AggOrange 4 3 17" xfId="18167" xr:uid="{00000000-0005-0000-0000-0000B31D0000}"/>
    <cellStyle name="AggOrange 4 3 2" xfId="820" xr:uid="{00000000-0005-0000-0000-0000B41D0000}"/>
    <cellStyle name="AggOrange 4 3 2 10" xfId="11666" xr:uid="{00000000-0005-0000-0000-0000B51D0000}"/>
    <cellStyle name="AggOrange 4 3 2 11" xfId="12037" xr:uid="{00000000-0005-0000-0000-0000B61D0000}"/>
    <cellStyle name="AggOrange 4 3 2 12" xfId="12550" xr:uid="{00000000-0005-0000-0000-0000B71D0000}"/>
    <cellStyle name="AggOrange 4 3 2 13" xfId="16107" xr:uid="{00000000-0005-0000-0000-0000B81D0000}"/>
    <cellStyle name="AggOrange 4 3 2 14" xfId="16171" xr:uid="{00000000-0005-0000-0000-0000B91D0000}"/>
    <cellStyle name="AggOrange 4 3 2 15" xfId="15460" xr:uid="{00000000-0005-0000-0000-0000BA1D0000}"/>
    <cellStyle name="AggOrange 4 3 2 16" xfId="14903" xr:uid="{00000000-0005-0000-0000-0000BB1D0000}"/>
    <cellStyle name="AggOrange 4 3 2 2" xfId="922" xr:uid="{00000000-0005-0000-0000-0000BC1D0000}"/>
    <cellStyle name="AggOrange 4 3 2 2 2" xfId="12651" xr:uid="{00000000-0005-0000-0000-0000BD1D0000}"/>
    <cellStyle name="AggOrange 4 3 2 2 3" xfId="16133" xr:uid="{00000000-0005-0000-0000-0000BE1D0000}"/>
    <cellStyle name="AggOrange 4 3 2 2 4" xfId="14593" xr:uid="{00000000-0005-0000-0000-0000BF1D0000}"/>
    <cellStyle name="AggOrange 4 3 2 2 5" xfId="18432" xr:uid="{00000000-0005-0000-0000-0000C01D0000}"/>
    <cellStyle name="AggOrange 4 3 2 2 6" xfId="16053" xr:uid="{00000000-0005-0000-0000-0000C11D0000}"/>
    <cellStyle name="AggOrange 4 3 2 3" xfId="4041" xr:uid="{00000000-0005-0000-0000-0000C21D0000}"/>
    <cellStyle name="AggOrange 4 3 2 4" xfId="8626" xr:uid="{00000000-0005-0000-0000-0000C31D0000}"/>
    <cellStyle name="AggOrange 4 3 2 5" xfId="9721" xr:uid="{00000000-0005-0000-0000-0000C41D0000}"/>
    <cellStyle name="AggOrange 4 3 2 6" xfId="10150" xr:uid="{00000000-0005-0000-0000-0000C51D0000}"/>
    <cellStyle name="AggOrange 4 3 2 7" xfId="10562" xr:uid="{00000000-0005-0000-0000-0000C61D0000}"/>
    <cellStyle name="AggOrange 4 3 2 8" xfId="10837" xr:uid="{00000000-0005-0000-0000-0000C71D0000}"/>
    <cellStyle name="AggOrange 4 3 2 9" xfId="11281" xr:uid="{00000000-0005-0000-0000-0000C81D0000}"/>
    <cellStyle name="AggOrange 4 3 3" xfId="948" xr:uid="{00000000-0005-0000-0000-0000C91D0000}"/>
    <cellStyle name="AggOrange 4 3 3 2" xfId="12677" xr:uid="{00000000-0005-0000-0000-0000CA1D0000}"/>
    <cellStyle name="AggOrange 4 3 3 3" xfId="15264" xr:uid="{00000000-0005-0000-0000-0000CB1D0000}"/>
    <cellStyle name="AggOrange 4 3 3 4" xfId="17433" xr:uid="{00000000-0005-0000-0000-0000CC1D0000}"/>
    <cellStyle name="AggOrange 4 3 3 5" xfId="16984" xr:uid="{00000000-0005-0000-0000-0000CD1D0000}"/>
    <cellStyle name="AggOrange 4 3 3 6" xfId="19385" xr:uid="{00000000-0005-0000-0000-0000CE1D0000}"/>
    <cellStyle name="AggOrange 4 3 4" xfId="3970" xr:uid="{00000000-0005-0000-0000-0000CF1D0000}"/>
    <cellStyle name="AggOrange 4 3 5" xfId="9261" xr:uid="{00000000-0005-0000-0000-0000D01D0000}"/>
    <cellStyle name="AggOrange 4 3 6" xfId="9509" xr:uid="{00000000-0005-0000-0000-0000D11D0000}"/>
    <cellStyle name="AggOrange 4 3 7" xfId="9936" xr:uid="{00000000-0005-0000-0000-0000D21D0000}"/>
    <cellStyle name="AggOrange 4 3 8" xfId="10348" xr:uid="{00000000-0005-0000-0000-0000D31D0000}"/>
    <cellStyle name="AggOrange 4 3 9" xfId="9217" xr:uid="{00000000-0005-0000-0000-0000D41D0000}"/>
    <cellStyle name="AggOrange 4 4" xfId="579" xr:uid="{00000000-0005-0000-0000-0000D51D0000}"/>
    <cellStyle name="AggOrange 4 4 10" xfId="11046" xr:uid="{00000000-0005-0000-0000-0000D61D0000}"/>
    <cellStyle name="AggOrange 4 4 11" xfId="11433" xr:uid="{00000000-0005-0000-0000-0000D71D0000}"/>
    <cellStyle name="AggOrange 4 4 12" xfId="11805" xr:uid="{00000000-0005-0000-0000-0000D81D0000}"/>
    <cellStyle name="AggOrange 4 4 13" xfId="12318" xr:uid="{00000000-0005-0000-0000-0000D91D0000}"/>
    <cellStyle name="AggOrange 4 4 14" xfId="15073" xr:uid="{00000000-0005-0000-0000-0000DA1D0000}"/>
    <cellStyle name="AggOrange 4 4 15" xfId="14450" xr:uid="{00000000-0005-0000-0000-0000DB1D0000}"/>
    <cellStyle name="AggOrange 4 4 16" xfId="16958" xr:uid="{00000000-0005-0000-0000-0000DC1D0000}"/>
    <cellStyle name="AggOrange 4 4 17" xfId="18278" xr:uid="{00000000-0005-0000-0000-0000DD1D0000}"/>
    <cellStyle name="AggOrange 4 4 2" xfId="794" xr:uid="{00000000-0005-0000-0000-0000DE1D0000}"/>
    <cellStyle name="AggOrange 4 4 2 10" xfId="11640" xr:uid="{00000000-0005-0000-0000-0000DF1D0000}"/>
    <cellStyle name="AggOrange 4 4 2 11" xfId="12011" xr:uid="{00000000-0005-0000-0000-0000E01D0000}"/>
    <cellStyle name="AggOrange 4 4 2 12" xfId="12524" xr:uid="{00000000-0005-0000-0000-0000E11D0000}"/>
    <cellStyle name="AggOrange 4 4 2 13" xfId="13699" xr:uid="{00000000-0005-0000-0000-0000E21D0000}"/>
    <cellStyle name="AggOrange 4 4 2 14" xfId="17472" xr:uid="{00000000-0005-0000-0000-0000E31D0000}"/>
    <cellStyle name="AggOrange 4 4 2 15" xfId="17053" xr:uid="{00000000-0005-0000-0000-0000E41D0000}"/>
    <cellStyle name="AggOrange 4 4 2 16" xfId="18273" xr:uid="{00000000-0005-0000-0000-0000E51D0000}"/>
    <cellStyle name="AggOrange 4 4 2 2" xfId="1129" xr:uid="{00000000-0005-0000-0000-0000E61D0000}"/>
    <cellStyle name="AggOrange 4 4 2 2 2" xfId="12858" xr:uid="{00000000-0005-0000-0000-0000E71D0000}"/>
    <cellStyle name="AggOrange 4 4 2 2 3" xfId="13895" xr:uid="{00000000-0005-0000-0000-0000E81D0000}"/>
    <cellStyle name="AggOrange 4 4 2 2 4" xfId="17313" xr:uid="{00000000-0005-0000-0000-0000E91D0000}"/>
    <cellStyle name="AggOrange 4 4 2 2 5" xfId="14368" xr:uid="{00000000-0005-0000-0000-0000EA1D0000}"/>
    <cellStyle name="AggOrange 4 4 2 2 6" xfId="19265" xr:uid="{00000000-0005-0000-0000-0000EB1D0000}"/>
    <cellStyle name="AggOrange 4 4 2 3" xfId="3676" xr:uid="{00000000-0005-0000-0000-0000EC1D0000}"/>
    <cellStyle name="AggOrange 4 4 2 4" xfId="8629" xr:uid="{00000000-0005-0000-0000-0000ED1D0000}"/>
    <cellStyle name="AggOrange 4 4 2 5" xfId="9695" xr:uid="{00000000-0005-0000-0000-0000EE1D0000}"/>
    <cellStyle name="AggOrange 4 4 2 6" xfId="10124" xr:uid="{00000000-0005-0000-0000-0000EF1D0000}"/>
    <cellStyle name="AggOrange 4 4 2 7" xfId="10536" xr:uid="{00000000-0005-0000-0000-0000F01D0000}"/>
    <cellStyle name="AggOrange 4 4 2 8" xfId="8709" xr:uid="{00000000-0005-0000-0000-0000F11D0000}"/>
    <cellStyle name="AggOrange 4 4 2 9" xfId="11255" xr:uid="{00000000-0005-0000-0000-0000F21D0000}"/>
    <cellStyle name="AggOrange 4 4 3" xfId="908" xr:uid="{00000000-0005-0000-0000-0000F31D0000}"/>
    <cellStyle name="AggOrange 4 4 3 2" xfId="12637" xr:uid="{00000000-0005-0000-0000-0000F41D0000}"/>
    <cellStyle name="AggOrange 4 4 3 3" xfId="16119" xr:uid="{00000000-0005-0000-0000-0000F51D0000}"/>
    <cellStyle name="AggOrange 4 4 3 4" xfId="15896" xr:uid="{00000000-0005-0000-0000-0000F61D0000}"/>
    <cellStyle name="AggOrange 4 4 3 5" xfId="17094" xr:uid="{00000000-0005-0000-0000-0000F71D0000}"/>
    <cellStyle name="AggOrange 4 4 3 6" xfId="18073" xr:uid="{00000000-0005-0000-0000-0000F81D0000}"/>
    <cellStyle name="AggOrange 4 4 4" xfId="4014" xr:uid="{00000000-0005-0000-0000-0000F91D0000}"/>
    <cellStyle name="AggOrange 4 4 5" xfId="9038" xr:uid="{00000000-0005-0000-0000-0000FA1D0000}"/>
    <cellStyle name="AggOrange 4 4 6" xfId="9483" xr:uid="{00000000-0005-0000-0000-0000FB1D0000}"/>
    <cellStyle name="AggOrange 4 4 7" xfId="9910" xr:uid="{00000000-0005-0000-0000-0000FC1D0000}"/>
    <cellStyle name="AggOrange 4 4 8" xfId="10322" xr:uid="{00000000-0005-0000-0000-0000FD1D0000}"/>
    <cellStyle name="AggOrange 4 4 9" xfId="10714" xr:uid="{00000000-0005-0000-0000-0000FE1D0000}"/>
    <cellStyle name="AggOrange 4 5" xfId="1089" xr:uid="{00000000-0005-0000-0000-0000FF1D0000}"/>
    <cellStyle name="AggOrange 4 5 2" xfId="12818" xr:uid="{00000000-0005-0000-0000-0000001E0000}"/>
    <cellStyle name="AggOrange 4 5 3" xfId="14334" xr:uid="{00000000-0005-0000-0000-0000011E0000}"/>
    <cellStyle name="AggOrange 4 5 4" xfId="17344" xr:uid="{00000000-0005-0000-0000-0000021E0000}"/>
    <cellStyle name="AggOrange 4 5 5" xfId="17013" xr:uid="{00000000-0005-0000-0000-0000031E0000}"/>
    <cellStyle name="AggOrange 4 5 6" xfId="15992" xr:uid="{00000000-0005-0000-0000-0000041E0000}"/>
    <cellStyle name="AggOrange 4 6" xfId="3986" xr:uid="{00000000-0005-0000-0000-0000051E0000}"/>
    <cellStyle name="AggOrange 4 7" xfId="8815" xr:uid="{00000000-0005-0000-0000-0000061E0000}"/>
    <cellStyle name="AggOrange 4 8" xfId="9018" xr:uid="{00000000-0005-0000-0000-0000071E0000}"/>
    <cellStyle name="AggOrange 4 9" xfId="9425" xr:uid="{00000000-0005-0000-0000-0000081E0000}"/>
    <cellStyle name="AggOrange 5" xfId="83" xr:uid="{00000000-0005-0000-0000-0000091E0000}"/>
    <cellStyle name="AggOrange 5 2" xfId="3252" xr:uid="{00000000-0005-0000-0000-00000A1E0000}"/>
    <cellStyle name="AggOrange 5 2 2" xfId="13516" xr:uid="{00000000-0005-0000-0000-00000B1E0000}"/>
    <cellStyle name="AggOrange 5 2 3" xfId="16885" xr:uid="{00000000-0005-0000-0000-00000C1E0000}"/>
    <cellStyle name="AggOrange 5 2 4" xfId="17996" xr:uid="{00000000-0005-0000-0000-00000D1E0000}"/>
    <cellStyle name="AggOrange 5 2 5" xfId="18993" xr:uid="{00000000-0005-0000-0000-00000E1E0000}"/>
    <cellStyle name="AggOrange 5 2 6" xfId="19734" xr:uid="{00000000-0005-0000-0000-00000F1E0000}"/>
    <cellStyle name="AggOrange 5 3" xfId="9843" xr:uid="{00000000-0005-0000-0000-0000101E0000}"/>
    <cellStyle name="AggOrange 5 4" xfId="13753" xr:uid="{00000000-0005-0000-0000-0000111E0000}"/>
    <cellStyle name="AggOrange_B_border" xfId="39" xr:uid="{00000000-0005-0000-0000-0000121E0000}"/>
    <cellStyle name="AggOrange9" xfId="26" xr:uid="{00000000-0005-0000-0000-0000131E0000}"/>
    <cellStyle name="AggOrange9 2" xfId="130" xr:uid="{00000000-0005-0000-0000-0000141E0000}"/>
    <cellStyle name="AggOrange9 2 2" xfId="422" xr:uid="{00000000-0005-0000-0000-0000151E0000}"/>
    <cellStyle name="AggOrange9 2 2 2" xfId="658" xr:uid="{00000000-0005-0000-0000-0000161E0000}"/>
    <cellStyle name="AggOrange9 2 2 2 10" xfId="11125" xr:uid="{00000000-0005-0000-0000-0000171E0000}"/>
    <cellStyle name="AggOrange9 2 2 2 11" xfId="11512" xr:uid="{00000000-0005-0000-0000-0000181E0000}"/>
    <cellStyle name="AggOrange9 2 2 2 12" xfId="11884" xr:uid="{00000000-0005-0000-0000-0000191E0000}"/>
    <cellStyle name="AggOrange9 2 2 2 13" xfId="12397" xr:uid="{00000000-0005-0000-0000-00001A1E0000}"/>
    <cellStyle name="AggOrange9 2 2 2 14" xfId="15043" xr:uid="{00000000-0005-0000-0000-00001B1E0000}"/>
    <cellStyle name="AggOrange9 2 2 2 15" xfId="16473" xr:uid="{00000000-0005-0000-0000-00001C1E0000}"/>
    <cellStyle name="AggOrange9 2 2 2 16" xfId="17530" xr:uid="{00000000-0005-0000-0000-00001D1E0000}"/>
    <cellStyle name="AggOrange9 2 2 2 17" xfId="15685" xr:uid="{00000000-0005-0000-0000-00001E1E0000}"/>
    <cellStyle name="AggOrange9 2 2 2 2" xfId="873" xr:uid="{00000000-0005-0000-0000-00001F1E0000}"/>
    <cellStyle name="AggOrange9 2 2 2 2 10" xfId="11719" xr:uid="{00000000-0005-0000-0000-0000201E0000}"/>
    <cellStyle name="AggOrange9 2 2 2 2 11" xfId="12090" xr:uid="{00000000-0005-0000-0000-0000211E0000}"/>
    <cellStyle name="AggOrange9 2 2 2 2 12" xfId="12603" xr:uid="{00000000-0005-0000-0000-0000221E0000}"/>
    <cellStyle name="AggOrange9 2 2 2 2 13" xfId="14112" xr:uid="{00000000-0005-0000-0000-0000231E0000}"/>
    <cellStyle name="AggOrange9 2 2 2 2 14" xfId="17462" xr:uid="{00000000-0005-0000-0000-0000241E0000}"/>
    <cellStyle name="AggOrange9 2 2 2 2 15" xfId="14884" xr:uid="{00000000-0005-0000-0000-0000251E0000}"/>
    <cellStyle name="AggOrange9 2 2 2 2 16" xfId="18746" xr:uid="{00000000-0005-0000-0000-0000261E0000}"/>
    <cellStyle name="AggOrange9 2 2 2 2 2" xfId="1137" xr:uid="{00000000-0005-0000-0000-0000271E0000}"/>
    <cellStyle name="AggOrange9 2 2 2 2 2 2" xfId="12866" xr:uid="{00000000-0005-0000-0000-0000281E0000}"/>
    <cellStyle name="AggOrange9 2 2 2 2 2 3" xfId="16247" xr:uid="{00000000-0005-0000-0000-0000291E0000}"/>
    <cellStyle name="AggOrange9 2 2 2 2 2 4" xfId="16536" xr:uid="{00000000-0005-0000-0000-00002A1E0000}"/>
    <cellStyle name="AggOrange9 2 2 2 2 2 5" xfId="17883" xr:uid="{00000000-0005-0000-0000-00002B1E0000}"/>
    <cellStyle name="AggOrange9 2 2 2 2 2 6" xfId="16161" xr:uid="{00000000-0005-0000-0000-00002C1E0000}"/>
    <cellStyle name="AggOrange9 2 2 2 2 3" xfId="4144" xr:uid="{00000000-0005-0000-0000-00002D1E0000}"/>
    <cellStyle name="AggOrange9 2 2 2 2 4" xfId="9346" xr:uid="{00000000-0005-0000-0000-00002E1E0000}"/>
    <cellStyle name="AggOrange9 2 2 2 2 5" xfId="9774" xr:uid="{00000000-0005-0000-0000-00002F1E0000}"/>
    <cellStyle name="AggOrange9 2 2 2 2 6" xfId="10203" xr:uid="{00000000-0005-0000-0000-0000301E0000}"/>
    <cellStyle name="AggOrange9 2 2 2 2 7" xfId="10615" xr:uid="{00000000-0005-0000-0000-0000311E0000}"/>
    <cellStyle name="AggOrange9 2 2 2 2 8" xfId="10860" xr:uid="{00000000-0005-0000-0000-0000321E0000}"/>
    <cellStyle name="AggOrange9 2 2 2 2 9" xfId="11334" xr:uid="{00000000-0005-0000-0000-0000331E0000}"/>
    <cellStyle name="AggOrange9 2 2 2 3" xfId="1262" xr:uid="{00000000-0005-0000-0000-0000341E0000}"/>
    <cellStyle name="AggOrange9 2 2 2 3 2" xfId="12991" xr:uid="{00000000-0005-0000-0000-0000351E0000}"/>
    <cellStyle name="AggOrange9 2 2 2 3 3" xfId="14004" xr:uid="{00000000-0005-0000-0000-0000361E0000}"/>
    <cellStyle name="AggOrange9 2 2 2 3 4" xfId="17211" xr:uid="{00000000-0005-0000-0000-0000371E0000}"/>
    <cellStyle name="AggOrange9 2 2 2 3 5" xfId="14197" xr:uid="{00000000-0005-0000-0000-0000381E0000}"/>
    <cellStyle name="AggOrange9 2 2 2 3 6" xfId="14906" xr:uid="{00000000-0005-0000-0000-0000391E0000}"/>
    <cellStyle name="AggOrange9 2 2 2 4" xfId="3406" xr:uid="{00000000-0005-0000-0000-00003A1E0000}"/>
    <cellStyle name="AggOrange9 2 2 2 5" xfId="9192" xr:uid="{00000000-0005-0000-0000-00003B1E0000}"/>
    <cellStyle name="AggOrange9 2 2 2 6" xfId="9562" xr:uid="{00000000-0005-0000-0000-00003C1E0000}"/>
    <cellStyle name="AggOrange9 2 2 2 7" xfId="9989" xr:uid="{00000000-0005-0000-0000-00003D1E0000}"/>
    <cellStyle name="AggOrange9 2 2 2 8" xfId="10401" xr:uid="{00000000-0005-0000-0000-00003E1E0000}"/>
    <cellStyle name="AggOrange9 2 2 2 9" xfId="9054" xr:uid="{00000000-0005-0000-0000-00003F1E0000}"/>
    <cellStyle name="AggOrange9 2 2 3" xfId="729" xr:uid="{00000000-0005-0000-0000-0000401E0000}"/>
    <cellStyle name="AggOrange9 2 2 3 10" xfId="11575" xr:uid="{00000000-0005-0000-0000-0000411E0000}"/>
    <cellStyle name="AggOrange9 2 2 3 11" xfId="11946" xr:uid="{00000000-0005-0000-0000-0000421E0000}"/>
    <cellStyle name="AggOrange9 2 2 3 12" xfId="12459" xr:uid="{00000000-0005-0000-0000-0000431E0000}"/>
    <cellStyle name="AggOrange9 2 2 3 13" xfId="15233" xr:uid="{00000000-0005-0000-0000-0000441E0000}"/>
    <cellStyle name="AggOrange9 2 2 3 14" xfId="14581" xr:uid="{00000000-0005-0000-0000-0000451E0000}"/>
    <cellStyle name="AggOrange9 2 2 3 15" xfId="14055" xr:uid="{00000000-0005-0000-0000-0000461E0000}"/>
    <cellStyle name="AggOrange9 2 2 3 16" xfId="19440" xr:uid="{00000000-0005-0000-0000-0000471E0000}"/>
    <cellStyle name="AggOrange9 2 2 3 2" xfId="998" xr:uid="{00000000-0005-0000-0000-0000481E0000}"/>
    <cellStyle name="AggOrange9 2 2 3 2 2" xfId="12727" xr:uid="{00000000-0005-0000-0000-0000491E0000}"/>
    <cellStyle name="AggOrange9 2 2 3 2 3" xfId="14238" xr:uid="{00000000-0005-0000-0000-00004A1E0000}"/>
    <cellStyle name="AggOrange9 2 2 3 2 4" xfId="17393" xr:uid="{00000000-0005-0000-0000-00004B1E0000}"/>
    <cellStyle name="AggOrange9 2 2 3 2 5" xfId="17058" xr:uid="{00000000-0005-0000-0000-00004C1E0000}"/>
    <cellStyle name="AggOrange9 2 2 3 2 6" xfId="15514" xr:uid="{00000000-0005-0000-0000-00004D1E0000}"/>
    <cellStyle name="AggOrange9 2 2 3 3" xfId="3872" xr:uid="{00000000-0005-0000-0000-00004E1E0000}"/>
    <cellStyle name="AggOrange9 2 2 3 4" xfId="8649" xr:uid="{00000000-0005-0000-0000-00004F1E0000}"/>
    <cellStyle name="AggOrange9 2 2 3 5" xfId="9630" xr:uid="{00000000-0005-0000-0000-0000501E0000}"/>
    <cellStyle name="AggOrange9 2 2 3 6" xfId="10059" xr:uid="{00000000-0005-0000-0000-0000511E0000}"/>
    <cellStyle name="AggOrange9 2 2 3 7" xfId="10471" xr:uid="{00000000-0005-0000-0000-0000521E0000}"/>
    <cellStyle name="AggOrange9 2 2 3 8" xfId="10779" xr:uid="{00000000-0005-0000-0000-0000531E0000}"/>
    <cellStyle name="AggOrange9 2 2 3 9" xfId="11190" xr:uid="{00000000-0005-0000-0000-0000541E0000}"/>
    <cellStyle name="AggOrange9 2 3" xfId="280" xr:uid="{00000000-0005-0000-0000-0000551E0000}"/>
    <cellStyle name="AggOrange9 2 3 10" xfId="9413" xr:uid="{00000000-0005-0000-0000-0000561E0000}"/>
    <cellStyle name="AggOrange9 2 3 11" xfId="10836" xr:uid="{00000000-0005-0000-0000-0000571E0000}"/>
    <cellStyle name="AggOrange9 2 3 12" xfId="9034" xr:uid="{00000000-0005-0000-0000-0000581E0000}"/>
    <cellStyle name="AggOrange9 2 3 13" xfId="9199" xr:uid="{00000000-0005-0000-0000-0000591E0000}"/>
    <cellStyle name="AggOrange9 2 3 14" xfId="10743" xr:uid="{00000000-0005-0000-0000-00005A1E0000}"/>
    <cellStyle name="AggOrange9 2 3 15" xfId="12230" xr:uid="{00000000-0005-0000-0000-00005B1E0000}"/>
    <cellStyle name="AggOrange9 2 3 16" xfId="16515" xr:uid="{00000000-0005-0000-0000-00005C1E0000}"/>
    <cellStyle name="AggOrange9 2 3 17" xfId="17628" xr:uid="{00000000-0005-0000-0000-00005D1E0000}"/>
    <cellStyle name="AggOrange9 2 3 18" xfId="14758" xr:uid="{00000000-0005-0000-0000-00005E1E0000}"/>
    <cellStyle name="AggOrange9 2 3 19" xfId="19505" xr:uid="{00000000-0005-0000-0000-00005F1E0000}"/>
    <cellStyle name="AggOrange9 2 3 2" xfId="619" xr:uid="{00000000-0005-0000-0000-0000601E0000}"/>
    <cellStyle name="AggOrange9 2 3 2 10" xfId="11086" xr:uid="{00000000-0005-0000-0000-0000611E0000}"/>
    <cellStyle name="AggOrange9 2 3 2 11" xfId="11473" xr:uid="{00000000-0005-0000-0000-0000621E0000}"/>
    <cellStyle name="AggOrange9 2 3 2 12" xfId="11845" xr:uid="{00000000-0005-0000-0000-0000631E0000}"/>
    <cellStyle name="AggOrange9 2 3 2 13" xfId="12358" xr:uid="{00000000-0005-0000-0000-0000641E0000}"/>
    <cellStyle name="AggOrange9 2 3 2 14" xfId="15753" xr:uid="{00000000-0005-0000-0000-0000651E0000}"/>
    <cellStyle name="AggOrange9 2 3 2 15" xfId="15857" xr:uid="{00000000-0005-0000-0000-0000661E0000}"/>
    <cellStyle name="AggOrange9 2 3 2 16" xfId="18221" xr:uid="{00000000-0005-0000-0000-0000671E0000}"/>
    <cellStyle name="AggOrange9 2 3 2 17" xfId="18253" xr:uid="{00000000-0005-0000-0000-0000681E0000}"/>
    <cellStyle name="AggOrange9 2 3 2 2" xfId="834" xr:uid="{00000000-0005-0000-0000-0000691E0000}"/>
    <cellStyle name="AggOrange9 2 3 2 2 10" xfId="11680" xr:uid="{00000000-0005-0000-0000-00006A1E0000}"/>
    <cellStyle name="AggOrange9 2 3 2 2 11" xfId="12051" xr:uid="{00000000-0005-0000-0000-00006B1E0000}"/>
    <cellStyle name="AggOrange9 2 3 2 2 12" xfId="12564" xr:uid="{00000000-0005-0000-0000-00006C1E0000}"/>
    <cellStyle name="AggOrange9 2 3 2 2 13" xfId="14467" xr:uid="{00000000-0005-0000-0000-00006D1E0000}"/>
    <cellStyle name="AggOrange9 2 3 2 2 14" xfId="14771" xr:uid="{00000000-0005-0000-0000-00006E1E0000}"/>
    <cellStyle name="AggOrange9 2 3 2 2 15" xfId="18503" xr:uid="{00000000-0005-0000-0000-00006F1E0000}"/>
    <cellStyle name="AggOrange9 2 3 2 2 16" xfId="18537" xr:uid="{00000000-0005-0000-0000-0000701E0000}"/>
    <cellStyle name="AggOrange9 2 3 2 2 2" xfId="1135" xr:uid="{00000000-0005-0000-0000-0000711E0000}"/>
    <cellStyle name="AggOrange9 2 3 2 2 2 2" xfId="12864" xr:uid="{00000000-0005-0000-0000-0000721E0000}"/>
    <cellStyle name="AggOrange9 2 3 2 2 2 3" xfId="13898" xr:uid="{00000000-0005-0000-0000-0000731E0000}"/>
    <cellStyle name="AggOrange9 2 3 2 2 2 4" xfId="17307" xr:uid="{00000000-0005-0000-0000-0000741E0000}"/>
    <cellStyle name="AggOrange9 2 3 2 2 2 5" xfId="15691" xr:uid="{00000000-0005-0000-0000-0000751E0000}"/>
    <cellStyle name="AggOrange9 2 3 2 2 2 6" xfId="19259" xr:uid="{00000000-0005-0000-0000-0000761E0000}"/>
    <cellStyle name="AggOrange9 2 3 2 2 3" xfId="3965" xr:uid="{00000000-0005-0000-0000-0000771E0000}"/>
    <cellStyle name="AggOrange9 2 3 2 2 4" xfId="8765" xr:uid="{00000000-0005-0000-0000-0000781E0000}"/>
    <cellStyle name="AggOrange9 2 3 2 2 5" xfId="9735" xr:uid="{00000000-0005-0000-0000-0000791E0000}"/>
    <cellStyle name="AggOrange9 2 3 2 2 6" xfId="10164" xr:uid="{00000000-0005-0000-0000-00007A1E0000}"/>
    <cellStyle name="AggOrange9 2 3 2 2 7" xfId="10576" xr:uid="{00000000-0005-0000-0000-00007B1E0000}"/>
    <cellStyle name="AggOrange9 2 3 2 2 8" xfId="8910" xr:uid="{00000000-0005-0000-0000-00007C1E0000}"/>
    <cellStyle name="AggOrange9 2 3 2 2 9" xfId="11295" xr:uid="{00000000-0005-0000-0000-00007D1E0000}"/>
    <cellStyle name="AggOrange9 2 3 2 3" xfId="1057" xr:uid="{00000000-0005-0000-0000-00007E1E0000}"/>
    <cellStyle name="AggOrange9 2 3 2 3 2" xfId="12786" xr:uid="{00000000-0005-0000-0000-00007F1E0000}"/>
    <cellStyle name="AggOrange9 2 3 2 3 3" xfId="15309" xr:uid="{00000000-0005-0000-0000-0000801E0000}"/>
    <cellStyle name="AggOrange9 2 3 2 3 4" xfId="17370" xr:uid="{00000000-0005-0000-0000-0000811E0000}"/>
    <cellStyle name="AggOrange9 2 3 2 3 5" xfId="14875" xr:uid="{00000000-0005-0000-0000-0000821E0000}"/>
    <cellStyle name="AggOrange9 2 3 2 3 6" xfId="19322" xr:uid="{00000000-0005-0000-0000-0000831E0000}"/>
    <cellStyle name="AggOrange9 2 3 2 4" xfId="3530" xr:uid="{00000000-0005-0000-0000-0000841E0000}"/>
    <cellStyle name="AggOrange9 2 3 2 5" xfId="8783" xr:uid="{00000000-0005-0000-0000-0000851E0000}"/>
    <cellStyle name="AggOrange9 2 3 2 6" xfId="9523" xr:uid="{00000000-0005-0000-0000-0000861E0000}"/>
    <cellStyle name="AggOrange9 2 3 2 7" xfId="9950" xr:uid="{00000000-0005-0000-0000-0000871E0000}"/>
    <cellStyle name="AggOrange9 2 3 2 8" xfId="10362" xr:uid="{00000000-0005-0000-0000-0000881E0000}"/>
    <cellStyle name="AggOrange9 2 3 2 9" xfId="10719" xr:uid="{00000000-0005-0000-0000-0000891E0000}"/>
    <cellStyle name="AggOrange9 2 3 3" xfId="665" xr:uid="{00000000-0005-0000-0000-00008A1E0000}"/>
    <cellStyle name="AggOrange9 2 3 3 10" xfId="11132" xr:uid="{00000000-0005-0000-0000-00008B1E0000}"/>
    <cellStyle name="AggOrange9 2 3 3 11" xfId="11519" xr:uid="{00000000-0005-0000-0000-00008C1E0000}"/>
    <cellStyle name="AggOrange9 2 3 3 12" xfId="11891" xr:uid="{00000000-0005-0000-0000-00008D1E0000}"/>
    <cellStyle name="AggOrange9 2 3 3 13" xfId="12404" xr:uid="{00000000-0005-0000-0000-00008E1E0000}"/>
    <cellStyle name="AggOrange9 2 3 3 14" xfId="13821" xr:uid="{00000000-0005-0000-0000-00008F1E0000}"/>
    <cellStyle name="AggOrange9 2 3 3 15" xfId="14940" xr:uid="{00000000-0005-0000-0000-0000901E0000}"/>
    <cellStyle name="AggOrange9 2 3 3 16" xfId="13946" xr:uid="{00000000-0005-0000-0000-0000911E0000}"/>
    <cellStyle name="AggOrange9 2 3 3 17" xfId="15662" xr:uid="{00000000-0005-0000-0000-0000921E0000}"/>
    <cellStyle name="AggOrange9 2 3 3 2" xfId="880" xr:uid="{00000000-0005-0000-0000-0000931E0000}"/>
    <cellStyle name="AggOrange9 2 3 3 2 10" xfId="11726" xr:uid="{00000000-0005-0000-0000-0000941E0000}"/>
    <cellStyle name="AggOrange9 2 3 3 2 11" xfId="12097" xr:uid="{00000000-0005-0000-0000-0000951E0000}"/>
    <cellStyle name="AggOrange9 2 3 3 2 12" xfId="12610" xr:uid="{00000000-0005-0000-0000-0000961E0000}"/>
    <cellStyle name="AggOrange9 2 3 3 2 13" xfId="15244" xr:uid="{00000000-0005-0000-0000-0000971E0000}"/>
    <cellStyle name="AggOrange9 2 3 3 2 14" xfId="14701" xr:uid="{00000000-0005-0000-0000-0000981E0000}"/>
    <cellStyle name="AggOrange9 2 3 3 2 15" xfId="15916" xr:uid="{00000000-0005-0000-0000-0000991E0000}"/>
    <cellStyle name="AggOrange9 2 3 3 2 16" xfId="19411" xr:uid="{00000000-0005-0000-0000-00009A1E0000}"/>
    <cellStyle name="AggOrange9 2 3 3 2 2" xfId="1206" xr:uid="{00000000-0005-0000-0000-00009B1E0000}"/>
    <cellStyle name="AggOrange9 2 3 3 2 2 2" xfId="12935" xr:uid="{00000000-0005-0000-0000-00009C1E0000}"/>
    <cellStyle name="AggOrange9 2 3 3 2 2 3" xfId="15366" xr:uid="{00000000-0005-0000-0000-00009D1E0000}"/>
    <cellStyle name="AggOrange9 2 3 3 2 2 4" xfId="17253" xr:uid="{00000000-0005-0000-0000-00009E1E0000}"/>
    <cellStyle name="AggOrange9 2 3 3 2 2 5" xfId="13798" xr:uid="{00000000-0005-0000-0000-00009F1E0000}"/>
    <cellStyle name="AggOrange9 2 3 3 2 2 6" xfId="19205" xr:uid="{00000000-0005-0000-0000-0000A01E0000}"/>
    <cellStyle name="AggOrange9 2 3 3 2 3" xfId="4234" xr:uid="{00000000-0005-0000-0000-0000A11E0000}"/>
    <cellStyle name="AggOrange9 2 3 3 2 4" xfId="9353" xr:uid="{00000000-0005-0000-0000-0000A21E0000}"/>
    <cellStyle name="AggOrange9 2 3 3 2 5" xfId="9781" xr:uid="{00000000-0005-0000-0000-0000A31E0000}"/>
    <cellStyle name="AggOrange9 2 3 3 2 6" xfId="10210" xr:uid="{00000000-0005-0000-0000-0000A41E0000}"/>
    <cellStyle name="AggOrange9 2 3 3 2 7" xfId="10622" xr:uid="{00000000-0005-0000-0000-0000A51E0000}"/>
    <cellStyle name="AggOrange9 2 3 3 2 8" xfId="10952" xr:uid="{00000000-0005-0000-0000-0000A61E0000}"/>
    <cellStyle name="AggOrange9 2 3 3 2 9" xfId="11341" xr:uid="{00000000-0005-0000-0000-0000A71E0000}"/>
    <cellStyle name="AggOrange9 2 3 3 3" xfId="1310" xr:uid="{00000000-0005-0000-0000-0000A81E0000}"/>
    <cellStyle name="AggOrange9 2 3 3 3 2" xfId="13039" xr:uid="{00000000-0005-0000-0000-0000A91E0000}"/>
    <cellStyle name="AggOrange9 2 3 3 3 3" xfId="14927" xr:uid="{00000000-0005-0000-0000-0000AA1E0000}"/>
    <cellStyle name="AggOrange9 2 3 3 3 4" xfId="15822" xr:uid="{00000000-0005-0000-0000-0000AB1E0000}"/>
    <cellStyle name="AggOrange9 2 3 3 3 5" xfId="17599" xr:uid="{00000000-0005-0000-0000-0000AC1E0000}"/>
    <cellStyle name="AggOrange9 2 3 3 3 6" xfId="18243" xr:uid="{00000000-0005-0000-0000-0000AD1E0000}"/>
    <cellStyle name="AggOrange9 2 3 3 4" xfId="3394" xr:uid="{00000000-0005-0000-0000-0000AE1E0000}"/>
    <cellStyle name="AggOrange9 2 3 3 5" xfId="9123" xr:uid="{00000000-0005-0000-0000-0000AF1E0000}"/>
    <cellStyle name="AggOrange9 2 3 3 6" xfId="9569" xr:uid="{00000000-0005-0000-0000-0000B01E0000}"/>
    <cellStyle name="AggOrange9 2 3 3 7" xfId="9996" xr:uid="{00000000-0005-0000-0000-0000B11E0000}"/>
    <cellStyle name="AggOrange9 2 3 3 8" xfId="10408" xr:uid="{00000000-0005-0000-0000-0000B21E0000}"/>
    <cellStyle name="AggOrange9 2 3 3 9" xfId="10858" xr:uid="{00000000-0005-0000-0000-0000B31E0000}"/>
    <cellStyle name="AggOrange9 2 3 4" xfId="679" xr:uid="{00000000-0005-0000-0000-0000B41E0000}"/>
    <cellStyle name="AggOrange9 2 3 4 10" xfId="11146" xr:uid="{00000000-0005-0000-0000-0000B51E0000}"/>
    <cellStyle name="AggOrange9 2 3 4 11" xfId="11533" xr:uid="{00000000-0005-0000-0000-0000B61E0000}"/>
    <cellStyle name="AggOrange9 2 3 4 12" xfId="11905" xr:uid="{00000000-0005-0000-0000-0000B71E0000}"/>
    <cellStyle name="AggOrange9 2 3 4 13" xfId="12418" xr:uid="{00000000-0005-0000-0000-0000B81E0000}"/>
    <cellStyle name="AggOrange9 2 3 4 14" xfId="14624" xr:uid="{00000000-0005-0000-0000-0000B91E0000}"/>
    <cellStyle name="AggOrange9 2 3 4 15" xfId="14938" xr:uid="{00000000-0005-0000-0000-0000BA1E0000}"/>
    <cellStyle name="AggOrange9 2 3 4 16" xfId="18126" xr:uid="{00000000-0005-0000-0000-0000BB1E0000}"/>
    <cellStyle name="AggOrange9 2 3 4 17" xfId="18730" xr:uid="{00000000-0005-0000-0000-0000BC1E0000}"/>
    <cellStyle name="AggOrange9 2 3 4 2" xfId="894" xr:uid="{00000000-0005-0000-0000-0000BD1E0000}"/>
    <cellStyle name="AggOrange9 2 3 4 2 10" xfId="11740" xr:uid="{00000000-0005-0000-0000-0000BE1E0000}"/>
    <cellStyle name="AggOrange9 2 3 4 2 11" xfId="12111" xr:uid="{00000000-0005-0000-0000-0000BF1E0000}"/>
    <cellStyle name="AggOrange9 2 3 4 2 12" xfId="12624" xr:uid="{00000000-0005-0000-0000-0000C01E0000}"/>
    <cellStyle name="AggOrange9 2 3 4 2 13" xfId="15250" xr:uid="{00000000-0005-0000-0000-0000C11E0000}"/>
    <cellStyle name="AggOrange9 2 3 4 2 14" xfId="17449" xr:uid="{00000000-0005-0000-0000-0000C21E0000}"/>
    <cellStyle name="AggOrange9 2 3 4 2 15" xfId="17097" xr:uid="{00000000-0005-0000-0000-0000C31E0000}"/>
    <cellStyle name="AggOrange9 2 3 4 2 16" xfId="19401" xr:uid="{00000000-0005-0000-0000-0000C41E0000}"/>
    <cellStyle name="AggOrange9 2 3 4 2 2" xfId="1396" xr:uid="{00000000-0005-0000-0000-0000C51E0000}"/>
    <cellStyle name="AggOrange9 2 3 4 2 2 2" xfId="13125" xr:uid="{00000000-0005-0000-0000-0000C61E0000}"/>
    <cellStyle name="AggOrange9 2 3 4 2 2 3" xfId="15116" xr:uid="{00000000-0005-0000-0000-0000C71E0000}"/>
    <cellStyle name="AggOrange9 2 3 4 2 2 4" xfId="17113" xr:uid="{00000000-0005-0000-0000-0000C81E0000}"/>
    <cellStyle name="AggOrange9 2 3 4 2 2 5" xfId="17684" xr:uid="{00000000-0005-0000-0000-0000C91E0000}"/>
    <cellStyle name="AggOrange9 2 3 4 2 2 6" xfId="17580" xr:uid="{00000000-0005-0000-0000-0000CA1E0000}"/>
    <cellStyle name="AggOrange9 2 3 4 2 3" xfId="4248" xr:uid="{00000000-0005-0000-0000-0000CB1E0000}"/>
    <cellStyle name="AggOrange9 2 3 4 2 4" xfId="9367" xr:uid="{00000000-0005-0000-0000-0000CC1E0000}"/>
    <cellStyle name="AggOrange9 2 3 4 2 5" xfId="9795" xr:uid="{00000000-0005-0000-0000-0000CD1E0000}"/>
    <cellStyle name="AggOrange9 2 3 4 2 6" xfId="10224" xr:uid="{00000000-0005-0000-0000-0000CE1E0000}"/>
    <cellStyle name="AggOrange9 2 3 4 2 7" xfId="10636" xr:uid="{00000000-0005-0000-0000-0000CF1E0000}"/>
    <cellStyle name="AggOrange9 2 3 4 2 8" xfId="10966" xr:uid="{00000000-0005-0000-0000-0000D01E0000}"/>
    <cellStyle name="AggOrange9 2 3 4 2 9" xfId="11355" xr:uid="{00000000-0005-0000-0000-0000D11E0000}"/>
    <cellStyle name="AggOrange9 2 3 4 3" xfId="1316" xr:uid="{00000000-0005-0000-0000-0000D21E0000}"/>
    <cellStyle name="AggOrange9 2 3 4 3 2" xfId="13045" xr:uid="{00000000-0005-0000-0000-0000D31E0000}"/>
    <cellStyle name="AggOrange9 2 3 4 3 3" xfId="13707" xr:uid="{00000000-0005-0000-0000-0000D41E0000}"/>
    <cellStyle name="AggOrange9 2 3 4 3 4" xfId="17174" xr:uid="{00000000-0005-0000-0000-0000D51E0000}"/>
    <cellStyle name="AggOrange9 2 3 4 3 5" xfId="17592" xr:uid="{00000000-0005-0000-0000-0000D61E0000}"/>
    <cellStyle name="AggOrange9 2 3 4 3 6" xfId="19126" xr:uid="{00000000-0005-0000-0000-0000D71E0000}"/>
    <cellStyle name="AggOrange9 2 3 4 4" xfId="4129" xr:uid="{00000000-0005-0000-0000-0000D81E0000}"/>
    <cellStyle name="AggOrange9 2 3 4 5" xfId="9255" xr:uid="{00000000-0005-0000-0000-0000D91E0000}"/>
    <cellStyle name="AggOrange9 2 3 4 6" xfId="9583" xr:uid="{00000000-0005-0000-0000-0000DA1E0000}"/>
    <cellStyle name="AggOrange9 2 3 4 7" xfId="10010" xr:uid="{00000000-0005-0000-0000-0000DB1E0000}"/>
    <cellStyle name="AggOrange9 2 3 4 8" xfId="10422" xr:uid="{00000000-0005-0000-0000-0000DC1E0000}"/>
    <cellStyle name="AggOrange9 2 3 4 9" xfId="9061" xr:uid="{00000000-0005-0000-0000-0000DD1E0000}"/>
    <cellStyle name="AggOrange9 2 3 5" xfId="1257" xr:uid="{00000000-0005-0000-0000-0000DE1E0000}"/>
    <cellStyle name="AggOrange9 2 3 5 2" xfId="12986" xr:uid="{00000000-0005-0000-0000-0000DF1E0000}"/>
    <cellStyle name="AggOrange9 2 3 5 3" xfId="14831" xr:uid="{00000000-0005-0000-0000-0000E01E0000}"/>
    <cellStyle name="AggOrange9 2 3 5 4" xfId="17216" xr:uid="{00000000-0005-0000-0000-0000E11E0000}"/>
    <cellStyle name="AggOrange9 2 3 5 5" xfId="14764" xr:uid="{00000000-0005-0000-0000-0000E21E0000}"/>
    <cellStyle name="AggOrange9 2 3 5 6" xfId="19168" xr:uid="{00000000-0005-0000-0000-0000E31E0000}"/>
    <cellStyle name="AggOrange9 2 3 6" xfId="3854" xr:uid="{00000000-0005-0000-0000-0000E41E0000}"/>
    <cellStyle name="AggOrange9 2 3 7" xfId="8827" xr:uid="{00000000-0005-0000-0000-0000E51E0000}"/>
    <cellStyle name="AggOrange9 2 3 8" xfId="8859" xr:uid="{00000000-0005-0000-0000-0000E61E0000}"/>
    <cellStyle name="AggOrange9 2 3 9" xfId="8537" xr:uid="{00000000-0005-0000-0000-0000E71E0000}"/>
    <cellStyle name="AggOrange9 3" xfId="421" xr:uid="{00000000-0005-0000-0000-0000E81E0000}"/>
    <cellStyle name="AggOrange9 3 2" xfId="610" xr:uid="{00000000-0005-0000-0000-0000E91E0000}"/>
    <cellStyle name="AggOrange9 3 2 10" xfId="11077" xr:uid="{00000000-0005-0000-0000-0000EA1E0000}"/>
    <cellStyle name="AggOrange9 3 2 11" xfId="11464" xr:uid="{00000000-0005-0000-0000-0000EB1E0000}"/>
    <cellStyle name="AggOrange9 3 2 12" xfId="11836" xr:uid="{00000000-0005-0000-0000-0000EC1E0000}"/>
    <cellStyle name="AggOrange9 3 2 13" xfId="12349" xr:uid="{00000000-0005-0000-0000-0000ED1E0000}"/>
    <cellStyle name="AggOrange9 3 2 14" xfId="15011" xr:uid="{00000000-0005-0000-0000-0000EE1E0000}"/>
    <cellStyle name="AggOrange9 3 2 15" xfId="15748" xr:uid="{00000000-0005-0000-0000-0000EF1E0000}"/>
    <cellStyle name="AggOrange9 3 2 16" xfId="16751" xr:uid="{00000000-0005-0000-0000-0000F01E0000}"/>
    <cellStyle name="AggOrange9 3 2 17" xfId="16483" xr:uid="{00000000-0005-0000-0000-0000F11E0000}"/>
    <cellStyle name="AggOrange9 3 2 2" xfId="825" xr:uid="{00000000-0005-0000-0000-0000F21E0000}"/>
    <cellStyle name="AggOrange9 3 2 2 10" xfId="11671" xr:uid="{00000000-0005-0000-0000-0000F31E0000}"/>
    <cellStyle name="AggOrange9 3 2 2 11" xfId="12042" xr:uid="{00000000-0005-0000-0000-0000F41E0000}"/>
    <cellStyle name="AggOrange9 3 2 2 12" xfId="12555" xr:uid="{00000000-0005-0000-0000-0000F51E0000}"/>
    <cellStyle name="AggOrange9 3 2 2 13" xfId="14459" xr:uid="{00000000-0005-0000-0000-0000F61E0000}"/>
    <cellStyle name="AggOrange9 3 2 2 14" xfId="14691" xr:uid="{00000000-0005-0000-0000-0000F71E0000}"/>
    <cellStyle name="AggOrange9 3 2 2 15" xfId="18482" xr:uid="{00000000-0005-0000-0000-0000F81E0000}"/>
    <cellStyle name="AggOrange9 3 2 2 16" xfId="16433" xr:uid="{00000000-0005-0000-0000-0000F91E0000}"/>
    <cellStyle name="AggOrange9 3 2 2 2" xfId="1120" xr:uid="{00000000-0005-0000-0000-0000FA1E0000}"/>
    <cellStyle name="AggOrange9 3 2 2 2 2" xfId="12849" xr:uid="{00000000-0005-0000-0000-0000FB1E0000}"/>
    <cellStyle name="AggOrange9 3 2 2 2 3" xfId="14550" xr:uid="{00000000-0005-0000-0000-0000FC1E0000}"/>
    <cellStyle name="AggOrange9 3 2 2 2 4" xfId="17320" xr:uid="{00000000-0005-0000-0000-0000FD1E0000}"/>
    <cellStyle name="AggOrange9 3 2 2 2 5" xfId="17920" xr:uid="{00000000-0005-0000-0000-0000FE1E0000}"/>
    <cellStyle name="AggOrange9 3 2 2 2 6" xfId="15815" xr:uid="{00000000-0005-0000-0000-0000FF1E0000}"/>
    <cellStyle name="AggOrange9 3 2 2 3" xfId="3393" xr:uid="{00000000-0005-0000-0000-0000001F0000}"/>
    <cellStyle name="AggOrange9 3 2 2 4" xfId="8624" xr:uid="{00000000-0005-0000-0000-0000011F0000}"/>
    <cellStyle name="AggOrange9 3 2 2 5" xfId="9726" xr:uid="{00000000-0005-0000-0000-0000021F0000}"/>
    <cellStyle name="AggOrange9 3 2 2 6" xfId="10155" xr:uid="{00000000-0005-0000-0000-0000031F0000}"/>
    <cellStyle name="AggOrange9 3 2 2 7" xfId="10567" xr:uid="{00000000-0005-0000-0000-0000041F0000}"/>
    <cellStyle name="AggOrange9 3 2 2 8" xfId="8922" xr:uid="{00000000-0005-0000-0000-0000051F0000}"/>
    <cellStyle name="AggOrange9 3 2 2 9" xfId="11286" xr:uid="{00000000-0005-0000-0000-0000061F0000}"/>
    <cellStyle name="AggOrange9 3 2 3" xfId="1287" xr:uid="{00000000-0005-0000-0000-0000071F0000}"/>
    <cellStyle name="AggOrange9 3 2 3 2" xfId="13016" xr:uid="{00000000-0005-0000-0000-0000081F0000}"/>
    <cellStyle name="AggOrange9 3 2 3 3" xfId="14835" xr:uid="{00000000-0005-0000-0000-0000091F0000}"/>
    <cellStyle name="AggOrange9 3 2 3 4" xfId="17194" xr:uid="{00000000-0005-0000-0000-00000A1F0000}"/>
    <cellStyle name="AggOrange9 3 2 3 5" xfId="18142" xr:uid="{00000000-0005-0000-0000-00000B1F0000}"/>
    <cellStyle name="AggOrange9 3 2 3 6" xfId="19146" xr:uid="{00000000-0005-0000-0000-00000C1F0000}"/>
    <cellStyle name="AggOrange9 3 2 4" xfId="3559" xr:uid="{00000000-0005-0000-0000-00000D1F0000}"/>
    <cellStyle name="AggOrange9 3 2 5" xfId="8561" xr:uid="{00000000-0005-0000-0000-00000E1F0000}"/>
    <cellStyle name="AggOrange9 3 2 6" xfId="9514" xr:uid="{00000000-0005-0000-0000-00000F1F0000}"/>
    <cellStyle name="AggOrange9 3 2 7" xfId="9941" xr:uid="{00000000-0005-0000-0000-0000101F0000}"/>
    <cellStyle name="AggOrange9 3 2 8" xfId="10353" xr:uid="{00000000-0005-0000-0000-0000111F0000}"/>
    <cellStyle name="AggOrange9 3 2 9" xfId="8680" xr:uid="{00000000-0005-0000-0000-0000121F0000}"/>
    <cellStyle name="AggOrange9 3 3" xfId="728" xr:uid="{00000000-0005-0000-0000-0000131F0000}"/>
    <cellStyle name="AggOrange9 3 3 10" xfId="11574" xr:uid="{00000000-0005-0000-0000-0000141F0000}"/>
    <cellStyle name="AggOrange9 3 3 11" xfId="11945" xr:uid="{00000000-0005-0000-0000-0000151F0000}"/>
    <cellStyle name="AggOrange9 3 3 12" xfId="12458" xr:uid="{00000000-0005-0000-0000-0000161F0000}"/>
    <cellStyle name="AggOrange9 3 3 13" xfId="15124" xr:uid="{00000000-0005-0000-0000-0000171F0000}"/>
    <cellStyle name="AggOrange9 3 3 14" xfId="17488" xr:uid="{00000000-0005-0000-0000-0000181F0000}"/>
    <cellStyle name="AggOrange9 3 3 15" xfId="14396" xr:uid="{00000000-0005-0000-0000-0000191F0000}"/>
    <cellStyle name="AggOrange9 3 3 16" xfId="18594" xr:uid="{00000000-0005-0000-0000-00001A1F0000}"/>
    <cellStyle name="AggOrange9 3 3 2" xfId="1269" xr:uid="{00000000-0005-0000-0000-00001B1F0000}"/>
    <cellStyle name="AggOrange9 3 3 2 2" xfId="12998" xr:uid="{00000000-0005-0000-0000-00001C1F0000}"/>
    <cellStyle name="AggOrange9 3 3 2 3" xfId="14924" xr:uid="{00000000-0005-0000-0000-00001D1F0000}"/>
    <cellStyle name="AggOrange9 3 3 2 4" xfId="17207" xr:uid="{00000000-0005-0000-0000-00001E1F0000}"/>
    <cellStyle name="AggOrange9 3 3 2 5" xfId="17039" xr:uid="{00000000-0005-0000-0000-00001F1F0000}"/>
    <cellStyle name="AggOrange9 3 3 2 6" xfId="18749" xr:uid="{00000000-0005-0000-0000-0000201F0000}"/>
    <cellStyle name="AggOrange9 3 3 3" xfId="4098" xr:uid="{00000000-0005-0000-0000-0000211F0000}"/>
    <cellStyle name="AggOrange9 3 3 4" xfId="8747" xr:uid="{00000000-0005-0000-0000-0000221F0000}"/>
    <cellStyle name="AggOrange9 3 3 5" xfId="9629" xr:uid="{00000000-0005-0000-0000-0000231F0000}"/>
    <cellStyle name="AggOrange9 3 3 6" xfId="10058" xr:uid="{00000000-0005-0000-0000-0000241F0000}"/>
    <cellStyle name="AggOrange9 3 3 7" xfId="10470" xr:uid="{00000000-0005-0000-0000-0000251F0000}"/>
    <cellStyle name="AggOrange9 3 3 8" xfId="10803" xr:uid="{00000000-0005-0000-0000-0000261F0000}"/>
    <cellStyle name="AggOrange9 3 3 9" xfId="11189" xr:uid="{00000000-0005-0000-0000-0000271F0000}"/>
    <cellStyle name="AggOrange9 4" xfId="279" xr:uid="{00000000-0005-0000-0000-0000281F0000}"/>
    <cellStyle name="AggOrange9 4 10" xfId="9243" xr:uid="{00000000-0005-0000-0000-0000291F0000}"/>
    <cellStyle name="AggOrange9 4 11" xfId="10647" xr:uid="{00000000-0005-0000-0000-00002A1F0000}"/>
    <cellStyle name="AggOrange9 4 12" xfId="9048" xr:uid="{00000000-0005-0000-0000-00002B1F0000}"/>
    <cellStyle name="AggOrange9 4 13" xfId="10989" xr:uid="{00000000-0005-0000-0000-00002C1F0000}"/>
    <cellStyle name="AggOrange9 4 14" xfId="10979" xr:uid="{00000000-0005-0000-0000-00002D1F0000}"/>
    <cellStyle name="AggOrange9 4 15" xfId="12229" xr:uid="{00000000-0005-0000-0000-00002E1F0000}"/>
    <cellStyle name="AggOrange9 4 16" xfId="16516" xr:uid="{00000000-0005-0000-0000-00002F1F0000}"/>
    <cellStyle name="AggOrange9 4 17" xfId="17629" xr:uid="{00000000-0005-0000-0000-0000301F0000}"/>
    <cellStyle name="AggOrange9 4 18" xfId="16153" xr:uid="{00000000-0005-0000-0000-0000311F0000}"/>
    <cellStyle name="AggOrange9 4 19" xfId="19506" xr:uid="{00000000-0005-0000-0000-0000321F0000}"/>
    <cellStyle name="AggOrange9 4 2" xfId="618" xr:uid="{00000000-0005-0000-0000-0000331F0000}"/>
    <cellStyle name="AggOrange9 4 2 10" xfId="11085" xr:uid="{00000000-0005-0000-0000-0000341F0000}"/>
    <cellStyle name="AggOrange9 4 2 11" xfId="11472" xr:uid="{00000000-0005-0000-0000-0000351F0000}"/>
    <cellStyle name="AggOrange9 4 2 12" xfId="11844" xr:uid="{00000000-0005-0000-0000-0000361F0000}"/>
    <cellStyle name="AggOrange9 4 2 13" xfId="12357" xr:uid="{00000000-0005-0000-0000-0000371F0000}"/>
    <cellStyle name="AggOrange9 4 2 14" xfId="16151" xr:uid="{00000000-0005-0000-0000-0000381F0000}"/>
    <cellStyle name="AggOrange9 4 2 15" xfId="15709" xr:uid="{00000000-0005-0000-0000-0000391F0000}"/>
    <cellStyle name="AggOrange9 4 2 16" xfId="14594" xr:uid="{00000000-0005-0000-0000-00003A1F0000}"/>
    <cellStyle name="AggOrange9 4 2 17" xfId="18092" xr:uid="{00000000-0005-0000-0000-00003B1F0000}"/>
    <cellStyle name="AggOrange9 4 2 2" xfId="833" xr:uid="{00000000-0005-0000-0000-00003C1F0000}"/>
    <cellStyle name="AggOrange9 4 2 2 10" xfId="11679" xr:uid="{00000000-0005-0000-0000-00003D1F0000}"/>
    <cellStyle name="AggOrange9 4 2 2 11" xfId="12050" xr:uid="{00000000-0005-0000-0000-00003E1F0000}"/>
    <cellStyle name="AggOrange9 4 2 2 12" xfId="12563" xr:uid="{00000000-0005-0000-0000-00003F1F0000}"/>
    <cellStyle name="AggOrange9 4 2 2 13" xfId="14597" xr:uid="{00000000-0005-0000-0000-0000401F0000}"/>
    <cellStyle name="AggOrange9 4 2 2 14" xfId="16203" xr:uid="{00000000-0005-0000-0000-0000411F0000}"/>
    <cellStyle name="AggOrange9 4 2 2 15" xfId="18484" xr:uid="{00000000-0005-0000-0000-0000421F0000}"/>
    <cellStyle name="AggOrange9 4 2 2 16" xfId="18527" xr:uid="{00000000-0005-0000-0000-0000431F0000}"/>
    <cellStyle name="AggOrange9 4 2 2 2" xfId="1180" xr:uid="{00000000-0005-0000-0000-0000441F0000}"/>
    <cellStyle name="AggOrange9 4 2 2 2 2" xfId="12909" xr:uid="{00000000-0005-0000-0000-0000451F0000}"/>
    <cellStyle name="AggOrange9 4 2 2 2 3" xfId="15352" xr:uid="{00000000-0005-0000-0000-0000461F0000}"/>
    <cellStyle name="AggOrange9 4 2 2 2 4" xfId="17273" xr:uid="{00000000-0005-0000-0000-0000471F0000}"/>
    <cellStyle name="AggOrange9 4 2 2 2 5" xfId="15017" xr:uid="{00000000-0005-0000-0000-0000481F0000}"/>
    <cellStyle name="AggOrange9 4 2 2 2 6" xfId="19225" xr:uid="{00000000-0005-0000-0000-0000491F0000}"/>
    <cellStyle name="AggOrange9 4 2 2 3" xfId="4119" xr:uid="{00000000-0005-0000-0000-00004A1F0000}"/>
    <cellStyle name="AggOrange9 4 2 2 4" xfId="8620" xr:uid="{00000000-0005-0000-0000-00004B1F0000}"/>
    <cellStyle name="AggOrange9 4 2 2 5" xfId="9734" xr:uid="{00000000-0005-0000-0000-00004C1F0000}"/>
    <cellStyle name="AggOrange9 4 2 2 6" xfId="10163" xr:uid="{00000000-0005-0000-0000-00004D1F0000}"/>
    <cellStyle name="AggOrange9 4 2 2 7" xfId="10575" xr:uid="{00000000-0005-0000-0000-00004E1F0000}"/>
    <cellStyle name="AggOrange9 4 2 2 8" xfId="10665" xr:uid="{00000000-0005-0000-0000-00004F1F0000}"/>
    <cellStyle name="AggOrange9 4 2 2 9" xfId="11294" xr:uid="{00000000-0005-0000-0000-0000501F0000}"/>
    <cellStyle name="AggOrange9 4 2 3" xfId="1052" xr:uid="{00000000-0005-0000-0000-0000511F0000}"/>
    <cellStyle name="AggOrange9 4 2 3 2" xfId="12781" xr:uid="{00000000-0005-0000-0000-0000521F0000}"/>
    <cellStyle name="AggOrange9 4 2 3 3" xfId="15306" xr:uid="{00000000-0005-0000-0000-0000531F0000}"/>
    <cellStyle name="AggOrange9 4 2 3 4" xfId="17374" xr:uid="{00000000-0005-0000-0000-0000541F0000}"/>
    <cellStyle name="AggOrange9 4 2 3 5" xfId="14153" xr:uid="{00000000-0005-0000-0000-0000551F0000}"/>
    <cellStyle name="AggOrange9 4 2 3 6" xfId="19326" xr:uid="{00000000-0005-0000-0000-0000561F0000}"/>
    <cellStyle name="AggOrange9 4 2 4" xfId="3901" xr:uid="{00000000-0005-0000-0000-0000571F0000}"/>
    <cellStyle name="AggOrange9 4 2 5" xfId="9071" xr:uid="{00000000-0005-0000-0000-0000581F0000}"/>
    <cellStyle name="AggOrange9 4 2 6" xfId="9522" xr:uid="{00000000-0005-0000-0000-0000591F0000}"/>
    <cellStyle name="AggOrange9 4 2 7" xfId="9949" xr:uid="{00000000-0005-0000-0000-00005A1F0000}"/>
    <cellStyle name="AggOrange9 4 2 8" xfId="10361" xr:uid="{00000000-0005-0000-0000-00005B1F0000}"/>
    <cellStyle name="AggOrange9 4 2 9" xfId="8930" xr:uid="{00000000-0005-0000-0000-00005C1F0000}"/>
    <cellStyle name="AggOrange9 4 3" xfId="563" xr:uid="{00000000-0005-0000-0000-00005D1F0000}"/>
    <cellStyle name="AggOrange9 4 3 10" xfId="11030" xr:uid="{00000000-0005-0000-0000-00005E1F0000}"/>
    <cellStyle name="AggOrange9 4 3 11" xfId="11417" xr:uid="{00000000-0005-0000-0000-00005F1F0000}"/>
    <cellStyle name="AggOrange9 4 3 12" xfId="11789" xr:uid="{00000000-0005-0000-0000-0000601F0000}"/>
    <cellStyle name="AggOrange9 4 3 13" xfId="12302" xr:uid="{00000000-0005-0000-0000-0000611F0000}"/>
    <cellStyle name="AggOrange9 4 3 14" xfId="14065" xr:uid="{00000000-0005-0000-0000-0000621F0000}"/>
    <cellStyle name="AggOrange9 4 3 15" xfId="16695" xr:uid="{00000000-0005-0000-0000-0000631F0000}"/>
    <cellStyle name="AggOrange9 4 3 16" xfId="18541" xr:uid="{00000000-0005-0000-0000-0000641F0000}"/>
    <cellStyle name="AggOrange9 4 3 17" xfId="18171" xr:uid="{00000000-0005-0000-0000-0000651F0000}"/>
    <cellStyle name="AggOrange9 4 3 2" xfId="778" xr:uid="{00000000-0005-0000-0000-0000661F0000}"/>
    <cellStyle name="AggOrange9 4 3 2 10" xfId="11624" xr:uid="{00000000-0005-0000-0000-0000671F0000}"/>
    <cellStyle name="AggOrange9 4 3 2 11" xfId="11995" xr:uid="{00000000-0005-0000-0000-0000681F0000}"/>
    <cellStyle name="AggOrange9 4 3 2 12" xfId="12508" xr:uid="{00000000-0005-0000-0000-0000691F0000}"/>
    <cellStyle name="AggOrange9 4 3 2 13" xfId="14133" xr:uid="{00000000-0005-0000-0000-00006A1F0000}"/>
    <cellStyle name="AggOrange9 4 3 2 14" xfId="15853" xr:uid="{00000000-0005-0000-0000-00006B1F0000}"/>
    <cellStyle name="AggOrange9 4 3 2 15" xfId="18499" xr:uid="{00000000-0005-0000-0000-00006C1F0000}"/>
    <cellStyle name="AggOrange9 4 3 2 16" xfId="13973" xr:uid="{00000000-0005-0000-0000-00006D1F0000}"/>
    <cellStyle name="AggOrange9 4 3 2 2" xfId="1167" xr:uid="{00000000-0005-0000-0000-00006E1F0000}"/>
    <cellStyle name="AggOrange9 4 3 2 2 2" xfId="12896" xr:uid="{00000000-0005-0000-0000-00006F1F0000}"/>
    <cellStyle name="AggOrange9 4 3 2 2 3" xfId="13772" xr:uid="{00000000-0005-0000-0000-0000701F0000}"/>
    <cellStyle name="AggOrange9 4 3 2 2 4" xfId="17284" xr:uid="{00000000-0005-0000-0000-0000711F0000}"/>
    <cellStyle name="AggOrange9 4 3 2 2 5" xfId="17880" xr:uid="{00000000-0005-0000-0000-0000721F0000}"/>
    <cellStyle name="AggOrange9 4 3 2 2 6" xfId="19236" xr:uid="{00000000-0005-0000-0000-0000731F0000}"/>
    <cellStyle name="AggOrange9 4 3 2 3" xfId="3518" xr:uid="{00000000-0005-0000-0000-0000741F0000}"/>
    <cellStyle name="AggOrange9 4 3 2 4" xfId="8895" xr:uid="{00000000-0005-0000-0000-0000751F0000}"/>
    <cellStyle name="AggOrange9 4 3 2 5" xfId="9679" xr:uid="{00000000-0005-0000-0000-0000761F0000}"/>
    <cellStyle name="AggOrange9 4 3 2 6" xfId="10108" xr:uid="{00000000-0005-0000-0000-0000771F0000}"/>
    <cellStyle name="AggOrange9 4 3 2 7" xfId="10520" xr:uid="{00000000-0005-0000-0000-0000781F0000}"/>
    <cellStyle name="AggOrange9 4 3 2 8" xfId="9056" xr:uid="{00000000-0005-0000-0000-0000791F0000}"/>
    <cellStyle name="AggOrange9 4 3 2 9" xfId="11239" xr:uid="{00000000-0005-0000-0000-00007A1F0000}"/>
    <cellStyle name="AggOrange9 4 3 3" xfId="1324" xr:uid="{00000000-0005-0000-0000-00007B1F0000}"/>
    <cellStyle name="AggOrange9 4 3 3 2" xfId="13053" xr:uid="{00000000-0005-0000-0000-00007C1F0000}"/>
    <cellStyle name="AggOrange9 4 3 3 3" xfId="15631" xr:uid="{00000000-0005-0000-0000-00007D1F0000}"/>
    <cellStyle name="AggOrange9 4 3 3 4" xfId="14542" xr:uid="{00000000-0005-0000-0000-00007E1F0000}"/>
    <cellStyle name="AggOrange9 4 3 3 5" xfId="16577" xr:uid="{00000000-0005-0000-0000-00007F1F0000}"/>
    <cellStyle name="AggOrange9 4 3 3 6" xfId="17801" xr:uid="{00000000-0005-0000-0000-0000801F0000}"/>
    <cellStyle name="AggOrange9 4 3 4" xfId="4221" xr:uid="{00000000-0005-0000-0000-0000811F0000}"/>
    <cellStyle name="AggOrange9 4 3 5" xfId="8659" xr:uid="{00000000-0005-0000-0000-0000821F0000}"/>
    <cellStyle name="AggOrange9 4 3 6" xfId="9467" xr:uid="{00000000-0005-0000-0000-0000831F0000}"/>
    <cellStyle name="AggOrange9 4 3 7" xfId="9894" xr:uid="{00000000-0005-0000-0000-0000841F0000}"/>
    <cellStyle name="AggOrange9 4 3 8" xfId="10306" xr:uid="{00000000-0005-0000-0000-0000851F0000}"/>
    <cellStyle name="AggOrange9 4 3 9" xfId="10943" xr:uid="{00000000-0005-0000-0000-0000861F0000}"/>
    <cellStyle name="AggOrange9 4 4" xfId="609" xr:uid="{00000000-0005-0000-0000-0000871F0000}"/>
    <cellStyle name="AggOrange9 4 4 10" xfId="11076" xr:uid="{00000000-0005-0000-0000-0000881F0000}"/>
    <cellStyle name="AggOrange9 4 4 11" xfId="11463" xr:uid="{00000000-0005-0000-0000-0000891F0000}"/>
    <cellStyle name="AggOrange9 4 4 12" xfId="11835" xr:uid="{00000000-0005-0000-0000-00008A1F0000}"/>
    <cellStyle name="AggOrange9 4 4 13" xfId="12348" xr:uid="{00000000-0005-0000-0000-00008B1F0000}"/>
    <cellStyle name="AggOrange9 4 4 14" xfId="14578" xr:uid="{00000000-0005-0000-0000-00008C1F0000}"/>
    <cellStyle name="AggOrange9 4 4 15" xfId="14089" xr:uid="{00000000-0005-0000-0000-00008D1F0000}"/>
    <cellStyle name="AggOrange9 4 4 16" xfId="18291" xr:uid="{00000000-0005-0000-0000-00008E1F0000}"/>
    <cellStyle name="AggOrange9 4 4 17" xfId="15075" xr:uid="{00000000-0005-0000-0000-00008F1F0000}"/>
    <cellStyle name="AggOrange9 4 4 2" xfId="824" xr:uid="{00000000-0005-0000-0000-0000901F0000}"/>
    <cellStyle name="AggOrange9 4 4 2 10" xfId="11670" xr:uid="{00000000-0005-0000-0000-0000911F0000}"/>
    <cellStyle name="AggOrange9 4 4 2 11" xfId="12041" xr:uid="{00000000-0005-0000-0000-0000921F0000}"/>
    <cellStyle name="AggOrange9 4 4 2 12" xfId="12554" xr:uid="{00000000-0005-0000-0000-0000931F0000}"/>
    <cellStyle name="AggOrange9 4 4 2 13" xfId="16109" xr:uid="{00000000-0005-0000-0000-0000941F0000}"/>
    <cellStyle name="AggOrange9 4 4 2 14" xfId="16076" xr:uid="{00000000-0005-0000-0000-0000951F0000}"/>
    <cellStyle name="AggOrange9 4 4 2 15" xfId="16528" xr:uid="{00000000-0005-0000-0000-0000961F0000}"/>
    <cellStyle name="AggOrange9 4 4 2 16" xfId="18871" xr:uid="{00000000-0005-0000-0000-0000971F0000}"/>
    <cellStyle name="AggOrange9 4 4 2 2" xfId="944" xr:uid="{00000000-0005-0000-0000-0000981F0000}"/>
    <cellStyle name="AggOrange9 4 4 2 2 2" xfId="12673" xr:uid="{00000000-0005-0000-0000-0000991F0000}"/>
    <cellStyle name="AggOrange9 4 4 2 2 3" xfId="14329" xr:uid="{00000000-0005-0000-0000-00009A1F0000}"/>
    <cellStyle name="AggOrange9 4 4 2 2 4" xfId="17436" xr:uid="{00000000-0005-0000-0000-00009B1F0000}"/>
    <cellStyle name="AggOrange9 4 4 2 2 5" xfId="16983" xr:uid="{00000000-0005-0000-0000-00009C1F0000}"/>
    <cellStyle name="AggOrange9 4 4 2 2 6" xfId="17499" xr:uid="{00000000-0005-0000-0000-00009D1F0000}"/>
    <cellStyle name="AggOrange9 4 4 2 3" xfId="4038" xr:uid="{00000000-0005-0000-0000-00009E1F0000}"/>
    <cellStyle name="AggOrange9 4 4 2 4" xfId="8728" xr:uid="{00000000-0005-0000-0000-00009F1F0000}"/>
    <cellStyle name="AggOrange9 4 4 2 5" xfId="9725" xr:uid="{00000000-0005-0000-0000-0000A01F0000}"/>
    <cellStyle name="AggOrange9 4 4 2 6" xfId="10154" xr:uid="{00000000-0005-0000-0000-0000A11F0000}"/>
    <cellStyle name="AggOrange9 4 4 2 7" xfId="10566" xr:uid="{00000000-0005-0000-0000-0000A21F0000}"/>
    <cellStyle name="AggOrange9 4 4 2 8" xfId="9814" xr:uid="{00000000-0005-0000-0000-0000A31F0000}"/>
    <cellStyle name="AggOrange9 4 4 2 9" xfId="11285" xr:uid="{00000000-0005-0000-0000-0000A41F0000}"/>
    <cellStyle name="AggOrange9 4 4 3" xfId="164" xr:uid="{00000000-0005-0000-0000-0000A51F0000}"/>
    <cellStyle name="AggOrange9 4 4 3 2" xfId="12211" xr:uid="{00000000-0005-0000-0000-0000A61F0000}"/>
    <cellStyle name="AggOrange9 4 4 3 3" xfId="16034" xr:uid="{00000000-0005-0000-0000-0000A71F0000}"/>
    <cellStyle name="AggOrange9 4 4 3 4" xfId="16212" xr:uid="{00000000-0005-0000-0000-0000A81F0000}"/>
    <cellStyle name="AggOrange9 4 4 3 5" xfId="18215" xr:uid="{00000000-0005-0000-0000-0000A91F0000}"/>
    <cellStyle name="AggOrange9 4 4 3 6" xfId="15680" xr:uid="{00000000-0005-0000-0000-0000AA1F0000}"/>
    <cellStyle name="AggOrange9 4 4 4" xfId="3649" xr:uid="{00000000-0005-0000-0000-0000AB1F0000}"/>
    <cellStyle name="AggOrange9 4 4 5" xfId="8657" xr:uid="{00000000-0005-0000-0000-0000AC1F0000}"/>
    <cellStyle name="AggOrange9 4 4 6" xfId="9513" xr:uid="{00000000-0005-0000-0000-0000AD1F0000}"/>
    <cellStyle name="AggOrange9 4 4 7" xfId="9940" xr:uid="{00000000-0005-0000-0000-0000AE1F0000}"/>
    <cellStyle name="AggOrange9 4 4 8" xfId="10352" xr:uid="{00000000-0005-0000-0000-0000AF1F0000}"/>
    <cellStyle name="AggOrange9 4 4 9" xfId="10769" xr:uid="{00000000-0005-0000-0000-0000B01F0000}"/>
    <cellStyle name="AggOrange9 4 5" xfId="1347" xr:uid="{00000000-0005-0000-0000-0000B11F0000}"/>
    <cellStyle name="AggOrange9 4 5 2" xfId="13076" xr:uid="{00000000-0005-0000-0000-0000B21F0000}"/>
    <cellStyle name="AggOrange9 4 5 3" xfId="13899" xr:uid="{00000000-0005-0000-0000-0000B31F0000}"/>
    <cellStyle name="AggOrange9 4 5 4" xfId="17154" xr:uid="{00000000-0005-0000-0000-0000B41F0000}"/>
    <cellStyle name="AggOrange9 4 5 5" xfId="17854" xr:uid="{00000000-0005-0000-0000-0000B51F0000}"/>
    <cellStyle name="AggOrange9 4 5 6" xfId="19106" xr:uid="{00000000-0005-0000-0000-0000B61F0000}"/>
    <cellStyle name="AggOrange9 4 6" xfId="3569" xr:uid="{00000000-0005-0000-0000-0000B71F0000}"/>
    <cellStyle name="AggOrange9 4 7" xfId="8935" xr:uid="{00000000-0005-0000-0000-0000B81F0000}"/>
    <cellStyle name="AggOrange9 4 8" xfId="9173" xr:uid="{00000000-0005-0000-0000-0000B91F0000}"/>
    <cellStyle name="AggOrange9 4 9" xfId="9078" xr:uid="{00000000-0005-0000-0000-0000BA1F0000}"/>
    <cellStyle name="AggOrange9 5" xfId="82" xr:uid="{00000000-0005-0000-0000-0000BB1F0000}"/>
    <cellStyle name="AggOrange9 5 2" xfId="3251" xr:uid="{00000000-0005-0000-0000-0000BC1F0000}"/>
    <cellStyle name="AggOrange9 5 2 2" xfId="13515" xr:uid="{00000000-0005-0000-0000-0000BD1F0000}"/>
    <cellStyle name="AggOrange9 5 2 3" xfId="16884" xr:uid="{00000000-0005-0000-0000-0000BE1F0000}"/>
    <cellStyle name="AggOrange9 5 2 4" xfId="17995" xr:uid="{00000000-0005-0000-0000-0000BF1F0000}"/>
    <cellStyle name="AggOrange9 5 2 5" xfId="18992" xr:uid="{00000000-0005-0000-0000-0000C01F0000}"/>
    <cellStyle name="AggOrange9 5 2 6" xfId="19733" xr:uid="{00000000-0005-0000-0000-0000C11F0000}"/>
    <cellStyle name="AggOrange9 5 3" xfId="9836" xr:uid="{00000000-0005-0000-0000-0000C21F0000}"/>
    <cellStyle name="AggOrange9 5 4" xfId="13752" xr:uid="{00000000-0005-0000-0000-0000C31F0000}"/>
    <cellStyle name="AggOrangeLB_2x" xfId="38" xr:uid="{00000000-0005-0000-0000-0000C41F0000}"/>
    <cellStyle name="AggOrangeLBorder" xfId="40" xr:uid="{00000000-0005-0000-0000-0000C51F0000}"/>
    <cellStyle name="AggOrangeLBorder 2" xfId="131" xr:uid="{00000000-0005-0000-0000-0000C61F0000}"/>
    <cellStyle name="AggOrangeLBorder 2 2" xfId="424" xr:uid="{00000000-0005-0000-0000-0000C71F0000}"/>
    <cellStyle name="AggOrangeLBorder 2 2 2" xfId="14018" xr:uid="{00000000-0005-0000-0000-0000C81F0000}"/>
    <cellStyle name="AggOrangeLBorder 2 3" xfId="282" xr:uid="{00000000-0005-0000-0000-0000C91F0000}"/>
    <cellStyle name="AggOrangeLBorder 2 3 10" xfId="9091" xr:uid="{00000000-0005-0000-0000-0000CA1F0000}"/>
    <cellStyle name="AggOrangeLBorder 2 3 11" xfId="10234" xr:uid="{00000000-0005-0000-0000-0000CB1F0000}"/>
    <cellStyle name="AggOrangeLBorder 2 3 12" xfId="8810" xr:uid="{00000000-0005-0000-0000-0000CC1F0000}"/>
    <cellStyle name="AggOrangeLBorder 2 3 13" xfId="9827" xr:uid="{00000000-0005-0000-0000-0000CD1F0000}"/>
    <cellStyle name="AggOrangeLBorder 2 3 14" xfId="8805" xr:uid="{00000000-0005-0000-0000-0000CE1F0000}"/>
    <cellStyle name="AggOrangeLBorder 2 3 15" xfId="10914" xr:uid="{00000000-0005-0000-0000-0000CF1F0000}"/>
    <cellStyle name="AggOrangeLBorder 2 3 16" xfId="12232" xr:uid="{00000000-0005-0000-0000-0000D01F0000}"/>
    <cellStyle name="AggOrangeLBorder 2 3 17" xfId="16513" xr:uid="{00000000-0005-0000-0000-0000D11F0000}"/>
    <cellStyle name="AggOrangeLBorder 2 3 18" xfId="17626" xr:uid="{00000000-0005-0000-0000-0000D21F0000}"/>
    <cellStyle name="AggOrangeLBorder 2 3 19" xfId="15997" xr:uid="{00000000-0005-0000-0000-0000D31F0000}"/>
    <cellStyle name="AggOrangeLBorder 2 3 2" xfId="621" xr:uid="{00000000-0005-0000-0000-0000D41F0000}"/>
    <cellStyle name="AggOrangeLBorder 2 3 2 10" xfId="11088" xr:uid="{00000000-0005-0000-0000-0000D51F0000}"/>
    <cellStyle name="AggOrangeLBorder 2 3 2 11" xfId="11475" xr:uid="{00000000-0005-0000-0000-0000D61F0000}"/>
    <cellStyle name="AggOrangeLBorder 2 3 2 12" xfId="11847" xr:uid="{00000000-0005-0000-0000-0000D71F0000}"/>
    <cellStyle name="AggOrangeLBorder 2 3 2 13" xfId="12360" xr:uid="{00000000-0005-0000-0000-0000D81F0000}"/>
    <cellStyle name="AggOrangeLBorder 2 3 2 14" xfId="15758" xr:uid="{00000000-0005-0000-0000-0000D91F0000}"/>
    <cellStyle name="AggOrangeLBorder 2 3 2 15" xfId="14206" xr:uid="{00000000-0005-0000-0000-0000DA1F0000}"/>
    <cellStyle name="AggOrangeLBorder 2 3 2 16" xfId="18395" xr:uid="{00000000-0005-0000-0000-0000DB1F0000}"/>
    <cellStyle name="AggOrangeLBorder 2 3 2 17" xfId="18562" xr:uid="{00000000-0005-0000-0000-0000DC1F0000}"/>
    <cellStyle name="AggOrangeLBorder 2 3 2 2" xfId="836" xr:uid="{00000000-0005-0000-0000-0000DD1F0000}"/>
    <cellStyle name="AggOrangeLBorder 2 3 2 2 10" xfId="11682" xr:uid="{00000000-0005-0000-0000-0000DE1F0000}"/>
    <cellStyle name="AggOrangeLBorder 2 3 2 2 11" xfId="12053" xr:uid="{00000000-0005-0000-0000-0000DF1F0000}"/>
    <cellStyle name="AggOrangeLBorder 2 3 2 2 12" xfId="12566" xr:uid="{00000000-0005-0000-0000-0000E01F0000}"/>
    <cellStyle name="AggOrangeLBorder 2 3 2 2 13" xfId="16127" xr:uid="{00000000-0005-0000-0000-0000E11F0000}"/>
    <cellStyle name="AggOrangeLBorder 2 3 2 2 14" xfId="14674" xr:uid="{00000000-0005-0000-0000-0000E21F0000}"/>
    <cellStyle name="AggOrangeLBorder 2 3 2 2 15" xfId="14985" xr:uid="{00000000-0005-0000-0000-0000E31F0000}"/>
    <cellStyle name="AggOrangeLBorder 2 3 2 2 16" xfId="18082" xr:uid="{00000000-0005-0000-0000-0000E41F0000}"/>
    <cellStyle name="AggOrangeLBorder 2 3 2 2 2" xfId="1014" xr:uid="{00000000-0005-0000-0000-0000E51F0000}"/>
    <cellStyle name="AggOrangeLBorder 2 3 2 2 2 2" xfId="12743" xr:uid="{00000000-0005-0000-0000-0000E61F0000}"/>
    <cellStyle name="AggOrangeLBorder 2 3 2 2 2 3" xfId="15296" xr:uid="{00000000-0005-0000-0000-0000E71F0000}"/>
    <cellStyle name="AggOrangeLBorder 2 3 2 2 2 4" xfId="16570" xr:uid="{00000000-0005-0000-0000-0000E81F0000}"/>
    <cellStyle name="AggOrangeLBorder 2 3 2 2 2 5" xfId="14105" xr:uid="{00000000-0005-0000-0000-0000E91F0000}"/>
    <cellStyle name="AggOrangeLBorder 2 3 2 2 2 6" xfId="19341" xr:uid="{00000000-0005-0000-0000-0000EA1F0000}"/>
    <cellStyle name="AggOrangeLBorder 2 3 2 2 3" xfId="3409" xr:uid="{00000000-0005-0000-0000-0000EB1F0000}"/>
    <cellStyle name="AggOrangeLBorder 2 3 2 2 4" xfId="8764" xr:uid="{00000000-0005-0000-0000-0000EC1F0000}"/>
    <cellStyle name="AggOrangeLBorder 2 3 2 2 5" xfId="9737" xr:uid="{00000000-0005-0000-0000-0000ED1F0000}"/>
    <cellStyle name="AggOrangeLBorder 2 3 2 2 6" xfId="10166" xr:uid="{00000000-0005-0000-0000-0000EE1F0000}"/>
    <cellStyle name="AggOrangeLBorder 2 3 2 2 7" xfId="10578" xr:uid="{00000000-0005-0000-0000-0000EF1F0000}"/>
    <cellStyle name="AggOrangeLBorder 2 3 2 2 8" xfId="9177" xr:uid="{00000000-0005-0000-0000-0000F01F0000}"/>
    <cellStyle name="AggOrangeLBorder 2 3 2 2 9" xfId="11297" xr:uid="{00000000-0005-0000-0000-0000F11F0000}"/>
    <cellStyle name="AggOrangeLBorder 2 3 2 3" xfId="1346" xr:uid="{00000000-0005-0000-0000-0000F21F0000}"/>
    <cellStyle name="AggOrangeLBorder 2 3 2 3 2" xfId="13075" xr:uid="{00000000-0005-0000-0000-0000F31F0000}"/>
    <cellStyle name="AggOrangeLBorder 2 3 2 3 3" xfId="13996" xr:uid="{00000000-0005-0000-0000-0000F41F0000}"/>
    <cellStyle name="AggOrangeLBorder 2 3 2 3 4" xfId="17155" xr:uid="{00000000-0005-0000-0000-0000F51F0000}"/>
    <cellStyle name="AggOrangeLBorder 2 3 2 3 5" xfId="14170" xr:uid="{00000000-0005-0000-0000-0000F61F0000}"/>
    <cellStyle name="AggOrangeLBorder 2 3 2 3 6" xfId="19107" xr:uid="{00000000-0005-0000-0000-0000F71F0000}"/>
    <cellStyle name="AggOrangeLBorder 2 3 2 4" xfId="3668" xr:uid="{00000000-0005-0000-0000-0000F81F0000}"/>
    <cellStyle name="AggOrangeLBorder 2 3 2 5" xfId="9250" xr:uid="{00000000-0005-0000-0000-0000F91F0000}"/>
    <cellStyle name="AggOrangeLBorder 2 3 2 6" xfId="9525" xr:uid="{00000000-0005-0000-0000-0000FA1F0000}"/>
    <cellStyle name="AggOrangeLBorder 2 3 2 7" xfId="9952" xr:uid="{00000000-0005-0000-0000-0000FB1F0000}"/>
    <cellStyle name="AggOrangeLBorder 2 3 2 8" xfId="10364" xr:uid="{00000000-0005-0000-0000-0000FC1F0000}"/>
    <cellStyle name="AggOrangeLBorder 2 3 2 9" xfId="10848" xr:uid="{00000000-0005-0000-0000-0000FD1F0000}"/>
    <cellStyle name="AggOrangeLBorder 2 3 20" xfId="19503" xr:uid="{00000000-0005-0000-0000-0000FE1F0000}"/>
    <cellStyle name="AggOrangeLBorder 2 3 3" xfId="561" xr:uid="{00000000-0005-0000-0000-0000FF1F0000}"/>
    <cellStyle name="AggOrangeLBorder 2 3 3 10" xfId="11028" xr:uid="{00000000-0005-0000-0000-000000200000}"/>
    <cellStyle name="AggOrangeLBorder 2 3 3 11" xfId="11415" xr:uid="{00000000-0005-0000-0000-000001200000}"/>
    <cellStyle name="AggOrangeLBorder 2 3 3 12" xfId="11787" xr:uid="{00000000-0005-0000-0000-000002200000}"/>
    <cellStyle name="AggOrangeLBorder 2 3 3 13" xfId="12300" xr:uid="{00000000-0005-0000-0000-000003200000}"/>
    <cellStyle name="AggOrangeLBorder 2 3 3 14" xfId="15841" xr:uid="{00000000-0005-0000-0000-000004200000}"/>
    <cellStyle name="AggOrangeLBorder 2 3 3 15" xfId="14294" xr:uid="{00000000-0005-0000-0000-000005200000}"/>
    <cellStyle name="AggOrangeLBorder 2 3 3 16" xfId="14478" xr:uid="{00000000-0005-0000-0000-000006200000}"/>
    <cellStyle name="AggOrangeLBorder 2 3 3 17" xfId="14121" xr:uid="{00000000-0005-0000-0000-000007200000}"/>
    <cellStyle name="AggOrangeLBorder 2 3 3 2" xfId="776" xr:uid="{00000000-0005-0000-0000-000008200000}"/>
    <cellStyle name="AggOrangeLBorder 2 3 3 2 10" xfId="11622" xr:uid="{00000000-0005-0000-0000-000009200000}"/>
    <cellStyle name="AggOrangeLBorder 2 3 3 2 11" xfId="11993" xr:uid="{00000000-0005-0000-0000-00000A200000}"/>
    <cellStyle name="AggOrangeLBorder 2 3 3 2 12" xfId="12506" xr:uid="{00000000-0005-0000-0000-00000B200000}"/>
    <cellStyle name="AggOrangeLBorder 2 3 3 2 13" xfId="16105" xr:uid="{00000000-0005-0000-0000-00000C200000}"/>
    <cellStyle name="AggOrangeLBorder 2 3 3 2 14" xfId="16040" xr:uid="{00000000-0005-0000-0000-00000D200000}"/>
    <cellStyle name="AggOrangeLBorder 2 3 3 2 15" xfId="14909" xr:uid="{00000000-0005-0000-0000-00000E200000}"/>
    <cellStyle name="AggOrangeLBorder 2 3 3 2 16" xfId="15106" xr:uid="{00000000-0005-0000-0000-00000F200000}"/>
    <cellStyle name="AggOrangeLBorder 2 3 3 2 2" xfId="1019" xr:uid="{00000000-0005-0000-0000-000010200000}"/>
    <cellStyle name="AggOrangeLBorder 2 3 3 2 2 2" xfId="12748" xr:uid="{00000000-0005-0000-0000-000011200000}"/>
    <cellStyle name="AggOrangeLBorder 2 3 3 2 2 3" xfId="13766" xr:uid="{00000000-0005-0000-0000-000012200000}"/>
    <cellStyle name="AggOrangeLBorder 2 3 3 2 2 4" xfId="14227" xr:uid="{00000000-0005-0000-0000-000013200000}"/>
    <cellStyle name="AggOrangeLBorder 2 3 3 2 2 5" xfId="15153" xr:uid="{00000000-0005-0000-0000-000014200000}"/>
    <cellStyle name="AggOrangeLBorder 2 3 3 2 2 6" xfId="19339" xr:uid="{00000000-0005-0000-0000-000015200000}"/>
    <cellStyle name="AggOrangeLBorder 2 3 3 2 3" xfId="4077" xr:uid="{00000000-0005-0000-0000-000016200000}"/>
    <cellStyle name="AggOrangeLBorder 2 3 3 2 4" xfId="9099" xr:uid="{00000000-0005-0000-0000-000017200000}"/>
    <cellStyle name="AggOrangeLBorder 2 3 3 2 5" xfId="9677" xr:uid="{00000000-0005-0000-0000-000018200000}"/>
    <cellStyle name="AggOrangeLBorder 2 3 3 2 6" xfId="10106" xr:uid="{00000000-0005-0000-0000-000019200000}"/>
    <cellStyle name="AggOrangeLBorder 2 3 3 2 7" xfId="10518" xr:uid="{00000000-0005-0000-0000-00001A200000}"/>
    <cellStyle name="AggOrangeLBorder 2 3 3 2 8" xfId="9171" xr:uid="{00000000-0005-0000-0000-00001B200000}"/>
    <cellStyle name="AggOrangeLBorder 2 3 3 2 9" xfId="11237" xr:uid="{00000000-0005-0000-0000-00001C200000}"/>
    <cellStyle name="AggOrangeLBorder 2 3 3 3" xfId="1337" xr:uid="{00000000-0005-0000-0000-00001D200000}"/>
    <cellStyle name="AggOrangeLBorder 2 3 3 3 2" xfId="13066" xr:uid="{00000000-0005-0000-0000-00001E200000}"/>
    <cellStyle name="AggOrangeLBorder 2 3 3 3 3" xfId="15633" xr:uid="{00000000-0005-0000-0000-00001F200000}"/>
    <cellStyle name="AggOrangeLBorder 2 3 3 3 4" xfId="17159" xr:uid="{00000000-0005-0000-0000-000020200000}"/>
    <cellStyle name="AggOrangeLBorder 2 3 3 3 5" xfId="18151" xr:uid="{00000000-0005-0000-0000-000021200000}"/>
    <cellStyle name="AggOrangeLBorder 2 3 3 3 6" xfId="18391" xr:uid="{00000000-0005-0000-0000-000022200000}"/>
    <cellStyle name="AggOrangeLBorder 2 3 3 4" xfId="4044" xr:uid="{00000000-0005-0000-0000-000023200000}"/>
    <cellStyle name="AggOrangeLBorder 2 3 3 5" xfId="8661" xr:uid="{00000000-0005-0000-0000-000024200000}"/>
    <cellStyle name="AggOrangeLBorder 2 3 3 6" xfId="9465" xr:uid="{00000000-0005-0000-0000-000025200000}"/>
    <cellStyle name="AggOrangeLBorder 2 3 3 7" xfId="9892" xr:uid="{00000000-0005-0000-0000-000026200000}"/>
    <cellStyle name="AggOrangeLBorder 2 3 3 8" xfId="10304" xr:uid="{00000000-0005-0000-0000-000027200000}"/>
    <cellStyle name="AggOrangeLBorder 2 3 3 9" xfId="10899" xr:uid="{00000000-0005-0000-0000-000028200000}"/>
    <cellStyle name="AggOrangeLBorder 2 3 4" xfId="587" xr:uid="{00000000-0005-0000-0000-000029200000}"/>
    <cellStyle name="AggOrangeLBorder 2 3 4 10" xfId="11054" xr:uid="{00000000-0005-0000-0000-00002A200000}"/>
    <cellStyle name="AggOrangeLBorder 2 3 4 11" xfId="11441" xr:uid="{00000000-0005-0000-0000-00002B200000}"/>
    <cellStyle name="AggOrangeLBorder 2 3 4 12" xfId="11813" xr:uid="{00000000-0005-0000-0000-00002C200000}"/>
    <cellStyle name="AggOrangeLBorder 2 3 4 13" xfId="12326" xr:uid="{00000000-0005-0000-0000-00002D200000}"/>
    <cellStyle name="AggOrangeLBorder 2 3 4 14" xfId="13824" xr:uid="{00000000-0005-0000-0000-00002E200000}"/>
    <cellStyle name="AggOrangeLBorder 2 3 4 15" xfId="15762" xr:uid="{00000000-0005-0000-0000-00002F200000}"/>
    <cellStyle name="AggOrangeLBorder 2 3 4 16" xfId="14403" xr:uid="{00000000-0005-0000-0000-000030200000}"/>
    <cellStyle name="AggOrangeLBorder 2 3 4 17" xfId="15897" xr:uid="{00000000-0005-0000-0000-000031200000}"/>
    <cellStyle name="AggOrangeLBorder 2 3 4 2" xfId="802" xr:uid="{00000000-0005-0000-0000-000032200000}"/>
    <cellStyle name="AggOrangeLBorder 2 3 4 2 10" xfId="11648" xr:uid="{00000000-0005-0000-0000-000033200000}"/>
    <cellStyle name="AggOrangeLBorder 2 3 4 2 11" xfId="12019" xr:uid="{00000000-0005-0000-0000-000034200000}"/>
    <cellStyle name="AggOrangeLBorder 2 3 4 2 12" xfId="12532" xr:uid="{00000000-0005-0000-0000-000035200000}"/>
    <cellStyle name="AggOrangeLBorder 2 3 4 2 13" xfId="15235" xr:uid="{00000000-0005-0000-0000-000036200000}"/>
    <cellStyle name="AggOrangeLBorder 2 3 4 2 14" xfId="13870" xr:uid="{00000000-0005-0000-0000-000037200000}"/>
    <cellStyle name="AggOrangeLBorder 2 3 4 2 15" xfId="14307" xr:uid="{00000000-0005-0000-0000-000038200000}"/>
    <cellStyle name="AggOrangeLBorder 2 3 4 2 16" xfId="19421" xr:uid="{00000000-0005-0000-0000-000039200000}"/>
    <cellStyle name="AggOrangeLBorder 2 3 4 2 2" xfId="1134" xr:uid="{00000000-0005-0000-0000-00003A200000}"/>
    <cellStyle name="AggOrangeLBorder 2 3 4 2 2 2" xfId="12863" xr:uid="{00000000-0005-0000-0000-00003B200000}"/>
    <cellStyle name="AggOrangeLBorder 2 3 4 2 2 3" xfId="13995" xr:uid="{00000000-0005-0000-0000-00003C200000}"/>
    <cellStyle name="AggOrangeLBorder 2 3 4 2 2 4" xfId="17308" xr:uid="{00000000-0005-0000-0000-00003D200000}"/>
    <cellStyle name="AggOrangeLBorder 2 3 4 2 2 5" xfId="17049" xr:uid="{00000000-0005-0000-0000-00003E200000}"/>
    <cellStyle name="AggOrangeLBorder 2 3 4 2 2 6" xfId="19260" xr:uid="{00000000-0005-0000-0000-00003F200000}"/>
    <cellStyle name="AggOrangeLBorder 2 3 4 2 3" xfId="3851" xr:uid="{00000000-0005-0000-0000-000040200000}"/>
    <cellStyle name="AggOrangeLBorder 2 3 4 2 4" xfId="8878" xr:uid="{00000000-0005-0000-0000-000041200000}"/>
    <cellStyle name="AggOrangeLBorder 2 3 4 2 5" xfId="9703" xr:uid="{00000000-0005-0000-0000-000042200000}"/>
    <cellStyle name="AggOrangeLBorder 2 3 4 2 6" xfId="10132" xr:uid="{00000000-0005-0000-0000-000043200000}"/>
    <cellStyle name="AggOrangeLBorder 2 3 4 2 7" xfId="10544" xr:uid="{00000000-0005-0000-0000-000044200000}"/>
    <cellStyle name="AggOrangeLBorder 2 3 4 2 8" xfId="8670" xr:uid="{00000000-0005-0000-0000-000045200000}"/>
    <cellStyle name="AggOrangeLBorder 2 3 4 2 9" xfId="11263" xr:uid="{00000000-0005-0000-0000-000046200000}"/>
    <cellStyle name="AggOrangeLBorder 2 3 4 3" xfId="1267" xr:uid="{00000000-0005-0000-0000-000047200000}"/>
    <cellStyle name="AggOrangeLBorder 2 3 4 3 2" xfId="12996" xr:uid="{00000000-0005-0000-0000-000048200000}"/>
    <cellStyle name="AggOrangeLBorder 2 3 4 3 3" xfId="15398" xr:uid="{00000000-0005-0000-0000-000049200000}"/>
    <cellStyle name="AggOrangeLBorder 2 3 4 3 4" xfId="15828" xr:uid="{00000000-0005-0000-0000-00004A200000}"/>
    <cellStyle name="AggOrangeLBorder 2 3 4 3 5" xfId="18137" xr:uid="{00000000-0005-0000-0000-00004B200000}"/>
    <cellStyle name="AggOrangeLBorder 2 3 4 3 6" xfId="19161" xr:uid="{00000000-0005-0000-0000-00004C200000}"/>
    <cellStyle name="AggOrangeLBorder 2 3 4 4" xfId="4178" xr:uid="{00000000-0005-0000-0000-00004D200000}"/>
    <cellStyle name="AggOrangeLBorder 2 3 4 5" xfId="8907" xr:uid="{00000000-0005-0000-0000-00004E200000}"/>
    <cellStyle name="AggOrangeLBorder 2 3 4 6" xfId="9491" xr:uid="{00000000-0005-0000-0000-00004F200000}"/>
    <cellStyle name="AggOrangeLBorder 2 3 4 7" xfId="9918" xr:uid="{00000000-0005-0000-0000-000050200000}"/>
    <cellStyle name="AggOrangeLBorder 2 3 4 8" xfId="10330" xr:uid="{00000000-0005-0000-0000-000051200000}"/>
    <cellStyle name="AggOrangeLBorder 2 3 4 9" xfId="10721" xr:uid="{00000000-0005-0000-0000-000052200000}"/>
    <cellStyle name="AggOrangeLBorder 2 3 5" xfId="707" xr:uid="{00000000-0005-0000-0000-000053200000}"/>
    <cellStyle name="AggOrangeLBorder 2 3 5 2" xfId="14233" xr:uid="{00000000-0005-0000-0000-000054200000}"/>
    <cellStyle name="AggOrangeLBorder 2 3 6" xfId="1023" xr:uid="{00000000-0005-0000-0000-000055200000}"/>
    <cellStyle name="AggOrangeLBorder 2 3 6 2" xfId="12752" xr:uid="{00000000-0005-0000-0000-000056200000}"/>
    <cellStyle name="AggOrangeLBorder 2 3 6 3" xfId="13713" xr:uid="{00000000-0005-0000-0000-000057200000}"/>
    <cellStyle name="AggOrangeLBorder 2 3 6 4" xfId="17385" xr:uid="{00000000-0005-0000-0000-000058200000}"/>
    <cellStyle name="AggOrangeLBorder 2 3 6 5" xfId="17638" xr:uid="{00000000-0005-0000-0000-000059200000}"/>
    <cellStyle name="AggOrangeLBorder 2 3 6 6" xfId="16210" xr:uid="{00000000-0005-0000-0000-00005A200000}"/>
    <cellStyle name="AggOrangeLBorder 2 3 7" xfId="4188" xr:uid="{00000000-0005-0000-0000-00005B200000}"/>
    <cellStyle name="AggOrangeLBorder 2 3 8" xfId="8934" xr:uid="{00000000-0005-0000-0000-00005C200000}"/>
    <cellStyle name="AggOrangeLBorder 2 3 9" xfId="9080" xr:uid="{00000000-0005-0000-0000-00005D200000}"/>
    <cellStyle name="AggOrangeLBorder 3" xfId="423" xr:uid="{00000000-0005-0000-0000-00005E200000}"/>
    <cellStyle name="AggOrangeLBorder 3 2" xfId="14017" xr:uid="{00000000-0005-0000-0000-00005F200000}"/>
    <cellStyle name="AggOrangeLBorder 4" xfId="281" xr:uid="{00000000-0005-0000-0000-000060200000}"/>
    <cellStyle name="AggOrangeLBorder 4 10" xfId="9223" xr:uid="{00000000-0005-0000-0000-000061200000}"/>
    <cellStyle name="AggOrangeLBorder 4 11" xfId="10042" xr:uid="{00000000-0005-0000-0000-000062200000}"/>
    <cellStyle name="AggOrangeLBorder 4 12" xfId="10698" xr:uid="{00000000-0005-0000-0000-000063200000}"/>
    <cellStyle name="AggOrangeLBorder 4 13" xfId="10838" xr:uid="{00000000-0005-0000-0000-000064200000}"/>
    <cellStyle name="AggOrangeLBorder 4 14" xfId="10891" xr:uid="{00000000-0005-0000-0000-000065200000}"/>
    <cellStyle name="AggOrangeLBorder 4 15" xfId="10852" xr:uid="{00000000-0005-0000-0000-000066200000}"/>
    <cellStyle name="AggOrangeLBorder 4 16" xfId="12231" xr:uid="{00000000-0005-0000-0000-000067200000}"/>
    <cellStyle name="AggOrangeLBorder 4 17" xfId="16514" xr:uid="{00000000-0005-0000-0000-000068200000}"/>
    <cellStyle name="AggOrangeLBorder 4 18" xfId="17627" xr:uid="{00000000-0005-0000-0000-000069200000}"/>
    <cellStyle name="AggOrangeLBorder 4 19" xfId="16943" xr:uid="{00000000-0005-0000-0000-00006A200000}"/>
    <cellStyle name="AggOrangeLBorder 4 2" xfId="620" xr:uid="{00000000-0005-0000-0000-00006B200000}"/>
    <cellStyle name="AggOrangeLBorder 4 2 10" xfId="11087" xr:uid="{00000000-0005-0000-0000-00006C200000}"/>
    <cellStyle name="AggOrangeLBorder 4 2 11" xfId="11474" xr:uid="{00000000-0005-0000-0000-00006D200000}"/>
    <cellStyle name="AggOrangeLBorder 4 2 12" xfId="11846" xr:uid="{00000000-0005-0000-0000-00006E200000}"/>
    <cellStyle name="AggOrangeLBorder 4 2 13" xfId="12359" xr:uid="{00000000-0005-0000-0000-00006F200000}"/>
    <cellStyle name="AggOrangeLBorder 4 2 14" xfId="13957" xr:uid="{00000000-0005-0000-0000-000070200000}"/>
    <cellStyle name="AggOrangeLBorder 4 2 15" xfId="15099" xr:uid="{00000000-0005-0000-0000-000071200000}"/>
    <cellStyle name="AggOrangeLBorder 4 2 16" xfId="18216" xr:uid="{00000000-0005-0000-0000-000072200000}"/>
    <cellStyle name="AggOrangeLBorder 4 2 17" xfId="14284" xr:uid="{00000000-0005-0000-0000-000073200000}"/>
    <cellStyle name="AggOrangeLBorder 4 2 2" xfId="835" xr:uid="{00000000-0005-0000-0000-000074200000}"/>
    <cellStyle name="AggOrangeLBorder 4 2 2 10" xfId="11681" xr:uid="{00000000-0005-0000-0000-000075200000}"/>
    <cellStyle name="AggOrangeLBorder 4 2 2 11" xfId="12052" xr:uid="{00000000-0005-0000-0000-000076200000}"/>
    <cellStyle name="AggOrangeLBorder 4 2 2 12" xfId="12565" xr:uid="{00000000-0005-0000-0000-000077200000}"/>
    <cellStyle name="AggOrangeLBorder 4 2 2 13" xfId="15146" xr:uid="{00000000-0005-0000-0000-000078200000}"/>
    <cellStyle name="AggOrangeLBorder 4 2 2 14" xfId="15035" xr:uid="{00000000-0005-0000-0000-000079200000}"/>
    <cellStyle name="AggOrangeLBorder 4 2 2 15" xfId="15945" xr:uid="{00000000-0005-0000-0000-00007A200000}"/>
    <cellStyle name="AggOrangeLBorder 4 2 2 16" xfId="18071" xr:uid="{00000000-0005-0000-0000-00007B200000}"/>
    <cellStyle name="AggOrangeLBorder 4 2 2 2" xfId="1179" xr:uid="{00000000-0005-0000-0000-00007C200000}"/>
    <cellStyle name="AggOrangeLBorder 4 2 2 2 2" xfId="12908" xr:uid="{00000000-0005-0000-0000-00007D200000}"/>
    <cellStyle name="AggOrangeLBorder 4 2 2 2 3" xfId="15351" xr:uid="{00000000-0005-0000-0000-00007E200000}"/>
    <cellStyle name="AggOrangeLBorder 4 2 2 2 4" xfId="17274" xr:uid="{00000000-0005-0000-0000-00007F200000}"/>
    <cellStyle name="AggOrangeLBorder 4 2 2 2 5" xfId="17802" xr:uid="{00000000-0005-0000-0000-000080200000}"/>
    <cellStyle name="AggOrangeLBorder 4 2 2 2 6" xfId="19226" xr:uid="{00000000-0005-0000-0000-000081200000}"/>
    <cellStyle name="AggOrangeLBorder 4 2 2 3" xfId="3666" xr:uid="{00000000-0005-0000-0000-000082200000}"/>
    <cellStyle name="AggOrangeLBorder 4 2 2 4" xfId="8875" xr:uid="{00000000-0005-0000-0000-000083200000}"/>
    <cellStyle name="AggOrangeLBorder 4 2 2 5" xfId="9736" xr:uid="{00000000-0005-0000-0000-000084200000}"/>
    <cellStyle name="AggOrangeLBorder 4 2 2 6" xfId="10165" xr:uid="{00000000-0005-0000-0000-000085200000}"/>
    <cellStyle name="AggOrangeLBorder 4 2 2 7" xfId="10577" xr:uid="{00000000-0005-0000-0000-000086200000}"/>
    <cellStyle name="AggOrangeLBorder 4 2 2 8" xfId="10662" xr:uid="{00000000-0005-0000-0000-000087200000}"/>
    <cellStyle name="AggOrangeLBorder 4 2 2 9" xfId="11296" xr:uid="{00000000-0005-0000-0000-000088200000}"/>
    <cellStyle name="AggOrangeLBorder 4 2 3" xfId="1076" xr:uid="{00000000-0005-0000-0000-000089200000}"/>
    <cellStyle name="AggOrangeLBorder 4 2 3 2" xfId="12805" xr:uid="{00000000-0005-0000-0000-00008A200000}"/>
    <cellStyle name="AggOrangeLBorder 4 2 3 3" xfId="15319" xr:uid="{00000000-0005-0000-0000-00008B200000}"/>
    <cellStyle name="AggOrangeLBorder 4 2 3 4" xfId="17355" xr:uid="{00000000-0005-0000-0000-00008C200000}"/>
    <cellStyle name="AggOrangeLBorder 4 2 3 5" xfId="17565" xr:uid="{00000000-0005-0000-0000-00008D200000}"/>
    <cellStyle name="AggOrangeLBorder 4 2 3 6" xfId="19307" xr:uid="{00000000-0005-0000-0000-00008E200000}"/>
    <cellStyle name="AggOrangeLBorder 4 2 4" xfId="3927" xr:uid="{00000000-0005-0000-0000-00008F200000}"/>
    <cellStyle name="AggOrangeLBorder 4 2 5" xfId="9168" xr:uid="{00000000-0005-0000-0000-000090200000}"/>
    <cellStyle name="AggOrangeLBorder 4 2 6" xfId="9524" xr:uid="{00000000-0005-0000-0000-000091200000}"/>
    <cellStyle name="AggOrangeLBorder 4 2 7" xfId="9951" xr:uid="{00000000-0005-0000-0000-000092200000}"/>
    <cellStyle name="AggOrangeLBorder 4 2 8" xfId="10363" xr:uid="{00000000-0005-0000-0000-000093200000}"/>
    <cellStyle name="AggOrangeLBorder 4 2 9" xfId="10657" xr:uid="{00000000-0005-0000-0000-000094200000}"/>
    <cellStyle name="AggOrangeLBorder 4 20" xfId="19504" xr:uid="{00000000-0005-0000-0000-000095200000}"/>
    <cellStyle name="AggOrangeLBorder 4 3" xfId="562" xr:uid="{00000000-0005-0000-0000-000096200000}"/>
    <cellStyle name="AggOrangeLBorder 4 3 10" xfId="11029" xr:uid="{00000000-0005-0000-0000-000097200000}"/>
    <cellStyle name="AggOrangeLBorder 4 3 11" xfId="11416" xr:uid="{00000000-0005-0000-0000-000098200000}"/>
    <cellStyle name="AggOrangeLBorder 4 3 12" xfId="11788" xr:uid="{00000000-0005-0000-0000-000099200000}"/>
    <cellStyle name="AggOrangeLBorder 4 3 13" xfId="12301" xr:uid="{00000000-0005-0000-0000-00009A200000}"/>
    <cellStyle name="AggOrangeLBorder 4 3 14" xfId="15021" xr:uid="{00000000-0005-0000-0000-00009B200000}"/>
    <cellStyle name="AggOrangeLBorder 4 3 15" xfId="16277" xr:uid="{00000000-0005-0000-0000-00009C200000}"/>
    <cellStyle name="AggOrangeLBorder 4 3 16" xfId="14785" xr:uid="{00000000-0005-0000-0000-00009D200000}"/>
    <cellStyle name="AggOrangeLBorder 4 3 17" xfId="18328" xr:uid="{00000000-0005-0000-0000-00009E200000}"/>
    <cellStyle name="AggOrangeLBorder 4 3 2" xfId="777" xr:uid="{00000000-0005-0000-0000-00009F200000}"/>
    <cellStyle name="AggOrangeLBorder 4 3 2 10" xfId="11623" xr:uid="{00000000-0005-0000-0000-0000A0200000}"/>
    <cellStyle name="AggOrangeLBorder 4 3 2 11" xfId="11994" xr:uid="{00000000-0005-0000-0000-0000A1200000}"/>
    <cellStyle name="AggOrangeLBorder 4 3 2 12" xfId="12507" xr:uid="{00000000-0005-0000-0000-0000A2200000}"/>
    <cellStyle name="AggOrangeLBorder 4 3 2 13" xfId="14297" xr:uid="{00000000-0005-0000-0000-0000A3200000}"/>
    <cellStyle name="AggOrangeLBorder 4 3 2 14" xfId="15834" xr:uid="{00000000-0005-0000-0000-0000A4200000}"/>
    <cellStyle name="AggOrangeLBorder 4 3 2 15" xfId="18476" xr:uid="{00000000-0005-0000-0000-0000A5200000}"/>
    <cellStyle name="AggOrangeLBorder 4 3 2 16" xfId="16030" xr:uid="{00000000-0005-0000-0000-0000A6200000}"/>
    <cellStyle name="AggOrangeLBorder 4 3 2 2" xfId="1192" xr:uid="{00000000-0005-0000-0000-0000A7200000}"/>
    <cellStyle name="AggOrangeLBorder 4 3 2 2 2" xfId="12921" xr:uid="{00000000-0005-0000-0000-0000A8200000}"/>
    <cellStyle name="AggOrangeLBorder 4 3 2 2 3" xfId="14288" xr:uid="{00000000-0005-0000-0000-0000A9200000}"/>
    <cellStyle name="AggOrangeLBorder 4 3 2 2 4" xfId="17262" xr:uid="{00000000-0005-0000-0000-0000AA200000}"/>
    <cellStyle name="AggOrangeLBorder 4 3 2 2 5" xfId="17027" xr:uid="{00000000-0005-0000-0000-0000AB200000}"/>
    <cellStyle name="AggOrangeLBorder 4 3 2 2 6" xfId="16011" xr:uid="{00000000-0005-0000-0000-0000AC200000}"/>
    <cellStyle name="AggOrangeLBorder 4 3 2 3" xfId="3464" xr:uid="{00000000-0005-0000-0000-0000AD200000}"/>
    <cellStyle name="AggOrangeLBorder 4 3 2 4" xfId="8850" xr:uid="{00000000-0005-0000-0000-0000AE200000}"/>
    <cellStyle name="AggOrangeLBorder 4 3 2 5" xfId="9678" xr:uid="{00000000-0005-0000-0000-0000AF200000}"/>
    <cellStyle name="AggOrangeLBorder 4 3 2 6" xfId="10107" xr:uid="{00000000-0005-0000-0000-0000B0200000}"/>
    <cellStyle name="AggOrangeLBorder 4 3 2 7" xfId="10519" xr:uid="{00000000-0005-0000-0000-0000B1200000}"/>
    <cellStyle name="AggOrangeLBorder 4 3 2 8" xfId="10674" xr:uid="{00000000-0005-0000-0000-0000B2200000}"/>
    <cellStyle name="AggOrangeLBorder 4 3 2 9" xfId="11238" xr:uid="{00000000-0005-0000-0000-0000B3200000}"/>
    <cellStyle name="AggOrangeLBorder 4 3 3" xfId="1187" xr:uid="{00000000-0005-0000-0000-0000B4200000}"/>
    <cellStyle name="AggOrangeLBorder 4 3 3 2" xfId="12916" xr:uid="{00000000-0005-0000-0000-0000B5200000}"/>
    <cellStyle name="AggOrangeLBorder 4 3 3 3" xfId="15357" xr:uid="{00000000-0005-0000-0000-0000B6200000}"/>
    <cellStyle name="AggOrangeLBorder 4 3 3 4" xfId="17267" xr:uid="{00000000-0005-0000-0000-0000B7200000}"/>
    <cellStyle name="AggOrangeLBorder 4 3 3 5" xfId="14336" xr:uid="{00000000-0005-0000-0000-0000B8200000}"/>
    <cellStyle name="AggOrangeLBorder 4 3 3 6" xfId="19219" xr:uid="{00000000-0005-0000-0000-0000B9200000}"/>
    <cellStyle name="AggOrangeLBorder 4 3 4" xfId="3905" xr:uid="{00000000-0005-0000-0000-0000BA200000}"/>
    <cellStyle name="AggOrangeLBorder 4 3 5" xfId="8660" xr:uid="{00000000-0005-0000-0000-0000BB200000}"/>
    <cellStyle name="AggOrangeLBorder 4 3 6" xfId="9466" xr:uid="{00000000-0005-0000-0000-0000BC200000}"/>
    <cellStyle name="AggOrangeLBorder 4 3 7" xfId="9893" xr:uid="{00000000-0005-0000-0000-0000BD200000}"/>
    <cellStyle name="AggOrangeLBorder 4 3 8" xfId="10305" xr:uid="{00000000-0005-0000-0000-0000BE200000}"/>
    <cellStyle name="AggOrangeLBorder 4 3 9" xfId="9044" xr:uid="{00000000-0005-0000-0000-0000BF200000}"/>
    <cellStyle name="AggOrangeLBorder 4 4" xfId="583" xr:uid="{00000000-0005-0000-0000-0000C0200000}"/>
    <cellStyle name="AggOrangeLBorder 4 4 10" xfId="11050" xr:uid="{00000000-0005-0000-0000-0000C1200000}"/>
    <cellStyle name="AggOrangeLBorder 4 4 11" xfId="11437" xr:uid="{00000000-0005-0000-0000-0000C2200000}"/>
    <cellStyle name="AggOrangeLBorder 4 4 12" xfId="11809" xr:uid="{00000000-0005-0000-0000-0000C3200000}"/>
    <cellStyle name="AggOrangeLBorder 4 4 13" xfId="12322" xr:uid="{00000000-0005-0000-0000-0000C4200000}"/>
    <cellStyle name="AggOrangeLBorder 4 4 14" xfId="15869" xr:uid="{00000000-0005-0000-0000-0000C5200000}"/>
    <cellStyle name="AggOrangeLBorder 4 4 15" xfId="17518" xr:uid="{00000000-0005-0000-0000-0000C6200000}"/>
    <cellStyle name="AggOrangeLBorder 4 4 16" xfId="14912" xr:uid="{00000000-0005-0000-0000-0000C7200000}"/>
    <cellStyle name="AggOrangeLBorder 4 4 17" xfId="18545" xr:uid="{00000000-0005-0000-0000-0000C8200000}"/>
    <cellStyle name="AggOrangeLBorder 4 4 2" xfId="798" xr:uid="{00000000-0005-0000-0000-0000C9200000}"/>
    <cellStyle name="AggOrangeLBorder 4 4 2 10" xfId="11644" xr:uid="{00000000-0005-0000-0000-0000CA200000}"/>
    <cellStyle name="AggOrangeLBorder 4 4 2 11" xfId="12015" xr:uid="{00000000-0005-0000-0000-0000CB200000}"/>
    <cellStyle name="AggOrangeLBorder 4 4 2 12" xfId="12528" xr:uid="{00000000-0005-0000-0000-0000CC200000}"/>
    <cellStyle name="AggOrangeLBorder 4 4 2 13" xfId="14024" xr:uid="{00000000-0005-0000-0000-0000CD200000}"/>
    <cellStyle name="AggOrangeLBorder 4 4 2 14" xfId="17470" xr:uid="{00000000-0005-0000-0000-0000CE200000}"/>
    <cellStyle name="AggOrangeLBorder 4 4 2 15" xfId="13793" xr:uid="{00000000-0005-0000-0000-0000CF200000}"/>
    <cellStyle name="AggOrangeLBorder 4 4 2 16" xfId="18747" xr:uid="{00000000-0005-0000-0000-0000D0200000}"/>
    <cellStyle name="AggOrangeLBorder 4 4 2 2" xfId="1012" xr:uid="{00000000-0005-0000-0000-0000D1200000}"/>
    <cellStyle name="AggOrangeLBorder 4 4 2 2 2" xfId="12741" xr:uid="{00000000-0005-0000-0000-0000D2200000}"/>
    <cellStyle name="AggOrangeLBorder 4 4 2 2 3" xfId="15295" xr:uid="{00000000-0005-0000-0000-0000D3200000}"/>
    <cellStyle name="AggOrangeLBorder 4 4 2 2 4" xfId="15138" xr:uid="{00000000-0005-0000-0000-0000D4200000}"/>
    <cellStyle name="AggOrangeLBorder 4 4 2 2 5" xfId="17004" xr:uid="{00000000-0005-0000-0000-0000D5200000}"/>
    <cellStyle name="AggOrangeLBorder 4 4 2 2 6" xfId="19342" xr:uid="{00000000-0005-0000-0000-0000D6200000}"/>
    <cellStyle name="AggOrangeLBorder 4 4 2 3" xfId="3345" xr:uid="{00000000-0005-0000-0000-0000D7200000}"/>
    <cellStyle name="AggOrangeLBorder 4 4 2 4" xfId="8880" xr:uid="{00000000-0005-0000-0000-0000D8200000}"/>
    <cellStyle name="AggOrangeLBorder 4 4 2 5" xfId="9699" xr:uid="{00000000-0005-0000-0000-0000D9200000}"/>
    <cellStyle name="AggOrangeLBorder 4 4 2 6" xfId="10128" xr:uid="{00000000-0005-0000-0000-0000DA200000}"/>
    <cellStyle name="AggOrangeLBorder 4 4 2 7" xfId="10540" xr:uid="{00000000-0005-0000-0000-0000DB200000}"/>
    <cellStyle name="AggOrangeLBorder 4 4 2 8" xfId="9134" xr:uid="{00000000-0005-0000-0000-0000DC200000}"/>
    <cellStyle name="AggOrangeLBorder 4 4 2 9" xfId="11259" xr:uid="{00000000-0005-0000-0000-0000DD200000}"/>
    <cellStyle name="AggOrangeLBorder 4 4 3" xfId="1238" xr:uid="{00000000-0005-0000-0000-0000DE200000}"/>
    <cellStyle name="AggOrangeLBorder 4 4 3 2" xfId="12967" xr:uid="{00000000-0005-0000-0000-0000DF200000}"/>
    <cellStyle name="AggOrangeLBorder 4 4 3 3" xfId="15384" xr:uid="{00000000-0005-0000-0000-0000E0200000}"/>
    <cellStyle name="AggOrangeLBorder 4 4 3 4" xfId="17229" xr:uid="{00000000-0005-0000-0000-0000E1200000}"/>
    <cellStyle name="AggOrangeLBorder 4 4 3 5" xfId="14958" xr:uid="{00000000-0005-0000-0000-0000E2200000}"/>
    <cellStyle name="AggOrangeLBorder 4 4 3 6" xfId="19181" xr:uid="{00000000-0005-0000-0000-0000E3200000}"/>
    <cellStyle name="AggOrangeLBorder 4 4 4" xfId="4153" xr:uid="{00000000-0005-0000-0000-0000E4200000}"/>
    <cellStyle name="AggOrangeLBorder 4 4 5" xfId="9076" xr:uid="{00000000-0005-0000-0000-0000E5200000}"/>
    <cellStyle name="AggOrangeLBorder 4 4 6" xfId="9487" xr:uid="{00000000-0005-0000-0000-0000E6200000}"/>
    <cellStyle name="AggOrangeLBorder 4 4 7" xfId="9914" xr:uid="{00000000-0005-0000-0000-0000E7200000}"/>
    <cellStyle name="AggOrangeLBorder 4 4 8" xfId="10326" xr:uid="{00000000-0005-0000-0000-0000E8200000}"/>
    <cellStyle name="AggOrangeLBorder 4 4 9" xfId="10253" xr:uid="{00000000-0005-0000-0000-0000E9200000}"/>
    <cellStyle name="AggOrangeLBorder 4 5" xfId="706" xr:uid="{00000000-0005-0000-0000-0000EA200000}"/>
    <cellStyle name="AggOrangeLBorder 4 5 2" xfId="14232" xr:uid="{00000000-0005-0000-0000-0000EB200000}"/>
    <cellStyle name="AggOrangeLBorder 4 6" xfId="1020" xr:uid="{00000000-0005-0000-0000-0000EC200000}"/>
    <cellStyle name="AggOrangeLBorder 4 6 2" xfId="12749" xr:uid="{00000000-0005-0000-0000-0000ED200000}"/>
    <cellStyle name="AggOrangeLBorder 4 6 3" xfId="14222" xr:uid="{00000000-0005-0000-0000-0000EE200000}"/>
    <cellStyle name="AggOrangeLBorder 4 6 4" xfId="17386" xr:uid="{00000000-0005-0000-0000-0000EF200000}"/>
    <cellStyle name="AggOrangeLBorder 4 6 5" xfId="17005" xr:uid="{00000000-0005-0000-0000-0000F0200000}"/>
    <cellStyle name="AggOrangeLBorder 4 6 6" xfId="17561" xr:uid="{00000000-0005-0000-0000-0000F1200000}"/>
    <cellStyle name="AggOrangeLBorder 4 7" xfId="3789" xr:uid="{00000000-0005-0000-0000-0000F2200000}"/>
    <cellStyle name="AggOrangeLBorder 4 8" xfId="8933" xr:uid="{00000000-0005-0000-0000-0000F3200000}"/>
    <cellStyle name="AggOrangeLBorder 4 9" xfId="8594" xr:uid="{00000000-0005-0000-0000-0000F4200000}"/>
    <cellStyle name="AggOrangeLBorder 5" xfId="90" xr:uid="{00000000-0005-0000-0000-0000F5200000}"/>
    <cellStyle name="AggOrangeLBorder 5 2" xfId="13760" xr:uid="{00000000-0005-0000-0000-0000F6200000}"/>
    <cellStyle name="AggOrangeRBorder" xfId="29" xr:uid="{00000000-0005-0000-0000-0000F7200000}"/>
    <cellStyle name="AggOrangeRBorder 2" xfId="132" xr:uid="{00000000-0005-0000-0000-0000F8200000}"/>
    <cellStyle name="AggOrangeRBorder 2 2" xfId="426" xr:uid="{00000000-0005-0000-0000-0000F9200000}"/>
    <cellStyle name="AggOrangeRBorder 2 2 2" xfId="538" xr:uid="{00000000-0005-0000-0000-0000FA200000}"/>
    <cellStyle name="AggOrangeRBorder 2 2 2 10" xfId="11005" xr:uid="{00000000-0005-0000-0000-0000FB200000}"/>
    <cellStyle name="AggOrangeRBorder 2 2 2 11" xfId="11392" xr:uid="{00000000-0005-0000-0000-0000FC200000}"/>
    <cellStyle name="AggOrangeRBorder 2 2 2 12" xfId="11764" xr:uid="{00000000-0005-0000-0000-0000FD200000}"/>
    <cellStyle name="AggOrangeRBorder 2 2 2 13" xfId="12277" xr:uid="{00000000-0005-0000-0000-0000FE200000}"/>
    <cellStyle name="AggOrangeRBorder 2 2 2 14" xfId="14113" xr:uid="{00000000-0005-0000-0000-0000FF200000}"/>
    <cellStyle name="AggOrangeRBorder 2 2 2 15" xfId="14192" xr:uid="{00000000-0005-0000-0000-000000210000}"/>
    <cellStyle name="AggOrangeRBorder 2 2 2 16" xfId="18378" xr:uid="{00000000-0005-0000-0000-000001210000}"/>
    <cellStyle name="AggOrangeRBorder 2 2 2 17" xfId="15901" xr:uid="{00000000-0005-0000-0000-000002210000}"/>
    <cellStyle name="AggOrangeRBorder 2 2 2 2" xfId="753" xr:uid="{00000000-0005-0000-0000-000003210000}"/>
    <cellStyle name="AggOrangeRBorder 2 2 2 2 10" xfId="11599" xr:uid="{00000000-0005-0000-0000-000004210000}"/>
    <cellStyle name="AggOrangeRBorder 2 2 2 2 11" xfId="11970" xr:uid="{00000000-0005-0000-0000-000005210000}"/>
    <cellStyle name="AggOrangeRBorder 2 2 2 2 12" xfId="12483" xr:uid="{00000000-0005-0000-0000-000006210000}"/>
    <cellStyle name="AggOrangeRBorder 2 2 2 2 13" xfId="13762" xr:uid="{00000000-0005-0000-0000-000007210000}"/>
    <cellStyle name="AggOrangeRBorder 2 2 2 2 14" xfId="16554" xr:uid="{00000000-0005-0000-0000-000008210000}"/>
    <cellStyle name="AggOrangeRBorder 2 2 2 2 15" xfId="18522" xr:uid="{00000000-0005-0000-0000-000009210000}"/>
    <cellStyle name="AggOrangeRBorder 2 2 2 2 16" xfId="19427" xr:uid="{00000000-0005-0000-0000-00000A210000}"/>
    <cellStyle name="AggOrangeRBorder 2 2 2 2 2" xfId="956" xr:uid="{00000000-0005-0000-0000-00000B210000}"/>
    <cellStyle name="AggOrangeRBorder 2 2 2 2 2 2" xfId="12685" xr:uid="{00000000-0005-0000-0000-00000C210000}"/>
    <cellStyle name="AggOrangeRBorder 2 2 2 2 2 3" xfId="15266" xr:uid="{00000000-0005-0000-0000-00000D210000}"/>
    <cellStyle name="AggOrangeRBorder 2 2 2 2 2 4" xfId="17427" xr:uid="{00000000-0005-0000-0000-00000E210000}"/>
    <cellStyle name="AggOrangeRBorder 2 2 2 2 2 5" xfId="16254" xr:uid="{00000000-0005-0000-0000-00000F210000}"/>
    <cellStyle name="AggOrangeRBorder 2 2 2 2 2 6" xfId="19379" xr:uid="{00000000-0005-0000-0000-000010210000}"/>
    <cellStyle name="AggOrangeRBorder 2 2 2 2 3" xfId="3435" xr:uid="{00000000-0005-0000-0000-000011210000}"/>
    <cellStyle name="AggOrangeRBorder 2 2 2 2 4" xfId="8737" xr:uid="{00000000-0005-0000-0000-000012210000}"/>
    <cellStyle name="AggOrangeRBorder 2 2 2 2 5" xfId="9654" xr:uid="{00000000-0005-0000-0000-000013210000}"/>
    <cellStyle name="AggOrangeRBorder 2 2 2 2 6" xfId="10083" xr:uid="{00000000-0005-0000-0000-000014210000}"/>
    <cellStyle name="AggOrangeRBorder 2 2 2 2 7" xfId="10495" xr:uid="{00000000-0005-0000-0000-000015210000}"/>
    <cellStyle name="AggOrangeRBorder 2 2 2 2 8" xfId="9809" xr:uid="{00000000-0005-0000-0000-000016210000}"/>
    <cellStyle name="AggOrangeRBorder 2 2 2 2 9" xfId="11214" xr:uid="{00000000-0005-0000-0000-000017210000}"/>
    <cellStyle name="AggOrangeRBorder 2 2 2 3" xfId="909" xr:uid="{00000000-0005-0000-0000-000018210000}"/>
    <cellStyle name="AggOrangeRBorder 2 2 2 3 2" xfId="12638" xr:uid="{00000000-0005-0000-0000-000019210000}"/>
    <cellStyle name="AggOrangeRBorder 2 2 2 3 3" xfId="14689" xr:uid="{00000000-0005-0000-0000-00001A210000}"/>
    <cellStyle name="AggOrangeRBorder 2 2 2 3 4" xfId="13825" xr:uid="{00000000-0005-0000-0000-00001B210000}"/>
    <cellStyle name="AggOrangeRBorder 2 2 2 3 5" xfId="18490" xr:uid="{00000000-0005-0000-0000-00001C210000}"/>
    <cellStyle name="AggOrangeRBorder 2 2 2 3 6" xfId="18317" xr:uid="{00000000-0005-0000-0000-00001D210000}"/>
    <cellStyle name="AggOrangeRBorder 2 2 2 4" xfId="4028" xr:uid="{00000000-0005-0000-0000-00001E210000}"/>
    <cellStyle name="AggOrangeRBorder 2 2 2 5" xfId="8864" xr:uid="{00000000-0005-0000-0000-00001F210000}"/>
    <cellStyle name="AggOrangeRBorder 2 2 2 6" xfId="9442" xr:uid="{00000000-0005-0000-0000-000020210000}"/>
    <cellStyle name="AggOrangeRBorder 2 2 2 7" xfId="9869" xr:uid="{00000000-0005-0000-0000-000021210000}"/>
    <cellStyle name="AggOrangeRBorder 2 2 2 8" xfId="10281" xr:uid="{00000000-0005-0000-0000-000022210000}"/>
    <cellStyle name="AggOrangeRBorder 2 2 2 9" xfId="9402" xr:uid="{00000000-0005-0000-0000-000023210000}"/>
    <cellStyle name="AggOrangeRBorder 2 3" xfId="284" xr:uid="{00000000-0005-0000-0000-000024210000}"/>
    <cellStyle name="AggOrangeRBorder 2 3 10" xfId="9090" xr:uid="{00000000-0005-0000-0000-000025210000}"/>
    <cellStyle name="AggOrangeRBorder 2 3 11" xfId="8938" xr:uid="{00000000-0005-0000-0000-000026210000}"/>
    <cellStyle name="AggOrangeRBorder 2 3 12" xfId="8813" xr:uid="{00000000-0005-0000-0000-000027210000}"/>
    <cellStyle name="AggOrangeRBorder 2 3 13" xfId="10941" xr:uid="{00000000-0005-0000-0000-000028210000}"/>
    <cellStyle name="AggOrangeRBorder 2 3 14" xfId="9384" xr:uid="{00000000-0005-0000-0000-000029210000}"/>
    <cellStyle name="AggOrangeRBorder 2 3 15" xfId="10780" xr:uid="{00000000-0005-0000-0000-00002A210000}"/>
    <cellStyle name="AggOrangeRBorder 2 3 16" xfId="12234" xr:uid="{00000000-0005-0000-0000-00002B210000}"/>
    <cellStyle name="AggOrangeRBorder 2 3 17" xfId="16511" xr:uid="{00000000-0005-0000-0000-00002C210000}"/>
    <cellStyle name="AggOrangeRBorder 2 3 18" xfId="17624" xr:uid="{00000000-0005-0000-0000-00002D210000}"/>
    <cellStyle name="AggOrangeRBorder 2 3 19" xfId="17099" xr:uid="{00000000-0005-0000-0000-00002E210000}"/>
    <cellStyle name="AggOrangeRBorder 2 3 2" xfId="623" xr:uid="{00000000-0005-0000-0000-00002F210000}"/>
    <cellStyle name="AggOrangeRBorder 2 3 2 10" xfId="11090" xr:uid="{00000000-0005-0000-0000-000030210000}"/>
    <cellStyle name="AggOrangeRBorder 2 3 2 11" xfId="11477" xr:uid="{00000000-0005-0000-0000-000031210000}"/>
    <cellStyle name="AggOrangeRBorder 2 3 2 12" xfId="11849" xr:uid="{00000000-0005-0000-0000-000032210000}"/>
    <cellStyle name="AggOrangeRBorder 2 3 2 13" xfId="12362" xr:uid="{00000000-0005-0000-0000-000033210000}"/>
    <cellStyle name="AggOrangeRBorder 2 3 2 14" xfId="14062" xr:uid="{00000000-0005-0000-0000-000034210000}"/>
    <cellStyle name="AggOrangeRBorder 2 3 2 15" xfId="14983" xr:uid="{00000000-0005-0000-0000-000035210000}"/>
    <cellStyle name="AggOrangeRBorder 2 3 2 16" xfId="15094" xr:uid="{00000000-0005-0000-0000-000036210000}"/>
    <cellStyle name="AggOrangeRBorder 2 3 2 17" xfId="16199" xr:uid="{00000000-0005-0000-0000-000037210000}"/>
    <cellStyle name="AggOrangeRBorder 2 3 2 2" xfId="838" xr:uid="{00000000-0005-0000-0000-000038210000}"/>
    <cellStyle name="AggOrangeRBorder 2 3 2 2 10" xfId="11684" xr:uid="{00000000-0005-0000-0000-000039210000}"/>
    <cellStyle name="AggOrangeRBorder 2 3 2 2 11" xfId="12055" xr:uid="{00000000-0005-0000-0000-00003A210000}"/>
    <cellStyle name="AggOrangeRBorder 2 3 2 2 12" xfId="12568" xr:uid="{00000000-0005-0000-0000-00003B210000}"/>
    <cellStyle name="AggOrangeRBorder 2 3 2 2 13" xfId="14230" xr:uid="{00000000-0005-0000-0000-00003C210000}"/>
    <cellStyle name="AggOrangeRBorder 2 3 2 2 14" xfId="15957" xr:uid="{00000000-0005-0000-0000-00003D210000}"/>
    <cellStyle name="AggOrangeRBorder 2 3 2 2 15" xfId="15876" xr:uid="{00000000-0005-0000-0000-00003E210000}"/>
    <cellStyle name="AggOrangeRBorder 2 3 2 2 16" xfId="18453" xr:uid="{00000000-0005-0000-0000-00003F210000}"/>
    <cellStyle name="AggOrangeRBorder 2 3 2 2 2" xfId="1062" xr:uid="{00000000-0005-0000-0000-000040210000}"/>
    <cellStyle name="AggOrangeRBorder 2 3 2 2 2 2" xfId="12791" xr:uid="{00000000-0005-0000-0000-000041210000}"/>
    <cellStyle name="AggOrangeRBorder 2 3 2 2 2 3" xfId="15313" xr:uid="{00000000-0005-0000-0000-000042210000}"/>
    <cellStyle name="AggOrangeRBorder 2 3 2 2 2 4" xfId="17366" xr:uid="{00000000-0005-0000-0000-000043210000}"/>
    <cellStyle name="AggOrangeRBorder 2 3 2 2 2 5" xfId="15787" xr:uid="{00000000-0005-0000-0000-000044210000}"/>
    <cellStyle name="AggOrangeRBorder 2 3 2 2 2 6" xfId="19318" xr:uid="{00000000-0005-0000-0000-000045210000}"/>
    <cellStyle name="AggOrangeRBorder 2 3 2 2 3" xfId="3503" xr:uid="{00000000-0005-0000-0000-000046210000}"/>
    <cellStyle name="AggOrangeRBorder 2 3 2 2 4" xfId="8763" xr:uid="{00000000-0005-0000-0000-000047210000}"/>
    <cellStyle name="AggOrangeRBorder 2 3 2 2 5" xfId="9739" xr:uid="{00000000-0005-0000-0000-000048210000}"/>
    <cellStyle name="AggOrangeRBorder 2 3 2 2 6" xfId="10168" xr:uid="{00000000-0005-0000-0000-000049210000}"/>
    <cellStyle name="AggOrangeRBorder 2 3 2 2 7" xfId="10580" xr:uid="{00000000-0005-0000-0000-00004A210000}"/>
    <cellStyle name="AggOrangeRBorder 2 3 2 2 8" xfId="9272" xr:uid="{00000000-0005-0000-0000-00004B210000}"/>
    <cellStyle name="AggOrangeRBorder 2 3 2 2 9" xfId="11299" xr:uid="{00000000-0005-0000-0000-00004C210000}"/>
    <cellStyle name="AggOrangeRBorder 2 3 2 3" xfId="1094" xr:uid="{00000000-0005-0000-0000-00004D210000}"/>
    <cellStyle name="AggOrangeRBorder 2 3 2 3 2" xfId="12823" xr:uid="{00000000-0005-0000-0000-00004E210000}"/>
    <cellStyle name="AggOrangeRBorder 2 3 2 3 3" xfId="13770" xr:uid="{00000000-0005-0000-0000-00004F210000}"/>
    <cellStyle name="AggOrangeRBorder 2 3 2 3 4" xfId="17340" xr:uid="{00000000-0005-0000-0000-000050210000}"/>
    <cellStyle name="AggOrangeRBorder 2 3 2 3 5" xfId="13942" xr:uid="{00000000-0005-0000-0000-000051210000}"/>
    <cellStyle name="AggOrangeRBorder 2 3 2 3 6" xfId="19292" xr:uid="{00000000-0005-0000-0000-000052210000}"/>
    <cellStyle name="AggOrangeRBorder 2 3 2 4" xfId="3487" xr:uid="{00000000-0005-0000-0000-000053210000}"/>
    <cellStyle name="AggOrangeRBorder 2 3 2 5" xfId="8902" xr:uid="{00000000-0005-0000-0000-000054210000}"/>
    <cellStyle name="AggOrangeRBorder 2 3 2 6" xfId="9527" xr:uid="{00000000-0005-0000-0000-000055210000}"/>
    <cellStyle name="AggOrangeRBorder 2 3 2 7" xfId="9954" xr:uid="{00000000-0005-0000-0000-000056210000}"/>
    <cellStyle name="AggOrangeRBorder 2 3 2 8" xfId="10366" xr:uid="{00000000-0005-0000-0000-000057210000}"/>
    <cellStyle name="AggOrangeRBorder 2 3 2 9" xfId="10820" xr:uid="{00000000-0005-0000-0000-000058210000}"/>
    <cellStyle name="AggOrangeRBorder 2 3 20" xfId="19501" xr:uid="{00000000-0005-0000-0000-000059210000}"/>
    <cellStyle name="AggOrangeRBorder 2 3 3" xfId="599" xr:uid="{00000000-0005-0000-0000-00005A210000}"/>
    <cellStyle name="AggOrangeRBorder 2 3 3 10" xfId="11066" xr:uid="{00000000-0005-0000-0000-00005B210000}"/>
    <cellStyle name="AggOrangeRBorder 2 3 3 11" xfId="11453" xr:uid="{00000000-0005-0000-0000-00005C210000}"/>
    <cellStyle name="AggOrangeRBorder 2 3 3 12" xfId="11825" xr:uid="{00000000-0005-0000-0000-00005D210000}"/>
    <cellStyle name="AggOrangeRBorder 2 3 3 13" xfId="12338" xr:uid="{00000000-0005-0000-0000-00005E210000}"/>
    <cellStyle name="AggOrangeRBorder 2 3 3 14" xfId="16234" xr:uid="{00000000-0005-0000-0000-00005F210000}"/>
    <cellStyle name="AggOrangeRBorder 2 3 3 15" xfId="14904" xr:uid="{00000000-0005-0000-0000-000060210000}"/>
    <cellStyle name="AggOrangeRBorder 2 3 3 16" xfId="14158" xr:uid="{00000000-0005-0000-0000-000061210000}"/>
    <cellStyle name="AggOrangeRBorder 2 3 3 17" xfId="18110" xr:uid="{00000000-0005-0000-0000-000062210000}"/>
    <cellStyle name="AggOrangeRBorder 2 3 3 2" xfId="814" xr:uid="{00000000-0005-0000-0000-000063210000}"/>
    <cellStyle name="AggOrangeRBorder 2 3 3 2 10" xfId="11660" xr:uid="{00000000-0005-0000-0000-000064210000}"/>
    <cellStyle name="AggOrangeRBorder 2 3 3 2 11" xfId="12031" xr:uid="{00000000-0005-0000-0000-000065210000}"/>
    <cellStyle name="AggOrangeRBorder 2 3 3 2 12" xfId="12544" xr:uid="{00000000-0005-0000-0000-000066210000}"/>
    <cellStyle name="AggOrangeRBorder 2 3 3 2 13" xfId="14437" xr:uid="{00000000-0005-0000-0000-000067210000}"/>
    <cellStyle name="AggOrangeRBorder 2 3 3 2 14" xfId="13812" xr:uid="{00000000-0005-0000-0000-000068210000}"/>
    <cellStyle name="AggOrangeRBorder 2 3 3 2 15" xfId="16009" xr:uid="{00000000-0005-0000-0000-000069210000}"/>
    <cellStyle name="AggOrangeRBorder 2 3 3 2 16" xfId="18450" xr:uid="{00000000-0005-0000-0000-00006A210000}"/>
    <cellStyle name="AggOrangeRBorder 2 3 3 2 2" xfId="936" xr:uid="{00000000-0005-0000-0000-00006B210000}"/>
    <cellStyle name="AggOrangeRBorder 2 3 3 2 2 2" xfId="12665" xr:uid="{00000000-0005-0000-0000-00006C210000}"/>
    <cellStyle name="AggOrangeRBorder 2 3 3 2 2 3" xfId="15255" xr:uid="{00000000-0005-0000-0000-00006D210000}"/>
    <cellStyle name="AggOrangeRBorder 2 3 3 2 2 4" xfId="17443" xr:uid="{00000000-0005-0000-0000-00006E210000}"/>
    <cellStyle name="AggOrangeRBorder 2 3 3 2 2 5" xfId="16979" xr:uid="{00000000-0005-0000-0000-00006F210000}"/>
    <cellStyle name="AggOrangeRBorder 2 3 3 2 2 6" xfId="19395" xr:uid="{00000000-0005-0000-0000-000070210000}"/>
    <cellStyle name="AggOrangeRBorder 2 3 3 2 3" xfId="3702" xr:uid="{00000000-0005-0000-0000-000071210000}"/>
    <cellStyle name="AggOrangeRBorder 2 3 3 2 4" xfId="9161" xr:uid="{00000000-0005-0000-0000-000072210000}"/>
    <cellStyle name="AggOrangeRBorder 2 3 3 2 5" xfId="9715" xr:uid="{00000000-0005-0000-0000-000073210000}"/>
    <cellStyle name="AggOrangeRBorder 2 3 3 2 6" xfId="10144" xr:uid="{00000000-0005-0000-0000-000074210000}"/>
    <cellStyle name="AggOrangeRBorder 2 3 3 2 7" xfId="10556" xr:uid="{00000000-0005-0000-0000-000075210000}"/>
    <cellStyle name="AggOrangeRBorder 2 3 3 2 8" xfId="8555" xr:uid="{00000000-0005-0000-0000-000076210000}"/>
    <cellStyle name="AggOrangeRBorder 2 3 3 2 9" xfId="11275" xr:uid="{00000000-0005-0000-0000-000077210000}"/>
    <cellStyle name="AggOrangeRBorder 2 3 3 3" xfId="1362" xr:uid="{00000000-0005-0000-0000-000078210000}"/>
    <cellStyle name="AggOrangeRBorder 2 3 3 3 2" xfId="13091" xr:uid="{00000000-0005-0000-0000-000079210000}"/>
    <cellStyle name="AggOrangeRBorder 2 3 3 3 3" xfId="13780" xr:uid="{00000000-0005-0000-0000-00007A210000}"/>
    <cellStyle name="AggOrangeRBorder 2 3 3 3 4" xfId="17143" xr:uid="{00000000-0005-0000-0000-00007B210000}"/>
    <cellStyle name="AggOrangeRBorder 2 3 3 3 5" xfId="17865" xr:uid="{00000000-0005-0000-0000-00007C210000}"/>
    <cellStyle name="AggOrangeRBorder 2 3 3 3 6" xfId="19095" xr:uid="{00000000-0005-0000-0000-00007D210000}"/>
    <cellStyle name="AggOrangeRBorder 2 3 3 4" xfId="3833" xr:uid="{00000000-0005-0000-0000-00007E210000}"/>
    <cellStyle name="AggOrangeRBorder 2 3 3 5" xfId="8904" xr:uid="{00000000-0005-0000-0000-00007F210000}"/>
    <cellStyle name="AggOrangeRBorder 2 3 3 6" xfId="9503" xr:uid="{00000000-0005-0000-0000-000080210000}"/>
    <cellStyle name="AggOrangeRBorder 2 3 3 7" xfId="9930" xr:uid="{00000000-0005-0000-0000-000081210000}"/>
    <cellStyle name="AggOrangeRBorder 2 3 3 8" xfId="10342" xr:uid="{00000000-0005-0000-0000-000082210000}"/>
    <cellStyle name="AggOrangeRBorder 2 3 3 9" xfId="10889" xr:uid="{00000000-0005-0000-0000-000083210000}"/>
    <cellStyle name="AggOrangeRBorder 2 3 4" xfId="581" xr:uid="{00000000-0005-0000-0000-000084210000}"/>
    <cellStyle name="AggOrangeRBorder 2 3 4 10" xfId="11048" xr:uid="{00000000-0005-0000-0000-000085210000}"/>
    <cellStyle name="AggOrangeRBorder 2 3 4 11" xfId="11435" xr:uid="{00000000-0005-0000-0000-000086210000}"/>
    <cellStyle name="AggOrangeRBorder 2 3 4 12" xfId="11807" xr:uid="{00000000-0005-0000-0000-000087210000}"/>
    <cellStyle name="AggOrangeRBorder 2 3 4 13" xfId="12320" xr:uid="{00000000-0005-0000-0000-000088210000}"/>
    <cellStyle name="AggOrangeRBorder 2 3 4 14" xfId="15202" xr:uid="{00000000-0005-0000-0000-000089210000}"/>
    <cellStyle name="AggOrangeRBorder 2 3 4 15" xfId="14714" xr:uid="{00000000-0005-0000-0000-00008A210000}"/>
    <cellStyle name="AggOrangeRBorder 2 3 4 16" xfId="13979" xr:uid="{00000000-0005-0000-0000-00008B210000}"/>
    <cellStyle name="AggOrangeRBorder 2 3 4 17" xfId="19467" xr:uid="{00000000-0005-0000-0000-00008C210000}"/>
    <cellStyle name="AggOrangeRBorder 2 3 4 2" xfId="796" xr:uid="{00000000-0005-0000-0000-00008D210000}"/>
    <cellStyle name="AggOrangeRBorder 2 3 4 2 10" xfId="11642" xr:uid="{00000000-0005-0000-0000-00008E210000}"/>
    <cellStyle name="AggOrangeRBorder 2 3 4 2 11" xfId="12013" xr:uid="{00000000-0005-0000-0000-00008F210000}"/>
    <cellStyle name="AggOrangeRBorder 2 3 4 2 12" xfId="12526" xr:uid="{00000000-0005-0000-0000-000090210000}"/>
    <cellStyle name="AggOrangeRBorder 2 3 4 2 13" xfId="13983" xr:uid="{00000000-0005-0000-0000-000091210000}"/>
    <cellStyle name="AggOrangeRBorder 2 3 4 2 14" xfId="17471" xr:uid="{00000000-0005-0000-0000-000092210000}"/>
    <cellStyle name="AggOrangeRBorder 2 3 4 2 15" xfId="14152" xr:uid="{00000000-0005-0000-0000-000093210000}"/>
    <cellStyle name="AggOrangeRBorder 2 3 4 2 16" xfId="18726" xr:uid="{00000000-0005-0000-0000-000094210000}"/>
    <cellStyle name="AggOrangeRBorder 2 3 4 2 2" xfId="1011" xr:uid="{00000000-0005-0000-0000-000095210000}"/>
    <cellStyle name="AggOrangeRBorder 2 3 4 2 2 2" xfId="12740" xr:uid="{00000000-0005-0000-0000-000096210000}"/>
    <cellStyle name="AggOrangeRBorder 2 3 4 2 2 3" xfId="14713" xr:uid="{00000000-0005-0000-0000-000097210000}"/>
    <cellStyle name="AggOrangeRBorder 2 3 4 2 2 4" xfId="16611" xr:uid="{00000000-0005-0000-0000-000098210000}"/>
    <cellStyle name="AggOrangeRBorder 2 3 4 2 2 5" xfId="13831" xr:uid="{00000000-0005-0000-0000-000099210000}"/>
    <cellStyle name="AggOrangeRBorder 2 3 4 2 2 6" xfId="14649" xr:uid="{00000000-0005-0000-0000-00009A210000}"/>
    <cellStyle name="AggOrangeRBorder 2 3 4 2 3" xfId="3502" xr:uid="{00000000-0005-0000-0000-00009B210000}"/>
    <cellStyle name="AggOrangeRBorder 2 3 4 2 4" xfId="8881" xr:uid="{00000000-0005-0000-0000-00009C210000}"/>
    <cellStyle name="AggOrangeRBorder 2 3 4 2 5" xfId="9697" xr:uid="{00000000-0005-0000-0000-00009D210000}"/>
    <cellStyle name="AggOrangeRBorder 2 3 4 2 6" xfId="10126" xr:uid="{00000000-0005-0000-0000-00009E210000}"/>
    <cellStyle name="AggOrangeRBorder 2 3 4 2 7" xfId="10538" xr:uid="{00000000-0005-0000-0000-00009F210000}"/>
    <cellStyle name="AggOrangeRBorder 2 3 4 2 8" xfId="8940" xr:uid="{00000000-0005-0000-0000-0000A0210000}"/>
    <cellStyle name="AggOrangeRBorder 2 3 4 2 9" xfId="11257" xr:uid="{00000000-0005-0000-0000-0000A1210000}"/>
    <cellStyle name="AggOrangeRBorder 2 3 4 3" xfId="906" xr:uid="{00000000-0005-0000-0000-0000A2210000}"/>
    <cellStyle name="AggOrangeRBorder 2 3 4 3 2" xfId="12635" xr:uid="{00000000-0005-0000-0000-0000A3210000}"/>
    <cellStyle name="AggOrangeRBorder 2 3 4 3 3" xfId="14628" xr:uid="{00000000-0005-0000-0000-0000A4210000}"/>
    <cellStyle name="AggOrangeRBorder 2 3 4 3 4" xfId="17446" xr:uid="{00000000-0005-0000-0000-0000A5210000}"/>
    <cellStyle name="AggOrangeRBorder 2 3 4 3 5" xfId="18491" xr:uid="{00000000-0005-0000-0000-0000A6210000}"/>
    <cellStyle name="AggOrangeRBorder 2 3 4 3 6" xfId="14243" xr:uid="{00000000-0005-0000-0000-0000A7210000}"/>
    <cellStyle name="AggOrangeRBorder 2 3 4 4" xfId="3660" xr:uid="{00000000-0005-0000-0000-0000A8210000}"/>
    <cellStyle name="AggOrangeRBorder 2 3 4 5" xfId="9053" xr:uid="{00000000-0005-0000-0000-0000A9210000}"/>
    <cellStyle name="AggOrangeRBorder 2 3 4 6" xfId="9485" xr:uid="{00000000-0005-0000-0000-0000AA210000}"/>
    <cellStyle name="AggOrangeRBorder 2 3 4 7" xfId="9912" xr:uid="{00000000-0005-0000-0000-0000AB210000}"/>
    <cellStyle name="AggOrangeRBorder 2 3 4 8" xfId="10324" xr:uid="{00000000-0005-0000-0000-0000AC210000}"/>
    <cellStyle name="AggOrangeRBorder 2 3 4 9" xfId="10772" xr:uid="{00000000-0005-0000-0000-0000AD210000}"/>
    <cellStyle name="AggOrangeRBorder 2 3 5" xfId="709" xr:uid="{00000000-0005-0000-0000-0000AE210000}"/>
    <cellStyle name="AggOrangeRBorder 2 3 5 2" xfId="3286" xr:uid="{00000000-0005-0000-0000-0000AF210000}"/>
    <cellStyle name="AggOrangeRBorder 2 3 5 2 2" xfId="13550" xr:uid="{00000000-0005-0000-0000-0000B0210000}"/>
    <cellStyle name="AggOrangeRBorder 2 3 5 2 3" xfId="16919" xr:uid="{00000000-0005-0000-0000-0000B1210000}"/>
    <cellStyle name="AggOrangeRBorder 2 3 5 2 4" xfId="18030" xr:uid="{00000000-0005-0000-0000-0000B2210000}"/>
    <cellStyle name="AggOrangeRBorder 2 3 5 2 5" xfId="19027" xr:uid="{00000000-0005-0000-0000-0000B3210000}"/>
    <cellStyle name="AggOrangeRBorder 2 3 5 2 6" xfId="19768" xr:uid="{00000000-0005-0000-0000-0000B4210000}"/>
    <cellStyle name="AggOrangeRBorder 2 3 5 3" xfId="10451" xr:uid="{00000000-0005-0000-0000-0000B5210000}"/>
    <cellStyle name="AggOrangeRBorder 2 3 6" xfId="1278" xr:uid="{00000000-0005-0000-0000-0000B6210000}"/>
    <cellStyle name="AggOrangeRBorder 2 3 6 2" xfId="13007" xr:uid="{00000000-0005-0000-0000-0000B7210000}"/>
    <cellStyle name="AggOrangeRBorder 2 3 6 3" xfId="15627" xr:uid="{00000000-0005-0000-0000-0000B8210000}"/>
    <cellStyle name="AggOrangeRBorder 2 3 6 4" xfId="14039" xr:uid="{00000000-0005-0000-0000-0000B9210000}"/>
    <cellStyle name="AggOrangeRBorder 2 3 6 5" xfId="17869" xr:uid="{00000000-0005-0000-0000-0000BA210000}"/>
    <cellStyle name="AggOrangeRBorder 2 3 6 6" xfId="16174" xr:uid="{00000000-0005-0000-0000-0000BB210000}"/>
    <cellStyle name="AggOrangeRBorder 2 3 7" xfId="3332" xr:uid="{00000000-0005-0000-0000-0000BC210000}"/>
    <cellStyle name="AggOrangeRBorder 2 3 8" xfId="8816" xr:uid="{00000000-0005-0000-0000-0000BD210000}"/>
    <cellStyle name="AggOrangeRBorder 2 3 9" xfId="8673" xr:uid="{00000000-0005-0000-0000-0000BE210000}"/>
    <cellStyle name="AggOrangeRBorder 3" xfId="425" xr:uid="{00000000-0005-0000-0000-0000BF210000}"/>
    <cellStyle name="AggOrangeRBorder 3 2" xfId="55" xr:uid="{00000000-0005-0000-0000-0000C0210000}"/>
    <cellStyle name="AggOrangeRBorder 3 2 2" xfId="657" xr:uid="{00000000-0005-0000-0000-0000C1210000}"/>
    <cellStyle name="AggOrangeRBorder 3 2 2 10" xfId="11511" xr:uid="{00000000-0005-0000-0000-0000C2210000}"/>
    <cellStyle name="AggOrangeRBorder 3 2 2 11" xfId="11883" xr:uid="{00000000-0005-0000-0000-0000C3210000}"/>
    <cellStyle name="AggOrangeRBorder 3 2 2 12" xfId="12396" xr:uid="{00000000-0005-0000-0000-0000C4210000}"/>
    <cellStyle name="AggOrangeRBorder 3 2 2 13" xfId="16027" xr:uid="{00000000-0005-0000-0000-0000C5210000}"/>
    <cellStyle name="AggOrangeRBorder 3 2 2 14" xfId="14130" xr:uid="{00000000-0005-0000-0000-0000C6210000}"/>
    <cellStyle name="AggOrangeRBorder 3 2 2 15" xfId="16526" xr:uid="{00000000-0005-0000-0000-0000C7210000}"/>
    <cellStyle name="AggOrangeRBorder 3 2 2 16" xfId="17921" xr:uid="{00000000-0005-0000-0000-0000C8210000}"/>
    <cellStyle name="AggOrangeRBorder 3 2 2 2" xfId="1159" xr:uid="{00000000-0005-0000-0000-0000C9210000}"/>
    <cellStyle name="AggOrangeRBorder 3 2 2 2 2" xfId="12888" xr:uid="{00000000-0005-0000-0000-0000CA210000}"/>
    <cellStyle name="AggOrangeRBorder 3 2 2 2 3" xfId="14694" xr:uid="{00000000-0005-0000-0000-0000CB210000}"/>
    <cellStyle name="AggOrangeRBorder 3 2 2 2 4" xfId="17290" xr:uid="{00000000-0005-0000-0000-0000CC210000}"/>
    <cellStyle name="AggOrangeRBorder 3 2 2 2 5" xfId="15005" xr:uid="{00000000-0005-0000-0000-0000CD210000}"/>
    <cellStyle name="AggOrangeRBorder 3 2 2 2 6" xfId="17102" xr:uid="{00000000-0005-0000-0000-0000CE210000}"/>
    <cellStyle name="AggOrangeRBorder 3 2 2 3" xfId="4181" xr:uid="{00000000-0005-0000-0000-0000CF210000}"/>
    <cellStyle name="AggOrangeRBorder 3 2 2 4" xfId="9167" xr:uid="{00000000-0005-0000-0000-0000D0210000}"/>
    <cellStyle name="AggOrangeRBorder 3 2 2 5" xfId="9561" xr:uid="{00000000-0005-0000-0000-0000D1210000}"/>
    <cellStyle name="AggOrangeRBorder 3 2 2 6" xfId="9988" xr:uid="{00000000-0005-0000-0000-0000D2210000}"/>
    <cellStyle name="AggOrangeRBorder 3 2 2 7" xfId="10400" xr:uid="{00000000-0005-0000-0000-0000D3210000}"/>
    <cellStyle name="AggOrangeRBorder 3 2 2 8" xfId="9423" xr:uid="{00000000-0005-0000-0000-0000D4210000}"/>
    <cellStyle name="AggOrangeRBorder 3 2 2 9" xfId="11124" xr:uid="{00000000-0005-0000-0000-0000D5210000}"/>
    <cellStyle name="AggOrangeRBorder 3 2 3" xfId="872" xr:uid="{00000000-0005-0000-0000-0000D6210000}"/>
    <cellStyle name="AggOrangeRBorder 3 2 3 10" xfId="11718" xr:uid="{00000000-0005-0000-0000-0000D7210000}"/>
    <cellStyle name="AggOrangeRBorder 3 2 3 11" xfId="12089" xr:uid="{00000000-0005-0000-0000-0000D8210000}"/>
    <cellStyle name="AggOrangeRBorder 3 2 3 12" xfId="12602" xr:uid="{00000000-0005-0000-0000-0000D9210000}"/>
    <cellStyle name="AggOrangeRBorder 3 2 3 13" xfId="15241" xr:uid="{00000000-0005-0000-0000-0000DA210000}"/>
    <cellStyle name="AggOrangeRBorder 3 2 3 14" xfId="14446" xr:uid="{00000000-0005-0000-0000-0000DB210000}"/>
    <cellStyle name="AggOrangeRBorder 3 2 3 15" xfId="14668" xr:uid="{00000000-0005-0000-0000-0000DC210000}"/>
    <cellStyle name="AggOrangeRBorder 3 2 3 16" xfId="19415" xr:uid="{00000000-0005-0000-0000-0000DD210000}"/>
    <cellStyle name="AggOrangeRBorder 3 2 3 2" xfId="1183" xr:uid="{00000000-0005-0000-0000-0000DE210000}"/>
    <cellStyle name="AggOrangeRBorder 3 2 3 2 2" xfId="12912" xr:uid="{00000000-0005-0000-0000-0000DF210000}"/>
    <cellStyle name="AggOrangeRBorder 3 2 3 2 3" xfId="15355" xr:uid="{00000000-0005-0000-0000-0000E0210000}"/>
    <cellStyle name="AggOrangeRBorder 3 2 3 2 4" xfId="17270" xr:uid="{00000000-0005-0000-0000-0000E1210000}"/>
    <cellStyle name="AggOrangeRBorder 3 2 3 2 5" xfId="13796" xr:uid="{00000000-0005-0000-0000-0000E2210000}"/>
    <cellStyle name="AggOrangeRBorder 3 2 3 2 6" xfId="19222" xr:uid="{00000000-0005-0000-0000-0000E3210000}"/>
    <cellStyle name="AggOrangeRBorder 3 2 3 3" xfId="4117" xr:uid="{00000000-0005-0000-0000-0000E4210000}"/>
    <cellStyle name="AggOrangeRBorder 3 2 3 4" xfId="9345" xr:uid="{00000000-0005-0000-0000-0000E5210000}"/>
    <cellStyle name="AggOrangeRBorder 3 2 3 5" xfId="9773" xr:uid="{00000000-0005-0000-0000-0000E6210000}"/>
    <cellStyle name="AggOrangeRBorder 3 2 3 6" xfId="10202" xr:uid="{00000000-0005-0000-0000-0000E7210000}"/>
    <cellStyle name="AggOrangeRBorder 3 2 3 7" xfId="10614" xr:uid="{00000000-0005-0000-0000-0000E8210000}"/>
    <cellStyle name="AggOrangeRBorder 3 2 3 8" xfId="8994" xr:uid="{00000000-0005-0000-0000-0000E9210000}"/>
    <cellStyle name="AggOrangeRBorder 3 2 3 9" xfId="11333" xr:uid="{00000000-0005-0000-0000-0000EA210000}"/>
    <cellStyle name="AggOrangeRBorder 4" xfId="283" xr:uid="{00000000-0005-0000-0000-0000EB210000}"/>
    <cellStyle name="AggOrangeRBorder 4 10" xfId="9268" xr:uid="{00000000-0005-0000-0000-0000EC210000}"/>
    <cellStyle name="AggOrangeRBorder 4 11" xfId="9854" xr:uid="{00000000-0005-0000-0000-0000ED210000}"/>
    <cellStyle name="AggOrangeRBorder 4 12" xfId="8759" xr:uid="{00000000-0005-0000-0000-0000EE210000}"/>
    <cellStyle name="AggOrangeRBorder 4 13" xfId="10459" xr:uid="{00000000-0005-0000-0000-0000EF210000}"/>
    <cellStyle name="AggOrangeRBorder 4 14" xfId="10801" xr:uid="{00000000-0005-0000-0000-0000F0210000}"/>
    <cellStyle name="AggOrangeRBorder 4 15" xfId="10448" xr:uid="{00000000-0005-0000-0000-0000F1210000}"/>
    <cellStyle name="AggOrangeRBorder 4 16" xfId="12233" xr:uid="{00000000-0005-0000-0000-0000F2210000}"/>
    <cellStyle name="AggOrangeRBorder 4 17" xfId="16512" xr:uid="{00000000-0005-0000-0000-0000F3210000}"/>
    <cellStyle name="AggOrangeRBorder 4 18" xfId="17625" xr:uid="{00000000-0005-0000-0000-0000F4210000}"/>
    <cellStyle name="AggOrangeRBorder 4 19" xfId="15076" xr:uid="{00000000-0005-0000-0000-0000F5210000}"/>
    <cellStyle name="AggOrangeRBorder 4 2" xfId="622" xr:uid="{00000000-0005-0000-0000-0000F6210000}"/>
    <cellStyle name="AggOrangeRBorder 4 2 10" xfId="11089" xr:uid="{00000000-0005-0000-0000-0000F7210000}"/>
    <cellStyle name="AggOrangeRBorder 4 2 11" xfId="11476" xr:uid="{00000000-0005-0000-0000-0000F8210000}"/>
    <cellStyle name="AggOrangeRBorder 4 2 12" xfId="11848" xr:uid="{00000000-0005-0000-0000-0000F9210000}"/>
    <cellStyle name="AggOrangeRBorder 4 2 13" xfId="12361" xr:uid="{00000000-0005-0000-0000-0000FA210000}"/>
    <cellStyle name="AggOrangeRBorder 4 2 14" xfId="14981" xr:uid="{00000000-0005-0000-0000-0000FB210000}"/>
    <cellStyle name="AggOrangeRBorder 4 2 15" xfId="15018" xr:uid="{00000000-0005-0000-0000-0000FC210000}"/>
    <cellStyle name="AggOrangeRBorder 4 2 16" xfId="15186" xr:uid="{00000000-0005-0000-0000-0000FD210000}"/>
    <cellStyle name="AggOrangeRBorder 4 2 17" xfId="17644" xr:uid="{00000000-0005-0000-0000-0000FE210000}"/>
    <cellStyle name="AggOrangeRBorder 4 2 2" xfId="837" xr:uid="{00000000-0005-0000-0000-0000FF210000}"/>
    <cellStyle name="AggOrangeRBorder 4 2 2 10" xfId="11683" xr:uid="{00000000-0005-0000-0000-000000220000}"/>
    <cellStyle name="AggOrangeRBorder 4 2 2 11" xfId="12054" xr:uid="{00000000-0005-0000-0000-000001220000}"/>
    <cellStyle name="AggOrangeRBorder 4 2 2 12" xfId="12567" xr:uid="{00000000-0005-0000-0000-000002220000}"/>
    <cellStyle name="AggOrangeRBorder 4 2 2 13" xfId="14037" xr:uid="{00000000-0005-0000-0000-000003220000}"/>
    <cellStyle name="AggOrangeRBorder 4 2 2 14" xfId="15696" xr:uid="{00000000-0005-0000-0000-000004220000}"/>
    <cellStyle name="AggOrangeRBorder 4 2 2 15" xfId="18485" xr:uid="{00000000-0005-0000-0000-000005220000}"/>
    <cellStyle name="AggOrangeRBorder 4 2 2 16" xfId="18229" xr:uid="{00000000-0005-0000-0000-000006220000}"/>
    <cellStyle name="AggOrangeRBorder 4 2 2 2" xfId="1095" xr:uid="{00000000-0005-0000-0000-000007220000}"/>
    <cellStyle name="AggOrangeRBorder 4 2 2 2 2" xfId="12824" xr:uid="{00000000-0005-0000-0000-000008220000}"/>
    <cellStyle name="AggOrangeRBorder 4 2 2 2 3" xfId="14670" xr:uid="{00000000-0005-0000-0000-000009220000}"/>
    <cellStyle name="AggOrangeRBorder 4 2 2 2 4" xfId="17339" xr:uid="{00000000-0005-0000-0000-00000A220000}"/>
    <cellStyle name="AggOrangeRBorder 4 2 2 2 5" xfId="17886" xr:uid="{00000000-0005-0000-0000-00000B220000}"/>
    <cellStyle name="AggOrangeRBorder 4 2 2 2 6" xfId="18763" xr:uid="{00000000-0005-0000-0000-00000C220000}"/>
    <cellStyle name="AggOrangeRBorder 4 2 2 3" xfId="3931" xr:uid="{00000000-0005-0000-0000-00000D220000}"/>
    <cellStyle name="AggOrangeRBorder 4 2 2 4" xfId="8874" xr:uid="{00000000-0005-0000-0000-00000E220000}"/>
    <cellStyle name="AggOrangeRBorder 4 2 2 5" xfId="9738" xr:uid="{00000000-0005-0000-0000-00000F220000}"/>
    <cellStyle name="AggOrangeRBorder 4 2 2 6" xfId="10167" xr:uid="{00000000-0005-0000-0000-000010220000}"/>
    <cellStyle name="AggOrangeRBorder 4 2 2 7" xfId="10579" xr:uid="{00000000-0005-0000-0000-000011220000}"/>
    <cellStyle name="AggOrangeRBorder 4 2 2 8" xfId="8812" xr:uid="{00000000-0005-0000-0000-000012220000}"/>
    <cellStyle name="AggOrangeRBorder 4 2 2 9" xfId="11298" xr:uid="{00000000-0005-0000-0000-000013220000}"/>
    <cellStyle name="AggOrangeRBorder 4 2 3" xfId="1111" xr:uid="{00000000-0005-0000-0000-000014220000}"/>
    <cellStyle name="AggOrangeRBorder 4 2 3 2" xfId="12840" xr:uid="{00000000-0005-0000-0000-000015220000}"/>
    <cellStyle name="AggOrangeRBorder 4 2 3 3" xfId="14765" xr:uid="{00000000-0005-0000-0000-000016220000}"/>
    <cellStyle name="AggOrangeRBorder 4 2 3 4" xfId="16227" xr:uid="{00000000-0005-0000-0000-000017220000}"/>
    <cellStyle name="AggOrangeRBorder 4 2 3 5" xfId="14945" xr:uid="{00000000-0005-0000-0000-000018220000}"/>
    <cellStyle name="AggOrangeRBorder 4 2 3 6" xfId="19280" xr:uid="{00000000-0005-0000-0000-000019220000}"/>
    <cellStyle name="AggOrangeRBorder 4 2 4" xfId="4132" xr:uid="{00000000-0005-0000-0000-00001A220000}"/>
    <cellStyle name="AggOrangeRBorder 4 2 5" xfId="9063" xr:uid="{00000000-0005-0000-0000-00001B220000}"/>
    <cellStyle name="AggOrangeRBorder 4 2 6" xfId="9526" xr:uid="{00000000-0005-0000-0000-00001C220000}"/>
    <cellStyle name="AggOrangeRBorder 4 2 7" xfId="9953" xr:uid="{00000000-0005-0000-0000-00001D220000}"/>
    <cellStyle name="AggOrangeRBorder 4 2 8" xfId="10365" xr:uid="{00000000-0005-0000-0000-00001E220000}"/>
    <cellStyle name="AggOrangeRBorder 4 2 9" xfId="10857" xr:uid="{00000000-0005-0000-0000-00001F220000}"/>
    <cellStyle name="AggOrangeRBorder 4 20" xfId="19502" xr:uid="{00000000-0005-0000-0000-000020220000}"/>
    <cellStyle name="AggOrangeRBorder 4 3" xfId="655" xr:uid="{00000000-0005-0000-0000-000021220000}"/>
    <cellStyle name="AggOrangeRBorder 4 3 10" xfId="11122" xr:uid="{00000000-0005-0000-0000-000022220000}"/>
    <cellStyle name="AggOrangeRBorder 4 3 11" xfId="11509" xr:uid="{00000000-0005-0000-0000-000023220000}"/>
    <cellStyle name="AggOrangeRBorder 4 3 12" xfId="11881" xr:uid="{00000000-0005-0000-0000-000024220000}"/>
    <cellStyle name="AggOrangeRBorder 4 3 13" xfId="12394" xr:uid="{00000000-0005-0000-0000-000025220000}"/>
    <cellStyle name="AggOrangeRBorder 4 3 14" xfId="15701" xr:uid="{00000000-0005-0000-0000-000026220000}"/>
    <cellStyle name="AggOrangeRBorder 4 3 15" xfId="16688" xr:uid="{00000000-0005-0000-0000-000027220000}"/>
    <cellStyle name="AggOrangeRBorder 4 3 16" xfId="14034" xr:uid="{00000000-0005-0000-0000-000028220000}"/>
    <cellStyle name="AggOrangeRBorder 4 3 17" xfId="16082" xr:uid="{00000000-0005-0000-0000-000029220000}"/>
    <cellStyle name="AggOrangeRBorder 4 3 2" xfId="870" xr:uid="{00000000-0005-0000-0000-00002A220000}"/>
    <cellStyle name="AggOrangeRBorder 4 3 2 10" xfId="11716" xr:uid="{00000000-0005-0000-0000-00002B220000}"/>
    <cellStyle name="AggOrangeRBorder 4 3 2 11" xfId="12087" xr:uid="{00000000-0005-0000-0000-00002C220000}"/>
    <cellStyle name="AggOrangeRBorder 4 3 2 12" xfId="12600" xr:uid="{00000000-0005-0000-0000-00002D220000}"/>
    <cellStyle name="AggOrangeRBorder 4 3 2 13" xfId="15240" xr:uid="{00000000-0005-0000-0000-00002E220000}"/>
    <cellStyle name="AggOrangeRBorder 4 3 2 14" xfId="13833" xr:uid="{00000000-0005-0000-0000-00002F220000}"/>
    <cellStyle name="AggOrangeRBorder 4 3 2 15" xfId="16969" xr:uid="{00000000-0005-0000-0000-000030220000}"/>
    <cellStyle name="AggOrangeRBorder 4 3 2 16" xfId="19416" xr:uid="{00000000-0005-0000-0000-000031220000}"/>
    <cellStyle name="AggOrangeRBorder 4 3 2 2" xfId="1115" xr:uid="{00000000-0005-0000-0000-000032220000}"/>
    <cellStyle name="AggOrangeRBorder 4 3 2 2 2" xfId="12844" xr:uid="{00000000-0005-0000-0000-000033220000}"/>
    <cellStyle name="AggOrangeRBorder 4 3 2 2 3" xfId="14398" xr:uid="{00000000-0005-0000-0000-000034220000}"/>
    <cellStyle name="AggOrangeRBorder 4 3 2 2 4" xfId="17324" xr:uid="{00000000-0005-0000-0000-000035220000}"/>
    <cellStyle name="AggOrangeRBorder 4 3 2 2 5" xfId="14058" xr:uid="{00000000-0005-0000-0000-000036220000}"/>
    <cellStyle name="AggOrangeRBorder 4 3 2 2 6" xfId="19276" xr:uid="{00000000-0005-0000-0000-000037220000}"/>
    <cellStyle name="AggOrangeRBorder 4 3 2 3" xfId="3662" xr:uid="{00000000-0005-0000-0000-000038220000}"/>
    <cellStyle name="AggOrangeRBorder 4 3 2 4" xfId="9343" xr:uid="{00000000-0005-0000-0000-000039220000}"/>
    <cellStyle name="AggOrangeRBorder 4 3 2 5" xfId="9771" xr:uid="{00000000-0005-0000-0000-00003A220000}"/>
    <cellStyle name="AggOrangeRBorder 4 3 2 6" xfId="10200" xr:uid="{00000000-0005-0000-0000-00003B220000}"/>
    <cellStyle name="AggOrangeRBorder 4 3 2 7" xfId="10612" xr:uid="{00000000-0005-0000-0000-00003C220000}"/>
    <cellStyle name="AggOrangeRBorder 4 3 2 8" xfId="10666" xr:uid="{00000000-0005-0000-0000-00003D220000}"/>
    <cellStyle name="AggOrangeRBorder 4 3 2 9" xfId="11331" xr:uid="{00000000-0005-0000-0000-00003E220000}"/>
    <cellStyle name="AggOrangeRBorder 4 3 3" xfId="1315" xr:uid="{00000000-0005-0000-0000-00003F220000}"/>
    <cellStyle name="AggOrangeRBorder 4 3 3 2" xfId="13044" xr:uid="{00000000-0005-0000-0000-000040220000}"/>
    <cellStyle name="AggOrangeRBorder 4 3 3 3" xfId="15425" xr:uid="{00000000-0005-0000-0000-000041220000}"/>
    <cellStyle name="AggOrangeRBorder 4 3 3 4" xfId="15083" xr:uid="{00000000-0005-0000-0000-000042220000}"/>
    <cellStyle name="AggOrangeRBorder 4 3 3 5" xfId="14551" xr:uid="{00000000-0005-0000-0000-000043220000}"/>
    <cellStyle name="AggOrangeRBorder 4 3 3 6" xfId="19127" xr:uid="{00000000-0005-0000-0000-000044220000}"/>
    <cellStyle name="AggOrangeRBorder 4 3 4" xfId="3646" xr:uid="{00000000-0005-0000-0000-000045220000}"/>
    <cellStyle name="AggOrangeRBorder 4 3 5" xfId="9070" xr:uid="{00000000-0005-0000-0000-000046220000}"/>
    <cellStyle name="AggOrangeRBorder 4 3 6" xfId="9559" xr:uid="{00000000-0005-0000-0000-000047220000}"/>
    <cellStyle name="AggOrangeRBorder 4 3 7" xfId="9986" xr:uid="{00000000-0005-0000-0000-000048220000}"/>
    <cellStyle name="AggOrangeRBorder 4 3 8" xfId="10398" xr:uid="{00000000-0005-0000-0000-000049220000}"/>
    <cellStyle name="AggOrangeRBorder 4 3 9" xfId="10786" xr:uid="{00000000-0005-0000-0000-00004A220000}"/>
    <cellStyle name="AggOrangeRBorder 4 4" xfId="676" xr:uid="{00000000-0005-0000-0000-00004B220000}"/>
    <cellStyle name="AggOrangeRBorder 4 4 10" xfId="11143" xr:uid="{00000000-0005-0000-0000-00004C220000}"/>
    <cellStyle name="AggOrangeRBorder 4 4 11" xfId="11530" xr:uid="{00000000-0005-0000-0000-00004D220000}"/>
    <cellStyle name="AggOrangeRBorder 4 4 12" xfId="11902" xr:uid="{00000000-0005-0000-0000-00004E220000}"/>
    <cellStyle name="AggOrangeRBorder 4 4 13" xfId="12415" xr:uid="{00000000-0005-0000-0000-00004F220000}"/>
    <cellStyle name="AggOrangeRBorder 4 4 14" xfId="16241" xr:uid="{00000000-0005-0000-0000-000050220000}"/>
    <cellStyle name="AggOrangeRBorder 4 4 15" xfId="14918" xr:uid="{00000000-0005-0000-0000-000051220000}"/>
    <cellStyle name="AggOrangeRBorder 4 4 16" xfId="18123" xr:uid="{00000000-0005-0000-0000-000052220000}"/>
    <cellStyle name="AggOrangeRBorder 4 4 17" xfId="18117" xr:uid="{00000000-0005-0000-0000-000053220000}"/>
    <cellStyle name="AggOrangeRBorder 4 4 2" xfId="891" xr:uid="{00000000-0005-0000-0000-000054220000}"/>
    <cellStyle name="AggOrangeRBorder 4 4 2 10" xfId="11737" xr:uid="{00000000-0005-0000-0000-000055220000}"/>
    <cellStyle name="AggOrangeRBorder 4 4 2 11" xfId="12108" xr:uid="{00000000-0005-0000-0000-000056220000}"/>
    <cellStyle name="AggOrangeRBorder 4 4 2 12" xfId="12621" xr:uid="{00000000-0005-0000-0000-000057220000}"/>
    <cellStyle name="AggOrangeRBorder 4 4 2 13" xfId="14795" xr:uid="{00000000-0005-0000-0000-000058220000}"/>
    <cellStyle name="AggOrangeRBorder 4 4 2 14" xfId="17451" xr:uid="{00000000-0005-0000-0000-000059220000}"/>
    <cellStyle name="AggOrangeRBorder 4 4 2 15" xfId="16976" xr:uid="{00000000-0005-0000-0000-00005A220000}"/>
    <cellStyle name="AggOrangeRBorder 4 4 2 16" xfId="19403" xr:uid="{00000000-0005-0000-0000-00005B220000}"/>
    <cellStyle name="AggOrangeRBorder 4 4 2 2" xfId="1393" xr:uid="{00000000-0005-0000-0000-00005C220000}"/>
    <cellStyle name="AggOrangeRBorder 4 4 2 2 2" xfId="13122" xr:uid="{00000000-0005-0000-0000-00005D220000}"/>
    <cellStyle name="AggOrangeRBorder 4 4 2 2 3" xfId="14852" xr:uid="{00000000-0005-0000-0000-00005E220000}"/>
    <cellStyle name="AggOrangeRBorder 4 4 2 2 4" xfId="17116" xr:uid="{00000000-0005-0000-0000-00005F220000}"/>
    <cellStyle name="AggOrangeRBorder 4 4 2 2 5" xfId="14541" xr:uid="{00000000-0005-0000-0000-000060220000}"/>
    <cellStyle name="AggOrangeRBorder 4 4 2 2 6" xfId="19068" xr:uid="{00000000-0005-0000-0000-000061220000}"/>
    <cellStyle name="AggOrangeRBorder 4 4 2 3" xfId="4245" xr:uid="{00000000-0005-0000-0000-000062220000}"/>
    <cellStyle name="AggOrangeRBorder 4 4 2 4" xfId="9364" xr:uid="{00000000-0005-0000-0000-000063220000}"/>
    <cellStyle name="AggOrangeRBorder 4 4 2 5" xfId="9792" xr:uid="{00000000-0005-0000-0000-000064220000}"/>
    <cellStyle name="AggOrangeRBorder 4 4 2 6" xfId="10221" xr:uid="{00000000-0005-0000-0000-000065220000}"/>
    <cellStyle name="AggOrangeRBorder 4 4 2 7" xfId="10633" xr:uid="{00000000-0005-0000-0000-000066220000}"/>
    <cellStyle name="AggOrangeRBorder 4 4 2 8" xfId="10963" xr:uid="{00000000-0005-0000-0000-000067220000}"/>
    <cellStyle name="AggOrangeRBorder 4 4 2 9" xfId="11352" xr:uid="{00000000-0005-0000-0000-000068220000}"/>
    <cellStyle name="AggOrangeRBorder 4 4 3" xfId="1251" xr:uid="{00000000-0005-0000-0000-000069220000}"/>
    <cellStyle name="AggOrangeRBorder 4 4 3 2" xfId="12980" xr:uid="{00000000-0005-0000-0000-00006A220000}"/>
    <cellStyle name="AggOrangeRBorder 4 4 3 3" xfId="15392" xr:uid="{00000000-0005-0000-0000-00006B220000}"/>
    <cellStyle name="AggOrangeRBorder 4 4 3 4" xfId="17220" xr:uid="{00000000-0005-0000-0000-00006C220000}"/>
    <cellStyle name="AggOrangeRBorder 4 4 3 5" xfId="14435" xr:uid="{00000000-0005-0000-0000-00006D220000}"/>
    <cellStyle name="AggOrangeRBorder 4 4 3 6" xfId="19172" xr:uid="{00000000-0005-0000-0000-00006E220000}"/>
    <cellStyle name="AggOrangeRBorder 4 4 4" xfId="3840" xr:uid="{00000000-0005-0000-0000-00006F220000}"/>
    <cellStyle name="AggOrangeRBorder 4 4 5" xfId="9094" xr:uid="{00000000-0005-0000-0000-000070220000}"/>
    <cellStyle name="AggOrangeRBorder 4 4 6" xfId="9580" xr:uid="{00000000-0005-0000-0000-000071220000}"/>
    <cellStyle name="AggOrangeRBorder 4 4 7" xfId="10007" xr:uid="{00000000-0005-0000-0000-000072220000}"/>
    <cellStyle name="AggOrangeRBorder 4 4 8" xfId="10419" xr:uid="{00000000-0005-0000-0000-000073220000}"/>
    <cellStyle name="AggOrangeRBorder 4 4 9" xfId="8823" xr:uid="{00000000-0005-0000-0000-000074220000}"/>
    <cellStyle name="AggOrangeRBorder 4 5" xfId="708" xr:uid="{00000000-0005-0000-0000-000075220000}"/>
    <cellStyle name="AggOrangeRBorder 4 5 2" xfId="3285" xr:uid="{00000000-0005-0000-0000-000076220000}"/>
    <cellStyle name="AggOrangeRBorder 4 5 2 2" xfId="13549" xr:uid="{00000000-0005-0000-0000-000077220000}"/>
    <cellStyle name="AggOrangeRBorder 4 5 2 3" xfId="16918" xr:uid="{00000000-0005-0000-0000-000078220000}"/>
    <cellStyle name="AggOrangeRBorder 4 5 2 4" xfId="18029" xr:uid="{00000000-0005-0000-0000-000079220000}"/>
    <cellStyle name="AggOrangeRBorder 4 5 2 5" xfId="19026" xr:uid="{00000000-0005-0000-0000-00007A220000}"/>
    <cellStyle name="AggOrangeRBorder 4 5 2 6" xfId="19767" xr:uid="{00000000-0005-0000-0000-00007B220000}"/>
    <cellStyle name="AggOrangeRBorder 4 5 3" xfId="10450" xr:uid="{00000000-0005-0000-0000-00007C220000}"/>
    <cellStyle name="AggOrangeRBorder 4 6" xfId="1024" xr:uid="{00000000-0005-0000-0000-00007D220000}"/>
    <cellStyle name="AggOrangeRBorder 4 6 2" xfId="12753" xr:uid="{00000000-0005-0000-0000-00007E220000}"/>
    <cellStyle name="AggOrangeRBorder 4 6 3" xfId="14003" xr:uid="{00000000-0005-0000-0000-00007F220000}"/>
    <cellStyle name="AggOrangeRBorder 4 6 4" xfId="16610" xr:uid="{00000000-0005-0000-0000-000080220000}"/>
    <cellStyle name="AggOrangeRBorder 4 6 5" xfId="18559" xr:uid="{00000000-0005-0000-0000-000081220000}"/>
    <cellStyle name="AggOrangeRBorder 4 6 6" xfId="13938" xr:uid="{00000000-0005-0000-0000-000082220000}"/>
    <cellStyle name="AggOrangeRBorder 4 7" xfId="3966" xr:uid="{00000000-0005-0000-0000-000083220000}"/>
    <cellStyle name="AggOrangeRBorder 4 8" xfId="8828" xr:uid="{00000000-0005-0000-0000-000084220000}"/>
    <cellStyle name="AggOrangeRBorder 4 9" xfId="9101" xr:uid="{00000000-0005-0000-0000-000085220000}"/>
    <cellStyle name="AggOrangeRBorder 5" xfId="85" xr:uid="{00000000-0005-0000-0000-000086220000}"/>
    <cellStyle name="AggOrangeRBorder 5 2" xfId="3254" xr:uid="{00000000-0005-0000-0000-000087220000}"/>
    <cellStyle name="AggOrangeRBorder 5 2 2" xfId="13518" xr:uid="{00000000-0005-0000-0000-000088220000}"/>
    <cellStyle name="AggOrangeRBorder 5 2 3" xfId="16887" xr:uid="{00000000-0005-0000-0000-000089220000}"/>
    <cellStyle name="AggOrangeRBorder 5 2 4" xfId="17998" xr:uid="{00000000-0005-0000-0000-00008A220000}"/>
    <cellStyle name="AggOrangeRBorder 5 2 5" xfId="18995" xr:uid="{00000000-0005-0000-0000-00008B220000}"/>
    <cellStyle name="AggOrangeRBorder 5 2 6" xfId="19736" xr:uid="{00000000-0005-0000-0000-00008C220000}"/>
    <cellStyle name="AggOrangeRBorder 5 3" xfId="9842" xr:uid="{00000000-0005-0000-0000-00008D220000}"/>
    <cellStyle name="AggOrangeRBorder_CRFReport-template" xfId="41" xr:uid="{00000000-0005-0000-0000-00008E220000}"/>
    <cellStyle name="Akzent1" xfId="133" xr:uid="{00000000-0005-0000-0000-00008F220000}"/>
    <cellStyle name="Akzent2" xfId="134" xr:uid="{00000000-0005-0000-0000-000090220000}"/>
    <cellStyle name="Akzent3" xfId="135" xr:uid="{00000000-0005-0000-0000-000091220000}"/>
    <cellStyle name="Akzent4" xfId="136" xr:uid="{00000000-0005-0000-0000-000092220000}"/>
    <cellStyle name="Akzent5" xfId="137" xr:uid="{00000000-0005-0000-0000-000093220000}"/>
    <cellStyle name="Akzent6" xfId="138" xr:uid="{00000000-0005-0000-0000-000094220000}"/>
    <cellStyle name="ArialBold8" xfId="5810" xr:uid="{00000000-0005-0000-0000-000095220000}"/>
    <cellStyle name="ArialNormal8" xfId="5811" xr:uid="{00000000-0005-0000-0000-000096220000}"/>
    <cellStyle name="assumption 1" xfId="2161" xr:uid="{00000000-0005-0000-0000-000097220000}"/>
    <cellStyle name="assumption 1 2" xfId="2162" xr:uid="{00000000-0005-0000-0000-000098220000}"/>
    <cellStyle name="assumption 1 2 2" xfId="2163" xr:uid="{00000000-0005-0000-0000-000099220000}"/>
    <cellStyle name="Assumption 2" xfId="2164" xr:uid="{00000000-0005-0000-0000-00009A220000}"/>
    <cellStyle name="Assumption 2 2" xfId="13208" xr:uid="{00000000-0005-0000-0000-00009B220000}"/>
    <cellStyle name="Assumption 2 3" xfId="14224" xr:uid="{00000000-0005-0000-0000-00009C220000}"/>
    <cellStyle name="Assumption 2 4" xfId="15795" xr:uid="{00000000-0005-0000-0000-00009D220000}"/>
    <cellStyle name="Assumption 2 5" xfId="17069" xr:uid="{00000000-0005-0000-0000-00009E220000}"/>
    <cellStyle name="Assumption 2 6" xfId="16544" xr:uid="{00000000-0005-0000-0000-00009F220000}"/>
    <cellStyle name="Assumption 3" xfId="2165" xr:uid="{00000000-0005-0000-0000-0000A0220000}"/>
    <cellStyle name="Assumption Date" xfId="2166" xr:uid="{00000000-0005-0000-0000-0000A1220000}"/>
    <cellStyle name="Assumption Date 2" xfId="13209" xr:uid="{00000000-0005-0000-0000-0000A2220000}"/>
    <cellStyle name="Assumption Date 3" xfId="14202" xr:uid="{00000000-0005-0000-0000-0000A3220000}"/>
    <cellStyle name="Assumption Date 4" xfId="13846" xr:uid="{00000000-0005-0000-0000-0000A4220000}"/>
    <cellStyle name="Assumption Date 5" xfId="14452" xr:uid="{00000000-0005-0000-0000-0000A5220000}"/>
    <cellStyle name="Assumption Date 6" xfId="18182" xr:uid="{00000000-0005-0000-0000-0000A6220000}"/>
    <cellStyle name="Ausgabe" xfId="3957" hidden="1" xr:uid="{00000000-0005-0000-0000-000035230000}"/>
    <cellStyle name="Ausgabe" xfId="16906" hidden="1" xr:uid="{00000000-0005-0000-0000-0000C6220000}"/>
    <cellStyle name="Ausgabe" xfId="19702" hidden="1" xr:uid="{00000000-0005-0000-0000-0000AE220000}"/>
    <cellStyle name="Ausgabe" xfId="3398" hidden="1" xr:uid="{00000000-0005-0000-0000-000033230000}"/>
    <cellStyle name="Ausgabe" xfId="13660" hidden="1" xr:uid="{00000000-0005-0000-0000-000040230000}"/>
    <cellStyle name="Ausgabe" xfId="13682" hidden="1" xr:uid="{00000000-0005-0000-0000-000041230000}"/>
    <cellStyle name="Ausgabe" xfId="3220" hidden="1" xr:uid="{00000000-0005-0000-0000-000042230000}"/>
    <cellStyle name="Ausgabe" xfId="19040" hidden="1" xr:uid="{00000000-0005-0000-0000-0000F8220000}"/>
    <cellStyle name="Ausgabe" xfId="3273" hidden="1" xr:uid="{00000000-0005-0000-0000-000037230000}"/>
    <cellStyle name="Ausgabe" xfId="3299" hidden="1" xr:uid="{00000000-0005-0000-0000-000038230000}"/>
    <cellStyle name="Ausgabe" xfId="1036" hidden="1" xr:uid="{00000000-0005-0000-0000-000039230000}"/>
    <cellStyle name="Ausgabe" xfId="19628" hidden="1" xr:uid="{00000000-0005-0000-0000-0000BB220000}"/>
    <cellStyle name="Ausgabe" xfId="1217" hidden="1" xr:uid="{00000000-0005-0000-0000-00003B230000}"/>
    <cellStyle name="Ausgabe" xfId="952" hidden="1" xr:uid="{00000000-0005-0000-0000-00003C230000}"/>
    <cellStyle name="Ausgabe" xfId="58" hidden="1" xr:uid="{00000000-0005-0000-0000-00003D230000}"/>
    <cellStyle name="Ausgabe" xfId="4091" hidden="1" xr:uid="{00000000-0005-0000-0000-000036230000}"/>
    <cellStyle name="Ausgabe" xfId="19791" hidden="1" xr:uid="{00000000-0005-0000-0000-0000B6220000}"/>
    <cellStyle name="Ausgabe" xfId="12219" hidden="1" xr:uid="{00000000-0005-0000-0000-000047230000}"/>
    <cellStyle name="Ausgabe" xfId="15726" hidden="1" xr:uid="{00000000-0005-0000-0000-0000A8220000}"/>
    <cellStyle name="Ausgabe" xfId="13617" hidden="1" xr:uid="{00000000-0005-0000-0000-000044230000}"/>
    <cellStyle name="Ausgabe" xfId="13624" hidden="1" xr:uid="{00000000-0005-0000-0000-000045230000}"/>
    <cellStyle name="Ausgabe" xfId="15300" hidden="1" xr:uid="{00000000-0005-0000-0000-0000C0220000}"/>
    <cellStyle name="Ausgabe" xfId="14825" hidden="1" xr:uid="{00000000-0005-0000-0000-0000C1220000}"/>
    <cellStyle name="Ausgabe" xfId="13484" hidden="1" xr:uid="{00000000-0005-0000-0000-00002A230000}"/>
    <cellStyle name="Ausgabe" xfId="13491" hidden="1" xr:uid="{00000000-0005-0000-0000-00002B230000}"/>
    <cellStyle name="Ausgabe" xfId="13537" hidden="1" xr:uid="{00000000-0005-0000-0000-00002C230000}"/>
    <cellStyle name="Ausgabe" xfId="13563" hidden="1" xr:uid="{00000000-0005-0000-0000-00002D230000}"/>
    <cellStyle name="Ausgabe" xfId="13394" hidden="1" xr:uid="{00000000-0005-0000-0000-000030230000}"/>
    <cellStyle name="Ausgabe" xfId="13175" hidden="1" xr:uid="{00000000-0005-0000-0000-000031230000}"/>
    <cellStyle name="Ausgabe" xfId="3358" hidden="1" xr:uid="{00000000-0005-0000-0000-000032230000}"/>
    <cellStyle name="Ausgabe" xfId="19014" hidden="1" xr:uid="{00000000-0005-0000-0000-0000F7220000}"/>
    <cellStyle name="Ausgabe" xfId="12930" hidden="1" xr:uid="{00000000-0005-0000-0000-000027230000}"/>
    <cellStyle name="Ausgabe" xfId="16802" hidden="1" xr:uid="{00000000-0005-0000-0000-0000B2220000}"/>
    <cellStyle name="Ausgabe" xfId="18961" hidden="1" xr:uid="{00000000-0005-0000-0000-0000F5220000}"/>
    <cellStyle name="Ausgabe" xfId="17728" hidden="1" xr:uid="{00000000-0005-0000-0000-0000CD220000}"/>
    <cellStyle name="Ausgabe" xfId="17769" hidden="1" xr:uid="{00000000-0005-0000-0000-000002230000}"/>
    <cellStyle name="Ausgabe" xfId="8249" hidden="1" xr:uid="{00000000-0005-0000-0000-000003230000}"/>
    <cellStyle name="Ausgabe" xfId="8244" hidden="1" xr:uid="{00000000-0005-0000-0000-000004230000}"/>
    <cellStyle name="Ausgabe" xfId="8281" hidden="1" xr:uid="{00000000-0005-0000-0000-000005230000}"/>
    <cellStyle name="Ausgabe" xfId="3179" hidden="1" xr:uid="{00000000-0005-0000-0000-000008230000}"/>
    <cellStyle name="Ausgabe" xfId="8839" hidden="1" xr:uid="{00000000-0005-0000-0000-000009230000}"/>
    <cellStyle name="Ausgabe" xfId="10791" hidden="1" xr:uid="{00000000-0005-0000-0000-00000A230000}"/>
    <cellStyle name="Ausgabe" xfId="17243" hidden="1" xr:uid="{00000000-0005-0000-0000-0000D5220000}"/>
    <cellStyle name="Ausgabe" xfId="17923" hidden="1" xr:uid="{00000000-0005-0000-0000-0000D6220000}"/>
    <cellStyle name="Ausgabe" xfId="9102" hidden="1" xr:uid="{00000000-0005-0000-0000-00000B230000}"/>
    <cellStyle name="Ausgabe" xfId="9216" hidden="1" xr:uid="{00000000-0005-0000-0000-00000C230000}"/>
    <cellStyle name="Ausgabe" xfId="8802" hidden="1" xr:uid="{00000000-0005-0000-0000-00000D230000}"/>
    <cellStyle name="Ausgabe" xfId="8602" hidden="1" xr:uid="{00000000-0005-0000-0000-00000E230000}"/>
    <cellStyle name="Ausgabe" xfId="8750" hidden="1" xr:uid="{00000000-0005-0000-0000-000011230000}"/>
    <cellStyle name="Ausgabe" xfId="8619" hidden="1" xr:uid="{00000000-0005-0000-0000-000012230000}"/>
    <cellStyle name="Ausgabe" xfId="8578" hidden="1" xr:uid="{00000000-0005-0000-0000-000013230000}"/>
    <cellStyle name="Ausgabe" xfId="17074" hidden="1" xr:uid="{00000000-0005-0000-0000-0000DE220000}"/>
    <cellStyle name="Ausgabe" xfId="15837" hidden="1" xr:uid="{00000000-0005-0000-0000-0000DF220000}"/>
    <cellStyle name="Ausgabe" xfId="13728" hidden="1" xr:uid="{00000000-0005-0000-0000-000014230000}"/>
    <cellStyle name="Ausgabe" xfId="14409" hidden="1" xr:uid="{00000000-0005-0000-0000-000015230000}"/>
    <cellStyle name="Ausgabe" xfId="14483" hidden="1" xr:uid="{00000000-0005-0000-0000-000016230000}"/>
    <cellStyle name="Ausgabe" xfId="14616" hidden="1" xr:uid="{00000000-0005-0000-0000-000017230000}"/>
    <cellStyle name="Ausgabe" xfId="16327" hidden="1" xr:uid="{00000000-0005-0000-0000-00001A230000}"/>
    <cellStyle name="Ausgabe" xfId="16334" hidden="1" xr:uid="{00000000-0005-0000-0000-00001B230000}"/>
    <cellStyle name="Ausgabe" xfId="16380" hidden="1" xr:uid="{00000000-0005-0000-0000-00001C230000}"/>
    <cellStyle name="Ausgabe" xfId="16534" hidden="1" xr:uid="{00000000-0005-0000-0000-0000E7220000}"/>
    <cellStyle name="Ausgabe" xfId="17546" hidden="1" xr:uid="{00000000-0005-0000-0000-0000E8220000}"/>
    <cellStyle name="Ausgabe" xfId="16405" hidden="1" xr:uid="{00000000-0005-0000-0000-00001D230000}"/>
    <cellStyle name="Ausgabe" xfId="14516" hidden="1" xr:uid="{00000000-0005-0000-0000-00001E230000}"/>
    <cellStyle name="Ausgabe" xfId="15948" hidden="1" xr:uid="{00000000-0005-0000-0000-00001F230000}"/>
    <cellStyle name="Ausgabe" xfId="15912" hidden="1" xr:uid="{00000000-0005-0000-0000-000020230000}"/>
    <cellStyle name="Ausgabe" xfId="16616" hidden="1" xr:uid="{00000000-0005-0000-0000-000023230000}"/>
    <cellStyle name="Ausgabe" xfId="16657" hidden="1" xr:uid="{00000000-0005-0000-0000-000024230000}"/>
    <cellStyle name="Ausgabe" xfId="16664" hidden="1" xr:uid="{00000000-0005-0000-0000-000025230000}"/>
    <cellStyle name="Ausgabe" xfId="16361" hidden="1" xr:uid="{00000000-0005-0000-0000-0000F0220000}"/>
    <cellStyle name="Ausgabe" xfId="17557" hidden="1" xr:uid="{00000000-0005-0000-0000-0000F1220000}"/>
    <cellStyle name="Ausgabe" xfId="16710" hidden="1" xr:uid="{00000000-0005-0000-0000-0000BC220000}"/>
    <cellStyle name="Ausgabe" xfId="16735" hidden="1" xr:uid="{00000000-0005-0000-0000-0000BD220000}"/>
    <cellStyle name="Ausgabe" xfId="15814" hidden="1" xr:uid="{00000000-0005-0000-0000-0000BE220000}"/>
    <cellStyle name="Ausgabe" xfId="14798" hidden="1" xr:uid="{00000000-0005-0000-0000-0000BF220000}"/>
    <cellStyle name="Ausgabe" xfId="14460" hidden="1" xr:uid="{00000000-0005-0000-0000-0000C2220000}"/>
    <cellStyle name="Ausgabe" xfId="16812" hidden="1" xr:uid="{00000000-0005-0000-0000-0000C3220000}"/>
    <cellStyle name="Ausgabe" xfId="16853" hidden="1" xr:uid="{00000000-0005-0000-0000-0000C4220000}"/>
    <cellStyle name="Ausgabe" xfId="12946" hidden="1" xr:uid="{00000000-0005-0000-0000-000028230000}"/>
    <cellStyle name="Ausgabe" xfId="19875" hidden="1" xr:uid="{00000000-0005-0000-0000-0000B9220000}"/>
    <cellStyle name="Ausgabe" xfId="12681" hidden="1" xr:uid="{00000000-0005-0000-0000-00003F230000}"/>
    <cellStyle name="Ausgabe" xfId="12765" hidden="1" xr:uid="{00000000-0005-0000-0000-000026230000}"/>
    <cellStyle name="Ausgabe" xfId="16166" hidden="1" xr:uid="{00000000-0005-0000-0000-0000FD220000}"/>
    <cellStyle name="Ausgabe" xfId="19529" hidden="1" xr:uid="{00000000-0005-0000-0000-0000FE220000}"/>
    <cellStyle name="Ausgabe" xfId="13695" hidden="1" xr:uid="{00000000-0005-0000-0000-0000C9220000}"/>
    <cellStyle name="Ausgabe" xfId="14356" hidden="1" xr:uid="{00000000-0005-0000-0000-0000CA220000}"/>
    <cellStyle name="Ausgabe" xfId="14874" hidden="1" xr:uid="{00000000-0005-0000-0000-0000CB220000}"/>
    <cellStyle name="Ausgabe" xfId="16003" hidden="1" xr:uid="{00000000-0005-0000-0000-0000CC220000}"/>
    <cellStyle name="Ausgabe" xfId="17776" hidden="1" xr:uid="{00000000-0005-0000-0000-0000CE220000}"/>
    <cellStyle name="Ausgabe" xfId="17819" hidden="1" xr:uid="{00000000-0005-0000-0000-0000CF220000}"/>
    <cellStyle name="Ausgabe" xfId="17845" hidden="1" xr:uid="{00000000-0005-0000-0000-0000D0220000}"/>
    <cellStyle name="Ausgabe" xfId="8248" hidden="1" xr:uid="{00000000-0005-0000-0000-000006230000}"/>
    <cellStyle name="Ausgabe" xfId="8528" hidden="1" xr:uid="{00000000-0005-0000-0000-000007230000}"/>
    <cellStyle name="Ausgabe" xfId="14957" hidden="1" xr:uid="{00000000-0005-0000-0000-0000D1220000}"/>
    <cellStyle name="Ausgabe" xfId="17430" hidden="1" xr:uid="{00000000-0005-0000-0000-0000D2220000}"/>
    <cellStyle name="Ausgabe" xfId="17380" hidden="1" xr:uid="{00000000-0005-0000-0000-0000D3220000}"/>
    <cellStyle name="Ausgabe" xfId="17257" hidden="1" xr:uid="{00000000-0005-0000-0000-0000D4220000}"/>
    <cellStyle name="Ausgabe" xfId="17964" hidden="1" xr:uid="{00000000-0005-0000-0000-0000D7220000}"/>
    <cellStyle name="Ausgabe" xfId="17971" hidden="1" xr:uid="{00000000-0005-0000-0000-0000D8220000}"/>
    <cellStyle name="Ausgabe" xfId="18017" hidden="1" xr:uid="{00000000-0005-0000-0000-0000D9220000}"/>
    <cellStyle name="Ausgabe" xfId="8977" hidden="1" xr:uid="{00000000-0005-0000-0000-00000F230000}"/>
    <cellStyle name="Ausgabe" xfId="8794" hidden="1" xr:uid="{00000000-0005-0000-0000-000010230000}"/>
    <cellStyle name="Ausgabe" xfId="18043" hidden="1" xr:uid="{00000000-0005-0000-0000-0000DA220000}"/>
    <cellStyle name="Ausgabe" xfId="17901" hidden="1" xr:uid="{00000000-0005-0000-0000-0000DB220000}"/>
    <cellStyle name="Ausgabe" xfId="16048" hidden="1" xr:uid="{00000000-0005-0000-0000-0000DC220000}"/>
    <cellStyle name="Ausgabe" xfId="16495" hidden="1" xr:uid="{00000000-0005-0000-0000-0000DD220000}"/>
    <cellStyle name="Ausgabe" xfId="18598" hidden="1" xr:uid="{00000000-0005-0000-0000-0000E0220000}"/>
    <cellStyle name="Ausgabe" xfId="18639" hidden="1" xr:uid="{00000000-0005-0000-0000-0000E1220000}"/>
    <cellStyle name="Ausgabe" xfId="18646" hidden="1" xr:uid="{00000000-0005-0000-0000-0000E2220000}"/>
    <cellStyle name="Ausgabe" xfId="14631" hidden="1" xr:uid="{00000000-0005-0000-0000-000018230000}"/>
    <cellStyle name="Ausgabe" xfId="16286" hidden="1" xr:uid="{00000000-0005-0000-0000-000019230000}"/>
    <cellStyle name="Ausgabe" xfId="18685" hidden="1" xr:uid="{00000000-0005-0000-0000-0000E3220000}"/>
    <cellStyle name="Ausgabe" xfId="18708" hidden="1" xr:uid="{00000000-0005-0000-0000-0000E4220000}"/>
    <cellStyle name="Ausgabe" xfId="17532" hidden="1" xr:uid="{00000000-0005-0000-0000-0000E5220000}"/>
    <cellStyle name="Ausgabe" xfId="17083" hidden="1" xr:uid="{00000000-0005-0000-0000-0000E6220000}"/>
    <cellStyle name="Ausgabe" xfId="18248" hidden="1" xr:uid="{00000000-0005-0000-0000-0000E9220000}"/>
    <cellStyle name="Ausgabe" xfId="18768" hidden="1" xr:uid="{00000000-0005-0000-0000-0000EA220000}"/>
    <cellStyle name="Ausgabe" xfId="18809" hidden="1" xr:uid="{00000000-0005-0000-0000-0000EB220000}"/>
    <cellStyle name="Ausgabe" xfId="15811" hidden="1" xr:uid="{00000000-0005-0000-0000-000021230000}"/>
    <cellStyle name="Ausgabe" xfId="15004" hidden="1" xr:uid="{00000000-0005-0000-0000-000022230000}"/>
    <cellStyle name="Ausgabe" xfId="18816" hidden="1" xr:uid="{00000000-0005-0000-0000-0000EC220000}"/>
    <cellStyle name="Ausgabe" xfId="18859" hidden="1" xr:uid="{00000000-0005-0000-0000-0000ED220000}"/>
    <cellStyle name="Ausgabe" xfId="18882" hidden="1" xr:uid="{00000000-0005-0000-0000-0000EE220000}"/>
    <cellStyle name="Ausgabe" xfId="14453" hidden="1" xr:uid="{00000000-0005-0000-0000-0000EF220000}"/>
    <cellStyle name="Ausgabe" xfId="16198" hidden="1" xr:uid="{00000000-0005-0000-0000-0000F2220000}"/>
    <cellStyle name="Ausgabe" xfId="15476" hidden="1" xr:uid="{00000000-0005-0000-0000-0000F3220000}"/>
    <cellStyle name="Ausgabe" xfId="18920" hidden="1" xr:uid="{00000000-0005-0000-0000-0000F4220000}"/>
    <cellStyle name="Ausgabe" xfId="19897" hidden="1" xr:uid="{00000000-0005-0000-0000-0000BA220000}"/>
    <cellStyle name="Ausgabe" xfId="13576" hidden="1" xr:uid="{00000000-0005-0000-0000-000046230000}"/>
    <cellStyle name="Ausgabe" xfId="19832" hidden="1" xr:uid="{00000000-0005-0000-0000-0000B7220000}"/>
    <cellStyle name="Ausgabe" xfId="19839" hidden="1" xr:uid="{00000000-0005-0000-0000-0000B8220000}"/>
    <cellStyle name="Ausgabe" xfId="13204" hidden="1" xr:uid="{00000000-0005-0000-0000-00002E230000}"/>
    <cellStyle name="Ausgabe" xfId="13185" hidden="1" xr:uid="{00000000-0005-0000-0000-00002F230000}"/>
    <cellStyle name="Ausgabe" xfId="18442" hidden="1" xr:uid="{00000000-0005-0000-0000-0000F9220000}"/>
    <cellStyle name="Ausgabe" xfId="14643" hidden="1" xr:uid="{00000000-0005-0000-0000-0000FA220000}"/>
    <cellStyle name="Ausgabe" xfId="18472" hidden="1" xr:uid="{00000000-0005-0000-0000-0000FB220000}"/>
    <cellStyle name="Ausgabe" xfId="17706" hidden="1" xr:uid="{00000000-0005-0000-0000-0000FC220000}"/>
    <cellStyle name="Ausgabe" xfId="19570" hidden="1" xr:uid="{00000000-0005-0000-0000-0000FF220000}"/>
    <cellStyle name="Ausgabe" xfId="19577" hidden="1" xr:uid="{00000000-0005-0000-0000-000000230000}"/>
    <cellStyle name="Ausgabe" xfId="19616" hidden="1" xr:uid="{00000000-0005-0000-0000-000001230000}"/>
    <cellStyle name="Ausgabe" xfId="16932" hidden="1" xr:uid="{00000000-0005-0000-0000-0000C7220000}"/>
    <cellStyle name="Ausgabe" xfId="18968" hidden="1" xr:uid="{00000000-0005-0000-0000-0000F6220000}"/>
    <cellStyle name="Ausgabe" xfId="1201" hidden="1" xr:uid="{00000000-0005-0000-0000-00003A230000}"/>
    <cellStyle name="Ausgabe" xfId="16860" hidden="1" xr:uid="{00000000-0005-0000-0000-0000C5220000}"/>
    <cellStyle name="Ausgabe" xfId="19209" hidden="1" xr:uid="{00000000-0005-0000-0000-0000AB220000}"/>
    <cellStyle name="Ausgabe" xfId="16023" hidden="1" xr:uid="{00000000-0005-0000-0000-0000AC220000}"/>
    <cellStyle name="Ausgabe" xfId="19661" hidden="1" xr:uid="{00000000-0005-0000-0000-0000AD220000}"/>
    <cellStyle name="Ausgabe" xfId="13443" hidden="1" xr:uid="{00000000-0005-0000-0000-000029230000}"/>
    <cellStyle name="Ausgabe" xfId="19709" hidden="1" xr:uid="{00000000-0005-0000-0000-0000AF220000}"/>
    <cellStyle name="Ausgabe" xfId="19755" hidden="1" xr:uid="{00000000-0005-0000-0000-0000B0220000}"/>
    <cellStyle name="Ausgabe" xfId="19781" hidden="1" xr:uid="{00000000-0005-0000-0000-0000B1220000}"/>
    <cellStyle name="Ausgabe" xfId="19332" hidden="1" xr:uid="{00000000-0005-0000-0000-0000AA220000}"/>
    <cellStyle name="Ausgabe" xfId="12181" hidden="1" xr:uid="{00000000-0005-0000-0000-00003E230000}"/>
    <cellStyle name="Ausgabe" xfId="18101" hidden="1" xr:uid="{00000000-0005-0000-0000-0000B3220000}"/>
    <cellStyle name="Ausgabe" xfId="19056" hidden="1" xr:uid="{00000000-0005-0000-0000-0000B4220000}"/>
    <cellStyle name="Ausgabe" xfId="16752" hidden="1" xr:uid="{00000000-0005-0000-0000-0000B5220000}"/>
    <cellStyle name="Ausgabe" xfId="16789" hidden="1" xr:uid="{00000000-0005-0000-0000-0000C8220000}"/>
    <cellStyle name="Ausgabe" xfId="3227" hidden="1" xr:uid="{00000000-0005-0000-0000-000043230000}"/>
    <cellStyle name="Ausgabe" xfId="19639" hidden="1" xr:uid="{00000000-0005-0000-0000-0000A7220000}"/>
    <cellStyle name="Ausgabe" xfId="3812" hidden="1" xr:uid="{00000000-0005-0000-0000-000034230000}"/>
    <cellStyle name="Ausgabe" xfId="19382" hidden="1" xr:uid="{00000000-0005-0000-0000-0000A9220000}"/>
    <cellStyle name="Ausgabe 2" xfId="404" xr:uid="{00000000-0005-0000-0000-000048230000}"/>
    <cellStyle name="Ausgabe 2 10" xfId="10673" xr:uid="{00000000-0005-0000-0000-000049230000}"/>
    <cellStyle name="Ausgabe 2 11" xfId="12253" xr:uid="{00000000-0005-0000-0000-00004A230000}"/>
    <cellStyle name="Ausgabe 2 12" xfId="16429" xr:uid="{00000000-0005-0000-0000-00004B230000}"/>
    <cellStyle name="Ausgabe 2 13" xfId="17556" xr:uid="{00000000-0005-0000-0000-00004C230000}"/>
    <cellStyle name="Ausgabe 2 14" xfId="16950" xr:uid="{00000000-0005-0000-0000-00004D230000}"/>
    <cellStyle name="Ausgabe 2 15" xfId="19483" xr:uid="{00000000-0005-0000-0000-00004E230000}"/>
    <cellStyle name="Ausgabe 2 2" xfId="660" xr:uid="{00000000-0005-0000-0000-00004F230000}"/>
    <cellStyle name="Ausgabe 2 2 10" xfId="10749" xr:uid="{00000000-0005-0000-0000-000050230000}"/>
    <cellStyle name="Ausgabe 2 2 11" xfId="11127" xr:uid="{00000000-0005-0000-0000-000051230000}"/>
    <cellStyle name="Ausgabe 2 2 12" xfId="11514" xr:uid="{00000000-0005-0000-0000-000052230000}"/>
    <cellStyle name="Ausgabe 2 2 13" xfId="11886" xr:uid="{00000000-0005-0000-0000-000053230000}"/>
    <cellStyle name="Ausgabe 2 2 14" xfId="12399" xr:uid="{00000000-0005-0000-0000-000054230000}"/>
    <cellStyle name="Ausgabe 2 2 15" xfId="13943" xr:uid="{00000000-0005-0000-0000-000055230000}"/>
    <cellStyle name="Ausgabe 2 2 16" xfId="14006" xr:uid="{00000000-0005-0000-0000-000056230000}"/>
    <cellStyle name="Ausgabe 2 2 17" xfId="14572" xr:uid="{00000000-0005-0000-0000-000057230000}"/>
    <cellStyle name="Ausgabe 2 2 18" xfId="14106" xr:uid="{00000000-0005-0000-0000-000058230000}"/>
    <cellStyle name="Ausgabe 2 2 2" xfId="875" xr:uid="{00000000-0005-0000-0000-000059230000}"/>
    <cellStyle name="Ausgabe 2 2 2 10" xfId="11336" xr:uid="{00000000-0005-0000-0000-00005A230000}"/>
    <cellStyle name="Ausgabe 2 2 2 11" xfId="11721" xr:uid="{00000000-0005-0000-0000-00005B230000}"/>
    <cellStyle name="Ausgabe 2 2 2 12" xfId="12092" xr:uid="{00000000-0005-0000-0000-00005C230000}"/>
    <cellStyle name="Ausgabe 2 2 2 13" xfId="12605" xr:uid="{00000000-0005-0000-0000-00005D230000}"/>
    <cellStyle name="Ausgabe 2 2 2 14" xfId="14276" xr:uid="{00000000-0005-0000-0000-00005E230000}"/>
    <cellStyle name="Ausgabe 2 2 2 15" xfId="17461" xr:uid="{00000000-0005-0000-0000-00005F230000}"/>
    <cellStyle name="Ausgabe 2 2 2 16" xfId="14633" xr:uid="{00000000-0005-0000-0000-000060230000}"/>
    <cellStyle name="Ausgabe 2 2 2 17" xfId="14470" xr:uid="{00000000-0005-0000-0000-000061230000}"/>
    <cellStyle name="Ausgabe 2 2 2 2" xfId="56" xr:uid="{00000000-0005-0000-0000-000062230000}"/>
    <cellStyle name="Ausgabe 2 2 2 2 2" xfId="12179" xr:uid="{00000000-0005-0000-0000-000063230000}"/>
    <cellStyle name="Ausgabe 2 2 2 2 3" xfId="13718" xr:uid="{00000000-0005-0000-0000-000064230000}"/>
    <cellStyle name="Ausgabe 2 2 2 2 4" xfId="14477" xr:uid="{00000000-0005-0000-0000-000065230000}"/>
    <cellStyle name="Ausgabe 2 2 2 2 5" xfId="18260" xr:uid="{00000000-0005-0000-0000-000066230000}"/>
    <cellStyle name="Ausgabe 2 2 2 2 6" xfId="14164" xr:uid="{00000000-0005-0000-0000-000067230000}"/>
    <cellStyle name="Ausgabe 2 2 2 3" xfId="4107" xr:uid="{00000000-0005-0000-0000-000068230000}"/>
    <cellStyle name="Ausgabe 2 2 2 4" xfId="8493" xr:uid="{00000000-0005-0000-0000-000069230000}"/>
    <cellStyle name="Ausgabe 2 2 2 5" xfId="9348" xr:uid="{00000000-0005-0000-0000-00006A230000}"/>
    <cellStyle name="Ausgabe 2 2 2 6" xfId="9776" xr:uid="{00000000-0005-0000-0000-00006B230000}"/>
    <cellStyle name="Ausgabe 2 2 2 7" xfId="10205" xr:uid="{00000000-0005-0000-0000-00006C230000}"/>
    <cellStyle name="Ausgabe 2 2 2 8" xfId="10617" xr:uid="{00000000-0005-0000-0000-00006D230000}"/>
    <cellStyle name="Ausgabe 2 2 2 9" xfId="10796" xr:uid="{00000000-0005-0000-0000-00006E230000}"/>
    <cellStyle name="Ausgabe 2 2 3" xfId="916" xr:uid="{00000000-0005-0000-0000-00006F230000}"/>
    <cellStyle name="Ausgabe 2 2 3 2" xfId="12645" xr:uid="{00000000-0005-0000-0000-000070230000}"/>
    <cellStyle name="Ausgabe 2 2 3 3" xfId="15126" xr:uid="{00000000-0005-0000-0000-000071230000}"/>
    <cellStyle name="Ausgabe 2 2 3 4" xfId="15107" xr:uid="{00000000-0005-0000-0000-000072230000}"/>
    <cellStyle name="Ausgabe 2 2 3 5" xfId="18495" xr:uid="{00000000-0005-0000-0000-000073230000}"/>
    <cellStyle name="Ausgabe 2 2 3 6" xfId="17558" xr:uid="{00000000-0005-0000-0000-000074230000}"/>
    <cellStyle name="Ausgabe 2 2 4" xfId="4090" xr:uid="{00000000-0005-0000-0000-000075230000}"/>
    <cellStyle name="Ausgabe 2 2 5" xfId="8382" xr:uid="{00000000-0005-0000-0000-000076230000}"/>
    <cellStyle name="Ausgabe 2 2 6" xfId="8901" xr:uid="{00000000-0005-0000-0000-000077230000}"/>
    <cellStyle name="Ausgabe 2 2 7" xfId="9564" xr:uid="{00000000-0005-0000-0000-000078230000}"/>
    <cellStyle name="Ausgabe 2 2 8" xfId="9991" xr:uid="{00000000-0005-0000-0000-000079230000}"/>
    <cellStyle name="Ausgabe 2 2 9" xfId="10403" xr:uid="{00000000-0005-0000-0000-00007A230000}"/>
    <cellStyle name="Ausgabe 2 3" xfId="545" xr:uid="{00000000-0005-0000-0000-00007B230000}"/>
    <cellStyle name="Ausgabe 2 3 10" xfId="10849" xr:uid="{00000000-0005-0000-0000-00007C230000}"/>
    <cellStyle name="Ausgabe 2 3 11" xfId="11012" xr:uid="{00000000-0005-0000-0000-00007D230000}"/>
    <cellStyle name="Ausgabe 2 3 12" xfId="11399" xr:uid="{00000000-0005-0000-0000-00007E230000}"/>
    <cellStyle name="Ausgabe 2 3 13" xfId="11771" xr:uid="{00000000-0005-0000-0000-00007F230000}"/>
    <cellStyle name="Ausgabe 2 3 14" xfId="12284" xr:uid="{00000000-0005-0000-0000-000080230000}"/>
    <cellStyle name="Ausgabe 2 3 15" xfId="15193" xr:uid="{00000000-0005-0000-0000-000081230000}"/>
    <cellStyle name="Ausgabe 2 3 16" xfId="17529" xr:uid="{00000000-0005-0000-0000-000082230000}"/>
    <cellStyle name="Ausgabe 2 3 17" xfId="14546" xr:uid="{00000000-0005-0000-0000-000083230000}"/>
    <cellStyle name="Ausgabe 2 3 18" xfId="19476" xr:uid="{00000000-0005-0000-0000-000084230000}"/>
    <cellStyle name="Ausgabe 2 3 2" xfId="760" xr:uid="{00000000-0005-0000-0000-000085230000}"/>
    <cellStyle name="Ausgabe 2 3 2 10" xfId="11221" xr:uid="{00000000-0005-0000-0000-000086230000}"/>
    <cellStyle name="Ausgabe 2 3 2 11" xfId="11606" xr:uid="{00000000-0005-0000-0000-000087230000}"/>
    <cellStyle name="Ausgabe 2 3 2 12" xfId="11977" xr:uid="{00000000-0005-0000-0000-000088230000}"/>
    <cellStyle name="Ausgabe 2 3 2 13" xfId="12490" xr:uid="{00000000-0005-0000-0000-000089230000}"/>
    <cellStyle name="Ausgabe 2 3 2 14" xfId="14318" xr:uid="{00000000-0005-0000-0000-00008A230000}"/>
    <cellStyle name="Ausgabe 2 3 2 15" xfId="15158" xr:uid="{00000000-0005-0000-0000-00008B230000}"/>
    <cellStyle name="Ausgabe 2 3 2 16" xfId="18473" xr:uid="{00000000-0005-0000-0000-00008C230000}"/>
    <cellStyle name="Ausgabe 2 3 2 17" xfId="14209" xr:uid="{00000000-0005-0000-0000-00008D230000}"/>
    <cellStyle name="Ausgabe 2 3 2 2" xfId="1029" xr:uid="{00000000-0005-0000-0000-00008E230000}"/>
    <cellStyle name="Ausgabe 2 3 2 2 2" xfId="12758" xr:uid="{00000000-0005-0000-0000-00008F230000}"/>
    <cellStyle name="Ausgabe 2 3 2 2 3" xfId="14196" xr:uid="{00000000-0005-0000-0000-000090230000}"/>
    <cellStyle name="Ausgabe 2 3 2 2 4" xfId="17383" xr:uid="{00000000-0005-0000-0000-000091230000}"/>
    <cellStyle name="Ausgabe 2 3 2 2 5" xfId="16484" xr:uid="{00000000-0005-0000-0000-000092230000}"/>
    <cellStyle name="Ausgabe 2 3 2 2 6" xfId="16774" xr:uid="{00000000-0005-0000-0000-000093230000}"/>
    <cellStyle name="Ausgabe 2 3 2 3" xfId="3895" xr:uid="{00000000-0005-0000-0000-000094230000}"/>
    <cellStyle name="Ausgabe 2 3 2 4" xfId="8433" xr:uid="{00000000-0005-0000-0000-000095230000}"/>
    <cellStyle name="Ausgabe 2 3 2 5" xfId="8886" xr:uid="{00000000-0005-0000-0000-000096230000}"/>
    <cellStyle name="Ausgabe 2 3 2 6" xfId="9661" xr:uid="{00000000-0005-0000-0000-000097230000}"/>
    <cellStyle name="Ausgabe 2 3 2 7" xfId="10090" xr:uid="{00000000-0005-0000-0000-000098230000}"/>
    <cellStyle name="Ausgabe 2 3 2 8" xfId="10502" xr:uid="{00000000-0005-0000-0000-000099230000}"/>
    <cellStyle name="Ausgabe 2 3 2 9" xfId="8912" xr:uid="{00000000-0005-0000-0000-00009A230000}"/>
    <cellStyle name="Ausgabe 2 3 3" xfId="1252" xr:uid="{00000000-0005-0000-0000-00009B230000}"/>
    <cellStyle name="Ausgabe 2 3 3 2" xfId="12981" xr:uid="{00000000-0005-0000-0000-00009C230000}"/>
    <cellStyle name="Ausgabe 2 3 3 3" xfId="14748" xr:uid="{00000000-0005-0000-0000-00009D230000}"/>
    <cellStyle name="Ausgabe 2 3 3 4" xfId="17219" xr:uid="{00000000-0005-0000-0000-00009E230000}"/>
    <cellStyle name="Ausgabe 2 3 3 5" xfId="13906" xr:uid="{00000000-0005-0000-0000-00009F230000}"/>
    <cellStyle name="Ausgabe 2 3 3 6" xfId="14980" xr:uid="{00000000-0005-0000-0000-0000A0230000}"/>
    <cellStyle name="Ausgabe 2 3 4" xfId="3615" xr:uid="{00000000-0005-0000-0000-0000A1230000}"/>
    <cellStyle name="Ausgabe 2 3 5" xfId="8326" xr:uid="{00000000-0005-0000-0000-0000A2230000}"/>
    <cellStyle name="Ausgabe 2 3 6" xfId="9017" xr:uid="{00000000-0005-0000-0000-0000A3230000}"/>
    <cellStyle name="Ausgabe 2 3 7" xfId="9449" xr:uid="{00000000-0005-0000-0000-0000A4230000}"/>
    <cellStyle name="Ausgabe 2 3 8" xfId="9876" xr:uid="{00000000-0005-0000-0000-0000A5230000}"/>
    <cellStyle name="Ausgabe 2 3 9" xfId="10288" xr:uid="{00000000-0005-0000-0000-0000A6230000}"/>
    <cellStyle name="Ausgabe 2 4" xfId="718" xr:uid="{00000000-0005-0000-0000-0000A7230000}"/>
    <cellStyle name="Ausgabe 2 4 10" xfId="11179" xr:uid="{00000000-0005-0000-0000-0000A8230000}"/>
    <cellStyle name="Ausgabe 2 4 11" xfId="11564" xr:uid="{00000000-0005-0000-0000-0000A9230000}"/>
    <cellStyle name="Ausgabe 2 4 12" xfId="11935" xr:uid="{00000000-0005-0000-0000-0000AA230000}"/>
    <cellStyle name="Ausgabe 2 4 13" xfId="12448" xr:uid="{00000000-0005-0000-0000-0000AB230000}"/>
    <cellStyle name="Ausgabe 2 4 14" xfId="15615" xr:uid="{00000000-0005-0000-0000-0000AC230000}"/>
    <cellStyle name="Ausgabe 2 4 15" xfId="17496" xr:uid="{00000000-0005-0000-0000-0000AD230000}"/>
    <cellStyle name="Ausgabe 2 4 16" xfId="17576" xr:uid="{00000000-0005-0000-0000-0000AE230000}"/>
    <cellStyle name="Ausgabe 2 4 17" xfId="13932" xr:uid="{00000000-0005-0000-0000-0000AF230000}"/>
    <cellStyle name="Ausgabe 2 4 2" xfId="1041" xr:uid="{00000000-0005-0000-0000-0000B0230000}"/>
    <cellStyle name="Ausgabe 2 4 2 2" xfId="12770" xr:uid="{00000000-0005-0000-0000-0000B1230000}"/>
    <cellStyle name="Ausgabe 2 4 2 3" xfId="14488" xr:uid="{00000000-0005-0000-0000-0000B2230000}"/>
    <cellStyle name="Ausgabe 2 4 2 4" xfId="16604" xr:uid="{00000000-0005-0000-0000-0000B3230000}"/>
    <cellStyle name="Ausgabe 2 4 2 5" xfId="17061" xr:uid="{00000000-0005-0000-0000-0000B4230000}"/>
    <cellStyle name="Ausgabe 2 4 2 6" xfId="16770" xr:uid="{00000000-0005-0000-0000-0000B5230000}"/>
    <cellStyle name="Ausgabe 2 4 3" xfId="3848" xr:uid="{00000000-0005-0000-0000-0000B6230000}"/>
    <cellStyle name="Ausgabe 2 4 4" xfId="8417" xr:uid="{00000000-0005-0000-0000-0000B7230000}"/>
    <cellStyle name="Ausgabe 2 4 5" xfId="8544" xr:uid="{00000000-0005-0000-0000-0000B8230000}"/>
    <cellStyle name="Ausgabe 2 4 6" xfId="9619" xr:uid="{00000000-0005-0000-0000-0000B9230000}"/>
    <cellStyle name="Ausgabe 2 4 7" xfId="10048" xr:uid="{00000000-0005-0000-0000-0000BA230000}"/>
    <cellStyle name="Ausgabe 2 4 8" xfId="10460" xr:uid="{00000000-0005-0000-0000-0000BB230000}"/>
    <cellStyle name="Ausgabe 2 4 9" xfId="10751" xr:uid="{00000000-0005-0000-0000-0000BC230000}"/>
    <cellStyle name="Ausgabe 2 5" xfId="8309" xr:uid="{00000000-0005-0000-0000-0000BD230000}"/>
    <cellStyle name="Ausgabe 2 6" xfId="8801" xr:uid="{00000000-0005-0000-0000-0000BE230000}"/>
    <cellStyle name="Ausgabe 2 7" xfId="8694" xr:uid="{00000000-0005-0000-0000-0000BF230000}"/>
    <cellStyle name="Ausgabe 2 8" xfId="9401" xr:uid="{00000000-0005-0000-0000-0000C0230000}"/>
    <cellStyle name="Ausgabe 2 9" xfId="10877" xr:uid="{00000000-0005-0000-0000-0000C1230000}"/>
    <cellStyle name="Ausgabe 3" xfId="295" xr:uid="{00000000-0005-0000-0000-0000C2230000}"/>
    <cellStyle name="Ausgabe 3 10" xfId="8968" xr:uid="{00000000-0005-0000-0000-0000C3230000}"/>
    <cellStyle name="Ausgabe 3 11" xfId="12243" xr:uid="{00000000-0005-0000-0000-0000C4230000}"/>
    <cellStyle name="Ausgabe 3 12" xfId="16500" xr:uid="{00000000-0005-0000-0000-0000C5230000}"/>
    <cellStyle name="Ausgabe 3 13" xfId="17614" xr:uid="{00000000-0005-0000-0000-0000C6230000}"/>
    <cellStyle name="Ausgabe 3 14" xfId="16946" xr:uid="{00000000-0005-0000-0000-0000C7230000}"/>
    <cellStyle name="Ausgabe 3 15" xfId="19492" xr:uid="{00000000-0005-0000-0000-0000C8230000}"/>
    <cellStyle name="Ausgabe 3 2" xfId="632" xr:uid="{00000000-0005-0000-0000-0000C9230000}"/>
    <cellStyle name="Ausgabe 3 2 10" xfId="10724" xr:uid="{00000000-0005-0000-0000-0000CA230000}"/>
    <cellStyle name="Ausgabe 3 2 11" xfId="11099" xr:uid="{00000000-0005-0000-0000-0000CB230000}"/>
    <cellStyle name="Ausgabe 3 2 12" xfId="11486" xr:uid="{00000000-0005-0000-0000-0000CC230000}"/>
    <cellStyle name="Ausgabe 3 2 13" xfId="11858" xr:uid="{00000000-0005-0000-0000-0000CD230000}"/>
    <cellStyle name="Ausgabe 3 2 14" xfId="12371" xr:uid="{00000000-0005-0000-0000-0000CE230000}"/>
    <cellStyle name="Ausgabe 3 2 15" xfId="15881" xr:uid="{00000000-0005-0000-0000-0000CF230000}"/>
    <cellStyle name="Ausgabe 3 2 16" xfId="13930" xr:uid="{00000000-0005-0000-0000-0000D0230000}"/>
    <cellStyle name="Ausgabe 3 2 17" xfId="15800" xr:uid="{00000000-0005-0000-0000-0000D1230000}"/>
    <cellStyle name="Ausgabe 3 2 18" xfId="16434" xr:uid="{00000000-0005-0000-0000-0000D2230000}"/>
    <cellStyle name="Ausgabe 3 2 2" xfId="847" xr:uid="{00000000-0005-0000-0000-0000D3230000}"/>
    <cellStyle name="Ausgabe 3 2 2 10" xfId="11308" xr:uid="{00000000-0005-0000-0000-0000D4230000}"/>
    <cellStyle name="Ausgabe 3 2 2 11" xfId="11693" xr:uid="{00000000-0005-0000-0000-0000D5230000}"/>
    <cellStyle name="Ausgabe 3 2 2 12" xfId="12064" xr:uid="{00000000-0005-0000-0000-0000D6230000}"/>
    <cellStyle name="Ausgabe 3 2 2 13" xfId="12577" xr:uid="{00000000-0005-0000-0000-0000D7230000}"/>
    <cellStyle name="Ausgabe 3 2 2 14" xfId="14306" xr:uid="{00000000-0005-0000-0000-0000D8230000}"/>
    <cellStyle name="Ausgabe 3 2 2 15" xfId="13958" xr:uid="{00000000-0005-0000-0000-0000D9230000}"/>
    <cellStyle name="Ausgabe 3 2 2 16" xfId="15462" xr:uid="{00000000-0005-0000-0000-0000DA230000}"/>
    <cellStyle name="Ausgabe 3 2 2 17" xfId="16072" xr:uid="{00000000-0005-0000-0000-0000DB230000}"/>
    <cellStyle name="Ausgabe 3 2 2 2" xfId="1248" xr:uid="{00000000-0005-0000-0000-0000DC230000}"/>
    <cellStyle name="Ausgabe 3 2 2 2 2" xfId="12977" xr:uid="{00000000-0005-0000-0000-0000DD230000}"/>
    <cellStyle name="Ausgabe 3 2 2 2 3" xfId="16249" xr:uid="{00000000-0005-0000-0000-0000DE230000}"/>
    <cellStyle name="Ausgabe 3 2 2 2 4" xfId="17221" xr:uid="{00000000-0005-0000-0000-0000DF230000}"/>
    <cellStyle name="Ausgabe 3 2 2 2 5" xfId="14031" xr:uid="{00000000-0005-0000-0000-0000E0230000}"/>
    <cellStyle name="Ausgabe 3 2 2 2 6" xfId="15447" xr:uid="{00000000-0005-0000-0000-0000E1230000}"/>
    <cellStyle name="Ausgabe 3 2 2 3" xfId="4020" xr:uid="{00000000-0005-0000-0000-0000E2230000}"/>
    <cellStyle name="Ausgabe 3 2 2 4" xfId="8480" xr:uid="{00000000-0005-0000-0000-0000E3230000}"/>
    <cellStyle name="Ausgabe 3 2 2 5" xfId="8566" xr:uid="{00000000-0005-0000-0000-0000E4230000}"/>
    <cellStyle name="Ausgabe 3 2 2 6" xfId="9748" xr:uid="{00000000-0005-0000-0000-0000E5230000}"/>
    <cellStyle name="Ausgabe 3 2 2 7" xfId="10177" xr:uid="{00000000-0005-0000-0000-0000E6230000}"/>
    <cellStyle name="Ausgabe 3 2 2 8" xfId="10589" xr:uid="{00000000-0005-0000-0000-0000E7230000}"/>
    <cellStyle name="Ausgabe 3 2 2 9" xfId="10237" xr:uid="{00000000-0005-0000-0000-0000E8230000}"/>
    <cellStyle name="Ausgabe 3 2 3" xfId="1297" xr:uid="{00000000-0005-0000-0000-0000E9230000}"/>
    <cellStyle name="Ausgabe 3 2 3 2" xfId="13026" xr:uid="{00000000-0005-0000-0000-0000EA230000}"/>
    <cellStyle name="Ausgabe 3 2 3 3" xfId="15414" xr:uid="{00000000-0005-0000-0000-0000EB230000}"/>
    <cellStyle name="Ausgabe 3 2 3 4" xfId="17187" xr:uid="{00000000-0005-0000-0000-0000EC230000}"/>
    <cellStyle name="Ausgabe 3 2 3 5" xfId="15686" xr:uid="{00000000-0005-0000-0000-0000ED230000}"/>
    <cellStyle name="Ausgabe 3 2 3 6" xfId="19139" xr:uid="{00000000-0005-0000-0000-0000EE230000}"/>
    <cellStyle name="Ausgabe 3 2 4" xfId="4138" xr:uid="{00000000-0005-0000-0000-0000EF230000}"/>
    <cellStyle name="Ausgabe 3 2 5" xfId="8368" xr:uid="{00000000-0005-0000-0000-0000F0230000}"/>
    <cellStyle name="Ausgabe 3 2 6" xfId="9291" xr:uid="{00000000-0005-0000-0000-0000F1230000}"/>
    <cellStyle name="Ausgabe 3 2 7" xfId="9536" xr:uid="{00000000-0005-0000-0000-0000F2230000}"/>
    <cellStyle name="Ausgabe 3 2 8" xfId="9963" xr:uid="{00000000-0005-0000-0000-0000F3230000}"/>
    <cellStyle name="Ausgabe 3 2 9" xfId="10375" xr:uid="{00000000-0005-0000-0000-0000F4230000}"/>
    <cellStyle name="Ausgabe 3 3" xfId="551" xr:uid="{00000000-0005-0000-0000-0000F5230000}"/>
    <cellStyle name="Ausgabe 3 3 10" xfId="9396" xr:uid="{00000000-0005-0000-0000-0000F6230000}"/>
    <cellStyle name="Ausgabe 3 3 11" xfId="11018" xr:uid="{00000000-0005-0000-0000-0000F7230000}"/>
    <cellStyle name="Ausgabe 3 3 12" xfId="11405" xr:uid="{00000000-0005-0000-0000-0000F8230000}"/>
    <cellStyle name="Ausgabe 3 3 13" xfId="11777" xr:uid="{00000000-0005-0000-0000-0000F9230000}"/>
    <cellStyle name="Ausgabe 3 3 14" xfId="12290" xr:uid="{00000000-0005-0000-0000-0000FA230000}"/>
    <cellStyle name="Ausgabe 3 3 15" xfId="15714" xr:uid="{00000000-0005-0000-0000-0000FB230000}"/>
    <cellStyle name="Ausgabe 3 3 16" xfId="14583" xr:uid="{00000000-0005-0000-0000-0000FC230000}"/>
    <cellStyle name="Ausgabe 3 3 17" xfId="17703" xr:uid="{00000000-0005-0000-0000-0000FD230000}"/>
    <cellStyle name="Ausgabe 3 3 18" xfId="18592" xr:uid="{00000000-0005-0000-0000-0000FE230000}"/>
    <cellStyle name="Ausgabe 3 3 2" xfId="766" xr:uid="{00000000-0005-0000-0000-0000FF230000}"/>
    <cellStyle name="Ausgabe 3 3 2 10" xfId="11227" xr:uid="{00000000-0005-0000-0000-000000240000}"/>
    <cellStyle name="Ausgabe 3 3 2 11" xfId="11612" xr:uid="{00000000-0005-0000-0000-000001240000}"/>
    <cellStyle name="Ausgabe 3 3 2 12" xfId="11983" xr:uid="{00000000-0005-0000-0000-000002240000}"/>
    <cellStyle name="Ausgabe 3 3 2 13" xfId="12496" xr:uid="{00000000-0005-0000-0000-000003240000}"/>
    <cellStyle name="Ausgabe 3 3 2 14" xfId="16101" xr:uid="{00000000-0005-0000-0000-000004240000}"/>
    <cellStyle name="Ausgabe 3 3 2 15" xfId="15034" xr:uid="{00000000-0005-0000-0000-000005240000}"/>
    <cellStyle name="Ausgabe 3 3 2 16" xfId="18426" xr:uid="{00000000-0005-0000-0000-000006240000}"/>
    <cellStyle name="Ausgabe 3 3 2 17" xfId="18070" xr:uid="{00000000-0005-0000-0000-000007240000}"/>
    <cellStyle name="Ausgabe 3 3 2 2" xfId="1132" xr:uid="{00000000-0005-0000-0000-000008240000}"/>
    <cellStyle name="Ausgabe 3 3 2 2 2" xfId="12861" xr:uid="{00000000-0005-0000-0000-000009240000}"/>
    <cellStyle name="Ausgabe 3 3 2 2 3" xfId="13994" xr:uid="{00000000-0005-0000-0000-00000A240000}"/>
    <cellStyle name="Ausgabe 3 3 2 2 4" xfId="17310" xr:uid="{00000000-0005-0000-0000-00000B240000}"/>
    <cellStyle name="Ausgabe 3 3 2 2 5" xfId="14378" xr:uid="{00000000-0005-0000-0000-00000C240000}"/>
    <cellStyle name="Ausgabe 3 3 2 2 6" xfId="19262" xr:uid="{00000000-0005-0000-0000-00000D240000}"/>
    <cellStyle name="Ausgabe 3 3 2 3" xfId="4080" xr:uid="{00000000-0005-0000-0000-00000E240000}"/>
    <cellStyle name="Ausgabe 3 3 2 4" xfId="8438" xr:uid="{00000000-0005-0000-0000-00000F240000}"/>
    <cellStyle name="Ausgabe 3 3 2 5" xfId="8883" xr:uid="{00000000-0005-0000-0000-000010240000}"/>
    <cellStyle name="Ausgabe 3 3 2 6" xfId="9667" xr:uid="{00000000-0005-0000-0000-000011240000}"/>
    <cellStyle name="Ausgabe 3 3 2 7" xfId="10096" xr:uid="{00000000-0005-0000-0000-000012240000}"/>
    <cellStyle name="Ausgabe 3 3 2 8" xfId="10508" xr:uid="{00000000-0005-0000-0000-000013240000}"/>
    <cellStyle name="Ausgabe 3 3 2 9" xfId="10676" xr:uid="{00000000-0005-0000-0000-000014240000}"/>
    <cellStyle name="Ausgabe 3 3 3" xfId="1293" xr:uid="{00000000-0005-0000-0000-000015240000}"/>
    <cellStyle name="Ausgabe 3 3 3 2" xfId="13022" xr:uid="{00000000-0005-0000-0000-000016240000}"/>
    <cellStyle name="Ausgabe 3 3 3 3" xfId="15628" xr:uid="{00000000-0005-0000-0000-000017240000}"/>
    <cellStyle name="Ausgabe 3 3 3 4" xfId="17190" xr:uid="{00000000-0005-0000-0000-000018240000}"/>
    <cellStyle name="Ausgabe 3 3 3 5" xfId="17866" xr:uid="{00000000-0005-0000-0000-000019240000}"/>
    <cellStyle name="Ausgabe 3 3 3 6" xfId="14908" xr:uid="{00000000-0005-0000-0000-00001A240000}"/>
    <cellStyle name="Ausgabe 3 3 4" xfId="3862" xr:uid="{00000000-0005-0000-0000-00001B240000}"/>
    <cellStyle name="Ausgabe 3 3 5" xfId="8330" xr:uid="{00000000-0005-0000-0000-00001C240000}"/>
    <cellStyle name="Ausgabe 3 3 6" xfId="8798" xr:uid="{00000000-0005-0000-0000-00001D240000}"/>
    <cellStyle name="Ausgabe 3 3 7" xfId="9455" xr:uid="{00000000-0005-0000-0000-00001E240000}"/>
    <cellStyle name="Ausgabe 3 3 8" xfId="9882" xr:uid="{00000000-0005-0000-0000-00001F240000}"/>
    <cellStyle name="Ausgabe 3 3 9" xfId="10294" xr:uid="{00000000-0005-0000-0000-000020240000}"/>
    <cellStyle name="Ausgabe 3 4" xfId="715" xr:uid="{00000000-0005-0000-0000-000021240000}"/>
    <cellStyle name="Ausgabe 3 4 10" xfId="11176" xr:uid="{00000000-0005-0000-0000-000022240000}"/>
    <cellStyle name="Ausgabe 3 4 11" xfId="11562" xr:uid="{00000000-0005-0000-0000-000023240000}"/>
    <cellStyle name="Ausgabe 3 4 12" xfId="11933" xr:uid="{00000000-0005-0000-0000-000024240000}"/>
    <cellStyle name="Ausgabe 3 4 13" xfId="12446" xr:uid="{00000000-0005-0000-0000-000025240000}"/>
    <cellStyle name="Ausgabe 3 4 14" xfId="15223" xr:uid="{00000000-0005-0000-0000-000026240000}"/>
    <cellStyle name="Ausgabe 3 4 15" xfId="15741" xr:uid="{00000000-0005-0000-0000-000027240000}"/>
    <cellStyle name="Ausgabe 3 4 16" xfId="15651" xr:uid="{00000000-0005-0000-0000-000028240000}"/>
    <cellStyle name="Ausgabe 3 4 17" xfId="19449" xr:uid="{00000000-0005-0000-0000-000029240000}"/>
    <cellStyle name="Ausgabe 3 4 2" xfId="1231" xr:uid="{00000000-0005-0000-0000-00002A240000}"/>
    <cellStyle name="Ausgabe 3 4 2 2" xfId="12960" xr:uid="{00000000-0005-0000-0000-00002B240000}"/>
    <cellStyle name="Ausgabe 3 4 2 3" xfId="16059" xr:uid="{00000000-0005-0000-0000-00002C240000}"/>
    <cellStyle name="Ausgabe 3 4 2 4" xfId="17232" xr:uid="{00000000-0005-0000-0000-00002D240000}"/>
    <cellStyle name="Ausgabe 3 4 2 5" xfId="18133" xr:uid="{00000000-0005-0000-0000-00002E240000}"/>
    <cellStyle name="Ausgabe 3 4 2 6" xfId="18455" xr:uid="{00000000-0005-0000-0000-00002F240000}"/>
    <cellStyle name="Ausgabe 3 4 3" xfId="3556" xr:uid="{00000000-0005-0000-0000-000030240000}"/>
    <cellStyle name="Ausgabe 3 4 4" xfId="8415" xr:uid="{00000000-0005-0000-0000-000031240000}"/>
    <cellStyle name="Ausgabe 3 4 5" xfId="8848" xr:uid="{00000000-0005-0000-0000-000032240000}"/>
    <cellStyle name="Ausgabe 3 4 6" xfId="9616" xr:uid="{00000000-0005-0000-0000-000033240000}"/>
    <cellStyle name="Ausgabe 3 4 7" xfId="10045" xr:uid="{00000000-0005-0000-0000-000034240000}"/>
    <cellStyle name="Ausgabe 3 4 8" xfId="10457" xr:uid="{00000000-0005-0000-0000-000035240000}"/>
    <cellStyle name="Ausgabe 3 4 9" xfId="9132" xr:uid="{00000000-0005-0000-0000-000036240000}"/>
    <cellStyle name="Ausgabe 3 5" xfId="8301" xr:uid="{00000000-0005-0000-0000-000037240000}"/>
    <cellStyle name="Ausgabe 3 6" xfId="8720" xr:uid="{00000000-0005-0000-0000-000038240000}"/>
    <cellStyle name="Ausgabe 3 7" xfId="8924" xr:uid="{00000000-0005-0000-0000-000039240000}"/>
    <cellStyle name="Ausgabe 3 8" xfId="8984" xr:uid="{00000000-0005-0000-0000-00003A240000}"/>
    <cellStyle name="Ausgabe 3 9" xfId="10793" xr:uid="{00000000-0005-0000-0000-00003B240000}"/>
    <cellStyle name="Ausgabe 4" xfId="556" xr:uid="{00000000-0005-0000-0000-00003C240000}"/>
    <cellStyle name="Ausgabe 4 10" xfId="9389" xr:uid="{00000000-0005-0000-0000-00003D240000}"/>
    <cellStyle name="Ausgabe 4 11" xfId="11023" xr:uid="{00000000-0005-0000-0000-00003E240000}"/>
    <cellStyle name="Ausgabe 4 12" xfId="11410" xr:uid="{00000000-0005-0000-0000-00003F240000}"/>
    <cellStyle name="Ausgabe 4 13" xfId="11782" xr:uid="{00000000-0005-0000-0000-000040240000}"/>
    <cellStyle name="Ausgabe 4 14" xfId="12295" xr:uid="{00000000-0005-0000-0000-000041240000}"/>
    <cellStyle name="Ausgabe 4 15" xfId="14178" xr:uid="{00000000-0005-0000-0000-000042240000}"/>
    <cellStyle name="Ausgabe 4 16" xfId="13847" xr:uid="{00000000-0005-0000-0000-000043240000}"/>
    <cellStyle name="Ausgabe 4 17" xfId="18299" xr:uid="{00000000-0005-0000-0000-000044240000}"/>
    <cellStyle name="Ausgabe 4 18" xfId="18303" xr:uid="{00000000-0005-0000-0000-000045240000}"/>
    <cellStyle name="Ausgabe 4 2" xfId="771" xr:uid="{00000000-0005-0000-0000-000046240000}"/>
    <cellStyle name="Ausgabe 4 2 10" xfId="11232" xr:uid="{00000000-0005-0000-0000-000047240000}"/>
    <cellStyle name="Ausgabe 4 2 11" xfId="11617" xr:uid="{00000000-0005-0000-0000-000048240000}"/>
    <cellStyle name="Ausgabe 4 2 12" xfId="11988" xr:uid="{00000000-0005-0000-0000-000049240000}"/>
    <cellStyle name="Ausgabe 4 2 13" xfId="12501" xr:uid="{00000000-0005-0000-0000-00004A240000}"/>
    <cellStyle name="Ausgabe 4 2 14" xfId="16139" xr:uid="{00000000-0005-0000-0000-00004B240000}"/>
    <cellStyle name="Ausgabe 4 2 15" xfId="14949" xr:uid="{00000000-0005-0000-0000-00004C240000}"/>
    <cellStyle name="Ausgabe 4 2 16" xfId="16778" xr:uid="{00000000-0005-0000-0000-00004D240000}"/>
    <cellStyle name="Ausgabe 4 2 17" xfId="15136" xr:uid="{00000000-0005-0000-0000-00004E240000}"/>
    <cellStyle name="Ausgabe 4 2 2" xfId="1190" xr:uid="{00000000-0005-0000-0000-00004F240000}"/>
    <cellStyle name="Ausgabe 4 2 2 2" xfId="12919" xr:uid="{00000000-0005-0000-0000-000050240000}"/>
    <cellStyle name="Ausgabe 4 2 2 3" xfId="15360" xr:uid="{00000000-0005-0000-0000-000051240000}"/>
    <cellStyle name="Ausgabe 4 2 2 4" xfId="17264" xr:uid="{00000000-0005-0000-0000-000052240000}"/>
    <cellStyle name="Ausgabe 4 2 2 5" xfId="18130" xr:uid="{00000000-0005-0000-0000-000053240000}"/>
    <cellStyle name="Ausgabe 4 2 2 6" xfId="19216" xr:uid="{00000000-0005-0000-0000-000054240000}"/>
    <cellStyle name="Ausgabe 4 2 3" xfId="3378" xr:uid="{00000000-0005-0000-0000-000055240000}"/>
    <cellStyle name="Ausgabe 4 2 4" xfId="8441" xr:uid="{00000000-0005-0000-0000-000056240000}"/>
    <cellStyle name="Ausgabe 4 2 5" xfId="9312" xr:uid="{00000000-0005-0000-0000-000057240000}"/>
    <cellStyle name="Ausgabe 4 2 6" xfId="9672" xr:uid="{00000000-0005-0000-0000-000058240000}"/>
    <cellStyle name="Ausgabe 4 2 7" xfId="10101" xr:uid="{00000000-0005-0000-0000-000059240000}"/>
    <cellStyle name="Ausgabe 4 2 8" xfId="10513" xr:uid="{00000000-0005-0000-0000-00005A240000}"/>
    <cellStyle name="Ausgabe 4 2 9" xfId="10884" xr:uid="{00000000-0005-0000-0000-00005B240000}"/>
    <cellStyle name="Ausgabe 4 3" xfId="1239" xr:uid="{00000000-0005-0000-0000-00005C240000}"/>
    <cellStyle name="Ausgabe 4 3 2" xfId="12968" xr:uid="{00000000-0005-0000-0000-00005D240000}"/>
    <cellStyle name="Ausgabe 4 3 3" xfId="14738" xr:uid="{00000000-0005-0000-0000-00005E240000}"/>
    <cellStyle name="Ausgabe 4 3 4" xfId="17228" xr:uid="{00000000-0005-0000-0000-00005F240000}"/>
    <cellStyle name="Ausgabe 4 3 5" xfId="18134" xr:uid="{00000000-0005-0000-0000-000060240000}"/>
    <cellStyle name="Ausgabe 4 3 6" xfId="16435" xr:uid="{00000000-0005-0000-0000-000061240000}"/>
    <cellStyle name="Ausgabe 4 4" xfId="4207" xr:uid="{00000000-0005-0000-0000-000062240000}"/>
    <cellStyle name="Ausgabe 4 5" xfId="8332" xr:uid="{00000000-0005-0000-0000-000063240000}"/>
    <cellStyle name="Ausgabe 4 6" xfId="9109" xr:uid="{00000000-0005-0000-0000-000064240000}"/>
    <cellStyle name="Ausgabe 4 7" xfId="9460" xr:uid="{00000000-0005-0000-0000-000065240000}"/>
    <cellStyle name="Ausgabe 4 8" xfId="9887" xr:uid="{00000000-0005-0000-0000-000066240000}"/>
    <cellStyle name="Ausgabe 4 9" xfId="10299" xr:uid="{00000000-0005-0000-0000-000067240000}"/>
    <cellStyle name="Ausgabe 5" xfId="675" xr:uid="{00000000-0005-0000-0000-000068240000}"/>
    <cellStyle name="Ausgabe 5 10" xfId="9614" xr:uid="{00000000-0005-0000-0000-000069240000}"/>
    <cellStyle name="Ausgabe 5 11" xfId="11142" xr:uid="{00000000-0005-0000-0000-00006A240000}"/>
    <cellStyle name="Ausgabe 5 12" xfId="11529" xr:uid="{00000000-0005-0000-0000-00006B240000}"/>
    <cellStyle name="Ausgabe 5 13" xfId="11901" xr:uid="{00000000-0005-0000-0000-00006C240000}"/>
    <cellStyle name="Ausgabe 5 14" xfId="12414" xr:uid="{00000000-0005-0000-0000-00006D240000}"/>
    <cellStyle name="Ausgabe 5 15" xfId="16240" xr:uid="{00000000-0005-0000-0000-00006E240000}"/>
    <cellStyle name="Ausgabe 5 16" xfId="16791" xr:uid="{00000000-0005-0000-0000-00006F240000}"/>
    <cellStyle name="Ausgabe 5 17" xfId="18122" xr:uid="{00000000-0005-0000-0000-000070240000}"/>
    <cellStyle name="Ausgabe 5 18" xfId="18116" xr:uid="{00000000-0005-0000-0000-000071240000}"/>
    <cellStyle name="Ausgabe 5 2" xfId="890" xr:uid="{00000000-0005-0000-0000-000072240000}"/>
    <cellStyle name="Ausgabe 5 2 10" xfId="11351" xr:uid="{00000000-0005-0000-0000-000073240000}"/>
    <cellStyle name="Ausgabe 5 2 11" xfId="11736" xr:uid="{00000000-0005-0000-0000-000074240000}"/>
    <cellStyle name="Ausgabe 5 2 12" xfId="12107" xr:uid="{00000000-0005-0000-0000-000075240000}"/>
    <cellStyle name="Ausgabe 5 2 13" xfId="12620" xr:uid="{00000000-0005-0000-0000-000076240000}"/>
    <cellStyle name="Ausgabe 5 2 14" xfId="14794" xr:uid="{00000000-0005-0000-0000-000077240000}"/>
    <cellStyle name="Ausgabe 5 2 15" xfId="17452" xr:uid="{00000000-0005-0000-0000-000078240000}"/>
    <cellStyle name="Ausgabe 5 2 16" xfId="17047" xr:uid="{00000000-0005-0000-0000-000079240000}"/>
    <cellStyle name="Ausgabe 5 2 17" xfId="19404" xr:uid="{00000000-0005-0000-0000-00007A240000}"/>
    <cellStyle name="Ausgabe 5 2 2" xfId="1392" xr:uid="{00000000-0005-0000-0000-00007B240000}"/>
    <cellStyle name="Ausgabe 5 2 2 2" xfId="13121" xr:uid="{00000000-0005-0000-0000-00007C240000}"/>
    <cellStyle name="Ausgabe 5 2 2 3" xfId="14851" xr:uid="{00000000-0005-0000-0000-00007D240000}"/>
    <cellStyle name="Ausgabe 5 2 2 4" xfId="17117" xr:uid="{00000000-0005-0000-0000-00007E240000}"/>
    <cellStyle name="Ausgabe 5 2 2 5" xfId="14899" xr:uid="{00000000-0005-0000-0000-00007F240000}"/>
    <cellStyle name="Ausgabe 5 2 2 6" xfId="19069" xr:uid="{00000000-0005-0000-0000-000080240000}"/>
    <cellStyle name="Ausgabe 5 2 3" xfId="4244" xr:uid="{00000000-0005-0000-0000-000081240000}"/>
    <cellStyle name="Ausgabe 5 2 4" xfId="8502" xr:uid="{00000000-0005-0000-0000-000082240000}"/>
    <cellStyle name="Ausgabe 5 2 5" xfId="9363" xr:uid="{00000000-0005-0000-0000-000083240000}"/>
    <cellStyle name="Ausgabe 5 2 6" xfId="9791" xr:uid="{00000000-0005-0000-0000-000084240000}"/>
    <cellStyle name="Ausgabe 5 2 7" xfId="10220" xr:uid="{00000000-0005-0000-0000-000085240000}"/>
    <cellStyle name="Ausgabe 5 2 8" xfId="10632" xr:uid="{00000000-0005-0000-0000-000086240000}"/>
    <cellStyle name="Ausgabe 5 2 9" xfId="10962" xr:uid="{00000000-0005-0000-0000-000087240000}"/>
    <cellStyle name="Ausgabe 5 3" xfId="1175" xr:uid="{00000000-0005-0000-0000-000088240000}"/>
    <cellStyle name="Ausgabe 5 3 2" xfId="12904" xr:uid="{00000000-0005-0000-0000-000089240000}"/>
    <cellStyle name="Ausgabe 5 3 3" xfId="14588" xr:uid="{00000000-0005-0000-0000-00008A240000}"/>
    <cellStyle name="Ausgabe 5 3 4" xfId="17277" xr:uid="{00000000-0005-0000-0000-00008B240000}"/>
    <cellStyle name="Ausgabe 5 3 5" xfId="17024" xr:uid="{00000000-0005-0000-0000-00008C240000}"/>
    <cellStyle name="Ausgabe 5 3 6" xfId="18761" xr:uid="{00000000-0005-0000-0000-00008D240000}"/>
    <cellStyle name="Ausgabe 5 4" xfId="4205" xr:uid="{00000000-0005-0000-0000-00008E240000}"/>
    <cellStyle name="Ausgabe 5 5" xfId="8391" xr:uid="{00000000-0005-0000-0000-00008F240000}"/>
    <cellStyle name="Ausgabe 5 6" xfId="9278" xr:uid="{00000000-0005-0000-0000-000090240000}"/>
    <cellStyle name="Ausgabe 5 7" xfId="9579" xr:uid="{00000000-0005-0000-0000-000091240000}"/>
    <cellStyle name="Ausgabe 5 8" xfId="10006" xr:uid="{00000000-0005-0000-0000-000092240000}"/>
    <cellStyle name="Ausgabe 5 9" xfId="10418" xr:uid="{00000000-0005-0000-0000-000093240000}"/>
    <cellStyle name="Ausgabe 6" xfId="691" xr:uid="{00000000-0005-0000-0000-000094240000}"/>
    <cellStyle name="Ausgabe 6 10" xfId="11157" xr:uid="{00000000-0005-0000-0000-000095240000}"/>
    <cellStyle name="Ausgabe 6 11" xfId="11544" xr:uid="{00000000-0005-0000-0000-000096240000}"/>
    <cellStyle name="Ausgabe 6 12" xfId="11916" xr:uid="{00000000-0005-0000-0000-000097240000}"/>
    <cellStyle name="Ausgabe 6 13" xfId="12429" xr:uid="{00000000-0005-0000-0000-000098240000}"/>
    <cellStyle name="Ausgabe 6 14" xfId="15211" xr:uid="{00000000-0005-0000-0000-000099240000}"/>
    <cellStyle name="Ausgabe 6 15" xfId="17511" xr:uid="{00000000-0005-0000-0000-00009A240000}"/>
    <cellStyle name="Ausgabe 6 16" xfId="16966" xr:uid="{00000000-0005-0000-0000-00009B240000}"/>
    <cellStyle name="Ausgabe 6 17" xfId="19458" xr:uid="{00000000-0005-0000-0000-00009C240000}"/>
    <cellStyle name="Ausgabe 6 2" xfId="1317" xr:uid="{00000000-0005-0000-0000-00009D240000}"/>
    <cellStyle name="Ausgabe 6 2 2" xfId="13046" xr:uid="{00000000-0005-0000-0000-00009E240000}"/>
    <cellStyle name="Ausgabe 6 2 3" xfId="13777" xr:uid="{00000000-0005-0000-0000-00009F240000}"/>
    <cellStyle name="Ausgabe 6 2 4" xfId="17173" xr:uid="{00000000-0005-0000-0000-0000A0240000}"/>
    <cellStyle name="Ausgabe 6 2 5" xfId="16437" xr:uid="{00000000-0005-0000-0000-0000A1240000}"/>
    <cellStyle name="Ausgabe 6 2 6" xfId="19125" xr:uid="{00000000-0005-0000-0000-0000A2240000}"/>
    <cellStyle name="Ausgabe 6 3" xfId="3898" xr:uid="{00000000-0005-0000-0000-0000A3240000}"/>
    <cellStyle name="Ausgabe 6 4" xfId="8397" xr:uid="{00000000-0005-0000-0000-0000A4240000}"/>
    <cellStyle name="Ausgabe 6 5" xfId="9095" xr:uid="{00000000-0005-0000-0000-0000A5240000}"/>
    <cellStyle name="Ausgabe 6 6" xfId="9594" xr:uid="{00000000-0005-0000-0000-0000A6240000}"/>
    <cellStyle name="Ausgabe 6 7" xfId="10021" xr:uid="{00000000-0005-0000-0000-0000A7240000}"/>
    <cellStyle name="Ausgabe 6 8" xfId="10433" xr:uid="{00000000-0005-0000-0000-0000A8240000}"/>
    <cellStyle name="Ausgabe 6 9" xfId="10808" xr:uid="{00000000-0005-0000-0000-0000A9240000}"/>
    <cellStyle name="Bad" xfId="12123" builtinId="27" customBuiltin="1"/>
    <cellStyle name="Bad 10" xfId="5812" xr:uid="{00000000-0005-0000-0000-0000AB240000}"/>
    <cellStyle name="Bad 11" xfId="5813" xr:uid="{00000000-0005-0000-0000-0000AC240000}"/>
    <cellStyle name="Bad 12" xfId="5814" xr:uid="{00000000-0005-0000-0000-0000AD240000}"/>
    <cellStyle name="Bad 13" xfId="5815" xr:uid="{00000000-0005-0000-0000-0000AE240000}"/>
    <cellStyle name="Bad 2" xfId="139" xr:uid="{00000000-0005-0000-0000-0000AF240000}"/>
    <cellStyle name="Bad 2 10" xfId="5817" xr:uid="{00000000-0005-0000-0000-0000B0240000}"/>
    <cellStyle name="Bad 2 11" xfId="5818" xr:uid="{00000000-0005-0000-0000-0000B1240000}"/>
    <cellStyle name="Bad 2 12" xfId="5819" xr:uid="{00000000-0005-0000-0000-0000B2240000}"/>
    <cellStyle name="Bad 2 13" xfId="5820" xr:uid="{00000000-0005-0000-0000-0000B3240000}"/>
    <cellStyle name="Bad 2 14" xfId="5821" xr:uid="{00000000-0005-0000-0000-0000B4240000}"/>
    <cellStyle name="Bad 2 15" xfId="5822" xr:uid="{00000000-0005-0000-0000-0000B5240000}"/>
    <cellStyle name="Bad 2 16" xfId="5823" xr:uid="{00000000-0005-0000-0000-0000B6240000}"/>
    <cellStyle name="Bad 2 17" xfId="5816" xr:uid="{00000000-0005-0000-0000-0000B7240000}"/>
    <cellStyle name="Bad 2 2" xfId="1509" xr:uid="{00000000-0005-0000-0000-0000B8240000}"/>
    <cellStyle name="Bad 2 2 2" xfId="1510" xr:uid="{00000000-0005-0000-0000-0000B9240000}"/>
    <cellStyle name="Bad 2 2 2 2" xfId="5825" xr:uid="{00000000-0005-0000-0000-0000BA240000}"/>
    <cellStyle name="Bad 2 2 3" xfId="1511" xr:uid="{00000000-0005-0000-0000-0000BB240000}"/>
    <cellStyle name="Bad 2 2 3 2" xfId="5826" xr:uid="{00000000-0005-0000-0000-0000BC240000}"/>
    <cellStyle name="Bad 2 2 4" xfId="2167" xr:uid="{00000000-0005-0000-0000-0000BD240000}"/>
    <cellStyle name="Bad 2 2 4 2" xfId="5827" xr:uid="{00000000-0005-0000-0000-0000BE240000}"/>
    <cellStyle name="Bad 2 2 5" xfId="5828" xr:uid="{00000000-0005-0000-0000-0000BF240000}"/>
    <cellStyle name="Bad 2 2 6" xfId="5824" xr:uid="{00000000-0005-0000-0000-0000C0240000}"/>
    <cellStyle name="Bad 2 3" xfId="1512" xr:uid="{00000000-0005-0000-0000-0000C1240000}"/>
    <cellStyle name="Bad 2 3 2" xfId="2168" xr:uid="{00000000-0005-0000-0000-0000C2240000}"/>
    <cellStyle name="Bad 2 3 3" xfId="5829" xr:uid="{00000000-0005-0000-0000-0000C3240000}"/>
    <cellStyle name="Bad 2 4" xfId="2169" xr:uid="{00000000-0005-0000-0000-0000C4240000}"/>
    <cellStyle name="Bad 2 4 2" xfId="5830" xr:uid="{00000000-0005-0000-0000-0000C5240000}"/>
    <cellStyle name="Bad 2 5" xfId="5831" xr:uid="{00000000-0005-0000-0000-0000C6240000}"/>
    <cellStyle name="Bad 2 6" xfId="5832" xr:uid="{00000000-0005-0000-0000-0000C7240000}"/>
    <cellStyle name="Bad 2 7" xfId="5833" xr:uid="{00000000-0005-0000-0000-0000C8240000}"/>
    <cellStyle name="Bad 2 8" xfId="5834" xr:uid="{00000000-0005-0000-0000-0000C9240000}"/>
    <cellStyle name="Bad 2 9" xfId="5835" xr:uid="{00000000-0005-0000-0000-0000CA240000}"/>
    <cellStyle name="Bad 3" xfId="236" xr:uid="{00000000-0005-0000-0000-0000CB240000}"/>
    <cellStyle name="Bad 3 2" xfId="5837" xr:uid="{00000000-0005-0000-0000-0000CC240000}"/>
    <cellStyle name="Bad 3 3" xfId="5838" xr:uid="{00000000-0005-0000-0000-0000CD240000}"/>
    <cellStyle name="Bad 3 4" xfId="5839" xr:uid="{00000000-0005-0000-0000-0000CE240000}"/>
    <cellStyle name="Bad 3 5" xfId="5840" xr:uid="{00000000-0005-0000-0000-0000CF240000}"/>
    <cellStyle name="Bad 3 6" xfId="5841" xr:uid="{00000000-0005-0000-0000-0000D0240000}"/>
    <cellStyle name="Bad 3 7" xfId="5836" xr:uid="{00000000-0005-0000-0000-0000D1240000}"/>
    <cellStyle name="Bad 4" xfId="376" xr:uid="{00000000-0005-0000-0000-0000D2240000}"/>
    <cellStyle name="Bad 4 2" xfId="5843" xr:uid="{00000000-0005-0000-0000-0000D3240000}"/>
    <cellStyle name="Bad 4 3" xfId="5842" xr:uid="{00000000-0005-0000-0000-0000D4240000}"/>
    <cellStyle name="Bad 5" xfId="5844" xr:uid="{00000000-0005-0000-0000-0000D5240000}"/>
    <cellStyle name="Bad 5 2" xfId="5845" xr:uid="{00000000-0005-0000-0000-0000D6240000}"/>
    <cellStyle name="Bad 6" xfId="5846" xr:uid="{00000000-0005-0000-0000-0000D7240000}"/>
    <cellStyle name="Bad 6 2" xfId="5847" xr:uid="{00000000-0005-0000-0000-0000D8240000}"/>
    <cellStyle name="Bad 7" xfId="5848" xr:uid="{00000000-0005-0000-0000-0000D9240000}"/>
    <cellStyle name="Bad 7 2" xfId="5849" xr:uid="{00000000-0005-0000-0000-0000DA240000}"/>
    <cellStyle name="Bad 8" xfId="5850" xr:uid="{00000000-0005-0000-0000-0000DB240000}"/>
    <cellStyle name="Bad 8 2" xfId="5851" xr:uid="{00000000-0005-0000-0000-0000DC240000}"/>
    <cellStyle name="Bad 9" xfId="5852" xr:uid="{00000000-0005-0000-0000-0000DD240000}"/>
    <cellStyle name="Berechnung" xfId="14876" hidden="1" xr:uid="{00000000-0005-0000-0000-0000FB240000}"/>
    <cellStyle name="Berechnung" xfId="3180" hidden="1" xr:uid="{00000000-0005-0000-0000-00006C250000}"/>
    <cellStyle name="Berechnung" xfId="59" hidden="1" xr:uid="{00000000-0005-0000-0000-00006D250000}"/>
    <cellStyle name="Berechnung" xfId="14695" hidden="1" xr:uid="{00000000-0005-0000-0000-000025250000}"/>
    <cellStyle name="Berechnung" xfId="17808" hidden="1" xr:uid="{00000000-0005-0000-0000-0000F9240000}"/>
    <cellStyle name="Berechnung" xfId="13873" hidden="1" xr:uid="{00000000-0005-0000-0000-000005250000}"/>
    <cellStyle name="Berechnung" xfId="14136" hidden="1" xr:uid="{00000000-0005-0000-0000-000011250000}"/>
    <cellStyle name="Berechnung" xfId="17014" hidden="1" xr:uid="{00000000-0005-0000-0000-00001D250000}"/>
    <cellStyle name="Berechnung" xfId="16788" hidden="1" xr:uid="{00000000-0005-0000-0000-0000F1240000}"/>
    <cellStyle name="Berechnung" xfId="18539" hidden="1" xr:uid="{00000000-0005-0000-0000-000019250000}"/>
    <cellStyle name="Berechnung" xfId="16858" hidden="1" xr:uid="{00000000-0005-0000-0000-0000F0240000}"/>
    <cellStyle name="Berechnung" xfId="17545" hidden="1" xr:uid="{00000000-0005-0000-0000-000027250000}"/>
    <cellStyle name="Berechnung" xfId="18969" hidden="1" xr:uid="{00000000-0005-0000-0000-000020250000}"/>
    <cellStyle name="Berechnung" xfId="19003" hidden="1" xr:uid="{00000000-0005-0000-0000-000021250000}"/>
    <cellStyle name="Berechnung" xfId="18966" hidden="1" xr:uid="{00000000-0005-0000-0000-000022250000}"/>
    <cellStyle name="Berechnung" xfId="16438" hidden="1" xr:uid="{00000000-0005-0000-0000-000007250000}"/>
    <cellStyle name="Berechnung" xfId="8586" hidden="1" xr:uid="{00000000-0005-0000-0000-000040250000}"/>
    <cellStyle name="Berechnung" xfId="3262" hidden="1" xr:uid="{00000000-0005-0000-0000-00007C250000}"/>
    <cellStyle name="Berechnung" xfId="13649" hidden="1" xr:uid="{00000000-0005-0000-0000-00007D250000}"/>
    <cellStyle name="Berechnung" xfId="10902" hidden="1" xr:uid="{00000000-0005-0000-0000-00003F250000}"/>
    <cellStyle name="Berechnung" xfId="15947" hidden="1" xr:uid="{00000000-0005-0000-0000-00004E250000}"/>
    <cellStyle name="Berechnung" xfId="14613" hidden="1" xr:uid="{00000000-0005-0000-0000-00004D250000}"/>
    <cellStyle name="Berechnung" xfId="14507" hidden="1" xr:uid="{00000000-0005-0000-0000-000046250000}"/>
    <cellStyle name="Berechnung" xfId="14526" hidden="1" xr:uid="{00000000-0005-0000-0000-000047250000}"/>
    <cellStyle name="Berechnung" xfId="16287" hidden="1" xr:uid="{00000000-0005-0000-0000-000048250000}"/>
    <cellStyle name="Berechnung" xfId="19744" hidden="1" xr:uid="{00000000-0005-0000-0000-0000DE240000}"/>
    <cellStyle name="Berechnung" xfId="18315" hidden="1" xr:uid="{00000000-0005-0000-0000-000012250000}"/>
    <cellStyle name="Berechnung" xfId="19824" hidden="1" xr:uid="{00000000-0005-0000-0000-0000E6240000}"/>
    <cellStyle name="Berechnung" xfId="16662" hidden="1" xr:uid="{00000000-0005-0000-0000-000056250000}"/>
    <cellStyle name="Berechnung" xfId="16699" hidden="1" xr:uid="{00000000-0005-0000-0000-000055250000}"/>
    <cellStyle name="Berechnung" xfId="19662" hidden="1" xr:uid="{00000000-0005-0000-0000-000032250000}"/>
    <cellStyle name="Berechnung" xfId="19694" hidden="1" xr:uid="{00000000-0005-0000-0000-000033250000}"/>
    <cellStyle name="Berechnung" xfId="19710" hidden="1" xr:uid="{00000000-0005-0000-0000-000034250000}"/>
    <cellStyle name="Berechnung" xfId="15879" hidden="1" xr:uid="{00000000-0005-0000-0000-000051250000}"/>
    <cellStyle name="Berechnung" xfId="17710" hidden="1" xr:uid="{00000000-0005-0000-0000-00001A250000}"/>
    <cellStyle name="Berechnung" xfId="19050" hidden="1" xr:uid="{00000000-0005-0000-0000-0000E2240000}"/>
    <cellStyle name="Berechnung" xfId="16861" hidden="1" xr:uid="{00000000-0005-0000-0000-0000EE240000}"/>
    <cellStyle name="Berechnung" xfId="16845" hidden="1" xr:uid="{00000000-0005-0000-0000-0000ED240000}"/>
    <cellStyle name="Berechnung" xfId="18921" hidden="1" xr:uid="{00000000-0005-0000-0000-00001E250000}"/>
    <cellStyle name="Berechnung" xfId="18405" hidden="1" xr:uid="{00000000-0005-0000-0000-0000E0240000}"/>
    <cellStyle name="Berechnung" xfId="13609" hidden="1" xr:uid="{00000000-0005-0000-0000-000062250000}"/>
    <cellStyle name="Berechnung" xfId="13577" hidden="1" xr:uid="{00000000-0005-0000-0000-000061250000}"/>
    <cellStyle name="Berechnung" xfId="15314" hidden="1" xr:uid="{00000000-0005-0000-0000-0000EA240000}"/>
    <cellStyle name="Berechnung" xfId="15329" hidden="1" xr:uid="{00000000-0005-0000-0000-0000EB240000}"/>
    <cellStyle name="Berechnung" xfId="16813" hidden="1" xr:uid="{00000000-0005-0000-0000-0000EC240000}"/>
    <cellStyle name="Berechnung" xfId="13419" hidden="1" xr:uid="{00000000-0005-0000-0000-00005D250000}"/>
    <cellStyle name="Berechnung" xfId="18459" hidden="1" xr:uid="{00000000-0005-0000-0000-000026250000}"/>
    <cellStyle name="Berechnung" xfId="17909" hidden="1" xr:uid="{00000000-0005-0000-0000-0000E3240000}"/>
    <cellStyle name="Berechnung" xfId="8514" hidden="1" xr:uid="{00000000-0005-0000-0000-00006A250000}"/>
    <cellStyle name="Berechnung" xfId="8274" hidden="1" xr:uid="{00000000-0005-0000-0000-000069250000}"/>
    <cellStyle name="Berechnung" xfId="15667" hidden="1" xr:uid="{00000000-0005-0000-0000-0000F2240000}"/>
    <cellStyle name="Berechnung" xfId="16895" hidden="1" xr:uid="{00000000-0005-0000-0000-0000EF240000}"/>
    <cellStyle name="Berechnung" xfId="3228" hidden="1" xr:uid="{00000000-0005-0000-0000-000036250000}"/>
    <cellStyle name="Berechnung" xfId="3212" hidden="1" xr:uid="{00000000-0005-0000-0000-000035250000}"/>
    <cellStyle name="Berechnung" xfId="8250" hidden="1" xr:uid="{00000000-0005-0000-0000-000066250000}"/>
    <cellStyle name="Berechnung" xfId="8272" hidden="1" xr:uid="{00000000-0005-0000-0000-000067250000}"/>
    <cellStyle name="Berechnung" xfId="8319" hidden="1" xr:uid="{00000000-0005-0000-0000-000068250000}"/>
    <cellStyle name="Berechnung" xfId="19296" hidden="1" xr:uid="{00000000-0005-0000-0000-000031250000}"/>
    <cellStyle name="Berechnung" xfId="17774" hidden="1" xr:uid="{00000000-0005-0000-0000-0000FA240000}"/>
    <cellStyle name="Berechnung" xfId="16523" hidden="1" xr:uid="{00000000-0005-0000-0000-0000E4240000}"/>
    <cellStyle name="Berechnung" xfId="8868" hidden="1" xr:uid="{00000000-0005-0000-0000-00003E250000}"/>
    <cellStyle name="Berechnung" xfId="8573" hidden="1" xr:uid="{00000000-0005-0000-0000-00003D250000}"/>
    <cellStyle name="Berechnung" xfId="12182" hidden="1" xr:uid="{00000000-0005-0000-0000-00006E250000}"/>
    <cellStyle name="Berechnung" xfId="8579" hidden="1" xr:uid="{00000000-0005-0000-0000-00006B250000}"/>
    <cellStyle name="Berechnung" xfId="8928" hidden="1" xr:uid="{00000000-0005-0000-0000-000042250000}"/>
    <cellStyle name="Berechnung" xfId="9185" hidden="1" xr:uid="{00000000-0005-0000-0000-000041250000}"/>
    <cellStyle name="Berechnung" xfId="10976" hidden="1" xr:uid="{00000000-0005-0000-0000-00003A250000}"/>
    <cellStyle name="Berechnung" xfId="3359" hidden="1" xr:uid="{00000000-0005-0000-0000-00003B250000}"/>
    <cellStyle name="Berechnung" xfId="3724" hidden="1" xr:uid="{00000000-0005-0000-0000-00003C250000}"/>
    <cellStyle name="Berechnung" xfId="19837" hidden="1" xr:uid="{00000000-0005-0000-0000-0000E9240000}"/>
    <cellStyle name="Berechnung" xfId="14032" hidden="1" xr:uid="{00000000-0005-0000-0000-000006250000}"/>
    <cellStyle name="Berechnung" xfId="19792" hidden="1" xr:uid="{00000000-0005-0000-0000-0000E5240000}"/>
    <cellStyle name="Berechnung" xfId="16335" hidden="1" xr:uid="{00000000-0005-0000-0000-00004A250000}"/>
    <cellStyle name="Berechnung" xfId="16319" hidden="1" xr:uid="{00000000-0005-0000-0000-000049250000}"/>
    <cellStyle name="Berechnung" xfId="13420" hidden="1" xr:uid="{00000000-0005-0000-0000-00005E250000}"/>
    <cellStyle name="Berechnung" xfId="13390" hidden="1" xr:uid="{00000000-0005-0000-0000-00005F250000}"/>
    <cellStyle name="Berechnung" xfId="13178" hidden="1" xr:uid="{00000000-0005-0000-0000-000060250000}"/>
    <cellStyle name="Berechnung" xfId="14381" hidden="1" xr:uid="{00000000-0005-0000-0000-000045250000}"/>
    <cellStyle name="Berechnung" xfId="18644" hidden="1" xr:uid="{00000000-0005-0000-0000-00000E250000}"/>
    <cellStyle name="Berechnung" xfId="18411" hidden="1" xr:uid="{00000000-0005-0000-0000-0000E1240000}"/>
    <cellStyle name="Berechnung" xfId="19707" hidden="1" xr:uid="{00000000-0005-0000-0000-0000DF240000}"/>
    <cellStyle name="Berechnung" xfId="18674" hidden="1" xr:uid="{00000000-0005-0000-0000-00000D250000}"/>
    <cellStyle name="Berechnung" xfId="13952" hidden="1" xr:uid="{00000000-0005-0000-0000-00001C250000}"/>
    <cellStyle name="Berechnung" xfId="14662" hidden="1" xr:uid="{00000000-0005-0000-0000-00001B250000}"/>
    <cellStyle name="Berechnung" xfId="18769" hidden="1" xr:uid="{00000000-0005-0000-0000-000014250000}"/>
    <cellStyle name="Berechnung" xfId="18801" hidden="1" xr:uid="{00000000-0005-0000-0000-000015250000}"/>
    <cellStyle name="Berechnung" xfId="18817" hidden="1" xr:uid="{00000000-0005-0000-0000-000016250000}"/>
    <cellStyle name="Berechnung" xfId="13444" hidden="1" xr:uid="{00000000-0005-0000-0000-000073250000}"/>
    <cellStyle name="Berechnung" xfId="15892" hidden="1" xr:uid="{00000000-0005-0000-0000-000050250000}"/>
    <cellStyle name="Berechnung" xfId="13622" hidden="1" xr:uid="{00000000-0005-0000-0000-00007B250000}"/>
    <cellStyle name="Berechnung" xfId="18551" hidden="1" xr:uid="{00000000-0005-0000-0000-000024250000}"/>
    <cellStyle name="Berechnung" xfId="18436" hidden="1" xr:uid="{00000000-0005-0000-0000-000023250000}"/>
    <cellStyle name="Berechnung" xfId="12643" hidden="1" xr:uid="{00000000-0005-0000-0000-000070250000}"/>
    <cellStyle name="Berechnung" xfId="12797" hidden="1" xr:uid="{00000000-0005-0000-0000-000071250000}"/>
    <cellStyle name="Berechnung" xfId="12819" hidden="1" xr:uid="{00000000-0005-0000-0000-000072250000}"/>
    <cellStyle name="Berechnung" xfId="18953" hidden="1" xr:uid="{00000000-0005-0000-0000-00001F250000}"/>
    <cellStyle name="Berechnung" xfId="14799" hidden="1" xr:uid="{00000000-0005-0000-0000-000058250000}"/>
    <cellStyle name="Berechnung" xfId="914" hidden="1" xr:uid="{00000000-0005-0000-0000-000077250000}"/>
    <cellStyle name="Berechnung" xfId="19575" hidden="1" xr:uid="{00000000-0005-0000-0000-00002C250000}"/>
    <cellStyle name="Berechnung" xfId="19605" hidden="1" xr:uid="{00000000-0005-0000-0000-00002B250000}"/>
    <cellStyle name="Berechnung" xfId="13203" hidden="1" xr:uid="{00000000-0005-0000-0000-00005C250000}"/>
    <cellStyle name="Berechnung" xfId="13492" hidden="1" xr:uid="{00000000-0005-0000-0000-000075250000}"/>
    <cellStyle name="Berechnung" xfId="17777" hidden="1" xr:uid="{00000000-0005-0000-0000-0000F8240000}"/>
    <cellStyle name="Berechnung" xfId="17761" hidden="1" xr:uid="{00000000-0005-0000-0000-0000F7240000}"/>
    <cellStyle name="Berechnung" xfId="19530" hidden="1" xr:uid="{00000000-0005-0000-0000-000028250000}"/>
    <cellStyle name="Berechnung" xfId="19562" hidden="1" xr:uid="{00000000-0005-0000-0000-000029250000}"/>
    <cellStyle name="Berechnung" xfId="19578" hidden="1" xr:uid="{00000000-0005-0000-0000-00002A250000}"/>
    <cellStyle name="Berechnung" xfId="16185" hidden="1" xr:uid="{00000000-0005-0000-0000-0000F3240000}"/>
    <cellStyle name="Berechnung" xfId="4096" hidden="1" xr:uid="{00000000-0005-0000-0000-000064250000}"/>
    <cellStyle name="Berechnung" xfId="1068" hidden="1" xr:uid="{00000000-0005-0000-0000-000078250000}"/>
    <cellStyle name="Berechnung" xfId="17924" hidden="1" xr:uid="{00000000-0005-0000-0000-000000250000}"/>
    <cellStyle name="Berechnung" xfId="14327" hidden="1" xr:uid="{00000000-0005-0000-0000-0000FF240000}"/>
    <cellStyle name="Berechnung" xfId="19313" hidden="1" xr:uid="{00000000-0005-0000-0000-000030250000}"/>
    <cellStyle name="Berechnung" xfId="14584" hidden="1" xr:uid="{00000000-0005-0000-0000-00002D250000}"/>
    <cellStyle name="Berechnung" xfId="17969" hidden="1" xr:uid="{00000000-0005-0000-0000-000004250000}"/>
    <cellStyle name="Berechnung" xfId="18006" hidden="1" xr:uid="{00000000-0005-0000-0000-000003250000}"/>
    <cellStyle name="Berechnung" xfId="17429" hidden="1" xr:uid="{00000000-0005-0000-0000-0000FC240000}"/>
    <cellStyle name="Berechnung" xfId="15457" hidden="1" xr:uid="{00000000-0005-0000-0000-0000FD240000}"/>
    <cellStyle name="Berechnung" xfId="17361" hidden="1" xr:uid="{00000000-0005-0000-0000-0000FE240000}"/>
    <cellStyle name="Berechnung" xfId="12682" hidden="1" xr:uid="{00000000-0005-0000-0000-00006F250000}"/>
    <cellStyle name="Berechnung" xfId="10898" hidden="1" xr:uid="{00000000-0005-0000-0000-000038250000}"/>
    <cellStyle name="Berechnung" xfId="1090" hidden="1" xr:uid="{00000000-0005-0000-0000-000079250000}"/>
    <cellStyle name="Berechnung" xfId="18647" hidden="1" xr:uid="{00000000-0005-0000-0000-00000C250000}"/>
    <cellStyle name="Berechnung" xfId="18631" hidden="1" xr:uid="{00000000-0005-0000-0000-00000B250000}"/>
    <cellStyle name="Berechnung" xfId="19864" hidden="1" xr:uid="{00000000-0005-0000-0000-0000E8240000}"/>
    <cellStyle name="Berechnung" xfId="17956" hidden="1" xr:uid="{00000000-0005-0000-0000-000001250000}"/>
    <cellStyle name="Berechnung" xfId="18373" hidden="1" xr:uid="{00000000-0005-0000-0000-000010250000}"/>
    <cellStyle name="Berechnung" xfId="15435" hidden="1" xr:uid="{00000000-0005-0000-0000-00000F250000}"/>
    <cellStyle name="Berechnung" xfId="16475" hidden="1" xr:uid="{00000000-0005-0000-0000-000008250000}"/>
    <cellStyle name="Berechnung" xfId="17060" hidden="1" xr:uid="{00000000-0005-0000-0000-000009250000}"/>
    <cellStyle name="Berechnung" xfId="18599" hidden="1" xr:uid="{00000000-0005-0000-0000-00000A250000}"/>
    <cellStyle name="Berechnung" xfId="13625" hidden="1" xr:uid="{00000000-0005-0000-0000-00007E250000}"/>
    <cellStyle name="Berechnung" xfId="14410" hidden="1" xr:uid="{00000000-0005-0000-0000-000044250000}"/>
    <cellStyle name="Berechnung" xfId="953" hidden="1" xr:uid="{00000000-0005-0000-0000-00007A250000}"/>
    <cellStyle name="Berechnung" xfId="18814" hidden="1" xr:uid="{00000000-0005-0000-0000-000018250000}"/>
    <cellStyle name="Berechnung" xfId="18848" hidden="1" xr:uid="{00000000-0005-0000-0000-000017250000}"/>
    <cellStyle name="Berechnung" xfId="14012" hidden="1" xr:uid="{00000000-0005-0000-0000-0000F4240000}"/>
    <cellStyle name="Berechnung" xfId="15733" hidden="1" xr:uid="{00000000-0005-0000-0000-0000F5240000}"/>
    <cellStyle name="Berechnung" xfId="17729" hidden="1" xr:uid="{00000000-0005-0000-0000-0000F6240000}"/>
    <cellStyle name="Berechnung" xfId="18305" hidden="1" xr:uid="{00000000-0005-0000-0000-000013250000}"/>
    <cellStyle name="Berechnung" xfId="16332" hidden="1" xr:uid="{00000000-0005-0000-0000-00004C250000}"/>
    <cellStyle name="Berechnung" xfId="3225" hidden="1" xr:uid="{00000000-0005-0000-0000-000076250000}"/>
    <cellStyle name="Berechnung" xfId="13476" hidden="1" xr:uid="{00000000-0005-0000-0000-000074250000}"/>
    <cellStyle name="Berechnung" xfId="16369" hidden="1" xr:uid="{00000000-0005-0000-0000-00004B250000}"/>
    <cellStyle name="Berechnung" xfId="13526" hidden="1" xr:uid="{00000000-0005-0000-0000-00005A250000}"/>
    <cellStyle name="Berechnung" xfId="15114" hidden="1" xr:uid="{00000000-0005-0000-0000-000059250000}"/>
    <cellStyle name="Berechnung" xfId="16617" hidden="1" xr:uid="{00000000-0005-0000-0000-000052250000}"/>
    <cellStyle name="Berechnung" xfId="16649" hidden="1" xr:uid="{00000000-0005-0000-0000-000053250000}"/>
    <cellStyle name="Berechnung" xfId="16665" hidden="1" xr:uid="{00000000-0005-0000-0000-000054250000}"/>
    <cellStyle name="Berechnung" xfId="9825" hidden="1" xr:uid="{00000000-0005-0000-0000-000039250000}"/>
    <cellStyle name="Berechnung" xfId="17972" hidden="1" xr:uid="{00000000-0005-0000-0000-000002250000}"/>
    <cellStyle name="Berechnung" xfId="19840" hidden="1" xr:uid="{00000000-0005-0000-0000-0000E7240000}"/>
    <cellStyle name="Berechnung" xfId="4172" hidden="1" xr:uid="{00000000-0005-0000-0000-000063250000}"/>
    <cellStyle name="Berechnung" xfId="10244" hidden="1" xr:uid="{00000000-0005-0000-0000-000037250000}"/>
    <cellStyle name="Berechnung" xfId="13729" hidden="1" xr:uid="{00000000-0005-0000-0000-000043250000}"/>
    <cellStyle name="Berechnung" xfId="15970" hidden="1" xr:uid="{00000000-0005-0000-0000-00004F250000}"/>
    <cellStyle name="Berechnung" xfId="13489" hidden="1" xr:uid="{00000000-0005-0000-0000-00005B250000}"/>
    <cellStyle name="Berechnung" xfId="18342" hidden="1" xr:uid="{00000000-0005-0000-0000-00002F250000}"/>
    <cellStyle name="Berechnung" xfId="13940" hidden="1" xr:uid="{00000000-0005-0000-0000-000057250000}"/>
    <cellStyle name="Berechnung" xfId="19381" hidden="1" xr:uid="{00000000-0005-0000-0000-00002E250000}"/>
    <cellStyle name="Berechnung" xfId="3459" hidden="1" xr:uid="{00000000-0005-0000-0000-000065250000}"/>
    <cellStyle name="Berechnung 2" xfId="405" xr:uid="{00000000-0005-0000-0000-00007F250000}"/>
    <cellStyle name="Berechnung 2 10" xfId="8695" xr:uid="{00000000-0005-0000-0000-000080250000}"/>
    <cellStyle name="Berechnung 2 11" xfId="9805" xr:uid="{00000000-0005-0000-0000-000081250000}"/>
    <cellStyle name="Berechnung 2 12" xfId="9016" xr:uid="{00000000-0005-0000-0000-000082250000}"/>
    <cellStyle name="Berechnung 2 13" xfId="10453" xr:uid="{00000000-0005-0000-0000-000083250000}"/>
    <cellStyle name="Berechnung 2 14" xfId="9810" xr:uid="{00000000-0005-0000-0000-000084250000}"/>
    <cellStyle name="Berechnung 2 15" xfId="12254" xr:uid="{00000000-0005-0000-0000-000085250000}"/>
    <cellStyle name="Berechnung 2 16" xfId="16428" xr:uid="{00000000-0005-0000-0000-000086250000}"/>
    <cellStyle name="Berechnung 2 17" xfId="17555" xr:uid="{00000000-0005-0000-0000-000087250000}"/>
    <cellStyle name="Berechnung 2 18" xfId="14947" xr:uid="{00000000-0005-0000-0000-000088250000}"/>
    <cellStyle name="Berechnung 2 19" xfId="19482" xr:uid="{00000000-0005-0000-0000-000089250000}"/>
    <cellStyle name="Berechnung 2 2" xfId="661" xr:uid="{00000000-0005-0000-0000-00008A250000}"/>
    <cellStyle name="Berechnung 2 2 10" xfId="9813" xr:uid="{00000000-0005-0000-0000-00008B250000}"/>
    <cellStyle name="Berechnung 2 2 11" xfId="11128" xr:uid="{00000000-0005-0000-0000-00008C250000}"/>
    <cellStyle name="Berechnung 2 2 12" xfId="11515" xr:uid="{00000000-0005-0000-0000-00008D250000}"/>
    <cellStyle name="Berechnung 2 2 13" xfId="11887" xr:uid="{00000000-0005-0000-0000-00008E250000}"/>
    <cellStyle name="Berechnung 2 2 14" xfId="12400" xr:uid="{00000000-0005-0000-0000-00008F250000}"/>
    <cellStyle name="Berechnung 2 2 15" xfId="14379" xr:uid="{00000000-0005-0000-0000-000090250000}"/>
    <cellStyle name="Berechnung 2 2 16" xfId="16006" xr:uid="{00000000-0005-0000-0000-000091250000}"/>
    <cellStyle name="Berechnung 2 2 17" xfId="18280" xr:uid="{00000000-0005-0000-0000-000092250000}"/>
    <cellStyle name="Berechnung 2 2 18" xfId="16462" xr:uid="{00000000-0005-0000-0000-000093250000}"/>
    <cellStyle name="Berechnung 2 2 2" xfId="876" xr:uid="{00000000-0005-0000-0000-000094250000}"/>
    <cellStyle name="Berechnung 2 2 2 10" xfId="11337" xr:uid="{00000000-0005-0000-0000-000095250000}"/>
    <cellStyle name="Berechnung 2 2 2 11" xfId="11722" xr:uid="{00000000-0005-0000-0000-000096250000}"/>
    <cellStyle name="Berechnung 2 2 2 12" xfId="12093" xr:uid="{00000000-0005-0000-0000-000097250000}"/>
    <cellStyle name="Berechnung 2 2 2 13" xfId="12606" xr:uid="{00000000-0005-0000-0000-000098250000}"/>
    <cellStyle name="Berechnung 2 2 2 14" xfId="15243" xr:uid="{00000000-0005-0000-0000-000099250000}"/>
    <cellStyle name="Berechnung 2 2 2 15" xfId="14063" xr:uid="{00000000-0005-0000-0000-00009A250000}"/>
    <cellStyle name="Berechnung 2 2 2 16" xfId="17103" xr:uid="{00000000-0005-0000-0000-00009B250000}"/>
    <cellStyle name="Berechnung 2 2 2 17" xfId="19413" xr:uid="{00000000-0005-0000-0000-00009C250000}"/>
    <cellStyle name="Berechnung 2 2 2 2" xfId="1114" xr:uid="{00000000-0005-0000-0000-00009D250000}"/>
    <cellStyle name="Berechnung 2 2 2 2 2" xfId="12843" xr:uid="{00000000-0005-0000-0000-00009E250000}"/>
    <cellStyle name="Berechnung 2 2 2 2 3" xfId="14653" xr:uid="{00000000-0005-0000-0000-00009F250000}"/>
    <cellStyle name="Berechnung 2 2 2 2 4" xfId="17325" xr:uid="{00000000-0005-0000-0000-0000A0250000}"/>
    <cellStyle name="Berechnung 2 2 2 2 5" xfId="15808" xr:uid="{00000000-0005-0000-0000-0000A1250000}"/>
    <cellStyle name="Berechnung 2 2 2 2 6" xfId="19277" xr:uid="{00000000-0005-0000-0000-0000A2250000}"/>
    <cellStyle name="Berechnung 2 2 2 3" xfId="3946" xr:uid="{00000000-0005-0000-0000-0000A3250000}"/>
    <cellStyle name="Berechnung 2 2 2 4" xfId="8494" xr:uid="{00000000-0005-0000-0000-0000A4250000}"/>
    <cellStyle name="Berechnung 2 2 2 5" xfId="9349" xr:uid="{00000000-0005-0000-0000-0000A5250000}"/>
    <cellStyle name="Berechnung 2 2 2 6" xfId="9777" xr:uid="{00000000-0005-0000-0000-0000A6250000}"/>
    <cellStyle name="Berechnung 2 2 2 7" xfId="10206" xr:uid="{00000000-0005-0000-0000-0000A7250000}"/>
    <cellStyle name="Berechnung 2 2 2 8" xfId="10618" xr:uid="{00000000-0005-0000-0000-0000A8250000}"/>
    <cellStyle name="Berechnung 2 2 2 9" xfId="8558" xr:uid="{00000000-0005-0000-0000-0000A9250000}"/>
    <cellStyle name="Berechnung 2 2 3" xfId="1209" xr:uid="{00000000-0005-0000-0000-0000AA250000}"/>
    <cellStyle name="Berechnung 2 2 3 2" xfId="12938" xr:uid="{00000000-0005-0000-0000-0000AB250000}"/>
    <cellStyle name="Berechnung 2 2 3 3" xfId="15369" xr:uid="{00000000-0005-0000-0000-0000AC250000}"/>
    <cellStyle name="Berechnung 2 2 3 4" xfId="17250" xr:uid="{00000000-0005-0000-0000-0000AD250000}"/>
    <cellStyle name="Berechnung 2 2 3 5" xfId="18131" xr:uid="{00000000-0005-0000-0000-0000AE250000}"/>
    <cellStyle name="Berechnung 2 2 3 6" xfId="19202" xr:uid="{00000000-0005-0000-0000-0000AF250000}"/>
    <cellStyle name="Berechnung 2 2 4" xfId="3471" xr:uid="{00000000-0005-0000-0000-0000B0250000}"/>
    <cellStyle name="Berechnung 2 2 5" xfId="8383" xr:uid="{00000000-0005-0000-0000-0000B1250000}"/>
    <cellStyle name="Berechnung 2 2 6" xfId="8655" xr:uid="{00000000-0005-0000-0000-0000B2250000}"/>
    <cellStyle name="Berechnung 2 2 7" xfId="9565" xr:uid="{00000000-0005-0000-0000-0000B3250000}"/>
    <cellStyle name="Berechnung 2 2 8" xfId="9992" xr:uid="{00000000-0005-0000-0000-0000B4250000}"/>
    <cellStyle name="Berechnung 2 2 9" xfId="10404" xr:uid="{00000000-0005-0000-0000-0000B5250000}"/>
    <cellStyle name="Berechnung 2 3" xfId="526" xr:uid="{00000000-0005-0000-0000-0000B6250000}"/>
    <cellStyle name="Berechnung 2 3 10" xfId="10670" xr:uid="{00000000-0005-0000-0000-0000B7250000}"/>
    <cellStyle name="Berechnung 2 3 11" xfId="10993" xr:uid="{00000000-0005-0000-0000-0000B8250000}"/>
    <cellStyle name="Berechnung 2 3 12" xfId="11380" xr:uid="{00000000-0005-0000-0000-0000B9250000}"/>
    <cellStyle name="Berechnung 2 3 13" xfId="11752" xr:uid="{00000000-0005-0000-0000-0000BA250000}"/>
    <cellStyle name="Berechnung 2 3 14" xfId="12265" xr:uid="{00000000-0005-0000-0000-0000BB250000}"/>
    <cellStyle name="Berechnung 2 3 15" xfId="13849" xr:uid="{00000000-0005-0000-0000-0000BC250000}"/>
    <cellStyle name="Berechnung 2 3 16" xfId="16008" xr:uid="{00000000-0005-0000-0000-0000BD250000}"/>
    <cellStyle name="Berechnung 2 3 17" xfId="18314" xr:uid="{00000000-0005-0000-0000-0000BE250000}"/>
    <cellStyle name="Berechnung 2 3 18" xfId="18195" xr:uid="{00000000-0005-0000-0000-0000BF250000}"/>
    <cellStyle name="Berechnung 2 3 2" xfId="741" xr:uid="{00000000-0005-0000-0000-0000C0250000}"/>
    <cellStyle name="Berechnung 2 3 2 10" xfId="11202" xr:uid="{00000000-0005-0000-0000-0000C1250000}"/>
    <cellStyle name="Berechnung 2 3 2 11" xfId="11587" xr:uid="{00000000-0005-0000-0000-0000C2250000}"/>
    <cellStyle name="Berechnung 2 3 2 12" xfId="11958" xr:uid="{00000000-0005-0000-0000-0000C3250000}"/>
    <cellStyle name="Berechnung 2 3 2 13" xfId="12471" xr:uid="{00000000-0005-0000-0000-0000C4250000}"/>
    <cellStyle name="Berechnung 2 3 2 14" xfId="15619" xr:uid="{00000000-0005-0000-0000-0000C5250000}"/>
    <cellStyle name="Berechnung 2 3 2 15" xfId="17481" xr:uid="{00000000-0005-0000-0000-0000C6250000}"/>
    <cellStyle name="Berechnung 2 3 2 16" xfId="15010" xr:uid="{00000000-0005-0000-0000-0000C7250000}"/>
    <cellStyle name="Berechnung 2 3 2 17" xfId="14636" xr:uid="{00000000-0005-0000-0000-0000C8250000}"/>
    <cellStyle name="Berechnung 2 3 2 2" xfId="1272" xr:uid="{00000000-0005-0000-0000-0000C9250000}"/>
    <cellStyle name="Berechnung 2 3 2 2 2" xfId="13001" xr:uid="{00000000-0005-0000-0000-0000CA250000}"/>
    <cellStyle name="Berechnung 2 3 2 2 3" xfId="15401" xr:uid="{00000000-0005-0000-0000-0000CB250000}"/>
    <cellStyle name="Berechnung 2 3 2 2 4" xfId="17206" xr:uid="{00000000-0005-0000-0000-0000CC250000}"/>
    <cellStyle name="Berechnung 2 3 2 2 5" xfId="18139" xr:uid="{00000000-0005-0000-0000-0000CD250000}"/>
    <cellStyle name="Berechnung 2 3 2 2 6" xfId="19158" xr:uid="{00000000-0005-0000-0000-0000CE250000}"/>
    <cellStyle name="Berechnung 2 3 2 3" xfId="3782" xr:uid="{00000000-0005-0000-0000-0000CF250000}"/>
    <cellStyle name="Berechnung 2 3 2 4" xfId="8424" xr:uid="{00000000-0005-0000-0000-0000D0250000}"/>
    <cellStyle name="Berechnung 2 3 2 5" xfId="8645" xr:uid="{00000000-0005-0000-0000-0000D1250000}"/>
    <cellStyle name="Berechnung 2 3 2 6" xfId="9642" xr:uid="{00000000-0005-0000-0000-0000D2250000}"/>
    <cellStyle name="Berechnung 2 3 2 7" xfId="10071" xr:uid="{00000000-0005-0000-0000-0000D3250000}"/>
    <cellStyle name="Berechnung 2 3 2 8" xfId="10483" xr:uid="{00000000-0005-0000-0000-0000D4250000}"/>
    <cellStyle name="Berechnung 2 3 2 9" xfId="9188" xr:uid="{00000000-0005-0000-0000-0000D5250000}"/>
    <cellStyle name="Berechnung 2 3 3" xfId="992" xr:uid="{00000000-0005-0000-0000-0000D6250000}"/>
    <cellStyle name="Berechnung 2 3 3 2" xfId="12721" xr:uid="{00000000-0005-0000-0000-0000D7250000}"/>
    <cellStyle name="Berechnung 2 3 3 3" xfId="15289" xr:uid="{00000000-0005-0000-0000-0000D8250000}"/>
    <cellStyle name="Berechnung 2 3 3 4" xfId="17397" xr:uid="{00000000-0005-0000-0000-0000D9250000}"/>
    <cellStyle name="Berechnung 2 3 3 5" xfId="14033" xr:uid="{00000000-0005-0000-0000-0000DA250000}"/>
    <cellStyle name="Berechnung 2 3 3 6" xfId="19349" xr:uid="{00000000-0005-0000-0000-0000DB250000}"/>
    <cellStyle name="Berechnung 2 3 4" xfId="3665" xr:uid="{00000000-0005-0000-0000-0000DC250000}"/>
    <cellStyle name="Berechnung 2 3 5" xfId="8320" xr:uid="{00000000-0005-0000-0000-0000DD250000}"/>
    <cellStyle name="Berechnung 2 3 6" xfId="9020" xr:uid="{00000000-0005-0000-0000-0000DE250000}"/>
    <cellStyle name="Berechnung 2 3 7" xfId="9430" xr:uid="{00000000-0005-0000-0000-0000DF250000}"/>
    <cellStyle name="Berechnung 2 3 8" xfId="9857" xr:uid="{00000000-0005-0000-0000-0000E0250000}"/>
    <cellStyle name="Berechnung 2 3 9" xfId="10269" xr:uid="{00000000-0005-0000-0000-0000E1250000}"/>
    <cellStyle name="Berechnung 2 4" xfId="582" xr:uid="{00000000-0005-0000-0000-0000E2250000}"/>
    <cellStyle name="Berechnung 2 4 10" xfId="10906" xr:uid="{00000000-0005-0000-0000-0000E3250000}"/>
    <cellStyle name="Berechnung 2 4 11" xfId="11049" xr:uid="{00000000-0005-0000-0000-0000E4250000}"/>
    <cellStyle name="Berechnung 2 4 12" xfId="11436" xr:uid="{00000000-0005-0000-0000-0000E5250000}"/>
    <cellStyle name="Berechnung 2 4 13" xfId="11808" xr:uid="{00000000-0005-0000-0000-0000E6250000}"/>
    <cellStyle name="Berechnung 2 4 14" xfId="12321" xr:uid="{00000000-0005-0000-0000-0000E7250000}"/>
    <cellStyle name="Berechnung 2 4 15" xfId="15203" xr:uid="{00000000-0005-0000-0000-0000E8250000}"/>
    <cellStyle name="Berechnung 2 4 16" xfId="17519" xr:uid="{00000000-0005-0000-0000-0000E9250000}"/>
    <cellStyle name="Berechnung 2 4 17" xfId="18121" xr:uid="{00000000-0005-0000-0000-0000EA250000}"/>
    <cellStyle name="Berechnung 2 4 18" xfId="19466" xr:uid="{00000000-0005-0000-0000-0000EB250000}"/>
    <cellStyle name="Berechnung 2 4 2" xfId="797" xr:uid="{00000000-0005-0000-0000-0000EC250000}"/>
    <cellStyle name="Berechnung 2 4 2 10" xfId="11258" xr:uid="{00000000-0005-0000-0000-0000ED250000}"/>
    <cellStyle name="Berechnung 2 4 2 11" xfId="11643" xr:uid="{00000000-0005-0000-0000-0000EE250000}"/>
    <cellStyle name="Berechnung 2 4 2 12" xfId="12014" xr:uid="{00000000-0005-0000-0000-0000EF250000}"/>
    <cellStyle name="Berechnung 2 4 2 13" xfId="12527" xr:uid="{00000000-0005-0000-0000-0000F0250000}"/>
    <cellStyle name="Berechnung 2 4 2 14" xfId="15234" xr:uid="{00000000-0005-0000-0000-0000F1250000}"/>
    <cellStyle name="Berechnung 2 4 2 15" xfId="16181" xr:uid="{00000000-0005-0000-0000-0000F2250000}"/>
    <cellStyle name="Berechnung 2 4 2 16" xfId="15949" xr:uid="{00000000-0005-0000-0000-0000F3250000}"/>
    <cellStyle name="Berechnung 2 4 2 17" xfId="19423" xr:uid="{00000000-0005-0000-0000-0000F4250000}"/>
    <cellStyle name="Berechnung 2 4 2 2" xfId="1130" xr:uid="{00000000-0005-0000-0000-0000F5250000}"/>
    <cellStyle name="Berechnung 2 4 2 2 2" xfId="12859" xr:uid="{00000000-0005-0000-0000-0000F6250000}"/>
    <cellStyle name="Berechnung 2 4 2 2 3" xfId="13993" xr:uid="{00000000-0005-0000-0000-0000F7250000}"/>
    <cellStyle name="Berechnung 2 4 2 2 4" xfId="17312" xr:uid="{00000000-0005-0000-0000-0000F8250000}"/>
    <cellStyle name="Berechnung 2 4 2 2 5" xfId="16563" xr:uid="{00000000-0005-0000-0000-0000F9250000}"/>
    <cellStyle name="Berechnung 2 4 2 2 6" xfId="19264" xr:uid="{00000000-0005-0000-0000-0000FA250000}"/>
    <cellStyle name="Berechnung 2 4 2 3" xfId="3539" xr:uid="{00000000-0005-0000-0000-0000FB250000}"/>
    <cellStyle name="Berechnung 2 4 2 4" xfId="8458" xr:uid="{00000000-0005-0000-0000-0000FC250000}"/>
    <cellStyle name="Berechnung 2 4 2 5" xfId="8770" xr:uid="{00000000-0005-0000-0000-0000FD250000}"/>
    <cellStyle name="Berechnung 2 4 2 6" xfId="9698" xr:uid="{00000000-0005-0000-0000-0000FE250000}"/>
    <cellStyle name="Berechnung 2 4 2 7" xfId="10127" xr:uid="{00000000-0005-0000-0000-0000FF250000}"/>
    <cellStyle name="Berechnung 2 4 2 8" xfId="10539" xr:uid="{00000000-0005-0000-0000-000000260000}"/>
    <cellStyle name="Berechnung 2 4 2 9" xfId="9399" xr:uid="{00000000-0005-0000-0000-000001260000}"/>
    <cellStyle name="Berechnung 2 4 3" xfId="1166" xr:uid="{00000000-0005-0000-0000-000002260000}"/>
    <cellStyle name="Berechnung 2 4 3 2" xfId="12895" xr:uid="{00000000-0005-0000-0000-000003260000}"/>
    <cellStyle name="Berechnung 2 4 3 3" xfId="15345" xr:uid="{00000000-0005-0000-0000-000004260000}"/>
    <cellStyle name="Berechnung 2 4 3 4" xfId="17285" xr:uid="{00000000-0005-0000-0000-000005260000}"/>
    <cellStyle name="Berechnung 2 4 3 5" xfId="13960" xr:uid="{00000000-0005-0000-0000-000006260000}"/>
    <cellStyle name="Berechnung 2 4 3 6" xfId="19237" xr:uid="{00000000-0005-0000-0000-000007260000}"/>
    <cellStyle name="Berechnung 2 4 4" xfId="3809" xr:uid="{00000000-0005-0000-0000-000008260000}"/>
    <cellStyle name="Berechnung 2 4 5" xfId="8348" xr:uid="{00000000-0005-0000-0000-000009260000}"/>
    <cellStyle name="Berechnung 2 4 6" xfId="9263" xr:uid="{00000000-0005-0000-0000-00000A260000}"/>
    <cellStyle name="Berechnung 2 4 7" xfId="9486" xr:uid="{00000000-0005-0000-0000-00000B260000}"/>
    <cellStyle name="Berechnung 2 4 8" xfId="9913" xr:uid="{00000000-0005-0000-0000-00000C260000}"/>
    <cellStyle name="Berechnung 2 4 9" xfId="10325" xr:uid="{00000000-0005-0000-0000-00000D260000}"/>
    <cellStyle name="Berechnung 2 5" xfId="719" xr:uid="{00000000-0005-0000-0000-00000E260000}"/>
    <cellStyle name="Berechnung 2 5 10" xfId="11180" xr:uid="{00000000-0005-0000-0000-00000F260000}"/>
    <cellStyle name="Berechnung 2 5 11" xfId="11565" xr:uid="{00000000-0005-0000-0000-000010260000}"/>
    <cellStyle name="Berechnung 2 5 12" xfId="11936" xr:uid="{00000000-0005-0000-0000-000011260000}"/>
    <cellStyle name="Berechnung 2 5 13" xfId="12449" xr:uid="{00000000-0005-0000-0000-000012260000}"/>
    <cellStyle name="Berechnung 2 5 14" xfId="15225" xr:uid="{00000000-0005-0000-0000-000013260000}"/>
    <cellStyle name="Berechnung 2 5 15" xfId="15829" xr:uid="{00000000-0005-0000-0000-000014260000}"/>
    <cellStyle name="Berechnung 2 5 16" xfId="14057" xr:uid="{00000000-0005-0000-0000-000015260000}"/>
    <cellStyle name="Berechnung 2 5 17" xfId="19448" xr:uid="{00000000-0005-0000-0000-000016260000}"/>
    <cellStyle name="Berechnung 2 5 2" xfId="1039" xr:uid="{00000000-0005-0000-0000-000017260000}"/>
    <cellStyle name="Berechnung 2 5 2 2" xfId="12768" xr:uid="{00000000-0005-0000-0000-000018260000}"/>
    <cellStyle name="Berechnung 2 5 2 3" xfId="15301" xr:uid="{00000000-0005-0000-0000-000019260000}"/>
    <cellStyle name="Berechnung 2 5 2 4" xfId="14030" xr:uid="{00000000-0005-0000-0000-00001A260000}"/>
    <cellStyle name="Berechnung 2 5 2 5" xfId="16430" xr:uid="{00000000-0005-0000-0000-00001B260000}"/>
    <cellStyle name="Berechnung 2 5 2 6" xfId="19331" xr:uid="{00000000-0005-0000-0000-00001C260000}"/>
    <cellStyle name="Berechnung 2 5 3" xfId="4191" xr:uid="{00000000-0005-0000-0000-00001D260000}"/>
    <cellStyle name="Berechnung 2 5 4" xfId="8418" xr:uid="{00000000-0005-0000-0000-00001E260000}"/>
    <cellStyle name="Berechnung 2 5 5" xfId="8847" xr:uid="{00000000-0005-0000-0000-00001F260000}"/>
    <cellStyle name="Berechnung 2 5 6" xfId="9620" xr:uid="{00000000-0005-0000-0000-000020260000}"/>
    <cellStyle name="Berechnung 2 5 7" xfId="10049" xr:uid="{00000000-0005-0000-0000-000021260000}"/>
    <cellStyle name="Berechnung 2 5 8" xfId="10461" xr:uid="{00000000-0005-0000-0000-000022260000}"/>
    <cellStyle name="Berechnung 2 5 9" xfId="8552" xr:uid="{00000000-0005-0000-0000-000023260000}"/>
    <cellStyle name="Berechnung 2 6" xfId="1188" xr:uid="{00000000-0005-0000-0000-000024260000}"/>
    <cellStyle name="Berechnung 2 6 2" xfId="12917" xr:uid="{00000000-0005-0000-0000-000025260000}"/>
    <cellStyle name="Berechnung 2 6 3" xfId="15358" xr:uid="{00000000-0005-0000-0000-000026260000}"/>
    <cellStyle name="Berechnung 2 6 4" xfId="17266" xr:uid="{00000000-0005-0000-0000-000027260000}"/>
    <cellStyle name="Berechnung 2 6 5" xfId="16762" xr:uid="{00000000-0005-0000-0000-000028260000}"/>
    <cellStyle name="Berechnung 2 6 6" xfId="19218" xr:uid="{00000000-0005-0000-0000-000029260000}"/>
    <cellStyle name="Berechnung 2 7" xfId="3995" xr:uid="{00000000-0005-0000-0000-00002A260000}"/>
    <cellStyle name="Berechnung 2 8" xfId="8310" xr:uid="{00000000-0005-0000-0000-00002B260000}"/>
    <cellStyle name="Berechnung 2 9" xfId="9160" xr:uid="{00000000-0005-0000-0000-00002C260000}"/>
    <cellStyle name="Berechnung 3" xfId="285" xr:uid="{00000000-0005-0000-0000-00002D260000}"/>
    <cellStyle name="Berechnung 3 10" xfId="8818" xr:uid="{00000000-0005-0000-0000-00002E260000}"/>
    <cellStyle name="Berechnung 3 11" xfId="8758" xr:uid="{00000000-0005-0000-0000-00002F260000}"/>
    <cellStyle name="Berechnung 3 12" xfId="10710" xr:uid="{00000000-0005-0000-0000-000030260000}"/>
    <cellStyle name="Berechnung 3 13" xfId="10702" xr:uid="{00000000-0005-0000-0000-000031260000}"/>
    <cellStyle name="Berechnung 3 14" xfId="10873" xr:uid="{00000000-0005-0000-0000-000032260000}"/>
    <cellStyle name="Berechnung 3 15" xfId="12235" xr:uid="{00000000-0005-0000-0000-000033260000}"/>
    <cellStyle name="Berechnung 3 16" xfId="16510" xr:uid="{00000000-0005-0000-0000-000034260000}"/>
    <cellStyle name="Berechnung 3 17" xfId="17623" xr:uid="{00000000-0005-0000-0000-000035260000}"/>
    <cellStyle name="Berechnung 3 18" xfId="15915" xr:uid="{00000000-0005-0000-0000-000036260000}"/>
    <cellStyle name="Berechnung 3 19" xfId="19500" xr:uid="{00000000-0005-0000-0000-000037260000}"/>
    <cellStyle name="Berechnung 3 2" xfId="624" xr:uid="{00000000-0005-0000-0000-000038260000}"/>
    <cellStyle name="Berechnung 3 2 10" xfId="8911" xr:uid="{00000000-0005-0000-0000-000039260000}"/>
    <cellStyle name="Berechnung 3 2 11" xfId="11091" xr:uid="{00000000-0005-0000-0000-00003A260000}"/>
    <cellStyle name="Berechnung 3 2 12" xfId="11478" xr:uid="{00000000-0005-0000-0000-00003B260000}"/>
    <cellStyle name="Berechnung 3 2 13" xfId="11850" xr:uid="{00000000-0005-0000-0000-00003C260000}"/>
    <cellStyle name="Berechnung 3 2 14" xfId="12363" xr:uid="{00000000-0005-0000-0000-00003D260000}"/>
    <cellStyle name="Berechnung 3 2 15" xfId="14536" xr:uid="{00000000-0005-0000-0000-00003E260000}"/>
    <cellStyle name="Berechnung 3 2 16" xfId="15072" xr:uid="{00000000-0005-0000-0000-00003F260000}"/>
    <cellStyle name="Berechnung 3 2 17" xfId="14590" xr:uid="{00000000-0005-0000-0000-000040260000}"/>
    <cellStyle name="Berechnung 3 2 18" xfId="18120" xr:uid="{00000000-0005-0000-0000-000041260000}"/>
    <cellStyle name="Berechnung 3 2 2" xfId="839" xr:uid="{00000000-0005-0000-0000-000042260000}"/>
    <cellStyle name="Berechnung 3 2 2 10" xfId="11300" xr:uid="{00000000-0005-0000-0000-000043260000}"/>
    <cellStyle name="Berechnung 3 2 2 11" xfId="11685" xr:uid="{00000000-0005-0000-0000-000044260000}"/>
    <cellStyle name="Berechnung 3 2 2 12" xfId="12056" xr:uid="{00000000-0005-0000-0000-000045260000}"/>
    <cellStyle name="Berechnung 3 2 2 13" xfId="12569" xr:uid="{00000000-0005-0000-0000-000046260000}"/>
    <cellStyle name="Berechnung 3 2 2 14" xfId="16111" xr:uid="{00000000-0005-0000-0000-000047260000}"/>
    <cellStyle name="Berechnung 3 2 2 15" xfId="14077" xr:uid="{00000000-0005-0000-0000-000048260000}"/>
    <cellStyle name="Berechnung 3 2 2 16" xfId="16177" xr:uid="{00000000-0005-0000-0000-000049260000}"/>
    <cellStyle name="Berechnung 3 2 2 17" xfId="17667" xr:uid="{00000000-0005-0000-0000-00004A260000}"/>
    <cellStyle name="Berechnung 3 2 2 2" xfId="1098" xr:uid="{00000000-0005-0000-0000-00004B260000}"/>
    <cellStyle name="Berechnung 3 2 2 2 2" xfId="12827" xr:uid="{00000000-0005-0000-0000-00004C260000}"/>
    <cellStyle name="Berechnung 3 2 2 2 3" xfId="14273" xr:uid="{00000000-0005-0000-0000-00004D260000}"/>
    <cellStyle name="Berechnung 3 2 2 2 4" xfId="17337" xr:uid="{00000000-0005-0000-0000-00004E260000}"/>
    <cellStyle name="Berechnung 3 2 2 2 5" xfId="14332" xr:uid="{00000000-0005-0000-0000-00004F260000}"/>
    <cellStyle name="Berechnung 3 2 2 2 6" xfId="19289" xr:uid="{00000000-0005-0000-0000-000050260000}"/>
    <cellStyle name="Berechnung 3 2 2 3" xfId="3627" xr:uid="{00000000-0005-0000-0000-000051260000}"/>
    <cellStyle name="Berechnung 3 2 2 4" xfId="8476" xr:uid="{00000000-0005-0000-0000-000052260000}"/>
    <cellStyle name="Berechnung 3 2 2 5" xfId="8873" xr:uid="{00000000-0005-0000-0000-000053260000}"/>
    <cellStyle name="Berechnung 3 2 2 6" xfId="9740" xr:uid="{00000000-0005-0000-0000-000054260000}"/>
    <cellStyle name="Berechnung 3 2 2 7" xfId="10169" xr:uid="{00000000-0005-0000-0000-000055260000}"/>
    <cellStyle name="Berechnung 3 2 2 8" xfId="10581" xr:uid="{00000000-0005-0000-0000-000056260000}"/>
    <cellStyle name="Berechnung 3 2 2 9" xfId="10235" xr:uid="{00000000-0005-0000-0000-000057260000}"/>
    <cellStyle name="Berechnung 3 2 3" xfId="1320" xr:uid="{00000000-0005-0000-0000-000058260000}"/>
    <cellStyle name="Berechnung 3 2 3 2" xfId="13049" xr:uid="{00000000-0005-0000-0000-000059260000}"/>
    <cellStyle name="Berechnung 3 2 3 3" xfId="13967" xr:uid="{00000000-0005-0000-0000-00005A260000}"/>
    <cellStyle name="Berechnung 3 2 3 4" xfId="17170" xr:uid="{00000000-0005-0000-0000-00005B260000}"/>
    <cellStyle name="Berechnung 3 2 3 5" xfId="15777" xr:uid="{00000000-0005-0000-0000-00005C260000}"/>
    <cellStyle name="Berechnung 3 2 3 6" xfId="19122" xr:uid="{00000000-0005-0000-0000-00005D260000}"/>
    <cellStyle name="Berechnung 3 2 4" xfId="4083" xr:uid="{00000000-0005-0000-0000-00005E260000}"/>
    <cellStyle name="Berechnung 3 2 5" xfId="8365" xr:uid="{00000000-0005-0000-0000-00005F260000}"/>
    <cellStyle name="Berechnung 3 2 6" xfId="9311" xr:uid="{00000000-0005-0000-0000-000060260000}"/>
    <cellStyle name="Berechnung 3 2 7" xfId="9528" xr:uid="{00000000-0005-0000-0000-000061260000}"/>
    <cellStyle name="Berechnung 3 2 8" xfId="9955" xr:uid="{00000000-0005-0000-0000-000062260000}"/>
    <cellStyle name="Berechnung 3 2 9" xfId="10367" xr:uid="{00000000-0005-0000-0000-000063260000}"/>
    <cellStyle name="Berechnung 3 3" xfId="560" xr:uid="{00000000-0005-0000-0000-000064260000}"/>
    <cellStyle name="Berechnung 3 3 10" xfId="8862" xr:uid="{00000000-0005-0000-0000-000065260000}"/>
    <cellStyle name="Berechnung 3 3 11" xfId="11027" xr:uid="{00000000-0005-0000-0000-000066260000}"/>
    <cellStyle name="Berechnung 3 3 12" xfId="11414" xr:uid="{00000000-0005-0000-0000-000067260000}"/>
    <cellStyle name="Berechnung 3 3 13" xfId="11786" xr:uid="{00000000-0005-0000-0000-000068260000}"/>
    <cellStyle name="Berechnung 3 3 14" xfId="12299" xr:uid="{00000000-0005-0000-0000-000069260000}"/>
    <cellStyle name="Berechnung 3 3 15" xfId="16038" xr:uid="{00000000-0005-0000-0000-00006A260000}"/>
    <cellStyle name="Berechnung 3 3 16" xfId="14072" xr:uid="{00000000-0005-0000-0000-00006B260000}"/>
    <cellStyle name="Berechnung 3 3 17" xfId="15524" xr:uid="{00000000-0005-0000-0000-00006C260000}"/>
    <cellStyle name="Berechnung 3 3 18" xfId="18348" xr:uid="{00000000-0005-0000-0000-00006D260000}"/>
    <cellStyle name="Berechnung 3 3 2" xfId="775" xr:uid="{00000000-0005-0000-0000-00006E260000}"/>
    <cellStyle name="Berechnung 3 3 2 10" xfId="11236" xr:uid="{00000000-0005-0000-0000-00006F260000}"/>
    <cellStyle name="Berechnung 3 3 2 11" xfId="11621" xr:uid="{00000000-0005-0000-0000-000070260000}"/>
    <cellStyle name="Berechnung 3 3 2 12" xfId="11992" xr:uid="{00000000-0005-0000-0000-000071260000}"/>
    <cellStyle name="Berechnung 3 3 2 13" xfId="12505" xr:uid="{00000000-0005-0000-0000-000072260000}"/>
    <cellStyle name="Berechnung 3 3 2 14" xfId="13829" xr:uid="{00000000-0005-0000-0000-000073260000}"/>
    <cellStyle name="Berechnung 3 3 2 15" xfId="14204" xr:uid="{00000000-0005-0000-0000-000074260000}"/>
    <cellStyle name="Berechnung 3 3 2 16" xfId="14992" xr:uid="{00000000-0005-0000-0000-000075260000}"/>
    <cellStyle name="Berechnung 3 3 2 17" xfId="14564" xr:uid="{00000000-0005-0000-0000-000076260000}"/>
    <cellStyle name="Berechnung 3 3 2 2" xfId="1032" xr:uid="{00000000-0005-0000-0000-000077260000}"/>
    <cellStyle name="Berechnung 3 3 2 2 2" xfId="12761" xr:uid="{00000000-0005-0000-0000-000078260000}"/>
    <cellStyle name="Berechnung 3 3 2 2 3" xfId="14406" xr:uid="{00000000-0005-0000-0000-000079260000}"/>
    <cellStyle name="Berechnung 3 3 2 2 4" xfId="16422" xr:uid="{00000000-0005-0000-0000-00007A260000}"/>
    <cellStyle name="Berechnung 3 3 2 2 5" xfId="14629" xr:uid="{00000000-0005-0000-0000-00007B260000}"/>
    <cellStyle name="Berechnung 3 3 2 2 6" xfId="16545" xr:uid="{00000000-0005-0000-0000-00007C260000}"/>
    <cellStyle name="Berechnung 3 3 2 3" xfId="3827" xr:uid="{00000000-0005-0000-0000-00007D260000}"/>
    <cellStyle name="Berechnung 3 3 2 4" xfId="8444" xr:uid="{00000000-0005-0000-0000-00007E260000}"/>
    <cellStyle name="Berechnung 3 3 2 5" xfId="9283" xr:uid="{00000000-0005-0000-0000-00007F260000}"/>
    <cellStyle name="Berechnung 3 3 2 6" xfId="9676" xr:uid="{00000000-0005-0000-0000-000080260000}"/>
    <cellStyle name="Berechnung 3 3 2 7" xfId="10105" xr:uid="{00000000-0005-0000-0000-000081260000}"/>
    <cellStyle name="Berechnung 3 3 2 8" xfId="10517" xr:uid="{00000000-0005-0000-0000-000082260000}"/>
    <cellStyle name="Berechnung 3 3 2 9" xfId="10677" xr:uid="{00000000-0005-0000-0000-000083260000}"/>
    <cellStyle name="Berechnung 3 3 3" xfId="1058" xr:uid="{00000000-0005-0000-0000-000084260000}"/>
    <cellStyle name="Berechnung 3 3 3 2" xfId="12787" xr:uid="{00000000-0005-0000-0000-000085260000}"/>
    <cellStyle name="Berechnung 3 3 3 3" xfId="15310" xr:uid="{00000000-0005-0000-0000-000086260000}"/>
    <cellStyle name="Berechnung 3 3 3 4" xfId="17369" xr:uid="{00000000-0005-0000-0000-000087260000}"/>
    <cellStyle name="Berechnung 3 3 3 5" xfId="16561" xr:uid="{00000000-0005-0000-0000-000088260000}"/>
    <cellStyle name="Berechnung 3 3 3 6" xfId="19321" xr:uid="{00000000-0005-0000-0000-000089260000}"/>
    <cellStyle name="Berechnung 3 3 4" xfId="3463" xr:uid="{00000000-0005-0000-0000-00008A260000}"/>
    <cellStyle name="Berechnung 3 3 5" xfId="8335" xr:uid="{00000000-0005-0000-0000-00008B260000}"/>
    <cellStyle name="Berechnung 3 3 6" xfId="8662" xr:uid="{00000000-0005-0000-0000-00008C260000}"/>
    <cellStyle name="Berechnung 3 3 7" xfId="9464" xr:uid="{00000000-0005-0000-0000-00008D260000}"/>
    <cellStyle name="Berechnung 3 3 8" xfId="9891" xr:uid="{00000000-0005-0000-0000-00008E260000}"/>
    <cellStyle name="Berechnung 3 3 9" xfId="10303" xr:uid="{00000000-0005-0000-0000-00008F260000}"/>
    <cellStyle name="Berechnung 3 4" xfId="572" xr:uid="{00000000-0005-0000-0000-000090260000}"/>
    <cellStyle name="Berechnung 3 4 10" xfId="10652" xr:uid="{00000000-0005-0000-0000-000091260000}"/>
    <cellStyle name="Berechnung 3 4 11" xfId="11039" xr:uid="{00000000-0005-0000-0000-000092260000}"/>
    <cellStyle name="Berechnung 3 4 12" xfId="11426" xr:uid="{00000000-0005-0000-0000-000093260000}"/>
    <cellStyle name="Berechnung 3 4 13" xfId="11798" xr:uid="{00000000-0005-0000-0000-000094260000}"/>
    <cellStyle name="Berechnung 3 4 14" xfId="12311" xr:uid="{00000000-0005-0000-0000-000095260000}"/>
    <cellStyle name="Berechnung 3 4 15" xfId="15053" xr:uid="{00000000-0005-0000-0000-000096260000}"/>
    <cellStyle name="Berechnung 3 4 16" xfId="14076" xr:uid="{00000000-0005-0000-0000-000097260000}"/>
    <cellStyle name="Berechnung 3 4 17" xfId="14305" xr:uid="{00000000-0005-0000-0000-000098260000}"/>
    <cellStyle name="Berechnung 3 4 18" xfId="18468" xr:uid="{00000000-0005-0000-0000-000099260000}"/>
    <cellStyle name="Berechnung 3 4 2" xfId="787" xr:uid="{00000000-0005-0000-0000-00009A260000}"/>
    <cellStyle name="Berechnung 3 4 2 10" xfId="11248" xr:uid="{00000000-0005-0000-0000-00009B260000}"/>
    <cellStyle name="Berechnung 3 4 2 11" xfId="11633" xr:uid="{00000000-0005-0000-0000-00009C260000}"/>
    <cellStyle name="Berechnung 3 4 2 12" xfId="12004" xr:uid="{00000000-0005-0000-0000-00009D260000}"/>
    <cellStyle name="Berechnung 3 4 2 13" xfId="12517" xr:uid="{00000000-0005-0000-0000-00009E260000}"/>
    <cellStyle name="Berechnung 3 4 2 14" xfId="16125" xr:uid="{00000000-0005-0000-0000-00009F260000}"/>
    <cellStyle name="Berechnung 3 4 2 15" xfId="14040" xr:uid="{00000000-0005-0000-0000-0000A0260000}"/>
    <cellStyle name="Berechnung 3 4 2 16" xfId="18519" xr:uid="{00000000-0005-0000-0000-0000A1260000}"/>
    <cellStyle name="Berechnung 3 4 2 17" xfId="18079" xr:uid="{00000000-0005-0000-0000-0000A2260000}"/>
    <cellStyle name="Berechnung 3 4 2 2" xfId="1195" xr:uid="{00000000-0005-0000-0000-0000A3260000}"/>
    <cellStyle name="Berechnung 3 4 2 2 2" xfId="12924" xr:uid="{00000000-0005-0000-0000-0000A4260000}"/>
    <cellStyle name="Berechnung 3 4 2 2 3" xfId="14822" xr:uid="{00000000-0005-0000-0000-0000A5260000}"/>
    <cellStyle name="Berechnung 3 4 2 2 4" xfId="17261" xr:uid="{00000000-0005-0000-0000-0000A6260000}"/>
    <cellStyle name="Berechnung 3 4 2 2 5" xfId="14020" xr:uid="{00000000-0005-0000-0000-0000A7260000}"/>
    <cellStyle name="Berechnung 3 4 2 2 6" xfId="19213" xr:uid="{00000000-0005-0000-0000-0000A8260000}"/>
    <cellStyle name="Berechnung 3 4 2 3" xfId="4049" xr:uid="{00000000-0005-0000-0000-0000A9260000}"/>
    <cellStyle name="Berechnung 3 4 2 4" xfId="8452" xr:uid="{00000000-0005-0000-0000-0000AA260000}"/>
    <cellStyle name="Berechnung 3 4 2 5" xfId="8733" xr:uid="{00000000-0005-0000-0000-0000AB260000}"/>
    <cellStyle name="Berechnung 3 4 2 6" xfId="9688" xr:uid="{00000000-0005-0000-0000-0000AC260000}"/>
    <cellStyle name="Berechnung 3 4 2 7" xfId="10117" xr:uid="{00000000-0005-0000-0000-0000AD260000}"/>
    <cellStyle name="Berechnung 3 4 2 8" xfId="10529" xr:uid="{00000000-0005-0000-0000-0000AE260000}"/>
    <cellStyle name="Berechnung 3 4 2 9" xfId="9085" xr:uid="{00000000-0005-0000-0000-0000AF260000}"/>
    <cellStyle name="Berechnung 3 4 3" xfId="1124" xr:uid="{00000000-0005-0000-0000-0000B0260000}"/>
    <cellStyle name="Berechnung 3 4 3 2" xfId="12853" xr:uid="{00000000-0005-0000-0000-0000B1260000}"/>
    <cellStyle name="Berechnung 3 4 3 3" xfId="13990" xr:uid="{00000000-0005-0000-0000-0000B2260000}"/>
    <cellStyle name="Berechnung 3 4 3 4" xfId="17318" xr:uid="{00000000-0005-0000-0000-0000B3260000}"/>
    <cellStyle name="Berechnung 3 4 3 5" xfId="17697" xr:uid="{00000000-0005-0000-0000-0000B4260000}"/>
    <cellStyle name="Berechnung 3 4 3 6" xfId="19270" xr:uid="{00000000-0005-0000-0000-0000B5260000}"/>
    <cellStyle name="Berechnung 3 4 4" xfId="3370" xr:uid="{00000000-0005-0000-0000-0000B6260000}"/>
    <cellStyle name="Berechnung 3 4 5" xfId="8342" xr:uid="{00000000-0005-0000-0000-0000B7260000}"/>
    <cellStyle name="Berechnung 3 4 6" xfId="8787" xr:uid="{00000000-0005-0000-0000-0000B8260000}"/>
    <cellStyle name="Berechnung 3 4 7" xfId="9476" xr:uid="{00000000-0005-0000-0000-0000B9260000}"/>
    <cellStyle name="Berechnung 3 4 8" xfId="9903" xr:uid="{00000000-0005-0000-0000-0000BA260000}"/>
    <cellStyle name="Berechnung 3 4 9" xfId="10315" xr:uid="{00000000-0005-0000-0000-0000BB260000}"/>
    <cellStyle name="Berechnung 3 5" xfId="710" xr:uid="{00000000-0005-0000-0000-0000BC260000}"/>
    <cellStyle name="Berechnung 3 5 10" xfId="11172" xr:uid="{00000000-0005-0000-0000-0000BD260000}"/>
    <cellStyle name="Berechnung 3 5 11" xfId="11559" xr:uid="{00000000-0005-0000-0000-0000BE260000}"/>
    <cellStyle name="Berechnung 3 5 12" xfId="11931" xr:uid="{00000000-0005-0000-0000-0000BF260000}"/>
    <cellStyle name="Berechnung 3 5 13" xfId="12444" xr:uid="{00000000-0005-0000-0000-0000C0260000}"/>
    <cellStyle name="Berechnung 3 5 14" xfId="14262" xr:uid="{00000000-0005-0000-0000-0000C1260000}"/>
    <cellStyle name="Berechnung 3 5 15" xfId="17500" xr:uid="{00000000-0005-0000-0000-0000C2260000}"/>
    <cellStyle name="Berechnung 3 5 16" xfId="16173" xr:uid="{00000000-0005-0000-0000-0000C3260000}"/>
    <cellStyle name="Berechnung 3 5 17" xfId="14138" xr:uid="{00000000-0005-0000-0000-0000C4260000}"/>
    <cellStyle name="Berechnung 3 5 2" xfId="1292" xr:uid="{00000000-0005-0000-0000-0000C5260000}"/>
    <cellStyle name="Berechnung 3 5 2 2" xfId="13021" xr:uid="{00000000-0005-0000-0000-0000C6260000}"/>
    <cellStyle name="Berechnung 3 5 2 3" xfId="14837" xr:uid="{00000000-0005-0000-0000-0000C7260000}"/>
    <cellStyle name="Berechnung 3 5 2 4" xfId="17191" xr:uid="{00000000-0005-0000-0000-0000C8260000}"/>
    <cellStyle name="Berechnung 3 5 2 5" xfId="17690" xr:uid="{00000000-0005-0000-0000-0000C9260000}"/>
    <cellStyle name="Berechnung 3 5 2 6" xfId="19143" xr:uid="{00000000-0005-0000-0000-0000CA260000}"/>
    <cellStyle name="Berechnung 3 5 3" xfId="3356" xr:uid="{00000000-0005-0000-0000-0000CB260000}"/>
    <cellStyle name="Berechnung 3 5 4" xfId="8413" xr:uid="{00000000-0005-0000-0000-0000CC260000}"/>
    <cellStyle name="Berechnung 3 5 5" xfId="9047" xr:uid="{00000000-0005-0000-0000-0000CD260000}"/>
    <cellStyle name="Berechnung 3 5 6" xfId="9612" xr:uid="{00000000-0005-0000-0000-0000CE260000}"/>
    <cellStyle name="Berechnung 3 5 7" xfId="10040" xr:uid="{00000000-0005-0000-0000-0000CF260000}"/>
    <cellStyle name="Berechnung 3 5 8" xfId="10452" xr:uid="{00000000-0005-0000-0000-0000D0260000}"/>
    <cellStyle name="Berechnung 3 5 9" xfId="10756" xr:uid="{00000000-0005-0000-0000-0000D1260000}"/>
    <cellStyle name="Berechnung 3 6" xfId="1335" xr:uid="{00000000-0005-0000-0000-0000D2260000}"/>
    <cellStyle name="Berechnung 3 6 2" xfId="13064" xr:uid="{00000000-0005-0000-0000-0000D3260000}"/>
    <cellStyle name="Berechnung 3 6 3" xfId="14208" xr:uid="{00000000-0005-0000-0000-0000D4260000}"/>
    <cellStyle name="Berechnung 3 6 4" xfId="15104" xr:uid="{00000000-0005-0000-0000-0000D5260000}"/>
    <cellStyle name="Berechnung 3 6 5" xfId="14387" xr:uid="{00000000-0005-0000-0000-0000D6260000}"/>
    <cellStyle name="Berechnung 3 6 6" xfId="19113" xr:uid="{00000000-0005-0000-0000-0000D7260000}"/>
    <cellStyle name="Berechnung 3 7" xfId="3333" xr:uid="{00000000-0005-0000-0000-0000D8260000}"/>
    <cellStyle name="Berechnung 3 8" xfId="8299" xr:uid="{00000000-0005-0000-0000-0000D9260000}"/>
    <cellStyle name="Berechnung 3 9" xfId="8811" xr:uid="{00000000-0005-0000-0000-0000DA260000}"/>
    <cellStyle name="Berechnung 4" xfId="557" xr:uid="{00000000-0005-0000-0000-0000DB260000}"/>
    <cellStyle name="Berechnung 4 10" xfId="8975" xr:uid="{00000000-0005-0000-0000-0000DC260000}"/>
    <cellStyle name="Berechnung 4 11" xfId="11024" xr:uid="{00000000-0005-0000-0000-0000DD260000}"/>
    <cellStyle name="Berechnung 4 12" xfId="11411" xr:uid="{00000000-0005-0000-0000-0000DE260000}"/>
    <cellStyle name="Berechnung 4 13" xfId="11783" xr:uid="{00000000-0005-0000-0000-0000DF260000}"/>
    <cellStyle name="Berechnung 4 14" xfId="12296" xr:uid="{00000000-0005-0000-0000-0000E0260000}"/>
    <cellStyle name="Berechnung 4 15" xfId="15752" xr:uid="{00000000-0005-0000-0000-0000E1260000}"/>
    <cellStyle name="Berechnung 4 16" xfId="15990" xr:uid="{00000000-0005-0000-0000-0000E2260000}"/>
    <cellStyle name="Berechnung 4 17" xfId="14094" xr:uid="{00000000-0005-0000-0000-0000E3260000}"/>
    <cellStyle name="Berechnung 4 18" xfId="14361" xr:uid="{00000000-0005-0000-0000-0000E4260000}"/>
    <cellStyle name="Berechnung 4 2" xfId="772" xr:uid="{00000000-0005-0000-0000-0000E5260000}"/>
    <cellStyle name="Berechnung 4 2 10" xfId="11233" xr:uid="{00000000-0005-0000-0000-0000E6260000}"/>
    <cellStyle name="Berechnung 4 2 11" xfId="11618" xr:uid="{00000000-0005-0000-0000-0000E7260000}"/>
    <cellStyle name="Berechnung 4 2 12" xfId="11989" xr:uid="{00000000-0005-0000-0000-0000E8260000}"/>
    <cellStyle name="Berechnung 4 2 13" xfId="12502" xr:uid="{00000000-0005-0000-0000-0000E9260000}"/>
    <cellStyle name="Berechnung 4 2 14" xfId="14363" xr:uid="{00000000-0005-0000-0000-0000EA260000}"/>
    <cellStyle name="Berechnung 4 2 15" xfId="15455" xr:uid="{00000000-0005-0000-0000-0000EB260000}"/>
    <cellStyle name="Berechnung 4 2 16" xfId="17636" xr:uid="{00000000-0005-0000-0000-0000EC260000}"/>
    <cellStyle name="Berechnung 4 2 17" xfId="16186" xr:uid="{00000000-0005-0000-0000-0000ED260000}"/>
    <cellStyle name="Berechnung 4 2 2" xfId="1031" xr:uid="{00000000-0005-0000-0000-0000EE260000}"/>
    <cellStyle name="Berechnung 4 2 2 2" xfId="12760" xr:uid="{00000000-0005-0000-0000-0000EF260000}"/>
    <cellStyle name="Berechnung 4 2 2 3" xfId="14355" xr:uid="{00000000-0005-0000-0000-0000F0260000}"/>
    <cellStyle name="Berechnung 4 2 2 4" xfId="17382" xr:uid="{00000000-0005-0000-0000-0000F1260000}"/>
    <cellStyle name="Berechnung 4 2 2 5" xfId="16597" xr:uid="{00000000-0005-0000-0000-0000F2260000}"/>
    <cellStyle name="Berechnung 4 2 2 6" xfId="17713" xr:uid="{00000000-0005-0000-0000-0000F3260000}"/>
    <cellStyle name="Berechnung 4 2 3" xfId="3574" xr:uid="{00000000-0005-0000-0000-0000F4260000}"/>
    <cellStyle name="Berechnung 4 2 4" xfId="8442" xr:uid="{00000000-0005-0000-0000-0000F5260000}"/>
    <cellStyle name="Berechnung 4 2 5" xfId="9126" xr:uid="{00000000-0005-0000-0000-0000F6260000}"/>
    <cellStyle name="Berechnung 4 2 6" xfId="9673" xr:uid="{00000000-0005-0000-0000-0000F7260000}"/>
    <cellStyle name="Berechnung 4 2 7" xfId="10102" xr:uid="{00000000-0005-0000-0000-0000F8260000}"/>
    <cellStyle name="Berechnung 4 2 8" xfId="10514" xr:uid="{00000000-0005-0000-0000-0000F9260000}"/>
    <cellStyle name="Berechnung 4 2 9" xfId="9823" xr:uid="{00000000-0005-0000-0000-0000FA260000}"/>
    <cellStyle name="Berechnung 4 3" xfId="1336" xr:uid="{00000000-0005-0000-0000-0000FB260000}"/>
    <cellStyle name="Berechnung 4 3 2" xfId="13065" xr:uid="{00000000-0005-0000-0000-0000FC260000}"/>
    <cellStyle name="Berechnung 4 3 3" xfId="14369" xr:uid="{00000000-0005-0000-0000-0000FD260000}"/>
    <cellStyle name="Berechnung 4 3 4" xfId="17160" xr:uid="{00000000-0005-0000-0000-0000FE260000}"/>
    <cellStyle name="Berechnung 4 3 5" xfId="17855" xr:uid="{00000000-0005-0000-0000-0000FF260000}"/>
    <cellStyle name="Berechnung 4 3 6" xfId="19112" xr:uid="{00000000-0005-0000-0000-000000270000}"/>
    <cellStyle name="Berechnung 4 4" xfId="4073" xr:uid="{00000000-0005-0000-0000-000001270000}"/>
    <cellStyle name="Berechnung 4 5" xfId="8333" xr:uid="{00000000-0005-0000-0000-000002270000}"/>
    <cellStyle name="Berechnung 4 6" xfId="8888" xr:uid="{00000000-0005-0000-0000-000003270000}"/>
    <cellStyle name="Berechnung 4 7" xfId="9461" xr:uid="{00000000-0005-0000-0000-000004270000}"/>
    <cellStyle name="Berechnung 4 8" xfId="9888" xr:uid="{00000000-0005-0000-0000-000005270000}"/>
    <cellStyle name="Berechnung 4 9" xfId="10300" xr:uid="{00000000-0005-0000-0000-000006270000}"/>
    <cellStyle name="Berechnung 5" xfId="674" xr:uid="{00000000-0005-0000-0000-000007270000}"/>
    <cellStyle name="Berechnung 5 10" xfId="10265" xr:uid="{00000000-0005-0000-0000-000008270000}"/>
    <cellStyle name="Berechnung 5 11" xfId="11141" xr:uid="{00000000-0005-0000-0000-000009270000}"/>
    <cellStyle name="Berechnung 5 12" xfId="11528" xr:uid="{00000000-0005-0000-0000-00000A270000}"/>
    <cellStyle name="Berechnung 5 13" xfId="11900" xr:uid="{00000000-0005-0000-0000-00000B270000}"/>
    <cellStyle name="Berechnung 5 14" xfId="12413" xr:uid="{00000000-0005-0000-0000-00000C270000}"/>
    <cellStyle name="Berechnung 5 15" xfId="14317" xr:uid="{00000000-0005-0000-0000-00000D270000}"/>
    <cellStyle name="Berechnung 5 16" xfId="16278" xr:uid="{00000000-0005-0000-0000-00000E270000}"/>
    <cellStyle name="Berechnung 5 17" xfId="15707" xr:uid="{00000000-0005-0000-0000-00000F270000}"/>
    <cellStyle name="Berechnung 5 18" xfId="18901" xr:uid="{00000000-0005-0000-0000-000010270000}"/>
    <cellStyle name="Berechnung 5 2" xfId="889" xr:uid="{00000000-0005-0000-0000-000011270000}"/>
    <cellStyle name="Berechnung 5 2 10" xfId="11350" xr:uid="{00000000-0005-0000-0000-000012270000}"/>
    <cellStyle name="Berechnung 5 2 11" xfId="11735" xr:uid="{00000000-0005-0000-0000-000013270000}"/>
    <cellStyle name="Berechnung 5 2 12" xfId="12106" xr:uid="{00000000-0005-0000-0000-000014270000}"/>
    <cellStyle name="Berechnung 5 2 13" xfId="12619" xr:uid="{00000000-0005-0000-0000-000015270000}"/>
    <cellStyle name="Berechnung 5 2 14" xfId="13763" xr:uid="{00000000-0005-0000-0000-000016270000}"/>
    <cellStyle name="Berechnung 5 2 15" xfId="17453" xr:uid="{00000000-0005-0000-0000-000017270000}"/>
    <cellStyle name="Berechnung 5 2 16" xfId="16975" xr:uid="{00000000-0005-0000-0000-000018270000}"/>
    <cellStyle name="Berechnung 5 2 17" xfId="19405" xr:uid="{00000000-0005-0000-0000-000019270000}"/>
    <cellStyle name="Berechnung 5 2 2" xfId="1391" xr:uid="{00000000-0005-0000-0000-00001A270000}"/>
    <cellStyle name="Berechnung 5 2 2 2" xfId="13120" xr:uid="{00000000-0005-0000-0000-00001B270000}"/>
    <cellStyle name="Berechnung 5 2 2 3" xfId="14850" xr:uid="{00000000-0005-0000-0000-00001C270000}"/>
    <cellStyle name="Berechnung 5 2 2 4" xfId="16547" xr:uid="{00000000-0005-0000-0000-00001D270000}"/>
    <cellStyle name="Berechnung 5 2 2 5" xfId="16607" xr:uid="{00000000-0005-0000-0000-00001E270000}"/>
    <cellStyle name="Berechnung 5 2 2 6" xfId="19070" xr:uid="{00000000-0005-0000-0000-00001F270000}"/>
    <cellStyle name="Berechnung 5 2 3" xfId="4243" xr:uid="{00000000-0005-0000-0000-000020270000}"/>
    <cellStyle name="Berechnung 5 2 4" xfId="8501" xr:uid="{00000000-0005-0000-0000-000021270000}"/>
    <cellStyle name="Berechnung 5 2 5" xfId="9362" xr:uid="{00000000-0005-0000-0000-000022270000}"/>
    <cellStyle name="Berechnung 5 2 6" xfId="9790" xr:uid="{00000000-0005-0000-0000-000023270000}"/>
    <cellStyle name="Berechnung 5 2 7" xfId="10219" xr:uid="{00000000-0005-0000-0000-000024270000}"/>
    <cellStyle name="Berechnung 5 2 8" xfId="10631" xr:uid="{00000000-0005-0000-0000-000025270000}"/>
    <cellStyle name="Berechnung 5 2 9" xfId="10961" xr:uid="{00000000-0005-0000-0000-000026270000}"/>
    <cellStyle name="Berechnung 5 3" xfId="1329" xr:uid="{00000000-0005-0000-0000-000027270000}"/>
    <cellStyle name="Berechnung 5 3 2" xfId="13058" xr:uid="{00000000-0005-0000-0000-000028270000}"/>
    <cellStyle name="Berechnung 5 3 3" xfId="14309" xr:uid="{00000000-0005-0000-0000-000029270000}"/>
    <cellStyle name="Berechnung 5 3 4" xfId="17164" xr:uid="{00000000-0005-0000-0000-00002A270000}"/>
    <cellStyle name="Berechnung 5 3 5" xfId="18149" xr:uid="{00000000-0005-0000-0000-00002B270000}"/>
    <cellStyle name="Berechnung 5 3 6" xfId="19116" xr:uid="{00000000-0005-0000-0000-00002C270000}"/>
    <cellStyle name="Berechnung 5 4" xfId="4059" xr:uid="{00000000-0005-0000-0000-00002D270000}"/>
    <cellStyle name="Berechnung 5 5" xfId="8390" xr:uid="{00000000-0005-0000-0000-00002E270000}"/>
    <cellStyle name="Berechnung 5 6" xfId="8898" xr:uid="{00000000-0005-0000-0000-00002F270000}"/>
    <cellStyle name="Berechnung 5 7" xfId="9578" xr:uid="{00000000-0005-0000-0000-000030270000}"/>
    <cellStyle name="Berechnung 5 8" xfId="10005" xr:uid="{00000000-0005-0000-0000-000031270000}"/>
    <cellStyle name="Berechnung 5 9" xfId="10417" xr:uid="{00000000-0005-0000-0000-000032270000}"/>
    <cellStyle name="Berechnung 6" xfId="686" xr:uid="{00000000-0005-0000-0000-000033270000}"/>
    <cellStyle name="Berechnung 6 10" xfId="10236" xr:uid="{00000000-0005-0000-0000-000034270000}"/>
    <cellStyle name="Berechnung 6 11" xfId="11152" xr:uid="{00000000-0005-0000-0000-000035270000}"/>
    <cellStyle name="Berechnung 6 12" xfId="11539" xr:uid="{00000000-0005-0000-0000-000036270000}"/>
    <cellStyle name="Berechnung 6 13" xfId="11911" xr:uid="{00000000-0005-0000-0000-000037270000}"/>
    <cellStyle name="Berechnung 6 14" xfId="12424" xr:uid="{00000000-0005-0000-0000-000038270000}"/>
    <cellStyle name="Berechnung 6 15" xfId="15208" xr:uid="{00000000-0005-0000-0000-000039270000}"/>
    <cellStyle name="Berechnung 6 16" xfId="15437" xr:uid="{00000000-0005-0000-0000-00003A270000}"/>
    <cellStyle name="Berechnung 6 17" xfId="16963" xr:uid="{00000000-0005-0000-0000-00003B270000}"/>
    <cellStyle name="Berechnung 6 18" xfId="19461" xr:uid="{00000000-0005-0000-0000-00003C270000}"/>
    <cellStyle name="Berechnung 6 2" xfId="900" xr:uid="{00000000-0005-0000-0000-00003D270000}"/>
    <cellStyle name="Berechnung 6 2 10" xfId="11361" xr:uid="{00000000-0005-0000-0000-00003E270000}"/>
    <cellStyle name="Berechnung 6 2 11" xfId="11746" xr:uid="{00000000-0005-0000-0000-00003F270000}"/>
    <cellStyle name="Berechnung 6 2 12" xfId="12117" xr:uid="{00000000-0005-0000-0000-000040270000}"/>
    <cellStyle name="Berechnung 6 2 13" xfId="12630" xr:uid="{00000000-0005-0000-0000-000041270000}"/>
    <cellStyle name="Berechnung 6 2 14" xfId="14797" xr:uid="{00000000-0005-0000-0000-000042270000}"/>
    <cellStyle name="Berechnung 6 2 15" xfId="14359" xr:uid="{00000000-0005-0000-0000-000043270000}"/>
    <cellStyle name="Berechnung 6 2 16" xfId="17092" xr:uid="{00000000-0005-0000-0000-000044270000}"/>
    <cellStyle name="Berechnung 6 2 17" xfId="19400" xr:uid="{00000000-0005-0000-0000-000045270000}"/>
    <cellStyle name="Berechnung 6 2 2" xfId="1402" xr:uid="{00000000-0005-0000-0000-000046270000}"/>
    <cellStyle name="Berechnung 6 2 2 2" xfId="13131" xr:uid="{00000000-0005-0000-0000-000047270000}"/>
    <cellStyle name="Berechnung 6 2 2 3" xfId="14854" xr:uid="{00000000-0005-0000-0000-000048270000}"/>
    <cellStyle name="Berechnung 6 2 2 4" xfId="17110" xr:uid="{00000000-0005-0000-0000-000049270000}"/>
    <cellStyle name="Berechnung 6 2 2 5" xfId="17604" xr:uid="{00000000-0005-0000-0000-00004A270000}"/>
    <cellStyle name="Berechnung 6 2 2 6" xfId="19062" xr:uid="{00000000-0005-0000-0000-00004B270000}"/>
    <cellStyle name="Berechnung 6 2 3" xfId="4254" xr:uid="{00000000-0005-0000-0000-00004C270000}"/>
    <cellStyle name="Berechnung 6 2 4" xfId="8506" xr:uid="{00000000-0005-0000-0000-00004D270000}"/>
    <cellStyle name="Berechnung 6 2 5" xfId="9373" xr:uid="{00000000-0005-0000-0000-00004E270000}"/>
    <cellStyle name="Berechnung 6 2 6" xfId="9801" xr:uid="{00000000-0005-0000-0000-00004F270000}"/>
    <cellStyle name="Berechnung 6 2 7" xfId="10230" xr:uid="{00000000-0005-0000-0000-000050270000}"/>
    <cellStyle name="Berechnung 6 2 8" xfId="10642" xr:uid="{00000000-0005-0000-0000-000051270000}"/>
    <cellStyle name="Berechnung 6 2 9" xfId="10972" xr:uid="{00000000-0005-0000-0000-000052270000}"/>
    <cellStyle name="Berechnung 6 3" xfId="1110" xr:uid="{00000000-0005-0000-0000-000053270000}"/>
    <cellStyle name="Berechnung 6 3 2" xfId="12839" xr:uid="{00000000-0005-0000-0000-000054270000}"/>
    <cellStyle name="Berechnung 6 3 3" xfId="16092" xr:uid="{00000000-0005-0000-0000-000055270000}"/>
    <cellStyle name="Berechnung 6 3 4" xfId="17328" xr:uid="{00000000-0005-0000-0000-000056270000}"/>
    <cellStyle name="Berechnung 6 3 5" xfId="15955" xr:uid="{00000000-0005-0000-0000-000057270000}"/>
    <cellStyle name="Berechnung 6 3 6" xfId="18556" xr:uid="{00000000-0005-0000-0000-000058270000}"/>
    <cellStyle name="Berechnung 6 4" xfId="3592" xr:uid="{00000000-0005-0000-0000-000059270000}"/>
    <cellStyle name="Berechnung 6 5" xfId="8396" xr:uid="{00000000-0005-0000-0000-00005A270000}"/>
    <cellStyle name="Berechnung 6 6" xfId="8654" xr:uid="{00000000-0005-0000-0000-00005B270000}"/>
    <cellStyle name="Berechnung 6 7" xfId="9589" xr:uid="{00000000-0005-0000-0000-00005C270000}"/>
    <cellStyle name="Berechnung 6 8" xfId="10016" xr:uid="{00000000-0005-0000-0000-00005D270000}"/>
    <cellStyle name="Berechnung 6 9" xfId="10428" xr:uid="{00000000-0005-0000-0000-00005E270000}"/>
    <cellStyle name="Berechnung 7" xfId="692" xr:uid="{00000000-0005-0000-0000-00005F270000}"/>
    <cellStyle name="Berechnung 7 10" xfId="11158" xr:uid="{00000000-0005-0000-0000-000060270000}"/>
    <cellStyle name="Berechnung 7 11" xfId="11545" xr:uid="{00000000-0005-0000-0000-000061270000}"/>
    <cellStyle name="Berechnung 7 12" xfId="11917" xr:uid="{00000000-0005-0000-0000-000062270000}"/>
    <cellStyle name="Berechnung 7 13" xfId="12430" xr:uid="{00000000-0005-0000-0000-000063270000}"/>
    <cellStyle name="Berechnung 7 14" xfId="14557" xr:uid="{00000000-0005-0000-0000-000064270000}"/>
    <cellStyle name="Berechnung 7 15" xfId="17510" xr:uid="{00000000-0005-0000-0000-000065270000}"/>
    <cellStyle name="Berechnung 7 16" xfId="13693" xr:uid="{00000000-0005-0000-0000-000066270000}"/>
    <cellStyle name="Berechnung 7 17" xfId="18729" xr:uid="{00000000-0005-0000-0000-000067270000}"/>
    <cellStyle name="Berechnung 7 2" xfId="915" xr:uid="{00000000-0005-0000-0000-000068270000}"/>
    <cellStyle name="Berechnung 7 2 2" xfId="12644" xr:uid="{00000000-0005-0000-0000-000069270000}"/>
    <cellStyle name="Berechnung 7 2 3" xfId="14567" xr:uid="{00000000-0005-0000-0000-00006A270000}"/>
    <cellStyle name="Berechnung 7 2 4" xfId="15156" xr:uid="{00000000-0005-0000-0000-00006B270000}"/>
    <cellStyle name="Berechnung 7 2 5" xfId="18431" xr:uid="{00000000-0005-0000-0000-00006C270000}"/>
    <cellStyle name="Berechnung 7 2 6" xfId="17686" xr:uid="{00000000-0005-0000-0000-00006D270000}"/>
    <cellStyle name="Berechnung 7 3" xfId="4223" xr:uid="{00000000-0005-0000-0000-00006E270000}"/>
    <cellStyle name="Berechnung 7 4" xfId="8398" xr:uid="{00000000-0005-0000-0000-00006F270000}"/>
    <cellStyle name="Berechnung 7 5" xfId="9181" xr:uid="{00000000-0005-0000-0000-000070270000}"/>
    <cellStyle name="Berechnung 7 6" xfId="9595" xr:uid="{00000000-0005-0000-0000-000071270000}"/>
    <cellStyle name="Berechnung 7 7" xfId="10022" xr:uid="{00000000-0005-0000-0000-000072270000}"/>
    <cellStyle name="Berechnung 7 8" xfId="10434" xr:uid="{00000000-0005-0000-0000-000073270000}"/>
    <cellStyle name="Berechnung 7 9" xfId="10945" xr:uid="{00000000-0005-0000-0000-000074270000}"/>
    <cellStyle name="BMM_Data Input" xfId="2170" xr:uid="{00000000-0005-0000-0000-000075270000}"/>
    <cellStyle name="Bold GHG Numbers (0.00)" xfId="140" xr:uid="{00000000-0005-0000-0000-000076270000}"/>
    <cellStyle name="Calculation 10" xfId="5853" xr:uid="{00000000-0005-0000-0000-000077270000}"/>
    <cellStyle name="Calculation 11" xfId="5854" xr:uid="{00000000-0005-0000-0000-000078270000}"/>
    <cellStyle name="Calculation 12" xfId="5855" xr:uid="{00000000-0005-0000-0000-000079270000}"/>
    <cellStyle name="Calculation 13" xfId="5856" xr:uid="{00000000-0005-0000-0000-00007A270000}"/>
    <cellStyle name="Calculation 14" xfId="5857" xr:uid="{00000000-0005-0000-0000-00007B270000}"/>
    <cellStyle name="Calculation 15" xfId="5858" xr:uid="{00000000-0005-0000-0000-00007C270000}"/>
    <cellStyle name="Calculation 16" xfId="5859" xr:uid="{00000000-0005-0000-0000-00007D270000}"/>
    <cellStyle name="Calculation 17" xfId="5860" xr:uid="{00000000-0005-0000-0000-00007E270000}"/>
    <cellStyle name="Calculation 18" xfId="5861" xr:uid="{00000000-0005-0000-0000-00007F270000}"/>
    <cellStyle name="Calculation 19" xfId="5862" xr:uid="{00000000-0005-0000-0000-000080270000}"/>
    <cellStyle name="Calculation 2" xfId="141" xr:uid="{00000000-0005-0000-0000-000081270000}"/>
    <cellStyle name="Calculation 2 10" xfId="5864" xr:uid="{00000000-0005-0000-0000-000082270000}"/>
    <cellStyle name="Calculation 2 11" xfId="5865" xr:uid="{00000000-0005-0000-0000-000083270000}"/>
    <cellStyle name="Calculation 2 12" xfId="5866" xr:uid="{00000000-0005-0000-0000-000084270000}"/>
    <cellStyle name="Calculation 2 13" xfId="5867" xr:uid="{00000000-0005-0000-0000-000085270000}"/>
    <cellStyle name="Calculation 2 14" xfId="5868" xr:uid="{00000000-0005-0000-0000-000086270000}"/>
    <cellStyle name="Calculation 2 15" xfId="5869" xr:uid="{00000000-0005-0000-0000-000087270000}"/>
    <cellStyle name="Calculation 2 16" xfId="5870" xr:uid="{00000000-0005-0000-0000-000088270000}"/>
    <cellStyle name="Calculation 2 17" xfId="5871" xr:uid="{00000000-0005-0000-0000-000089270000}"/>
    <cellStyle name="Calculation 2 18" xfId="5872" xr:uid="{00000000-0005-0000-0000-00008A270000}"/>
    <cellStyle name="Calculation 2 19" xfId="5863" xr:uid="{00000000-0005-0000-0000-00008B270000}"/>
    <cellStyle name="Calculation 2 2" xfId="559" xr:uid="{00000000-0005-0000-0000-00008C270000}"/>
    <cellStyle name="Calculation 2 2 10" xfId="9890" xr:uid="{00000000-0005-0000-0000-00008D270000}"/>
    <cellStyle name="Calculation 2 2 11" xfId="10302" xr:uid="{00000000-0005-0000-0000-00008E270000}"/>
    <cellStyle name="Calculation 2 2 12" xfId="10844" xr:uid="{00000000-0005-0000-0000-00008F270000}"/>
    <cellStyle name="Calculation 2 2 13" xfId="11026" xr:uid="{00000000-0005-0000-0000-000090270000}"/>
    <cellStyle name="Calculation 2 2 14" xfId="11413" xr:uid="{00000000-0005-0000-0000-000091270000}"/>
    <cellStyle name="Calculation 2 2 15" xfId="11785" xr:uid="{00000000-0005-0000-0000-000092270000}"/>
    <cellStyle name="Calculation 2 2 16" xfId="12298" xr:uid="{00000000-0005-0000-0000-000093270000}"/>
    <cellStyle name="Calculation 2 2 17" xfId="15078" xr:uid="{00000000-0005-0000-0000-000094270000}"/>
    <cellStyle name="Calculation 2 2 18" xfId="13959" xr:uid="{00000000-0005-0000-0000-000095270000}"/>
    <cellStyle name="Calculation 2 2 19" xfId="18281" xr:uid="{00000000-0005-0000-0000-000096270000}"/>
    <cellStyle name="Calculation 2 2 2" xfId="774" xr:uid="{00000000-0005-0000-0000-000097270000}"/>
    <cellStyle name="Calculation 2 2 2 10" xfId="10516" xr:uid="{00000000-0005-0000-0000-000098270000}"/>
    <cellStyle name="Calculation 2 2 2 11" xfId="10828" xr:uid="{00000000-0005-0000-0000-000099270000}"/>
    <cellStyle name="Calculation 2 2 2 12" xfId="11235" xr:uid="{00000000-0005-0000-0000-00009A270000}"/>
    <cellStyle name="Calculation 2 2 2 13" xfId="11620" xr:uid="{00000000-0005-0000-0000-00009B270000}"/>
    <cellStyle name="Calculation 2 2 2 14" xfId="11991" xr:uid="{00000000-0005-0000-0000-00009C270000}"/>
    <cellStyle name="Calculation 2 2 2 15" xfId="12504" xr:uid="{00000000-0005-0000-0000-00009D270000}"/>
    <cellStyle name="Calculation 2 2 2 16" xfId="16056" xr:uid="{00000000-0005-0000-0000-00009E270000}"/>
    <cellStyle name="Calculation 2 2 2 17" xfId="15140" xr:uid="{00000000-0005-0000-0000-00009F270000}"/>
    <cellStyle name="Calculation 2 2 2 18" xfId="18479" xr:uid="{00000000-0005-0000-0000-0000A0270000}"/>
    <cellStyle name="Calculation 2 2 2 19" xfId="18388" xr:uid="{00000000-0005-0000-0000-0000A1270000}"/>
    <cellStyle name="Calculation 2 2 2 2" xfId="1116" xr:uid="{00000000-0005-0000-0000-0000A2270000}"/>
    <cellStyle name="Calculation 2 2 2 2 2" xfId="12845" xr:uid="{00000000-0005-0000-0000-0000A3270000}"/>
    <cellStyle name="Calculation 2 2 2 2 3" xfId="14111" xr:uid="{00000000-0005-0000-0000-0000A4270000}"/>
    <cellStyle name="Calculation 2 2 2 2 4" xfId="17323" xr:uid="{00000000-0005-0000-0000-0000A5270000}"/>
    <cellStyle name="Calculation 2 2 2 2 5" xfId="14247" xr:uid="{00000000-0005-0000-0000-0000A6270000}"/>
    <cellStyle name="Calculation 2 2 2 2 6" xfId="19275" xr:uid="{00000000-0005-0000-0000-0000A7270000}"/>
    <cellStyle name="Calculation 2 2 2 3" xfId="1513" xr:uid="{00000000-0005-0000-0000-0000A8270000}"/>
    <cellStyle name="Calculation 2 2 2 3 2" xfId="13137" xr:uid="{00000000-0005-0000-0000-0000A9270000}"/>
    <cellStyle name="Calculation 2 2 2 3 3" xfId="16692" xr:uid="{00000000-0005-0000-0000-0000AA270000}"/>
    <cellStyle name="Calculation 2 2 2 3 4" xfId="16578" xr:uid="{00000000-0005-0000-0000-0000AB270000}"/>
    <cellStyle name="Calculation 2 2 2 3 5" xfId="18287" xr:uid="{00000000-0005-0000-0000-0000AC270000}"/>
    <cellStyle name="Calculation 2 2 2 3 6" xfId="19601" xr:uid="{00000000-0005-0000-0000-0000AD270000}"/>
    <cellStyle name="Calculation 2 2 2 4" xfId="3925" xr:uid="{00000000-0005-0000-0000-0000AE270000}"/>
    <cellStyle name="Calculation 2 2 2 5" xfId="5874" xr:uid="{00000000-0005-0000-0000-0000AF270000}"/>
    <cellStyle name="Calculation 2 2 2 6" xfId="8443" xr:uid="{00000000-0005-0000-0000-0000B0270000}"/>
    <cellStyle name="Calculation 2 2 2 7" xfId="9050" xr:uid="{00000000-0005-0000-0000-0000B1270000}"/>
    <cellStyle name="Calculation 2 2 2 8" xfId="9675" xr:uid="{00000000-0005-0000-0000-0000B2270000}"/>
    <cellStyle name="Calculation 2 2 2 9" xfId="10104" xr:uid="{00000000-0005-0000-0000-0000B3270000}"/>
    <cellStyle name="Calculation 2 2 20" xfId="15661" xr:uid="{00000000-0005-0000-0000-0000B4270000}"/>
    <cellStyle name="Calculation 2 2 3" xfId="926" xr:uid="{00000000-0005-0000-0000-0000B5270000}"/>
    <cellStyle name="Calculation 2 2 3 2" xfId="5875" xr:uid="{00000000-0005-0000-0000-0000B6270000}"/>
    <cellStyle name="Calculation 2 2 3 3" xfId="12655" xr:uid="{00000000-0005-0000-0000-0000B7270000}"/>
    <cellStyle name="Calculation 2 2 3 4" xfId="15112" xr:uid="{00000000-0005-0000-0000-0000B8270000}"/>
    <cellStyle name="Calculation 2 2 3 5" xfId="14724" xr:uid="{00000000-0005-0000-0000-0000B9270000}"/>
    <cellStyle name="Calculation 2 2 3 6" xfId="18493" xr:uid="{00000000-0005-0000-0000-0000BA270000}"/>
    <cellStyle name="Calculation 2 2 3 7" xfId="18409" xr:uid="{00000000-0005-0000-0000-0000BB270000}"/>
    <cellStyle name="Calculation 2 2 4" xfId="3478" xr:uid="{00000000-0005-0000-0000-0000BC270000}"/>
    <cellStyle name="Calculation 2 2 4 2" xfId="5876" xr:uid="{00000000-0005-0000-0000-0000BD270000}"/>
    <cellStyle name="Calculation 2 2 5" xfId="5877" xr:uid="{00000000-0005-0000-0000-0000BE270000}"/>
    <cellStyle name="Calculation 2 2 6" xfId="5873" xr:uid="{00000000-0005-0000-0000-0000BF270000}"/>
    <cellStyle name="Calculation 2 2 7" xfId="8334" xr:uid="{00000000-0005-0000-0000-0000C0270000}"/>
    <cellStyle name="Calculation 2 2 8" xfId="8663" xr:uid="{00000000-0005-0000-0000-0000C1270000}"/>
    <cellStyle name="Calculation 2 2 9" xfId="9463" xr:uid="{00000000-0005-0000-0000-0000C2270000}"/>
    <cellStyle name="Calculation 2 20" xfId="8277" xr:uid="{00000000-0005-0000-0000-0000C3270000}"/>
    <cellStyle name="Calculation 2 21" xfId="9200" xr:uid="{00000000-0005-0000-0000-0000C4270000}"/>
    <cellStyle name="Calculation 2 22" xfId="8679" xr:uid="{00000000-0005-0000-0000-0000C5270000}"/>
    <cellStyle name="Calculation 2 23" xfId="8860" xr:uid="{00000000-0005-0000-0000-0000C6270000}"/>
    <cellStyle name="Calculation 2 24" xfId="10716" xr:uid="{00000000-0005-0000-0000-0000C7270000}"/>
    <cellStyle name="Calculation 2 25" xfId="9144" xr:uid="{00000000-0005-0000-0000-0000C8270000}"/>
    <cellStyle name="Calculation 2 26" xfId="10980" xr:uid="{00000000-0005-0000-0000-0000C9270000}"/>
    <cellStyle name="Calculation 2 27" xfId="12153" xr:uid="{00000000-0005-0000-0000-0000CA270000}"/>
    <cellStyle name="Calculation 2 28" xfId="12204" xr:uid="{00000000-0005-0000-0000-0000CB270000}"/>
    <cellStyle name="Calculation 2 29" xfId="14052" xr:uid="{00000000-0005-0000-0000-0000CC270000}"/>
    <cellStyle name="Calculation 2 3" xfId="643" xr:uid="{00000000-0005-0000-0000-0000CD270000}"/>
    <cellStyle name="Calculation 2 3 10" xfId="10386" xr:uid="{00000000-0005-0000-0000-0000CE270000}"/>
    <cellStyle name="Calculation 2 3 11" xfId="8947" xr:uid="{00000000-0005-0000-0000-0000CF270000}"/>
    <cellStyle name="Calculation 2 3 12" xfId="11110" xr:uid="{00000000-0005-0000-0000-0000D0270000}"/>
    <cellStyle name="Calculation 2 3 13" xfId="11497" xr:uid="{00000000-0005-0000-0000-0000D1270000}"/>
    <cellStyle name="Calculation 2 3 14" xfId="11869" xr:uid="{00000000-0005-0000-0000-0000D2270000}"/>
    <cellStyle name="Calculation 2 3 15" xfId="12382" xr:uid="{00000000-0005-0000-0000-0000D3270000}"/>
    <cellStyle name="Calculation 2 3 16" xfId="15739" xr:uid="{00000000-0005-0000-0000-0000D4270000}"/>
    <cellStyle name="Calculation 2 3 17" xfId="14365" xr:uid="{00000000-0005-0000-0000-0000D5270000}"/>
    <cellStyle name="Calculation 2 3 18" xfId="18398" xr:uid="{00000000-0005-0000-0000-0000D6270000}"/>
    <cellStyle name="Calculation 2 3 19" xfId="18669" xr:uid="{00000000-0005-0000-0000-0000D7270000}"/>
    <cellStyle name="Calculation 2 3 2" xfId="858" xr:uid="{00000000-0005-0000-0000-0000D8270000}"/>
    <cellStyle name="Calculation 2 3 2 10" xfId="9820" xr:uid="{00000000-0005-0000-0000-0000D9270000}"/>
    <cellStyle name="Calculation 2 3 2 11" xfId="11319" xr:uid="{00000000-0005-0000-0000-0000DA270000}"/>
    <cellStyle name="Calculation 2 3 2 12" xfId="11704" xr:uid="{00000000-0005-0000-0000-0000DB270000}"/>
    <cellStyle name="Calculation 2 3 2 13" xfId="12075" xr:uid="{00000000-0005-0000-0000-0000DC270000}"/>
    <cellStyle name="Calculation 2 3 2 14" xfId="12588" xr:uid="{00000000-0005-0000-0000-0000DD270000}"/>
    <cellStyle name="Calculation 2 3 2 15" xfId="14172" xr:uid="{00000000-0005-0000-0000-0000DE270000}"/>
    <cellStyle name="Calculation 2 3 2 16" xfId="14074" xr:uid="{00000000-0005-0000-0000-0000DF270000}"/>
    <cellStyle name="Calculation 2 3 2 17" xfId="14492" xr:uid="{00000000-0005-0000-0000-0000E0270000}"/>
    <cellStyle name="Calculation 2 3 2 18" xfId="18336" xr:uid="{00000000-0005-0000-0000-0000E1270000}"/>
    <cellStyle name="Calculation 2 3 2 2" xfId="1113" xr:uid="{00000000-0005-0000-0000-0000E2270000}"/>
    <cellStyle name="Calculation 2 3 2 2 2" xfId="12842" xr:uid="{00000000-0005-0000-0000-0000E3270000}"/>
    <cellStyle name="Calculation 2 3 2 2 3" xfId="14347" xr:uid="{00000000-0005-0000-0000-0000E4270000}"/>
    <cellStyle name="Calculation 2 3 2 2 4" xfId="17326" xr:uid="{00000000-0005-0000-0000-0000E5270000}"/>
    <cellStyle name="Calculation 2 3 2 2 5" xfId="17046" xr:uid="{00000000-0005-0000-0000-0000E6270000}"/>
    <cellStyle name="Calculation 2 3 2 2 6" xfId="19278" xr:uid="{00000000-0005-0000-0000-0000E7270000}"/>
    <cellStyle name="Calculation 2 3 2 3" xfId="1514" xr:uid="{00000000-0005-0000-0000-0000E8270000}"/>
    <cellStyle name="Calculation 2 3 2 3 2" xfId="13138" xr:uid="{00000000-0005-0000-0000-0000E9270000}"/>
    <cellStyle name="Calculation 2 3 2 3 3" xfId="15168" xr:uid="{00000000-0005-0000-0000-0000EA270000}"/>
    <cellStyle name="Calculation 2 3 2 3 4" xfId="17803" xr:uid="{00000000-0005-0000-0000-0000EB270000}"/>
    <cellStyle name="Calculation 2 3 2 3 5" xfId="18263" xr:uid="{00000000-0005-0000-0000-0000EC270000}"/>
    <cellStyle name="Calculation 2 3 2 3 6" xfId="18741" xr:uid="{00000000-0005-0000-0000-0000ED270000}"/>
    <cellStyle name="Calculation 2 3 2 4" xfId="4134" xr:uid="{00000000-0005-0000-0000-0000EE270000}"/>
    <cellStyle name="Calculation 2 3 2 5" xfId="8487" xr:uid="{00000000-0005-0000-0000-0000EF270000}"/>
    <cellStyle name="Calculation 2 3 2 6" xfId="9331" xr:uid="{00000000-0005-0000-0000-0000F0270000}"/>
    <cellStyle name="Calculation 2 3 2 7" xfId="9759" xr:uid="{00000000-0005-0000-0000-0000F1270000}"/>
    <cellStyle name="Calculation 2 3 2 8" xfId="10188" xr:uid="{00000000-0005-0000-0000-0000F2270000}"/>
    <cellStyle name="Calculation 2 3 2 9" xfId="10600" xr:uid="{00000000-0005-0000-0000-0000F3270000}"/>
    <cellStyle name="Calculation 2 3 3" xfId="1173" xr:uid="{00000000-0005-0000-0000-0000F4270000}"/>
    <cellStyle name="Calculation 2 3 3 2" xfId="12902" xr:uid="{00000000-0005-0000-0000-0000F5270000}"/>
    <cellStyle name="Calculation 2 3 3 3" xfId="14821" xr:uid="{00000000-0005-0000-0000-0000F6270000}"/>
    <cellStyle name="Calculation 2 3 3 4" xfId="17279" xr:uid="{00000000-0005-0000-0000-0000F7270000}"/>
    <cellStyle name="Calculation 2 3 3 5" xfId="18129" xr:uid="{00000000-0005-0000-0000-0000F8270000}"/>
    <cellStyle name="Calculation 2 3 3 6" xfId="19231" xr:uid="{00000000-0005-0000-0000-0000F9270000}"/>
    <cellStyle name="Calculation 2 3 4" xfId="3684" xr:uid="{00000000-0005-0000-0000-0000FA270000}"/>
    <cellStyle name="Calculation 2 3 5" xfId="5878" xr:uid="{00000000-0005-0000-0000-0000FB270000}"/>
    <cellStyle name="Calculation 2 3 6" xfId="8375" xr:uid="{00000000-0005-0000-0000-0000FC270000}"/>
    <cellStyle name="Calculation 2 3 7" xfId="9256" xr:uid="{00000000-0005-0000-0000-0000FD270000}"/>
    <cellStyle name="Calculation 2 3 8" xfId="9547" xr:uid="{00000000-0005-0000-0000-0000FE270000}"/>
    <cellStyle name="Calculation 2 3 9" xfId="9974" xr:uid="{00000000-0005-0000-0000-0000FF270000}"/>
    <cellStyle name="Calculation 2 30" xfId="15656" xr:uid="{00000000-0005-0000-0000-000000280000}"/>
    <cellStyle name="Calculation 2 31" xfId="18384" xr:uid="{00000000-0005-0000-0000-000001280000}"/>
    <cellStyle name="Calculation 2 32" xfId="18533" xr:uid="{00000000-0005-0000-0000-000002280000}"/>
    <cellStyle name="Calculation 2 4" xfId="549" xr:uid="{00000000-0005-0000-0000-000003280000}"/>
    <cellStyle name="Calculation 2 4 10" xfId="10292" xr:uid="{00000000-0005-0000-0000-000004280000}"/>
    <cellStyle name="Calculation 2 4 11" xfId="9129" xr:uid="{00000000-0005-0000-0000-000005280000}"/>
    <cellStyle name="Calculation 2 4 12" xfId="11016" xr:uid="{00000000-0005-0000-0000-000006280000}"/>
    <cellStyle name="Calculation 2 4 13" xfId="11403" xr:uid="{00000000-0005-0000-0000-000007280000}"/>
    <cellStyle name="Calculation 2 4 14" xfId="11775" xr:uid="{00000000-0005-0000-0000-000008280000}"/>
    <cellStyle name="Calculation 2 4 15" xfId="12288" xr:uid="{00000000-0005-0000-0000-000009280000}"/>
    <cellStyle name="Calculation 2 4 16" xfId="15197" xr:uid="{00000000-0005-0000-0000-00000A280000}"/>
    <cellStyle name="Calculation 2 4 17" xfId="17525" xr:uid="{00000000-0005-0000-0000-00000B280000}"/>
    <cellStyle name="Calculation 2 4 18" xfId="18188" xr:uid="{00000000-0005-0000-0000-00000C280000}"/>
    <cellStyle name="Calculation 2 4 19" xfId="19472" xr:uid="{00000000-0005-0000-0000-00000D280000}"/>
    <cellStyle name="Calculation 2 4 2" xfId="764" xr:uid="{00000000-0005-0000-0000-00000E280000}"/>
    <cellStyle name="Calculation 2 4 2 10" xfId="11225" xr:uid="{00000000-0005-0000-0000-00000F280000}"/>
    <cellStyle name="Calculation 2 4 2 11" xfId="11610" xr:uid="{00000000-0005-0000-0000-000010280000}"/>
    <cellStyle name="Calculation 2 4 2 12" xfId="11981" xr:uid="{00000000-0005-0000-0000-000011280000}"/>
    <cellStyle name="Calculation 2 4 2 13" xfId="12494" xr:uid="{00000000-0005-0000-0000-000012280000}"/>
    <cellStyle name="Calculation 2 4 2 14" xfId="14518" xr:uid="{00000000-0005-0000-0000-000013280000}"/>
    <cellStyle name="Calculation 2 4 2 15" xfId="14769" xr:uid="{00000000-0005-0000-0000-000014280000}"/>
    <cellStyle name="Calculation 2 4 2 16" xfId="18475" xr:uid="{00000000-0005-0000-0000-000015280000}"/>
    <cellStyle name="Calculation 2 4 2 17" xfId="14354" xr:uid="{00000000-0005-0000-0000-000016280000}"/>
    <cellStyle name="Calculation 2 4 2 2" xfId="1043" xr:uid="{00000000-0005-0000-0000-000017280000}"/>
    <cellStyle name="Calculation 2 4 2 2 2" xfId="12772" xr:uid="{00000000-0005-0000-0000-000018280000}"/>
    <cellStyle name="Calculation 2 4 2 2 3" xfId="14141" xr:uid="{00000000-0005-0000-0000-000019280000}"/>
    <cellStyle name="Calculation 2 4 2 2 4" xfId="16420" xr:uid="{00000000-0005-0000-0000-00001A280000}"/>
    <cellStyle name="Calculation 2 4 2 2 5" xfId="15643" xr:uid="{00000000-0005-0000-0000-00001B280000}"/>
    <cellStyle name="Calculation 2 4 2 2 6" xfId="15746" xr:uid="{00000000-0005-0000-0000-00001C280000}"/>
    <cellStyle name="Calculation 2 4 2 3" xfId="3994" xr:uid="{00000000-0005-0000-0000-00001D280000}"/>
    <cellStyle name="Calculation 2 4 2 4" xfId="8436" xr:uid="{00000000-0005-0000-0000-00001E280000}"/>
    <cellStyle name="Calculation 2 4 2 5" xfId="8884" xr:uid="{00000000-0005-0000-0000-00001F280000}"/>
    <cellStyle name="Calculation 2 4 2 6" xfId="9665" xr:uid="{00000000-0005-0000-0000-000020280000}"/>
    <cellStyle name="Calculation 2 4 2 7" xfId="10094" xr:uid="{00000000-0005-0000-0000-000021280000}"/>
    <cellStyle name="Calculation 2 4 2 8" xfId="10506" xr:uid="{00000000-0005-0000-0000-000022280000}"/>
    <cellStyle name="Calculation 2 4 2 9" xfId="8997" xr:uid="{00000000-0005-0000-0000-000023280000}"/>
    <cellStyle name="Calculation 2 4 3" xfId="1152" xr:uid="{00000000-0005-0000-0000-000024280000}"/>
    <cellStyle name="Calculation 2 4 3 2" xfId="12881" xr:uid="{00000000-0005-0000-0000-000025280000}"/>
    <cellStyle name="Calculation 2 4 3 3" xfId="15335" xr:uid="{00000000-0005-0000-0000-000026280000}"/>
    <cellStyle name="Calculation 2 4 3 4" xfId="17296" xr:uid="{00000000-0005-0000-0000-000027280000}"/>
    <cellStyle name="Calculation 2 4 3 5" xfId="18127" xr:uid="{00000000-0005-0000-0000-000028280000}"/>
    <cellStyle name="Calculation 2 4 3 6" xfId="19248" xr:uid="{00000000-0005-0000-0000-000029280000}"/>
    <cellStyle name="Calculation 2 4 4" xfId="4179" xr:uid="{00000000-0005-0000-0000-00002A280000}"/>
    <cellStyle name="Calculation 2 4 5" xfId="5879" xr:uid="{00000000-0005-0000-0000-00002B280000}"/>
    <cellStyle name="Calculation 2 4 6" xfId="8328" xr:uid="{00000000-0005-0000-0000-00002C280000}"/>
    <cellStyle name="Calculation 2 4 7" xfId="9270" xr:uid="{00000000-0005-0000-0000-00002D280000}"/>
    <cellStyle name="Calculation 2 4 8" xfId="9453" xr:uid="{00000000-0005-0000-0000-00002E280000}"/>
    <cellStyle name="Calculation 2 4 9" xfId="9880" xr:uid="{00000000-0005-0000-0000-00002F280000}"/>
    <cellStyle name="Calculation 2 5" xfId="693" xr:uid="{00000000-0005-0000-0000-000030280000}"/>
    <cellStyle name="Calculation 2 5 10" xfId="10920" xr:uid="{00000000-0005-0000-0000-000031280000}"/>
    <cellStyle name="Calculation 2 5 11" xfId="11159" xr:uid="{00000000-0005-0000-0000-000032280000}"/>
    <cellStyle name="Calculation 2 5 12" xfId="11546" xr:uid="{00000000-0005-0000-0000-000033280000}"/>
    <cellStyle name="Calculation 2 5 13" xfId="11918" xr:uid="{00000000-0005-0000-0000-000034280000}"/>
    <cellStyle name="Calculation 2 5 14" xfId="12431" xr:uid="{00000000-0005-0000-0000-000035280000}"/>
    <cellStyle name="Calculation 2 5 15" xfId="15212" xr:uid="{00000000-0005-0000-0000-000036280000}"/>
    <cellStyle name="Calculation 2 5 16" xfId="14050" xr:uid="{00000000-0005-0000-0000-000037280000}"/>
    <cellStyle name="Calculation 2 5 17" xfId="14267" xr:uid="{00000000-0005-0000-0000-000038280000}"/>
    <cellStyle name="Calculation 2 5 18" xfId="19457" xr:uid="{00000000-0005-0000-0000-000039280000}"/>
    <cellStyle name="Calculation 2 5 2" xfId="1290" xr:uid="{00000000-0005-0000-0000-00003A280000}"/>
    <cellStyle name="Calculation 2 5 2 2" xfId="13019" xr:uid="{00000000-0005-0000-0000-00003B280000}"/>
    <cellStyle name="Calculation 2 5 2 3" xfId="15181" xr:uid="{00000000-0005-0000-0000-00003C280000}"/>
    <cellStyle name="Calculation 2 5 2 4" xfId="14440" xr:uid="{00000000-0005-0000-0000-00003D280000}"/>
    <cellStyle name="Calculation 2 5 2 5" xfId="17914" xr:uid="{00000000-0005-0000-0000-00003E280000}"/>
    <cellStyle name="Calculation 2 5 2 6" xfId="18344" xr:uid="{00000000-0005-0000-0000-00003F280000}"/>
    <cellStyle name="Calculation 2 5 3" xfId="3340" xr:uid="{00000000-0005-0000-0000-000040280000}"/>
    <cellStyle name="Calculation 2 5 4" xfId="5880" xr:uid="{00000000-0005-0000-0000-000041280000}"/>
    <cellStyle name="Calculation 2 5 5" xfId="8399" xr:uid="{00000000-0005-0000-0000-000042280000}"/>
    <cellStyle name="Calculation 2 5 6" xfId="8991" xr:uid="{00000000-0005-0000-0000-000043280000}"/>
    <cellStyle name="Calculation 2 5 7" xfId="9596" xr:uid="{00000000-0005-0000-0000-000044280000}"/>
    <cellStyle name="Calculation 2 5 8" xfId="10023" xr:uid="{00000000-0005-0000-0000-000045280000}"/>
    <cellStyle name="Calculation 2 5 9" xfId="10435" xr:uid="{00000000-0005-0000-0000-000046280000}"/>
    <cellStyle name="Calculation 2 6" xfId="1271" xr:uid="{00000000-0005-0000-0000-000047280000}"/>
    <cellStyle name="Calculation 2 6 2" xfId="5881" xr:uid="{00000000-0005-0000-0000-000048280000}"/>
    <cellStyle name="Calculation 2 6 3" xfId="13000" xr:uid="{00000000-0005-0000-0000-000049280000}"/>
    <cellStyle name="Calculation 2 6 4" xfId="15400" xr:uid="{00000000-0005-0000-0000-00004A280000}"/>
    <cellStyle name="Calculation 2 6 5" xfId="13788" xr:uid="{00000000-0005-0000-0000-00004B280000}"/>
    <cellStyle name="Calculation 2 6 6" xfId="14860" xr:uid="{00000000-0005-0000-0000-00004C280000}"/>
    <cellStyle name="Calculation 2 6 7" xfId="19159" xr:uid="{00000000-0005-0000-0000-00004D280000}"/>
    <cellStyle name="Calculation 2 7" xfId="4198" xr:uid="{00000000-0005-0000-0000-00004E280000}"/>
    <cellStyle name="Calculation 2 7 2" xfId="5882" xr:uid="{00000000-0005-0000-0000-00004F280000}"/>
    <cellStyle name="Calculation 2 8" xfId="5883" xr:uid="{00000000-0005-0000-0000-000050280000}"/>
    <cellStyle name="Calculation 2 9" xfId="5884" xr:uid="{00000000-0005-0000-0000-000051280000}"/>
    <cellStyle name="Calculation 20" xfId="5885" xr:uid="{00000000-0005-0000-0000-000052280000}"/>
    <cellStyle name="Calculation 21" xfId="5886" xr:uid="{00000000-0005-0000-0000-000053280000}"/>
    <cellStyle name="Calculation 22" xfId="5887" xr:uid="{00000000-0005-0000-0000-000054280000}"/>
    <cellStyle name="Calculation 23" xfId="5888" xr:uid="{00000000-0005-0000-0000-000055280000}"/>
    <cellStyle name="Calculation 24" xfId="5889" xr:uid="{00000000-0005-0000-0000-000056280000}"/>
    <cellStyle name="Calculation 25" xfId="12152" xr:uid="{00000000-0005-0000-0000-000057280000}"/>
    <cellStyle name="Calculation 3" xfId="237" xr:uid="{00000000-0005-0000-0000-000058280000}"/>
    <cellStyle name="Calculation 3 10" xfId="8293" xr:uid="{00000000-0005-0000-0000-000059280000}"/>
    <cellStyle name="Calculation 3 11" xfId="8835" xr:uid="{00000000-0005-0000-0000-00005A280000}"/>
    <cellStyle name="Calculation 3 12" xfId="8576" xr:uid="{00000000-0005-0000-0000-00005B280000}"/>
    <cellStyle name="Calculation 3 13" xfId="9120" xr:uid="{00000000-0005-0000-0000-00005C280000}"/>
    <cellStyle name="Calculation 3 14" xfId="10937" xr:uid="{00000000-0005-0000-0000-00005D280000}"/>
    <cellStyle name="Calculation 3 15" xfId="9405" xr:uid="{00000000-0005-0000-0000-00005E280000}"/>
    <cellStyle name="Calculation 3 16" xfId="10798" xr:uid="{00000000-0005-0000-0000-00005F280000}"/>
    <cellStyle name="Calculation 3 17" xfId="12217" xr:uid="{00000000-0005-0000-0000-000060280000}"/>
    <cellStyle name="Calculation 3 18" xfId="16548" xr:uid="{00000000-0005-0000-0000-000061280000}"/>
    <cellStyle name="Calculation 3 19" xfId="17664" xr:uid="{00000000-0005-0000-0000-000062280000}"/>
    <cellStyle name="Calculation 3 2" xfId="598" xr:uid="{00000000-0005-0000-0000-000063280000}"/>
    <cellStyle name="Calculation 3 2 10" xfId="10341" xr:uid="{00000000-0005-0000-0000-000064280000}"/>
    <cellStyle name="Calculation 3 2 11" xfId="10903" xr:uid="{00000000-0005-0000-0000-000065280000}"/>
    <cellStyle name="Calculation 3 2 12" xfId="11065" xr:uid="{00000000-0005-0000-0000-000066280000}"/>
    <cellStyle name="Calculation 3 2 13" xfId="11452" xr:uid="{00000000-0005-0000-0000-000067280000}"/>
    <cellStyle name="Calculation 3 2 14" xfId="11824" xr:uid="{00000000-0005-0000-0000-000068280000}"/>
    <cellStyle name="Calculation 3 2 15" xfId="12337" xr:uid="{00000000-0005-0000-0000-000069280000}"/>
    <cellStyle name="Calculation 3 2 16" xfId="16207" xr:uid="{00000000-0005-0000-0000-00006A280000}"/>
    <cellStyle name="Calculation 3 2 17" xfId="14182" xr:uid="{00000000-0005-0000-0000-00006B280000}"/>
    <cellStyle name="Calculation 3 2 18" xfId="18579" xr:uid="{00000000-0005-0000-0000-00006C280000}"/>
    <cellStyle name="Calculation 3 2 19" xfId="18098" xr:uid="{00000000-0005-0000-0000-00006D280000}"/>
    <cellStyle name="Calculation 3 2 2" xfId="813" xr:uid="{00000000-0005-0000-0000-00006E280000}"/>
    <cellStyle name="Calculation 3 2 2 10" xfId="11274" xr:uid="{00000000-0005-0000-0000-00006F280000}"/>
    <cellStyle name="Calculation 3 2 2 11" xfId="11659" xr:uid="{00000000-0005-0000-0000-000070280000}"/>
    <cellStyle name="Calculation 3 2 2 12" xfId="12030" xr:uid="{00000000-0005-0000-0000-000071280000}"/>
    <cellStyle name="Calculation 3 2 2 13" xfId="12543" xr:uid="{00000000-0005-0000-0000-000072280000}"/>
    <cellStyle name="Calculation 3 2 2 14" xfId="16069" xr:uid="{00000000-0005-0000-0000-000073280000}"/>
    <cellStyle name="Calculation 3 2 2 15" xfId="16154" xr:uid="{00000000-0005-0000-0000-000074280000}"/>
    <cellStyle name="Calculation 3 2 2 16" xfId="18463" xr:uid="{00000000-0005-0000-0000-000075280000}"/>
    <cellStyle name="Calculation 3 2 2 17" xfId="18570" xr:uid="{00000000-0005-0000-0000-000076280000}"/>
    <cellStyle name="Calculation 3 2 2 2" xfId="945" xr:uid="{00000000-0005-0000-0000-000077280000}"/>
    <cellStyle name="Calculation 3 2 2 2 2" xfId="12674" xr:uid="{00000000-0005-0000-0000-000078280000}"/>
    <cellStyle name="Calculation 3 2 2 2 3" xfId="15261" xr:uid="{00000000-0005-0000-0000-000079280000}"/>
    <cellStyle name="Calculation 3 2 2 2 4" xfId="14868" xr:uid="{00000000-0005-0000-0000-00007A280000}"/>
    <cellStyle name="Calculation 3 2 2 2 5" xfId="13808" xr:uid="{00000000-0005-0000-0000-00007B280000}"/>
    <cellStyle name="Calculation 3 2 2 2 6" xfId="19388" xr:uid="{00000000-0005-0000-0000-00007C280000}"/>
    <cellStyle name="Calculation 3 2 2 3" xfId="3344" xr:uid="{00000000-0005-0000-0000-00007D280000}"/>
    <cellStyle name="Calculation 3 2 2 4" xfId="8464" xr:uid="{00000000-0005-0000-0000-00007E280000}"/>
    <cellStyle name="Calculation 3 2 2 5" xfId="8849" xr:uid="{00000000-0005-0000-0000-00007F280000}"/>
    <cellStyle name="Calculation 3 2 2 6" xfId="9714" xr:uid="{00000000-0005-0000-0000-000080280000}"/>
    <cellStyle name="Calculation 3 2 2 7" xfId="10143" xr:uid="{00000000-0005-0000-0000-000081280000}"/>
    <cellStyle name="Calculation 3 2 2 8" xfId="10555" xr:uid="{00000000-0005-0000-0000-000082280000}"/>
    <cellStyle name="Calculation 3 2 2 9" xfId="10771" xr:uid="{00000000-0005-0000-0000-000083280000}"/>
    <cellStyle name="Calculation 3 2 3" xfId="1274" xr:uid="{00000000-0005-0000-0000-000084280000}"/>
    <cellStyle name="Calculation 3 2 3 2" xfId="13003" xr:uid="{00000000-0005-0000-0000-000085280000}"/>
    <cellStyle name="Calculation 3 2 3 3" xfId="14925" xr:uid="{00000000-0005-0000-0000-000086280000}"/>
    <cellStyle name="Calculation 3 2 3 4" xfId="17204" xr:uid="{00000000-0005-0000-0000-000087280000}"/>
    <cellStyle name="Calculation 3 2 3 5" xfId="17870" xr:uid="{00000000-0005-0000-0000-000088280000}"/>
    <cellStyle name="Calculation 3 2 3 6" xfId="16612" xr:uid="{00000000-0005-0000-0000-000089280000}"/>
    <cellStyle name="Calculation 3 2 4" xfId="3712" xr:uid="{00000000-0005-0000-0000-00008A280000}"/>
    <cellStyle name="Calculation 3 2 5" xfId="5891" xr:uid="{00000000-0005-0000-0000-00008B280000}"/>
    <cellStyle name="Calculation 3 2 6" xfId="8355" xr:uid="{00000000-0005-0000-0000-00008C280000}"/>
    <cellStyle name="Calculation 3 2 7" xfId="8785" xr:uid="{00000000-0005-0000-0000-00008D280000}"/>
    <cellStyle name="Calculation 3 2 8" xfId="9502" xr:uid="{00000000-0005-0000-0000-00008E280000}"/>
    <cellStyle name="Calculation 3 2 9" xfId="9929" xr:uid="{00000000-0005-0000-0000-00008F280000}"/>
    <cellStyle name="Calculation 3 20" xfId="18718" xr:uid="{00000000-0005-0000-0000-000090280000}"/>
    <cellStyle name="Calculation 3 21" xfId="19519" xr:uid="{00000000-0005-0000-0000-000091280000}"/>
    <cellStyle name="Calculation 3 3" xfId="584" xr:uid="{00000000-0005-0000-0000-000092280000}"/>
    <cellStyle name="Calculation 3 3 10" xfId="10327" xr:uid="{00000000-0005-0000-0000-000093280000}"/>
    <cellStyle name="Calculation 3 3 11" xfId="8683" xr:uid="{00000000-0005-0000-0000-000094280000}"/>
    <cellStyle name="Calculation 3 3 12" xfId="11051" xr:uid="{00000000-0005-0000-0000-000095280000}"/>
    <cellStyle name="Calculation 3 3 13" xfId="11438" xr:uid="{00000000-0005-0000-0000-000096280000}"/>
    <cellStyle name="Calculation 3 3 14" xfId="11810" xr:uid="{00000000-0005-0000-0000-000097280000}"/>
    <cellStyle name="Calculation 3 3 15" xfId="12323" xr:uid="{00000000-0005-0000-0000-000098280000}"/>
    <cellStyle name="Calculation 3 3 16" xfId="14585" xr:uid="{00000000-0005-0000-0000-000099280000}"/>
    <cellStyle name="Calculation 3 3 17" xfId="13704" xr:uid="{00000000-0005-0000-0000-00009A280000}"/>
    <cellStyle name="Calculation 3 3 18" xfId="18397" xr:uid="{00000000-0005-0000-0000-00009B280000}"/>
    <cellStyle name="Calculation 3 3 19" xfId="14995" xr:uid="{00000000-0005-0000-0000-00009C280000}"/>
    <cellStyle name="Calculation 3 3 2" xfId="799" xr:uid="{00000000-0005-0000-0000-00009D280000}"/>
    <cellStyle name="Calculation 3 3 2 10" xfId="11260" xr:uid="{00000000-0005-0000-0000-00009E280000}"/>
    <cellStyle name="Calculation 3 3 2 11" xfId="11645" xr:uid="{00000000-0005-0000-0000-00009F280000}"/>
    <cellStyle name="Calculation 3 3 2 12" xfId="12016" xr:uid="{00000000-0005-0000-0000-0000A0280000}"/>
    <cellStyle name="Calculation 3 3 2 13" xfId="12529" xr:uid="{00000000-0005-0000-0000-0000A1280000}"/>
    <cellStyle name="Calculation 3 3 2 14" xfId="14793" xr:uid="{00000000-0005-0000-0000-0000A2280000}"/>
    <cellStyle name="Calculation 3 3 2 15" xfId="15439" xr:uid="{00000000-0005-0000-0000-0000A3280000}"/>
    <cellStyle name="Calculation 3 3 2 16" xfId="16172" xr:uid="{00000000-0005-0000-0000-0000A4280000}"/>
    <cellStyle name="Calculation 3 3 2 17" xfId="19422" xr:uid="{00000000-0005-0000-0000-0000A5280000}"/>
    <cellStyle name="Calculation 3 3 2 2" xfId="1170" xr:uid="{00000000-0005-0000-0000-0000A6280000}"/>
    <cellStyle name="Calculation 3 3 2 2 2" xfId="12899" xr:uid="{00000000-0005-0000-0000-0000A7280000}"/>
    <cellStyle name="Calculation 3 3 2 2 3" xfId="14669" xr:uid="{00000000-0005-0000-0000-0000A8280000}"/>
    <cellStyle name="Calculation 3 3 2 2 4" xfId="17281" xr:uid="{00000000-0005-0000-0000-0000A9280000}"/>
    <cellStyle name="Calculation 3 3 2 2 5" xfId="14002" xr:uid="{00000000-0005-0000-0000-0000AA280000}"/>
    <cellStyle name="Calculation 3 3 2 2 6" xfId="18750" xr:uid="{00000000-0005-0000-0000-0000AB280000}"/>
    <cellStyle name="Calculation 3 3 2 3" xfId="3807" xr:uid="{00000000-0005-0000-0000-0000AC280000}"/>
    <cellStyle name="Calculation 3 3 2 4" xfId="8459" xr:uid="{00000000-0005-0000-0000-0000AD280000}"/>
    <cellStyle name="Calculation 3 3 2 5" xfId="8769" xr:uid="{00000000-0005-0000-0000-0000AE280000}"/>
    <cellStyle name="Calculation 3 3 2 6" xfId="9700" xr:uid="{00000000-0005-0000-0000-0000AF280000}"/>
    <cellStyle name="Calculation 3 3 2 7" xfId="10129" xr:uid="{00000000-0005-0000-0000-0000B0280000}"/>
    <cellStyle name="Calculation 3 3 2 8" xfId="10541" xr:uid="{00000000-0005-0000-0000-0000B1280000}"/>
    <cellStyle name="Calculation 3 3 2 9" xfId="8806" xr:uid="{00000000-0005-0000-0000-0000B2280000}"/>
    <cellStyle name="Calculation 3 3 3" xfId="1332" xr:uid="{00000000-0005-0000-0000-0000B3280000}"/>
    <cellStyle name="Calculation 3 3 3 2" xfId="13061" xr:uid="{00000000-0005-0000-0000-0000B4280000}"/>
    <cellStyle name="Calculation 3 3 3 3" xfId="14531" xr:uid="{00000000-0005-0000-0000-0000B5280000}"/>
    <cellStyle name="Calculation 3 3 3 4" xfId="13712" xr:uid="{00000000-0005-0000-0000-0000B6280000}"/>
    <cellStyle name="Calculation 3 3 3 5" xfId="14250" xr:uid="{00000000-0005-0000-0000-0000B7280000}"/>
    <cellStyle name="Calculation 3 3 3 6" xfId="19114" xr:uid="{00000000-0005-0000-0000-0000B8280000}"/>
    <cellStyle name="Calculation 3 3 4" xfId="3820" xr:uid="{00000000-0005-0000-0000-0000B9280000}"/>
    <cellStyle name="Calculation 3 3 5" xfId="5892" xr:uid="{00000000-0005-0000-0000-0000BA280000}"/>
    <cellStyle name="Calculation 3 3 6" xfId="8349" xr:uid="{00000000-0005-0000-0000-0000BB280000}"/>
    <cellStyle name="Calculation 3 3 7" xfId="8788" xr:uid="{00000000-0005-0000-0000-0000BC280000}"/>
    <cellStyle name="Calculation 3 3 8" xfId="9488" xr:uid="{00000000-0005-0000-0000-0000BD280000}"/>
    <cellStyle name="Calculation 3 3 9" xfId="9915" xr:uid="{00000000-0005-0000-0000-0000BE280000}"/>
    <cellStyle name="Calculation 3 4" xfId="668" xr:uid="{00000000-0005-0000-0000-0000BF280000}"/>
    <cellStyle name="Calculation 3 4 10" xfId="10411" xr:uid="{00000000-0005-0000-0000-0000C0280000}"/>
    <cellStyle name="Calculation 3 4 11" xfId="10709" xr:uid="{00000000-0005-0000-0000-0000C1280000}"/>
    <cellStyle name="Calculation 3 4 12" xfId="11135" xr:uid="{00000000-0005-0000-0000-0000C2280000}"/>
    <cellStyle name="Calculation 3 4 13" xfId="11522" xr:uid="{00000000-0005-0000-0000-0000C3280000}"/>
    <cellStyle name="Calculation 3 4 14" xfId="11894" xr:uid="{00000000-0005-0000-0000-0000C4280000}"/>
    <cellStyle name="Calculation 3 4 15" xfId="12407" xr:uid="{00000000-0005-0000-0000-0000C5280000}"/>
    <cellStyle name="Calculation 3 4 16" xfId="13965" xr:uid="{00000000-0005-0000-0000-0000C6280000}"/>
    <cellStyle name="Calculation 3 4 17" xfId="14216" xr:uid="{00000000-0005-0000-0000-0000C7280000}"/>
    <cellStyle name="Calculation 3 4 18" xfId="18290" xr:uid="{00000000-0005-0000-0000-0000C8280000}"/>
    <cellStyle name="Calculation 3 4 19" xfId="16028" xr:uid="{00000000-0005-0000-0000-0000C9280000}"/>
    <cellStyle name="Calculation 3 4 2" xfId="883" xr:uid="{00000000-0005-0000-0000-0000CA280000}"/>
    <cellStyle name="Calculation 3 4 2 10" xfId="11344" xr:uid="{00000000-0005-0000-0000-0000CB280000}"/>
    <cellStyle name="Calculation 3 4 2 11" xfId="11729" xr:uid="{00000000-0005-0000-0000-0000CC280000}"/>
    <cellStyle name="Calculation 3 4 2 12" xfId="12100" xr:uid="{00000000-0005-0000-0000-0000CD280000}"/>
    <cellStyle name="Calculation 3 4 2 13" xfId="12613" xr:uid="{00000000-0005-0000-0000-0000CE280000}"/>
    <cellStyle name="Calculation 3 4 2 14" xfId="14682" xr:uid="{00000000-0005-0000-0000-0000CF280000}"/>
    <cellStyle name="Calculation 3 4 2 15" xfId="17457" xr:uid="{00000000-0005-0000-0000-0000D0280000}"/>
    <cellStyle name="Calculation 3 4 2 16" xfId="14512" xr:uid="{00000000-0005-0000-0000-0000D1280000}"/>
    <cellStyle name="Calculation 3 4 2 17" xfId="18543" xr:uid="{00000000-0005-0000-0000-0000D2280000}"/>
    <cellStyle name="Calculation 3 4 2 2" xfId="1385" xr:uid="{00000000-0005-0000-0000-0000D3280000}"/>
    <cellStyle name="Calculation 3 4 2 2 2" xfId="13114" xr:uid="{00000000-0005-0000-0000-0000D4280000}"/>
    <cellStyle name="Calculation 3 4 2 2 3" xfId="15430" xr:uid="{00000000-0005-0000-0000-0000D5280000}"/>
    <cellStyle name="Calculation 3 4 2 2 4" xfId="17123" xr:uid="{00000000-0005-0000-0000-0000D6280000}"/>
    <cellStyle name="Calculation 3 4 2 2 5" xfId="14964" xr:uid="{00000000-0005-0000-0000-0000D7280000}"/>
    <cellStyle name="Calculation 3 4 2 2 6" xfId="19075" xr:uid="{00000000-0005-0000-0000-0000D8280000}"/>
    <cellStyle name="Calculation 3 4 2 3" xfId="4237" xr:uid="{00000000-0005-0000-0000-0000D9280000}"/>
    <cellStyle name="Calculation 3 4 2 4" xfId="8497" xr:uid="{00000000-0005-0000-0000-0000DA280000}"/>
    <cellStyle name="Calculation 3 4 2 5" xfId="9356" xr:uid="{00000000-0005-0000-0000-0000DB280000}"/>
    <cellStyle name="Calculation 3 4 2 6" xfId="9784" xr:uid="{00000000-0005-0000-0000-0000DC280000}"/>
    <cellStyle name="Calculation 3 4 2 7" xfId="10213" xr:uid="{00000000-0005-0000-0000-0000DD280000}"/>
    <cellStyle name="Calculation 3 4 2 8" xfId="10625" xr:uid="{00000000-0005-0000-0000-0000DE280000}"/>
    <cellStyle name="Calculation 3 4 2 9" xfId="10955" xr:uid="{00000000-0005-0000-0000-0000DF280000}"/>
    <cellStyle name="Calculation 3 4 3" xfId="1263" xr:uid="{00000000-0005-0000-0000-0000E0280000}"/>
    <cellStyle name="Calculation 3 4 3 2" xfId="12992" xr:uid="{00000000-0005-0000-0000-0000E1280000}"/>
    <cellStyle name="Calculation 3 4 3 3" xfId="13915" xr:uid="{00000000-0005-0000-0000-0000E2280000}"/>
    <cellStyle name="Calculation 3 4 3 4" xfId="15908" xr:uid="{00000000-0005-0000-0000-0000E3280000}"/>
    <cellStyle name="Calculation 3 4 3 5" xfId="15160" xr:uid="{00000000-0005-0000-0000-0000E4280000}"/>
    <cellStyle name="Calculation 3 4 3 6" xfId="16533" xr:uid="{00000000-0005-0000-0000-0000E5280000}"/>
    <cellStyle name="Calculation 3 4 4" xfId="3866" xr:uid="{00000000-0005-0000-0000-0000E6280000}"/>
    <cellStyle name="Calculation 3 4 5" xfId="5893" xr:uid="{00000000-0005-0000-0000-0000E7280000}"/>
    <cellStyle name="Calculation 3 4 6" xfId="8387" xr:uid="{00000000-0005-0000-0000-0000E8280000}"/>
    <cellStyle name="Calculation 3 4 7" xfId="9254" xr:uid="{00000000-0005-0000-0000-0000E9280000}"/>
    <cellStyle name="Calculation 3 4 8" xfId="9572" xr:uid="{00000000-0005-0000-0000-0000EA280000}"/>
    <cellStyle name="Calculation 3 4 9" xfId="9999" xr:uid="{00000000-0005-0000-0000-0000EB280000}"/>
    <cellStyle name="Calculation 3 5" xfId="701" xr:uid="{00000000-0005-0000-0000-0000EC280000}"/>
    <cellStyle name="Calculation 3 5 10" xfId="10936" xr:uid="{00000000-0005-0000-0000-0000ED280000}"/>
    <cellStyle name="Calculation 3 5 11" xfId="11167" xr:uid="{00000000-0005-0000-0000-0000EE280000}"/>
    <cellStyle name="Calculation 3 5 12" xfId="11554" xr:uid="{00000000-0005-0000-0000-0000EF280000}"/>
    <cellStyle name="Calculation 3 5 13" xfId="11926" xr:uid="{00000000-0005-0000-0000-0000F0280000}"/>
    <cellStyle name="Calculation 3 5 14" xfId="12439" xr:uid="{00000000-0005-0000-0000-0000F1280000}"/>
    <cellStyle name="Calculation 3 5 15" xfId="15217" xr:uid="{00000000-0005-0000-0000-0000F2280000}"/>
    <cellStyle name="Calculation 3 5 16" xfId="13786" xr:uid="{00000000-0005-0000-0000-0000F3280000}"/>
    <cellStyle name="Calculation 3 5 17" xfId="17680" xr:uid="{00000000-0005-0000-0000-0000F4280000}"/>
    <cellStyle name="Calculation 3 5 18" xfId="19452" xr:uid="{00000000-0005-0000-0000-0000F5280000}"/>
    <cellStyle name="Calculation 3 5 2" xfId="1208" xr:uid="{00000000-0005-0000-0000-0000F6280000}"/>
    <cellStyle name="Calculation 3 5 2 2" xfId="12937" xr:uid="{00000000-0005-0000-0000-0000F7280000}"/>
    <cellStyle name="Calculation 3 5 2 3" xfId="15368" xr:uid="{00000000-0005-0000-0000-0000F8280000}"/>
    <cellStyle name="Calculation 3 5 2 4" xfId="17251" xr:uid="{00000000-0005-0000-0000-0000F9280000}"/>
    <cellStyle name="Calculation 3 5 2 5" xfId="17876" xr:uid="{00000000-0005-0000-0000-0000FA280000}"/>
    <cellStyle name="Calculation 3 5 2 6" xfId="19203" xr:uid="{00000000-0005-0000-0000-0000FB280000}"/>
    <cellStyle name="Calculation 3 5 3" xfId="4175" xr:uid="{00000000-0005-0000-0000-0000FC280000}"/>
    <cellStyle name="Calculation 3 5 4" xfId="5894" xr:uid="{00000000-0005-0000-0000-0000FD280000}"/>
    <cellStyle name="Calculation 3 5 5" xfId="8407" xr:uid="{00000000-0005-0000-0000-0000FE280000}"/>
    <cellStyle name="Calculation 3 5 6" xfId="9310" xr:uid="{00000000-0005-0000-0000-0000FF280000}"/>
    <cellStyle name="Calculation 3 5 7" xfId="9604" xr:uid="{00000000-0005-0000-0000-000000290000}"/>
    <cellStyle name="Calculation 3 5 8" xfId="10031" xr:uid="{00000000-0005-0000-0000-000001290000}"/>
    <cellStyle name="Calculation 3 5 9" xfId="10443" xr:uid="{00000000-0005-0000-0000-000002290000}"/>
    <cellStyle name="Calculation 3 6" xfId="1284" xr:uid="{00000000-0005-0000-0000-000003290000}"/>
    <cellStyle name="Calculation 3 6 2" xfId="5895" xr:uid="{00000000-0005-0000-0000-000004290000}"/>
    <cellStyle name="Calculation 3 6 3" xfId="13013" xr:uid="{00000000-0005-0000-0000-000005290000}"/>
    <cellStyle name="Calculation 3 6 4" xfId="15409" xr:uid="{00000000-0005-0000-0000-000006290000}"/>
    <cellStyle name="Calculation 3 6 5" xfId="17197" xr:uid="{00000000-0005-0000-0000-000007290000}"/>
    <cellStyle name="Calculation 3 6 6" xfId="17609" xr:uid="{00000000-0005-0000-0000-000008290000}"/>
    <cellStyle name="Calculation 3 6 7" xfId="19149" xr:uid="{00000000-0005-0000-0000-000009290000}"/>
    <cellStyle name="Calculation 3 7" xfId="3968" xr:uid="{00000000-0005-0000-0000-00000A290000}"/>
    <cellStyle name="Calculation 3 7 2" xfId="5896" xr:uid="{00000000-0005-0000-0000-00000B290000}"/>
    <cellStyle name="Calculation 3 8" xfId="5897" xr:uid="{00000000-0005-0000-0000-00000C290000}"/>
    <cellStyle name="Calculation 3 9" xfId="5890" xr:uid="{00000000-0005-0000-0000-00000D290000}"/>
    <cellStyle name="Calculation 4" xfId="5898" xr:uid="{00000000-0005-0000-0000-00000E290000}"/>
    <cellStyle name="Calculation 4 2" xfId="5899" xr:uid="{00000000-0005-0000-0000-00000F290000}"/>
    <cellStyle name="Calculation 4 3" xfId="5900" xr:uid="{00000000-0005-0000-0000-000010290000}"/>
    <cellStyle name="Calculation 4 4" xfId="5901" xr:uid="{00000000-0005-0000-0000-000011290000}"/>
    <cellStyle name="Calculation 5" xfId="5902" xr:uid="{00000000-0005-0000-0000-000012290000}"/>
    <cellStyle name="Calculation 5 2" xfId="5903" xr:uid="{00000000-0005-0000-0000-000013290000}"/>
    <cellStyle name="Calculation 5 3" xfId="5904" xr:uid="{00000000-0005-0000-0000-000014290000}"/>
    <cellStyle name="Calculation 5 4" xfId="5905" xr:uid="{00000000-0005-0000-0000-000015290000}"/>
    <cellStyle name="Calculation 6" xfId="5906" xr:uid="{00000000-0005-0000-0000-000016290000}"/>
    <cellStyle name="Calculation 6 2" xfId="5907" xr:uid="{00000000-0005-0000-0000-000017290000}"/>
    <cellStyle name="Calculation 6 3" xfId="5908" xr:uid="{00000000-0005-0000-0000-000018290000}"/>
    <cellStyle name="Calculation 7" xfId="5909" xr:uid="{00000000-0005-0000-0000-000019290000}"/>
    <cellStyle name="Calculation 7 2" xfId="5910" xr:uid="{00000000-0005-0000-0000-00001A290000}"/>
    <cellStyle name="Calculation 8" xfId="5911" xr:uid="{00000000-0005-0000-0000-00001B290000}"/>
    <cellStyle name="Calculation 8 2" xfId="5912" xr:uid="{00000000-0005-0000-0000-00001C290000}"/>
    <cellStyle name="Calculation 9" xfId="5913" xr:uid="{00000000-0005-0000-0000-00001D290000}"/>
    <cellStyle name="cComma0" xfId="2171" xr:uid="{00000000-0005-0000-0000-00001E290000}"/>
    <cellStyle name="cComma1" xfId="2172" xr:uid="{00000000-0005-0000-0000-00001F290000}"/>
    <cellStyle name="cComma2" xfId="2173" xr:uid="{00000000-0005-0000-0000-000020290000}"/>
    <cellStyle name="cDateDM" xfId="2174" xr:uid="{00000000-0005-0000-0000-000021290000}"/>
    <cellStyle name="cDateDMY" xfId="2175" xr:uid="{00000000-0005-0000-0000-000022290000}"/>
    <cellStyle name="cDateMY" xfId="2176" xr:uid="{00000000-0005-0000-0000-000023290000}"/>
    <cellStyle name="cDateT24" xfId="2177" xr:uid="{00000000-0005-0000-0000-000024290000}"/>
    <cellStyle name="Changed" xfId="1515" xr:uid="{00000000-0005-0000-0000-000025290000}"/>
    <cellStyle name="Check Cell" xfId="12125" builtinId="23" customBuiltin="1"/>
    <cellStyle name="Check Cell 10" xfId="5914" xr:uid="{00000000-0005-0000-0000-000027290000}"/>
    <cellStyle name="Check Cell 11" xfId="5915" xr:uid="{00000000-0005-0000-0000-000028290000}"/>
    <cellStyle name="Check Cell 12" xfId="5916" xr:uid="{00000000-0005-0000-0000-000029290000}"/>
    <cellStyle name="Check Cell 13" xfId="5917" xr:uid="{00000000-0005-0000-0000-00002A290000}"/>
    <cellStyle name="Check Cell 2" xfId="142" xr:uid="{00000000-0005-0000-0000-00002B290000}"/>
    <cellStyle name="Check Cell 2 10" xfId="5919" xr:uid="{00000000-0005-0000-0000-00002C290000}"/>
    <cellStyle name="Check Cell 2 11" xfId="5920" xr:uid="{00000000-0005-0000-0000-00002D290000}"/>
    <cellStyle name="Check Cell 2 12" xfId="5921" xr:uid="{00000000-0005-0000-0000-00002E290000}"/>
    <cellStyle name="Check Cell 2 13" xfId="5922" xr:uid="{00000000-0005-0000-0000-00002F290000}"/>
    <cellStyle name="Check Cell 2 14" xfId="5923" xr:uid="{00000000-0005-0000-0000-000030290000}"/>
    <cellStyle name="Check Cell 2 15" xfId="5924" xr:uid="{00000000-0005-0000-0000-000031290000}"/>
    <cellStyle name="Check Cell 2 16" xfId="5925" xr:uid="{00000000-0005-0000-0000-000032290000}"/>
    <cellStyle name="Check Cell 2 17" xfId="5918" xr:uid="{00000000-0005-0000-0000-000033290000}"/>
    <cellStyle name="Check Cell 2 2" xfId="1516" xr:uid="{00000000-0005-0000-0000-000034290000}"/>
    <cellStyle name="Check Cell 2 2 2" xfId="1517" xr:uid="{00000000-0005-0000-0000-000035290000}"/>
    <cellStyle name="Check Cell 2 2 2 2" xfId="2178" xr:uid="{00000000-0005-0000-0000-000036290000}"/>
    <cellStyle name="Check Cell 2 2 2 3" xfId="5927" xr:uid="{00000000-0005-0000-0000-000037290000}"/>
    <cellStyle name="Check Cell 2 2 3" xfId="1518" xr:uid="{00000000-0005-0000-0000-000038290000}"/>
    <cellStyle name="Check Cell 2 2 3 2" xfId="5928" xr:uid="{00000000-0005-0000-0000-000039290000}"/>
    <cellStyle name="Check Cell 2 2 4" xfId="2179" xr:uid="{00000000-0005-0000-0000-00003A290000}"/>
    <cellStyle name="Check Cell 2 2 4 2" xfId="5929" xr:uid="{00000000-0005-0000-0000-00003B290000}"/>
    <cellStyle name="Check Cell 2 2 5" xfId="5930" xr:uid="{00000000-0005-0000-0000-00003C290000}"/>
    <cellStyle name="Check Cell 2 2 6" xfId="5926" xr:uid="{00000000-0005-0000-0000-00003D290000}"/>
    <cellStyle name="Check Cell 2 3" xfId="1519" xr:uid="{00000000-0005-0000-0000-00003E290000}"/>
    <cellStyle name="Check Cell 2 3 2" xfId="2180" xr:uid="{00000000-0005-0000-0000-00003F290000}"/>
    <cellStyle name="Check Cell 2 3 3" xfId="5931" xr:uid="{00000000-0005-0000-0000-000040290000}"/>
    <cellStyle name="Check Cell 2 4" xfId="2181" xr:uid="{00000000-0005-0000-0000-000041290000}"/>
    <cellStyle name="Check Cell 2 4 2" xfId="5932" xr:uid="{00000000-0005-0000-0000-000042290000}"/>
    <cellStyle name="Check Cell 2 5" xfId="2182" xr:uid="{00000000-0005-0000-0000-000043290000}"/>
    <cellStyle name="Check Cell 2 5 2" xfId="5933" xr:uid="{00000000-0005-0000-0000-000044290000}"/>
    <cellStyle name="Check Cell 2 6" xfId="2183" xr:uid="{00000000-0005-0000-0000-000045290000}"/>
    <cellStyle name="Check Cell 2 6 2" xfId="5934" xr:uid="{00000000-0005-0000-0000-000046290000}"/>
    <cellStyle name="Check Cell 2 7" xfId="5935" xr:uid="{00000000-0005-0000-0000-000047290000}"/>
    <cellStyle name="Check Cell 2 8" xfId="5936" xr:uid="{00000000-0005-0000-0000-000048290000}"/>
    <cellStyle name="Check Cell 2 9" xfId="5937" xr:uid="{00000000-0005-0000-0000-000049290000}"/>
    <cellStyle name="Check Cell 3" xfId="238" xr:uid="{00000000-0005-0000-0000-00004A290000}"/>
    <cellStyle name="Check Cell 3 10" xfId="5939" xr:uid="{00000000-0005-0000-0000-00004B290000}"/>
    <cellStyle name="Check Cell 3 11" xfId="5938" xr:uid="{00000000-0005-0000-0000-00004C290000}"/>
    <cellStyle name="Check Cell 3 2" xfId="5940" xr:uid="{00000000-0005-0000-0000-00004D290000}"/>
    <cellStyle name="Check Cell 3 2 2" xfId="5941" xr:uid="{00000000-0005-0000-0000-00004E290000}"/>
    <cellStyle name="Check Cell 3 2 3" xfId="5942" xr:uid="{00000000-0005-0000-0000-00004F290000}"/>
    <cellStyle name="Check Cell 3 2 4" xfId="5943" xr:uid="{00000000-0005-0000-0000-000050290000}"/>
    <cellStyle name="Check Cell 3 2 5" xfId="5944" xr:uid="{00000000-0005-0000-0000-000051290000}"/>
    <cellStyle name="Check Cell 3 3" xfId="5945" xr:uid="{00000000-0005-0000-0000-000052290000}"/>
    <cellStyle name="Check Cell 3 4" xfId="5946" xr:uid="{00000000-0005-0000-0000-000053290000}"/>
    <cellStyle name="Check Cell 3 5" xfId="5947" xr:uid="{00000000-0005-0000-0000-000054290000}"/>
    <cellStyle name="Check Cell 3 6" xfId="5948" xr:uid="{00000000-0005-0000-0000-000055290000}"/>
    <cellStyle name="Check Cell 3 7" xfId="5949" xr:uid="{00000000-0005-0000-0000-000056290000}"/>
    <cellStyle name="Check Cell 3 8" xfId="5950" xr:uid="{00000000-0005-0000-0000-000057290000}"/>
    <cellStyle name="Check Cell 3 9" xfId="5951" xr:uid="{00000000-0005-0000-0000-000058290000}"/>
    <cellStyle name="Check Cell 4" xfId="382" xr:uid="{00000000-0005-0000-0000-000059290000}"/>
    <cellStyle name="Check Cell 4 2" xfId="5953" xr:uid="{00000000-0005-0000-0000-00005A290000}"/>
    <cellStyle name="Check Cell 4 3" xfId="5954" xr:uid="{00000000-0005-0000-0000-00005B290000}"/>
    <cellStyle name="Check Cell 4 4" xfId="5955" xr:uid="{00000000-0005-0000-0000-00005C290000}"/>
    <cellStyle name="Check Cell 4 5" xfId="5956" xr:uid="{00000000-0005-0000-0000-00005D290000}"/>
    <cellStyle name="Check Cell 4 6" xfId="5957" xr:uid="{00000000-0005-0000-0000-00005E290000}"/>
    <cellStyle name="Check Cell 4 7" xfId="5958" xr:uid="{00000000-0005-0000-0000-00005F290000}"/>
    <cellStyle name="Check Cell 4 8" xfId="5952" xr:uid="{00000000-0005-0000-0000-000060290000}"/>
    <cellStyle name="Check Cell 5" xfId="5959" xr:uid="{00000000-0005-0000-0000-000061290000}"/>
    <cellStyle name="Check Cell 5 2" xfId="5960" xr:uid="{00000000-0005-0000-0000-000062290000}"/>
    <cellStyle name="Check Cell 6" xfId="5961" xr:uid="{00000000-0005-0000-0000-000063290000}"/>
    <cellStyle name="Check Cell 6 2" xfId="5962" xr:uid="{00000000-0005-0000-0000-000064290000}"/>
    <cellStyle name="Check Cell 7" xfId="5963" xr:uid="{00000000-0005-0000-0000-000065290000}"/>
    <cellStyle name="Check Cell 7 2" xfId="5964" xr:uid="{00000000-0005-0000-0000-000066290000}"/>
    <cellStyle name="Check Cell 8" xfId="5965" xr:uid="{00000000-0005-0000-0000-000067290000}"/>
    <cellStyle name="Check Cell 8 2" xfId="5966" xr:uid="{00000000-0005-0000-0000-000068290000}"/>
    <cellStyle name="Check Cell 9" xfId="5967" xr:uid="{00000000-0005-0000-0000-000069290000}"/>
    <cellStyle name="ColHeading" xfId="1520" xr:uid="{00000000-0005-0000-0000-00006A290000}"/>
    <cellStyle name="Comma" xfId="10" builtinId="3"/>
    <cellStyle name="Comma 10" xfId="1521" xr:uid="{00000000-0005-0000-0000-00006C290000}"/>
    <cellStyle name="Comma 10 2" xfId="1522" xr:uid="{00000000-0005-0000-0000-00006D290000}"/>
    <cellStyle name="Comma 10 2 2" xfId="2184" xr:uid="{00000000-0005-0000-0000-00006E290000}"/>
    <cellStyle name="Comma 10 2 2 2" xfId="13210" xr:uid="{00000000-0005-0000-0000-00006F290000}"/>
    <cellStyle name="Comma 10 2 3" xfId="13140" xr:uid="{00000000-0005-0000-0000-000070290000}"/>
    <cellStyle name="Comma 10 3" xfId="2185" xr:uid="{00000000-0005-0000-0000-000071290000}"/>
    <cellStyle name="Comma 10 3 2" xfId="13211" xr:uid="{00000000-0005-0000-0000-000072290000}"/>
    <cellStyle name="Comma 10 4" xfId="2186" xr:uid="{00000000-0005-0000-0000-000073290000}"/>
    <cellStyle name="Comma 10 4 2" xfId="13212" xr:uid="{00000000-0005-0000-0000-000074290000}"/>
    <cellStyle name="Comma 10 4 3" xfId="15463" xr:uid="{00000000-0005-0000-0000-000075290000}"/>
    <cellStyle name="Comma 10 5" xfId="2187" xr:uid="{00000000-0005-0000-0000-000076290000}"/>
    <cellStyle name="Comma 10 5 2" xfId="13213" xr:uid="{00000000-0005-0000-0000-000077290000}"/>
    <cellStyle name="Comma 10 5 3" xfId="15464" xr:uid="{00000000-0005-0000-0000-000078290000}"/>
    <cellStyle name="Comma 10 6" xfId="13139" xr:uid="{00000000-0005-0000-0000-000079290000}"/>
    <cellStyle name="Comma 11" xfId="1523" xr:uid="{00000000-0005-0000-0000-00007A290000}"/>
    <cellStyle name="Comma 11 2" xfId="1524" xr:uid="{00000000-0005-0000-0000-00007B290000}"/>
    <cellStyle name="Comma 11 2 2" xfId="2188" xr:uid="{00000000-0005-0000-0000-00007C290000}"/>
    <cellStyle name="Comma 11 2 2 2" xfId="13214" xr:uid="{00000000-0005-0000-0000-00007D290000}"/>
    <cellStyle name="Comma 11 2 3" xfId="13142" xr:uid="{00000000-0005-0000-0000-00007E290000}"/>
    <cellStyle name="Comma 11 3" xfId="2189" xr:uid="{00000000-0005-0000-0000-00007F290000}"/>
    <cellStyle name="Comma 11 3 2" xfId="13215" xr:uid="{00000000-0005-0000-0000-000080290000}"/>
    <cellStyle name="Comma 11 3 3" xfId="15466" xr:uid="{00000000-0005-0000-0000-000081290000}"/>
    <cellStyle name="Comma 11 4" xfId="2190" xr:uid="{00000000-0005-0000-0000-000082290000}"/>
    <cellStyle name="Comma 11 4 2" xfId="13216" xr:uid="{00000000-0005-0000-0000-000083290000}"/>
    <cellStyle name="Comma 11 4 3" xfId="15467" xr:uid="{00000000-0005-0000-0000-000084290000}"/>
    <cellStyle name="Comma 11 5" xfId="2191" xr:uid="{00000000-0005-0000-0000-000085290000}"/>
    <cellStyle name="Comma 11 5 2" xfId="13217" xr:uid="{00000000-0005-0000-0000-000086290000}"/>
    <cellStyle name="Comma 11 6" xfId="2192" xr:uid="{00000000-0005-0000-0000-000087290000}"/>
    <cellStyle name="Comma 11 6 2" xfId="13218" xr:uid="{00000000-0005-0000-0000-000088290000}"/>
    <cellStyle name="Comma 11 6 3" xfId="15469" xr:uid="{00000000-0005-0000-0000-000089290000}"/>
    <cellStyle name="Comma 11 7" xfId="2193" xr:uid="{00000000-0005-0000-0000-00008A290000}"/>
    <cellStyle name="Comma 11 7 2" xfId="13219" xr:uid="{00000000-0005-0000-0000-00008B290000}"/>
    <cellStyle name="Comma 11 7 3" xfId="15470" xr:uid="{00000000-0005-0000-0000-00008C290000}"/>
    <cellStyle name="Comma 11 8" xfId="5968" xr:uid="{00000000-0005-0000-0000-00008D290000}"/>
    <cellStyle name="Comma 11 9" xfId="13141" xr:uid="{00000000-0005-0000-0000-00008E290000}"/>
    <cellStyle name="Comma 12" xfId="1525" xr:uid="{00000000-0005-0000-0000-00008F290000}"/>
    <cellStyle name="Comma 12 2" xfId="2194" xr:uid="{00000000-0005-0000-0000-000090290000}"/>
    <cellStyle name="Comma 12 2 2" xfId="5970" xr:uid="{00000000-0005-0000-0000-000091290000}"/>
    <cellStyle name="Comma 12 2 3" xfId="13220" xr:uid="{00000000-0005-0000-0000-000092290000}"/>
    <cellStyle name="Comma 12 3" xfId="2195" xr:uid="{00000000-0005-0000-0000-000093290000}"/>
    <cellStyle name="Comma 12 3 2" xfId="13221" xr:uid="{00000000-0005-0000-0000-000094290000}"/>
    <cellStyle name="Comma 12 3 3" xfId="15472" xr:uid="{00000000-0005-0000-0000-000095290000}"/>
    <cellStyle name="Comma 12 4" xfId="2196" xr:uid="{00000000-0005-0000-0000-000096290000}"/>
    <cellStyle name="Comma 12 4 2" xfId="13222" xr:uid="{00000000-0005-0000-0000-000097290000}"/>
    <cellStyle name="Comma 12 4 3" xfId="15473" xr:uid="{00000000-0005-0000-0000-000098290000}"/>
    <cellStyle name="Comma 12 5" xfId="5969" xr:uid="{00000000-0005-0000-0000-000099290000}"/>
    <cellStyle name="Comma 13" xfId="1526" xr:uid="{00000000-0005-0000-0000-00009A290000}"/>
    <cellStyle name="Comma 13 2" xfId="2197" xr:uid="{00000000-0005-0000-0000-00009B290000}"/>
    <cellStyle name="Comma 13 2 2" xfId="13223" xr:uid="{00000000-0005-0000-0000-00009C290000}"/>
    <cellStyle name="Comma 13 3" xfId="2198" xr:uid="{00000000-0005-0000-0000-00009D290000}"/>
    <cellStyle name="Comma 13 3 2" xfId="13224" xr:uid="{00000000-0005-0000-0000-00009E290000}"/>
    <cellStyle name="Comma 13 3 3" xfId="15475" xr:uid="{00000000-0005-0000-0000-00009F290000}"/>
    <cellStyle name="Comma 13 4" xfId="2199" xr:uid="{00000000-0005-0000-0000-0000A0290000}"/>
    <cellStyle name="Comma 13 4 2" xfId="13225" xr:uid="{00000000-0005-0000-0000-0000A1290000}"/>
    <cellStyle name="Comma 13 5" xfId="5971" xr:uid="{00000000-0005-0000-0000-0000A2290000}"/>
    <cellStyle name="Comma 13 6" xfId="13143" xr:uid="{00000000-0005-0000-0000-0000A3290000}"/>
    <cellStyle name="Comma 14" xfId="1527" xr:uid="{00000000-0005-0000-0000-0000A4290000}"/>
    <cellStyle name="Comma 14 2" xfId="2200" xr:uid="{00000000-0005-0000-0000-0000A5290000}"/>
    <cellStyle name="Comma 14 2 2" xfId="13226" xr:uid="{00000000-0005-0000-0000-0000A6290000}"/>
    <cellStyle name="Comma 14 3" xfId="2201" xr:uid="{00000000-0005-0000-0000-0000A7290000}"/>
    <cellStyle name="Comma 14 3 2" xfId="13227" xr:uid="{00000000-0005-0000-0000-0000A8290000}"/>
    <cellStyle name="Comma 14 3 3" xfId="15478" xr:uid="{00000000-0005-0000-0000-0000A9290000}"/>
    <cellStyle name="Comma 14 4" xfId="2202" xr:uid="{00000000-0005-0000-0000-0000AA290000}"/>
    <cellStyle name="Comma 14 4 2" xfId="13228" xr:uid="{00000000-0005-0000-0000-0000AB290000}"/>
    <cellStyle name="Comma 14 4 3" xfId="15479" xr:uid="{00000000-0005-0000-0000-0000AC290000}"/>
    <cellStyle name="Comma 14 5" xfId="5972" xr:uid="{00000000-0005-0000-0000-0000AD290000}"/>
    <cellStyle name="Comma 14 6" xfId="13144" xr:uid="{00000000-0005-0000-0000-0000AE290000}"/>
    <cellStyle name="Comma 14 7" xfId="14889" xr:uid="{00000000-0005-0000-0000-0000AF290000}"/>
    <cellStyle name="Comma 15" xfId="1528" xr:uid="{00000000-0005-0000-0000-0000B0290000}"/>
    <cellStyle name="Comma 15 2" xfId="2203" xr:uid="{00000000-0005-0000-0000-0000B1290000}"/>
    <cellStyle name="Comma 15 2 2" xfId="13229" xr:uid="{00000000-0005-0000-0000-0000B2290000}"/>
    <cellStyle name="Comma 15 3" xfId="2204" xr:uid="{00000000-0005-0000-0000-0000B3290000}"/>
    <cellStyle name="Comma 15 3 2" xfId="13230" xr:uid="{00000000-0005-0000-0000-0000B4290000}"/>
    <cellStyle name="Comma 15 3 3" xfId="15481" xr:uid="{00000000-0005-0000-0000-0000B5290000}"/>
    <cellStyle name="Comma 15 4" xfId="5973" xr:uid="{00000000-0005-0000-0000-0000B6290000}"/>
    <cellStyle name="Comma 15 5" xfId="13145" xr:uid="{00000000-0005-0000-0000-0000B7290000}"/>
    <cellStyle name="Comma 15 6" xfId="14890" xr:uid="{00000000-0005-0000-0000-0000B8290000}"/>
    <cellStyle name="Comma 16" xfId="1529" xr:uid="{00000000-0005-0000-0000-0000B9290000}"/>
    <cellStyle name="Comma 16 2" xfId="2205" xr:uid="{00000000-0005-0000-0000-0000BA290000}"/>
    <cellStyle name="Comma 16 2 2" xfId="13231" xr:uid="{00000000-0005-0000-0000-0000BB290000}"/>
    <cellStyle name="Comma 16 3" xfId="2206" xr:uid="{00000000-0005-0000-0000-0000BC290000}"/>
    <cellStyle name="Comma 16 3 2" xfId="13232" xr:uid="{00000000-0005-0000-0000-0000BD290000}"/>
    <cellStyle name="Comma 16 3 3" xfId="15483" xr:uid="{00000000-0005-0000-0000-0000BE290000}"/>
    <cellStyle name="Comma 16 4" xfId="2207" xr:uid="{00000000-0005-0000-0000-0000BF290000}"/>
    <cellStyle name="Comma 16 4 2" xfId="13233" xr:uid="{00000000-0005-0000-0000-0000C0290000}"/>
    <cellStyle name="Comma 16 4 3" xfId="15484" xr:uid="{00000000-0005-0000-0000-0000C1290000}"/>
    <cellStyle name="Comma 16 5" xfId="5974" xr:uid="{00000000-0005-0000-0000-0000C2290000}"/>
    <cellStyle name="Comma 16 6" xfId="13146" xr:uid="{00000000-0005-0000-0000-0000C3290000}"/>
    <cellStyle name="Comma 16 7" xfId="14891" xr:uid="{00000000-0005-0000-0000-0000C4290000}"/>
    <cellStyle name="Comma 17" xfId="1530" xr:uid="{00000000-0005-0000-0000-0000C5290000}"/>
    <cellStyle name="Comma 17 2" xfId="2208" xr:uid="{00000000-0005-0000-0000-0000C6290000}"/>
    <cellStyle name="Comma 17 2 2" xfId="8232" xr:uid="{00000000-0005-0000-0000-0000C7290000}"/>
    <cellStyle name="Comma 17 2 3" xfId="13234" xr:uid="{00000000-0005-0000-0000-0000C8290000}"/>
    <cellStyle name="Comma 17 3" xfId="2209" xr:uid="{00000000-0005-0000-0000-0000C9290000}"/>
    <cellStyle name="Comma 17 3 2" xfId="13235" xr:uid="{00000000-0005-0000-0000-0000CA290000}"/>
    <cellStyle name="Comma 17 3 3" xfId="15486" xr:uid="{00000000-0005-0000-0000-0000CB290000}"/>
    <cellStyle name="Comma 17 4" xfId="2210" xr:uid="{00000000-0005-0000-0000-0000CC290000}"/>
    <cellStyle name="Comma 17 4 2" xfId="13236" xr:uid="{00000000-0005-0000-0000-0000CD290000}"/>
    <cellStyle name="Comma 17 4 3" xfId="15487" xr:uid="{00000000-0005-0000-0000-0000CE290000}"/>
    <cellStyle name="Comma 17 5" xfId="7523" xr:uid="{00000000-0005-0000-0000-0000CF290000}"/>
    <cellStyle name="Comma 17 6" xfId="13147" xr:uid="{00000000-0005-0000-0000-0000D0290000}"/>
    <cellStyle name="Comma 17 7" xfId="14892" xr:uid="{00000000-0005-0000-0000-0000D1290000}"/>
    <cellStyle name="Comma 18" xfId="1531" xr:uid="{00000000-0005-0000-0000-0000D2290000}"/>
    <cellStyle name="Comma 18 2" xfId="13148" xr:uid="{00000000-0005-0000-0000-0000D3290000}"/>
    <cellStyle name="Comma 18 3" xfId="14893" xr:uid="{00000000-0005-0000-0000-0000D4290000}"/>
    <cellStyle name="Comma 19" xfId="1532" xr:uid="{00000000-0005-0000-0000-0000D5290000}"/>
    <cellStyle name="Comma 19 2" xfId="13149" xr:uid="{00000000-0005-0000-0000-0000D6290000}"/>
    <cellStyle name="Comma 19 3" xfId="14894" xr:uid="{00000000-0005-0000-0000-0000D7290000}"/>
    <cellStyle name="Comma 2" xfId="143" xr:uid="{00000000-0005-0000-0000-0000D8290000}"/>
    <cellStyle name="Comma 2 10" xfId="3447" xr:uid="{00000000-0005-0000-0000-0000D9290000}"/>
    <cellStyle name="Comma 2 10 2" xfId="5975" xr:uid="{00000000-0005-0000-0000-0000DA290000}"/>
    <cellStyle name="Comma 2 11" xfId="5976" xr:uid="{00000000-0005-0000-0000-0000DB290000}"/>
    <cellStyle name="Comma 2 12" xfId="5977" xr:uid="{00000000-0005-0000-0000-0000DC290000}"/>
    <cellStyle name="Comma 2 13" xfId="5978" xr:uid="{00000000-0005-0000-0000-0000DD290000}"/>
    <cellStyle name="Comma 2 14" xfId="5979" xr:uid="{00000000-0005-0000-0000-0000DE290000}"/>
    <cellStyle name="Comma 2 15" xfId="5980" xr:uid="{00000000-0005-0000-0000-0000DF290000}"/>
    <cellStyle name="Comma 2 16" xfId="5981" xr:uid="{00000000-0005-0000-0000-0000E0290000}"/>
    <cellStyle name="Comma 2 17" xfId="5982" xr:uid="{00000000-0005-0000-0000-0000E1290000}"/>
    <cellStyle name="Comma 2 18" xfId="5983" xr:uid="{00000000-0005-0000-0000-0000E2290000}"/>
    <cellStyle name="Comma 2 19" xfId="5984" xr:uid="{00000000-0005-0000-0000-0000E3290000}"/>
    <cellStyle name="Comma 2 2" xfId="8" xr:uid="{00000000-0005-0000-0000-0000E4290000}"/>
    <cellStyle name="Comma 2 2 2" xfId="427" xr:uid="{00000000-0005-0000-0000-0000E5290000}"/>
    <cellStyle name="Comma 2 2 2 2" xfId="2211" xr:uid="{00000000-0005-0000-0000-0000E6290000}"/>
    <cellStyle name="Comma 2 2 2 2 2" xfId="13237" xr:uid="{00000000-0005-0000-0000-0000E7290000}"/>
    <cellStyle name="Comma 2 2 2 3" xfId="3698" xr:uid="{00000000-0005-0000-0000-0000E8290000}"/>
    <cellStyle name="Comma 2 2 3" xfId="144" xr:uid="{00000000-0005-0000-0000-0000E9290000}"/>
    <cellStyle name="Comma 2 2 3 2" xfId="5985" xr:uid="{00000000-0005-0000-0000-0000EA290000}"/>
    <cellStyle name="Comma 2 2 4" xfId="5986" xr:uid="{00000000-0005-0000-0000-0000EB290000}"/>
    <cellStyle name="Comma 2 2 5" xfId="5987" xr:uid="{00000000-0005-0000-0000-0000EC290000}"/>
    <cellStyle name="Comma 2 2 6" xfId="5988" xr:uid="{00000000-0005-0000-0000-0000ED290000}"/>
    <cellStyle name="Comma 2 2 7" xfId="3735" xr:uid="{00000000-0005-0000-0000-0000EE290000}"/>
    <cellStyle name="Comma 2 2_HistoricResComp" xfId="5989" xr:uid="{00000000-0005-0000-0000-0000EF290000}"/>
    <cellStyle name="Comma 2 20" xfId="5990" xr:uid="{00000000-0005-0000-0000-0000F0290000}"/>
    <cellStyle name="Comma 2 21" xfId="8278" xr:uid="{00000000-0005-0000-0000-0000F1290000}"/>
    <cellStyle name="Comma 2 22" xfId="8306" xr:uid="{00000000-0005-0000-0000-0000F2290000}"/>
    <cellStyle name="Comma 2 23" xfId="8526" xr:uid="{00000000-0005-0000-0000-0000F3290000}"/>
    <cellStyle name="Comma 2 24" xfId="8513" xr:uid="{00000000-0005-0000-0000-0000F4290000}"/>
    <cellStyle name="Comma 2 25" xfId="8393" xr:uid="{00000000-0005-0000-0000-0000F5290000}"/>
    <cellStyle name="Comma 2 26" xfId="8668" xr:uid="{00000000-0005-0000-0000-0000F6290000}"/>
    <cellStyle name="Comma 2 27" xfId="9285" xr:uid="{00000000-0005-0000-0000-0000F7290000}"/>
    <cellStyle name="Comma 2 28" xfId="8790" xr:uid="{00000000-0005-0000-0000-0000F8290000}"/>
    <cellStyle name="Comma 2 29" xfId="9390" xr:uid="{00000000-0005-0000-0000-0000F9290000}"/>
    <cellStyle name="Comma 2 3" xfId="1533" xr:uid="{00000000-0005-0000-0000-0000FA290000}"/>
    <cellStyle name="Comma 2 3 2" xfId="1534" xr:uid="{00000000-0005-0000-0000-0000FB290000}"/>
    <cellStyle name="Comma 2 3 2 2" xfId="2212" xr:uid="{00000000-0005-0000-0000-0000FC290000}"/>
    <cellStyle name="Comma 2 3 2 2 2" xfId="13238" xr:uid="{00000000-0005-0000-0000-0000FD290000}"/>
    <cellStyle name="Comma 2 3 2 3" xfId="5991" xr:uid="{00000000-0005-0000-0000-0000FE290000}"/>
    <cellStyle name="Comma 2 3 2 4" xfId="13150" xr:uid="{00000000-0005-0000-0000-0000FF290000}"/>
    <cellStyle name="Comma 2 3 3" xfId="1535" xr:uid="{00000000-0005-0000-0000-0000002A0000}"/>
    <cellStyle name="Comma 2 3 3 2" xfId="13151" xr:uid="{00000000-0005-0000-0000-0000012A0000}"/>
    <cellStyle name="Comma 2 3 3 3" xfId="14897" xr:uid="{00000000-0005-0000-0000-0000022A0000}"/>
    <cellStyle name="Comma 2 3 4" xfId="2213" xr:uid="{00000000-0005-0000-0000-0000032A0000}"/>
    <cellStyle name="Comma 2 3 4 2" xfId="5992" xr:uid="{00000000-0005-0000-0000-0000042A0000}"/>
    <cellStyle name="Comma 2 3 5" xfId="2214" xr:uid="{00000000-0005-0000-0000-0000052A0000}"/>
    <cellStyle name="Comma 2 3 5 2" xfId="5993" xr:uid="{00000000-0005-0000-0000-0000062A0000}"/>
    <cellStyle name="Comma 2 3 5 3" xfId="13239" xr:uid="{00000000-0005-0000-0000-0000072A0000}"/>
    <cellStyle name="Comma 2 3 5 4" xfId="15490" xr:uid="{00000000-0005-0000-0000-0000082A0000}"/>
    <cellStyle name="Comma 2 3 6" xfId="5994" xr:uid="{00000000-0005-0000-0000-0000092A0000}"/>
    <cellStyle name="Comma 2 3 7" xfId="3614" xr:uid="{00000000-0005-0000-0000-00000A2A0000}"/>
    <cellStyle name="Comma 2 30" xfId="9817" xr:uid="{00000000-0005-0000-0000-00000B2A0000}"/>
    <cellStyle name="Comma 2 31" xfId="8842" xr:uid="{00000000-0005-0000-0000-00000C2A0000}"/>
    <cellStyle name="Comma 2 32" xfId="10875" xr:uid="{00000000-0005-0000-0000-00000D2A0000}"/>
    <cellStyle name="Comma 2 33" xfId="10894" xr:uid="{00000000-0005-0000-0000-00000E2A0000}"/>
    <cellStyle name="Comma 2 34" xfId="9037" xr:uid="{00000000-0005-0000-0000-00000F2A0000}"/>
    <cellStyle name="Comma 2 35" xfId="10804" xr:uid="{00000000-0005-0000-0000-0000102A0000}"/>
    <cellStyle name="Comma 2 36" xfId="11366" xr:uid="{00000000-0005-0000-0000-0000112A0000}"/>
    <cellStyle name="Comma 2 37" xfId="12155" xr:uid="{00000000-0005-0000-0000-0000122A0000}"/>
    <cellStyle name="Comma 2 38" xfId="12167" xr:uid="{00000000-0005-0000-0000-0000132A0000}"/>
    <cellStyle name="Comma 2 39" xfId="12205" xr:uid="{00000000-0005-0000-0000-0000142A0000}"/>
    <cellStyle name="Comma 2 4" xfId="1536" xr:uid="{00000000-0005-0000-0000-0000152A0000}"/>
    <cellStyle name="Comma 2 4 2" xfId="1537" xr:uid="{00000000-0005-0000-0000-0000162A0000}"/>
    <cellStyle name="Comma 2 4 2 2" xfId="2215" xr:uid="{00000000-0005-0000-0000-0000172A0000}"/>
    <cellStyle name="Comma 2 4 2 2 2" xfId="13240" xr:uid="{00000000-0005-0000-0000-0000182A0000}"/>
    <cellStyle name="Comma 2 4 2 3" xfId="13152" xr:uid="{00000000-0005-0000-0000-0000192A0000}"/>
    <cellStyle name="Comma 2 4 3" xfId="2216" xr:uid="{00000000-0005-0000-0000-00001A2A0000}"/>
    <cellStyle name="Comma 2 4 3 2" xfId="13241" xr:uid="{00000000-0005-0000-0000-00001B2A0000}"/>
    <cellStyle name="Comma 2 4 3 3" xfId="15491" xr:uid="{00000000-0005-0000-0000-00001C2A0000}"/>
    <cellStyle name="Comma 2 4 4" xfId="2217" xr:uid="{00000000-0005-0000-0000-00001D2A0000}"/>
    <cellStyle name="Comma 2 4 4 2" xfId="13242" xr:uid="{00000000-0005-0000-0000-00001E2A0000}"/>
    <cellStyle name="Comma 2 4 5" xfId="2218" xr:uid="{00000000-0005-0000-0000-00001F2A0000}"/>
    <cellStyle name="Comma 2 4 5 2" xfId="13243" xr:uid="{00000000-0005-0000-0000-0000202A0000}"/>
    <cellStyle name="Comma 2 4 5 3" xfId="15492" xr:uid="{00000000-0005-0000-0000-0000212A0000}"/>
    <cellStyle name="Comma 2 4 6" xfId="2219" xr:uid="{00000000-0005-0000-0000-0000222A0000}"/>
    <cellStyle name="Comma 2 4 6 2" xfId="13244" xr:uid="{00000000-0005-0000-0000-0000232A0000}"/>
    <cellStyle name="Comma 2 4 7" xfId="3476" xr:uid="{00000000-0005-0000-0000-0000242A0000}"/>
    <cellStyle name="Comma 2 40" xfId="13430" xr:uid="{00000000-0005-0000-0000-0000252A0000}"/>
    <cellStyle name="Comma 2 41" xfId="13800" xr:uid="{00000000-0005-0000-0000-0000262A0000}"/>
    <cellStyle name="Comma 2 42" xfId="14135" xr:uid="{00000000-0005-0000-0000-0000272A0000}"/>
    <cellStyle name="Comma 2 43" xfId="15961" xr:uid="{00000000-0005-0000-0000-0000282A0000}"/>
    <cellStyle name="Comma 2 44" xfId="16754" xr:uid="{00000000-0005-0000-0000-0000292A0000}"/>
    <cellStyle name="Comma 2 45" xfId="16471" xr:uid="{00000000-0005-0000-0000-00002A2A0000}"/>
    <cellStyle name="Comma 2 46" xfId="17863" xr:uid="{00000000-0005-0000-0000-00002B2A0000}"/>
    <cellStyle name="Comma 2 47" xfId="16466" xr:uid="{00000000-0005-0000-0000-00002C2A0000}"/>
    <cellStyle name="Comma 2 48" xfId="17502" xr:uid="{00000000-0005-0000-0000-00002D2A0000}"/>
    <cellStyle name="Comma 2 49" xfId="18890" xr:uid="{00000000-0005-0000-0000-00002E2A0000}"/>
    <cellStyle name="Comma 2 5" xfId="1538" xr:uid="{00000000-0005-0000-0000-00002F2A0000}"/>
    <cellStyle name="Comma 2 5 2" xfId="2220" xr:uid="{00000000-0005-0000-0000-0000302A0000}"/>
    <cellStyle name="Comma 2 5 2 2" xfId="13245" xr:uid="{00000000-0005-0000-0000-0000312A0000}"/>
    <cellStyle name="Comma 2 5 3" xfId="3468" xr:uid="{00000000-0005-0000-0000-0000322A0000}"/>
    <cellStyle name="Comma 2 50" xfId="14935" xr:uid="{00000000-0005-0000-0000-0000332A0000}"/>
    <cellStyle name="Comma 2 51" xfId="19647" xr:uid="{00000000-0005-0000-0000-0000342A0000}"/>
    <cellStyle name="Comma 2 6" xfId="9" xr:uid="{00000000-0005-0000-0000-0000352A0000}"/>
    <cellStyle name="Comma 2 6 2" xfId="1539" xr:uid="{00000000-0005-0000-0000-0000362A0000}"/>
    <cellStyle name="Comma 2 6 2 2" xfId="13153" xr:uid="{00000000-0005-0000-0000-0000372A0000}"/>
    <cellStyle name="Comma 2 6 3" xfId="2221" xr:uid="{00000000-0005-0000-0000-0000382A0000}"/>
    <cellStyle name="Comma 2 6 3 2" xfId="13246" xr:uid="{00000000-0005-0000-0000-0000392A0000}"/>
    <cellStyle name="Comma 2 6 4" xfId="3445" xr:uid="{00000000-0005-0000-0000-00003A2A0000}"/>
    <cellStyle name="Comma 2 6 5" xfId="12170" xr:uid="{00000000-0005-0000-0000-00003B2A0000}"/>
    <cellStyle name="Comma 2 7" xfId="1540" xr:uid="{00000000-0005-0000-0000-00003C2A0000}"/>
    <cellStyle name="Comma 2 7 2" xfId="2222" xr:uid="{00000000-0005-0000-0000-00003D2A0000}"/>
    <cellStyle name="Comma 2 7 2 2" xfId="2223" xr:uid="{00000000-0005-0000-0000-00003E2A0000}"/>
    <cellStyle name="Comma 2 7 2 2 2" xfId="13248" xr:uid="{00000000-0005-0000-0000-00003F2A0000}"/>
    <cellStyle name="Comma 2 7 2 2 3" xfId="15496" xr:uid="{00000000-0005-0000-0000-0000402A0000}"/>
    <cellStyle name="Comma 2 7 2 3" xfId="13247" xr:uid="{00000000-0005-0000-0000-0000412A0000}"/>
    <cellStyle name="Comma 2 7 2 4" xfId="15495" xr:uid="{00000000-0005-0000-0000-0000422A0000}"/>
    <cellStyle name="Comma 2 7 3" xfId="2224" xr:uid="{00000000-0005-0000-0000-0000432A0000}"/>
    <cellStyle name="Comma 2 7 3 2" xfId="2225" xr:uid="{00000000-0005-0000-0000-0000442A0000}"/>
    <cellStyle name="Comma 2 7 3 2 2" xfId="13250" xr:uid="{00000000-0005-0000-0000-0000452A0000}"/>
    <cellStyle name="Comma 2 7 3 2 3" xfId="15498" xr:uid="{00000000-0005-0000-0000-0000462A0000}"/>
    <cellStyle name="Comma 2 7 3 3" xfId="13249" xr:uid="{00000000-0005-0000-0000-0000472A0000}"/>
    <cellStyle name="Comma 2 7 3 4" xfId="15497" xr:uid="{00000000-0005-0000-0000-0000482A0000}"/>
    <cellStyle name="Comma 2 7 4" xfId="2226" xr:uid="{00000000-0005-0000-0000-0000492A0000}"/>
    <cellStyle name="Comma 2 7 4 2" xfId="13251" xr:uid="{00000000-0005-0000-0000-00004A2A0000}"/>
    <cellStyle name="Comma 2 7 4 3" xfId="15499" xr:uid="{00000000-0005-0000-0000-00004B2A0000}"/>
    <cellStyle name="Comma 2 7 5" xfId="2227" xr:uid="{00000000-0005-0000-0000-00004C2A0000}"/>
    <cellStyle name="Comma 2 7 5 2" xfId="13252" xr:uid="{00000000-0005-0000-0000-00004D2A0000}"/>
    <cellStyle name="Comma 2 7 6" xfId="5995" xr:uid="{00000000-0005-0000-0000-00004E2A0000}"/>
    <cellStyle name="Comma 2 7 7" xfId="13154" xr:uid="{00000000-0005-0000-0000-00004F2A0000}"/>
    <cellStyle name="Comma 2 8" xfId="1541" xr:uid="{00000000-0005-0000-0000-0000502A0000}"/>
    <cellStyle name="Comma 2 8 2" xfId="13155" xr:uid="{00000000-0005-0000-0000-0000512A0000}"/>
    <cellStyle name="Comma 2 8 3" xfId="14901" xr:uid="{00000000-0005-0000-0000-0000522A0000}"/>
    <cellStyle name="Comma 2 9" xfId="3308" xr:uid="{00000000-0005-0000-0000-0000532A0000}"/>
    <cellStyle name="Comma 2 9 2" xfId="5996" xr:uid="{00000000-0005-0000-0000-0000542A0000}"/>
    <cellStyle name="Comma 2 9 3" xfId="13572" xr:uid="{00000000-0005-0000-0000-0000552A0000}"/>
    <cellStyle name="Comma 2 9 4" xfId="16414" xr:uid="{00000000-0005-0000-0000-0000562A0000}"/>
    <cellStyle name="Comma 2_Freight Capex plan Budget FY12 v2 (Cash v Commitment) (2)" xfId="2228" xr:uid="{00000000-0005-0000-0000-0000572A0000}"/>
    <cellStyle name="Comma 20" xfId="1410" xr:uid="{00000000-0005-0000-0000-0000582A0000}"/>
    <cellStyle name="Comma 20 2" xfId="13136" xr:uid="{00000000-0005-0000-0000-0000592A0000}"/>
    <cellStyle name="Comma 21" xfId="2229" xr:uid="{00000000-0005-0000-0000-00005A2A0000}"/>
    <cellStyle name="Comma 21 2" xfId="13253" xr:uid="{00000000-0005-0000-0000-00005B2A0000}"/>
    <cellStyle name="Comma 21 3" xfId="15500" xr:uid="{00000000-0005-0000-0000-00005C2A0000}"/>
    <cellStyle name="Comma 22" xfId="3307" xr:uid="{00000000-0005-0000-0000-00005D2A0000}"/>
    <cellStyle name="Comma 22 2" xfId="13571" xr:uid="{00000000-0005-0000-0000-00005E2A0000}"/>
    <cellStyle name="Comma 22 3" xfId="16413" xr:uid="{00000000-0005-0000-0000-00005F2A0000}"/>
    <cellStyle name="Comma 23" xfId="8534" xr:uid="{00000000-0005-0000-0000-0000602A0000}"/>
    <cellStyle name="Comma 24" xfId="12154" xr:uid="{00000000-0005-0000-0000-0000612A0000}"/>
    <cellStyle name="Comma 25" xfId="12151" xr:uid="{00000000-0005-0000-0000-0000622A0000}"/>
    <cellStyle name="Comma 26" xfId="12171" xr:uid="{00000000-0005-0000-0000-0000632A0000}"/>
    <cellStyle name="Comma 27" xfId="13697" xr:uid="{00000000-0005-0000-0000-0000642A0000}"/>
    <cellStyle name="Comma 3" xfId="6" xr:uid="{00000000-0005-0000-0000-0000652A0000}"/>
    <cellStyle name="Comma 3 10" xfId="2230" xr:uid="{00000000-0005-0000-0000-0000662A0000}"/>
    <cellStyle name="Comma 3 10 2" xfId="5997" xr:uid="{00000000-0005-0000-0000-0000672A0000}"/>
    <cellStyle name="Comma 3 10 3" xfId="13254" xr:uid="{00000000-0005-0000-0000-0000682A0000}"/>
    <cellStyle name="Comma 3 10 4" xfId="15501" xr:uid="{00000000-0005-0000-0000-0000692A0000}"/>
    <cellStyle name="Comma 3 11" xfId="2231" xr:uid="{00000000-0005-0000-0000-00006A2A0000}"/>
    <cellStyle name="Comma 3 11 2" xfId="13255" xr:uid="{00000000-0005-0000-0000-00006B2A0000}"/>
    <cellStyle name="Comma 3 11 3" xfId="15502" xr:uid="{00000000-0005-0000-0000-00006C2A0000}"/>
    <cellStyle name="Comma 3 12" xfId="3449" xr:uid="{00000000-0005-0000-0000-00006D2A0000}"/>
    <cellStyle name="Comma 3 12 2" xfId="5998" xr:uid="{00000000-0005-0000-0000-00006E2A0000}"/>
    <cellStyle name="Comma 3 13" xfId="5999" xr:uid="{00000000-0005-0000-0000-00006F2A0000}"/>
    <cellStyle name="Comma 3 14" xfId="6000" xr:uid="{00000000-0005-0000-0000-0000702A0000}"/>
    <cellStyle name="Comma 3 15" xfId="6001" xr:uid="{00000000-0005-0000-0000-0000712A0000}"/>
    <cellStyle name="Comma 3 16" xfId="6002" xr:uid="{00000000-0005-0000-0000-0000722A0000}"/>
    <cellStyle name="Comma 3 17" xfId="6003" xr:uid="{00000000-0005-0000-0000-0000732A0000}"/>
    <cellStyle name="Comma 3 18" xfId="6004" xr:uid="{00000000-0005-0000-0000-0000742A0000}"/>
    <cellStyle name="Comma 3 19" xfId="8279" xr:uid="{00000000-0005-0000-0000-0000752A0000}"/>
    <cellStyle name="Comma 3 2" xfId="145" xr:uid="{00000000-0005-0000-0000-0000762A0000}"/>
    <cellStyle name="Comma 3 2 2" xfId="1542" xr:uid="{00000000-0005-0000-0000-0000772A0000}"/>
    <cellStyle name="Comma 3 2 2 2" xfId="2232" xr:uid="{00000000-0005-0000-0000-0000782A0000}"/>
    <cellStyle name="Comma 3 2 2 2 2" xfId="13256" xr:uid="{00000000-0005-0000-0000-0000792A0000}"/>
    <cellStyle name="Comma 3 2 2 3" xfId="6005" xr:uid="{00000000-0005-0000-0000-00007A2A0000}"/>
    <cellStyle name="Comma 3 2 2 4" xfId="13156" xr:uid="{00000000-0005-0000-0000-00007B2A0000}"/>
    <cellStyle name="Comma 3 2 3" xfId="1543" xr:uid="{00000000-0005-0000-0000-00007C2A0000}"/>
    <cellStyle name="Comma 3 2 3 2" xfId="6006" xr:uid="{00000000-0005-0000-0000-00007D2A0000}"/>
    <cellStyle name="Comma 3 2 3 3" xfId="13157" xr:uid="{00000000-0005-0000-0000-00007E2A0000}"/>
    <cellStyle name="Comma 3 2 4" xfId="2233" xr:uid="{00000000-0005-0000-0000-00007F2A0000}"/>
    <cellStyle name="Comma 3 2 4 2" xfId="6007" xr:uid="{00000000-0005-0000-0000-0000802A0000}"/>
    <cellStyle name="Comma 3 2 4 3" xfId="13257" xr:uid="{00000000-0005-0000-0000-0000812A0000}"/>
    <cellStyle name="Comma 3 2 5" xfId="2234" xr:uid="{00000000-0005-0000-0000-0000822A0000}"/>
    <cellStyle name="Comma 3 2 5 2" xfId="6008" xr:uid="{00000000-0005-0000-0000-0000832A0000}"/>
    <cellStyle name="Comma 3 2 5 3" xfId="13258" xr:uid="{00000000-0005-0000-0000-0000842A0000}"/>
    <cellStyle name="Comma 3 2 5 4" xfId="15504" xr:uid="{00000000-0005-0000-0000-0000852A0000}"/>
    <cellStyle name="Comma 3 2 6" xfId="2235" xr:uid="{00000000-0005-0000-0000-0000862A0000}"/>
    <cellStyle name="Comma 3 2 6 2" xfId="13259" xr:uid="{00000000-0005-0000-0000-0000872A0000}"/>
    <cellStyle name="Comma 3 2 6 3" xfId="15505" xr:uid="{00000000-0005-0000-0000-0000882A0000}"/>
    <cellStyle name="Comma 3 2 7" xfId="3433" xr:uid="{00000000-0005-0000-0000-0000892A0000}"/>
    <cellStyle name="Comma 3 2 8" xfId="12206" xr:uid="{00000000-0005-0000-0000-00008A2A0000}"/>
    <cellStyle name="Comma 3 2 9" xfId="13801" xr:uid="{00000000-0005-0000-0000-00008B2A0000}"/>
    <cellStyle name="Comma 3 2_HistoricResComp" xfId="6009" xr:uid="{00000000-0005-0000-0000-00008C2A0000}"/>
    <cellStyle name="Comma 3 20" xfId="8669" xr:uid="{00000000-0005-0000-0000-00008D2A0000}"/>
    <cellStyle name="Comma 3 21" xfId="8861" xr:uid="{00000000-0005-0000-0000-00008E2A0000}"/>
    <cellStyle name="Comma 3 22" xfId="9265" xr:uid="{00000000-0005-0000-0000-00008F2A0000}"/>
    <cellStyle name="Comma 3 23" xfId="9388" xr:uid="{00000000-0005-0000-0000-0000902A0000}"/>
    <cellStyle name="Comma 3 24" xfId="8712" xr:uid="{00000000-0005-0000-0000-0000912A0000}"/>
    <cellStyle name="Comma 3 25" xfId="8713" xr:uid="{00000000-0005-0000-0000-0000922A0000}"/>
    <cellStyle name="Comma 3 26" xfId="9153" xr:uid="{00000000-0005-0000-0000-0000932A0000}"/>
    <cellStyle name="Comma 3 27" xfId="10792" xr:uid="{00000000-0005-0000-0000-0000942A0000}"/>
    <cellStyle name="Comma 3 28" xfId="8808" xr:uid="{00000000-0005-0000-0000-0000952A0000}"/>
    <cellStyle name="Comma 3 29" xfId="10978" xr:uid="{00000000-0005-0000-0000-0000962A0000}"/>
    <cellStyle name="Comma 3 3" xfId="1544" xr:uid="{00000000-0005-0000-0000-0000972A0000}"/>
    <cellStyle name="Comma 3 3 2" xfId="2236" xr:uid="{00000000-0005-0000-0000-0000982A0000}"/>
    <cellStyle name="Comma 3 3 2 2" xfId="2237" xr:uid="{00000000-0005-0000-0000-0000992A0000}"/>
    <cellStyle name="Comma 3 3 2 2 2" xfId="2238" xr:uid="{00000000-0005-0000-0000-00009A2A0000}"/>
    <cellStyle name="Comma 3 3 2 2 2 2" xfId="13262" xr:uid="{00000000-0005-0000-0000-00009B2A0000}"/>
    <cellStyle name="Comma 3 3 2 2 2 3" xfId="15508" xr:uid="{00000000-0005-0000-0000-00009C2A0000}"/>
    <cellStyle name="Comma 3 3 2 2 3" xfId="13261" xr:uid="{00000000-0005-0000-0000-00009D2A0000}"/>
    <cellStyle name="Comma 3 3 2 2 4" xfId="15507" xr:uid="{00000000-0005-0000-0000-00009E2A0000}"/>
    <cellStyle name="Comma 3 3 2 3" xfId="2239" xr:uid="{00000000-0005-0000-0000-00009F2A0000}"/>
    <cellStyle name="Comma 3 3 2 3 2" xfId="2240" xr:uid="{00000000-0005-0000-0000-0000A02A0000}"/>
    <cellStyle name="Comma 3 3 2 3 2 2" xfId="13264" xr:uid="{00000000-0005-0000-0000-0000A12A0000}"/>
    <cellStyle name="Comma 3 3 2 3 2 3" xfId="15510" xr:uid="{00000000-0005-0000-0000-0000A22A0000}"/>
    <cellStyle name="Comma 3 3 2 3 3" xfId="13263" xr:uid="{00000000-0005-0000-0000-0000A32A0000}"/>
    <cellStyle name="Comma 3 3 2 3 4" xfId="15509" xr:uid="{00000000-0005-0000-0000-0000A42A0000}"/>
    <cellStyle name="Comma 3 3 2 4" xfId="2241" xr:uid="{00000000-0005-0000-0000-0000A52A0000}"/>
    <cellStyle name="Comma 3 3 2 4 2" xfId="13265" xr:uid="{00000000-0005-0000-0000-0000A62A0000}"/>
    <cellStyle name="Comma 3 3 2 4 3" xfId="15511" xr:uid="{00000000-0005-0000-0000-0000A72A0000}"/>
    <cellStyle name="Comma 3 3 2 5" xfId="13260" xr:uid="{00000000-0005-0000-0000-0000A82A0000}"/>
    <cellStyle name="Comma 3 3 2 6" xfId="15506" xr:uid="{00000000-0005-0000-0000-0000A92A0000}"/>
    <cellStyle name="Comma 3 3 3" xfId="2242" xr:uid="{00000000-0005-0000-0000-0000AA2A0000}"/>
    <cellStyle name="Comma 3 3 3 2" xfId="13266" xr:uid="{00000000-0005-0000-0000-0000AB2A0000}"/>
    <cellStyle name="Comma 3 3 4" xfId="3413" xr:uid="{00000000-0005-0000-0000-0000AC2A0000}"/>
    <cellStyle name="Comma 3 30" xfId="8869" xr:uid="{00000000-0005-0000-0000-0000AD2A0000}"/>
    <cellStyle name="Comma 3 4" xfId="1545" xr:uid="{00000000-0005-0000-0000-0000AE2A0000}"/>
    <cellStyle name="Comma 3 4 2" xfId="2243" xr:uid="{00000000-0005-0000-0000-0000AF2A0000}"/>
    <cellStyle name="Comma 3 4 2 2" xfId="13267" xr:uid="{00000000-0005-0000-0000-0000B02A0000}"/>
    <cellStyle name="Comma 3 4 3" xfId="3411" xr:uid="{00000000-0005-0000-0000-0000B12A0000}"/>
    <cellStyle name="Comma 3 5" xfId="1546" xr:uid="{00000000-0005-0000-0000-0000B22A0000}"/>
    <cellStyle name="Comma 3 5 2" xfId="3529" xr:uid="{00000000-0005-0000-0000-0000B32A0000}"/>
    <cellStyle name="Comma 3 6" xfId="1547" xr:uid="{00000000-0005-0000-0000-0000B42A0000}"/>
    <cellStyle name="Comma 3 6 2" xfId="6010" xr:uid="{00000000-0005-0000-0000-0000B52A0000}"/>
    <cellStyle name="Comma 3 6 3" xfId="13158" xr:uid="{00000000-0005-0000-0000-0000B62A0000}"/>
    <cellStyle name="Comma 3 7" xfId="1548" xr:uid="{00000000-0005-0000-0000-0000B72A0000}"/>
    <cellStyle name="Comma 3 7 2" xfId="1549" xr:uid="{00000000-0005-0000-0000-0000B82A0000}"/>
    <cellStyle name="Comma 3 7 2 2" xfId="13160" xr:uid="{00000000-0005-0000-0000-0000B92A0000}"/>
    <cellStyle name="Comma 3 7 3" xfId="6011" xr:uid="{00000000-0005-0000-0000-0000BA2A0000}"/>
    <cellStyle name="Comma 3 7 4" xfId="13159" xr:uid="{00000000-0005-0000-0000-0000BB2A0000}"/>
    <cellStyle name="Comma 3 8" xfId="1550" xr:uid="{00000000-0005-0000-0000-0000BC2A0000}"/>
    <cellStyle name="Comma 3 8 2" xfId="6012" xr:uid="{00000000-0005-0000-0000-0000BD2A0000}"/>
    <cellStyle name="Comma 3 8 3" xfId="13161" xr:uid="{00000000-0005-0000-0000-0000BE2A0000}"/>
    <cellStyle name="Comma 3 8 4" xfId="14910" xr:uid="{00000000-0005-0000-0000-0000BF2A0000}"/>
    <cellStyle name="Comma 3 9" xfId="2244" xr:uid="{00000000-0005-0000-0000-0000C02A0000}"/>
    <cellStyle name="Comma 3 9 2" xfId="6013" xr:uid="{00000000-0005-0000-0000-0000C12A0000}"/>
    <cellStyle name="Comma 3_HistoricResComp" xfId="6014" xr:uid="{00000000-0005-0000-0000-0000C22A0000}"/>
    <cellStyle name="Comma 4" xfId="1551" xr:uid="{00000000-0005-0000-0000-0000C32A0000}"/>
    <cellStyle name="Comma 4 10" xfId="6015" xr:uid="{00000000-0005-0000-0000-0000C42A0000}"/>
    <cellStyle name="Comma 4 11" xfId="6016" xr:uid="{00000000-0005-0000-0000-0000C52A0000}"/>
    <cellStyle name="Comma 4 12" xfId="6017" xr:uid="{00000000-0005-0000-0000-0000C62A0000}"/>
    <cellStyle name="Comma 4 13" xfId="6018" xr:uid="{00000000-0005-0000-0000-0000C72A0000}"/>
    <cellStyle name="Comma 4 14" xfId="6019" xr:uid="{00000000-0005-0000-0000-0000C82A0000}"/>
    <cellStyle name="Comma 4 15" xfId="6020" xr:uid="{00000000-0005-0000-0000-0000C92A0000}"/>
    <cellStyle name="Comma 4 16" xfId="6021" xr:uid="{00000000-0005-0000-0000-0000CA2A0000}"/>
    <cellStyle name="Comma 4 17" xfId="6022" xr:uid="{00000000-0005-0000-0000-0000CB2A0000}"/>
    <cellStyle name="Comma 4 18" xfId="6023" xr:uid="{00000000-0005-0000-0000-0000CC2A0000}"/>
    <cellStyle name="Comma 4 2" xfId="2245" xr:uid="{00000000-0005-0000-0000-0000CD2A0000}"/>
    <cellStyle name="Comma 4 2 2" xfId="2246" xr:uid="{00000000-0005-0000-0000-0000CE2A0000}"/>
    <cellStyle name="Comma 4 2 2 2" xfId="6024" xr:uid="{00000000-0005-0000-0000-0000CF2A0000}"/>
    <cellStyle name="Comma 4 2 2 3" xfId="13269" xr:uid="{00000000-0005-0000-0000-0000D02A0000}"/>
    <cellStyle name="Comma 4 2 2 4" xfId="15516" xr:uid="{00000000-0005-0000-0000-0000D12A0000}"/>
    <cellStyle name="Comma 4 2 3" xfId="2247" xr:uid="{00000000-0005-0000-0000-0000D22A0000}"/>
    <cellStyle name="Comma 4 2 3 2" xfId="13270" xr:uid="{00000000-0005-0000-0000-0000D32A0000}"/>
    <cellStyle name="Comma 4 2 3 3" xfId="15517" xr:uid="{00000000-0005-0000-0000-0000D42A0000}"/>
    <cellStyle name="Comma 4 2 4" xfId="6025" xr:uid="{00000000-0005-0000-0000-0000D52A0000}"/>
    <cellStyle name="Comma 4 2 5" xfId="6026" xr:uid="{00000000-0005-0000-0000-0000D62A0000}"/>
    <cellStyle name="Comma 4 2 6" xfId="13268" xr:uid="{00000000-0005-0000-0000-0000D72A0000}"/>
    <cellStyle name="Comma 4 2 7" xfId="15515" xr:uid="{00000000-0005-0000-0000-0000D82A0000}"/>
    <cellStyle name="Comma 4 2_HistoricResComp" xfId="6027" xr:uid="{00000000-0005-0000-0000-0000D92A0000}"/>
    <cellStyle name="Comma 4 3" xfId="2248" xr:uid="{00000000-0005-0000-0000-0000DA2A0000}"/>
    <cellStyle name="Comma 4 3 2" xfId="2249" xr:uid="{00000000-0005-0000-0000-0000DB2A0000}"/>
    <cellStyle name="Comma 4 3 2 2" xfId="13272" xr:uid="{00000000-0005-0000-0000-0000DC2A0000}"/>
    <cellStyle name="Comma 4 3 2 3" xfId="15519" xr:uid="{00000000-0005-0000-0000-0000DD2A0000}"/>
    <cellStyle name="Comma 4 3 3" xfId="2250" xr:uid="{00000000-0005-0000-0000-0000DE2A0000}"/>
    <cellStyle name="Comma 4 3 3 2" xfId="13273" xr:uid="{00000000-0005-0000-0000-0000DF2A0000}"/>
    <cellStyle name="Comma 4 3 3 3" xfId="15520" xr:uid="{00000000-0005-0000-0000-0000E02A0000}"/>
    <cellStyle name="Comma 4 3 4" xfId="13271" xr:uid="{00000000-0005-0000-0000-0000E12A0000}"/>
    <cellStyle name="Comma 4 3 5" xfId="15518" xr:uid="{00000000-0005-0000-0000-0000E22A0000}"/>
    <cellStyle name="Comma 4 4" xfId="2251" xr:uid="{00000000-0005-0000-0000-0000E32A0000}"/>
    <cellStyle name="Comma 4 4 2" xfId="6028" xr:uid="{00000000-0005-0000-0000-0000E42A0000}"/>
    <cellStyle name="Comma 4 4 3" xfId="13274" xr:uid="{00000000-0005-0000-0000-0000E52A0000}"/>
    <cellStyle name="Comma 4 4 4" xfId="15521" xr:uid="{00000000-0005-0000-0000-0000E62A0000}"/>
    <cellStyle name="Comma 4 5" xfId="2252" xr:uid="{00000000-0005-0000-0000-0000E72A0000}"/>
    <cellStyle name="Comma 4 5 2" xfId="6029" xr:uid="{00000000-0005-0000-0000-0000E82A0000}"/>
    <cellStyle name="Comma 4 5 3" xfId="13275" xr:uid="{00000000-0005-0000-0000-0000E92A0000}"/>
    <cellStyle name="Comma 4 5 4" xfId="15522" xr:uid="{00000000-0005-0000-0000-0000EA2A0000}"/>
    <cellStyle name="Comma 4 6" xfId="2253" xr:uid="{00000000-0005-0000-0000-0000EB2A0000}"/>
    <cellStyle name="Comma 4 6 2" xfId="6030" xr:uid="{00000000-0005-0000-0000-0000EC2A0000}"/>
    <cellStyle name="Comma 4 7" xfId="2254" xr:uid="{00000000-0005-0000-0000-0000ED2A0000}"/>
    <cellStyle name="Comma 4 7 2" xfId="6031" xr:uid="{00000000-0005-0000-0000-0000EE2A0000}"/>
    <cellStyle name="Comma 4 7 3" xfId="13276" xr:uid="{00000000-0005-0000-0000-0000EF2A0000}"/>
    <cellStyle name="Comma 4 8" xfId="2255" xr:uid="{00000000-0005-0000-0000-0000F02A0000}"/>
    <cellStyle name="Comma 4 8 2" xfId="13277" xr:uid="{00000000-0005-0000-0000-0000F12A0000}"/>
    <cellStyle name="Comma 4 8 3" xfId="15525" xr:uid="{00000000-0005-0000-0000-0000F22A0000}"/>
    <cellStyle name="Comma 4 9" xfId="6032" xr:uid="{00000000-0005-0000-0000-0000F32A0000}"/>
    <cellStyle name="Comma 4_HistoricResComp" xfId="6033" xr:uid="{00000000-0005-0000-0000-0000F42A0000}"/>
    <cellStyle name="Comma 5" xfId="1552" xr:uid="{00000000-0005-0000-0000-0000F52A0000}"/>
    <cellStyle name="Comma 5 10" xfId="6035" xr:uid="{00000000-0005-0000-0000-0000F62A0000}"/>
    <cellStyle name="Comma 5 11" xfId="6036" xr:uid="{00000000-0005-0000-0000-0000F72A0000}"/>
    <cellStyle name="Comma 5 12" xfId="6037" xr:uid="{00000000-0005-0000-0000-0000F82A0000}"/>
    <cellStyle name="Comma 5 13" xfId="6038" xr:uid="{00000000-0005-0000-0000-0000F92A0000}"/>
    <cellStyle name="Comma 5 14" xfId="6039" xr:uid="{00000000-0005-0000-0000-0000FA2A0000}"/>
    <cellStyle name="Comma 5 15" xfId="6040" xr:uid="{00000000-0005-0000-0000-0000FB2A0000}"/>
    <cellStyle name="Comma 5 16" xfId="6041" xr:uid="{00000000-0005-0000-0000-0000FC2A0000}"/>
    <cellStyle name="Comma 5 17" xfId="6042" xr:uid="{00000000-0005-0000-0000-0000FD2A0000}"/>
    <cellStyle name="Comma 5 18" xfId="6043" xr:uid="{00000000-0005-0000-0000-0000FE2A0000}"/>
    <cellStyle name="Comma 5 19" xfId="6034" xr:uid="{00000000-0005-0000-0000-0000FF2A0000}"/>
    <cellStyle name="Comma 5 2" xfId="2256" xr:uid="{00000000-0005-0000-0000-0000002B0000}"/>
    <cellStyle name="Comma 5 2 2" xfId="2257" xr:uid="{00000000-0005-0000-0000-0000012B0000}"/>
    <cellStyle name="Comma 5 2 2 2" xfId="6044" xr:uid="{00000000-0005-0000-0000-0000022B0000}"/>
    <cellStyle name="Comma 5 2 2 3" xfId="13279" xr:uid="{00000000-0005-0000-0000-0000032B0000}"/>
    <cellStyle name="Comma 5 2 2 4" xfId="15527" xr:uid="{00000000-0005-0000-0000-0000042B0000}"/>
    <cellStyle name="Comma 5 2 3" xfId="2258" xr:uid="{00000000-0005-0000-0000-0000052B0000}"/>
    <cellStyle name="Comma 5 2 3 2" xfId="6045" xr:uid="{00000000-0005-0000-0000-0000062B0000}"/>
    <cellStyle name="Comma 5 2 3 3" xfId="13280" xr:uid="{00000000-0005-0000-0000-0000072B0000}"/>
    <cellStyle name="Comma 5 2 3 4" xfId="15528" xr:uid="{00000000-0005-0000-0000-0000082B0000}"/>
    <cellStyle name="Comma 5 2 4" xfId="2259" xr:uid="{00000000-0005-0000-0000-0000092B0000}"/>
    <cellStyle name="Comma 5 2 4 2" xfId="13281" xr:uid="{00000000-0005-0000-0000-00000A2B0000}"/>
    <cellStyle name="Comma 5 2 4 3" xfId="15529" xr:uid="{00000000-0005-0000-0000-00000B2B0000}"/>
    <cellStyle name="Comma 5 2 5" xfId="6046" xr:uid="{00000000-0005-0000-0000-00000C2B0000}"/>
    <cellStyle name="Comma 5 2 6" xfId="13278" xr:uid="{00000000-0005-0000-0000-00000D2B0000}"/>
    <cellStyle name="Comma 5 2 7" xfId="15526" xr:uid="{00000000-0005-0000-0000-00000E2B0000}"/>
    <cellStyle name="Comma 5 2_HistoricResComp" xfId="6047" xr:uid="{00000000-0005-0000-0000-00000F2B0000}"/>
    <cellStyle name="Comma 5 20" xfId="13162" xr:uid="{00000000-0005-0000-0000-0000102B0000}"/>
    <cellStyle name="Comma 5 21" xfId="12216" xr:uid="{00000000-0005-0000-0000-0000112B0000}"/>
    <cellStyle name="Comma 5 22" xfId="14911" xr:uid="{00000000-0005-0000-0000-0000122B0000}"/>
    <cellStyle name="Comma 5 23" xfId="14314" xr:uid="{00000000-0005-0000-0000-0000132B0000}"/>
    <cellStyle name="Comma 5 24" xfId="15014" xr:uid="{00000000-0005-0000-0000-0000142B0000}"/>
    <cellStyle name="Comma 5 25" xfId="15818" xr:uid="{00000000-0005-0000-0000-0000152B0000}"/>
    <cellStyle name="Comma 5 26" xfId="16201" xr:uid="{00000000-0005-0000-0000-0000162B0000}"/>
    <cellStyle name="Comma 5 27" xfId="16078" xr:uid="{00000000-0005-0000-0000-0000172B0000}"/>
    <cellStyle name="Comma 5 28" xfId="14399" xr:uid="{00000000-0005-0000-0000-0000182B0000}"/>
    <cellStyle name="Comma 5 29" xfId="17834" xr:uid="{00000000-0005-0000-0000-0000192B0000}"/>
    <cellStyle name="Comma 5 3" xfId="2260" xr:uid="{00000000-0005-0000-0000-00001A2B0000}"/>
    <cellStyle name="Comma 5 3 2" xfId="6048" xr:uid="{00000000-0005-0000-0000-00001B2B0000}"/>
    <cellStyle name="Comma 5 3 3" xfId="13282" xr:uid="{00000000-0005-0000-0000-00001C2B0000}"/>
    <cellStyle name="Comma 5 30" xfId="18766" xr:uid="{00000000-0005-0000-0000-00001D2B0000}"/>
    <cellStyle name="Comma 5 31" xfId="13797" xr:uid="{00000000-0005-0000-0000-00001E2B0000}"/>
    <cellStyle name="Comma 5 32" xfId="18732" xr:uid="{00000000-0005-0000-0000-00001F2B0000}"/>
    <cellStyle name="Comma 5 4" xfId="2261" xr:uid="{00000000-0005-0000-0000-0000202B0000}"/>
    <cellStyle name="Comma 5 4 2" xfId="13283" xr:uid="{00000000-0005-0000-0000-0000212B0000}"/>
    <cellStyle name="Comma 5 4 3" xfId="15531" xr:uid="{00000000-0005-0000-0000-0000222B0000}"/>
    <cellStyle name="Comma 5 5" xfId="2262" xr:uid="{00000000-0005-0000-0000-0000232B0000}"/>
    <cellStyle name="Comma 5 5 2" xfId="6049" xr:uid="{00000000-0005-0000-0000-0000242B0000}"/>
    <cellStyle name="Comma 5 5 3" xfId="13284" xr:uid="{00000000-0005-0000-0000-0000252B0000}"/>
    <cellStyle name="Comma 5 6" xfId="2263" xr:uid="{00000000-0005-0000-0000-0000262B0000}"/>
    <cellStyle name="Comma 5 6 2" xfId="6050" xr:uid="{00000000-0005-0000-0000-0000272B0000}"/>
    <cellStyle name="Comma 5 6 3" xfId="13285" xr:uid="{00000000-0005-0000-0000-0000282B0000}"/>
    <cellStyle name="Comma 5 7" xfId="6051" xr:uid="{00000000-0005-0000-0000-0000292B0000}"/>
    <cellStyle name="Comma 5 8" xfId="6052" xr:uid="{00000000-0005-0000-0000-00002A2B0000}"/>
    <cellStyle name="Comma 5 9" xfId="6053" xr:uid="{00000000-0005-0000-0000-00002B2B0000}"/>
    <cellStyle name="Comma 5_HistoricResComp" xfId="6054" xr:uid="{00000000-0005-0000-0000-00002C2B0000}"/>
    <cellStyle name="Comma 6" xfId="1553" xr:uid="{00000000-0005-0000-0000-00002D2B0000}"/>
    <cellStyle name="Comma 6 10" xfId="6055" xr:uid="{00000000-0005-0000-0000-00002E2B0000}"/>
    <cellStyle name="Comma 6 11" xfId="6056" xr:uid="{00000000-0005-0000-0000-00002F2B0000}"/>
    <cellStyle name="Comma 6 12" xfId="6057" xr:uid="{00000000-0005-0000-0000-0000302B0000}"/>
    <cellStyle name="Comma 6 13" xfId="6058" xr:uid="{00000000-0005-0000-0000-0000312B0000}"/>
    <cellStyle name="Comma 6 14" xfId="6059" xr:uid="{00000000-0005-0000-0000-0000322B0000}"/>
    <cellStyle name="Comma 6 15" xfId="6060" xr:uid="{00000000-0005-0000-0000-0000332B0000}"/>
    <cellStyle name="Comma 6 16" xfId="6061" xr:uid="{00000000-0005-0000-0000-0000342B0000}"/>
    <cellStyle name="Comma 6 17" xfId="6062" xr:uid="{00000000-0005-0000-0000-0000352B0000}"/>
    <cellStyle name="Comma 6 18" xfId="13163" xr:uid="{00000000-0005-0000-0000-0000362B0000}"/>
    <cellStyle name="Comma 6 2" xfId="1554" xr:uid="{00000000-0005-0000-0000-0000372B0000}"/>
    <cellStyle name="Comma 6 2 2" xfId="2264" xr:uid="{00000000-0005-0000-0000-0000382B0000}"/>
    <cellStyle name="Comma 6 2 2 2" xfId="2265" xr:uid="{00000000-0005-0000-0000-0000392B0000}"/>
    <cellStyle name="Comma 6 2 2 2 2" xfId="13287" xr:uid="{00000000-0005-0000-0000-00003A2B0000}"/>
    <cellStyle name="Comma 6 2 2 3" xfId="2266" xr:uid="{00000000-0005-0000-0000-00003B2B0000}"/>
    <cellStyle name="Comma 6 2 2 3 2" xfId="13288" xr:uid="{00000000-0005-0000-0000-00003C2B0000}"/>
    <cellStyle name="Comma 6 2 2 3 3" xfId="15534" xr:uid="{00000000-0005-0000-0000-00003D2B0000}"/>
    <cellStyle name="Comma 6 2 2 4" xfId="13286" xr:uid="{00000000-0005-0000-0000-00003E2B0000}"/>
    <cellStyle name="Comma 6 2 3" xfId="2267" xr:uid="{00000000-0005-0000-0000-00003F2B0000}"/>
    <cellStyle name="Comma 6 2 3 2" xfId="13289" xr:uid="{00000000-0005-0000-0000-0000402B0000}"/>
    <cellStyle name="Comma 6 2 3 3" xfId="15535" xr:uid="{00000000-0005-0000-0000-0000412B0000}"/>
    <cellStyle name="Comma 6 2 4" xfId="2268" xr:uid="{00000000-0005-0000-0000-0000422B0000}"/>
    <cellStyle name="Comma 6 2 4 2" xfId="6063" xr:uid="{00000000-0005-0000-0000-0000432B0000}"/>
    <cellStyle name="Comma 6 2 4 3" xfId="13290" xr:uid="{00000000-0005-0000-0000-0000442B0000}"/>
    <cellStyle name="Comma 6 2 4 4" xfId="15536" xr:uid="{00000000-0005-0000-0000-0000452B0000}"/>
    <cellStyle name="Comma 6 2 5" xfId="2269" xr:uid="{00000000-0005-0000-0000-0000462B0000}"/>
    <cellStyle name="Comma 6 2 5 2" xfId="13291" xr:uid="{00000000-0005-0000-0000-0000472B0000}"/>
    <cellStyle name="Comma 6 2 5 3" xfId="15537" xr:uid="{00000000-0005-0000-0000-0000482B0000}"/>
    <cellStyle name="Comma 6 2 6" xfId="13164" xr:uid="{00000000-0005-0000-0000-0000492B0000}"/>
    <cellStyle name="Comma 6 3" xfId="2270" xr:uid="{00000000-0005-0000-0000-00004A2B0000}"/>
    <cellStyle name="Comma 6 3 2" xfId="2271" xr:uid="{00000000-0005-0000-0000-00004B2B0000}"/>
    <cellStyle name="Comma 6 3 2 2" xfId="13293" xr:uid="{00000000-0005-0000-0000-00004C2B0000}"/>
    <cellStyle name="Comma 6 3 2 3" xfId="15539" xr:uid="{00000000-0005-0000-0000-00004D2B0000}"/>
    <cellStyle name="Comma 6 3 3" xfId="2272" xr:uid="{00000000-0005-0000-0000-00004E2B0000}"/>
    <cellStyle name="Comma 6 3 3 2" xfId="13294" xr:uid="{00000000-0005-0000-0000-00004F2B0000}"/>
    <cellStyle name="Comma 6 3 3 3" xfId="15540" xr:uid="{00000000-0005-0000-0000-0000502B0000}"/>
    <cellStyle name="Comma 6 3 4" xfId="13292" xr:uid="{00000000-0005-0000-0000-0000512B0000}"/>
    <cellStyle name="Comma 6 3 5" xfId="15538" xr:uid="{00000000-0005-0000-0000-0000522B0000}"/>
    <cellStyle name="Comma 6 4" xfId="2273" xr:uid="{00000000-0005-0000-0000-0000532B0000}"/>
    <cellStyle name="Comma 6 4 2" xfId="2274" xr:uid="{00000000-0005-0000-0000-0000542B0000}"/>
    <cellStyle name="Comma 6 4 3" xfId="2275" xr:uid="{00000000-0005-0000-0000-0000552B0000}"/>
    <cellStyle name="Comma 6 4 3 2" xfId="13295" xr:uid="{00000000-0005-0000-0000-0000562B0000}"/>
    <cellStyle name="Comma 6 4 3 3" xfId="15543" xr:uid="{00000000-0005-0000-0000-0000572B0000}"/>
    <cellStyle name="Comma 6 5" xfId="2276" xr:uid="{00000000-0005-0000-0000-0000582B0000}"/>
    <cellStyle name="Comma 6 5 2" xfId="6064" xr:uid="{00000000-0005-0000-0000-0000592B0000}"/>
    <cellStyle name="Comma 6 5 3" xfId="13296" xr:uid="{00000000-0005-0000-0000-00005A2B0000}"/>
    <cellStyle name="Comma 6 6" xfId="2277" xr:uid="{00000000-0005-0000-0000-00005B2B0000}"/>
    <cellStyle name="Comma 6 6 2" xfId="6065" xr:uid="{00000000-0005-0000-0000-00005C2B0000}"/>
    <cellStyle name="Comma 6 6 3" xfId="13297" xr:uid="{00000000-0005-0000-0000-00005D2B0000}"/>
    <cellStyle name="Comma 6 6 4" xfId="15544" xr:uid="{00000000-0005-0000-0000-00005E2B0000}"/>
    <cellStyle name="Comma 6 7" xfId="2278" xr:uid="{00000000-0005-0000-0000-00005F2B0000}"/>
    <cellStyle name="Comma 6 7 2" xfId="13298" xr:uid="{00000000-0005-0000-0000-0000602B0000}"/>
    <cellStyle name="Comma 6 7 3" xfId="15545" xr:uid="{00000000-0005-0000-0000-0000612B0000}"/>
    <cellStyle name="Comma 6 8" xfId="6066" xr:uid="{00000000-0005-0000-0000-0000622B0000}"/>
    <cellStyle name="Comma 6 9" xfId="6067" xr:uid="{00000000-0005-0000-0000-0000632B0000}"/>
    <cellStyle name="Comma 6_HistoricResComp" xfId="6068" xr:uid="{00000000-0005-0000-0000-0000642B0000}"/>
    <cellStyle name="Comma 7" xfId="1555" xr:uid="{00000000-0005-0000-0000-0000652B0000}"/>
    <cellStyle name="Comma 7 10" xfId="6069" xr:uid="{00000000-0005-0000-0000-0000662B0000}"/>
    <cellStyle name="Comma 7 11" xfId="6070" xr:uid="{00000000-0005-0000-0000-0000672B0000}"/>
    <cellStyle name="Comma 7 12" xfId="6071" xr:uid="{00000000-0005-0000-0000-0000682B0000}"/>
    <cellStyle name="Comma 7 13" xfId="6072" xr:uid="{00000000-0005-0000-0000-0000692B0000}"/>
    <cellStyle name="Comma 7 14" xfId="6073" xr:uid="{00000000-0005-0000-0000-00006A2B0000}"/>
    <cellStyle name="Comma 7 15" xfId="6074" xr:uid="{00000000-0005-0000-0000-00006B2B0000}"/>
    <cellStyle name="Comma 7 16" xfId="6075" xr:uid="{00000000-0005-0000-0000-00006C2B0000}"/>
    <cellStyle name="Comma 7 17" xfId="6076" xr:uid="{00000000-0005-0000-0000-00006D2B0000}"/>
    <cellStyle name="Comma 7 18" xfId="13165" xr:uid="{00000000-0005-0000-0000-00006E2B0000}"/>
    <cellStyle name="Comma 7 2" xfId="1556" xr:uid="{00000000-0005-0000-0000-00006F2B0000}"/>
    <cellStyle name="Comma 7 2 2" xfId="2279" xr:uid="{00000000-0005-0000-0000-0000702B0000}"/>
    <cellStyle name="Comma 7 2 2 2" xfId="2280" xr:uid="{00000000-0005-0000-0000-0000712B0000}"/>
    <cellStyle name="Comma 7 2 2 2 2" xfId="13300" xr:uid="{00000000-0005-0000-0000-0000722B0000}"/>
    <cellStyle name="Comma 7 2 2 2 3" xfId="15547" xr:uid="{00000000-0005-0000-0000-0000732B0000}"/>
    <cellStyle name="Comma 7 2 2 3" xfId="2281" xr:uid="{00000000-0005-0000-0000-0000742B0000}"/>
    <cellStyle name="Comma 7 2 2 3 2" xfId="13301" xr:uid="{00000000-0005-0000-0000-0000752B0000}"/>
    <cellStyle name="Comma 7 2 2 3 3" xfId="15548" xr:uid="{00000000-0005-0000-0000-0000762B0000}"/>
    <cellStyle name="Comma 7 2 2 4" xfId="13299" xr:uid="{00000000-0005-0000-0000-0000772B0000}"/>
    <cellStyle name="Comma 7 2 2 5" xfId="15546" xr:uid="{00000000-0005-0000-0000-0000782B0000}"/>
    <cellStyle name="Comma 7 2 3" xfId="2282" xr:uid="{00000000-0005-0000-0000-0000792B0000}"/>
    <cellStyle name="Comma 7 2 3 2" xfId="6077" xr:uid="{00000000-0005-0000-0000-00007A2B0000}"/>
    <cellStyle name="Comma 7 2 3 3" xfId="13302" xr:uid="{00000000-0005-0000-0000-00007B2B0000}"/>
    <cellStyle name="Comma 7 2 4" xfId="2283" xr:uid="{00000000-0005-0000-0000-00007C2B0000}"/>
    <cellStyle name="Comma 7 2 4 2" xfId="6078" xr:uid="{00000000-0005-0000-0000-00007D2B0000}"/>
    <cellStyle name="Comma 7 2 4 3" xfId="13303" xr:uid="{00000000-0005-0000-0000-00007E2B0000}"/>
    <cellStyle name="Comma 7 2 4 4" xfId="15550" xr:uid="{00000000-0005-0000-0000-00007F2B0000}"/>
    <cellStyle name="Comma 7 2 5" xfId="2284" xr:uid="{00000000-0005-0000-0000-0000802B0000}"/>
    <cellStyle name="Comma 7 2 5 2" xfId="13304" xr:uid="{00000000-0005-0000-0000-0000812B0000}"/>
    <cellStyle name="Comma 7 2 5 3" xfId="15551" xr:uid="{00000000-0005-0000-0000-0000822B0000}"/>
    <cellStyle name="Comma 7 2 6" xfId="13166" xr:uid="{00000000-0005-0000-0000-0000832B0000}"/>
    <cellStyle name="Comma 7 3" xfId="2285" xr:uid="{00000000-0005-0000-0000-0000842B0000}"/>
    <cellStyle name="Comma 7 3 2" xfId="2286" xr:uid="{00000000-0005-0000-0000-0000852B0000}"/>
    <cellStyle name="Comma 7 3 2 2" xfId="13306" xr:uid="{00000000-0005-0000-0000-0000862B0000}"/>
    <cellStyle name="Comma 7 3 2 3" xfId="15553" xr:uid="{00000000-0005-0000-0000-0000872B0000}"/>
    <cellStyle name="Comma 7 3 3" xfId="2287" xr:uid="{00000000-0005-0000-0000-0000882B0000}"/>
    <cellStyle name="Comma 7 3 3 2" xfId="13307" xr:uid="{00000000-0005-0000-0000-0000892B0000}"/>
    <cellStyle name="Comma 7 3 3 3" xfId="15554" xr:uid="{00000000-0005-0000-0000-00008A2B0000}"/>
    <cellStyle name="Comma 7 3 4" xfId="13305" xr:uid="{00000000-0005-0000-0000-00008B2B0000}"/>
    <cellStyle name="Comma 7 3 5" xfId="15552" xr:uid="{00000000-0005-0000-0000-00008C2B0000}"/>
    <cellStyle name="Comma 7 4" xfId="2288" xr:uid="{00000000-0005-0000-0000-00008D2B0000}"/>
    <cellStyle name="Comma 7 4 2" xfId="6079" xr:uid="{00000000-0005-0000-0000-00008E2B0000}"/>
    <cellStyle name="Comma 7 4 3" xfId="13308" xr:uid="{00000000-0005-0000-0000-00008F2B0000}"/>
    <cellStyle name="Comma 7 4 4" xfId="15555" xr:uid="{00000000-0005-0000-0000-0000902B0000}"/>
    <cellStyle name="Comma 7 5" xfId="2289" xr:uid="{00000000-0005-0000-0000-0000912B0000}"/>
    <cellStyle name="Comma 7 5 2" xfId="6080" xr:uid="{00000000-0005-0000-0000-0000922B0000}"/>
    <cellStyle name="Comma 7 5 3" xfId="13309" xr:uid="{00000000-0005-0000-0000-0000932B0000}"/>
    <cellStyle name="Comma 7 6" xfId="2290" xr:uid="{00000000-0005-0000-0000-0000942B0000}"/>
    <cellStyle name="Comma 7 6 2" xfId="6081" xr:uid="{00000000-0005-0000-0000-0000952B0000}"/>
    <cellStyle name="Comma 7 6 3" xfId="13310" xr:uid="{00000000-0005-0000-0000-0000962B0000}"/>
    <cellStyle name="Comma 7 6 4" xfId="15557" xr:uid="{00000000-0005-0000-0000-0000972B0000}"/>
    <cellStyle name="Comma 7 7" xfId="2291" xr:uid="{00000000-0005-0000-0000-0000982B0000}"/>
    <cellStyle name="Comma 7 7 2" xfId="6082" xr:uid="{00000000-0005-0000-0000-0000992B0000}"/>
    <cellStyle name="Comma 7 7 3" xfId="13311" xr:uid="{00000000-0005-0000-0000-00009A2B0000}"/>
    <cellStyle name="Comma 7 7 4" xfId="15558" xr:uid="{00000000-0005-0000-0000-00009B2B0000}"/>
    <cellStyle name="Comma 7 8" xfId="2292" xr:uid="{00000000-0005-0000-0000-00009C2B0000}"/>
    <cellStyle name="Comma 7 8 2" xfId="6083" xr:uid="{00000000-0005-0000-0000-00009D2B0000}"/>
    <cellStyle name="Comma 7 8 3" xfId="13312" xr:uid="{00000000-0005-0000-0000-00009E2B0000}"/>
    <cellStyle name="Comma 7 8 4" xfId="15559" xr:uid="{00000000-0005-0000-0000-00009F2B0000}"/>
    <cellStyle name="Comma 7 9" xfId="6084" xr:uid="{00000000-0005-0000-0000-0000A02B0000}"/>
    <cellStyle name="Comma 7_HistoricResComp" xfId="6085" xr:uid="{00000000-0005-0000-0000-0000A12B0000}"/>
    <cellStyle name="Comma 8" xfId="1557" xr:uid="{00000000-0005-0000-0000-0000A22B0000}"/>
    <cellStyle name="Comma 8 10" xfId="6086" xr:uid="{00000000-0005-0000-0000-0000A32B0000}"/>
    <cellStyle name="Comma 8 11" xfId="6087" xr:uid="{00000000-0005-0000-0000-0000A42B0000}"/>
    <cellStyle name="Comma 8 12" xfId="6088" xr:uid="{00000000-0005-0000-0000-0000A52B0000}"/>
    <cellStyle name="Comma 8 13" xfId="6089" xr:uid="{00000000-0005-0000-0000-0000A62B0000}"/>
    <cellStyle name="Comma 8 14" xfId="6090" xr:uid="{00000000-0005-0000-0000-0000A72B0000}"/>
    <cellStyle name="Comma 8 15" xfId="6091" xr:uid="{00000000-0005-0000-0000-0000A82B0000}"/>
    <cellStyle name="Comma 8 16" xfId="6092" xr:uid="{00000000-0005-0000-0000-0000A92B0000}"/>
    <cellStyle name="Comma 8 17" xfId="6093" xr:uid="{00000000-0005-0000-0000-0000AA2B0000}"/>
    <cellStyle name="Comma 8 2" xfId="2293" xr:uid="{00000000-0005-0000-0000-0000AB2B0000}"/>
    <cellStyle name="Comma 8 2 2" xfId="2294" xr:uid="{00000000-0005-0000-0000-0000AC2B0000}"/>
    <cellStyle name="Comma 8 2 2 2" xfId="13314" xr:uid="{00000000-0005-0000-0000-0000AD2B0000}"/>
    <cellStyle name="Comma 8 2 2 3" xfId="15561" xr:uid="{00000000-0005-0000-0000-0000AE2B0000}"/>
    <cellStyle name="Comma 8 2 3" xfId="2295" xr:uid="{00000000-0005-0000-0000-0000AF2B0000}"/>
    <cellStyle name="Comma 8 2 3 2" xfId="13315" xr:uid="{00000000-0005-0000-0000-0000B02B0000}"/>
    <cellStyle name="Comma 8 2 3 3" xfId="15562" xr:uid="{00000000-0005-0000-0000-0000B12B0000}"/>
    <cellStyle name="Comma 8 2 4" xfId="2296" xr:uid="{00000000-0005-0000-0000-0000B22B0000}"/>
    <cellStyle name="Comma 8 2 4 2" xfId="13316" xr:uid="{00000000-0005-0000-0000-0000B32B0000}"/>
    <cellStyle name="Comma 8 2 4 3" xfId="15563" xr:uid="{00000000-0005-0000-0000-0000B42B0000}"/>
    <cellStyle name="Comma 8 2 5" xfId="13313" xr:uid="{00000000-0005-0000-0000-0000B52B0000}"/>
    <cellStyle name="Comma 8 2 6" xfId="15560" xr:uid="{00000000-0005-0000-0000-0000B62B0000}"/>
    <cellStyle name="Comma 8 3" xfId="2297" xr:uid="{00000000-0005-0000-0000-0000B72B0000}"/>
    <cellStyle name="Comma 8 3 2" xfId="6094" xr:uid="{00000000-0005-0000-0000-0000B82B0000}"/>
    <cellStyle name="Comma 8 3 3" xfId="13317" xr:uid="{00000000-0005-0000-0000-0000B92B0000}"/>
    <cellStyle name="Comma 8 3 4" xfId="15564" xr:uid="{00000000-0005-0000-0000-0000BA2B0000}"/>
    <cellStyle name="Comma 8 4" xfId="2298" xr:uid="{00000000-0005-0000-0000-0000BB2B0000}"/>
    <cellStyle name="Comma 8 4 2" xfId="6095" xr:uid="{00000000-0005-0000-0000-0000BC2B0000}"/>
    <cellStyle name="Comma 8 4 3" xfId="13318" xr:uid="{00000000-0005-0000-0000-0000BD2B0000}"/>
    <cellStyle name="Comma 8 4 4" xfId="15565" xr:uid="{00000000-0005-0000-0000-0000BE2B0000}"/>
    <cellStyle name="Comma 8 5" xfId="2299" xr:uid="{00000000-0005-0000-0000-0000BF2B0000}"/>
    <cellStyle name="Comma 8 5 2" xfId="6096" xr:uid="{00000000-0005-0000-0000-0000C02B0000}"/>
    <cellStyle name="Comma 8 6" xfId="2300" xr:uid="{00000000-0005-0000-0000-0000C12B0000}"/>
    <cellStyle name="Comma 8 6 2" xfId="6097" xr:uid="{00000000-0005-0000-0000-0000C22B0000}"/>
    <cellStyle name="Comma 8 6 3" xfId="13319" xr:uid="{00000000-0005-0000-0000-0000C32B0000}"/>
    <cellStyle name="Comma 8 6 4" xfId="15567" xr:uid="{00000000-0005-0000-0000-0000C42B0000}"/>
    <cellStyle name="Comma 8 7" xfId="2301" xr:uid="{00000000-0005-0000-0000-0000C52B0000}"/>
    <cellStyle name="Comma 8 7 2" xfId="13320" xr:uid="{00000000-0005-0000-0000-0000C62B0000}"/>
    <cellStyle name="Comma 8 7 3" xfId="15568" xr:uid="{00000000-0005-0000-0000-0000C72B0000}"/>
    <cellStyle name="Comma 8 8" xfId="6098" xr:uid="{00000000-0005-0000-0000-0000C82B0000}"/>
    <cellStyle name="Comma 8 9" xfId="6099" xr:uid="{00000000-0005-0000-0000-0000C92B0000}"/>
    <cellStyle name="Comma 8_HistoricResComp" xfId="6100" xr:uid="{00000000-0005-0000-0000-0000CA2B0000}"/>
    <cellStyle name="Comma 9" xfId="1558" xr:uid="{00000000-0005-0000-0000-0000CB2B0000}"/>
    <cellStyle name="Comma 9 2" xfId="2302" xr:uid="{00000000-0005-0000-0000-0000CC2B0000}"/>
    <cellStyle name="Comma 9 2 2" xfId="13321" xr:uid="{00000000-0005-0000-0000-0000CD2B0000}"/>
    <cellStyle name="Comma 9 2 3" xfId="15569" xr:uid="{00000000-0005-0000-0000-0000CE2B0000}"/>
    <cellStyle name="Comma 9 3" xfId="2303" xr:uid="{00000000-0005-0000-0000-0000CF2B0000}"/>
    <cellStyle name="Comma 9 3 2" xfId="13322" xr:uid="{00000000-0005-0000-0000-0000D02B0000}"/>
    <cellStyle name="Comma 9 3 3" xfId="15570" xr:uid="{00000000-0005-0000-0000-0000D12B0000}"/>
    <cellStyle name="Comma 9 4" xfId="2304" xr:uid="{00000000-0005-0000-0000-0000D22B0000}"/>
    <cellStyle name="Comma 9 4 2" xfId="13323" xr:uid="{00000000-0005-0000-0000-0000D32B0000}"/>
    <cellStyle name="Comma 9 5" xfId="2305" xr:uid="{00000000-0005-0000-0000-0000D42B0000}"/>
    <cellStyle name="Comma 9 5 2" xfId="13324" xr:uid="{00000000-0005-0000-0000-0000D52B0000}"/>
    <cellStyle name="Comma 9 5 3" xfId="15572" xr:uid="{00000000-0005-0000-0000-0000D62B0000}"/>
    <cellStyle name="Comma 9 6" xfId="6101" xr:uid="{00000000-0005-0000-0000-0000D72B0000}"/>
    <cellStyle name="Comma0" xfId="1559" xr:uid="{00000000-0005-0000-0000-0000D82B0000}"/>
    <cellStyle name="Comma0 2" xfId="1560" xr:uid="{00000000-0005-0000-0000-0000D92B0000}"/>
    <cellStyle name="Comma0 3" xfId="2306" xr:uid="{00000000-0005-0000-0000-0000DA2B0000}"/>
    <cellStyle name="Comma2" xfId="1561" xr:uid="{00000000-0005-0000-0000-0000DB2B0000}"/>
    <cellStyle name="Constants" xfId="14" xr:uid="{00000000-0005-0000-0000-0000DC2B0000}"/>
    <cellStyle name="ContentsHyperlink" xfId="254" xr:uid="{00000000-0005-0000-0000-0000DD2B0000}"/>
    <cellStyle name="Cover" xfId="1562" xr:uid="{00000000-0005-0000-0000-0000DE2B0000}"/>
    <cellStyle name="cPercent0" xfId="2307" xr:uid="{00000000-0005-0000-0000-0000DF2B0000}"/>
    <cellStyle name="cPercent0 2" xfId="6102" xr:uid="{00000000-0005-0000-0000-0000E02B0000}"/>
    <cellStyle name="cPercent1" xfId="2308" xr:uid="{00000000-0005-0000-0000-0000E12B0000}"/>
    <cellStyle name="cPercent1 2" xfId="6103" xr:uid="{00000000-0005-0000-0000-0000E22B0000}"/>
    <cellStyle name="cPercent2" xfId="2309" xr:uid="{00000000-0005-0000-0000-0000E32B0000}"/>
    <cellStyle name="cPercent2 2" xfId="6104" xr:uid="{00000000-0005-0000-0000-0000E42B0000}"/>
    <cellStyle name="cTextB" xfId="2310" xr:uid="{00000000-0005-0000-0000-0000E52B0000}"/>
    <cellStyle name="cTextBCen" xfId="2311" xr:uid="{00000000-0005-0000-0000-0000E62B0000}"/>
    <cellStyle name="cTextBCenSm" xfId="2312" xr:uid="{00000000-0005-0000-0000-0000E72B0000}"/>
    <cellStyle name="cTextBCenSm 2" xfId="6105" xr:uid="{00000000-0005-0000-0000-0000E82B0000}"/>
    <cellStyle name="cTextBCenSm 3" xfId="6106" xr:uid="{00000000-0005-0000-0000-0000E92B0000}"/>
    <cellStyle name="cTextBCenSm_Sheet2" xfId="6107" xr:uid="{00000000-0005-0000-0000-0000EA2B0000}"/>
    <cellStyle name="cTextCen" xfId="2313" xr:uid="{00000000-0005-0000-0000-0000EB2B0000}"/>
    <cellStyle name="cTextGenWrap" xfId="2314" xr:uid="{00000000-0005-0000-0000-0000EC2B0000}"/>
    <cellStyle name="cTextGenWrap 2" xfId="6108" xr:uid="{00000000-0005-0000-0000-0000ED2B0000}"/>
    <cellStyle name="cTextI" xfId="2315" xr:uid="{00000000-0005-0000-0000-0000EE2B0000}"/>
    <cellStyle name="cTextSm" xfId="2316" xr:uid="{00000000-0005-0000-0000-0000EF2B0000}"/>
    <cellStyle name="cTextSm 2" xfId="6109" xr:uid="{00000000-0005-0000-0000-0000F02B0000}"/>
    <cellStyle name="cTextSm 3" xfId="6110" xr:uid="{00000000-0005-0000-0000-0000F12B0000}"/>
    <cellStyle name="cTextSm_Sheet2" xfId="6111" xr:uid="{00000000-0005-0000-0000-0000F22B0000}"/>
    <cellStyle name="cTextU" xfId="2317" xr:uid="{00000000-0005-0000-0000-0000F32B0000}"/>
    <cellStyle name="Currency [0] U" xfId="2318" xr:uid="{00000000-0005-0000-0000-0000F42B0000}"/>
    <cellStyle name="Currency [2]" xfId="2319" xr:uid="{00000000-0005-0000-0000-0000F52B0000}"/>
    <cellStyle name="Currency [2] U" xfId="2320" xr:uid="{00000000-0005-0000-0000-0000F62B0000}"/>
    <cellStyle name="Currency 10" xfId="2321" xr:uid="{00000000-0005-0000-0000-0000F72B0000}"/>
    <cellStyle name="Currency 10 2" xfId="6112" xr:uid="{00000000-0005-0000-0000-0000F82B0000}"/>
    <cellStyle name="Currency 10 3" xfId="13325" xr:uid="{00000000-0005-0000-0000-0000F92B0000}"/>
    <cellStyle name="Currency 10 4" xfId="15587" xr:uid="{00000000-0005-0000-0000-0000FA2B0000}"/>
    <cellStyle name="Currency 11" xfId="2322" xr:uid="{00000000-0005-0000-0000-0000FB2B0000}"/>
    <cellStyle name="Currency 11 2" xfId="6113" xr:uid="{00000000-0005-0000-0000-0000FC2B0000}"/>
    <cellStyle name="Currency 11 3" xfId="13326" xr:uid="{00000000-0005-0000-0000-0000FD2B0000}"/>
    <cellStyle name="Currency 11 4" xfId="15588" xr:uid="{00000000-0005-0000-0000-0000FE2B0000}"/>
    <cellStyle name="Currency 12" xfId="2323" xr:uid="{00000000-0005-0000-0000-0000FF2B0000}"/>
    <cellStyle name="Currency 12 2" xfId="6114" xr:uid="{00000000-0005-0000-0000-0000002C0000}"/>
    <cellStyle name="Currency 12 3" xfId="13327" xr:uid="{00000000-0005-0000-0000-0000012C0000}"/>
    <cellStyle name="Currency 12 4" xfId="15589" xr:uid="{00000000-0005-0000-0000-0000022C0000}"/>
    <cellStyle name="Currency 13" xfId="2324" xr:uid="{00000000-0005-0000-0000-0000032C0000}"/>
    <cellStyle name="Currency 13 2" xfId="13328" xr:uid="{00000000-0005-0000-0000-0000042C0000}"/>
    <cellStyle name="Currency 13 3" xfId="15590" xr:uid="{00000000-0005-0000-0000-0000052C0000}"/>
    <cellStyle name="Currency 14" xfId="6115" xr:uid="{00000000-0005-0000-0000-0000062C0000}"/>
    <cellStyle name="Currency 2" xfId="1563" xr:uid="{00000000-0005-0000-0000-0000072C0000}"/>
    <cellStyle name="Currency 2 2" xfId="2325" xr:uid="{00000000-0005-0000-0000-0000082C0000}"/>
    <cellStyle name="Currency 2 2 2" xfId="2326" xr:uid="{00000000-0005-0000-0000-0000092C0000}"/>
    <cellStyle name="Currency 2 2 2 2" xfId="13330" xr:uid="{00000000-0005-0000-0000-00000A2C0000}"/>
    <cellStyle name="Currency 2 2 2 3" xfId="15592" xr:uid="{00000000-0005-0000-0000-00000B2C0000}"/>
    <cellStyle name="Currency 2 2 3" xfId="2327" xr:uid="{00000000-0005-0000-0000-00000C2C0000}"/>
    <cellStyle name="Currency 2 2 3 2" xfId="13331" xr:uid="{00000000-0005-0000-0000-00000D2C0000}"/>
    <cellStyle name="Currency 2 2 4" xfId="6116" xr:uid="{00000000-0005-0000-0000-00000E2C0000}"/>
    <cellStyle name="Currency 2 2 5" xfId="13329" xr:uid="{00000000-0005-0000-0000-00000F2C0000}"/>
    <cellStyle name="Currency 2 2 6" xfId="15591" xr:uid="{00000000-0005-0000-0000-0000102C0000}"/>
    <cellStyle name="Currency 2 3" xfId="2328" xr:uid="{00000000-0005-0000-0000-0000112C0000}"/>
    <cellStyle name="Currency 2 3 2" xfId="6117" xr:uid="{00000000-0005-0000-0000-0000122C0000}"/>
    <cellStyle name="Currency 2 3 3" xfId="13332" xr:uid="{00000000-0005-0000-0000-0000132C0000}"/>
    <cellStyle name="Currency 2 3 4" xfId="15594" xr:uid="{00000000-0005-0000-0000-0000142C0000}"/>
    <cellStyle name="Currency 2 4" xfId="2329" xr:uid="{00000000-0005-0000-0000-0000152C0000}"/>
    <cellStyle name="Currency 2 4 2" xfId="6118" xr:uid="{00000000-0005-0000-0000-0000162C0000}"/>
    <cellStyle name="Currency 2 5" xfId="2330" xr:uid="{00000000-0005-0000-0000-0000172C0000}"/>
    <cellStyle name="Currency 2 5 2" xfId="6119" xr:uid="{00000000-0005-0000-0000-0000182C0000}"/>
    <cellStyle name="Currency 2 5 3" xfId="13333" xr:uid="{00000000-0005-0000-0000-0000192C0000}"/>
    <cellStyle name="Currency 2 5 4" xfId="15596" xr:uid="{00000000-0005-0000-0000-00001A2C0000}"/>
    <cellStyle name="Currency 2 6" xfId="6120" xr:uid="{00000000-0005-0000-0000-00001B2C0000}"/>
    <cellStyle name="Currency 2 7" xfId="6121" xr:uid="{00000000-0005-0000-0000-00001C2C0000}"/>
    <cellStyle name="Currency 2 8" xfId="6122" xr:uid="{00000000-0005-0000-0000-00001D2C0000}"/>
    <cellStyle name="Currency 2 9" xfId="3596" xr:uid="{00000000-0005-0000-0000-00001E2C0000}"/>
    <cellStyle name="Currency 3" xfId="2331" xr:uid="{00000000-0005-0000-0000-00001F2C0000}"/>
    <cellStyle name="Currency 3 2" xfId="2332" xr:uid="{00000000-0005-0000-0000-0000202C0000}"/>
    <cellStyle name="Currency 3 2 2" xfId="6124" xr:uid="{00000000-0005-0000-0000-0000212C0000}"/>
    <cellStyle name="Currency 3 2 3" xfId="13335" xr:uid="{00000000-0005-0000-0000-0000222C0000}"/>
    <cellStyle name="Currency 3 2 4" xfId="15598" xr:uid="{00000000-0005-0000-0000-0000232C0000}"/>
    <cellStyle name="Currency 3 3" xfId="2333" xr:uid="{00000000-0005-0000-0000-0000242C0000}"/>
    <cellStyle name="Currency 3 3 2" xfId="6125" xr:uid="{00000000-0005-0000-0000-0000252C0000}"/>
    <cellStyle name="Currency 3 3 3" xfId="13336" xr:uid="{00000000-0005-0000-0000-0000262C0000}"/>
    <cellStyle name="Currency 3 3 4" xfId="15599" xr:uid="{00000000-0005-0000-0000-0000272C0000}"/>
    <cellStyle name="Currency 3 4" xfId="6123" xr:uid="{00000000-0005-0000-0000-0000282C0000}"/>
    <cellStyle name="Currency 3 5" xfId="13334" xr:uid="{00000000-0005-0000-0000-0000292C0000}"/>
    <cellStyle name="Currency 3 6" xfId="15597" xr:uid="{00000000-0005-0000-0000-00002A2C0000}"/>
    <cellStyle name="Currency 3_monthly report" xfId="6126" xr:uid="{00000000-0005-0000-0000-00002B2C0000}"/>
    <cellStyle name="Currency 4" xfId="2334" xr:uid="{00000000-0005-0000-0000-00002C2C0000}"/>
    <cellStyle name="Currency 4 2" xfId="2335" xr:uid="{00000000-0005-0000-0000-00002D2C0000}"/>
    <cellStyle name="Currency 4 2 2" xfId="13338" xr:uid="{00000000-0005-0000-0000-00002E2C0000}"/>
    <cellStyle name="Currency 4 2 3" xfId="15601" xr:uid="{00000000-0005-0000-0000-00002F2C0000}"/>
    <cellStyle name="Currency 4 3" xfId="2336" xr:uid="{00000000-0005-0000-0000-0000302C0000}"/>
    <cellStyle name="Currency 4 3 2" xfId="13339" xr:uid="{00000000-0005-0000-0000-0000312C0000}"/>
    <cellStyle name="Currency 4 3 3" xfId="15602" xr:uid="{00000000-0005-0000-0000-0000322C0000}"/>
    <cellStyle name="Currency 4 4" xfId="13337" xr:uid="{00000000-0005-0000-0000-0000332C0000}"/>
    <cellStyle name="Currency 4 5" xfId="15600" xr:uid="{00000000-0005-0000-0000-0000342C0000}"/>
    <cellStyle name="Currency 5" xfId="2337" xr:uid="{00000000-0005-0000-0000-0000352C0000}"/>
    <cellStyle name="Currency 5 2" xfId="2338" xr:uid="{00000000-0005-0000-0000-0000362C0000}"/>
    <cellStyle name="Currency 5 2 2" xfId="13341" xr:uid="{00000000-0005-0000-0000-0000372C0000}"/>
    <cellStyle name="Currency 5 2 3" xfId="15604" xr:uid="{00000000-0005-0000-0000-0000382C0000}"/>
    <cellStyle name="Currency 5 3" xfId="2339" xr:uid="{00000000-0005-0000-0000-0000392C0000}"/>
    <cellStyle name="Currency 5 3 2" xfId="13342" xr:uid="{00000000-0005-0000-0000-00003A2C0000}"/>
    <cellStyle name="Currency 5 4" xfId="6127" xr:uid="{00000000-0005-0000-0000-00003B2C0000}"/>
    <cellStyle name="Currency 5 5" xfId="13340" xr:uid="{00000000-0005-0000-0000-00003C2C0000}"/>
    <cellStyle name="Currency 5 6" xfId="15603" xr:uid="{00000000-0005-0000-0000-00003D2C0000}"/>
    <cellStyle name="Currency 6" xfId="2340" xr:uid="{00000000-0005-0000-0000-00003E2C0000}"/>
    <cellStyle name="Currency 6 2" xfId="2341" xr:uid="{00000000-0005-0000-0000-00003F2C0000}"/>
    <cellStyle name="Currency 6 2 2" xfId="13344" xr:uid="{00000000-0005-0000-0000-0000402C0000}"/>
    <cellStyle name="Currency 6 2 3" xfId="15606" xr:uid="{00000000-0005-0000-0000-0000412C0000}"/>
    <cellStyle name="Currency 6 3" xfId="2342" xr:uid="{00000000-0005-0000-0000-0000422C0000}"/>
    <cellStyle name="Currency 6 3 2" xfId="13345" xr:uid="{00000000-0005-0000-0000-0000432C0000}"/>
    <cellStyle name="Currency 6 3 3" xfId="15607" xr:uid="{00000000-0005-0000-0000-0000442C0000}"/>
    <cellStyle name="Currency 6 4" xfId="13343" xr:uid="{00000000-0005-0000-0000-0000452C0000}"/>
    <cellStyle name="Currency 6 5" xfId="15605" xr:uid="{00000000-0005-0000-0000-0000462C0000}"/>
    <cellStyle name="Currency 7" xfId="2343" xr:uid="{00000000-0005-0000-0000-0000472C0000}"/>
    <cellStyle name="Currency 7 2" xfId="2344" xr:uid="{00000000-0005-0000-0000-0000482C0000}"/>
    <cellStyle name="Currency 7 2 2" xfId="13347" xr:uid="{00000000-0005-0000-0000-0000492C0000}"/>
    <cellStyle name="Currency 7 2 3" xfId="15609" xr:uid="{00000000-0005-0000-0000-00004A2C0000}"/>
    <cellStyle name="Currency 7 3" xfId="2345" xr:uid="{00000000-0005-0000-0000-00004B2C0000}"/>
    <cellStyle name="Currency 7 3 2" xfId="13348" xr:uid="{00000000-0005-0000-0000-00004C2C0000}"/>
    <cellStyle name="Currency 7 3 3" xfId="15610" xr:uid="{00000000-0005-0000-0000-00004D2C0000}"/>
    <cellStyle name="Currency 7 4" xfId="6128" xr:uid="{00000000-0005-0000-0000-00004E2C0000}"/>
    <cellStyle name="Currency 7 5" xfId="13346" xr:uid="{00000000-0005-0000-0000-00004F2C0000}"/>
    <cellStyle name="Currency 7 6" xfId="15608" xr:uid="{00000000-0005-0000-0000-0000502C0000}"/>
    <cellStyle name="Currency 8" xfId="2346" xr:uid="{00000000-0005-0000-0000-0000512C0000}"/>
    <cellStyle name="Currency 8 2" xfId="2347" xr:uid="{00000000-0005-0000-0000-0000522C0000}"/>
    <cellStyle name="Currency 8 2 2" xfId="13350" xr:uid="{00000000-0005-0000-0000-0000532C0000}"/>
    <cellStyle name="Currency 8 2 3" xfId="15612" xr:uid="{00000000-0005-0000-0000-0000542C0000}"/>
    <cellStyle name="Currency 8 3" xfId="6129" xr:uid="{00000000-0005-0000-0000-0000552C0000}"/>
    <cellStyle name="Currency 8 4" xfId="13349" xr:uid="{00000000-0005-0000-0000-0000562C0000}"/>
    <cellStyle name="Currency 8 5" xfId="15611" xr:uid="{00000000-0005-0000-0000-0000572C0000}"/>
    <cellStyle name="Currency 9" xfId="2348" xr:uid="{00000000-0005-0000-0000-0000582C0000}"/>
    <cellStyle name="Currency 9 2" xfId="6130" xr:uid="{00000000-0005-0000-0000-0000592C0000}"/>
    <cellStyle name="Currency 9 3" xfId="13351" xr:uid="{00000000-0005-0000-0000-00005A2C0000}"/>
    <cellStyle name="Currency 9 4" xfId="15613" xr:uid="{00000000-0005-0000-0000-00005B2C0000}"/>
    <cellStyle name="Currency0" xfId="1564" xr:uid="{00000000-0005-0000-0000-00005C2C0000}"/>
    <cellStyle name="Currency0 2" xfId="2349" xr:uid="{00000000-0005-0000-0000-00005D2C0000}"/>
    <cellStyle name="Currency2" xfId="1565" xr:uid="{00000000-0005-0000-0000-00005E2C0000}"/>
    <cellStyle name="CustomCellsOrange" xfId="146" xr:uid="{00000000-0005-0000-0000-00005F2C0000}"/>
    <cellStyle name="CustomCellsOrange 2" xfId="428" xr:uid="{00000000-0005-0000-0000-0000602C0000}"/>
    <cellStyle name="CustomCellsOrange 2 2" xfId="451" xr:uid="{00000000-0005-0000-0000-0000612C0000}"/>
    <cellStyle name="CustomCellsOrange 2 2 10" xfId="8721" xr:uid="{00000000-0005-0000-0000-0000622C0000}"/>
    <cellStyle name="CustomCellsOrange 2 2 11" xfId="8863" xr:uid="{00000000-0005-0000-0000-0000632C0000}"/>
    <cellStyle name="CustomCellsOrange 2 2 12" xfId="8925" xr:uid="{00000000-0005-0000-0000-0000642C0000}"/>
    <cellStyle name="CustomCellsOrange 2 2 13" xfId="10863" xr:uid="{00000000-0005-0000-0000-0000652C0000}"/>
    <cellStyle name="CustomCellsOrange 2 2 14" xfId="9618" xr:uid="{00000000-0005-0000-0000-0000662C0000}"/>
    <cellStyle name="CustomCellsOrange 2 2 15" xfId="9226" xr:uid="{00000000-0005-0000-0000-0000672C0000}"/>
    <cellStyle name="CustomCellsOrange 2 2 16" xfId="12258" xr:uid="{00000000-0005-0000-0000-0000682C0000}"/>
    <cellStyle name="CustomCellsOrange 2 2 17" xfId="14956" xr:uid="{00000000-0005-0000-0000-0000692C0000}"/>
    <cellStyle name="CustomCellsOrange 2 2 18" xfId="17537" xr:uid="{00000000-0005-0000-0000-00006A2C0000}"/>
    <cellStyle name="CustomCellsOrange 2 2 19" xfId="13690" xr:uid="{00000000-0005-0000-0000-00006B2C0000}"/>
    <cellStyle name="CustomCellsOrange 2 2 2" xfId="521" xr:uid="{00000000-0005-0000-0000-00006C2C0000}"/>
    <cellStyle name="CustomCellsOrange 2 2 2 2" xfId="687" xr:uid="{00000000-0005-0000-0000-00006D2C0000}"/>
    <cellStyle name="CustomCellsOrange 2 2 2 2 10" xfId="11153" xr:uid="{00000000-0005-0000-0000-00006E2C0000}"/>
    <cellStyle name="CustomCellsOrange 2 2 2 2 11" xfId="11540" xr:uid="{00000000-0005-0000-0000-00006F2C0000}"/>
    <cellStyle name="CustomCellsOrange 2 2 2 2 12" xfId="11912" xr:uid="{00000000-0005-0000-0000-0000702C0000}"/>
    <cellStyle name="CustomCellsOrange 2 2 2 2 13" xfId="12425" xr:uid="{00000000-0005-0000-0000-0000712C0000}"/>
    <cellStyle name="CustomCellsOrange 2 2 2 2 14" xfId="14328" xr:uid="{00000000-0005-0000-0000-0000722C0000}"/>
    <cellStyle name="CustomCellsOrange 2 2 2 2 15" xfId="17513" xr:uid="{00000000-0005-0000-0000-0000732C0000}"/>
    <cellStyle name="CustomCellsOrange 2 2 2 2 16" xfId="14641" xr:uid="{00000000-0005-0000-0000-0000742C0000}"/>
    <cellStyle name="CustomCellsOrange 2 2 2 2 17" xfId="18156" xr:uid="{00000000-0005-0000-0000-0000752C0000}"/>
    <cellStyle name="CustomCellsOrange 2 2 2 2 2" xfId="901" xr:uid="{00000000-0005-0000-0000-0000762C0000}"/>
    <cellStyle name="CustomCellsOrange 2 2 2 2 2 10" xfId="11747" xr:uid="{00000000-0005-0000-0000-0000772C0000}"/>
    <cellStyle name="CustomCellsOrange 2 2 2 2 2 11" xfId="12118" xr:uid="{00000000-0005-0000-0000-0000782C0000}"/>
    <cellStyle name="CustomCellsOrange 2 2 2 2 2 12" xfId="12631" xr:uid="{00000000-0005-0000-0000-0000792C0000}"/>
    <cellStyle name="CustomCellsOrange 2 2 2 2 2 13" xfId="14490" xr:uid="{00000000-0005-0000-0000-00007A2C0000}"/>
    <cellStyle name="CustomCellsOrange 2 2 2 2 2 14" xfId="17447" xr:uid="{00000000-0005-0000-0000-00007B2C0000}"/>
    <cellStyle name="CustomCellsOrange 2 2 2 2 2 15" xfId="18489" xr:uid="{00000000-0005-0000-0000-00007C2C0000}"/>
    <cellStyle name="CustomCellsOrange 2 2 2 2 2 16" xfId="14253" xr:uid="{00000000-0005-0000-0000-00007D2C0000}"/>
    <cellStyle name="CustomCellsOrange 2 2 2 2 2 2" xfId="1403" xr:uid="{00000000-0005-0000-0000-00007E2C0000}"/>
    <cellStyle name="CustomCellsOrange 2 2 2 2 2 2 2" xfId="13132" xr:uid="{00000000-0005-0000-0000-00007F2C0000}"/>
    <cellStyle name="CustomCellsOrange 2 2 2 2 2 2 3" xfId="14855" xr:uid="{00000000-0005-0000-0000-0000802C0000}"/>
    <cellStyle name="CustomCellsOrange 2 2 2 2 2 2 4" xfId="17109" xr:uid="{00000000-0005-0000-0000-0000812C0000}"/>
    <cellStyle name="CustomCellsOrange 2 2 2 2 2 2 5" xfId="15161" xr:uid="{00000000-0005-0000-0000-0000822C0000}"/>
    <cellStyle name="CustomCellsOrange 2 2 2 2 2 2 6" xfId="19061" xr:uid="{00000000-0005-0000-0000-0000832C0000}"/>
    <cellStyle name="CustomCellsOrange 2 2 2 2 2 3" xfId="4255" xr:uid="{00000000-0005-0000-0000-0000842C0000}"/>
    <cellStyle name="CustomCellsOrange 2 2 2 2 2 4" xfId="9374" xr:uid="{00000000-0005-0000-0000-0000852C0000}"/>
    <cellStyle name="CustomCellsOrange 2 2 2 2 2 5" xfId="9802" xr:uid="{00000000-0005-0000-0000-0000862C0000}"/>
    <cellStyle name="CustomCellsOrange 2 2 2 2 2 6" xfId="10231" xr:uid="{00000000-0005-0000-0000-0000872C0000}"/>
    <cellStyle name="CustomCellsOrange 2 2 2 2 2 7" xfId="10643" xr:uid="{00000000-0005-0000-0000-0000882C0000}"/>
    <cellStyle name="CustomCellsOrange 2 2 2 2 2 8" xfId="10973" xr:uid="{00000000-0005-0000-0000-0000892C0000}"/>
    <cellStyle name="CustomCellsOrange 2 2 2 2 2 9" xfId="11362" xr:uid="{00000000-0005-0000-0000-00008A2C0000}"/>
    <cellStyle name="CustomCellsOrange 2 2 2 2 3" xfId="1083" xr:uid="{00000000-0005-0000-0000-00008B2C0000}"/>
    <cellStyle name="CustomCellsOrange 2 2 2 2 3 2" xfId="12812" xr:uid="{00000000-0005-0000-0000-00008C2C0000}"/>
    <cellStyle name="CustomCellsOrange 2 2 2 2 3 3" xfId="15324" xr:uid="{00000000-0005-0000-0000-00008D2C0000}"/>
    <cellStyle name="CustomCellsOrange 2 2 2 2 3 4" xfId="17349" xr:uid="{00000000-0005-0000-0000-00008E2C0000}"/>
    <cellStyle name="CustomCellsOrange 2 2 2 2 3 5" xfId="15968" xr:uid="{00000000-0005-0000-0000-00008F2C0000}"/>
    <cellStyle name="CustomCellsOrange 2 2 2 2 3 6" xfId="19301" xr:uid="{00000000-0005-0000-0000-0000902C0000}"/>
    <cellStyle name="CustomCellsOrange 2 2 2 2 4" xfId="3908" xr:uid="{00000000-0005-0000-0000-0000912C0000}"/>
    <cellStyle name="CustomCellsOrange 2 2 2 2 5" xfId="8554" xr:uid="{00000000-0005-0000-0000-0000922C0000}"/>
    <cellStyle name="CustomCellsOrange 2 2 2 2 6" xfId="9590" xr:uid="{00000000-0005-0000-0000-0000932C0000}"/>
    <cellStyle name="CustomCellsOrange 2 2 2 2 7" xfId="10017" xr:uid="{00000000-0005-0000-0000-0000942C0000}"/>
    <cellStyle name="CustomCellsOrange 2 2 2 2 8" xfId="10429" xr:uid="{00000000-0005-0000-0000-0000952C0000}"/>
    <cellStyle name="CustomCellsOrange 2 2 2 2 9" xfId="10805" xr:uid="{00000000-0005-0000-0000-0000962C0000}"/>
    <cellStyle name="CustomCellsOrange 2 2 20" xfId="18262" xr:uid="{00000000-0005-0000-0000-0000972C0000}"/>
    <cellStyle name="CustomCellsOrange 2 2 3" xfId="670" xr:uid="{00000000-0005-0000-0000-0000982C0000}"/>
    <cellStyle name="CustomCellsOrange 2 2 3 10" xfId="11137" xr:uid="{00000000-0005-0000-0000-0000992C0000}"/>
    <cellStyle name="CustomCellsOrange 2 2 3 11" xfId="11524" xr:uid="{00000000-0005-0000-0000-00009A2C0000}"/>
    <cellStyle name="CustomCellsOrange 2 2 3 12" xfId="11896" xr:uid="{00000000-0005-0000-0000-00009B2C0000}"/>
    <cellStyle name="CustomCellsOrange 2 2 3 13" xfId="12409" xr:uid="{00000000-0005-0000-0000-00009C2C0000}"/>
    <cellStyle name="CustomCellsOrange 2 2 3 14" xfId="15859" xr:uid="{00000000-0005-0000-0000-00009D2C0000}"/>
    <cellStyle name="CustomCellsOrange 2 2 3 15" xfId="16183" xr:uid="{00000000-0005-0000-0000-00009E2C0000}"/>
    <cellStyle name="CustomCellsOrange 2 2 3 16" xfId="13719" xr:uid="{00000000-0005-0000-0000-00009F2C0000}"/>
    <cellStyle name="CustomCellsOrange 2 2 3 17" xfId="15471" xr:uid="{00000000-0005-0000-0000-0000A02C0000}"/>
    <cellStyle name="CustomCellsOrange 2 2 3 2" xfId="885" xr:uid="{00000000-0005-0000-0000-0000A12C0000}"/>
    <cellStyle name="CustomCellsOrange 2 2 3 2 10" xfId="11731" xr:uid="{00000000-0005-0000-0000-0000A22C0000}"/>
    <cellStyle name="CustomCellsOrange 2 2 3 2 11" xfId="12102" xr:uid="{00000000-0005-0000-0000-0000A32C0000}"/>
    <cellStyle name="CustomCellsOrange 2 2 3 2 12" xfId="12615" xr:uid="{00000000-0005-0000-0000-0000A42C0000}"/>
    <cellStyle name="CustomCellsOrange 2 2 3 2 13" xfId="14462" xr:uid="{00000000-0005-0000-0000-0000A52C0000}"/>
    <cellStyle name="CustomCellsOrange 2 2 3 2 14" xfId="17456" xr:uid="{00000000-0005-0000-0000-0000A62C0000}"/>
    <cellStyle name="CustomCellsOrange 2 2 3 2 15" xfId="16971" xr:uid="{00000000-0005-0000-0000-0000A72C0000}"/>
    <cellStyle name="CustomCellsOrange 2 2 3 2 16" xfId="18376" xr:uid="{00000000-0005-0000-0000-0000A82C0000}"/>
    <cellStyle name="CustomCellsOrange 2 2 3 2 2" xfId="1387" xr:uid="{00000000-0005-0000-0000-0000A92C0000}"/>
    <cellStyle name="CustomCellsOrange 2 2 3 2 2 2" xfId="13116" xr:uid="{00000000-0005-0000-0000-0000AA2C0000}"/>
    <cellStyle name="CustomCellsOrange 2 2 3 2 2 3" xfId="15431" xr:uid="{00000000-0005-0000-0000-0000AB2C0000}"/>
    <cellStyle name="CustomCellsOrange 2 2 3 2 2 4" xfId="17121" xr:uid="{00000000-0005-0000-0000-0000AC2C0000}"/>
    <cellStyle name="CustomCellsOrange 2 2 3 2 2 5" xfId="17600" xr:uid="{00000000-0005-0000-0000-0000AD2C0000}"/>
    <cellStyle name="CustomCellsOrange 2 2 3 2 2 6" xfId="19073" xr:uid="{00000000-0005-0000-0000-0000AE2C0000}"/>
    <cellStyle name="CustomCellsOrange 2 2 3 2 3" xfId="4239" xr:uid="{00000000-0005-0000-0000-0000AF2C0000}"/>
    <cellStyle name="CustomCellsOrange 2 2 3 2 4" xfId="9358" xr:uid="{00000000-0005-0000-0000-0000B02C0000}"/>
    <cellStyle name="CustomCellsOrange 2 2 3 2 5" xfId="9786" xr:uid="{00000000-0005-0000-0000-0000B12C0000}"/>
    <cellStyle name="CustomCellsOrange 2 2 3 2 6" xfId="10215" xr:uid="{00000000-0005-0000-0000-0000B22C0000}"/>
    <cellStyle name="CustomCellsOrange 2 2 3 2 7" xfId="10627" xr:uid="{00000000-0005-0000-0000-0000B32C0000}"/>
    <cellStyle name="CustomCellsOrange 2 2 3 2 8" xfId="10957" xr:uid="{00000000-0005-0000-0000-0000B42C0000}"/>
    <cellStyle name="CustomCellsOrange 2 2 3 2 9" xfId="11346" xr:uid="{00000000-0005-0000-0000-0000B52C0000}"/>
    <cellStyle name="CustomCellsOrange 2 2 3 3" xfId="1276" xr:uid="{00000000-0005-0000-0000-0000B62C0000}"/>
    <cellStyle name="CustomCellsOrange 2 2 3 3 2" xfId="13005" xr:uid="{00000000-0005-0000-0000-0000B72C0000}"/>
    <cellStyle name="CustomCellsOrange 2 2 3 3 3" xfId="13861" xr:uid="{00000000-0005-0000-0000-0000B82C0000}"/>
    <cellStyle name="CustomCellsOrange 2 2 3 3 4" xfId="17203" xr:uid="{00000000-0005-0000-0000-0000B92C0000}"/>
    <cellStyle name="CustomCellsOrange 2 2 3 3 5" xfId="18141" xr:uid="{00000000-0005-0000-0000-0000BA2C0000}"/>
    <cellStyle name="CustomCellsOrange 2 2 3 3 6" xfId="19155" xr:uid="{00000000-0005-0000-0000-0000BB2C0000}"/>
    <cellStyle name="CustomCellsOrange 2 2 3 4" xfId="3549" xr:uid="{00000000-0005-0000-0000-0000BC2C0000}"/>
    <cellStyle name="CustomCellsOrange 2 2 3 5" xfId="8779" xr:uid="{00000000-0005-0000-0000-0000BD2C0000}"/>
    <cellStyle name="CustomCellsOrange 2 2 3 6" xfId="9574" xr:uid="{00000000-0005-0000-0000-0000BE2C0000}"/>
    <cellStyle name="CustomCellsOrange 2 2 3 7" xfId="10001" xr:uid="{00000000-0005-0000-0000-0000BF2C0000}"/>
    <cellStyle name="CustomCellsOrange 2 2 3 8" xfId="10413" xr:uid="{00000000-0005-0000-0000-0000C02C0000}"/>
    <cellStyle name="CustomCellsOrange 2 2 3 9" xfId="10880" xr:uid="{00000000-0005-0000-0000-0000C12C0000}"/>
    <cellStyle name="CustomCellsOrange 2 2 4" xfId="588" xr:uid="{00000000-0005-0000-0000-0000C22C0000}"/>
    <cellStyle name="CustomCellsOrange 2 2 4 10" xfId="11055" xr:uid="{00000000-0005-0000-0000-0000C32C0000}"/>
    <cellStyle name="CustomCellsOrange 2 2 4 11" xfId="11442" xr:uid="{00000000-0005-0000-0000-0000C42C0000}"/>
    <cellStyle name="CustomCellsOrange 2 2 4 12" xfId="11814" xr:uid="{00000000-0005-0000-0000-0000C52C0000}"/>
    <cellStyle name="CustomCellsOrange 2 2 4 13" xfId="12327" xr:uid="{00000000-0005-0000-0000-0000C62C0000}"/>
    <cellStyle name="CustomCellsOrange 2 2 4 14" xfId="16230" xr:uid="{00000000-0005-0000-0000-0000C72C0000}"/>
    <cellStyle name="CustomCellsOrange 2 2 4 15" xfId="15708" xr:uid="{00000000-0005-0000-0000-0000C82C0000}"/>
    <cellStyle name="CustomCellsOrange 2 2 4 16" xfId="16960" xr:uid="{00000000-0005-0000-0000-0000C92C0000}"/>
    <cellStyle name="CustomCellsOrange 2 2 4 17" xfId="18106" xr:uid="{00000000-0005-0000-0000-0000CA2C0000}"/>
    <cellStyle name="CustomCellsOrange 2 2 4 2" xfId="803" xr:uid="{00000000-0005-0000-0000-0000CB2C0000}"/>
    <cellStyle name="CustomCellsOrange 2 2 4 2 10" xfId="11649" xr:uid="{00000000-0005-0000-0000-0000CC2C0000}"/>
    <cellStyle name="CustomCellsOrange 2 2 4 2 11" xfId="12020" xr:uid="{00000000-0005-0000-0000-0000CD2C0000}"/>
    <cellStyle name="CustomCellsOrange 2 2 4 2 12" xfId="12533" xr:uid="{00000000-0005-0000-0000-0000CE2C0000}"/>
    <cellStyle name="CustomCellsOrange 2 2 4 2 13" xfId="14768" xr:uid="{00000000-0005-0000-0000-0000CF2C0000}"/>
    <cellStyle name="CustomCellsOrange 2 2 4 2 14" xfId="17468" xr:uid="{00000000-0005-0000-0000-0000D02C0000}"/>
    <cellStyle name="CustomCellsOrange 2 2 4 2 15" xfId="14093" xr:uid="{00000000-0005-0000-0000-0000D12C0000}"/>
    <cellStyle name="CustomCellsOrange 2 2 4 2 16" xfId="15820" xr:uid="{00000000-0005-0000-0000-0000D22C0000}"/>
    <cellStyle name="CustomCellsOrange 2 2 4 2 2" xfId="1121" xr:uid="{00000000-0005-0000-0000-0000D32C0000}"/>
    <cellStyle name="CustomCellsOrange 2 2 4 2 2 2" xfId="12850" xr:uid="{00000000-0005-0000-0000-0000D42C0000}"/>
    <cellStyle name="CustomCellsOrange 2 2 4 2 2 3" xfId="16209" xr:uid="{00000000-0005-0000-0000-0000D52C0000}"/>
    <cellStyle name="CustomCellsOrange 2 2 4 2 2 4" xfId="16221" xr:uid="{00000000-0005-0000-0000-0000D62C0000}"/>
    <cellStyle name="CustomCellsOrange 2 2 4 2 2 5" xfId="16284" xr:uid="{00000000-0005-0000-0000-0000D72C0000}"/>
    <cellStyle name="CustomCellsOrange 2 2 4 2 2 6" xfId="18100" xr:uid="{00000000-0005-0000-0000-0000D82C0000}"/>
    <cellStyle name="CustomCellsOrange 2 2 4 2 3" xfId="4226" xr:uid="{00000000-0005-0000-0000-0000D92C0000}"/>
    <cellStyle name="CustomCellsOrange 2 2 4 2 4" xfId="8767" xr:uid="{00000000-0005-0000-0000-0000DA2C0000}"/>
    <cellStyle name="CustomCellsOrange 2 2 4 2 5" xfId="9704" xr:uid="{00000000-0005-0000-0000-0000DB2C0000}"/>
    <cellStyle name="CustomCellsOrange 2 2 4 2 6" xfId="10133" xr:uid="{00000000-0005-0000-0000-0000DC2C0000}"/>
    <cellStyle name="CustomCellsOrange 2 2 4 2 7" xfId="10545" xr:uid="{00000000-0005-0000-0000-0000DD2C0000}"/>
    <cellStyle name="CustomCellsOrange 2 2 4 2 8" xfId="10948" xr:uid="{00000000-0005-0000-0000-0000DE2C0000}"/>
    <cellStyle name="CustomCellsOrange 2 2 4 2 9" xfId="11264" xr:uid="{00000000-0005-0000-0000-0000DF2C0000}"/>
    <cellStyle name="CustomCellsOrange 2 2 4 3" xfId="1230" xr:uid="{00000000-0005-0000-0000-0000E02C0000}"/>
    <cellStyle name="CustomCellsOrange 2 2 4 3 2" xfId="12959" xr:uid="{00000000-0005-0000-0000-0000E12C0000}"/>
    <cellStyle name="CustomCellsOrange 2 2 4 3 3" xfId="15380" xr:uid="{00000000-0005-0000-0000-0000E22C0000}"/>
    <cellStyle name="CustomCellsOrange 2 2 4 3 4" xfId="17233" xr:uid="{00000000-0005-0000-0000-0000E32C0000}"/>
    <cellStyle name="CustomCellsOrange 2 2 4 3 5" xfId="13908" xr:uid="{00000000-0005-0000-0000-0000E42C0000}"/>
    <cellStyle name="CustomCellsOrange 2 2 4 3 6" xfId="19185" xr:uid="{00000000-0005-0000-0000-0000E52C0000}"/>
    <cellStyle name="CustomCellsOrange 2 2 4 4" xfId="4222" xr:uid="{00000000-0005-0000-0000-0000E62C0000}"/>
    <cellStyle name="CustomCellsOrange 2 2 4 5" xfId="8658" xr:uid="{00000000-0005-0000-0000-0000E72C0000}"/>
    <cellStyle name="CustomCellsOrange 2 2 4 6" xfId="9492" xr:uid="{00000000-0005-0000-0000-0000E82C0000}"/>
    <cellStyle name="CustomCellsOrange 2 2 4 7" xfId="9919" xr:uid="{00000000-0005-0000-0000-0000E92C0000}"/>
    <cellStyle name="CustomCellsOrange 2 2 4 8" xfId="10331" xr:uid="{00000000-0005-0000-0000-0000EA2C0000}"/>
    <cellStyle name="CustomCellsOrange 2 2 4 9" xfId="10944" xr:uid="{00000000-0005-0000-0000-0000EB2C0000}"/>
    <cellStyle name="CustomCellsOrange 2 2 5" xfId="689" xr:uid="{00000000-0005-0000-0000-0000EC2C0000}"/>
    <cellStyle name="CustomCellsOrange 2 2 5 10" xfId="11155" xr:uid="{00000000-0005-0000-0000-0000ED2C0000}"/>
    <cellStyle name="CustomCellsOrange 2 2 5 11" xfId="11542" xr:uid="{00000000-0005-0000-0000-0000EE2C0000}"/>
    <cellStyle name="CustomCellsOrange 2 2 5 12" xfId="11914" xr:uid="{00000000-0005-0000-0000-0000EF2C0000}"/>
    <cellStyle name="CustomCellsOrange 2 2 5 13" xfId="12427" xr:uid="{00000000-0005-0000-0000-0000F02C0000}"/>
    <cellStyle name="CustomCellsOrange 2 2 5 14" xfId="14718" xr:uid="{00000000-0005-0000-0000-0000F12C0000}"/>
    <cellStyle name="CustomCellsOrange 2 2 5 15" xfId="17512" xr:uid="{00000000-0005-0000-0000-0000F22C0000}"/>
    <cellStyle name="CustomCellsOrange 2 2 5 16" xfId="16965" xr:uid="{00000000-0005-0000-0000-0000F32C0000}"/>
    <cellStyle name="CustomCellsOrange 2 2 5 17" xfId="18413" xr:uid="{00000000-0005-0000-0000-0000F42C0000}"/>
    <cellStyle name="CustomCellsOrange 2 2 5 2" xfId="903" xr:uid="{00000000-0005-0000-0000-0000F52C0000}"/>
    <cellStyle name="CustomCellsOrange 2 2 5 2 10" xfId="11749" xr:uid="{00000000-0005-0000-0000-0000F62C0000}"/>
    <cellStyle name="CustomCellsOrange 2 2 5 2 11" xfId="12120" xr:uid="{00000000-0005-0000-0000-0000F72C0000}"/>
    <cellStyle name="CustomCellsOrange 2 2 5 2 12" xfId="12633" xr:uid="{00000000-0005-0000-0000-0000F82C0000}"/>
    <cellStyle name="CustomCellsOrange 2 2 5 2 13" xfId="16117" xr:uid="{00000000-0005-0000-0000-0000F92C0000}"/>
    <cellStyle name="CustomCellsOrange 2 2 5 2 14" xfId="15847" xr:uid="{00000000-0005-0000-0000-0000FA2C0000}"/>
    <cellStyle name="CustomCellsOrange 2 2 5 2 15" xfId="14312" xr:uid="{00000000-0005-0000-0000-0000FB2C0000}"/>
    <cellStyle name="CustomCellsOrange 2 2 5 2 16" xfId="18072" xr:uid="{00000000-0005-0000-0000-0000FC2C0000}"/>
    <cellStyle name="CustomCellsOrange 2 2 5 2 2" xfId="1405" xr:uid="{00000000-0005-0000-0000-0000FD2C0000}"/>
    <cellStyle name="CustomCellsOrange 2 2 5 2 2 2" xfId="13134" xr:uid="{00000000-0005-0000-0000-0000FE2C0000}"/>
    <cellStyle name="CustomCellsOrange 2 2 5 2 2 3" xfId="15434" xr:uid="{00000000-0005-0000-0000-0000FF2C0000}"/>
    <cellStyle name="CustomCellsOrange 2 2 5 2 2 4" xfId="17107" xr:uid="{00000000-0005-0000-0000-0000002D0000}"/>
    <cellStyle name="CustomCellsOrange 2 2 5 2 2 5" xfId="13885" xr:uid="{00000000-0005-0000-0000-0000012D0000}"/>
    <cellStyle name="CustomCellsOrange 2 2 5 2 2 6" xfId="19059" xr:uid="{00000000-0005-0000-0000-0000022D0000}"/>
    <cellStyle name="CustomCellsOrange 2 2 5 2 3" xfId="4257" xr:uid="{00000000-0005-0000-0000-0000032D0000}"/>
    <cellStyle name="CustomCellsOrange 2 2 5 2 4" xfId="9376" xr:uid="{00000000-0005-0000-0000-0000042D0000}"/>
    <cellStyle name="CustomCellsOrange 2 2 5 2 5" xfId="9804" xr:uid="{00000000-0005-0000-0000-0000052D0000}"/>
    <cellStyle name="CustomCellsOrange 2 2 5 2 6" xfId="10233" xr:uid="{00000000-0005-0000-0000-0000062D0000}"/>
    <cellStyle name="CustomCellsOrange 2 2 5 2 7" xfId="10645" xr:uid="{00000000-0005-0000-0000-0000072D0000}"/>
    <cellStyle name="CustomCellsOrange 2 2 5 2 8" xfId="10975" xr:uid="{00000000-0005-0000-0000-0000082D0000}"/>
    <cellStyle name="CustomCellsOrange 2 2 5 2 9" xfId="11364" xr:uid="{00000000-0005-0000-0000-0000092D0000}"/>
    <cellStyle name="CustomCellsOrange 2 2 5 3" xfId="1283" xr:uid="{00000000-0005-0000-0000-00000A2D0000}"/>
    <cellStyle name="CustomCellsOrange 2 2 5 3 2" xfId="13012" xr:uid="{00000000-0005-0000-0000-00000B2D0000}"/>
    <cellStyle name="CustomCellsOrange 2 2 5 3 3" xfId="15408" xr:uid="{00000000-0005-0000-0000-00000C2D0000}"/>
    <cellStyle name="CustomCellsOrange 2 2 5 3 4" xfId="17198" xr:uid="{00000000-0005-0000-0000-00000D2D0000}"/>
    <cellStyle name="CustomCellsOrange 2 2 5 3 5" xfId="14660" xr:uid="{00000000-0005-0000-0000-00000E2D0000}"/>
    <cellStyle name="CustomCellsOrange 2 2 5 3 6" xfId="19150" xr:uid="{00000000-0005-0000-0000-00000F2D0000}"/>
    <cellStyle name="CustomCellsOrange 2 2 5 4" xfId="3774" xr:uid="{00000000-0005-0000-0000-0000102D0000}"/>
    <cellStyle name="CustomCellsOrange 2 2 5 5" xfId="8617" xr:uid="{00000000-0005-0000-0000-0000112D0000}"/>
    <cellStyle name="CustomCellsOrange 2 2 5 6" xfId="9592" xr:uid="{00000000-0005-0000-0000-0000122D0000}"/>
    <cellStyle name="CustomCellsOrange 2 2 5 7" xfId="10019" xr:uid="{00000000-0005-0000-0000-0000132D0000}"/>
    <cellStyle name="CustomCellsOrange 2 2 5 8" xfId="10431" xr:uid="{00000000-0005-0000-0000-0000142D0000}"/>
    <cellStyle name="CustomCellsOrange 2 2 5 9" xfId="8952" xr:uid="{00000000-0005-0000-0000-0000152D0000}"/>
    <cellStyle name="CustomCellsOrange 2 2 6" xfId="1056" xr:uid="{00000000-0005-0000-0000-0000162D0000}"/>
    <cellStyle name="CustomCellsOrange 2 2 6 2" xfId="12785" xr:uid="{00000000-0005-0000-0000-0000172D0000}"/>
    <cellStyle name="CustomCellsOrange 2 2 6 3" xfId="15308" xr:uid="{00000000-0005-0000-0000-0000182D0000}"/>
    <cellStyle name="CustomCellsOrange 2 2 6 4" xfId="17371" xr:uid="{00000000-0005-0000-0000-0000192D0000}"/>
    <cellStyle name="CustomCellsOrange 2 2 6 5" xfId="15032" xr:uid="{00000000-0005-0000-0000-00001A2D0000}"/>
    <cellStyle name="CustomCellsOrange 2 2 6 6" xfId="19323" xr:uid="{00000000-0005-0000-0000-00001B2D0000}"/>
    <cellStyle name="CustomCellsOrange 2 2 7" xfId="4202" xr:uid="{00000000-0005-0000-0000-00001C2D0000}"/>
    <cellStyle name="CustomCellsOrange 2 2 8" xfId="9154" xr:uid="{00000000-0005-0000-0000-00001D2D0000}"/>
    <cellStyle name="CustomCellsOrange 2 2 9" xfId="8831" xr:uid="{00000000-0005-0000-0000-00001E2D0000}"/>
    <cellStyle name="CustomCellsOrange 3" xfId="286" xr:uid="{00000000-0005-0000-0000-00001F2D0000}"/>
    <cellStyle name="CustomCellsOrange 3 10" xfId="9019" xr:uid="{00000000-0005-0000-0000-0000202D0000}"/>
    <cellStyle name="CustomCellsOrange 3 11" xfId="10041" xr:uid="{00000000-0005-0000-0000-0000212D0000}"/>
    <cellStyle name="CustomCellsOrange 3 12" xfId="9410" xr:uid="{00000000-0005-0000-0000-0000222D0000}"/>
    <cellStyle name="CustomCellsOrange 3 13" xfId="9205" xr:uid="{00000000-0005-0000-0000-0000232D0000}"/>
    <cellStyle name="CustomCellsOrange 3 14" xfId="9277" xr:uid="{00000000-0005-0000-0000-0000242D0000}"/>
    <cellStyle name="CustomCellsOrange 3 15" xfId="10981" xr:uid="{00000000-0005-0000-0000-0000252D0000}"/>
    <cellStyle name="CustomCellsOrange 3 16" xfId="12236" xr:uid="{00000000-0005-0000-0000-0000262D0000}"/>
    <cellStyle name="CustomCellsOrange 3 17" xfId="16509" xr:uid="{00000000-0005-0000-0000-0000272D0000}"/>
    <cellStyle name="CustomCellsOrange 3 18" xfId="17622" xr:uid="{00000000-0005-0000-0000-0000282D0000}"/>
    <cellStyle name="CustomCellsOrange 3 19" xfId="14634" xr:uid="{00000000-0005-0000-0000-0000292D0000}"/>
    <cellStyle name="CustomCellsOrange 3 2" xfId="625" xr:uid="{00000000-0005-0000-0000-00002A2D0000}"/>
    <cellStyle name="CustomCellsOrange 3 2 10" xfId="11092" xr:uid="{00000000-0005-0000-0000-00002B2D0000}"/>
    <cellStyle name="CustomCellsOrange 3 2 11" xfId="11479" xr:uid="{00000000-0005-0000-0000-00002C2D0000}"/>
    <cellStyle name="CustomCellsOrange 3 2 12" xfId="11851" xr:uid="{00000000-0005-0000-0000-00002D2D0000}"/>
    <cellStyle name="CustomCellsOrange 3 2 13" xfId="12364" xr:uid="{00000000-0005-0000-0000-00002E2D0000}"/>
    <cellStyle name="CustomCellsOrange 3 2 14" xfId="15122" xr:uid="{00000000-0005-0000-0000-00002F2D0000}"/>
    <cellStyle name="CustomCellsOrange 3 2 15" xfId="14529" xr:uid="{00000000-0005-0000-0000-0000302D0000}"/>
    <cellStyle name="CustomCellsOrange 3 2 16" xfId="18345" xr:uid="{00000000-0005-0000-0000-0000312D0000}"/>
    <cellStyle name="CustomCellsOrange 3 2 17" xfId="14102" xr:uid="{00000000-0005-0000-0000-0000322D0000}"/>
    <cellStyle name="CustomCellsOrange 3 2 2" xfId="840" xr:uid="{00000000-0005-0000-0000-0000332D0000}"/>
    <cellStyle name="CustomCellsOrange 3 2 2 10" xfId="11686" xr:uid="{00000000-0005-0000-0000-0000342D0000}"/>
    <cellStyle name="CustomCellsOrange 3 2 2 11" xfId="12057" xr:uid="{00000000-0005-0000-0000-0000352D0000}"/>
    <cellStyle name="CustomCellsOrange 3 2 2 12" xfId="12570" xr:uid="{00000000-0005-0000-0000-0000362D0000}"/>
    <cellStyle name="CustomCellsOrange 3 2 2 13" xfId="13830" xr:uid="{00000000-0005-0000-0000-0000372D0000}"/>
    <cellStyle name="CustomCellsOrange 3 2 2 14" xfId="14151" xr:uid="{00000000-0005-0000-0000-0000382D0000}"/>
    <cellStyle name="CustomCellsOrange 3 2 2 15" xfId="15917" xr:uid="{00000000-0005-0000-0000-0000392D0000}"/>
    <cellStyle name="CustomCellsOrange 3 2 2 16" xfId="18538" xr:uid="{00000000-0005-0000-0000-00003A2D0000}"/>
    <cellStyle name="CustomCellsOrange 3 2 2 2" xfId="1136" xr:uid="{00000000-0005-0000-0000-00003B2D0000}"/>
    <cellStyle name="CustomCellsOrange 3 2 2 2 2" xfId="12865" xr:uid="{00000000-0005-0000-0000-00003C2D0000}"/>
    <cellStyle name="CustomCellsOrange 3 2 2 2 3" xfId="14535" xr:uid="{00000000-0005-0000-0000-00003D2D0000}"/>
    <cellStyle name="CustomCellsOrange 3 2 2 2 4" xfId="17306" xr:uid="{00000000-0005-0000-0000-00003E2D0000}"/>
    <cellStyle name="CustomCellsOrange 3 2 2 2 5" xfId="14540" xr:uid="{00000000-0005-0000-0000-00003F2D0000}"/>
    <cellStyle name="CustomCellsOrange 3 2 2 2 6" xfId="15817" xr:uid="{00000000-0005-0000-0000-0000402D0000}"/>
    <cellStyle name="CustomCellsOrange 3 2 2 3" xfId="3680" xr:uid="{00000000-0005-0000-0000-0000412D0000}"/>
    <cellStyle name="CustomCellsOrange 3 2 2 4" xfId="8762" xr:uid="{00000000-0005-0000-0000-0000422D0000}"/>
    <cellStyle name="CustomCellsOrange 3 2 2 5" xfId="9741" xr:uid="{00000000-0005-0000-0000-0000432D0000}"/>
    <cellStyle name="CustomCellsOrange 3 2 2 6" xfId="10170" xr:uid="{00000000-0005-0000-0000-0000442D0000}"/>
    <cellStyle name="CustomCellsOrange 3 2 2 7" xfId="10582" xr:uid="{00000000-0005-0000-0000-0000452D0000}"/>
    <cellStyle name="CustomCellsOrange 3 2 2 8" xfId="10717" xr:uid="{00000000-0005-0000-0000-0000462D0000}"/>
    <cellStyle name="CustomCellsOrange 3 2 2 9" xfId="11301" xr:uid="{00000000-0005-0000-0000-0000472D0000}"/>
    <cellStyle name="CustomCellsOrange 3 2 3" xfId="1148" xr:uid="{00000000-0005-0000-0000-0000482D0000}"/>
    <cellStyle name="CustomCellsOrange 3 2 3 2" xfId="12877" xr:uid="{00000000-0005-0000-0000-0000492D0000}"/>
    <cellStyle name="CustomCellsOrange 3 2 3 3" xfId="15332" xr:uid="{00000000-0005-0000-0000-00004A2D0000}"/>
    <cellStyle name="CustomCellsOrange 3 2 3 4" xfId="17299" xr:uid="{00000000-0005-0000-0000-00004B2D0000}"/>
    <cellStyle name="CustomCellsOrange 3 2 3 5" xfId="13914" xr:uid="{00000000-0005-0000-0000-00004C2D0000}"/>
    <cellStyle name="CustomCellsOrange 3 2 3 6" xfId="19251" xr:uid="{00000000-0005-0000-0000-00004D2D0000}"/>
    <cellStyle name="CustomCellsOrange 3 2 4" xfId="3845" xr:uid="{00000000-0005-0000-0000-00004E2D0000}"/>
    <cellStyle name="CustomCellsOrange 3 2 5" xfId="9125" xr:uid="{00000000-0005-0000-0000-00004F2D0000}"/>
    <cellStyle name="CustomCellsOrange 3 2 6" xfId="9529" xr:uid="{00000000-0005-0000-0000-0000502D0000}"/>
    <cellStyle name="CustomCellsOrange 3 2 7" xfId="9956" xr:uid="{00000000-0005-0000-0000-0000512D0000}"/>
    <cellStyle name="CustomCellsOrange 3 2 8" xfId="10368" xr:uid="{00000000-0005-0000-0000-0000522D0000}"/>
    <cellStyle name="CustomCellsOrange 3 2 9" xfId="8837" xr:uid="{00000000-0005-0000-0000-0000532D0000}"/>
    <cellStyle name="CustomCellsOrange 3 20" xfId="19499" xr:uid="{00000000-0005-0000-0000-0000542D0000}"/>
    <cellStyle name="CustomCellsOrange 3 3" xfId="558" xr:uid="{00000000-0005-0000-0000-0000552D0000}"/>
    <cellStyle name="CustomCellsOrange 3 3 10" xfId="11025" xr:uid="{00000000-0005-0000-0000-0000562D0000}"/>
    <cellStyle name="CustomCellsOrange 3 3 11" xfId="11412" xr:uid="{00000000-0005-0000-0000-0000572D0000}"/>
    <cellStyle name="CustomCellsOrange 3 3 12" xfId="11784" xr:uid="{00000000-0005-0000-0000-0000582D0000}"/>
    <cellStyle name="CustomCellsOrange 3 3 13" xfId="12297" xr:uid="{00000000-0005-0000-0000-0000592D0000}"/>
    <cellStyle name="CustomCellsOrange 3 3 14" xfId="15871" xr:uid="{00000000-0005-0000-0000-00005A2D0000}"/>
    <cellStyle name="CustomCellsOrange 3 3 15" xfId="14962" xr:uid="{00000000-0005-0000-0000-00005B2D0000}"/>
    <cellStyle name="CustomCellsOrange 3 3 16" xfId="16799" xr:uid="{00000000-0005-0000-0000-00005C2D0000}"/>
    <cellStyle name="CustomCellsOrange 3 3 17" xfId="18844" xr:uid="{00000000-0005-0000-0000-00005D2D0000}"/>
    <cellStyle name="CustomCellsOrange 3 3 2" xfId="773" xr:uid="{00000000-0005-0000-0000-00005E2D0000}"/>
    <cellStyle name="CustomCellsOrange 3 3 2 10" xfId="11619" xr:uid="{00000000-0005-0000-0000-00005F2D0000}"/>
    <cellStyle name="CustomCellsOrange 3 3 2 11" xfId="11990" xr:uid="{00000000-0005-0000-0000-0000602D0000}"/>
    <cellStyle name="CustomCellsOrange 3 3 2 12" xfId="12503" xr:uid="{00000000-0005-0000-0000-0000612D0000}"/>
    <cellStyle name="CustomCellsOrange 3 3 2 13" xfId="14508" xr:uid="{00000000-0005-0000-0000-0000622D0000}"/>
    <cellStyle name="CustomCellsOrange 3 3 2 14" xfId="16074" xr:uid="{00000000-0005-0000-0000-0000632D0000}"/>
    <cellStyle name="CustomCellsOrange 3 3 2 15" xfId="15007" xr:uid="{00000000-0005-0000-0000-0000642D0000}"/>
    <cellStyle name="CustomCellsOrange 3 3 2 16" xfId="18351" xr:uid="{00000000-0005-0000-0000-0000652D0000}"/>
    <cellStyle name="CustomCellsOrange 3 3 2 2" xfId="912" xr:uid="{00000000-0005-0000-0000-0000662D0000}"/>
    <cellStyle name="CustomCellsOrange 3 3 2 2 2" xfId="12641" xr:uid="{00000000-0005-0000-0000-0000672D0000}"/>
    <cellStyle name="CustomCellsOrange 3 3 2 2 3" xfId="16131" xr:uid="{00000000-0005-0000-0000-0000682D0000}"/>
    <cellStyle name="CustomCellsOrange 3 3 2 2 4" xfId="14302" xr:uid="{00000000-0005-0000-0000-0000692D0000}"/>
    <cellStyle name="CustomCellsOrange 3 3 2 2 5" xfId="18434" xr:uid="{00000000-0005-0000-0000-00006A2D0000}"/>
    <cellStyle name="CustomCellsOrange 3 3 2 2 6" xfId="15019" xr:uid="{00000000-0005-0000-0000-00006B2D0000}"/>
    <cellStyle name="CustomCellsOrange 3 3 2 3" xfId="3913" xr:uid="{00000000-0005-0000-0000-00006C2D0000}"/>
    <cellStyle name="CustomCellsOrange 3 3 2 4" xfId="9239" xr:uid="{00000000-0005-0000-0000-00006D2D0000}"/>
    <cellStyle name="CustomCellsOrange 3 3 2 5" xfId="9674" xr:uid="{00000000-0005-0000-0000-00006E2D0000}"/>
    <cellStyle name="CustomCellsOrange 3 3 2 6" xfId="10103" xr:uid="{00000000-0005-0000-0000-00006F2D0000}"/>
    <cellStyle name="CustomCellsOrange 3 3 2 7" xfId="10515" xr:uid="{00000000-0005-0000-0000-0000702D0000}"/>
    <cellStyle name="CustomCellsOrange 3 3 2 8" xfId="9035" xr:uid="{00000000-0005-0000-0000-0000712D0000}"/>
    <cellStyle name="CustomCellsOrange 3 3 2 9" xfId="11234" xr:uid="{00000000-0005-0000-0000-0000722D0000}"/>
    <cellStyle name="CustomCellsOrange 3 3 3" xfId="1070" xr:uid="{00000000-0005-0000-0000-0000732D0000}"/>
    <cellStyle name="CustomCellsOrange 3 3 3 2" xfId="12799" xr:uid="{00000000-0005-0000-0000-0000742D0000}"/>
    <cellStyle name="CustomCellsOrange 3 3 3 3" xfId="14813" xr:uid="{00000000-0005-0000-0000-0000752D0000}"/>
    <cellStyle name="CustomCellsOrange 3 3 3 4" xfId="16419" xr:uid="{00000000-0005-0000-0000-0000762D0000}"/>
    <cellStyle name="CustomCellsOrange 3 3 3 5" xfId="15657" xr:uid="{00000000-0005-0000-0000-0000772D0000}"/>
    <cellStyle name="CustomCellsOrange 3 3 3 6" xfId="19312" xr:uid="{00000000-0005-0000-0000-0000782D0000}"/>
    <cellStyle name="CustomCellsOrange 3 3 4" xfId="4163" xr:uid="{00000000-0005-0000-0000-0000792D0000}"/>
    <cellStyle name="CustomCellsOrange 3 3 5" xfId="8664" xr:uid="{00000000-0005-0000-0000-00007A2D0000}"/>
    <cellStyle name="CustomCellsOrange 3 3 6" xfId="9462" xr:uid="{00000000-0005-0000-0000-00007B2D0000}"/>
    <cellStyle name="CustomCellsOrange 3 3 7" xfId="9889" xr:uid="{00000000-0005-0000-0000-00007C2D0000}"/>
    <cellStyle name="CustomCellsOrange 3 3 8" xfId="10301" xr:uid="{00000000-0005-0000-0000-00007D2D0000}"/>
    <cellStyle name="CustomCellsOrange 3 3 9" xfId="9280" xr:uid="{00000000-0005-0000-0000-00007E2D0000}"/>
    <cellStyle name="CustomCellsOrange 3 4" xfId="571" xr:uid="{00000000-0005-0000-0000-00007F2D0000}"/>
    <cellStyle name="CustomCellsOrange 3 4 10" xfId="11038" xr:uid="{00000000-0005-0000-0000-0000802D0000}"/>
    <cellStyle name="CustomCellsOrange 3 4 11" xfId="11425" xr:uid="{00000000-0005-0000-0000-0000812D0000}"/>
    <cellStyle name="CustomCellsOrange 3 4 12" xfId="11797" xr:uid="{00000000-0005-0000-0000-0000822D0000}"/>
    <cellStyle name="CustomCellsOrange 3 4 13" xfId="12310" xr:uid="{00000000-0005-0000-0000-0000832D0000}"/>
    <cellStyle name="CustomCellsOrange 3 4 14" xfId="13975" xr:uid="{00000000-0005-0000-0000-0000842D0000}"/>
    <cellStyle name="CustomCellsOrange 3 4 15" xfId="14447" xr:uid="{00000000-0005-0000-0000-0000852D0000}"/>
    <cellStyle name="CustomCellsOrange 3 4 16" xfId="18400" xr:uid="{00000000-0005-0000-0000-0000862D0000}"/>
    <cellStyle name="CustomCellsOrange 3 4 17" xfId="14304" xr:uid="{00000000-0005-0000-0000-0000872D0000}"/>
    <cellStyle name="CustomCellsOrange 3 4 2" xfId="786" xr:uid="{00000000-0005-0000-0000-0000882D0000}"/>
    <cellStyle name="CustomCellsOrange 3 4 2 10" xfId="11632" xr:uid="{00000000-0005-0000-0000-0000892D0000}"/>
    <cellStyle name="CustomCellsOrange 3 4 2 11" xfId="12003" xr:uid="{00000000-0005-0000-0000-00008A2D0000}"/>
    <cellStyle name="CustomCellsOrange 3 4 2 12" xfId="12516" xr:uid="{00000000-0005-0000-0000-00008B2D0000}"/>
    <cellStyle name="CustomCellsOrange 3 4 2 13" xfId="16103" xr:uid="{00000000-0005-0000-0000-00008C2D0000}"/>
    <cellStyle name="CustomCellsOrange 3 4 2 14" xfId="15051" xr:uid="{00000000-0005-0000-0000-00008D2D0000}"/>
    <cellStyle name="CustomCellsOrange 3 4 2 15" xfId="18512" xr:uid="{00000000-0005-0000-0000-00008E2D0000}"/>
    <cellStyle name="CustomCellsOrange 3 4 2 16" xfId="18528" xr:uid="{00000000-0005-0000-0000-00008F2D0000}"/>
    <cellStyle name="CustomCellsOrange 3 4 2 2" xfId="920" xr:uid="{00000000-0005-0000-0000-0000902D0000}"/>
    <cellStyle name="CustomCellsOrange 3 4 2 2 2" xfId="12649" xr:uid="{00000000-0005-0000-0000-0000912D0000}"/>
    <cellStyle name="CustomCellsOrange 3 4 2 2 3" xfId="16050" xr:uid="{00000000-0005-0000-0000-0000922D0000}"/>
    <cellStyle name="CustomCellsOrange 3 4 2 2 4" xfId="14154" xr:uid="{00000000-0005-0000-0000-0000932D0000}"/>
    <cellStyle name="CustomCellsOrange 3 4 2 2 5" xfId="18509" xr:uid="{00000000-0005-0000-0000-0000942D0000}"/>
    <cellStyle name="CustomCellsOrange 3 4 2 2 6" xfId="18470" xr:uid="{00000000-0005-0000-0000-0000952D0000}"/>
    <cellStyle name="CustomCellsOrange 3 4 2 3" xfId="3673" xr:uid="{00000000-0005-0000-0000-0000962D0000}"/>
    <cellStyle name="CustomCellsOrange 3 4 2 4" xfId="8633" xr:uid="{00000000-0005-0000-0000-0000972D0000}"/>
    <cellStyle name="CustomCellsOrange 3 4 2 5" xfId="9687" xr:uid="{00000000-0005-0000-0000-0000982D0000}"/>
    <cellStyle name="CustomCellsOrange 3 4 2 6" xfId="10116" xr:uid="{00000000-0005-0000-0000-0000992D0000}"/>
    <cellStyle name="CustomCellsOrange 3 4 2 7" xfId="10528" xr:uid="{00000000-0005-0000-0000-00009A2D0000}"/>
    <cellStyle name="CustomCellsOrange 3 4 2 8" xfId="9295" xr:uid="{00000000-0005-0000-0000-00009B2D0000}"/>
    <cellStyle name="CustomCellsOrange 3 4 2 9" xfId="11247" xr:uid="{00000000-0005-0000-0000-00009C2D0000}"/>
    <cellStyle name="CustomCellsOrange 3 4 3" xfId="1256" xr:uid="{00000000-0005-0000-0000-00009D2D0000}"/>
    <cellStyle name="CustomCellsOrange 3 4 3 2" xfId="12985" xr:uid="{00000000-0005-0000-0000-00009E2D0000}"/>
    <cellStyle name="CustomCellsOrange 3 4 3 3" xfId="14830" xr:uid="{00000000-0005-0000-0000-00009F2D0000}"/>
    <cellStyle name="CustomCellsOrange 3 4 3 4" xfId="17217" xr:uid="{00000000-0005-0000-0000-0000A02D0000}"/>
    <cellStyle name="CustomCellsOrange 3 4 3 5" xfId="15858" xr:uid="{00000000-0005-0000-0000-0000A12D0000}"/>
    <cellStyle name="CustomCellsOrange 3 4 3 6" xfId="19169" xr:uid="{00000000-0005-0000-0000-0000A22D0000}"/>
    <cellStyle name="CustomCellsOrange 3 4 4" xfId="4159" xr:uid="{00000000-0005-0000-0000-0000A32D0000}"/>
    <cellStyle name="CustomCellsOrange 3 4 5" xfId="9075" xr:uid="{00000000-0005-0000-0000-0000A42D0000}"/>
    <cellStyle name="CustomCellsOrange 3 4 6" xfId="9475" xr:uid="{00000000-0005-0000-0000-0000A52D0000}"/>
    <cellStyle name="CustomCellsOrange 3 4 7" xfId="9902" xr:uid="{00000000-0005-0000-0000-0000A62D0000}"/>
    <cellStyle name="CustomCellsOrange 3 4 8" xfId="10314" xr:uid="{00000000-0005-0000-0000-0000A72D0000}"/>
    <cellStyle name="CustomCellsOrange 3 4 9" xfId="9816" xr:uid="{00000000-0005-0000-0000-0000A82D0000}"/>
    <cellStyle name="CustomCellsOrange 3 5" xfId="711" xr:uid="{00000000-0005-0000-0000-0000A92D0000}"/>
    <cellStyle name="CustomCellsOrange 3 5 2" xfId="3287" xr:uid="{00000000-0005-0000-0000-0000AA2D0000}"/>
    <cellStyle name="CustomCellsOrange 3 5 2 2" xfId="13551" xr:uid="{00000000-0005-0000-0000-0000AB2D0000}"/>
    <cellStyle name="CustomCellsOrange 3 5 2 3" xfId="16920" xr:uid="{00000000-0005-0000-0000-0000AC2D0000}"/>
    <cellStyle name="CustomCellsOrange 3 5 2 4" xfId="18031" xr:uid="{00000000-0005-0000-0000-0000AD2D0000}"/>
    <cellStyle name="CustomCellsOrange 3 5 2 5" xfId="19028" xr:uid="{00000000-0005-0000-0000-0000AE2D0000}"/>
    <cellStyle name="CustomCellsOrange 3 5 2 6" xfId="19769" xr:uid="{00000000-0005-0000-0000-0000AF2D0000}"/>
    <cellStyle name="CustomCellsOrange 3 6" xfId="1282" xr:uid="{00000000-0005-0000-0000-0000B02D0000}"/>
    <cellStyle name="CustomCellsOrange 3 6 2" xfId="13011" xr:uid="{00000000-0005-0000-0000-0000B12D0000}"/>
    <cellStyle name="CustomCellsOrange 3 6 3" xfId="15407" xr:uid="{00000000-0005-0000-0000-0000B22D0000}"/>
    <cellStyle name="CustomCellsOrange 3 6 4" xfId="17199" xr:uid="{00000000-0005-0000-0000-0000B32D0000}"/>
    <cellStyle name="CustomCellsOrange 3 6 5" xfId="16062" xr:uid="{00000000-0005-0000-0000-0000B42D0000}"/>
    <cellStyle name="CustomCellsOrange 3 6 6" xfId="19151" xr:uid="{00000000-0005-0000-0000-0000B52D0000}"/>
    <cellStyle name="CustomCellsOrange 3 7" xfId="4169" xr:uid="{00000000-0005-0000-0000-0000B62D0000}"/>
    <cellStyle name="CustomCellsOrange 3 8" xfId="8804" xr:uid="{00000000-0005-0000-0000-0000B72D0000}"/>
    <cellStyle name="CustomCellsOrange 3 9" xfId="9009" xr:uid="{00000000-0005-0000-0000-0000B82D0000}"/>
    <cellStyle name="CustomizationCells" xfId="28" xr:uid="{00000000-0005-0000-0000-0000B92D0000}"/>
    <cellStyle name="CustomizationCells 2" xfId="429" xr:uid="{00000000-0005-0000-0000-0000BA2D0000}"/>
    <cellStyle name="CustomizationCells 2 2" xfId="452" xr:uid="{00000000-0005-0000-0000-0000BB2D0000}"/>
    <cellStyle name="CustomizationCells 2 2 10" xfId="9087" xr:uid="{00000000-0005-0000-0000-0000BC2D0000}"/>
    <cellStyle name="CustomizationCells 2 2 11" xfId="8920" xr:uid="{00000000-0005-0000-0000-0000BD2D0000}"/>
    <cellStyle name="CustomizationCells 2 2 12" xfId="10815" xr:uid="{00000000-0005-0000-0000-0000BE2D0000}"/>
    <cellStyle name="CustomizationCells 2 2 13" xfId="10671" xr:uid="{00000000-0005-0000-0000-0000BF2D0000}"/>
    <cellStyle name="CustomizationCells 2 2 14" xfId="10735" xr:uid="{00000000-0005-0000-0000-0000C02D0000}"/>
    <cellStyle name="CustomizationCells 2 2 15" xfId="10818" xr:uid="{00000000-0005-0000-0000-0000C12D0000}"/>
    <cellStyle name="CustomizationCells 2 2 16" xfId="12259" xr:uid="{00000000-0005-0000-0000-0000C22D0000}"/>
    <cellStyle name="CustomizationCells 2 2 17" xfId="15188" xr:uid="{00000000-0005-0000-0000-0000C32D0000}"/>
    <cellStyle name="CustomizationCells 2 2 18" xfId="15003" xr:uid="{00000000-0005-0000-0000-0000C42D0000}"/>
    <cellStyle name="CustomizationCells 2 2 19" xfId="16953" xr:uid="{00000000-0005-0000-0000-0000C52D0000}"/>
    <cellStyle name="CustomizationCells 2 2 2" xfId="522" xr:uid="{00000000-0005-0000-0000-0000C62D0000}"/>
    <cellStyle name="CustomizationCells 2 2 2 2" xfId="688" xr:uid="{00000000-0005-0000-0000-0000C72D0000}"/>
    <cellStyle name="CustomizationCells 2 2 2 2 10" xfId="11154" xr:uid="{00000000-0005-0000-0000-0000C82D0000}"/>
    <cellStyle name="CustomizationCells 2 2 2 2 11" xfId="11541" xr:uid="{00000000-0005-0000-0000-0000C92D0000}"/>
    <cellStyle name="CustomizationCells 2 2 2 2 12" xfId="11913" xr:uid="{00000000-0005-0000-0000-0000CA2D0000}"/>
    <cellStyle name="CustomizationCells 2 2 2 2 13" xfId="12426" xr:uid="{00000000-0005-0000-0000-0000CB2D0000}"/>
    <cellStyle name="CustomizationCells 2 2 2 2 14" xfId="15209" xr:uid="{00000000-0005-0000-0000-0000CC2D0000}"/>
    <cellStyle name="CustomizationCells 2 2 2 2 15" xfId="13869" xr:uid="{00000000-0005-0000-0000-0000CD2D0000}"/>
    <cellStyle name="CustomizationCells 2 2 2 2 16" xfId="16964" xr:uid="{00000000-0005-0000-0000-0000CE2D0000}"/>
    <cellStyle name="CustomizationCells 2 2 2 2 17" xfId="19460" xr:uid="{00000000-0005-0000-0000-0000CF2D0000}"/>
    <cellStyle name="CustomizationCells 2 2 2 2 2" xfId="902" xr:uid="{00000000-0005-0000-0000-0000D02D0000}"/>
    <cellStyle name="CustomizationCells 2 2 2 2 2 10" xfId="11748" xr:uid="{00000000-0005-0000-0000-0000D12D0000}"/>
    <cellStyle name="CustomizationCells 2 2 2 2 2 11" xfId="12119" xr:uid="{00000000-0005-0000-0000-0000D22D0000}"/>
    <cellStyle name="CustomizationCells 2 2 2 2 2 12" xfId="12632" xr:uid="{00000000-0005-0000-0000-0000D32D0000}"/>
    <cellStyle name="CustomizationCells 2 2 2 2 2 13" xfId="14534" xr:uid="{00000000-0005-0000-0000-0000D42D0000}"/>
    <cellStyle name="CustomizationCells 2 2 2 2 2 14" xfId="15090" xr:uid="{00000000-0005-0000-0000-0000D52D0000}"/>
    <cellStyle name="CustomizationCells 2 2 2 2 2 15" xfId="18510" xr:uid="{00000000-0005-0000-0000-0000D62D0000}"/>
    <cellStyle name="CustomizationCells 2 2 2 2 2 16" xfId="17551" xr:uid="{00000000-0005-0000-0000-0000D72D0000}"/>
    <cellStyle name="CustomizationCells 2 2 2 2 2 2" xfId="1404" xr:uid="{00000000-0005-0000-0000-0000D82D0000}"/>
    <cellStyle name="CustomizationCells 2 2 2 2 2 2 2" xfId="13133" xr:uid="{00000000-0005-0000-0000-0000D92D0000}"/>
    <cellStyle name="CustomizationCells 2 2 2 2 2 2 3" xfId="14856" xr:uid="{00000000-0005-0000-0000-0000DA2D0000}"/>
    <cellStyle name="CustomizationCells 2 2 2 2 2 2 4" xfId="17108" xr:uid="{00000000-0005-0000-0000-0000DB2D0000}"/>
    <cellStyle name="CustomizationCells 2 2 2 2 2 2 5" xfId="14953" xr:uid="{00000000-0005-0000-0000-0000DC2D0000}"/>
    <cellStyle name="CustomizationCells 2 2 2 2 2 2 6" xfId="19060" xr:uid="{00000000-0005-0000-0000-0000DD2D0000}"/>
    <cellStyle name="CustomizationCells 2 2 2 2 2 3" xfId="4256" xr:uid="{00000000-0005-0000-0000-0000DE2D0000}"/>
    <cellStyle name="CustomizationCells 2 2 2 2 2 4" xfId="9375" xr:uid="{00000000-0005-0000-0000-0000DF2D0000}"/>
    <cellStyle name="CustomizationCells 2 2 2 2 2 5" xfId="9803" xr:uid="{00000000-0005-0000-0000-0000E02D0000}"/>
    <cellStyle name="CustomizationCells 2 2 2 2 2 6" xfId="10232" xr:uid="{00000000-0005-0000-0000-0000E12D0000}"/>
    <cellStyle name="CustomizationCells 2 2 2 2 2 7" xfId="10644" xr:uid="{00000000-0005-0000-0000-0000E22D0000}"/>
    <cellStyle name="CustomizationCells 2 2 2 2 2 8" xfId="10974" xr:uid="{00000000-0005-0000-0000-0000E32D0000}"/>
    <cellStyle name="CustomizationCells 2 2 2 2 2 9" xfId="11363" xr:uid="{00000000-0005-0000-0000-0000E42D0000}"/>
    <cellStyle name="CustomizationCells 2 2 2 2 3" xfId="932" xr:uid="{00000000-0005-0000-0000-0000E52D0000}"/>
    <cellStyle name="CustomizationCells 2 2 2 2 3 2" xfId="12661" xr:uid="{00000000-0005-0000-0000-0000E62D0000}"/>
    <cellStyle name="CustomizationCells 2 2 2 2 3 3" xfId="16243" xr:uid="{00000000-0005-0000-0000-0000E72D0000}"/>
    <cellStyle name="CustomizationCells 2 2 2 2 3 4" xfId="14881" xr:uid="{00000000-0005-0000-0000-0000E82D0000}"/>
    <cellStyle name="CustomizationCells 2 2 2 2 3 5" xfId="17677" xr:uid="{00000000-0005-0000-0000-0000E92D0000}"/>
    <cellStyle name="CustomizationCells 2 2 2 2 3 6" xfId="14946" xr:uid="{00000000-0005-0000-0000-0000EA2D0000}"/>
    <cellStyle name="CustomizationCells 2 2 2 2 4" xfId="4043" xr:uid="{00000000-0005-0000-0000-0000EB2D0000}"/>
    <cellStyle name="CustomizationCells 2 2 2 2 5" xfId="8557" xr:uid="{00000000-0005-0000-0000-0000EC2D0000}"/>
    <cellStyle name="CustomizationCells 2 2 2 2 6" xfId="9591" xr:uid="{00000000-0005-0000-0000-0000ED2D0000}"/>
    <cellStyle name="CustomizationCells 2 2 2 2 7" xfId="10018" xr:uid="{00000000-0005-0000-0000-0000EE2D0000}"/>
    <cellStyle name="CustomizationCells 2 2 2 2 8" xfId="10430" xr:uid="{00000000-0005-0000-0000-0000EF2D0000}"/>
    <cellStyle name="CustomizationCells 2 2 2 2 9" xfId="10819" xr:uid="{00000000-0005-0000-0000-0000F02D0000}"/>
    <cellStyle name="CustomizationCells 2 2 20" xfId="19478" xr:uid="{00000000-0005-0000-0000-0000F12D0000}"/>
    <cellStyle name="CustomizationCells 2 2 3" xfId="671" xr:uid="{00000000-0005-0000-0000-0000F22D0000}"/>
    <cellStyle name="CustomizationCells 2 2 3 10" xfId="11138" xr:uid="{00000000-0005-0000-0000-0000F32D0000}"/>
    <cellStyle name="CustomizationCells 2 2 3 11" xfId="11525" xr:uid="{00000000-0005-0000-0000-0000F42D0000}"/>
    <cellStyle name="CustomizationCells 2 2 3 12" xfId="11897" xr:uid="{00000000-0005-0000-0000-0000F52D0000}"/>
    <cellStyle name="CustomizationCells 2 2 3 13" xfId="12410" xr:uid="{00000000-0005-0000-0000-0000F62D0000}"/>
    <cellStyle name="CustomizationCells 2 2 3 14" xfId="14067" xr:uid="{00000000-0005-0000-0000-0000F72D0000}"/>
    <cellStyle name="CustomizationCells 2 2 3 15" xfId="13949" xr:uid="{00000000-0005-0000-0000-0000F82D0000}"/>
    <cellStyle name="CustomizationCells 2 2 3 16" xfId="18438" xr:uid="{00000000-0005-0000-0000-0000F92D0000}"/>
    <cellStyle name="CustomizationCells 2 2 3 17" xfId="14500" xr:uid="{00000000-0005-0000-0000-0000FA2D0000}"/>
    <cellStyle name="CustomizationCells 2 2 3 2" xfId="886" xr:uid="{00000000-0005-0000-0000-0000FB2D0000}"/>
    <cellStyle name="CustomizationCells 2 2 3 2 10" xfId="11732" xr:uid="{00000000-0005-0000-0000-0000FC2D0000}"/>
    <cellStyle name="CustomizationCells 2 2 3 2 11" xfId="12103" xr:uid="{00000000-0005-0000-0000-0000FD2D0000}"/>
    <cellStyle name="CustomizationCells 2 2 3 2 12" xfId="12616" xr:uid="{00000000-0005-0000-0000-0000FE2D0000}"/>
    <cellStyle name="CustomizationCells 2 2 3 2 13" xfId="15247" xr:uid="{00000000-0005-0000-0000-0000FF2D0000}"/>
    <cellStyle name="CustomizationCells 2 2 3 2 14" xfId="14784" xr:uid="{00000000-0005-0000-0000-0000002E0000}"/>
    <cellStyle name="CustomizationCells 2 2 3 2 15" xfId="16972" xr:uid="{00000000-0005-0000-0000-0000012E0000}"/>
    <cellStyle name="CustomizationCells 2 2 3 2 16" xfId="19408" xr:uid="{00000000-0005-0000-0000-0000022E0000}"/>
    <cellStyle name="CustomizationCells 2 2 3 2 2" xfId="1388" xr:uid="{00000000-0005-0000-0000-0000032E0000}"/>
    <cellStyle name="CustomizationCells 2 2 3 2 2 2" xfId="13117" xr:uid="{00000000-0005-0000-0000-0000042E0000}"/>
    <cellStyle name="CustomizationCells 2 2 3 2 2 3" xfId="13865" xr:uid="{00000000-0005-0000-0000-0000052E0000}"/>
    <cellStyle name="CustomizationCells 2 2 3 2 2 4" xfId="17120" xr:uid="{00000000-0005-0000-0000-0000062E0000}"/>
    <cellStyle name="CustomizationCells 2 2 3 2 2 5" xfId="14680" xr:uid="{00000000-0005-0000-0000-0000072E0000}"/>
    <cellStyle name="CustomizationCells 2 2 3 2 2 6" xfId="19072" xr:uid="{00000000-0005-0000-0000-0000082E0000}"/>
    <cellStyle name="CustomizationCells 2 2 3 2 3" xfId="4240" xr:uid="{00000000-0005-0000-0000-0000092E0000}"/>
    <cellStyle name="CustomizationCells 2 2 3 2 4" xfId="9359" xr:uid="{00000000-0005-0000-0000-00000A2E0000}"/>
    <cellStyle name="CustomizationCells 2 2 3 2 5" xfId="9787" xr:uid="{00000000-0005-0000-0000-00000B2E0000}"/>
    <cellStyle name="CustomizationCells 2 2 3 2 6" xfId="10216" xr:uid="{00000000-0005-0000-0000-00000C2E0000}"/>
    <cellStyle name="CustomizationCells 2 2 3 2 7" xfId="10628" xr:uid="{00000000-0005-0000-0000-00000D2E0000}"/>
    <cellStyle name="CustomizationCells 2 2 3 2 8" xfId="10958" xr:uid="{00000000-0005-0000-0000-00000E2E0000}"/>
    <cellStyle name="CustomizationCells 2 2 3 2 9" xfId="11347" xr:uid="{00000000-0005-0000-0000-00000F2E0000}"/>
    <cellStyle name="CustomizationCells 2 2 3 3" xfId="988" xr:uid="{00000000-0005-0000-0000-0000102E0000}"/>
    <cellStyle name="CustomizationCells 2 2 3 3 2" xfId="12717" xr:uid="{00000000-0005-0000-0000-0000112E0000}"/>
    <cellStyle name="CustomizationCells 2 2 3 3 3" xfId="15286" xr:uid="{00000000-0005-0000-0000-0000122E0000}"/>
    <cellStyle name="CustomizationCells 2 2 3 3 4" xfId="17400" xr:uid="{00000000-0005-0000-0000-0000132E0000}"/>
    <cellStyle name="CustomizationCells 2 2 3 3 5" xfId="17569" xr:uid="{00000000-0005-0000-0000-0000142E0000}"/>
    <cellStyle name="CustomizationCells 2 2 3 3 6" xfId="19352" xr:uid="{00000000-0005-0000-0000-0000152E0000}"/>
    <cellStyle name="CustomizationCells 2 2 3 4" xfId="3357" xr:uid="{00000000-0005-0000-0000-0000162E0000}"/>
    <cellStyle name="CustomizationCells 2 2 3 5" xfId="9164" xr:uid="{00000000-0005-0000-0000-0000172E0000}"/>
    <cellStyle name="CustomizationCells 2 2 3 6" xfId="9575" xr:uid="{00000000-0005-0000-0000-0000182E0000}"/>
    <cellStyle name="CustomizationCells 2 2 3 7" xfId="10002" xr:uid="{00000000-0005-0000-0000-0000192E0000}"/>
    <cellStyle name="CustomizationCells 2 2 3 8" xfId="10414" xr:uid="{00000000-0005-0000-0000-00001A2E0000}"/>
    <cellStyle name="CustomizationCells 2 2 3 9" xfId="8983" xr:uid="{00000000-0005-0000-0000-00001B2E0000}"/>
    <cellStyle name="CustomizationCells 2 2 4" xfId="534" xr:uid="{00000000-0005-0000-0000-00001C2E0000}"/>
    <cellStyle name="CustomizationCells 2 2 4 10" xfId="11001" xr:uid="{00000000-0005-0000-0000-00001D2E0000}"/>
    <cellStyle name="CustomizationCells 2 2 4 11" xfId="11388" xr:uid="{00000000-0005-0000-0000-00001E2E0000}"/>
    <cellStyle name="CustomizationCells 2 2 4 12" xfId="11760" xr:uid="{00000000-0005-0000-0000-00001F2E0000}"/>
    <cellStyle name="CustomizationCells 2 2 4 13" xfId="12273" xr:uid="{00000000-0005-0000-0000-0000202E0000}"/>
    <cellStyle name="CustomizationCells 2 2 4 14" xfId="14552" xr:uid="{00000000-0005-0000-0000-0000212E0000}"/>
    <cellStyle name="CustomizationCells 2 2 4 15" xfId="15446" xr:uid="{00000000-0005-0000-0000-0000222E0000}"/>
    <cellStyle name="CustomizationCells 2 2 4 16" xfId="18212" xr:uid="{00000000-0005-0000-0000-0000232E0000}"/>
    <cellStyle name="CustomizationCells 2 2 4 17" xfId="17040" xr:uid="{00000000-0005-0000-0000-0000242E0000}"/>
    <cellStyle name="CustomizationCells 2 2 4 2" xfId="749" xr:uid="{00000000-0005-0000-0000-0000252E0000}"/>
    <cellStyle name="CustomizationCells 2 2 4 2 10" xfId="11595" xr:uid="{00000000-0005-0000-0000-0000262E0000}"/>
    <cellStyle name="CustomizationCells 2 2 4 2 11" xfId="11966" xr:uid="{00000000-0005-0000-0000-0000272E0000}"/>
    <cellStyle name="CustomizationCells 2 2 4 2 12" xfId="12479" xr:uid="{00000000-0005-0000-0000-0000282E0000}"/>
    <cellStyle name="CustomizationCells 2 2 4 2 13" xfId="15623" xr:uid="{00000000-0005-0000-0000-0000292E0000}"/>
    <cellStyle name="CustomizationCells 2 2 4 2 14" xfId="17477" xr:uid="{00000000-0005-0000-0000-00002A2E0000}"/>
    <cellStyle name="CustomizationCells 2 2 4 2 15" xfId="13817" xr:uid="{00000000-0005-0000-0000-00002B2E0000}"/>
    <cellStyle name="CustomizationCells 2 2 4 2 16" xfId="17076" xr:uid="{00000000-0005-0000-0000-00002C2E0000}"/>
    <cellStyle name="CustomizationCells 2 2 4 2 2" xfId="950" xr:uid="{00000000-0005-0000-0000-00002D2E0000}"/>
    <cellStyle name="CustomizationCells 2 2 4 2 2 2" xfId="12679" xr:uid="{00000000-0005-0000-0000-00002E2E0000}"/>
    <cellStyle name="CustomizationCells 2 2 4 2 2 3" xfId="15265" xr:uid="{00000000-0005-0000-0000-00002F2E0000}"/>
    <cellStyle name="CustomizationCells 2 2 4 2 2 4" xfId="16187" xr:uid="{00000000-0005-0000-0000-0000302E0000}"/>
    <cellStyle name="CustomizationCells 2 2 4 2 2 5" xfId="15844" xr:uid="{00000000-0005-0000-0000-0000312E0000}"/>
    <cellStyle name="CustomizationCells 2 2 4 2 2 6" xfId="19384" xr:uid="{00000000-0005-0000-0000-0000322E0000}"/>
    <cellStyle name="CustomizationCells 2 2 4 2 3" xfId="4118" xr:uid="{00000000-0005-0000-0000-0000332E0000}"/>
    <cellStyle name="CustomizationCells 2 2 4 2 4" xfId="8739" xr:uid="{00000000-0005-0000-0000-0000342E0000}"/>
    <cellStyle name="CustomizationCells 2 2 4 2 5" xfId="9650" xr:uid="{00000000-0005-0000-0000-0000352E0000}"/>
    <cellStyle name="CustomizationCells 2 2 4 2 6" xfId="10079" xr:uid="{00000000-0005-0000-0000-0000362E0000}"/>
    <cellStyle name="CustomizationCells 2 2 4 2 7" xfId="10491" xr:uid="{00000000-0005-0000-0000-0000372E0000}"/>
    <cellStyle name="CustomizationCells 2 2 4 2 8" xfId="8992" xr:uid="{00000000-0005-0000-0000-0000382E0000}"/>
    <cellStyle name="CustomizationCells 2 2 4 2 9" xfId="11210" xr:uid="{00000000-0005-0000-0000-0000392E0000}"/>
    <cellStyle name="CustomizationCells 2 2 4 3" xfId="1053" xr:uid="{00000000-0005-0000-0000-00003A2E0000}"/>
    <cellStyle name="CustomizationCells 2 2 4 3 2" xfId="12782" xr:uid="{00000000-0005-0000-0000-00003B2E0000}"/>
    <cellStyle name="CustomizationCells 2 2 4 3 3" xfId="15307" xr:uid="{00000000-0005-0000-0000-00003C2E0000}"/>
    <cellStyle name="CustomizationCells 2 2 4 3 4" xfId="17373" xr:uid="{00000000-0005-0000-0000-00003D2E0000}"/>
    <cellStyle name="CustomizationCells 2 2 4 3 5" xfId="15744" xr:uid="{00000000-0005-0000-0000-00003E2E0000}"/>
    <cellStyle name="CustomizationCells 2 2 4 3 6" xfId="19325" xr:uid="{00000000-0005-0000-0000-00003F2E0000}"/>
    <cellStyle name="CustomizationCells 2 2 4 4" xfId="3796" xr:uid="{00000000-0005-0000-0000-0000402E0000}"/>
    <cellStyle name="CustomizationCells 2 2 4 5" xfId="8990" xr:uid="{00000000-0005-0000-0000-0000412E0000}"/>
    <cellStyle name="CustomizationCells 2 2 4 6" xfId="9438" xr:uid="{00000000-0005-0000-0000-0000422E0000}"/>
    <cellStyle name="CustomizationCells 2 2 4 7" xfId="9865" xr:uid="{00000000-0005-0000-0000-0000432E0000}"/>
    <cellStyle name="CustomizationCells 2 2 4 8" xfId="10277" xr:uid="{00000000-0005-0000-0000-0000442E0000}"/>
    <cellStyle name="CustomizationCells 2 2 4 9" xfId="8749" xr:uid="{00000000-0005-0000-0000-0000452E0000}"/>
    <cellStyle name="CustomizationCells 2 2 5" xfId="690" xr:uid="{00000000-0005-0000-0000-0000462E0000}"/>
    <cellStyle name="CustomizationCells 2 2 5 10" xfId="11156" xr:uid="{00000000-0005-0000-0000-0000472E0000}"/>
    <cellStyle name="CustomizationCells 2 2 5 11" xfId="11543" xr:uid="{00000000-0005-0000-0000-0000482E0000}"/>
    <cellStyle name="CustomizationCells 2 2 5 12" xfId="11915" xr:uid="{00000000-0005-0000-0000-0000492E0000}"/>
    <cellStyle name="CustomizationCells 2 2 5 13" xfId="12428" xr:uid="{00000000-0005-0000-0000-00004A2E0000}"/>
    <cellStyle name="CustomizationCells 2 2 5 14" xfId="15210" xr:uid="{00000000-0005-0000-0000-00004B2E0000}"/>
    <cellStyle name="CustomizationCells 2 2 5 15" xfId="13969" xr:uid="{00000000-0005-0000-0000-00004C2E0000}"/>
    <cellStyle name="CustomizationCells 2 2 5 16" xfId="17045" xr:uid="{00000000-0005-0000-0000-00004D2E0000}"/>
    <cellStyle name="CustomizationCells 2 2 5 17" xfId="19459" xr:uid="{00000000-0005-0000-0000-00004E2E0000}"/>
    <cellStyle name="CustomizationCells 2 2 5 2" xfId="904" xr:uid="{00000000-0005-0000-0000-00004F2E0000}"/>
    <cellStyle name="CustomizationCells 2 2 5 3" xfId="1218" xr:uid="{00000000-0005-0000-0000-0000502E0000}"/>
    <cellStyle name="CustomizationCells 2 2 5 3 2" xfId="12947" xr:uid="{00000000-0005-0000-0000-0000512E0000}"/>
    <cellStyle name="CustomizationCells 2 2 5 3 3" xfId="15375" xr:uid="{00000000-0005-0000-0000-0000522E0000}"/>
    <cellStyle name="CustomizationCells 2 2 5 3 4" xfId="15166" xr:uid="{00000000-0005-0000-0000-0000532E0000}"/>
    <cellStyle name="CustomizationCells 2 2 5 3 5" xfId="17696" xr:uid="{00000000-0005-0000-0000-0000542E0000}"/>
    <cellStyle name="CustomizationCells 2 2 5 3 6" xfId="19195" xr:uid="{00000000-0005-0000-0000-0000552E0000}"/>
    <cellStyle name="CustomizationCells 2 2 5 4" xfId="3830" xr:uid="{00000000-0005-0000-0000-0000562E0000}"/>
    <cellStyle name="CustomizationCells 2 2 5 5" xfId="9279" xr:uid="{00000000-0005-0000-0000-0000572E0000}"/>
    <cellStyle name="CustomizationCells 2 2 5 6" xfId="9593" xr:uid="{00000000-0005-0000-0000-0000582E0000}"/>
    <cellStyle name="CustomizationCells 2 2 5 7" xfId="10020" xr:uid="{00000000-0005-0000-0000-0000592E0000}"/>
    <cellStyle name="CustomizationCells 2 2 5 8" xfId="10432" xr:uid="{00000000-0005-0000-0000-00005A2E0000}"/>
    <cellStyle name="CustomizationCells 2 2 5 9" xfId="9382" xr:uid="{00000000-0005-0000-0000-00005B2E0000}"/>
    <cellStyle name="CustomizationCells 2 2 6" xfId="1227" xr:uid="{00000000-0005-0000-0000-00005C2E0000}"/>
    <cellStyle name="CustomizationCells 2 2 6 2" xfId="12956" xr:uid="{00000000-0005-0000-0000-00005D2E0000}"/>
    <cellStyle name="CustomizationCells 2 2 6 3" xfId="14186" xr:uid="{00000000-0005-0000-0000-00005E2E0000}"/>
    <cellStyle name="CustomizationCells 2 2 6 4" xfId="17235" xr:uid="{00000000-0005-0000-0000-00005F2E0000}"/>
    <cellStyle name="CustomizationCells 2 2 6 5" xfId="17033" xr:uid="{00000000-0005-0000-0000-0000602E0000}"/>
    <cellStyle name="CustomizationCells 2 2 6 6" xfId="17707" xr:uid="{00000000-0005-0000-0000-0000612E0000}"/>
    <cellStyle name="CustomizationCells 2 2 7" xfId="3418" xr:uid="{00000000-0005-0000-0000-0000622E0000}"/>
    <cellStyle name="CustomizationCells 2 2 8" xfId="9220" xr:uid="{00000000-0005-0000-0000-0000632E0000}"/>
    <cellStyle name="CustomizationCells 2 2 9" xfId="9140" xr:uid="{00000000-0005-0000-0000-0000642E0000}"/>
    <cellStyle name="CustomizationCells 3" xfId="287" xr:uid="{00000000-0005-0000-0000-0000652E0000}"/>
    <cellStyle name="CustomizationCells 3 10" xfId="8795" xr:uid="{00000000-0005-0000-0000-0000662E0000}"/>
    <cellStyle name="CustomizationCells 3 11" xfId="9853" xr:uid="{00000000-0005-0000-0000-0000672E0000}"/>
    <cellStyle name="CustomizationCells 3 12" xfId="9032" xr:uid="{00000000-0005-0000-0000-0000682E0000}"/>
    <cellStyle name="CustomizationCells 3 13" xfId="8821" xr:uid="{00000000-0005-0000-0000-0000692E0000}"/>
    <cellStyle name="CustomizationCells 3 14" xfId="8981" xr:uid="{00000000-0005-0000-0000-00006A2E0000}"/>
    <cellStyle name="CustomizationCells 3 15" xfId="10687" xr:uid="{00000000-0005-0000-0000-00006B2E0000}"/>
    <cellStyle name="CustomizationCells 3 16" xfId="12237" xr:uid="{00000000-0005-0000-0000-00006C2E0000}"/>
    <cellStyle name="CustomizationCells 3 17" xfId="16508" xr:uid="{00000000-0005-0000-0000-00006D2E0000}"/>
    <cellStyle name="CustomizationCells 3 18" xfId="17621" xr:uid="{00000000-0005-0000-0000-00006E2E0000}"/>
    <cellStyle name="CustomizationCells 3 19" xfId="14324" xr:uid="{00000000-0005-0000-0000-00006F2E0000}"/>
    <cellStyle name="CustomizationCells 3 2" xfId="626" xr:uid="{00000000-0005-0000-0000-0000702E0000}"/>
    <cellStyle name="CustomizationCells 3 2 10" xfId="11093" xr:uid="{00000000-0005-0000-0000-0000712E0000}"/>
    <cellStyle name="CustomizationCells 3 2 11" xfId="11480" xr:uid="{00000000-0005-0000-0000-0000722E0000}"/>
    <cellStyle name="CustomizationCells 3 2 12" xfId="11852" xr:uid="{00000000-0005-0000-0000-0000732E0000}"/>
    <cellStyle name="CustomizationCells 3 2 13" xfId="12365" xr:uid="{00000000-0005-0000-0000-0000742E0000}"/>
    <cellStyle name="CustomizationCells 3 2 14" xfId="16273" xr:uid="{00000000-0005-0000-0000-0000752E0000}"/>
    <cellStyle name="CustomizationCells 3 2 15" xfId="16081" xr:uid="{00000000-0005-0000-0000-0000762E0000}"/>
    <cellStyle name="CustomizationCells 3 2 16" xfId="17081" xr:uid="{00000000-0005-0000-0000-0000772E0000}"/>
    <cellStyle name="CustomizationCells 3 2 17" xfId="18737" xr:uid="{00000000-0005-0000-0000-0000782E0000}"/>
    <cellStyle name="CustomizationCells 3 2 2" xfId="841" xr:uid="{00000000-0005-0000-0000-0000792E0000}"/>
    <cellStyle name="CustomizationCells 3 2 2 10" xfId="11687" xr:uid="{00000000-0005-0000-0000-00007A2E0000}"/>
    <cellStyle name="CustomizationCells 3 2 2 11" xfId="12058" xr:uid="{00000000-0005-0000-0000-00007B2E0000}"/>
    <cellStyle name="CustomizationCells 3 2 2 12" xfId="12571" xr:uid="{00000000-0005-0000-0000-00007C2E0000}"/>
    <cellStyle name="CustomizationCells 3 2 2 13" xfId="14721" xr:uid="{00000000-0005-0000-0000-00007D2E0000}"/>
    <cellStyle name="CustomizationCells 3 2 2 14" xfId="15087" xr:uid="{00000000-0005-0000-0000-00007E2E0000}"/>
    <cellStyle name="CustomizationCells 3 2 2 15" xfId="18502" xr:uid="{00000000-0005-0000-0000-00007F2E0000}"/>
    <cellStyle name="CustomizationCells 3 2 2 16" xfId="17078" xr:uid="{00000000-0005-0000-0000-0000802E0000}"/>
    <cellStyle name="CustomizationCells 3 2 2 2" xfId="1128" xr:uid="{00000000-0005-0000-0000-0000812E0000}"/>
    <cellStyle name="CustomizationCells 3 2 2 2 2" xfId="12857" xr:uid="{00000000-0005-0000-0000-0000822E0000}"/>
    <cellStyle name="CustomizationCells 3 2 2 2 3" xfId="13992" xr:uid="{00000000-0005-0000-0000-0000832E0000}"/>
    <cellStyle name="CustomizationCells 3 2 2 2 4" xfId="17314" xr:uid="{00000000-0005-0000-0000-0000842E0000}"/>
    <cellStyle name="CustomizationCells 3 2 2 2 5" xfId="14016" xr:uid="{00000000-0005-0000-0000-0000852E0000}"/>
    <cellStyle name="CustomizationCells 3 2 2 2 6" xfId="19266" xr:uid="{00000000-0005-0000-0000-0000862E0000}"/>
    <cellStyle name="CustomizationCells 3 2 2 3" xfId="4196" xr:uid="{00000000-0005-0000-0000-0000872E0000}"/>
    <cellStyle name="CustomizationCells 3 2 2 4" xfId="8872" xr:uid="{00000000-0005-0000-0000-0000882E0000}"/>
    <cellStyle name="CustomizationCells 3 2 2 5" xfId="9742" xr:uid="{00000000-0005-0000-0000-0000892E0000}"/>
    <cellStyle name="CustomizationCells 3 2 2 6" xfId="10171" xr:uid="{00000000-0005-0000-0000-00008A2E0000}"/>
    <cellStyle name="CustomizationCells 3 2 2 7" xfId="10583" xr:uid="{00000000-0005-0000-0000-00008B2E0000}"/>
    <cellStyle name="CustomizationCells 3 2 2 8" xfId="9391" xr:uid="{00000000-0005-0000-0000-00008C2E0000}"/>
    <cellStyle name="CustomizationCells 3 2 2 9" xfId="11302" xr:uid="{00000000-0005-0000-0000-00008D2E0000}"/>
    <cellStyle name="CustomizationCells 3 2 3" xfId="928" xr:uid="{00000000-0005-0000-0000-00008E2E0000}"/>
    <cellStyle name="CustomizationCells 3 2 3 2" xfId="12657" xr:uid="{00000000-0005-0000-0000-00008F2E0000}"/>
    <cellStyle name="CustomizationCells 3 2 3 3" xfId="16121" xr:uid="{00000000-0005-0000-0000-0000902E0000}"/>
    <cellStyle name="CustomizationCells 3 2 3 4" xfId="16066" xr:uid="{00000000-0005-0000-0000-0000912E0000}"/>
    <cellStyle name="CustomizationCells 3 2 3 5" xfId="18514" xr:uid="{00000000-0005-0000-0000-0000922E0000}"/>
    <cellStyle name="CustomizationCells 3 2 3 6" xfId="18075" xr:uid="{00000000-0005-0000-0000-0000932E0000}"/>
    <cellStyle name="CustomizationCells 3 2 4" xfId="3721" xr:uid="{00000000-0005-0000-0000-0000942E0000}"/>
    <cellStyle name="CustomizationCells 3 2 5" xfId="9297" xr:uid="{00000000-0005-0000-0000-0000952E0000}"/>
    <cellStyle name="CustomizationCells 3 2 6" xfId="9530" xr:uid="{00000000-0005-0000-0000-0000962E0000}"/>
    <cellStyle name="CustomizationCells 3 2 7" xfId="9957" xr:uid="{00000000-0005-0000-0000-0000972E0000}"/>
    <cellStyle name="CustomizationCells 3 2 8" xfId="10369" xr:uid="{00000000-0005-0000-0000-0000982E0000}"/>
    <cellStyle name="CustomizationCells 3 2 9" xfId="10789" xr:uid="{00000000-0005-0000-0000-0000992E0000}"/>
    <cellStyle name="CustomizationCells 3 20" xfId="19498" xr:uid="{00000000-0005-0000-0000-00009A2E0000}"/>
    <cellStyle name="CustomizationCells 3 3" xfId="653" xr:uid="{00000000-0005-0000-0000-00009B2E0000}"/>
    <cellStyle name="CustomizationCells 3 3 10" xfId="11120" xr:uid="{00000000-0005-0000-0000-00009C2E0000}"/>
    <cellStyle name="CustomizationCells 3 3 11" xfId="11507" xr:uid="{00000000-0005-0000-0000-00009D2E0000}"/>
    <cellStyle name="CustomizationCells 3 3 12" xfId="11879" xr:uid="{00000000-0005-0000-0000-00009E2E0000}"/>
    <cellStyle name="CustomizationCells 3 3 13" xfId="12392" xr:uid="{00000000-0005-0000-0000-00009F2E0000}"/>
    <cellStyle name="CustomizationCells 3 3 14" xfId="15803" xr:uid="{00000000-0005-0000-0000-0000A02E0000}"/>
    <cellStyle name="CustomizationCells 3 3 15" xfId="13886" xr:uid="{00000000-0005-0000-0000-0000A12E0000}"/>
    <cellStyle name="CustomizationCells 3 3 16" xfId="18176" xr:uid="{00000000-0005-0000-0000-0000A22E0000}"/>
    <cellStyle name="CustomizationCells 3 3 17" xfId="13964" xr:uid="{00000000-0005-0000-0000-0000A32E0000}"/>
    <cellStyle name="CustomizationCells 3 3 2" xfId="868" xr:uid="{00000000-0005-0000-0000-0000A42E0000}"/>
    <cellStyle name="CustomizationCells 3 3 2 10" xfId="11714" xr:uid="{00000000-0005-0000-0000-0000A52E0000}"/>
    <cellStyle name="CustomizationCells 3 3 2 11" xfId="12085" xr:uid="{00000000-0005-0000-0000-0000A62E0000}"/>
    <cellStyle name="CustomizationCells 3 3 2 12" xfId="12598" xr:uid="{00000000-0005-0000-0000-0000A72E0000}"/>
    <cellStyle name="CustomizationCells 3 3 2 13" xfId="15239" xr:uid="{00000000-0005-0000-0000-0000A82E0000}"/>
    <cellStyle name="CustomizationCells 3 3 2 14" xfId="15575" xr:uid="{00000000-0005-0000-0000-0000A92E0000}"/>
    <cellStyle name="CustomizationCells 3 3 2 15" xfId="16968" xr:uid="{00000000-0005-0000-0000-0000AA2E0000}"/>
    <cellStyle name="CustomizationCells 3 3 2 16" xfId="19417" xr:uid="{00000000-0005-0000-0000-0000AB2E0000}"/>
    <cellStyle name="CustomizationCells 3 3 2 2" xfId="1103" xr:uid="{00000000-0005-0000-0000-0000AC2E0000}"/>
    <cellStyle name="CustomizationCells 3 3 2 2 2" xfId="12832" xr:uid="{00000000-0005-0000-0000-0000AD2E0000}"/>
    <cellStyle name="CustomizationCells 3 3 2 2 3" xfId="14489" xr:uid="{00000000-0005-0000-0000-0000AE2E0000}"/>
    <cellStyle name="CustomizationCells 3 3 2 2 4" xfId="17333" xr:uid="{00000000-0005-0000-0000-0000AF2E0000}"/>
    <cellStyle name="CustomizationCells 3 3 2 2 5" xfId="15190" xr:uid="{00000000-0005-0000-0000-0000B02E0000}"/>
    <cellStyle name="CustomizationCells 3 3 2 2 6" xfId="19285" xr:uid="{00000000-0005-0000-0000-0000B12E0000}"/>
    <cellStyle name="CustomizationCells 3 3 2 3" xfId="3794" xr:uid="{00000000-0005-0000-0000-0000B22E0000}"/>
    <cellStyle name="CustomizationCells 3 3 2 4" xfId="9341" xr:uid="{00000000-0005-0000-0000-0000B32E0000}"/>
    <cellStyle name="CustomizationCells 3 3 2 5" xfId="9769" xr:uid="{00000000-0005-0000-0000-0000B42E0000}"/>
    <cellStyle name="CustomizationCells 3 3 2 6" xfId="10198" xr:uid="{00000000-0005-0000-0000-0000B52E0000}"/>
    <cellStyle name="CustomizationCells 3 3 2 7" xfId="10610" xr:uid="{00000000-0005-0000-0000-0000B62E0000}"/>
    <cellStyle name="CustomizationCells 3 3 2 8" xfId="10667" xr:uid="{00000000-0005-0000-0000-0000B72E0000}"/>
    <cellStyle name="CustomizationCells 3 3 2 9" xfId="11329" xr:uid="{00000000-0005-0000-0000-0000B82E0000}"/>
    <cellStyle name="CustomizationCells 3 3 3" xfId="1222" xr:uid="{00000000-0005-0000-0000-0000B92E0000}"/>
    <cellStyle name="CustomizationCells 3 3 3 2" xfId="12951" xr:uid="{00000000-0005-0000-0000-0000BA2E0000}"/>
    <cellStyle name="CustomizationCells 3 3 3 3" xfId="14826" xr:uid="{00000000-0005-0000-0000-0000BB2E0000}"/>
    <cellStyle name="CustomizationCells 3 3 3 4" xfId="17239" xr:uid="{00000000-0005-0000-0000-0000BC2E0000}"/>
    <cellStyle name="CustomizationCells 3 3 3 5" xfId="15142" xr:uid="{00000000-0005-0000-0000-0000BD2E0000}"/>
    <cellStyle name="CustomizationCells 3 3 3 6" xfId="19191" xr:uid="{00000000-0005-0000-0000-0000BE2E0000}"/>
    <cellStyle name="CustomizationCells 3 3 4" xfId="3363" xr:uid="{00000000-0005-0000-0000-0000BF2E0000}"/>
    <cellStyle name="CustomizationCells 3 3 5" xfId="8988" xr:uid="{00000000-0005-0000-0000-0000C02E0000}"/>
    <cellStyle name="CustomizationCells 3 3 6" xfId="9557" xr:uid="{00000000-0005-0000-0000-0000C12E0000}"/>
    <cellStyle name="CustomizationCells 3 3 7" xfId="9984" xr:uid="{00000000-0005-0000-0000-0000C22E0000}"/>
    <cellStyle name="CustomizationCells 3 3 8" xfId="10396" xr:uid="{00000000-0005-0000-0000-0000C32E0000}"/>
    <cellStyle name="CustomizationCells 3 3 9" xfId="10707" xr:uid="{00000000-0005-0000-0000-0000C42E0000}"/>
    <cellStyle name="CustomizationCells 3 4" xfId="573" xr:uid="{00000000-0005-0000-0000-0000C52E0000}"/>
    <cellStyle name="CustomizationCells 3 4 10" xfId="11040" xr:uid="{00000000-0005-0000-0000-0000C62E0000}"/>
    <cellStyle name="CustomizationCells 3 4 11" xfId="11427" xr:uid="{00000000-0005-0000-0000-0000C72E0000}"/>
    <cellStyle name="CustomizationCells 3 4 12" xfId="11799" xr:uid="{00000000-0005-0000-0000-0000C82E0000}"/>
    <cellStyle name="CustomizationCells 3 4 13" xfId="12312" xr:uid="{00000000-0005-0000-0000-0000C92E0000}"/>
    <cellStyle name="CustomizationCells 3 4 14" xfId="14075" xr:uid="{00000000-0005-0000-0000-0000CA2E0000}"/>
    <cellStyle name="CustomizationCells 3 4 15" xfId="14457" xr:uid="{00000000-0005-0000-0000-0000CB2E0000}"/>
    <cellStyle name="CustomizationCells 3 4 16" xfId="17708" xr:uid="{00000000-0005-0000-0000-0000CC2E0000}"/>
    <cellStyle name="CustomizationCells 3 4 17" xfId="18320" xr:uid="{00000000-0005-0000-0000-0000CD2E0000}"/>
    <cellStyle name="CustomizationCells 3 4 2" xfId="788" xr:uid="{00000000-0005-0000-0000-0000CE2E0000}"/>
    <cellStyle name="CustomizationCells 3 4 2 10" xfId="11634" xr:uid="{00000000-0005-0000-0000-0000CF2E0000}"/>
    <cellStyle name="CustomizationCells 3 4 2 11" xfId="12005" xr:uid="{00000000-0005-0000-0000-0000D02E0000}"/>
    <cellStyle name="CustomizationCells 3 4 2 12" xfId="12518" xr:uid="{00000000-0005-0000-0000-0000D12E0000}"/>
    <cellStyle name="CustomizationCells 3 4 2 13" xfId="16136" xr:uid="{00000000-0005-0000-0000-0000D22E0000}"/>
    <cellStyle name="CustomizationCells 3 4 2 14" xfId="15873" xr:uid="{00000000-0005-0000-0000-0000D32E0000}"/>
    <cellStyle name="CustomizationCells 3 4 2 15" xfId="13936" xr:uid="{00000000-0005-0000-0000-0000D42E0000}"/>
    <cellStyle name="CustomizationCells 3 4 2 16" xfId="14579" xr:uid="{00000000-0005-0000-0000-0000D52E0000}"/>
    <cellStyle name="CustomizationCells 3 4 2 2" xfId="939" xr:uid="{00000000-0005-0000-0000-0000D62E0000}"/>
    <cellStyle name="CustomizationCells 3 4 2 2 2" xfId="12668" xr:uid="{00000000-0005-0000-0000-0000D72E0000}"/>
    <cellStyle name="CustomizationCells 3 4 2 2 3" xfId="14169" xr:uid="{00000000-0005-0000-0000-0000D82E0000}"/>
    <cellStyle name="CustomizationCells 3 4 2 2 4" xfId="17440" xr:uid="{00000000-0005-0000-0000-0000D92E0000}"/>
    <cellStyle name="CustomizationCells 3 4 2 2 5" xfId="16981" xr:uid="{00000000-0005-0000-0000-0000DA2E0000}"/>
    <cellStyle name="CustomizationCells 3 4 2 2 6" xfId="13867" xr:uid="{00000000-0005-0000-0000-0000DB2E0000}"/>
    <cellStyle name="CustomizationCells 3 4 2 3" xfId="3424" xr:uid="{00000000-0005-0000-0000-0000DC2E0000}"/>
    <cellStyle name="CustomizationCells 3 4 2 4" xfId="8632" xr:uid="{00000000-0005-0000-0000-0000DD2E0000}"/>
    <cellStyle name="CustomizationCells 3 4 2 5" xfId="9689" xr:uid="{00000000-0005-0000-0000-0000DE2E0000}"/>
    <cellStyle name="CustomizationCells 3 4 2 6" xfId="10118" xr:uid="{00000000-0005-0000-0000-0000DF2E0000}"/>
    <cellStyle name="CustomizationCells 3 4 2 7" xfId="10530" xr:uid="{00000000-0005-0000-0000-0000E02E0000}"/>
    <cellStyle name="CustomizationCells 3 4 2 8" xfId="10038" xr:uid="{00000000-0005-0000-0000-0000E12E0000}"/>
    <cellStyle name="CustomizationCells 3 4 2 9" xfId="11249" xr:uid="{00000000-0005-0000-0000-0000E22E0000}"/>
    <cellStyle name="CustomizationCells 3 4 3" xfId="1161" xr:uid="{00000000-0005-0000-0000-0000E32E0000}"/>
    <cellStyle name="CustomizationCells 3 4 3 2" xfId="12890" xr:uid="{00000000-0005-0000-0000-0000E42E0000}"/>
    <cellStyle name="CustomizationCells 3 4 3 3" xfId="15341" xr:uid="{00000000-0005-0000-0000-0000E52E0000}"/>
    <cellStyle name="CustomizationCells 3 4 3 4" xfId="17289" xr:uid="{00000000-0005-0000-0000-0000E62E0000}"/>
    <cellStyle name="CustomizationCells 3 4 3 5" xfId="16165" xr:uid="{00000000-0005-0000-0000-0000E72E0000}"/>
    <cellStyle name="CustomizationCells 3 4 3 6" xfId="19241" xr:uid="{00000000-0005-0000-0000-0000E82E0000}"/>
    <cellStyle name="CustomizationCells 3 4 4" xfId="3943" xr:uid="{00000000-0005-0000-0000-0000E92E0000}"/>
    <cellStyle name="CustomizationCells 3 4 5" xfId="9290" xr:uid="{00000000-0005-0000-0000-0000EA2E0000}"/>
    <cellStyle name="CustomizationCells 3 4 6" xfId="9477" xr:uid="{00000000-0005-0000-0000-0000EB2E0000}"/>
    <cellStyle name="CustomizationCells 3 4 7" xfId="9904" xr:uid="{00000000-0005-0000-0000-0000EC2E0000}"/>
    <cellStyle name="CustomizationCells 3 4 8" xfId="10316" xr:uid="{00000000-0005-0000-0000-0000ED2E0000}"/>
    <cellStyle name="CustomizationCells 3 4 9" xfId="9111" xr:uid="{00000000-0005-0000-0000-0000EE2E0000}"/>
    <cellStyle name="CustomizationCells 3 5" xfId="712" xr:uid="{00000000-0005-0000-0000-0000EF2E0000}"/>
    <cellStyle name="CustomizationCells 3 5 2" xfId="3288" xr:uid="{00000000-0005-0000-0000-0000F02E0000}"/>
    <cellStyle name="CustomizationCells 3 5 2 2" xfId="13552" xr:uid="{00000000-0005-0000-0000-0000F12E0000}"/>
    <cellStyle name="CustomizationCells 3 5 2 3" xfId="16921" xr:uid="{00000000-0005-0000-0000-0000F22E0000}"/>
    <cellStyle name="CustomizationCells 3 5 2 4" xfId="18032" xr:uid="{00000000-0005-0000-0000-0000F32E0000}"/>
    <cellStyle name="CustomizationCells 3 5 2 5" xfId="19029" xr:uid="{00000000-0005-0000-0000-0000F42E0000}"/>
    <cellStyle name="CustomizationCells 3 5 2 6" xfId="19770" xr:uid="{00000000-0005-0000-0000-0000F52E0000}"/>
    <cellStyle name="CustomizationCells 3 6" xfId="1210" xr:uid="{00000000-0005-0000-0000-0000F62E0000}"/>
    <cellStyle name="CustomizationCells 3 6 2" xfId="12939" xr:uid="{00000000-0005-0000-0000-0000F72E0000}"/>
    <cellStyle name="CustomizationCells 3 6 3" xfId="15370" xr:uid="{00000000-0005-0000-0000-0000F82E0000}"/>
    <cellStyle name="CustomizationCells 3 6 4" xfId="17249" xr:uid="{00000000-0005-0000-0000-0000F92E0000}"/>
    <cellStyle name="CustomizationCells 3 6 5" xfId="14517" xr:uid="{00000000-0005-0000-0000-0000FA2E0000}"/>
    <cellStyle name="CustomizationCells 3 6 6" xfId="19201" xr:uid="{00000000-0005-0000-0000-0000FB2E0000}"/>
    <cellStyle name="CustomizationCells 3 7" xfId="3980" xr:uid="{00000000-0005-0000-0000-0000FC2E0000}"/>
    <cellStyle name="CustomizationCells 3 8" xfId="8688" xr:uid="{00000000-0005-0000-0000-0000FD2E0000}"/>
    <cellStyle name="CustomizationCells 3 9" xfId="9127" xr:uid="{00000000-0005-0000-0000-0000FE2E0000}"/>
    <cellStyle name="CustomizationCells 4" xfId="84" xr:uid="{00000000-0005-0000-0000-0000FF2E0000}"/>
    <cellStyle name="CustomizationCells 4 2" xfId="3253" xr:uid="{00000000-0005-0000-0000-0000002F0000}"/>
    <cellStyle name="CustomizationCells 4 2 2" xfId="13517" xr:uid="{00000000-0005-0000-0000-0000012F0000}"/>
    <cellStyle name="CustomizationCells 4 2 3" xfId="16886" xr:uid="{00000000-0005-0000-0000-0000022F0000}"/>
    <cellStyle name="CustomizationCells 4 2 4" xfId="17997" xr:uid="{00000000-0005-0000-0000-0000032F0000}"/>
    <cellStyle name="CustomizationCells 4 2 5" xfId="18994" xr:uid="{00000000-0005-0000-0000-0000042F0000}"/>
    <cellStyle name="CustomizationCells 4 2 6" xfId="19735" xr:uid="{00000000-0005-0000-0000-0000052F0000}"/>
    <cellStyle name="CustomizationGreenCells" xfId="147" xr:uid="{00000000-0005-0000-0000-0000062F0000}"/>
    <cellStyle name="CustomizationGreenCells 2" xfId="430" xr:uid="{00000000-0005-0000-0000-0000072F0000}"/>
    <cellStyle name="CustomizationGreenCells 2 2" xfId="14023" xr:uid="{00000000-0005-0000-0000-0000082F0000}"/>
    <cellStyle name="CustomizationGreenCells 3" xfId="288" xr:uid="{00000000-0005-0000-0000-0000092F0000}"/>
    <cellStyle name="CustomizationGreenCells 3 10" xfId="9269" xr:uid="{00000000-0005-0000-0000-00000A2F0000}"/>
    <cellStyle name="CustomizationGreenCells 3 11" xfId="8580" xr:uid="{00000000-0005-0000-0000-00000B2F0000}"/>
    <cellStyle name="CustomizationGreenCells 3 12" xfId="9414" xr:uid="{00000000-0005-0000-0000-00000C2F0000}"/>
    <cellStyle name="CustomizationGreenCells 3 13" xfId="10239" xr:uid="{00000000-0005-0000-0000-00000D2F0000}"/>
    <cellStyle name="CustomizationGreenCells 3 14" xfId="10711" xr:uid="{00000000-0005-0000-0000-00000E2F0000}"/>
    <cellStyle name="CustomizationGreenCells 3 15" xfId="10862" xr:uid="{00000000-0005-0000-0000-00000F2F0000}"/>
    <cellStyle name="CustomizationGreenCells 3 16" xfId="12238" xr:uid="{00000000-0005-0000-0000-0000102F0000}"/>
    <cellStyle name="CustomizationGreenCells 3 17" xfId="16507" xr:uid="{00000000-0005-0000-0000-0000112F0000}"/>
    <cellStyle name="CustomizationGreenCells 3 18" xfId="17620" xr:uid="{00000000-0005-0000-0000-0000122F0000}"/>
    <cellStyle name="CustomizationGreenCells 3 19" xfId="16944" xr:uid="{00000000-0005-0000-0000-0000132F0000}"/>
    <cellStyle name="CustomizationGreenCells 3 2" xfId="627" xr:uid="{00000000-0005-0000-0000-0000142F0000}"/>
    <cellStyle name="CustomizationGreenCells 3 2 10" xfId="11094" xr:uid="{00000000-0005-0000-0000-0000152F0000}"/>
    <cellStyle name="CustomizationGreenCells 3 2 11" xfId="11481" xr:uid="{00000000-0005-0000-0000-0000162F0000}"/>
    <cellStyle name="CustomizationGreenCells 3 2 12" xfId="11853" xr:uid="{00000000-0005-0000-0000-0000172F0000}"/>
    <cellStyle name="CustomizationGreenCells 3 2 13" xfId="12366" xr:uid="{00000000-0005-0000-0000-0000182F0000}"/>
    <cellStyle name="CustomizationGreenCells 3 2 14" xfId="15928" xr:uid="{00000000-0005-0000-0000-0000192F0000}"/>
    <cellStyle name="CustomizationGreenCells 3 2 15" xfId="16576" xr:uid="{00000000-0005-0000-0000-00001A2F0000}"/>
    <cellStyle name="CustomizationGreenCells 3 2 16" xfId="13809" xr:uid="{00000000-0005-0000-0000-00001B2F0000}"/>
    <cellStyle name="CustomizationGreenCells 3 2 17" xfId="18548" xr:uid="{00000000-0005-0000-0000-00001C2F0000}"/>
    <cellStyle name="CustomizationGreenCells 3 2 2" xfId="842" xr:uid="{00000000-0005-0000-0000-00001D2F0000}"/>
    <cellStyle name="CustomizationGreenCells 3 2 2 10" xfId="11688" xr:uid="{00000000-0005-0000-0000-00001E2F0000}"/>
    <cellStyle name="CustomizationGreenCells 3 2 2 11" xfId="12059" xr:uid="{00000000-0005-0000-0000-00001F2F0000}"/>
    <cellStyle name="CustomizationGreenCells 3 2 2 12" xfId="12572" xr:uid="{00000000-0005-0000-0000-0000202F0000}"/>
    <cellStyle name="CustomizationGreenCells 3 2 2 13" xfId="16110" xr:uid="{00000000-0005-0000-0000-0000212F0000}"/>
    <cellStyle name="CustomizationGreenCells 3 2 2 14" xfId="16042" xr:uid="{00000000-0005-0000-0000-0000222F0000}"/>
    <cellStyle name="CustomizationGreenCells 3 2 2 15" xfId="18511" xr:uid="{00000000-0005-0000-0000-0000232F0000}"/>
    <cellStyle name="CustomizationGreenCells 3 2 2 16" xfId="17916" xr:uid="{00000000-0005-0000-0000-0000242F0000}"/>
    <cellStyle name="CustomizationGreenCells 3 2 2 2" xfId="1325" xr:uid="{00000000-0005-0000-0000-0000252F0000}"/>
    <cellStyle name="CustomizationGreenCells 3 2 2 2 2" xfId="13054" xr:uid="{00000000-0005-0000-0000-0000262F0000}"/>
    <cellStyle name="CustomizationGreenCells 3 2 2 2 3" xfId="14346" xr:uid="{00000000-0005-0000-0000-0000272F0000}"/>
    <cellStyle name="CustomizationGreenCells 3 2 2 2 4" xfId="14568" xr:uid="{00000000-0005-0000-0000-0000282F0000}"/>
    <cellStyle name="CustomizationGreenCells 3 2 2 2 5" xfId="17606" xr:uid="{00000000-0005-0000-0000-0000292F0000}"/>
    <cellStyle name="CustomizationGreenCells 3 2 2 2 6" xfId="19120" xr:uid="{00000000-0005-0000-0000-00002A2F0000}"/>
    <cellStyle name="CustomizationGreenCells 3 2 2 3" xfId="3832" xr:uid="{00000000-0005-0000-0000-00002B2F0000}"/>
    <cellStyle name="CustomizationGreenCells 3 2 2 4" xfId="8761" xr:uid="{00000000-0005-0000-0000-00002C2F0000}"/>
    <cellStyle name="CustomizationGreenCells 3 2 2 5" xfId="9743" xr:uid="{00000000-0005-0000-0000-00002D2F0000}"/>
    <cellStyle name="CustomizationGreenCells 3 2 2 6" xfId="10172" xr:uid="{00000000-0005-0000-0000-00002E2F0000}"/>
    <cellStyle name="CustomizationGreenCells 3 2 2 7" xfId="10584" xr:uid="{00000000-0005-0000-0000-00002F2F0000}"/>
    <cellStyle name="CustomizationGreenCells 3 2 2 8" xfId="10800" xr:uid="{00000000-0005-0000-0000-0000302F0000}"/>
    <cellStyle name="CustomizationGreenCells 3 2 2 9" xfId="11303" xr:uid="{00000000-0005-0000-0000-0000312F0000}"/>
    <cellStyle name="CustomizationGreenCells 3 2 3" xfId="1126" xr:uid="{00000000-0005-0000-0000-0000322F0000}"/>
    <cellStyle name="CustomizationGreenCells 3 2 3 2" xfId="12855" xr:uid="{00000000-0005-0000-0000-0000332F0000}"/>
    <cellStyle name="CustomizationGreenCells 3 2 3 3" xfId="13991" xr:uid="{00000000-0005-0000-0000-0000342F0000}"/>
    <cellStyle name="CustomizationGreenCells 3 2 3 4" xfId="17316" xr:uid="{00000000-0005-0000-0000-0000352F0000}"/>
    <cellStyle name="CustomizationGreenCells 3 2 3 5" xfId="15164" xr:uid="{00000000-0005-0000-0000-0000362F0000}"/>
    <cellStyle name="CustomizationGreenCells 3 2 3 6" xfId="19268" xr:uid="{00000000-0005-0000-0000-0000372F0000}"/>
    <cellStyle name="CustomizationGreenCells 3 2 4" xfId="3762" xr:uid="{00000000-0005-0000-0000-0000382F0000}"/>
    <cellStyle name="CustomizationGreenCells 3 2 5" xfId="9113" xr:uid="{00000000-0005-0000-0000-0000392F0000}"/>
    <cellStyle name="CustomizationGreenCells 3 2 6" xfId="9531" xr:uid="{00000000-0005-0000-0000-00003A2F0000}"/>
    <cellStyle name="CustomizationGreenCells 3 2 7" xfId="9958" xr:uid="{00000000-0005-0000-0000-00003B2F0000}"/>
    <cellStyle name="CustomizationGreenCells 3 2 8" xfId="10370" xr:uid="{00000000-0005-0000-0000-00003C2F0000}"/>
    <cellStyle name="CustomizationGreenCells 3 2 9" xfId="9829" xr:uid="{00000000-0005-0000-0000-00003D2F0000}"/>
    <cellStyle name="CustomizationGreenCells 3 20" xfId="19497" xr:uid="{00000000-0005-0000-0000-00003E2F0000}"/>
    <cellStyle name="CustomizationGreenCells 3 3" xfId="597" xr:uid="{00000000-0005-0000-0000-00003F2F0000}"/>
    <cellStyle name="CustomizationGreenCells 3 3 10" xfId="11064" xr:uid="{00000000-0005-0000-0000-0000402F0000}"/>
    <cellStyle name="CustomizationGreenCells 3 3 11" xfId="11451" xr:uid="{00000000-0005-0000-0000-0000412F0000}"/>
    <cellStyle name="CustomizationGreenCells 3 3 12" xfId="11823" xr:uid="{00000000-0005-0000-0000-0000422F0000}"/>
    <cellStyle name="CustomizationGreenCells 3 3 13" xfId="12336" xr:uid="{00000000-0005-0000-0000-0000432F0000}"/>
    <cellStyle name="CustomizationGreenCells 3 3 14" xfId="16088" xr:uid="{00000000-0005-0000-0000-0000442F0000}"/>
    <cellStyle name="CustomizationGreenCells 3 3 15" xfId="15571" xr:uid="{00000000-0005-0000-0000-0000452F0000}"/>
    <cellStyle name="CustomizationGreenCells 3 3 16" xfId="18578" xr:uid="{00000000-0005-0000-0000-0000462F0000}"/>
    <cellStyle name="CustomizationGreenCells 3 3 17" xfId="17070" xr:uid="{00000000-0005-0000-0000-0000472F0000}"/>
    <cellStyle name="CustomizationGreenCells 3 3 2" xfId="812" xr:uid="{00000000-0005-0000-0000-0000482F0000}"/>
    <cellStyle name="CustomizationGreenCells 3 3 2 10" xfId="11658" xr:uid="{00000000-0005-0000-0000-0000492F0000}"/>
    <cellStyle name="CustomizationGreenCells 3 3 2 11" xfId="12029" xr:uid="{00000000-0005-0000-0000-00004A2F0000}"/>
    <cellStyle name="CustomizationGreenCells 3 3 2 12" xfId="12542" xr:uid="{00000000-0005-0000-0000-00004B2F0000}"/>
    <cellStyle name="CustomizationGreenCells 3 3 2 13" xfId="14226" xr:uid="{00000000-0005-0000-0000-00004C2F0000}"/>
    <cellStyle name="CustomizationGreenCells 3 3 2 14" xfId="16218" xr:uid="{00000000-0005-0000-0000-00004D2F0000}"/>
    <cellStyle name="CustomizationGreenCells 3 3 2 15" xfId="14357" xr:uid="{00000000-0005-0000-0000-00004E2F0000}"/>
    <cellStyle name="CustomizationGreenCells 3 3 2 16" xfId="14556" xr:uid="{00000000-0005-0000-0000-00004F2F0000}"/>
    <cellStyle name="CustomizationGreenCells 3 3 2 2" xfId="1321" xr:uid="{00000000-0005-0000-0000-0000502F0000}"/>
    <cellStyle name="CustomizationGreenCells 3 3 2 2 2" xfId="13050" xr:uid="{00000000-0005-0000-0000-0000512F0000}"/>
    <cellStyle name="CustomizationGreenCells 3 3 2 2 3" xfId="14188" xr:uid="{00000000-0005-0000-0000-0000522F0000}"/>
    <cellStyle name="CustomizationGreenCells 3 3 2 2 4" xfId="17169" xr:uid="{00000000-0005-0000-0000-0000532F0000}"/>
    <cellStyle name="CustomizationGreenCells 3 3 2 2 5" xfId="16476" xr:uid="{00000000-0005-0000-0000-0000542F0000}"/>
    <cellStyle name="CustomizationGreenCells 3 3 2 2 6" xfId="19121" xr:uid="{00000000-0005-0000-0000-0000552F0000}"/>
    <cellStyle name="CustomizationGreenCells 3 3 2 3" xfId="3985" xr:uid="{00000000-0005-0000-0000-0000562F0000}"/>
    <cellStyle name="CustomizationGreenCells 3 3 2 4" xfId="9098" xr:uid="{00000000-0005-0000-0000-0000572F0000}"/>
    <cellStyle name="CustomizationGreenCells 3 3 2 5" xfId="9713" xr:uid="{00000000-0005-0000-0000-0000582F0000}"/>
    <cellStyle name="CustomizationGreenCells 3 3 2 6" xfId="10142" xr:uid="{00000000-0005-0000-0000-0000592F0000}"/>
    <cellStyle name="CustomizationGreenCells 3 3 2 7" xfId="10554" xr:uid="{00000000-0005-0000-0000-00005A2F0000}"/>
    <cellStyle name="CustomizationGreenCells 3 3 2 8" xfId="10864" xr:uid="{00000000-0005-0000-0000-00005B2F0000}"/>
    <cellStyle name="CustomizationGreenCells 3 3 2 9" xfId="11273" xr:uid="{00000000-0005-0000-0000-00005C2F0000}"/>
    <cellStyle name="CustomizationGreenCells 3 3 3" xfId="1072" xr:uid="{00000000-0005-0000-0000-00005D2F0000}"/>
    <cellStyle name="CustomizationGreenCells 3 3 3 2" xfId="12801" xr:uid="{00000000-0005-0000-0000-00005E2F0000}"/>
    <cellStyle name="CustomizationGreenCells 3 3 3 3" xfId="15316" xr:uid="{00000000-0005-0000-0000-00005F2F0000}"/>
    <cellStyle name="CustomizationGreenCells 3 3 3 4" xfId="17358" xr:uid="{00000000-0005-0000-0000-0000602F0000}"/>
    <cellStyle name="CustomizationGreenCells 3 3 3 5" xfId="15975" xr:uid="{00000000-0005-0000-0000-0000612F0000}"/>
    <cellStyle name="CustomizationGreenCells 3 3 3 6" xfId="19310" xr:uid="{00000000-0005-0000-0000-0000622F0000}"/>
    <cellStyle name="CustomizationGreenCells 3 3 4" xfId="3397" xr:uid="{00000000-0005-0000-0000-0000632F0000}"/>
    <cellStyle name="CustomizationGreenCells 3 3 5" xfId="9073" xr:uid="{00000000-0005-0000-0000-0000642F0000}"/>
    <cellStyle name="CustomizationGreenCells 3 3 6" xfId="9501" xr:uid="{00000000-0005-0000-0000-0000652F0000}"/>
    <cellStyle name="CustomizationGreenCells 3 3 7" xfId="9928" xr:uid="{00000000-0005-0000-0000-0000662F0000}"/>
    <cellStyle name="CustomizationGreenCells 3 3 8" xfId="10340" xr:uid="{00000000-0005-0000-0000-0000672F0000}"/>
    <cellStyle name="CustomizationGreenCells 3 3 9" xfId="8830" xr:uid="{00000000-0005-0000-0000-0000682F0000}"/>
    <cellStyle name="CustomizationGreenCells 3 4" xfId="530" xr:uid="{00000000-0005-0000-0000-0000692F0000}"/>
    <cellStyle name="CustomizationGreenCells 3 4 10" xfId="10997" xr:uid="{00000000-0005-0000-0000-00006A2F0000}"/>
    <cellStyle name="CustomizationGreenCells 3 4 11" xfId="11384" xr:uid="{00000000-0005-0000-0000-00006B2F0000}"/>
    <cellStyle name="CustomizationGreenCells 3 4 12" xfId="11756" xr:uid="{00000000-0005-0000-0000-00006C2F0000}"/>
    <cellStyle name="CustomizationGreenCells 3 4 13" xfId="12269" xr:uid="{00000000-0005-0000-0000-00006D2F0000}"/>
    <cellStyle name="CustomizationGreenCells 3 4 14" xfId="16018" xr:uid="{00000000-0005-0000-0000-00006E2F0000}"/>
    <cellStyle name="CustomizationGreenCells 3 4 15" xfId="15041" xr:uid="{00000000-0005-0000-0000-00006F2F0000}"/>
    <cellStyle name="CustomizationGreenCells 3 4 16" xfId="18261" xr:uid="{00000000-0005-0000-0000-0000702F0000}"/>
    <cellStyle name="CustomizationGreenCells 3 4 17" xfId="18056" xr:uid="{00000000-0005-0000-0000-0000712F0000}"/>
    <cellStyle name="CustomizationGreenCells 3 4 2" xfId="745" xr:uid="{00000000-0005-0000-0000-0000722F0000}"/>
    <cellStyle name="CustomizationGreenCells 3 4 2 10" xfId="11591" xr:uid="{00000000-0005-0000-0000-0000732F0000}"/>
    <cellStyle name="CustomizationGreenCells 3 4 2 11" xfId="11962" xr:uid="{00000000-0005-0000-0000-0000742F0000}"/>
    <cellStyle name="CustomizationGreenCells 3 4 2 12" xfId="12475" xr:uid="{00000000-0005-0000-0000-0000752F0000}"/>
    <cellStyle name="CustomizationGreenCells 3 4 2 13" xfId="15621" xr:uid="{00000000-0005-0000-0000-0000762F0000}"/>
    <cellStyle name="CustomizationGreenCells 3 4 2 14" xfId="17479" xr:uid="{00000000-0005-0000-0000-0000772F0000}"/>
    <cellStyle name="CustomizationGreenCells 3 4 2 15" xfId="16436" xr:uid="{00000000-0005-0000-0000-0000782F0000}"/>
    <cellStyle name="CustomizationGreenCells 3 4 2 16" xfId="18748" xr:uid="{00000000-0005-0000-0000-0000792F0000}"/>
    <cellStyle name="CustomizationGreenCells 3 4 2 2" xfId="954" xr:uid="{00000000-0005-0000-0000-00007A2F0000}"/>
    <cellStyle name="CustomizationGreenCells 3 4 2 2 2" xfId="12683" xr:uid="{00000000-0005-0000-0000-00007B2F0000}"/>
    <cellStyle name="CustomizationGreenCells 3 4 2 2 3" xfId="14563" xr:uid="{00000000-0005-0000-0000-00007C2F0000}"/>
    <cellStyle name="CustomizationGreenCells 3 4 2 2 4" xfId="17428" xr:uid="{00000000-0005-0000-0000-00007D2F0000}"/>
    <cellStyle name="CustomizationGreenCells 3 4 2 2 5" xfId="17890" xr:uid="{00000000-0005-0000-0000-00007E2F0000}"/>
    <cellStyle name="CustomizationGreenCells 3 4 2 2 6" xfId="15953" xr:uid="{00000000-0005-0000-0000-00007F2F0000}"/>
    <cellStyle name="CustomizationGreenCells 3 4 2 3" xfId="3450" xr:uid="{00000000-0005-0000-0000-0000802F0000}"/>
    <cellStyle name="CustomizationGreenCells 3 4 2 4" xfId="8741" xr:uid="{00000000-0005-0000-0000-0000812F0000}"/>
    <cellStyle name="CustomizationGreenCells 3 4 2 5" xfId="9646" xr:uid="{00000000-0005-0000-0000-0000822F0000}"/>
    <cellStyle name="CustomizationGreenCells 3 4 2 6" xfId="10075" xr:uid="{00000000-0005-0000-0000-0000832F0000}"/>
    <cellStyle name="CustomizationGreenCells 3 4 2 7" xfId="10487" xr:uid="{00000000-0005-0000-0000-0000842F0000}"/>
    <cellStyle name="CustomizationGreenCells 3 4 2 8" xfId="9819" xr:uid="{00000000-0005-0000-0000-0000852F0000}"/>
    <cellStyle name="CustomizationGreenCells 3 4 2 9" xfId="11206" xr:uid="{00000000-0005-0000-0000-0000862F0000}"/>
    <cellStyle name="CustomizationGreenCells 3 4 3" xfId="1127" xr:uid="{00000000-0005-0000-0000-0000872F0000}"/>
    <cellStyle name="CustomizationGreenCells 3 4 3 2" xfId="12856" xr:uid="{00000000-0005-0000-0000-0000882F0000}"/>
    <cellStyle name="CustomizationGreenCells 3 4 3 3" xfId="13894" xr:uid="{00000000-0005-0000-0000-0000892F0000}"/>
    <cellStyle name="CustomizationGreenCells 3 4 3 4" xfId="17315" xr:uid="{00000000-0005-0000-0000-00008A2F0000}"/>
    <cellStyle name="CustomizationGreenCells 3 4 3 5" xfId="14777" xr:uid="{00000000-0005-0000-0000-00008B2F0000}"/>
    <cellStyle name="CustomizationGreenCells 3 4 3 6" xfId="19267" xr:uid="{00000000-0005-0000-0000-00008C2F0000}"/>
    <cellStyle name="CustomizationGreenCells 3 4 4" xfId="4189" xr:uid="{00000000-0005-0000-0000-00008D2F0000}"/>
    <cellStyle name="CustomizationGreenCells 3 4 5" xfId="9159" xr:uid="{00000000-0005-0000-0000-00008E2F0000}"/>
    <cellStyle name="CustomizationGreenCells 3 4 6" xfId="9434" xr:uid="{00000000-0005-0000-0000-00008F2F0000}"/>
    <cellStyle name="CustomizationGreenCells 3 4 7" xfId="9861" xr:uid="{00000000-0005-0000-0000-0000902F0000}"/>
    <cellStyle name="CustomizationGreenCells 3 4 8" xfId="10273" xr:uid="{00000000-0005-0000-0000-0000912F0000}"/>
    <cellStyle name="CustomizationGreenCells 3 4 9" xfId="9235" xr:uid="{00000000-0005-0000-0000-0000922F0000}"/>
    <cellStyle name="CustomizationGreenCells 3 5" xfId="713" xr:uid="{00000000-0005-0000-0000-0000932F0000}"/>
    <cellStyle name="CustomizationGreenCells 3 5 2" xfId="14237" xr:uid="{00000000-0005-0000-0000-0000942F0000}"/>
    <cellStyle name="CustomizationGreenCells 3 6" xfId="1022" xr:uid="{00000000-0005-0000-0000-0000952F0000}"/>
    <cellStyle name="CustomizationGreenCells 3 6 2" xfId="12751" xr:uid="{00000000-0005-0000-0000-0000962F0000}"/>
    <cellStyle name="CustomizationGreenCells 3 6 3" xfId="14806" xr:uid="{00000000-0005-0000-0000-0000972F0000}"/>
    <cellStyle name="CustomizationGreenCells 3 6 4" xfId="16461" xr:uid="{00000000-0005-0000-0000-0000982F0000}"/>
    <cellStyle name="CustomizationGreenCells 3 6 5" xfId="17586" xr:uid="{00000000-0005-0000-0000-0000992F0000}"/>
    <cellStyle name="CustomizationGreenCells 3 6 6" xfId="19338" xr:uid="{00000000-0005-0000-0000-00009A2F0000}"/>
    <cellStyle name="CustomizationGreenCells 3 7" xfId="4186" xr:uid="{00000000-0005-0000-0000-00009B2F0000}"/>
    <cellStyle name="CustomizationGreenCells 3 8" xfId="8916" xr:uid="{00000000-0005-0000-0000-00009C2F0000}"/>
    <cellStyle name="CustomizationGreenCells 3 9" xfId="8865" xr:uid="{00000000-0005-0000-0000-00009D2F0000}"/>
    <cellStyle name="Data Input" xfId="2350" xr:uid="{00000000-0005-0000-0000-00009E2F0000}"/>
    <cellStyle name="Data Input 2" xfId="13352" xr:uid="{00000000-0005-0000-0000-00009F2F0000}"/>
    <cellStyle name="Data Input 3" xfId="15082" xr:uid="{00000000-0005-0000-0000-0000A02F0000}"/>
    <cellStyle name="Data Input 4" xfId="14640" xr:uid="{00000000-0005-0000-0000-0000A12F0000}"/>
    <cellStyle name="Data Input 5" xfId="15038" xr:uid="{00000000-0005-0000-0000-0000A22F0000}"/>
    <cellStyle name="Data Input 6" xfId="18321" xr:uid="{00000000-0005-0000-0000-0000A32F0000}"/>
    <cellStyle name="Date" xfId="1566" xr:uid="{00000000-0005-0000-0000-0000A42F0000}"/>
    <cellStyle name="Date 2" xfId="2351" xr:uid="{00000000-0005-0000-0000-0000A52F0000}"/>
    <cellStyle name="Date 2 2" xfId="2352" xr:uid="{00000000-0005-0000-0000-0000A62F0000}"/>
    <cellStyle name="Date 3" xfId="2353" xr:uid="{00000000-0005-0000-0000-0000A72F0000}"/>
    <cellStyle name="Date U" xfId="2354" xr:uid="{00000000-0005-0000-0000-0000A82F0000}"/>
    <cellStyle name="Date_EY Board Report Nov 10 Template" xfId="2355" xr:uid="{00000000-0005-0000-0000-0000A92F0000}"/>
    <cellStyle name="Decimal [0]" xfId="2356" xr:uid="{00000000-0005-0000-0000-0000AA2F0000}"/>
    <cellStyle name="Decimal [2]" xfId="2357" xr:uid="{00000000-0005-0000-0000-0000AB2F0000}"/>
    <cellStyle name="Decimal [2] U" xfId="2358" xr:uid="{00000000-0005-0000-0000-0000AC2F0000}"/>
    <cellStyle name="Decimal [4]" xfId="2359" xr:uid="{00000000-0005-0000-0000-0000AD2F0000}"/>
    <cellStyle name="Decimal [4] U" xfId="2360" xr:uid="{00000000-0005-0000-0000-0000AE2F0000}"/>
    <cellStyle name="Dezimal [0]_Tfz-Anzahl" xfId="1567" xr:uid="{00000000-0005-0000-0000-0000AF2F0000}"/>
    <cellStyle name="Dezimal_Tfz-Anzahl" xfId="1568" xr:uid="{00000000-0005-0000-0000-0000B02F0000}"/>
    <cellStyle name="DocBox_EmptyRow" xfId="25" xr:uid="{00000000-0005-0000-0000-0000B12F0000}"/>
    <cellStyle name="Eingabe" xfId="12" xr:uid="{00000000-0005-0000-0000-0000B22F0000}"/>
    <cellStyle name="Eingabe 2" xfId="385" xr:uid="{00000000-0005-0000-0000-0000B32F0000}"/>
    <cellStyle name="Eingabe 3" xfId="431" xr:uid="{00000000-0005-0000-0000-0000B42F0000}"/>
    <cellStyle name="Eingabe 3 10" xfId="9097" xr:uid="{00000000-0005-0000-0000-0000B52F0000}"/>
    <cellStyle name="Eingabe 3 11" xfId="9404" xr:uid="{00000000-0005-0000-0000-0000B62F0000}"/>
    <cellStyle name="Eingabe 3 12" xfId="9828" xr:uid="{00000000-0005-0000-0000-0000B72F0000}"/>
    <cellStyle name="Eingabe 3 13" xfId="10746" xr:uid="{00000000-0005-0000-0000-0000B82F0000}"/>
    <cellStyle name="Eingabe 3 14" xfId="10744" xr:uid="{00000000-0005-0000-0000-0000B92F0000}"/>
    <cellStyle name="Eingabe 3 15" xfId="12257" xr:uid="{00000000-0005-0000-0000-0000BA2F0000}"/>
    <cellStyle name="Eingabe 3 16" xfId="13723" xr:uid="{00000000-0005-0000-0000-0000BB2F0000}"/>
    <cellStyle name="Eingabe 3 17" xfId="17542" xr:uid="{00000000-0005-0000-0000-0000BC2F0000}"/>
    <cellStyle name="Eingabe 3 18" xfId="14391" xr:uid="{00000000-0005-0000-0000-0000BD2F0000}"/>
    <cellStyle name="Eingabe 3 19" xfId="19479" xr:uid="{00000000-0005-0000-0000-0000BE2F0000}"/>
    <cellStyle name="Eingabe 3 2" xfId="667" xr:uid="{00000000-0005-0000-0000-0000BF2F0000}"/>
    <cellStyle name="Eingabe 3 2 10" xfId="9013" xr:uid="{00000000-0005-0000-0000-0000C02F0000}"/>
    <cellStyle name="Eingabe 3 2 11" xfId="11134" xr:uid="{00000000-0005-0000-0000-0000C12F0000}"/>
    <cellStyle name="Eingabe 3 2 12" xfId="11521" xr:uid="{00000000-0005-0000-0000-0000C22F0000}"/>
    <cellStyle name="Eingabe 3 2 13" xfId="11893" xr:uid="{00000000-0005-0000-0000-0000C32F0000}"/>
    <cellStyle name="Eingabe 3 2 14" xfId="12406" xr:uid="{00000000-0005-0000-0000-0000C42F0000}"/>
    <cellStyle name="Eingabe 3 2 15" xfId="15772" xr:uid="{00000000-0005-0000-0000-0000C52F0000}"/>
    <cellStyle name="Eingabe 3 2 16" xfId="14340" xr:uid="{00000000-0005-0000-0000-0000C62F0000}"/>
    <cellStyle name="Eingabe 3 2 17" xfId="18311" xr:uid="{00000000-0005-0000-0000-0000C72F0000}"/>
    <cellStyle name="Eingabe 3 2 18" xfId="18593" xr:uid="{00000000-0005-0000-0000-0000C82F0000}"/>
    <cellStyle name="Eingabe 3 2 2" xfId="882" xr:uid="{00000000-0005-0000-0000-0000C92F0000}"/>
    <cellStyle name="Eingabe 3 2 2 10" xfId="11343" xr:uid="{00000000-0005-0000-0000-0000CA2F0000}"/>
    <cellStyle name="Eingabe 3 2 2 11" xfId="11728" xr:uid="{00000000-0005-0000-0000-0000CB2F0000}"/>
    <cellStyle name="Eingabe 3 2 2 12" xfId="12099" xr:uid="{00000000-0005-0000-0000-0000CC2F0000}"/>
    <cellStyle name="Eingabe 3 2 2 13" xfId="12612" xr:uid="{00000000-0005-0000-0000-0000CD2F0000}"/>
    <cellStyle name="Eingabe 3 2 2 14" xfId="15245" xr:uid="{00000000-0005-0000-0000-0000CE2F0000}"/>
    <cellStyle name="Eingabe 3 2 2 15" xfId="16552" xr:uid="{00000000-0005-0000-0000-0000CF2F0000}"/>
    <cellStyle name="Eingabe 3 2 2 16" xfId="17709" xr:uid="{00000000-0005-0000-0000-0000D02F0000}"/>
    <cellStyle name="Eingabe 3 2 2 17" xfId="19410" xr:uid="{00000000-0005-0000-0000-0000D12F0000}"/>
    <cellStyle name="Eingabe 3 2 2 2" xfId="1384" xr:uid="{00000000-0005-0000-0000-0000D22F0000}"/>
    <cellStyle name="Eingabe 3 2 2 2 2" xfId="13113" xr:uid="{00000000-0005-0000-0000-0000D32F0000}"/>
    <cellStyle name="Eingabe 3 2 2 2 3" xfId="14848" xr:uid="{00000000-0005-0000-0000-0000D42F0000}"/>
    <cellStyle name="Eingabe 3 2 2 2 4" xfId="17124" xr:uid="{00000000-0005-0000-0000-0000D52F0000}"/>
    <cellStyle name="Eingabe 3 2 2 2 5" xfId="14411" xr:uid="{00000000-0005-0000-0000-0000D62F0000}"/>
    <cellStyle name="Eingabe 3 2 2 2 6" xfId="19076" xr:uid="{00000000-0005-0000-0000-0000D72F0000}"/>
    <cellStyle name="Eingabe 3 2 2 3" xfId="4236" xr:uid="{00000000-0005-0000-0000-0000D82F0000}"/>
    <cellStyle name="Eingabe 3 2 2 4" xfId="8496" xr:uid="{00000000-0005-0000-0000-0000D92F0000}"/>
    <cellStyle name="Eingabe 3 2 2 5" xfId="9355" xr:uid="{00000000-0005-0000-0000-0000DA2F0000}"/>
    <cellStyle name="Eingabe 3 2 2 6" xfId="9783" xr:uid="{00000000-0005-0000-0000-0000DB2F0000}"/>
    <cellStyle name="Eingabe 3 2 2 7" xfId="10212" xr:uid="{00000000-0005-0000-0000-0000DC2F0000}"/>
    <cellStyle name="Eingabe 3 2 2 8" xfId="10624" xr:uid="{00000000-0005-0000-0000-0000DD2F0000}"/>
    <cellStyle name="Eingabe 3 2 2 9" xfId="10954" xr:uid="{00000000-0005-0000-0000-0000DE2F0000}"/>
    <cellStyle name="Eingabe 3 2 3" xfId="1322" xr:uid="{00000000-0005-0000-0000-0000DF2F0000}"/>
    <cellStyle name="Eingabe 3 2 3 2" xfId="13051" xr:uid="{00000000-0005-0000-0000-0000E02F0000}"/>
    <cellStyle name="Eingabe 3 2 3 3" xfId="15630" xr:uid="{00000000-0005-0000-0000-0000E12F0000}"/>
    <cellStyle name="Eingabe 3 2 3 4" xfId="17168" xr:uid="{00000000-0005-0000-0000-0000E22F0000}"/>
    <cellStyle name="Eingabe 3 2 3 5" xfId="17856" xr:uid="{00000000-0005-0000-0000-0000E32F0000}"/>
    <cellStyle name="Eingabe 3 2 3 6" xfId="15436" xr:uid="{00000000-0005-0000-0000-0000E42F0000}"/>
    <cellStyle name="Eingabe 3 2 4" xfId="3507" xr:uid="{00000000-0005-0000-0000-0000E52F0000}"/>
    <cellStyle name="Eingabe 3 2 5" xfId="8386" xr:uid="{00000000-0005-0000-0000-0000E62F0000}"/>
    <cellStyle name="Eingabe 3 2 6" xfId="9114" xr:uid="{00000000-0005-0000-0000-0000E72F0000}"/>
    <cellStyle name="Eingabe 3 2 7" xfId="9571" xr:uid="{00000000-0005-0000-0000-0000E82F0000}"/>
    <cellStyle name="Eingabe 3 2 8" xfId="9998" xr:uid="{00000000-0005-0000-0000-0000E92F0000}"/>
    <cellStyle name="Eingabe 3 2 9" xfId="10410" xr:uid="{00000000-0005-0000-0000-0000EA2F0000}"/>
    <cellStyle name="Eingabe 3 3" xfId="656" xr:uid="{00000000-0005-0000-0000-0000EB2F0000}"/>
    <cellStyle name="Eingabe 3 3 10" xfId="10734" xr:uid="{00000000-0005-0000-0000-0000EC2F0000}"/>
    <cellStyle name="Eingabe 3 3 11" xfId="11123" xr:uid="{00000000-0005-0000-0000-0000ED2F0000}"/>
    <cellStyle name="Eingabe 3 3 12" xfId="11510" xr:uid="{00000000-0005-0000-0000-0000EE2F0000}"/>
    <cellStyle name="Eingabe 3 3 13" xfId="11882" xr:uid="{00000000-0005-0000-0000-0000EF2F0000}"/>
    <cellStyle name="Eingabe 3 3 14" xfId="12395" xr:uid="{00000000-0005-0000-0000-0000F02F0000}"/>
    <cellStyle name="Eingabe 3 3 15" xfId="14046" xr:uid="{00000000-0005-0000-0000-0000F12F0000}"/>
    <cellStyle name="Eingabe 3 3 16" xfId="14436" xr:uid="{00000000-0005-0000-0000-0000F22F0000}"/>
    <cellStyle name="Eingabe 3 3 17" xfId="17704" xr:uid="{00000000-0005-0000-0000-0000F32F0000}"/>
    <cellStyle name="Eingabe 3 3 18" xfId="18169" xr:uid="{00000000-0005-0000-0000-0000F42F0000}"/>
    <cellStyle name="Eingabe 3 3 2" xfId="871" xr:uid="{00000000-0005-0000-0000-0000F52F0000}"/>
    <cellStyle name="Eingabe 3 3 2 10" xfId="11332" xr:uid="{00000000-0005-0000-0000-0000F62F0000}"/>
    <cellStyle name="Eingabe 3 3 2 11" xfId="11717" xr:uid="{00000000-0005-0000-0000-0000F72F0000}"/>
    <cellStyle name="Eingabe 3 3 2 12" xfId="12088" xr:uid="{00000000-0005-0000-0000-0000F82F0000}"/>
    <cellStyle name="Eingabe 3 3 2 13" xfId="12601" xr:uid="{00000000-0005-0000-0000-0000F92F0000}"/>
    <cellStyle name="Eingabe 3 3 2 14" xfId="14569" xr:uid="{00000000-0005-0000-0000-0000FA2F0000}"/>
    <cellStyle name="Eingabe 3 3 2 15" xfId="17463" xr:uid="{00000000-0005-0000-0000-0000FB2F0000}"/>
    <cellStyle name="Eingabe 3 3 2 16" xfId="14212" xr:uid="{00000000-0005-0000-0000-0000FC2F0000}"/>
    <cellStyle name="Eingabe 3 3 2 17" xfId="17641" xr:uid="{00000000-0005-0000-0000-0000FD2F0000}"/>
    <cellStyle name="Eingabe 3 3 2 2" xfId="1063" xr:uid="{00000000-0005-0000-0000-0000FE2F0000}"/>
    <cellStyle name="Eingabe 3 3 2 2 2" xfId="12792" xr:uid="{00000000-0005-0000-0000-0000FF2F0000}"/>
    <cellStyle name="Eingabe 3 3 2 2 3" xfId="13767" xr:uid="{00000000-0005-0000-0000-000000300000}"/>
    <cellStyle name="Eingabe 3 3 2 2 4" xfId="17365" xr:uid="{00000000-0005-0000-0000-000001300000}"/>
    <cellStyle name="Eingabe 3 3 2 2 5" xfId="17562" xr:uid="{00000000-0005-0000-0000-000002300000}"/>
    <cellStyle name="Eingabe 3 3 2 2 6" xfId="19317" xr:uid="{00000000-0005-0000-0000-000003300000}"/>
    <cellStyle name="Eingabe 3 3 2 3" xfId="3847" xr:uid="{00000000-0005-0000-0000-000004300000}"/>
    <cellStyle name="Eingabe 3 3 2 4" xfId="8491" xr:uid="{00000000-0005-0000-0000-000005300000}"/>
    <cellStyle name="Eingabe 3 3 2 5" xfId="9344" xr:uid="{00000000-0005-0000-0000-000006300000}"/>
    <cellStyle name="Eingabe 3 3 2 6" xfId="9772" xr:uid="{00000000-0005-0000-0000-000007300000}"/>
    <cellStyle name="Eingabe 3 3 2 7" xfId="10201" xr:uid="{00000000-0005-0000-0000-000008300000}"/>
    <cellStyle name="Eingabe 3 3 2 8" xfId="10613" xr:uid="{00000000-0005-0000-0000-000009300000}"/>
    <cellStyle name="Eingabe 3 3 2 9" xfId="10726" xr:uid="{00000000-0005-0000-0000-00000A300000}"/>
    <cellStyle name="Eingabe 3 3 3" xfId="1142" xr:uid="{00000000-0005-0000-0000-00000B300000}"/>
    <cellStyle name="Eingabe 3 3 3 2" xfId="12871" xr:uid="{00000000-0005-0000-0000-00000C300000}"/>
    <cellStyle name="Eingabe 3 3 3 3" xfId="14513" xr:uid="{00000000-0005-0000-0000-00000D300000}"/>
    <cellStyle name="Eingabe 3 3 3 4" xfId="17303" xr:uid="{00000000-0005-0000-0000-00000E300000}"/>
    <cellStyle name="Eingabe 3 3 3 5" xfId="17017" xr:uid="{00000000-0005-0000-0000-00000F300000}"/>
    <cellStyle name="Eingabe 3 3 3 6" xfId="15065" xr:uid="{00000000-0005-0000-0000-000010300000}"/>
    <cellStyle name="Eingabe 3 3 4" xfId="4108" xr:uid="{00000000-0005-0000-0000-000011300000}"/>
    <cellStyle name="Eingabe 3 3 5" xfId="8381" xr:uid="{00000000-0005-0000-0000-000012300000}"/>
    <cellStyle name="Eingabe 3 3 6" xfId="8782" xr:uid="{00000000-0005-0000-0000-000013300000}"/>
    <cellStyle name="Eingabe 3 3 7" xfId="9560" xr:uid="{00000000-0005-0000-0000-000014300000}"/>
    <cellStyle name="Eingabe 3 3 8" xfId="9987" xr:uid="{00000000-0005-0000-0000-000015300000}"/>
    <cellStyle name="Eingabe 3 3 9" xfId="10399" xr:uid="{00000000-0005-0000-0000-000016300000}"/>
    <cellStyle name="Eingabe 3 4" xfId="547" xr:uid="{00000000-0005-0000-0000-000017300000}"/>
    <cellStyle name="Eingabe 3 4 10" xfId="10922" xr:uid="{00000000-0005-0000-0000-000018300000}"/>
    <cellStyle name="Eingabe 3 4 11" xfId="11014" xr:uid="{00000000-0005-0000-0000-000019300000}"/>
    <cellStyle name="Eingabe 3 4 12" xfId="11401" xr:uid="{00000000-0005-0000-0000-00001A300000}"/>
    <cellStyle name="Eingabe 3 4 13" xfId="11773" xr:uid="{00000000-0005-0000-0000-00001B300000}"/>
    <cellStyle name="Eingabe 3 4 14" xfId="12286" xr:uid="{00000000-0005-0000-0000-00001C300000}"/>
    <cellStyle name="Eingabe 3 4 15" xfId="15195" xr:uid="{00000000-0005-0000-0000-00001D300000}"/>
    <cellStyle name="Eingabe 3 4 16" xfId="17527" xr:uid="{00000000-0005-0000-0000-00001E300000}"/>
    <cellStyle name="Eingabe 3 4 17" xfId="14574" xr:uid="{00000000-0005-0000-0000-00001F300000}"/>
    <cellStyle name="Eingabe 3 4 18" xfId="19474" xr:uid="{00000000-0005-0000-0000-000020300000}"/>
    <cellStyle name="Eingabe 3 4 2" xfId="762" xr:uid="{00000000-0005-0000-0000-000021300000}"/>
    <cellStyle name="Eingabe 3 4 2 10" xfId="11223" xr:uid="{00000000-0005-0000-0000-000022300000}"/>
    <cellStyle name="Eingabe 3 4 2 11" xfId="11608" xr:uid="{00000000-0005-0000-0000-000023300000}"/>
    <cellStyle name="Eingabe 3 4 2 12" xfId="11979" xr:uid="{00000000-0005-0000-0000-000024300000}"/>
    <cellStyle name="Eingabe 3 4 2 13" xfId="12492" xr:uid="{00000000-0005-0000-0000-000025300000}"/>
    <cellStyle name="Eingabe 3 4 2 14" xfId="16100" xr:uid="{00000000-0005-0000-0000-000026300000}"/>
    <cellStyle name="Eingabe 3 4 2 15" xfId="14116" xr:uid="{00000000-0005-0000-0000-000027300000}"/>
    <cellStyle name="Eingabe 3 4 2 16" xfId="17590" xr:uid="{00000000-0005-0000-0000-000028300000}"/>
    <cellStyle name="Eingabe 3 4 2 17" xfId="16037" xr:uid="{00000000-0005-0000-0000-000029300000}"/>
    <cellStyle name="Eingabe 3 4 2 2" xfId="1104" xr:uid="{00000000-0005-0000-0000-00002A300000}"/>
    <cellStyle name="Eingabe 3 4 2 2 2" xfId="12833" xr:uid="{00000000-0005-0000-0000-00002B300000}"/>
    <cellStyle name="Eingabe 3 4 2 2 3" xfId="15583" xr:uid="{00000000-0005-0000-0000-00002C300000}"/>
    <cellStyle name="Eingabe 3 4 2 2 4" xfId="17332" xr:uid="{00000000-0005-0000-0000-00002D300000}"/>
    <cellStyle name="Eingabe 3 4 2 2 5" xfId="13877" xr:uid="{00000000-0005-0000-0000-00002E300000}"/>
    <cellStyle name="Eingabe 3 4 2 2 6" xfId="14611" xr:uid="{00000000-0005-0000-0000-00002F300000}"/>
    <cellStyle name="Eingabe 3 4 2 3" xfId="3638" xr:uid="{00000000-0005-0000-0000-000030300000}"/>
    <cellStyle name="Eingabe 3 4 2 4" xfId="8434" xr:uid="{00000000-0005-0000-0000-000031300000}"/>
    <cellStyle name="Eingabe 3 4 2 5" xfId="8885" xr:uid="{00000000-0005-0000-0000-000032300000}"/>
    <cellStyle name="Eingabe 3 4 2 6" xfId="9663" xr:uid="{00000000-0005-0000-0000-000033300000}"/>
    <cellStyle name="Eingabe 3 4 2 7" xfId="10092" xr:uid="{00000000-0005-0000-0000-000034300000}"/>
    <cellStyle name="Eingabe 3 4 2 8" xfId="10504" xr:uid="{00000000-0005-0000-0000-000035300000}"/>
    <cellStyle name="Eingabe 3 4 2 9" xfId="9377" xr:uid="{00000000-0005-0000-0000-000036300000}"/>
    <cellStyle name="Eingabe 3 4 3" xfId="1349" xr:uid="{00000000-0005-0000-0000-000037300000}"/>
    <cellStyle name="Eingabe 3 4 3 2" xfId="13078" xr:uid="{00000000-0005-0000-0000-000038300000}"/>
    <cellStyle name="Eingabe 3 4 3 3" xfId="15637" xr:uid="{00000000-0005-0000-0000-000039300000}"/>
    <cellStyle name="Eingabe 3 4 3 4" xfId="16045" xr:uid="{00000000-0005-0000-0000-00003A300000}"/>
    <cellStyle name="Eingabe 3 4 3 5" xfId="18154" xr:uid="{00000000-0005-0000-0000-00003B300000}"/>
    <cellStyle name="Eingabe 3 4 3 6" xfId="15675" xr:uid="{00000000-0005-0000-0000-00003C300000}"/>
    <cellStyle name="Eingabe 3 4 4" xfId="3481" xr:uid="{00000000-0005-0000-0000-00003D300000}"/>
    <cellStyle name="Eingabe 3 4 5" xfId="8327" xr:uid="{00000000-0005-0000-0000-00003E300000}"/>
    <cellStyle name="Eingabe 3 4 6" xfId="9203" xr:uid="{00000000-0005-0000-0000-00003F300000}"/>
    <cellStyle name="Eingabe 3 4 7" xfId="9451" xr:uid="{00000000-0005-0000-0000-000040300000}"/>
    <cellStyle name="Eingabe 3 4 8" xfId="9878" xr:uid="{00000000-0005-0000-0000-000041300000}"/>
    <cellStyle name="Eingabe 3 4 9" xfId="10290" xr:uid="{00000000-0005-0000-0000-000042300000}"/>
    <cellStyle name="Eingabe 3 5" xfId="730" xr:uid="{00000000-0005-0000-0000-000043300000}"/>
    <cellStyle name="Eingabe 3 5 10" xfId="11191" xr:uid="{00000000-0005-0000-0000-000044300000}"/>
    <cellStyle name="Eingabe 3 5 11" xfId="11576" xr:uid="{00000000-0005-0000-0000-000045300000}"/>
    <cellStyle name="Eingabe 3 5 12" xfId="11947" xr:uid="{00000000-0005-0000-0000-000046300000}"/>
    <cellStyle name="Eingabe 3 5 13" xfId="12460" xr:uid="{00000000-0005-0000-0000-000047300000}"/>
    <cellStyle name="Eingabe 3 5 14" xfId="13984" xr:uid="{00000000-0005-0000-0000-000048300000}"/>
    <cellStyle name="Eingabe 3 5 15" xfId="17487" xr:uid="{00000000-0005-0000-0000-000049300000}"/>
    <cellStyle name="Eingabe 3 5 16" xfId="18439" xr:uid="{00000000-0005-0000-0000-00004A300000}"/>
    <cellStyle name="Eingabe 3 5 17" xfId="19439" xr:uid="{00000000-0005-0000-0000-00004B300000}"/>
    <cellStyle name="Eingabe 3 5 2" xfId="1280" xr:uid="{00000000-0005-0000-0000-00004C300000}"/>
    <cellStyle name="Eingabe 3 5 2 2" xfId="13009" xr:uid="{00000000-0005-0000-0000-00004D300000}"/>
    <cellStyle name="Eingabe 3 5 2 3" xfId="15405" xr:uid="{00000000-0005-0000-0000-00004E300000}"/>
    <cellStyle name="Eingabe 3 5 2 4" xfId="17201" xr:uid="{00000000-0005-0000-0000-00004F300000}"/>
    <cellStyle name="Eingabe 3 5 2 5" xfId="17915" xr:uid="{00000000-0005-0000-0000-000050300000}"/>
    <cellStyle name="Eingabe 3 5 2 6" xfId="19153" xr:uid="{00000000-0005-0000-0000-000051300000}"/>
    <cellStyle name="Eingabe 3 5 3" xfId="4224" xr:uid="{00000000-0005-0000-0000-000052300000}"/>
    <cellStyle name="Eingabe 3 5 4" xfId="8420" xr:uid="{00000000-0005-0000-0000-000053300000}"/>
    <cellStyle name="Eingabe 3 5 5" xfId="8855" xr:uid="{00000000-0005-0000-0000-000054300000}"/>
    <cellStyle name="Eingabe 3 5 6" xfId="9631" xr:uid="{00000000-0005-0000-0000-000055300000}"/>
    <cellStyle name="Eingabe 3 5 7" xfId="10060" xr:uid="{00000000-0005-0000-0000-000056300000}"/>
    <cellStyle name="Eingabe 3 5 8" xfId="10472" xr:uid="{00000000-0005-0000-0000-000057300000}"/>
    <cellStyle name="Eingabe 3 5 9" xfId="10946" xr:uid="{00000000-0005-0000-0000-000058300000}"/>
    <cellStyle name="Eingabe 3 6" xfId="1009" xr:uid="{00000000-0005-0000-0000-000059300000}"/>
    <cellStyle name="Eingabe 3 6 2" xfId="12738" xr:uid="{00000000-0005-0000-0000-00005A300000}"/>
    <cellStyle name="Eingabe 3 6 3" xfId="14339" xr:uid="{00000000-0005-0000-0000-00005B300000}"/>
    <cellStyle name="Eingabe 3 6 4" xfId="17390" xr:uid="{00000000-0005-0000-0000-00005C300000}"/>
    <cellStyle name="Eingabe 3 6 5" xfId="16134" xr:uid="{00000000-0005-0000-0000-00005D300000}"/>
    <cellStyle name="Eingabe 3 6 6" xfId="15644" xr:uid="{00000000-0005-0000-0000-00005E300000}"/>
    <cellStyle name="Eingabe 3 7" xfId="3770" xr:uid="{00000000-0005-0000-0000-00005F300000}"/>
    <cellStyle name="Eingabe 3 8" xfId="8313" xr:uid="{00000000-0005-0000-0000-000060300000}"/>
    <cellStyle name="Eingabe 3 9" xfId="9008" xr:uid="{00000000-0005-0000-0000-000061300000}"/>
    <cellStyle name="Eingabe 4" xfId="290" xr:uid="{00000000-0005-0000-0000-000062300000}"/>
    <cellStyle name="Eingabe 4 10" xfId="9313" xr:uid="{00000000-0005-0000-0000-000063300000}"/>
    <cellStyle name="Eingabe 4 11" xfId="8919" xr:uid="{00000000-0005-0000-0000-000064300000}"/>
    <cellStyle name="Eingabe 4 12" xfId="9839" xr:uid="{00000000-0005-0000-0000-000065300000}"/>
    <cellStyle name="Eingabe 4 13" xfId="8545" xr:uid="{00000000-0005-0000-0000-000066300000}"/>
    <cellStyle name="Eingabe 4 14" xfId="10809" xr:uid="{00000000-0005-0000-0000-000067300000}"/>
    <cellStyle name="Eingabe 4 15" xfId="12239" xr:uid="{00000000-0005-0000-0000-000068300000}"/>
    <cellStyle name="Eingabe 4 16" xfId="16505" xr:uid="{00000000-0005-0000-0000-000069300000}"/>
    <cellStyle name="Eingabe 4 17" xfId="17618" xr:uid="{00000000-0005-0000-0000-00006A300000}"/>
    <cellStyle name="Eingabe 4 18" xfId="15050" xr:uid="{00000000-0005-0000-0000-00006B300000}"/>
    <cellStyle name="Eingabe 4 19" xfId="19496" xr:uid="{00000000-0005-0000-0000-00006C300000}"/>
    <cellStyle name="Eingabe 4 2" xfId="628" xr:uid="{00000000-0005-0000-0000-00006D300000}"/>
    <cellStyle name="Eingabe 4 2 10" xfId="10892" xr:uid="{00000000-0005-0000-0000-00006E300000}"/>
    <cellStyle name="Eingabe 4 2 11" xfId="11095" xr:uid="{00000000-0005-0000-0000-00006F300000}"/>
    <cellStyle name="Eingabe 4 2 12" xfId="11482" xr:uid="{00000000-0005-0000-0000-000070300000}"/>
    <cellStyle name="Eingabe 4 2 13" xfId="11854" xr:uid="{00000000-0005-0000-0000-000071300000}"/>
    <cellStyle name="Eingabe 4 2 14" xfId="12367" xr:uid="{00000000-0005-0000-0000-000072300000}"/>
    <cellStyle name="Eingabe 4 2 15" xfId="15042" xr:uid="{00000000-0005-0000-0000-000073300000}"/>
    <cellStyle name="Eingabe 4 2 16" xfId="14650" xr:uid="{00000000-0005-0000-0000-000074300000}"/>
    <cellStyle name="Eingabe 4 2 17" xfId="14944" xr:uid="{00000000-0005-0000-0000-000075300000}"/>
    <cellStyle name="Eingabe 4 2 18" xfId="18160" xr:uid="{00000000-0005-0000-0000-000076300000}"/>
    <cellStyle name="Eingabe 4 2 2" xfId="843" xr:uid="{00000000-0005-0000-0000-000077300000}"/>
    <cellStyle name="Eingabe 4 2 2 10" xfId="11304" xr:uid="{00000000-0005-0000-0000-000078300000}"/>
    <cellStyle name="Eingabe 4 2 2 11" xfId="11689" xr:uid="{00000000-0005-0000-0000-000079300000}"/>
    <cellStyle name="Eingabe 4 2 2 12" xfId="12060" xr:uid="{00000000-0005-0000-0000-00007A300000}"/>
    <cellStyle name="Eingabe 4 2 2 13" xfId="12573" xr:uid="{00000000-0005-0000-0000-00007B300000}"/>
    <cellStyle name="Eingabe 4 2 2 14" xfId="13761" xr:uid="{00000000-0005-0000-0000-00007C300000}"/>
    <cellStyle name="Eingabe 4 2 2 15" xfId="13874" xr:uid="{00000000-0005-0000-0000-00007D300000}"/>
    <cellStyle name="Eingabe 4 2 2 16" xfId="18518" xr:uid="{00000000-0005-0000-0000-00007E300000}"/>
    <cellStyle name="Eingabe 4 2 2 17" xfId="18081" xr:uid="{00000000-0005-0000-0000-00007F300000}"/>
    <cellStyle name="Eingabe 4 2 2 2" xfId="982" xr:uid="{00000000-0005-0000-0000-000080300000}"/>
    <cellStyle name="Eingabe 4 2 2 2 2" xfId="12711" xr:uid="{00000000-0005-0000-0000-000081300000}"/>
    <cellStyle name="Eingabe 4 2 2 2 3" xfId="15282" xr:uid="{00000000-0005-0000-0000-000082300000}"/>
    <cellStyle name="Eingabe 4 2 2 2 4" xfId="17405" xr:uid="{00000000-0005-0000-0000-000083300000}"/>
    <cellStyle name="Eingabe 4 2 2 2 5" xfId="13838" xr:uid="{00000000-0005-0000-0000-000084300000}"/>
    <cellStyle name="Eingabe 4 2 2 2 6" xfId="19357" xr:uid="{00000000-0005-0000-0000-000085300000}"/>
    <cellStyle name="Eingabe 4 2 2 3" xfId="4194" xr:uid="{00000000-0005-0000-0000-000086300000}"/>
    <cellStyle name="Eingabe 4 2 2 4" xfId="8477" xr:uid="{00000000-0005-0000-0000-000087300000}"/>
    <cellStyle name="Eingabe 4 2 2 5" xfId="8871" xr:uid="{00000000-0005-0000-0000-000088300000}"/>
    <cellStyle name="Eingabe 4 2 2 6" xfId="9744" xr:uid="{00000000-0005-0000-0000-000089300000}"/>
    <cellStyle name="Eingabe 4 2 2 7" xfId="10173" xr:uid="{00000000-0005-0000-0000-00008A300000}"/>
    <cellStyle name="Eingabe 4 2 2 8" xfId="10585" xr:uid="{00000000-0005-0000-0000-00008B300000}"/>
    <cellStyle name="Eingabe 4 2 2 9" xfId="9031" xr:uid="{00000000-0005-0000-0000-00008C300000}"/>
    <cellStyle name="Eingabe 4 2 3" xfId="1133" xr:uid="{00000000-0005-0000-0000-00008D300000}"/>
    <cellStyle name="Eingabe 4 2 3 2" xfId="12862" xr:uid="{00000000-0005-0000-0000-00008E300000}"/>
    <cellStyle name="Eingabe 4 2 3 3" xfId="13897" xr:uid="{00000000-0005-0000-0000-00008F300000}"/>
    <cellStyle name="Eingabe 4 2 3 4" xfId="17309" xr:uid="{00000000-0005-0000-0000-000090300000}"/>
    <cellStyle name="Eingabe 4 2 3 5" xfId="14229" xr:uid="{00000000-0005-0000-0000-000091300000}"/>
    <cellStyle name="Eingabe 4 2 3 6" xfId="19261" xr:uid="{00000000-0005-0000-0000-000092300000}"/>
    <cellStyle name="Eingabe 4 2 4" xfId="3403" xr:uid="{00000000-0005-0000-0000-000093300000}"/>
    <cellStyle name="Eingabe 4 2 5" xfId="8366" xr:uid="{00000000-0005-0000-0000-000094300000}"/>
    <cellStyle name="Eingabe 4 2 6" xfId="9259" xr:uid="{00000000-0005-0000-0000-000095300000}"/>
    <cellStyle name="Eingabe 4 2 7" xfId="9532" xr:uid="{00000000-0005-0000-0000-000096300000}"/>
    <cellStyle name="Eingabe 4 2 8" xfId="9959" xr:uid="{00000000-0005-0000-0000-000097300000}"/>
    <cellStyle name="Eingabe 4 2 9" xfId="10371" xr:uid="{00000000-0005-0000-0000-000098300000}"/>
    <cellStyle name="Eingabe 4 3" xfId="555" xr:uid="{00000000-0005-0000-0000-000099300000}"/>
    <cellStyle name="Eingabe 4 3 10" xfId="10871" xr:uid="{00000000-0005-0000-0000-00009A300000}"/>
    <cellStyle name="Eingabe 4 3 11" xfId="11022" xr:uid="{00000000-0005-0000-0000-00009B300000}"/>
    <cellStyle name="Eingabe 4 3 12" xfId="11409" xr:uid="{00000000-0005-0000-0000-00009C300000}"/>
    <cellStyle name="Eingabe 4 3 13" xfId="11781" xr:uid="{00000000-0005-0000-0000-00009D300000}"/>
    <cellStyle name="Eingabe 4 3 14" xfId="12294" xr:uid="{00000000-0005-0000-0000-00009E300000}"/>
    <cellStyle name="Eingabe 4 3 15" xfId="14068" xr:uid="{00000000-0005-0000-0000-00009F300000}"/>
    <cellStyle name="Eingabe 4 3 16" xfId="16164" xr:uid="{00000000-0005-0000-0000-0000A0300000}"/>
    <cellStyle name="Eingabe 4 3 17" xfId="16492" xr:uid="{00000000-0005-0000-0000-0000A1300000}"/>
    <cellStyle name="Eingabe 4 3 18" xfId="13922" xr:uid="{00000000-0005-0000-0000-0000A2300000}"/>
    <cellStyle name="Eingabe 4 3 2" xfId="770" xr:uid="{00000000-0005-0000-0000-0000A3300000}"/>
    <cellStyle name="Eingabe 4 3 2 10" xfId="11231" xr:uid="{00000000-0005-0000-0000-0000A4300000}"/>
    <cellStyle name="Eingabe 4 3 2 11" xfId="11616" xr:uid="{00000000-0005-0000-0000-0000A5300000}"/>
    <cellStyle name="Eingabe 4 3 2 12" xfId="11987" xr:uid="{00000000-0005-0000-0000-0000A6300000}"/>
    <cellStyle name="Eingabe 4 3 2 13" xfId="12500" xr:uid="{00000000-0005-0000-0000-0000A7300000}"/>
    <cellStyle name="Eingabe 4 3 2 14" xfId="15148" xr:uid="{00000000-0005-0000-0000-0000A8300000}"/>
    <cellStyle name="Eingabe 4 3 2 15" xfId="15694" xr:uid="{00000000-0005-0000-0000-0000A9300000}"/>
    <cellStyle name="Eingabe 4 3 2 16" xfId="17662" xr:uid="{00000000-0005-0000-0000-0000AA300000}"/>
    <cellStyle name="Eingabe 4 3 2 17" xfId="18078" xr:uid="{00000000-0005-0000-0000-0000AB300000}"/>
    <cellStyle name="Eingabe 4 3 2 2" xfId="1018" xr:uid="{00000000-0005-0000-0000-0000AC300000}"/>
    <cellStyle name="Eingabe 4 3 2 2 2" xfId="12747" xr:uid="{00000000-0005-0000-0000-0000AD300000}"/>
    <cellStyle name="Eingabe 4 3 2 2 3" xfId="14645" xr:uid="{00000000-0005-0000-0000-0000AE300000}"/>
    <cellStyle name="Eingabe 4 3 2 2 4" xfId="16609" xr:uid="{00000000-0005-0000-0000-0000AF300000}"/>
    <cellStyle name="Eingabe 4 3 2 2 5" xfId="14510" xr:uid="{00000000-0005-0000-0000-0000B0300000}"/>
    <cellStyle name="Eingabe 4 3 2 2 6" xfId="18721" xr:uid="{00000000-0005-0000-0000-0000B1300000}"/>
    <cellStyle name="Eingabe 4 3 2 3" xfId="3831" xr:uid="{00000000-0005-0000-0000-0000B2300000}"/>
    <cellStyle name="Eingabe 4 3 2 4" xfId="8440" xr:uid="{00000000-0005-0000-0000-0000B3300000}"/>
    <cellStyle name="Eingabe 4 3 2 5" xfId="9157" xr:uid="{00000000-0005-0000-0000-0000B4300000}"/>
    <cellStyle name="Eingabe 4 3 2 6" xfId="9671" xr:uid="{00000000-0005-0000-0000-0000B5300000}"/>
    <cellStyle name="Eingabe 4 3 2 7" xfId="10100" xr:uid="{00000000-0005-0000-0000-0000B6300000}"/>
    <cellStyle name="Eingabe 4 3 2 8" xfId="10512" xr:uid="{00000000-0005-0000-0000-0000B7300000}"/>
    <cellStyle name="Eingabe 4 3 2 9" xfId="8577" xr:uid="{00000000-0005-0000-0000-0000B8300000}"/>
    <cellStyle name="Eingabe 4 3 3" xfId="1005" xr:uid="{00000000-0005-0000-0000-0000B9300000}"/>
    <cellStyle name="Eingabe 4 3 3 2" xfId="12734" xr:uid="{00000000-0005-0000-0000-0000BA300000}"/>
    <cellStyle name="Eingabe 4 3 3 3" xfId="15293" xr:uid="{00000000-0005-0000-0000-0000BB300000}"/>
    <cellStyle name="Eingabe 4 3 3 4" xfId="14335" xr:uid="{00000000-0005-0000-0000-0000BC300000}"/>
    <cellStyle name="Eingabe 4 3 3 5" xfId="14060" xr:uid="{00000000-0005-0000-0000-0000BD300000}"/>
    <cellStyle name="Eingabe 4 3 3 6" xfId="19344" xr:uid="{00000000-0005-0000-0000-0000BE300000}"/>
    <cellStyle name="Eingabe 4 3 4" xfId="3670" xr:uid="{00000000-0005-0000-0000-0000BF300000}"/>
    <cellStyle name="Eingabe 4 3 5" xfId="8331" xr:uid="{00000000-0005-0000-0000-0000C0300000}"/>
    <cellStyle name="Eingabe 4 3 6" xfId="9293" xr:uid="{00000000-0005-0000-0000-0000C1300000}"/>
    <cellStyle name="Eingabe 4 3 7" xfId="9459" xr:uid="{00000000-0005-0000-0000-0000C2300000}"/>
    <cellStyle name="Eingabe 4 3 8" xfId="9886" xr:uid="{00000000-0005-0000-0000-0000C3300000}"/>
    <cellStyle name="Eingabe 4 3 9" xfId="10298" xr:uid="{00000000-0005-0000-0000-0000C4300000}"/>
    <cellStyle name="Eingabe 4 4" xfId="531" xr:uid="{00000000-0005-0000-0000-0000C5300000}"/>
    <cellStyle name="Eingabe 4 4 10" xfId="10760" xr:uid="{00000000-0005-0000-0000-0000C6300000}"/>
    <cellStyle name="Eingabe 4 4 11" xfId="10998" xr:uid="{00000000-0005-0000-0000-0000C7300000}"/>
    <cellStyle name="Eingabe 4 4 12" xfId="11385" xr:uid="{00000000-0005-0000-0000-0000C8300000}"/>
    <cellStyle name="Eingabe 4 4 13" xfId="11757" xr:uid="{00000000-0005-0000-0000-0000C9300000}"/>
    <cellStyle name="Eingabe 4 4 14" xfId="12270" xr:uid="{00000000-0005-0000-0000-0000CA300000}"/>
    <cellStyle name="Eingabe 4 4 15" xfId="15845" xr:uid="{00000000-0005-0000-0000-0000CB300000}"/>
    <cellStyle name="Eingabe 4 4 16" xfId="14675" xr:uid="{00000000-0005-0000-0000-0000CC300000}"/>
    <cellStyle name="Eingabe 4 4 17" xfId="14775" xr:uid="{00000000-0005-0000-0000-0000CD300000}"/>
    <cellStyle name="Eingabe 4 4 18" xfId="18532" xr:uid="{00000000-0005-0000-0000-0000CE300000}"/>
    <cellStyle name="Eingabe 4 4 2" xfId="746" xr:uid="{00000000-0005-0000-0000-0000CF300000}"/>
    <cellStyle name="Eingabe 4 4 2 10" xfId="11207" xr:uid="{00000000-0005-0000-0000-0000D0300000}"/>
    <cellStyle name="Eingabe 4 4 2 11" xfId="11592" xr:uid="{00000000-0005-0000-0000-0000D1300000}"/>
    <cellStyle name="Eingabe 4 4 2 12" xfId="11963" xr:uid="{00000000-0005-0000-0000-0000D2300000}"/>
    <cellStyle name="Eingabe 4 4 2 13" xfId="12476" xr:uid="{00000000-0005-0000-0000-0000D3300000}"/>
    <cellStyle name="Eingabe 4 4 2 14" xfId="13988" xr:uid="{00000000-0005-0000-0000-0000D4300000}"/>
    <cellStyle name="Eingabe 4 4 2 15" xfId="14069" xr:uid="{00000000-0005-0000-0000-0000D5300000}"/>
    <cellStyle name="Eingabe 4 4 2 16" xfId="16012" xr:uid="{00000000-0005-0000-0000-0000D6300000}"/>
    <cellStyle name="Eingabe 4 4 2 17" xfId="19431" xr:uid="{00000000-0005-0000-0000-0000D7300000}"/>
    <cellStyle name="Eingabe 4 4 2 2" xfId="1091" xr:uid="{00000000-0005-0000-0000-0000D8300000}"/>
    <cellStyle name="Eingabe 4 4 2 2 2" xfId="12820" xr:uid="{00000000-0005-0000-0000-0000D9300000}"/>
    <cellStyle name="Eingabe 4 4 2 2 3" xfId="13703" xr:uid="{00000000-0005-0000-0000-0000DA300000}"/>
    <cellStyle name="Eingabe 4 4 2 2 4" xfId="17343" xr:uid="{00000000-0005-0000-0000-0000DB300000}"/>
    <cellStyle name="Eingabe 4 4 2 2 5" xfId="17015" xr:uid="{00000000-0005-0000-0000-0000DC300000}"/>
    <cellStyle name="Eingabe 4 4 2 2 6" xfId="19295" xr:uid="{00000000-0005-0000-0000-0000DD300000}"/>
    <cellStyle name="Eingabe 4 4 2 3" xfId="3717" xr:uid="{00000000-0005-0000-0000-0000DE300000}"/>
    <cellStyle name="Eingabe 4 4 2 4" xfId="8427" xr:uid="{00000000-0005-0000-0000-0000DF300000}"/>
    <cellStyle name="Eingabe 4 4 2 5" xfId="8643" xr:uid="{00000000-0005-0000-0000-0000E0300000}"/>
    <cellStyle name="Eingabe 4 4 2 6" xfId="9647" xr:uid="{00000000-0005-0000-0000-0000E1300000}"/>
    <cellStyle name="Eingabe 4 4 2 7" xfId="10076" xr:uid="{00000000-0005-0000-0000-0000E2300000}"/>
    <cellStyle name="Eingabe 4 4 2 8" xfId="10488" xr:uid="{00000000-0005-0000-0000-0000E3300000}"/>
    <cellStyle name="Eingabe 4 4 2 9" xfId="9287" xr:uid="{00000000-0005-0000-0000-0000E4300000}"/>
    <cellStyle name="Eingabe 4 4 3" xfId="1221" xr:uid="{00000000-0005-0000-0000-0000E5300000}"/>
    <cellStyle name="Eingabe 4 4 3 2" xfId="12950" xr:uid="{00000000-0005-0000-0000-0000E6300000}"/>
    <cellStyle name="Eingabe 4 4 3 3" xfId="13774" xr:uid="{00000000-0005-0000-0000-0000E7300000}"/>
    <cellStyle name="Eingabe 4 4 3 4" xfId="17240" xr:uid="{00000000-0005-0000-0000-0000E8300000}"/>
    <cellStyle name="Eingabe 4 4 3 5" xfId="14887" xr:uid="{00000000-0005-0000-0000-0000E9300000}"/>
    <cellStyle name="Eingabe 4 4 3 6" xfId="19192" xr:uid="{00000000-0005-0000-0000-0000EA300000}"/>
    <cellStyle name="Eingabe 4 4 4" xfId="3871" xr:uid="{00000000-0005-0000-0000-0000EB300000}"/>
    <cellStyle name="Eingabe 4 4 5" xfId="8322" xr:uid="{00000000-0005-0000-0000-0000EC300000}"/>
    <cellStyle name="Eingabe 4 4 6" xfId="9228" xr:uid="{00000000-0005-0000-0000-0000ED300000}"/>
    <cellStyle name="Eingabe 4 4 7" xfId="9435" xr:uid="{00000000-0005-0000-0000-0000EE300000}"/>
    <cellStyle name="Eingabe 4 4 8" xfId="9862" xr:uid="{00000000-0005-0000-0000-0000EF300000}"/>
    <cellStyle name="Eingabe 4 4 9" xfId="10274" xr:uid="{00000000-0005-0000-0000-0000F0300000}"/>
    <cellStyle name="Eingabe 4 5" xfId="714" xr:uid="{00000000-0005-0000-0000-0000F1300000}"/>
    <cellStyle name="Eingabe 4 5 10" xfId="11175" xr:uid="{00000000-0005-0000-0000-0000F2300000}"/>
    <cellStyle name="Eingabe 4 5 11" xfId="11561" xr:uid="{00000000-0005-0000-0000-0000F3300000}"/>
    <cellStyle name="Eingabe 4 5 12" xfId="11932" xr:uid="{00000000-0005-0000-0000-0000F4300000}"/>
    <cellStyle name="Eingabe 4 5 13" xfId="12445" xr:uid="{00000000-0005-0000-0000-0000F5300000}"/>
    <cellStyle name="Eingabe 4 5 14" xfId="14558" xr:uid="{00000000-0005-0000-0000-0000F6300000}"/>
    <cellStyle name="Eingabe 4 5 15" xfId="17498" xr:uid="{00000000-0005-0000-0000-0000F7300000}"/>
    <cellStyle name="Eingabe 4 5 16" xfId="13811" xr:uid="{00000000-0005-0000-0000-0000F8300000}"/>
    <cellStyle name="Eingabe 4 5 17" xfId="18728" xr:uid="{00000000-0005-0000-0000-0000F9300000}"/>
    <cellStyle name="Eingabe 4 5 2" xfId="1162" xr:uid="{00000000-0005-0000-0000-0000FA300000}"/>
    <cellStyle name="Eingabe 4 5 2 2" xfId="12891" xr:uid="{00000000-0005-0000-0000-0000FB300000}"/>
    <cellStyle name="Eingabe 4 5 2 3" xfId="15342" xr:uid="{00000000-0005-0000-0000-0000FC300000}"/>
    <cellStyle name="Eingabe 4 5 2 4" xfId="17288" xr:uid="{00000000-0005-0000-0000-0000FD300000}"/>
    <cellStyle name="Eingabe 4 5 2 5" xfId="15852" xr:uid="{00000000-0005-0000-0000-0000FE300000}"/>
    <cellStyle name="Eingabe 4 5 2 6" xfId="19240" xr:uid="{00000000-0005-0000-0000-0000FF300000}"/>
    <cellStyle name="Eingabe 4 5 3" xfId="3366" xr:uid="{00000000-0005-0000-0000-000000310000}"/>
    <cellStyle name="Eingabe 4 5 4" xfId="8414" xr:uid="{00000000-0005-0000-0000-000001310000}"/>
    <cellStyle name="Eingabe 4 5 5" xfId="8542" xr:uid="{00000000-0005-0000-0000-000002310000}"/>
    <cellStyle name="Eingabe 4 5 6" xfId="9615" xr:uid="{00000000-0005-0000-0000-000003310000}"/>
    <cellStyle name="Eingabe 4 5 7" xfId="10044" xr:uid="{00000000-0005-0000-0000-000004310000}"/>
    <cellStyle name="Eingabe 4 5 8" xfId="10456" xr:uid="{00000000-0005-0000-0000-000005310000}"/>
    <cellStyle name="Eingabe 4 5 9" xfId="9248" xr:uid="{00000000-0005-0000-0000-000006310000}"/>
    <cellStyle name="Eingabe 4 6" xfId="1311" xr:uid="{00000000-0005-0000-0000-000007310000}"/>
    <cellStyle name="Eingabe 4 6 2" xfId="13040" xr:uid="{00000000-0005-0000-0000-000008310000}"/>
    <cellStyle name="Eingabe 4 6 3" xfId="15423" xr:uid="{00000000-0005-0000-0000-000009310000}"/>
    <cellStyle name="Eingabe 4 6 4" xfId="14360" xr:uid="{00000000-0005-0000-0000-00000A310000}"/>
    <cellStyle name="Eingabe 4 6 5" xfId="18147" xr:uid="{00000000-0005-0000-0000-00000B310000}"/>
    <cellStyle name="Eingabe 4 6 6" xfId="19129" xr:uid="{00000000-0005-0000-0000-00000C310000}"/>
    <cellStyle name="Eingabe 4 7" xfId="3543" xr:uid="{00000000-0005-0000-0000-00000D310000}"/>
    <cellStyle name="Eingabe 4 8" xfId="8300" xr:uid="{00000000-0005-0000-0000-00000E310000}"/>
    <cellStyle name="Eingabe 4 9" xfId="8915" xr:uid="{00000000-0005-0000-0000-00000F310000}"/>
    <cellStyle name="Eingabe 5" xfId="565" xr:uid="{00000000-0005-0000-0000-000010310000}"/>
    <cellStyle name="Eingabe 5 10" xfId="9299" xr:uid="{00000000-0005-0000-0000-000011310000}"/>
    <cellStyle name="Eingabe 5 11" xfId="11032" xr:uid="{00000000-0005-0000-0000-000012310000}"/>
    <cellStyle name="Eingabe 5 12" xfId="11419" xr:uid="{00000000-0005-0000-0000-000013310000}"/>
    <cellStyle name="Eingabe 5 13" xfId="11791" xr:uid="{00000000-0005-0000-0000-000014310000}"/>
    <cellStyle name="Eingabe 5 14" xfId="12304" xr:uid="{00000000-0005-0000-0000-000015310000}"/>
    <cellStyle name="Eingabe 5 15" xfId="16178" xr:uid="{00000000-0005-0000-0000-000016310000}"/>
    <cellStyle name="Eingabe 5 16" xfId="16470" xr:uid="{00000000-0005-0000-0000-000017310000}"/>
    <cellStyle name="Eingabe 5 17" xfId="15738" xr:uid="{00000000-0005-0000-0000-000018310000}"/>
    <cellStyle name="Eingabe 5 18" xfId="15755" xr:uid="{00000000-0005-0000-0000-000019310000}"/>
    <cellStyle name="Eingabe 5 2" xfId="780" xr:uid="{00000000-0005-0000-0000-00001A310000}"/>
    <cellStyle name="Eingabe 5 2 10" xfId="11241" xr:uid="{00000000-0005-0000-0000-00001B310000}"/>
    <cellStyle name="Eingabe 5 2 11" xfId="11626" xr:uid="{00000000-0005-0000-0000-00001C310000}"/>
    <cellStyle name="Eingabe 5 2 12" xfId="11997" xr:uid="{00000000-0005-0000-0000-00001D310000}"/>
    <cellStyle name="Eingabe 5 2 13" xfId="12510" xr:uid="{00000000-0005-0000-0000-00001E310000}"/>
    <cellStyle name="Eingabe 5 2 14" xfId="16126" xr:uid="{00000000-0005-0000-0000-00001F310000}"/>
    <cellStyle name="Eingabe 5 2 15" xfId="16010" xr:uid="{00000000-0005-0000-0000-000020310000}"/>
    <cellStyle name="Eingabe 5 2 16" xfId="16809" xr:uid="{00000000-0005-0000-0000-000021310000}"/>
    <cellStyle name="Eingabe 5 2 17" xfId="18080" xr:uid="{00000000-0005-0000-0000-000022310000}"/>
    <cellStyle name="Eingabe 5 2 2" xfId="924" xr:uid="{00000000-0005-0000-0000-000023310000}"/>
    <cellStyle name="Eingabe 5 2 2 2" xfId="12653" xr:uid="{00000000-0005-0000-0000-000024310000}"/>
    <cellStyle name="Eingabe 5 2 2 3" xfId="16052" xr:uid="{00000000-0005-0000-0000-000025310000}"/>
    <cellStyle name="Eingabe 5 2 2 4" xfId="15155" xr:uid="{00000000-0005-0000-0000-000026310000}"/>
    <cellStyle name="Eingabe 5 2 2 5" xfId="18433" xr:uid="{00000000-0005-0000-0000-000027310000}"/>
    <cellStyle name="Eingabe 5 2 2 6" xfId="15117" xr:uid="{00000000-0005-0000-0000-000028310000}"/>
    <cellStyle name="Eingabe 5 2 3" xfId="3351" xr:uid="{00000000-0005-0000-0000-000029310000}"/>
    <cellStyle name="Eingabe 5 2 4" xfId="8446" xr:uid="{00000000-0005-0000-0000-00002A310000}"/>
    <cellStyle name="Eingabe 5 2 5" xfId="8636" xr:uid="{00000000-0005-0000-0000-00002B310000}"/>
    <cellStyle name="Eingabe 5 2 6" xfId="9681" xr:uid="{00000000-0005-0000-0000-00002C310000}"/>
    <cellStyle name="Eingabe 5 2 7" xfId="10110" xr:uid="{00000000-0005-0000-0000-00002D310000}"/>
    <cellStyle name="Eingabe 5 2 8" xfId="10522" xr:uid="{00000000-0005-0000-0000-00002E310000}"/>
    <cellStyle name="Eingabe 5 2 9" xfId="9028" xr:uid="{00000000-0005-0000-0000-00002F310000}"/>
    <cellStyle name="Eingabe 5 3" xfId="1376" xr:uid="{00000000-0005-0000-0000-000030310000}"/>
    <cellStyle name="Eingabe 5 3 2" xfId="13105" xr:uid="{00000000-0005-0000-0000-000031310000}"/>
    <cellStyle name="Eingabe 5 3 3" xfId="14844" xr:uid="{00000000-0005-0000-0000-000032310000}"/>
    <cellStyle name="Eingabe 5 3 4" xfId="17132" xr:uid="{00000000-0005-0000-0000-000033310000}"/>
    <cellStyle name="Eingabe 5 3 5" xfId="14254" xr:uid="{00000000-0005-0000-0000-000034310000}"/>
    <cellStyle name="Eingabe 5 3 6" xfId="19084" xr:uid="{00000000-0005-0000-0000-000035310000}"/>
    <cellStyle name="Eingabe 5 4" xfId="3738" xr:uid="{00000000-0005-0000-0000-000036310000}"/>
    <cellStyle name="Eingabe 5 5" xfId="8336" xr:uid="{00000000-0005-0000-0000-000037310000}"/>
    <cellStyle name="Eingabe 5 6" xfId="9150" xr:uid="{00000000-0005-0000-0000-000038310000}"/>
    <cellStyle name="Eingabe 5 7" xfId="9469" xr:uid="{00000000-0005-0000-0000-000039310000}"/>
    <cellStyle name="Eingabe 5 8" xfId="9896" xr:uid="{00000000-0005-0000-0000-00003A310000}"/>
    <cellStyle name="Eingabe 5 9" xfId="10308" xr:uid="{00000000-0005-0000-0000-00003B310000}"/>
    <cellStyle name="Eingabe 6" xfId="642" xr:uid="{00000000-0005-0000-0000-00003C310000}"/>
    <cellStyle name="Eingabe 6 10" xfId="10842" xr:uid="{00000000-0005-0000-0000-00003D310000}"/>
    <cellStyle name="Eingabe 6 11" xfId="11109" xr:uid="{00000000-0005-0000-0000-00003E310000}"/>
    <cellStyle name="Eingabe 6 12" xfId="11496" xr:uid="{00000000-0005-0000-0000-00003F310000}"/>
    <cellStyle name="Eingabe 6 13" xfId="11868" xr:uid="{00000000-0005-0000-0000-000040310000}"/>
    <cellStyle name="Eingabe 6 14" xfId="12381" xr:uid="{00000000-0005-0000-0000-000041310000}"/>
    <cellStyle name="Eingabe 6 15" xfId="14087" xr:uid="{00000000-0005-0000-0000-000042310000}"/>
    <cellStyle name="Eingabe 6 16" xfId="15586" xr:uid="{00000000-0005-0000-0000-000043310000}"/>
    <cellStyle name="Eingabe 6 17" xfId="18298" xr:uid="{00000000-0005-0000-0000-000044310000}"/>
    <cellStyle name="Eingabe 6 18" xfId="15655" xr:uid="{00000000-0005-0000-0000-000045310000}"/>
    <cellStyle name="Eingabe 6 2" xfId="857" xr:uid="{00000000-0005-0000-0000-000046310000}"/>
    <cellStyle name="Eingabe 6 2 10" xfId="11318" xr:uid="{00000000-0005-0000-0000-000047310000}"/>
    <cellStyle name="Eingabe 6 2 11" xfId="11703" xr:uid="{00000000-0005-0000-0000-000048310000}"/>
    <cellStyle name="Eingabe 6 2 12" xfId="12074" xr:uid="{00000000-0005-0000-0000-000049310000}"/>
    <cellStyle name="Eingabe 6 2 13" xfId="12587" xr:uid="{00000000-0005-0000-0000-00004A310000}"/>
    <cellStyle name="Eingabe 6 2 14" xfId="16114" xr:uid="{00000000-0005-0000-0000-00004B310000}"/>
    <cellStyle name="Eingabe 6 2 15" xfId="15728" xr:uid="{00000000-0005-0000-0000-00004C310000}"/>
    <cellStyle name="Eingabe 6 2 16" xfId="18428" xr:uid="{00000000-0005-0000-0000-00004D310000}"/>
    <cellStyle name="Eingabe 6 2 17" xfId="18277" xr:uid="{00000000-0005-0000-0000-00004E310000}"/>
    <cellStyle name="Eingabe 6 2 2" xfId="1212" xr:uid="{00000000-0005-0000-0000-00004F310000}"/>
    <cellStyle name="Eingabe 6 2 2 2" xfId="12941" xr:uid="{00000000-0005-0000-0000-000050310000}"/>
    <cellStyle name="Eingabe 6 2 2 3" xfId="15371" xr:uid="{00000000-0005-0000-0000-000051310000}"/>
    <cellStyle name="Eingabe 6 2 2 4" xfId="16601" xr:uid="{00000000-0005-0000-0000-000052310000}"/>
    <cellStyle name="Eingabe 6 2 2 5" xfId="14161" xr:uid="{00000000-0005-0000-0000-000053310000}"/>
    <cellStyle name="Eingabe 6 2 2 6" xfId="19200" xr:uid="{00000000-0005-0000-0000-000054310000}"/>
    <cellStyle name="Eingabe 6 2 3" xfId="3457" xr:uid="{00000000-0005-0000-0000-000055310000}"/>
    <cellStyle name="Eingabe 6 2 4" xfId="8486" xr:uid="{00000000-0005-0000-0000-000056310000}"/>
    <cellStyle name="Eingabe 6 2 5" xfId="9330" xr:uid="{00000000-0005-0000-0000-000057310000}"/>
    <cellStyle name="Eingabe 6 2 6" xfId="9758" xr:uid="{00000000-0005-0000-0000-000058310000}"/>
    <cellStyle name="Eingabe 6 2 7" xfId="10187" xr:uid="{00000000-0005-0000-0000-000059310000}"/>
    <cellStyle name="Eingabe 6 2 8" xfId="10599" xr:uid="{00000000-0005-0000-0000-00005A310000}"/>
    <cellStyle name="Eingabe 6 2 9" xfId="10872" xr:uid="{00000000-0005-0000-0000-00005B310000}"/>
    <cellStyle name="Eingabe 6 3" xfId="1319" xr:uid="{00000000-0005-0000-0000-00005C310000}"/>
    <cellStyle name="Eingabe 6 3 2" xfId="13048" xr:uid="{00000000-0005-0000-0000-00005D310000}"/>
    <cellStyle name="Eingabe 6 3 3" xfId="13779" xr:uid="{00000000-0005-0000-0000-00005E310000}"/>
    <cellStyle name="Eingabe 6 3 4" xfId="17171" xr:uid="{00000000-0005-0000-0000-00005F310000}"/>
    <cellStyle name="Eingabe 6 3 5" xfId="13912" xr:uid="{00000000-0005-0000-0000-000060310000}"/>
    <cellStyle name="Eingabe 6 3 6" xfId="19123" xr:uid="{00000000-0005-0000-0000-000061310000}"/>
    <cellStyle name="Eingabe 6 4" xfId="3838" xr:uid="{00000000-0005-0000-0000-000062310000}"/>
    <cellStyle name="Eingabe 6 5" xfId="8374" xr:uid="{00000000-0005-0000-0000-000063310000}"/>
    <cellStyle name="Eingabe 6 6" xfId="9058" xr:uid="{00000000-0005-0000-0000-000064310000}"/>
    <cellStyle name="Eingabe 6 7" xfId="9546" xr:uid="{00000000-0005-0000-0000-000065310000}"/>
    <cellStyle name="Eingabe 6 8" xfId="9973" xr:uid="{00000000-0005-0000-0000-000066310000}"/>
    <cellStyle name="Eingabe 6 9" xfId="10385" xr:uid="{00000000-0005-0000-0000-000067310000}"/>
    <cellStyle name="Eingabe 7" xfId="685" xr:uid="{00000000-0005-0000-0000-000068310000}"/>
    <cellStyle name="Eingabe 7 10" xfId="10822" xr:uid="{00000000-0005-0000-0000-000069310000}"/>
    <cellStyle name="Eingabe 7 11" xfId="11151" xr:uid="{00000000-0005-0000-0000-00006A310000}"/>
    <cellStyle name="Eingabe 7 12" xfId="11538" xr:uid="{00000000-0005-0000-0000-00006B310000}"/>
    <cellStyle name="Eingabe 7 13" xfId="11910" xr:uid="{00000000-0005-0000-0000-00006C310000}"/>
    <cellStyle name="Eingabe 7 14" xfId="12423" xr:uid="{00000000-0005-0000-0000-00006D310000}"/>
    <cellStyle name="Eingabe 7 15" xfId="14168" xr:uid="{00000000-0005-0000-0000-00006E310000}"/>
    <cellStyle name="Eingabe 7 16" xfId="17514" xr:uid="{00000000-0005-0000-0000-00006F310000}"/>
    <cellStyle name="Eingabe 7 17" xfId="17652" xr:uid="{00000000-0005-0000-0000-000070310000}"/>
    <cellStyle name="Eingabe 7 18" xfId="18252" xr:uid="{00000000-0005-0000-0000-000071310000}"/>
    <cellStyle name="Eingabe 7 2" xfId="899" xr:uid="{00000000-0005-0000-0000-000072310000}"/>
    <cellStyle name="Eingabe 7 2 10" xfId="11360" xr:uid="{00000000-0005-0000-0000-000073310000}"/>
    <cellStyle name="Eingabe 7 2 11" xfId="11745" xr:uid="{00000000-0005-0000-0000-000074310000}"/>
    <cellStyle name="Eingabe 7 2 12" xfId="12116" xr:uid="{00000000-0005-0000-0000-000075310000}"/>
    <cellStyle name="Eingabe 7 2 13" xfId="12629" xr:uid="{00000000-0005-0000-0000-000076310000}"/>
    <cellStyle name="Eingabe 7 2 14" xfId="16124" xr:uid="{00000000-0005-0000-0000-000077310000}"/>
    <cellStyle name="Eingabe 7 2 15" xfId="15906" xr:uid="{00000000-0005-0000-0000-000078310000}"/>
    <cellStyle name="Eingabe 7 2 16" xfId="13714" xr:uid="{00000000-0005-0000-0000-000079310000}"/>
    <cellStyle name="Eingabe 7 2 17" xfId="18557" xr:uid="{00000000-0005-0000-0000-00007A310000}"/>
    <cellStyle name="Eingabe 7 2 2" xfId="1401" xr:uid="{00000000-0005-0000-0000-00007B310000}"/>
    <cellStyle name="Eingabe 7 2 2 2" xfId="13130" xr:uid="{00000000-0005-0000-0000-00007C310000}"/>
    <cellStyle name="Eingabe 7 2 2 3" xfId="13784" xr:uid="{00000000-0005-0000-0000-00007D310000}"/>
    <cellStyle name="Eingabe 7 2 2 4" xfId="17111" xr:uid="{00000000-0005-0000-0000-00007E310000}"/>
    <cellStyle name="Eingabe 7 2 2 5" xfId="17661" xr:uid="{00000000-0005-0000-0000-00007F310000}"/>
    <cellStyle name="Eingabe 7 2 2 6" xfId="19063" xr:uid="{00000000-0005-0000-0000-000080310000}"/>
    <cellStyle name="Eingabe 7 2 3" xfId="4253" xr:uid="{00000000-0005-0000-0000-000081310000}"/>
    <cellStyle name="Eingabe 7 2 4" xfId="8505" xr:uid="{00000000-0005-0000-0000-000082310000}"/>
    <cellStyle name="Eingabe 7 2 5" xfId="9372" xr:uid="{00000000-0005-0000-0000-000083310000}"/>
    <cellStyle name="Eingabe 7 2 6" xfId="9800" xr:uid="{00000000-0005-0000-0000-000084310000}"/>
    <cellStyle name="Eingabe 7 2 7" xfId="10229" xr:uid="{00000000-0005-0000-0000-000085310000}"/>
    <cellStyle name="Eingabe 7 2 8" xfId="10641" xr:uid="{00000000-0005-0000-0000-000086310000}"/>
    <cellStyle name="Eingabe 7 2 9" xfId="10971" xr:uid="{00000000-0005-0000-0000-000087310000}"/>
    <cellStyle name="Eingabe 7 3" xfId="1234" xr:uid="{00000000-0005-0000-0000-000088310000}"/>
    <cellStyle name="Eingabe 7 3 2" xfId="12963" xr:uid="{00000000-0005-0000-0000-000089310000}"/>
    <cellStyle name="Eingabe 7 3 3" xfId="15381" xr:uid="{00000000-0005-0000-0000-00008A310000}"/>
    <cellStyle name="Eingabe 7 3 4" xfId="15925" xr:uid="{00000000-0005-0000-0000-00008B310000}"/>
    <cellStyle name="Eingabe 7 3 5" xfId="14672" xr:uid="{00000000-0005-0000-0000-00008C310000}"/>
    <cellStyle name="Eingabe 7 3 6" xfId="19184" xr:uid="{00000000-0005-0000-0000-00008D310000}"/>
    <cellStyle name="Eingabe 7 4" xfId="3603" xr:uid="{00000000-0005-0000-0000-00008E310000}"/>
    <cellStyle name="Eingabe 7 5" xfId="8395" xr:uid="{00000000-0005-0000-0000-00008F310000}"/>
    <cellStyle name="Eingabe 7 6" xfId="8899" xr:uid="{00000000-0005-0000-0000-000090310000}"/>
    <cellStyle name="Eingabe 7 7" xfId="9588" xr:uid="{00000000-0005-0000-0000-000091310000}"/>
    <cellStyle name="Eingabe 7 8" xfId="10015" xr:uid="{00000000-0005-0000-0000-000092310000}"/>
    <cellStyle name="Eingabe 7 9" xfId="10427" xr:uid="{00000000-0005-0000-0000-000093310000}"/>
    <cellStyle name="Eingabe 8" xfId="694" xr:uid="{00000000-0005-0000-0000-000094310000}"/>
    <cellStyle name="Eingabe 8 10" xfId="11160" xr:uid="{00000000-0005-0000-0000-000095310000}"/>
    <cellStyle name="Eingabe 8 11" xfId="11547" xr:uid="{00000000-0005-0000-0000-000096310000}"/>
    <cellStyle name="Eingabe 8 12" xfId="11919" xr:uid="{00000000-0005-0000-0000-000097310000}"/>
    <cellStyle name="Eingabe 8 13" xfId="12432" xr:uid="{00000000-0005-0000-0000-000098310000}"/>
    <cellStyle name="Eingabe 8 14" xfId="15213" xr:uid="{00000000-0005-0000-0000-000099310000}"/>
    <cellStyle name="Eingabe 8 15" xfId="17509" xr:uid="{00000000-0005-0000-0000-00009A310000}"/>
    <cellStyle name="Eingabe 8 16" xfId="17913" xr:uid="{00000000-0005-0000-0000-00009B310000}"/>
    <cellStyle name="Eingabe 8 17" xfId="19456" xr:uid="{00000000-0005-0000-0000-00009C310000}"/>
    <cellStyle name="Eingabe 8 2" xfId="1378" xr:uid="{00000000-0005-0000-0000-00009D310000}"/>
    <cellStyle name="Eingabe 8 2 2" xfId="13107" xr:uid="{00000000-0005-0000-0000-00009E310000}"/>
    <cellStyle name="Eingabe 8 2 3" xfId="14845" xr:uid="{00000000-0005-0000-0000-00009F310000}"/>
    <cellStyle name="Eingabe 8 2 4" xfId="17130" xr:uid="{00000000-0005-0000-0000-0000A0310000}"/>
    <cellStyle name="Eingabe 8 2 5" xfId="17681" xr:uid="{00000000-0005-0000-0000-0000A1310000}"/>
    <cellStyle name="Eingabe 8 2 6" xfId="19082" xr:uid="{00000000-0005-0000-0000-0000A2310000}"/>
    <cellStyle name="Eingabe 8 3" xfId="4212" xr:uid="{00000000-0005-0000-0000-0000A3310000}"/>
    <cellStyle name="Eingabe 8 4" xfId="8400" xr:uid="{00000000-0005-0000-0000-0000A4310000}"/>
    <cellStyle name="Eingabe 8 5" xfId="9252" xr:uid="{00000000-0005-0000-0000-0000A5310000}"/>
    <cellStyle name="Eingabe 8 6" xfId="9597" xr:uid="{00000000-0005-0000-0000-0000A6310000}"/>
    <cellStyle name="Eingabe 8 7" xfId="10024" xr:uid="{00000000-0005-0000-0000-0000A7310000}"/>
    <cellStyle name="Eingabe 8 8" xfId="10436" xr:uid="{00000000-0005-0000-0000-0000A8310000}"/>
    <cellStyle name="Eingabe 8 9" xfId="10939" xr:uid="{00000000-0005-0000-0000-0000A9310000}"/>
    <cellStyle name="Empty_B_border" xfId="31" xr:uid="{00000000-0005-0000-0000-0000AA310000}"/>
    <cellStyle name="Ergebnis" xfId="18650" hidden="1" xr:uid="{00000000-0005-0000-0000-0000B3310000}"/>
    <cellStyle name="Ergebnis" xfId="15012" hidden="1" xr:uid="{00000000-0005-0000-0000-0000FE310000}"/>
    <cellStyle name="Ergebnis" xfId="16652" hidden="1" xr:uid="{00000000-0005-0000-0000-0000FA310000}"/>
    <cellStyle name="Ergebnis" xfId="15668" hidden="1" xr:uid="{00000000-0005-0000-0000-000008320000}"/>
    <cellStyle name="Ergebnis" xfId="16716" hidden="1" xr:uid="{00000000-0005-0000-0000-0000FC310000}"/>
    <cellStyle name="Ergebnis" xfId="16864" hidden="1" xr:uid="{00000000-0005-0000-0000-000005320000}"/>
    <cellStyle name="Ergebnis" xfId="17975" hidden="1" xr:uid="{00000000-0005-0000-0000-000018320000}"/>
    <cellStyle name="Ergebnis" xfId="18023" hidden="1" xr:uid="{00000000-0005-0000-0000-000019320000}"/>
    <cellStyle name="Ergebnis" xfId="18007" hidden="1" xr:uid="{00000000-0005-0000-0000-0000AB310000}"/>
    <cellStyle name="Ergebnis" xfId="13495" hidden="1" xr:uid="{00000000-0005-0000-0000-000040320000}"/>
    <cellStyle name="Ergebnis" xfId="13543" hidden="1" xr:uid="{00000000-0005-0000-0000-000041320000}"/>
    <cellStyle name="Ergebnis" xfId="16668" hidden="1" xr:uid="{00000000-0005-0000-0000-0000FB310000}"/>
    <cellStyle name="Ergebnis" xfId="8273" hidden="1" xr:uid="{00000000-0005-0000-0000-000030320000}"/>
    <cellStyle name="Ergebnis" xfId="8247" hidden="1" xr:uid="{00000000-0005-0000-0000-000031320000}"/>
    <cellStyle name="Ergebnis" xfId="10263" hidden="1" xr:uid="{00000000-0005-0000-0000-000032320000}"/>
    <cellStyle name="Ergebnis" xfId="4078" hidden="1" xr:uid="{00000000-0005-0000-0000-000033320000}"/>
    <cellStyle name="Ergebnis" xfId="13379" hidden="1" xr:uid="{00000000-0005-0000-0000-000034320000}"/>
    <cellStyle name="Ergebnis" xfId="13375" hidden="1" xr:uid="{00000000-0005-0000-0000-000035320000}"/>
    <cellStyle name="Ergebnis" xfId="13580" hidden="1" xr:uid="{00000000-0005-0000-0000-000036320000}"/>
    <cellStyle name="Ergebnis" xfId="13612" hidden="1" xr:uid="{00000000-0005-0000-0000-000037320000}"/>
    <cellStyle name="Ergebnis" xfId="13628" hidden="1" xr:uid="{00000000-0005-0000-0000-000038320000}"/>
    <cellStyle name="Ergebnis" xfId="13666" hidden="1" xr:uid="{00000000-0005-0000-0000-000039320000}"/>
    <cellStyle name="Ergebnis" xfId="13650" hidden="1" xr:uid="{00000000-0005-0000-0000-00003A320000}"/>
    <cellStyle name="Ergebnis" xfId="10715" hidden="1" xr:uid="{00000000-0005-0000-0000-00003B320000}"/>
    <cellStyle name="Ergebnis" xfId="3231" hidden="1" xr:uid="{00000000-0005-0000-0000-00003C320000}"/>
    <cellStyle name="Ergebnis" xfId="3279" hidden="1" xr:uid="{00000000-0005-0000-0000-00003D320000}"/>
    <cellStyle name="Ergebnis" xfId="3263" hidden="1" xr:uid="{00000000-0005-0000-0000-00003E320000}"/>
    <cellStyle name="Ergebnis" xfId="3365" hidden="1" xr:uid="{00000000-0005-0000-0000-00003F320000}"/>
    <cellStyle name="Ergebnis" xfId="4088" hidden="1" xr:uid="{00000000-0005-0000-0000-00001B320000}"/>
    <cellStyle name="Ergebnis" xfId="3317" hidden="1" xr:uid="{00000000-0005-0000-0000-00001C320000}"/>
    <cellStyle name="Ergebnis" xfId="3423" hidden="1" xr:uid="{00000000-0005-0000-0000-00001D320000}"/>
    <cellStyle name="Ergebnis" xfId="1250" hidden="1" xr:uid="{00000000-0005-0000-0000-00001E320000}"/>
    <cellStyle name="Ergebnis" xfId="1285" hidden="1" xr:uid="{00000000-0005-0000-0000-00001F320000}"/>
    <cellStyle name="Ergebnis" xfId="3183" hidden="1" xr:uid="{00000000-0005-0000-0000-000020320000}"/>
    <cellStyle name="Ergebnis" xfId="3215" hidden="1" xr:uid="{00000000-0005-0000-0000-000021320000}"/>
    <cellStyle name="Ergebnis" xfId="958" hidden="1" xr:uid="{00000000-0005-0000-0000-000022320000}"/>
    <cellStyle name="Ergebnis" xfId="1270" hidden="1" xr:uid="{00000000-0005-0000-0000-000023320000}"/>
    <cellStyle name="Ergebnis" xfId="62" hidden="1" xr:uid="{00000000-0005-0000-0000-000024320000}"/>
    <cellStyle name="Ergebnis" xfId="12185" hidden="1" xr:uid="{00000000-0005-0000-0000-000025320000}"/>
    <cellStyle name="Ergebnis" xfId="8292" hidden="1" xr:uid="{00000000-0005-0000-0000-000026320000}"/>
    <cellStyle name="Ergebnis" xfId="8585" hidden="1" xr:uid="{00000000-0005-0000-0000-000027320000}"/>
    <cellStyle name="Ergebnis" xfId="9271" hidden="1" xr:uid="{00000000-0005-0000-0000-000028320000}"/>
    <cellStyle name="Ergebnis" xfId="9306" hidden="1" xr:uid="{00000000-0005-0000-0000-000029320000}"/>
    <cellStyle name="Ergebnis" xfId="9422" hidden="1" xr:uid="{00000000-0005-0000-0000-00002A320000}"/>
    <cellStyle name="Ergebnis" xfId="8606" hidden="1" xr:uid="{00000000-0005-0000-0000-00002B320000}"/>
    <cellStyle name="Ergebnis" xfId="8964" hidden="1" xr:uid="{00000000-0005-0000-0000-00002C320000}"/>
    <cellStyle name="Ergebnis" xfId="8961" hidden="1" xr:uid="{00000000-0005-0000-0000-00002D320000}"/>
    <cellStyle name="Ergebnis" xfId="8253" hidden="1" xr:uid="{00000000-0005-0000-0000-00002E320000}"/>
    <cellStyle name="Ergebnis" xfId="8367" hidden="1" xr:uid="{00000000-0005-0000-0000-00002F320000}"/>
    <cellStyle name="Ergebnis" xfId="13200" hidden="1" xr:uid="{00000000-0005-0000-0000-000043320000}"/>
    <cellStyle name="Ergebnis" xfId="13416" hidden="1" xr:uid="{00000000-0005-0000-0000-000044320000}"/>
    <cellStyle name="Ergebnis" xfId="19865" hidden="1" xr:uid="{00000000-0005-0000-0000-0000E7310000}"/>
    <cellStyle name="Ergebnis" xfId="8756" hidden="1" xr:uid="{00000000-0005-0000-0000-0000E8310000}"/>
    <cellStyle name="Ergebnis" xfId="10672" hidden="1" xr:uid="{00000000-0005-0000-0000-0000E9310000}"/>
    <cellStyle name="Ergebnis" xfId="14021" hidden="1" xr:uid="{00000000-0005-0000-0000-000011320000}"/>
    <cellStyle name="Ergebnis" xfId="14942" hidden="1" xr:uid="{00000000-0005-0000-0000-0000AF310000}"/>
    <cellStyle name="Ergebnis" xfId="17425" hidden="1" xr:uid="{00000000-0005-0000-0000-000012320000}"/>
    <cellStyle name="Ergebnis" xfId="16801" hidden="1" xr:uid="{00000000-0005-0000-0000-0000AC310000}"/>
    <cellStyle name="Ergebnis" xfId="16573" hidden="1" xr:uid="{00000000-0005-0000-0000-000014320000}"/>
    <cellStyle name="Ergebnis" xfId="14269" hidden="1" xr:uid="{00000000-0005-0000-0000-0000B6310000}"/>
    <cellStyle name="Ergebnis" xfId="17582" hidden="1" xr:uid="{00000000-0005-0000-0000-0000DE310000}"/>
    <cellStyle name="Ergebnis" xfId="18895" hidden="1" xr:uid="{00000000-0005-0000-0000-0000DF310000}"/>
    <cellStyle name="Ergebnis" xfId="17701" hidden="1" xr:uid="{00000000-0005-0000-0000-0000E0310000}"/>
    <cellStyle name="Ergebnis" xfId="16370" hidden="1" xr:uid="{00000000-0005-0000-0000-0000F3310000}"/>
    <cellStyle name="Ergebnis" xfId="14463" hidden="1" xr:uid="{00000000-0005-0000-0000-0000F4310000}"/>
    <cellStyle name="Ergebnis" xfId="15943" hidden="1" xr:uid="{00000000-0005-0000-0000-0000F5310000}"/>
    <cellStyle name="Ergebnis" xfId="15488" hidden="1" xr:uid="{00000000-0005-0000-0000-0000AD310000}"/>
    <cellStyle name="Ergebnis" xfId="13447" hidden="1" xr:uid="{00000000-0005-0000-0000-000047320000}"/>
    <cellStyle name="Ergebnis" xfId="14268" hidden="1" xr:uid="{00000000-0005-0000-0000-0000AE310000}"/>
    <cellStyle name="Ergebnis" xfId="12999" hidden="1" xr:uid="{00000000-0005-0000-0000-000049320000}"/>
    <cellStyle name="Ergebnis" xfId="14295" hidden="1" xr:uid="{00000000-0005-0000-0000-0000B0310000}"/>
    <cellStyle name="Ergebnis" xfId="12210" hidden="1" xr:uid="{00000000-0005-0000-0000-000045320000}"/>
    <cellStyle name="Ergebnis" xfId="13732" hidden="1" xr:uid="{00000000-0005-0000-0000-0000EA310000}"/>
    <cellStyle name="Ergebnis" xfId="14414" hidden="1" xr:uid="{00000000-0005-0000-0000-0000EB310000}"/>
    <cellStyle name="Ergebnis" xfId="14673" hidden="1" xr:uid="{00000000-0005-0000-0000-0000EC310000}"/>
    <cellStyle name="Ergebnis" xfId="15267" hidden="1" xr:uid="{00000000-0005-0000-0000-0000FF310000}"/>
    <cellStyle name="Ergebnis" xfId="13803" hidden="1" xr:uid="{00000000-0005-0000-0000-000000320000}"/>
    <cellStyle name="Ergebnis" xfId="15391" hidden="1" xr:uid="{00000000-0005-0000-0000-000001320000}"/>
    <cellStyle name="Ergebnis" xfId="12979" hidden="1" xr:uid="{00000000-0005-0000-0000-00004A320000}"/>
    <cellStyle name="Ergebnis" xfId="19795" hidden="1" xr:uid="{00000000-0005-0000-0000-0000E3310000}"/>
    <cellStyle name="Ergebnis" xfId="13014" hidden="1" xr:uid="{00000000-0005-0000-0000-000046320000}"/>
    <cellStyle name="Ergebnis" xfId="19843" hidden="1" xr:uid="{00000000-0005-0000-0000-0000E5310000}"/>
    <cellStyle name="Ergebnis" xfId="13479" hidden="1" xr:uid="{00000000-0005-0000-0000-000048320000}"/>
    <cellStyle name="Ergebnis" xfId="15689" hidden="1" xr:uid="{00000000-0005-0000-0000-0000E1310000}"/>
    <cellStyle name="Ergebnis" xfId="15776" hidden="1" xr:uid="{00000000-0005-0000-0000-0000F6310000}"/>
    <cellStyle name="Ergebnis" xfId="14998" hidden="1" xr:uid="{00000000-0005-0000-0000-0000F7310000}"/>
    <cellStyle name="Ergebnis" xfId="14991" hidden="1" xr:uid="{00000000-0005-0000-0000-0000F8310000}"/>
    <cellStyle name="Ergebnis" xfId="14053" hidden="1" xr:uid="{00000000-0005-0000-0000-00000A320000}"/>
    <cellStyle name="Ergebnis" xfId="15880" hidden="1" xr:uid="{00000000-0005-0000-0000-00000B320000}"/>
    <cellStyle name="Ergebnis" xfId="17732" hidden="1" xr:uid="{00000000-0005-0000-0000-00000C320000}"/>
    <cellStyle name="Ergebnis" xfId="19881" hidden="1" xr:uid="{00000000-0005-0000-0000-0000E6310000}"/>
    <cellStyle name="Ergebnis" xfId="15105" hidden="1" xr:uid="{00000000-0005-0000-0000-0000E2310000}"/>
    <cellStyle name="Ergebnis" xfId="16338" hidden="1" xr:uid="{00000000-0005-0000-0000-0000F1310000}"/>
    <cellStyle name="Ergebnis" xfId="19827" hidden="1" xr:uid="{00000000-0005-0000-0000-0000E4310000}"/>
    <cellStyle name="Ergebnis" xfId="14659" hidden="1" xr:uid="{00000000-0005-0000-0000-0000ED310000}"/>
    <cellStyle name="Ergebnis" xfId="13776" hidden="1" xr:uid="{00000000-0005-0000-0000-000002320000}"/>
    <cellStyle name="Ergebnis" xfId="16816" hidden="1" xr:uid="{00000000-0005-0000-0000-000003320000}"/>
    <cellStyle name="Ergebnis" xfId="16848" hidden="1" xr:uid="{00000000-0005-0000-0000-000004320000}"/>
    <cellStyle name="Ergebnis" xfId="17196" hidden="1" xr:uid="{00000000-0005-0000-0000-000015320000}"/>
    <cellStyle name="Ergebnis" xfId="17927" hidden="1" xr:uid="{00000000-0005-0000-0000-000016320000}"/>
    <cellStyle name="Ergebnis" xfId="17959" hidden="1" xr:uid="{00000000-0005-0000-0000-000017320000}"/>
    <cellStyle name="Ergebnis" xfId="16386" hidden="1" xr:uid="{00000000-0005-0000-0000-0000F2310000}"/>
    <cellStyle name="Ergebnis" xfId="14686" hidden="1" xr:uid="{00000000-0005-0000-0000-0000EE310000}"/>
    <cellStyle name="Ergebnis" xfId="16700" hidden="1" xr:uid="{00000000-0005-0000-0000-0000FD310000}"/>
    <cellStyle name="Ergebnis" xfId="16322" hidden="1" xr:uid="{00000000-0005-0000-0000-0000F0310000}"/>
    <cellStyle name="Ergebnis" xfId="16620" hidden="1" xr:uid="{00000000-0005-0000-0000-0000F9310000}"/>
    <cellStyle name="Ergebnis" xfId="17764" hidden="1" xr:uid="{00000000-0005-0000-0000-00000D320000}"/>
    <cellStyle name="Ergebnis" xfId="17780" hidden="1" xr:uid="{00000000-0005-0000-0000-00000E320000}"/>
    <cellStyle name="Ergebnis" xfId="17825" hidden="1" xr:uid="{00000000-0005-0000-0000-00000F320000}"/>
    <cellStyle name="Ergebnis" xfId="18602" hidden="1" xr:uid="{00000000-0005-0000-0000-0000B1310000}"/>
    <cellStyle name="Ergebnis" xfId="18634" hidden="1" xr:uid="{00000000-0005-0000-0000-0000B2310000}"/>
    <cellStyle name="Ergebnis" xfId="16290" hidden="1" xr:uid="{00000000-0005-0000-0000-0000EF310000}"/>
    <cellStyle name="Ergebnis" xfId="19148" hidden="1" xr:uid="{00000000-0005-0000-0000-0000D8310000}"/>
    <cellStyle name="Ergebnis" xfId="19665" hidden="1" xr:uid="{00000000-0005-0000-0000-0000D9310000}"/>
    <cellStyle name="Ergebnis" xfId="19697" hidden="1" xr:uid="{00000000-0005-0000-0000-0000DA310000}"/>
    <cellStyle name="Ergebnis" xfId="19713" hidden="1" xr:uid="{00000000-0005-0000-0000-0000DB310000}"/>
    <cellStyle name="Ergebnis" xfId="18371" hidden="1" xr:uid="{00000000-0005-0000-0000-0000B7310000}"/>
    <cellStyle name="Ergebnis" xfId="18233" hidden="1" xr:uid="{00000000-0005-0000-0000-0000B8310000}"/>
    <cellStyle name="Ergebnis" xfId="14939" hidden="1" xr:uid="{00000000-0005-0000-0000-0000B9310000}"/>
    <cellStyle name="Ergebnis" xfId="18226" hidden="1" xr:uid="{00000000-0005-0000-0000-0000BA310000}"/>
    <cellStyle name="Ergebnis" xfId="18772" hidden="1" xr:uid="{00000000-0005-0000-0000-0000BB310000}"/>
    <cellStyle name="Ergebnis" xfId="18804" hidden="1" xr:uid="{00000000-0005-0000-0000-0000BC310000}"/>
    <cellStyle name="Ergebnis" xfId="18820" hidden="1" xr:uid="{00000000-0005-0000-0000-0000BD310000}"/>
    <cellStyle name="Ergebnis" xfId="18865" hidden="1" xr:uid="{00000000-0005-0000-0000-0000BE310000}"/>
    <cellStyle name="Ergebnis" xfId="18849" hidden="1" xr:uid="{00000000-0005-0000-0000-0000BF310000}"/>
    <cellStyle name="Ergebnis" xfId="16746" hidden="1" xr:uid="{00000000-0005-0000-0000-0000C0310000}"/>
    <cellStyle name="Ergebnis" xfId="14454" hidden="1" xr:uid="{00000000-0005-0000-0000-0000C1310000}"/>
    <cellStyle name="Ergebnis" xfId="15474" hidden="1" xr:uid="{00000000-0005-0000-0000-0000C2310000}"/>
    <cellStyle name="Ergebnis" xfId="18135" hidden="1" xr:uid="{00000000-0005-0000-0000-0000C3310000}"/>
    <cellStyle name="Ergebnis" xfId="17867" hidden="1" xr:uid="{00000000-0005-0000-0000-0000C4310000}"/>
    <cellStyle name="Ergebnis" xfId="18924" hidden="1" xr:uid="{00000000-0005-0000-0000-0000C5310000}"/>
    <cellStyle name="Ergebnis" xfId="18956" hidden="1" xr:uid="{00000000-0005-0000-0000-0000C6310000}"/>
    <cellStyle name="Ergebnis" xfId="18972" hidden="1" xr:uid="{00000000-0005-0000-0000-0000C7310000}"/>
    <cellStyle name="Ergebnis" xfId="19020" hidden="1" xr:uid="{00000000-0005-0000-0000-0000C8310000}"/>
    <cellStyle name="Ergebnis" xfId="19004" hidden="1" xr:uid="{00000000-0005-0000-0000-0000C9310000}"/>
    <cellStyle name="Ergebnis" xfId="15081" hidden="1" xr:uid="{00000000-0005-0000-0000-0000CA310000}"/>
    <cellStyle name="Ergebnis" xfId="18164" hidden="1" xr:uid="{00000000-0005-0000-0000-0000CB310000}"/>
    <cellStyle name="Ergebnis" xfId="14259" hidden="1" xr:uid="{00000000-0005-0000-0000-0000CC310000}"/>
    <cellStyle name="Ergebnis" xfId="16443" hidden="1" xr:uid="{00000000-0005-0000-0000-0000CD310000}"/>
    <cellStyle name="Ergebnis" xfId="14139" hidden="1" xr:uid="{00000000-0005-0000-0000-0000CE310000}"/>
    <cellStyle name="Ergebnis" xfId="19533" hidden="1" xr:uid="{00000000-0005-0000-0000-0000CF310000}"/>
    <cellStyle name="Ergebnis" xfId="19565" hidden="1" xr:uid="{00000000-0005-0000-0000-0000D0310000}"/>
    <cellStyle name="Ergebnis" xfId="19581" hidden="1" xr:uid="{00000000-0005-0000-0000-0000D1310000}"/>
    <cellStyle name="Ergebnis" xfId="19622" hidden="1" xr:uid="{00000000-0005-0000-0000-0000D2310000}"/>
    <cellStyle name="Ergebnis" xfId="19606" hidden="1" xr:uid="{00000000-0005-0000-0000-0000D3310000}"/>
    <cellStyle name="Ergebnis" xfId="14657" hidden="1" xr:uid="{00000000-0005-0000-0000-0000D4310000}"/>
    <cellStyle name="Ergebnis" xfId="19377" hidden="1" xr:uid="{00000000-0005-0000-0000-0000D5310000}"/>
    <cellStyle name="Ergebnis" xfId="18760" hidden="1" xr:uid="{00000000-0005-0000-0000-0000D6310000}"/>
    <cellStyle name="Ergebnis" xfId="19173" hidden="1" xr:uid="{00000000-0005-0000-0000-0000D7310000}"/>
    <cellStyle name="Ergebnis" xfId="18691" hidden="1" xr:uid="{00000000-0005-0000-0000-0000B4310000}"/>
    <cellStyle name="Ergebnis" xfId="18675" hidden="1" xr:uid="{00000000-0005-0000-0000-0000B5310000}"/>
    <cellStyle name="Ergebnis" xfId="12687" hidden="1" xr:uid="{00000000-0005-0000-0000-00004B320000}"/>
    <cellStyle name="Ergebnis" xfId="19761" hidden="1" xr:uid="{00000000-0005-0000-0000-0000DC310000}"/>
    <cellStyle name="Ergebnis" xfId="19745" hidden="1" xr:uid="{00000000-0005-0000-0000-0000DD310000}"/>
    <cellStyle name="Ergebnis" xfId="16896" hidden="1" xr:uid="{00000000-0005-0000-0000-000006320000}"/>
    <cellStyle name="Ergebnis" xfId="15893" hidden="1" xr:uid="{00000000-0005-0000-0000-000013320000}"/>
    <cellStyle name="Ergebnis" xfId="16785" hidden="1" xr:uid="{00000000-0005-0000-0000-000007320000}"/>
    <cellStyle name="Ergebnis" xfId="17809" hidden="1" xr:uid="{00000000-0005-0000-0000-000010320000}"/>
    <cellStyle name="Ergebnis" xfId="15856" hidden="1" xr:uid="{00000000-0005-0000-0000-000009320000}"/>
    <cellStyle name="Ergebnis" xfId="16912" hidden="1" xr:uid="{00000000-0005-0000-0000-00001A320000}"/>
    <cellStyle name="Ergebnis" xfId="13527" hidden="1" xr:uid="{00000000-0005-0000-0000-000042320000}"/>
    <cellStyle name="Ergebnis 2" xfId="406" xr:uid="{00000000-0005-0000-0000-00004C320000}"/>
    <cellStyle name="Ergebnis 2 10" xfId="8696" xr:uid="{00000000-0005-0000-0000-00004D320000}"/>
    <cellStyle name="Ergebnis 2 11" xfId="8820" xr:uid="{00000000-0005-0000-0000-00004E320000}"/>
    <cellStyle name="Ergebnis 2 12" xfId="10727" xr:uid="{00000000-0005-0000-0000-00004F320000}"/>
    <cellStyle name="Ergebnis 2 13" xfId="10885" xr:uid="{00000000-0005-0000-0000-000050320000}"/>
    <cellStyle name="Ergebnis 2 14" xfId="11178" xr:uid="{00000000-0005-0000-0000-000051320000}"/>
    <cellStyle name="Ergebnis 2 15" xfId="12255" xr:uid="{00000000-0005-0000-0000-000052320000}"/>
    <cellStyle name="Ergebnis 2 16" xfId="16427" xr:uid="{00000000-0005-0000-0000-000053320000}"/>
    <cellStyle name="Ergebnis 2 17" xfId="17554" xr:uid="{00000000-0005-0000-0000-000054320000}"/>
    <cellStyle name="Ergebnis 2 18" xfId="16951" xr:uid="{00000000-0005-0000-0000-000055320000}"/>
    <cellStyle name="Ergebnis 2 19" xfId="19481" xr:uid="{00000000-0005-0000-0000-000056320000}"/>
    <cellStyle name="Ergebnis 2 2" xfId="662" xr:uid="{00000000-0005-0000-0000-000057320000}"/>
    <cellStyle name="Ergebnis 2 2 10" xfId="8704" xr:uid="{00000000-0005-0000-0000-000058320000}"/>
    <cellStyle name="Ergebnis 2 2 11" xfId="11129" xr:uid="{00000000-0005-0000-0000-000059320000}"/>
    <cellStyle name="Ergebnis 2 2 12" xfId="11516" xr:uid="{00000000-0005-0000-0000-00005A320000}"/>
    <cellStyle name="Ergebnis 2 2 13" xfId="11888" xr:uid="{00000000-0005-0000-0000-00005B320000}"/>
    <cellStyle name="Ergebnis 2 2 14" xfId="12401" xr:uid="{00000000-0005-0000-0000-00005C320000}"/>
    <cellStyle name="Ergebnis 2 2 15" xfId="15066" xr:uid="{00000000-0005-0000-0000-00005D320000}"/>
    <cellStyle name="Ergebnis 2 2 16" xfId="16487" xr:uid="{00000000-0005-0000-0000-00005E320000}"/>
    <cellStyle name="Ergebnis 2 2 17" xfId="18394" xr:uid="{00000000-0005-0000-0000-00005F320000}"/>
    <cellStyle name="Ergebnis 2 2 18" xfId="15757" xr:uid="{00000000-0005-0000-0000-000060320000}"/>
    <cellStyle name="Ergebnis 2 2 2" xfId="877" xr:uid="{00000000-0005-0000-0000-000061320000}"/>
    <cellStyle name="Ergebnis 2 2 2 10" xfId="11338" xr:uid="{00000000-0005-0000-0000-000062320000}"/>
    <cellStyle name="Ergebnis 2 2 2 11" xfId="11723" xr:uid="{00000000-0005-0000-0000-000063320000}"/>
    <cellStyle name="Ergebnis 2 2 2 12" xfId="12094" xr:uid="{00000000-0005-0000-0000-000064320000}"/>
    <cellStyle name="Ergebnis 2 2 2 13" xfId="12607" xr:uid="{00000000-0005-0000-0000-000065320000}"/>
    <cellStyle name="Ergebnis 2 2 2 14" xfId="14539" xr:uid="{00000000-0005-0000-0000-000066320000}"/>
    <cellStyle name="Ergebnis 2 2 2 15" xfId="17460" xr:uid="{00000000-0005-0000-0000-000067320000}"/>
    <cellStyle name="Ergebnis 2 2 2 16" xfId="15461" xr:uid="{00000000-0005-0000-0000-000068320000}"/>
    <cellStyle name="Ergebnis 2 2 2 17" xfId="17682" xr:uid="{00000000-0005-0000-0000-000069320000}"/>
    <cellStyle name="Ergebnis 2 2 2 2" xfId="947" xr:uid="{00000000-0005-0000-0000-00006A320000}"/>
    <cellStyle name="Ergebnis 2 2 2 2 2" xfId="12676" xr:uid="{00000000-0005-0000-0000-00006B320000}"/>
    <cellStyle name="Ergebnis 2 2 2 2 3" xfId="15263" xr:uid="{00000000-0005-0000-0000-00006C320000}"/>
    <cellStyle name="Ergebnis 2 2 2 2 4" xfId="17434" xr:uid="{00000000-0005-0000-0000-00006D320000}"/>
    <cellStyle name="Ergebnis 2 2 2 2 5" xfId="14014" xr:uid="{00000000-0005-0000-0000-00006E320000}"/>
    <cellStyle name="Ergebnis 2 2 2 2 6" xfId="19386" xr:uid="{00000000-0005-0000-0000-00006F320000}"/>
    <cellStyle name="Ergebnis 2 2 2 3" xfId="4149" xr:uid="{00000000-0005-0000-0000-000070320000}"/>
    <cellStyle name="Ergebnis 2 2 2 4" xfId="8495" xr:uid="{00000000-0005-0000-0000-000071320000}"/>
    <cellStyle name="Ergebnis 2 2 2 5" xfId="9350" xr:uid="{00000000-0005-0000-0000-000072320000}"/>
    <cellStyle name="Ergebnis 2 2 2 6" xfId="9778" xr:uid="{00000000-0005-0000-0000-000073320000}"/>
    <cellStyle name="Ergebnis 2 2 2 7" xfId="10207" xr:uid="{00000000-0005-0000-0000-000074320000}"/>
    <cellStyle name="Ergebnis 2 2 2 8" xfId="10619" xr:uid="{00000000-0005-0000-0000-000075320000}"/>
    <cellStyle name="Ergebnis 2 2 2 9" xfId="10928" xr:uid="{00000000-0005-0000-0000-000076320000}"/>
    <cellStyle name="Ergebnis 2 2 3" xfId="1246" xr:uid="{00000000-0005-0000-0000-000077320000}"/>
    <cellStyle name="Ergebnis 2 2 3 2" xfId="12975" xr:uid="{00000000-0005-0000-0000-000078320000}"/>
    <cellStyle name="Ergebnis 2 2 3 3" xfId="15389" xr:uid="{00000000-0005-0000-0000-000079320000}"/>
    <cellStyle name="Ergebnis 2 2 3 4" xfId="17223" xr:uid="{00000000-0005-0000-0000-00007A320000}"/>
    <cellStyle name="Ergebnis 2 2 3 5" xfId="14479" xr:uid="{00000000-0005-0000-0000-00007B320000}"/>
    <cellStyle name="Ergebnis 2 2 3 6" xfId="19175" xr:uid="{00000000-0005-0000-0000-00007C320000}"/>
    <cellStyle name="Ergebnis 2 2 4" xfId="3591" xr:uid="{00000000-0005-0000-0000-00007D320000}"/>
    <cellStyle name="Ergebnis 2 2 5" xfId="8384" xr:uid="{00000000-0005-0000-0000-00007E320000}"/>
    <cellStyle name="Ergebnis 2 2 6" xfId="8550" xr:uid="{00000000-0005-0000-0000-00007F320000}"/>
    <cellStyle name="Ergebnis 2 2 7" xfId="9566" xr:uid="{00000000-0005-0000-0000-000080320000}"/>
    <cellStyle name="Ergebnis 2 2 8" xfId="9993" xr:uid="{00000000-0005-0000-0000-000081320000}"/>
    <cellStyle name="Ergebnis 2 2 9" xfId="10405" xr:uid="{00000000-0005-0000-0000-000082320000}"/>
    <cellStyle name="Ergebnis 2 3" xfId="594" xr:uid="{00000000-0005-0000-0000-000083320000}"/>
    <cellStyle name="Ergebnis 2 3 10" xfId="9186" xr:uid="{00000000-0005-0000-0000-000084320000}"/>
    <cellStyle name="Ergebnis 2 3 11" xfId="11061" xr:uid="{00000000-0005-0000-0000-000085320000}"/>
    <cellStyle name="Ergebnis 2 3 12" xfId="11448" xr:uid="{00000000-0005-0000-0000-000086320000}"/>
    <cellStyle name="Ergebnis 2 3 13" xfId="11820" xr:uid="{00000000-0005-0000-0000-000087320000}"/>
    <cellStyle name="Ergebnis 2 3 14" xfId="12333" xr:uid="{00000000-0005-0000-0000-000088320000}"/>
    <cellStyle name="Ergebnis 2 3 15" xfId="16231" xr:uid="{00000000-0005-0000-0000-000089320000}"/>
    <cellStyle name="Ergebnis 2 3 16" xfId="14120" xr:uid="{00000000-0005-0000-0000-00008A320000}"/>
    <cellStyle name="Ergebnis 2 3 17" xfId="18577" xr:uid="{00000000-0005-0000-0000-00008B320000}"/>
    <cellStyle name="Ergebnis 2 3 18" xfId="18107" xr:uid="{00000000-0005-0000-0000-00008C320000}"/>
    <cellStyle name="Ergebnis 2 3 2" xfId="809" xr:uid="{00000000-0005-0000-0000-00008D320000}"/>
    <cellStyle name="Ergebnis 2 3 2 10" xfId="11270" xr:uid="{00000000-0005-0000-0000-00008E320000}"/>
    <cellStyle name="Ergebnis 2 3 2 11" xfId="11655" xr:uid="{00000000-0005-0000-0000-00008F320000}"/>
    <cellStyle name="Ergebnis 2 3 2 12" xfId="12026" xr:uid="{00000000-0005-0000-0000-000090320000}"/>
    <cellStyle name="Ergebnis 2 3 2 13" xfId="12539" xr:uid="{00000000-0005-0000-0000-000091320000}"/>
    <cellStyle name="Ergebnis 2 3 2 14" xfId="14351" xr:uid="{00000000-0005-0000-0000-000092320000}"/>
    <cellStyle name="Ergebnis 2 3 2 15" xfId="17465" xr:uid="{00000000-0005-0000-0000-000093320000}"/>
    <cellStyle name="Ergebnis 2 3 2 16" xfId="18446" xr:uid="{00000000-0005-0000-0000-000094320000}"/>
    <cellStyle name="Ergebnis 2 3 2 17" xfId="15647" xr:uid="{00000000-0005-0000-0000-000095320000}"/>
    <cellStyle name="Ergebnis 2 3 2 2" xfId="1045" xr:uid="{00000000-0005-0000-0000-000096320000}"/>
    <cellStyle name="Ergebnis 2 3 2 2 2" xfId="12774" xr:uid="{00000000-0005-0000-0000-000097320000}"/>
    <cellStyle name="Ergebnis 2 3 2 2 3" xfId="15303" xr:uid="{00000000-0005-0000-0000-000098320000}"/>
    <cellStyle name="Ergebnis 2 3 2 2 4" xfId="17377" xr:uid="{00000000-0005-0000-0000-000099320000}"/>
    <cellStyle name="Ergebnis 2 3 2 2 5" xfId="16780" xr:uid="{00000000-0005-0000-0000-00009A320000}"/>
    <cellStyle name="Ergebnis 2 3 2 2 6" xfId="19329" xr:uid="{00000000-0005-0000-0000-00009B320000}"/>
    <cellStyle name="Ergebnis 2 3 2 3" xfId="3718" xr:uid="{00000000-0005-0000-0000-00009C320000}"/>
    <cellStyle name="Ergebnis 2 3 2 4" xfId="8463" xr:uid="{00000000-0005-0000-0000-00009D320000}"/>
    <cellStyle name="Ergebnis 2 3 2 5" xfId="9284" xr:uid="{00000000-0005-0000-0000-00009E320000}"/>
    <cellStyle name="Ergebnis 2 3 2 6" xfId="9710" xr:uid="{00000000-0005-0000-0000-00009F320000}"/>
    <cellStyle name="Ergebnis 2 3 2 7" xfId="10139" xr:uid="{00000000-0005-0000-0000-0000A0320000}"/>
    <cellStyle name="Ergebnis 2 3 2 8" xfId="10551" xr:uid="{00000000-0005-0000-0000-0000A1320000}"/>
    <cellStyle name="Ergebnis 2 3 2 9" xfId="8967" xr:uid="{00000000-0005-0000-0000-0000A2320000}"/>
    <cellStyle name="Ergebnis 2 3 3" xfId="1075" xr:uid="{00000000-0005-0000-0000-0000A3320000}"/>
    <cellStyle name="Ergebnis 2 3 3 2" xfId="12804" xr:uid="{00000000-0005-0000-0000-0000A4320000}"/>
    <cellStyle name="Ergebnis 2 3 3 3" xfId="15318" xr:uid="{00000000-0005-0000-0000-0000A5320000}"/>
    <cellStyle name="Ergebnis 2 3 3 4" xfId="15614" xr:uid="{00000000-0005-0000-0000-0000A6320000}"/>
    <cellStyle name="Ergebnis 2 3 3 5" xfId="17648" xr:uid="{00000000-0005-0000-0000-0000A7320000}"/>
    <cellStyle name="Ergebnis 2 3 3 6" xfId="19308" xr:uid="{00000000-0005-0000-0000-0000A8320000}"/>
    <cellStyle name="Ergebnis 2 3 4" xfId="3635" xr:uid="{00000000-0005-0000-0000-0000A9320000}"/>
    <cellStyle name="Ergebnis 2 3 5" xfId="8353" xr:uid="{00000000-0005-0000-0000-0000AA320000}"/>
    <cellStyle name="Ergebnis 2 3 6" xfId="9212" xr:uid="{00000000-0005-0000-0000-0000AB320000}"/>
    <cellStyle name="Ergebnis 2 3 7" xfId="9498" xr:uid="{00000000-0005-0000-0000-0000AC320000}"/>
    <cellStyle name="Ergebnis 2 3 8" xfId="9925" xr:uid="{00000000-0005-0000-0000-0000AD320000}"/>
    <cellStyle name="Ergebnis 2 3 9" xfId="10337" xr:uid="{00000000-0005-0000-0000-0000AE320000}"/>
    <cellStyle name="Ergebnis 2 4" xfId="585" xr:uid="{00000000-0005-0000-0000-0000AF320000}"/>
    <cellStyle name="Ergebnis 2 4 10" xfId="10774" xr:uid="{00000000-0005-0000-0000-0000B0320000}"/>
    <cellStyle name="Ergebnis 2 4 11" xfId="11052" xr:uid="{00000000-0005-0000-0000-0000B1320000}"/>
    <cellStyle name="Ergebnis 2 4 12" xfId="11439" xr:uid="{00000000-0005-0000-0000-0000B2320000}"/>
    <cellStyle name="Ergebnis 2 4 13" xfId="11811" xr:uid="{00000000-0005-0000-0000-0000B3320000}"/>
    <cellStyle name="Ergebnis 2 4 14" xfId="12324" xr:uid="{00000000-0005-0000-0000-0000B4320000}"/>
    <cellStyle name="Ergebnis 2 4 15" xfId="15816" xr:uid="{00000000-0005-0000-0000-0000B5320000}"/>
    <cellStyle name="Ergebnis 2 4 16" xfId="14936" xr:uid="{00000000-0005-0000-0000-0000B6320000}"/>
    <cellStyle name="Ergebnis 2 4 17" xfId="18420" xr:uid="{00000000-0005-0000-0000-0000B7320000}"/>
    <cellStyle name="Ergebnis 2 4 18" xfId="18444" xr:uid="{00000000-0005-0000-0000-0000B8320000}"/>
    <cellStyle name="Ergebnis 2 4 2" xfId="800" xr:uid="{00000000-0005-0000-0000-0000B9320000}"/>
    <cellStyle name="Ergebnis 2 4 2 10" xfId="11261" xr:uid="{00000000-0005-0000-0000-0000BA320000}"/>
    <cellStyle name="Ergebnis 2 4 2 11" xfId="11646" xr:uid="{00000000-0005-0000-0000-0000BB320000}"/>
    <cellStyle name="Ergebnis 2 4 2 12" xfId="12017" xr:uid="{00000000-0005-0000-0000-0000BC320000}"/>
    <cellStyle name="Ergebnis 2 4 2 13" xfId="12530" xr:uid="{00000000-0005-0000-0000-0000BD320000}"/>
    <cellStyle name="Ergebnis 2 4 2 14" xfId="14200" xr:uid="{00000000-0005-0000-0000-0000BE320000}"/>
    <cellStyle name="Ergebnis 2 4 2 15" xfId="17469" xr:uid="{00000000-0005-0000-0000-0000BF320000}"/>
    <cellStyle name="Ergebnis 2 4 2 16" xfId="16195" xr:uid="{00000000-0005-0000-0000-0000C0320000}"/>
    <cellStyle name="Ergebnis 2 4 2 17" xfId="16540" xr:uid="{00000000-0005-0000-0000-0000C1320000}"/>
    <cellStyle name="Ergebnis 2 4 2 2" xfId="1060" xr:uid="{00000000-0005-0000-0000-0000C2320000}"/>
    <cellStyle name="Ergebnis 2 4 2 2 2" xfId="12789" xr:uid="{00000000-0005-0000-0000-0000C3320000}"/>
    <cellStyle name="Ergebnis 2 4 2 2 3" xfId="15311" xr:uid="{00000000-0005-0000-0000-0000C4320000}"/>
    <cellStyle name="Ergebnis 2 4 2 2 4" xfId="14167" xr:uid="{00000000-0005-0000-0000-0000C5320000}"/>
    <cellStyle name="Ergebnis 2 4 2 2 5" xfId="13832" xr:uid="{00000000-0005-0000-0000-0000C6320000}"/>
    <cellStyle name="Ergebnis 2 4 2 2 6" xfId="19320" xr:uid="{00000000-0005-0000-0000-0000C7320000}"/>
    <cellStyle name="Ergebnis 2 4 2 3" xfId="3325" xr:uid="{00000000-0005-0000-0000-0000C8320000}"/>
    <cellStyle name="Ergebnis 2 4 2 4" xfId="8460" xr:uid="{00000000-0005-0000-0000-0000C9320000}"/>
    <cellStyle name="Ergebnis 2 4 2 5" xfId="8879" xr:uid="{00000000-0005-0000-0000-0000CA320000}"/>
    <cellStyle name="Ergebnis 2 4 2 6" xfId="9701" xr:uid="{00000000-0005-0000-0000-0000CB320000}"/>
    <cellStyle name="Ergebnis 2 4 2 7" xfId="10130" xr:uid="{00000000-0005-0000-0000-0000CC320000}"/>
    <cellStyle name="Ergebnis 2 4 2 8" xfId="10542" xr:uid="{00000000-0005-0000-0000-0000CD320000}"/>
    <cellStyle name="Ergebnis 2 4 2 9" xfId="9117" xr:uid="{00000000-0005-0000-0000-0000CE320000}"/>
    <cellStyle name="Ergebnis 2 4 3" xfId="1304" xr:uid="{00000000-0005-0000-0000-0000CF320000}"/>
    <cellStyle name="Ergebnis 2 4 3 2" xfId="13033" xr:uid="{00000000-0005-0000-0000-0000D0320000}"/>
    <cellStyle name="Ergebnis 2 4 3 3" xfId="13862" xr:uid="{00000000-0005-0000-0000-0000D1320000}"/>
    <cellStyle name="Ergebnis 2 4 3 4" xfId="17181" xr:uid="{00000000-0005-0000-0000-0000D2320000}"/>
    <cellStyle name="Ergebnis 2 4 3 5" xfId="15646" xr:uid="{00000000-0005-0000-0000-0000D3320000}"/>
    <cellStyle name="Ergebnis 2 4 3 6" xfId="19133" xr:uid="{00000000-0005-0000-0000-0000D4320000}"/>
    <cellStyle name="Ergebnis 2 4 4" xfId="3514" xr:uid="{00000000-0005-0000-0000-0000D5320000}"/>
    <cellStyle name="Ergebnis 2 4 5" xfId="8350" xr:uid="{00000000-0005-0000-0000-0000D6320000}"/>
    <cellStyle name="Ergebnis 2 4 6" xfId="9190" xr:uid="{00000000-0005-0000-0000-0000D7320000}"/>
    <cellStyle name="Ergebnis 2 4 7" xfId="9489" xr:uid="{00000000-0005-0000-0000-0000D8320000}"/>
    <cellStyle name="Ergebnis 2 4 8" xfId="9916" xr:uid="{00000000-0005-0000-0000-0000D9320000}"/>
    <cellStyle name="Ergebnis 2 4 9" xfId="10328" xr:uid="{00000000-0005-0000-0000-0000DA320000}"/>
    <cellStyle name="Ergebnis 2 5" xfId="720" xr:uid="{00000000-0005-0000-0000-0000DB320000}"/>
    <cellStyle name="Ergebnis 2 5 10" xfId="11181" xr:uid="{00000000-0005-0000-0000-0000DC320000}"/>
    <cellStyle name="Ergebnis 2 5 11" xfId="11566" xr:uid="{00000000-0005-0000-0000-0000DD320000}"/>
    <cellStyle name="Ergebnis 2 5 12" xfId="11937" xr:uid="{00000000-0005-0000-0000-0000DE320000}"/>
    <cellStyle name="Ergebnis 2 5 13" xfId="12450" xr:uid="{00000000-0005-0000-0000-0000DF320000}"/>
    <cellStyle name="Ergebnis 2 5 14" xfId="15226" xr:uid="{00000000-0005-0000-0000-0000E0320000}"/>
    <cellStyle name="Ergebnis 2 5 15" xfId="17495" xr:uid="{00000000-0005-0000-0000-0000E1320000}"/>
    <cellStyle name="Ergebnis 2 5 16" xfId="14767" xr:uid="{00000000-0005-0000-0000-0000E2320000}"/>
    <cellStyle name="Ergebnis 2 5 17" xfId="19447" xr:uid="{00000000-0005-0000-0000-0000E3320000}"/>
    <cellStyle name="Ergebnis 2 5 2" xfId="1236" xr:uid="{00000000-0005-0000-0000-0000E4320000}"/>
    <cellStyle name="Ergebnis 2 5 2 2" xfId="12965" xr:uid="{00000000-0005-0000-0000-0000E5320000}"/>
    <cellStyle name="Ergebnis 2 5 2 3" xfId="14561" xr:uid="{00000000-0005-0000-0000-0000E6320000}"/>
    <cellStyle name="Ergebnis 2 5 2 4" xfId="17230" xr:uid="{00000000-0005-0000-0000-0000E7320000}"/>
    <cellStyle name="Ergebnis 2 5 2 5" xfId="15959" xr:uid="{00000000-0005-0000-0000-0000E8320000}"/>
    <cellStyle name="Ergebnis 2 5 2 6" xfId="18756" xr:uid="{00000000-0005-0000-0000-0000E9320000}"/>
    <cellStyle name="Ergebnis 2 5 3" xfId="3408" xr:uid="{00000000-0005-0000-0000-0000EA320000}"/>
    <cellStyle name="Ergebnis 2 5 4" xfId="8419" xr:uid="{00000000-0005-0000-0000-0000EB320000}"/>
    <cellStyle name="Ergebnis 2 5 5" xfId="8717" xr:uid="{00000000-0005-0000-0000-0000EC320000}"/>
    <cellStyle name="Ergebnis 2 5 6" xfId="9621" xr:uid="{00000000-0005-0000-0000-0000ED320000}"/>
    <cellStyle name="Ergebnis 2 5 7" xfId="10050" xr:uid="{00000000-0005-0000-0000-0000EE320000}"/>
    <cellStyle name="Ergebnis 2 5 8" xfId="10462" xr:uid="{00000000-0005-0000-0000-0000EF320000}"/>
    <cellStyle name="Ergebnis 2 5 9" xfId="10825" xr:uid="{00000000-0005-0000-0000-0000F0320000}"/>
    <cellStyle name="Ergebnis 2 6" xfId="1213" xr:uid="{00000000-0005-0000-0000-0000F1320000}"/>
    <cellStyle name="Ergebnis 2 6 2" xfId="12942" xr:uid="{00000000-0005-0000-0000-0000F2320000}"/>
    <cellStyle name="Ergebnis 2 6 3" xfId="13859" xr:uid="{00000000-0005-0000-0000-0000F3320000}"/>
    <cellStyle name="Ergebnis 2 6 4" xfId="17247" xr:uid="{00000000-0005-0000-0000-0000F4320000}"/>
    <cellStyle name="Ergebnis 2 6 5" xfId="17030" xr:uid="{00000000-0005-0000-0000-0000F5320000}"/>
    <cellStyle name="Ergebnis 2 6 6" xfId="19199" xr:uid="{00000000-0005-0000-0000-0000F6320000}"/>
    <cellStyle name="Ergebnis 2 7" xfId="4046" xr:uid="{00000000-0005-0000-0000-0000F7320000}"/>
    <cellStyle name="Ergebnis 2 8" xfId="8311" xr:uid="{00000000-0005-0000-0000-0000F8320000}"/>
    <cellStyle name="Ergebnis 2 9" xfId="9231" xr:uid="{00000000-0005-0000-0000-0000F9320000}"/>
    <cellStyle name="Ergebnis 3" xfId="299" xr:uid="{00000000-0005-0000-0000-0000FA320000}"/>
    <cellStyle name="Ergebnis 3 10" xfId="9163" xr:uid="{00000000-0005-0000-0000-0000FB320000}"/>
    <cellStyle name="Ergebnis 3 11" xfId="9316" xr:uid="{00000000-0005-0000-0000-0000FC320000}"/>
    <cellStyle name="Ergebnis 3 12" xfId="10648" xr:uid="{00000000-0005-0000-0000-0000FD320000}"/>
    <cellStyle name="Ergebnis 3 13" xfId="10037" xr:uid="{00000000-0005-0000-0000-0000FE320000}"/>
    <cellStyle name="Ergebnis 3 14" xfId="10713" xr:uid="{00000000-0005-0000-0000-0000FF320000}"/>
    <cellStyle name="Ergebnis 3 15" xfId="12247" xr:uid="{00000000-0005-0000-0000-000000330000}"/>
    <cellStyle name="Ergebnis 3 16" xfId="16496" xr:uid="{00000000-0005-0000-0000-000001330000}"/>
    <cellStyle name="Ergebnis 3 17" xfId="17610" xr:uid="{00000000-0005-0000-0000-000002330000}"/>
    <cellStyle name="Ergebnis 3 18" xfId="16949" xr:uid="{00000000-0005-0000-0000-000003330000}"/>
    <cellStyle name="Ergebnis 3 19" xfId="19488" xr:uid="{00000000-0005-0000-0000-000004330000}"/>
    <cellStyle name="Ergebnis 3 2" xfId="636" xr:uid="{00000000-0005-0000-0000-000005330000}"/>
    <cellStyle name="Ergebnis 3 2 10" xfId="8590" xr:uid="{00000000-0005-0000-0000-000006330000}"/>
    <cellStyle name="Ergebnis 3 2 11" xfId="11103" xr:uid="{00000000-0005-0000-0000-000007330000}"/>
    <cellStyle name="Ergebnis 3 2 12" xfId="11490" xr:uid="{00000000-0005-0000-0000-000008330000}"/>
    <cellStyle name="Ergebnis 3 2 13" xfId="11862" xr:uid="{00000000-0005-0000-0000-000009330000}"/>
    <cellStyle name="Ergebnis 3 2 14" xfId="12375" xr:uid="{00000000-0005-0000-0000-00000A330000}"/>
    <cellStyle name="Ergebnis 3 2 15" xfId="15016" xr:uid="{00000000-0005-0000-0000-00000B330000}"/>
    <cellStyle name="Ergebnis 3 2 16" xfId="16469" xr:uid="{00000000-0005-0000-0000-00000C330000}"/>
    <cellStyle name="Ergebnis 3 2 17" xfId="14110" xr:uid="{00000000-0005-0000-0000-00000D330000}"/>
    <cellStyle name="Ergebnis 3 2 18" xfId="15459" xr:uid="{00000000-0005-0000-0000-00000E330000}"/>
    <cellStyle name="Ergebnis 3 2 2" xfId="851" xr:uid="{00000000-0005-0000-0000-00000F330000}"/>
    <cellStyle name="Ergebnis 3 2 2 10" xfId="11312" xr:uid="{00000000-0005-0000-0000-000010330000}"/>
    <cellStyle name="Ergebnis 3 2 2 11" xfId="11697" xr:uid="{00000000-0005-0000-0000-000011330000}"/>
    <cellStyle name="Ergebnis 3 2 2 12" xfId="12068" xr:uid="{00000000-0005-0000-0000-000012330000}"/>
    <cellStyle name="Ergebnis 3 2 2 13" xfId="12581" xr:uid="{00000000-0005-0000-0000-000013330000}"/>
    <cellStyle name="Ergebnis 3 2 2 14" xfId="14257" xr:uid="{00000000-0005-0000-0000-000014330000}"/>
    <cellStyle name="Ergebnis 3 2 2 15" xfId="14404" xr:uid="{00000000-0005-0000-0000-000015330000}"/>
    <cellStyle name="Ergebnis 3 2 2 16" xfId="15786" xr:uid="{00000000-0005-0000-0000-000016330000}"/>
    <cellStyle name="Ergebnis 3 2 2 17" xfId="18326" xr:uid="{00000000-0005-0000-0000-000017330000}"/>
    <cellStyle name="Ergebnis 3 2 2 2" xfId="1266" xr:uid="{00000000-0005-0000-0000-000018330000}"/>
    <cellStyle name="Ergebnis 3 2 2 2 2" xfId="12995" xr:uid="{00000000-0005-0000-0000-000019330000}"/>
    <cellStyle name="Ergebnis 3 2 2 2 3" xfId="14923" xr:uid="{00000000-0005-0000-0000-00001A330000}"/>
    <cellStyle name="Ergebnis 3 2 2 2 4" xfId="17209" xr:uid="{00000000-0005-0000-0000-00001B330000}"/>
    <cellStyle name="Ergebnis 3 2 2 2 5" xfId="14480" xr:uid="{00000000-0005-0000-0000-00001C330000}"/>
    <cellStyle name="Ergebnis 3 2 2 2 6" xfId="17591" xr:uid="{00000000-0005-0000-0000-00001D330000}"/>
    <cellStyle name="Ergebnis 3 2 2 3" xfId="3632" xr:uid="{00000000-0005-0000-0000-00001E330000}"/>
    <cellStyle name="Ergebnis 3 2 2 4" xfId="8481" xr:uid="{00000000-0005-0000-0000-00001F330000}"/>
    <cellStyle name="Ergebnis 3 2 2 5" xfId="9324" xr:uid="{00000000-0005-0000-0000-000020330000}"/>
    <cellStyle name="Ergebnis 3 2 2 6" xfId="9752" xr:uid="{00000000-0005-0000-0000-000021330000}"/>
    <cellStyle name="Ergebnis 3 2 2 7" xfId="10181" xr:uid="{00000000-0005-0000-0000-000022330000}"/>
    <cellStyle name="Ergebnis 3 2 2 8" xfId="10593" xr:uid="{00000000-0005-0000-0000-000023330000}"/>
    <cellStyle name="Ergebnis 3 2 2 9" xfId="10725" xr:uid="{00000000-0005-0000-0000-000024330000}"/>
    <cellStyle name="Ergebnis 3 2 3" xfId="1352" xr:uid="{00000000-0005-0000-0000-000025330000}"/>
    <cellStyle name="Ergebnis 3 2 3 2" xfId="13081" xr:uid="{00000000-0005-0000-0000-000026330000}"/>
    <cellStyle name="Ergebnis 3 2 3 3" xfId="13997" xr:uid="{00000000-0005-0000-0000-000027330000}"/>
    <cellStyle name="Ergebnis 3 2 3 4" xfId="14044" xr:uid="{00000000-0005-0000-0000-000028330000}"/>
    <cellStyle name="Ergebnis 3 2 3 5" xfId="14560" xr:uid="{00000000-0005-0000-0000-000029330000}"/>
    <cellStyle name="Ergebnis 3 2 3 6" xfId="19105" xr:uid="{00000000-0005-0000-0000-00002A330000}"/>
    <cellStyle name="Ergebnis 3 2 4" xfId="3990" xr:uid="{00000000-0005-0000-0000-00002B330000}"/>
    <cellStyle name="Ergebnis 3 2 5" xfId="8369" xr:uid="{00000000-0005-0000-0000-00002C330000}"/>
    <cellStyle name="Ergebnis 3 2 6" xfId="8549" xr:uid="{00000000-0005-0000-0000-00002D330000}"/>
    <cellStyle name="Ergebnis 3 2 7" xfId="9540" xr:uid="{00000000-0005-0000-0000-00002E330000}"/>
    <cellStyle name="Ergebnis 3 2 8" xfId="9967" xr:uid="{00000000-0005-0000-0000-00002F330000}"/>
    <cellStyle name="Ergebnis 3 2 9" xfId="10379" xr:uid="{00000000-0005-0000-0000-000030330000}"/>
    <cellStyle name="Ergebnis 3 3" xfId="550" xr:uid="{00000000-0005-0000-0000-000031330000}"/>
    <cellStyle name="Ergebnis 3 3 10" xfId="10655" xr:uid="{00000000-0005-0000-0000-000032330000}"/>
    <cellStyle name="Ergebnis 3 3 11" xfId="11017" xr:uid="{00000000-0005-0000-0000-000033330000}"/>
    <cellStyle name="Ergebnis 3 3 12" xfId="11404" xr:uid="{00000000-0005-0000-0000-000034330000}"/>
    <cellStyle name="Ergebnis 3 3 13" xfId="11776" xr:uid="{00000000-0005-0000-0000-000035330000}"/>
    <cellStyle name="Ergebnis 3 3 14" xfId="12289" xr:uid="{00000000-0005-0000-0000-000036330000}"/>
    <cellStyle name="Ergebnis 3 3 15" xfId="15958" xr:uid="{00000000-0005-0000-0000-000037330000}"/>
    <cellStyle name="Ergebnis 3 3 16" xfId="17524" xr:uid="{00000000-0005-0000-0000-000038330000}"/>
    <cellStyle name="Ergebnis 3 3 17" xfId="18412" xr:uid="{00000000-0005-0000-0000-000039330000}"/>
    <cellStyle name="Ergebnis 3 3 18" xfId="18166" xr:uid="{00000000-0005-0000-0000-00003A330000}"/>
    <cellStyle name="Ergebnis 3 3 2" xfId="765" xr:uid="{00000000-0005-0000-0000-00003B330000}"/>
    <cellStyle name="Ergebnis 3 3 2 10" xfId="11226" xr:uid="{00000000-0005-0000-0000-00003C330000}"/>
    <cellStyle name="Ergebnis 3 3 2 11" xfId="11611" xr:uid="{00000000-0005-0000-0000-00003D330000}"/>
    <cellStyle name="Ergebnis 3 3 2 12" xfId="11982" xr:uid="{00000000-0005-0000-0000-00003E330000}"/>
    <cellStyle name="Ergebnis 3 3 2 13" xfId="12495" xr:uid="{00000000-0005-0000-0000-00003F330000}"/>
    <cellStyle name="Ergebnis 3 3 2 14" xfId="14609" xr:uid="{00000000-0005-0000-0000-000040330000}"/>
    <cellStyle name="Ergebnis 3 3 2 15" xfId="16167" xr:uid="{00000000-0005-0000-0000-000041330000}"/>
    <cellStyle name="Ergebnis 3 3 2 16" xfId="14393" xr:uid="{00000000-0005-0000-0000-000042330000}"/>
    <cellStyle name="Ergebnis 3 3 2 17" xfId="17101" xr:uid="{00000000-0005-0000-0000-000043330000}"/>
    <cellStyle name="Ergebnis 3 3 2 2" xfId="1117" xr:uid="{00000000-0005-0000-0000-000044330000}"/>
    <cellStyle name="Ergebnis 3 3 2 2 2" xfId="12846" xr:uid="{00000000-0005-0000-0000-000045330000}"/>
    <cellStyle name="Ergebnis 3 3 2 2 3" xfId="14278" xr:uid="{00000000-0005-0000-0000-000046330000}"/>
    <cellStyle name="Ergebnis 3 3 2 2 4" xfId="17322" xr:uid="{00000000-0005-0000-0000-000047330000}"/>
    <cellStyle name="Ergebnis 3 3 2 2 5" xfId="15672" xr:uid="{00000000-0005-0000-0000-000048330000}"/>
    <cellStyle name="Ergebnis 3 3 2 2 6" xfId="14101" xr:uid="{00000000-0005-0000-0000-000049330000}"/>
    <cellStyle name="Ergebnis 3 3 2 3" xfId="3623" xr:uid="{00000000-0005-0000-0000-00004A330000}"/>
    <cellStyle name="Ergebnis 3 3 2 4" xfId="8437" xr:uid="{00000000-0005-0000-0000-00004B330000}"/>
    <cellStyle name="Ergebnis 3 3 2 5" xfId="8773" xr:uid="{00000000-0005-0000-0000-00004C330000}"/>
    <cellStyle name="Ergebnis 3 3 2 6" xfId="9666" xr:uid="{00000000-0005-0000-0000-00004D330000}"/>
    <cellStyle name="Ergebnis 3 3 2 7" xfId="10095" xr:uid="{00000000-0005-0000-0000-00004E330000}"/>
    <cellStyle name="Ergebnis 3 3 2 8" xfId="10507" xr:uid="{00000000-0005-0000-0000-00004F330000}"/>
    <cellStyle name="Ergebnis 3 3 2 9" xfId="9838" xr:uid="{00000000-0005-0000-0000-000050330000}"/>
    <cellStyle name="Ergebnis 3 3 3" xfId="1074" xr:uid="{00000000-0005-0000-0000-000051330000}"/>
    <cellStyle name="Ergebnis 3 3 3 2" xfId="12803" xr:uid="{00000000-0005-0000-0000-000052330000}"/>
    <cellStyle name="Ergebnis 3 3 3 3" xfId="14627" xr:uid="{00000000-0005-0000-0000-000053330000}"/>
    <cellStyle name="Ergebnis 3 3 3 4" xfId="17356" xr:uid="{00000000-0005-0000-0000-000054330000}"/>
    <cellStyle name="Ergebnis 3 3 3 5" xfId="17564" xr:uid="{00000000-0005-0000-0000-000055330000}"/>
    <cellStyle name="Ergebnis 3 3 3 6" xfId="18523" xr:uid="{00000000-0005-0000-0000-000056330000}"/>
    <cellStyle name="Ergebnis 3 3 4" xfId="3661" xr:uid="{00000000-0005-0000-0000-000057330000}"/>
    <cellStyle name="Ergebnis 3 3 5" xfId="8329" xr:uid="{00000000-0005-0000-0000-000058330000}"/>
    <cellStyle name="Ergebnis 3 3 6" xfId="9084" xr:uid="{00000000-0005-0000-0000-000059330000}"/>
    <cellStyle name="Ergebnis 3 3 7" xfId="9454" xr:uid="{00000000-0005-0000-0000-00005A330000}"/>
    <cellStyle name="Ergebnis 3 3 8" xfId="9881" xr:uid="{00000000-0005-0000-0000-00005B330000}"/>
    <cellStyle name="Ergebnis 3 3 9" xfId="10293" xr:uid="{00000000-0005-0000-0000-00005C330000}"/>
    <cellStyle name="Ergebnis 3 4" xfId="577" xr:uid="{00000000-0005-0000-0000-00005D330000}"/>
    <cellStyle name="Ergebnis 3 4 10" xfId="8616" xr:uid="{00000000-0005-0000-0000-00005E330000}"/>
    <cellStyle name="Ergebnis 3 4 11" xfId="11044" xr:uid="{00000000-0005-0000-0000-00005F330000}"/>
    <cellStyle name="Ergebnis 3 4 12" xfId="11431" xr:uid="{00000000-0005-0000-0000-000060330000}"/>
    <cellStyle name="Ergebnis 3 4 13" xfId="11803" xr:uid="{00000000-0005-0000-0000-000061330000}"/>
    <cellStyle name="Ergebnis 3 4 14" xfId="12316" xr:uid="{00000000-0005-0000-0000-000062330000}"/>
    <cellStyle name="Ergebnis 3 4 15" xfId="14982" xr:uid="{00000000-0005-0000-0000-000063330000}"/>
    <cellStyle name="Ergebnis 3 4 16" xfId="17520" xr:uid="{00000000-0005-0000-0000-000064330000}"/>
    <cellStyle name="Ergebnis 3 4 17" xfId="15895" xr:uid="{00000000-0005-0000-0000-000065330000}"/>
    <cellStyle name="Ergebnis 3 4 18" xfId="13795" xr:uid="{00000000-0005-0000-0000-000066330000}"/>
    <cellStyle name="Ergebnis 3 4 2" xfId="792" xr:uid="{00000000-0005-0000-0000-000067330000}"/>
    <cellStyle name="Ergebnis 3 4 2 10" xfId="11253" xr:uid="{00000000-0005-0000-0000-000068330000}"/>
    <cellStyle name="Ergebnis 3 4 2 11" xfId="11638" xr:uid="{00000000-0005-0000-0000-000069330000}"/>
    <cellStyle name="Ergebnis 3 4 2 12" xfId="12009" xr:uid="{00000000-0005-0000-0000-00006A330000}"/>
    <cellStyle name="Ergebnis 3 4 2 13" xfId="12522" xr:uid="{00000000-0005-0000-0000-00006B330000}"/>
    <cellStyle name="Ergebnis 3 4 2 14" xfId="13708" xr:uid="{00000000-0005-0000-0000-00006C330000}"/>
    <cellStyle name="Ergebnis 3 4 2 15" xfId="17473" xr:uid="{00000000-0005-0000-0000-00006D330000}"/>
    <cellStyle name="Ergebnis 3 4 2 16" xfId="14671" xr:uid="{00000000-0005-0000-0000-00006E330000}"/>
    <cellStyle name="Ergebnis 3 4 2 17" xfId="16441" xr:uid="{00000000-0005-0000-0000-00006F330000}"/>
    <cellStyle name="Ergebnis 3 4 2 2" xfId="1059" xr:uid="{00000000-0005-0000-0000-000070330000}"/>
    <cellStyle name="Ergebnis 3 4 2 2 2" xfId="12788" xr:uid="{00000000-0005-0000-0000-000071330000}"/>
    <cellStyle name="Ergebnis 3 4 2 2 3" xfId="14704" xr:uid="{00000000-0005-0000-0000-000072330000}"/>
    <cellStyle name="Ergebnis 3 4 2 2 4" xfId="17368" xr:uid="{00000000-0005-0000-0000-000073330000}"/>
    <cellStyle name="Ergebnis 3 4 2 2 5" xfId="17106" xr:uid="{00000000-0005-0000-0000-000074330000}"/>
    <cellStyle name="Ergebnis 3 4 2 2 6" xfId="18745" xr:uid="{00000000-0005-0000-0000-000075330000}"/>
    <cellStyle name="Ergebnis 3 4 2 3" xfId="4006" xr:uid="{00000000-0005-0000-0000-000076330000}"/>
    <cellStyle name="Ergebnis 3 4 2 4" xfId="8456" xr:uid="{00000000-0005-0000-0000-000077330000}"/>
    <cellStyle name="Ergebnis 3 4 2 5" xfId="8630" xr:uid="{00000000-0005-0000-0000-000078330000}"/>
    <cellStyle name="Ergebnis 3 4 2 6" xfId="9693" xr:uid="{00000000-0005-0000-0000-000079330000}"/>
    <cellStyle name="Ergebnis 3 4 2 7" xfId="10122" xr:uid="{00000000-0005-0000-0000-00007A330000}"/>
    <cellStyle name="Ergebnis 3 4 2 8" xfId="10534" xr:uid="{00000000-0005-0000-0000-00007B330000}"/>
    <cellStyle name="Ergebnis 3 4 2 9" xfId="9830" xr:uid="{00000000-0005-0000-0000-00007C330000}"/>
    <cellStyle name="Ergebnis 3 4 3" xfId="1294" xr:uid="{00000000-0005-0000-0000-00007D330000}"/>
    <cellStyle name="Ergebnis 3 4 3 2" xfId="13023" xr:uid="{00000000-0005-0000-0000-00007E330000}"/>
    <cellStyle name="Ergebnis 3 4 3 3" xfId="15411" xr:uid="{00000000-0005-0000-0000-00007F330000}"/>
    <cellStyle name="Ergebnis 3 4 3 4" xfId="14677" xr:uid="{00000000-0005-0000-0000-000080330000}"/>
    <cellStyle name="Ergebnis 3 4 3 5" xfId="15542" xr:uid="{00000000-0005-0000-0000-000081330000}"/>
    <cellStyle name="Ergebnis 3 4 3 6" xfId="19142" xr:uid="{00000000-0005-0000-0000-000082330000}"/>
    <cellStyle name="Ergebnis 3 4 4" xfId="3509" xr:uid="{00000000-0005-0000-0000-000083330000}"/>
    <cellStyle name="Ergebnis 3 4 5" xfId="8346" xr:uid="{00000000-0005-0000-0000-000084330000}"/>
    <cellStyle name="Ergebnis 3 4 6" xfId="9151" xr:uid="{00000000-0005-0000-0000-000085330000}"/>
    <cellStyle name="Ergebnis 3 4 7" xfId="9481" xr:uid="{00000000-0005-0000-0000-000086330000}"/>
    <cellStyle name="Ergebnis 3 4 8" xfId="9908" xr:uid="{00000000-0005-0000-0000-000087330000}"/>
    <cellStyle name="Ergebnis 3 4 9" xfId="10320" xr:uid="{00000000-0005-0000-0000-000088330000}"/>
    <cellStyle name="Ergebnis 3 5" xfId="716" xr:uid="{00000000-0005-0000-0000-000089330000}"/>
    <cellStyle name="Ergebnis 3 5 10" xfId="11177" xr:uid="{00000000-0005-0000-0000-00008A330000}"/>
    <cellStyle name="Ergebnis 3 5 11" xfId="11563" xr:uid="{00000000-0005-0000-0000-00008B330000}"/>
    <cellStyle name="Ergebnis 3 5 12" xfId="11934" xr:uid="{00000000-0005-0000-0000-00008C330000}"/>
    <cellStyle name="Ergebnis 3 5 13" xfId="12447" xr:uid="{00000000-0005-0000-0000-00008D330000}"/>
    <cellStyle name="Ergebnis 3 5 14" xfId="14471" xr:uid="{00000000-0005-0000-0000-00008E330000}"/>
    <cellStyle name="Ergebnis 3 5 15" xfId="17497" xr:uid="{00000000-0005-0000-0000-00008F330000}"/>
    <cellStyle name="Ergebnis 3 5 16" xfId="14350" xr:uid="{00000000-0005-0000-0000-000090330000}"/>
    <cellStyle name="Ergebnis 3 5 17" xfId="16777" xr:uid="{00000000-0005-0000-0000-000091330000}"/>
    <cellStyle name="Ergebnis 3 5 2" xfId="1265" xr:uid="{00000000-0005-0000-0000-000092330000}"/>
    <cellStyle name="Ergebnis 3 5 2 2" xfId="12994" xr:uid="{00000000-0005-0000-0000-000093330000}"/>
    <cellStyle name="Ergebnis 3 5 2 3" xfId="15397" xr:uid="{00000000-0005-0000-0000-000094330000}"/>
    <cellStyle name="Ergebnis 3 5 2 4" xfId="17210" xr:uid="{00000000-0005-0000-0000-000095330000}"/>
    <cellStyle name="Ergebnis 3 5 2 5" xfId="17038" xr:uid="{00000000-0005-0000-0000-000096330000}"/>
    <cellStyle name="Ergebnis 3 5 2 6" xfId="19162" xr:uid="{00000000-0005-0000-0000-000097330000}"/>
    <cellStyle name="Ergebnis 3 5 3" xfId="3934" xr:uid="{00000000-0005-0000-0000-000098330000}"/>
    <cellStyle name="Ergebnis 3 5 4" xfId="8416" xr:uid="{00000000-0005-0000-0000-000099330000}"/>
    <cellStyle name="Ergebnis 3 5 5" xfId="8718" xr:uid="{00000000-0005-0000-0000-00009A330000}"/>
    <cellStyle name="Ergebnis 3 5 6" xfId="9617" xr:uid="{00000000-0005-0000-0000-00009B330000}"/>
    <cellStyle name="Ergebnis 3 5 7" xfId="10046" xr:uid="{00000000-0005-0000-0000-00009C330000}"/>
    <cellStyle name="Ergebnis 3 5 8" xfId="10458" xr:uid="{00000000-0005-0000-0000-00009D330000}"/>
    <cellStyle name="Ergebnis 3 5 9" xfId="9135" xr:uid="{00000000-0005-0000-0000-00009E330000}"/>
    <cellStyle name="Ergebnis 3 6" xfId="1164" xr:uid="{00000000-0005-0000-0000-00009F330000}"/>
    <cellStyle name="Ergebnis 3 6 2" xfId="12893" xr:uid="{00000000-0005-0000-0000-0000A0330000}"/>
    <cellStyle name="Ergebnis 3 6 3" xfId="14240" xr:uid="{00000000-0005-0000-0000-0000A1330000}"/>
    <cellStyle name="Ergebnis 3 6 4" xfId="17286" xr:uid="{00000000-0005-0000-0000-0000A2330000}"/>
    <cellStyle name="Ergebnis 3 6 5" xfId="14211" xr:uid="{00000000-0005-0000-0000-0000A3330000}"/>
    <cellStyle name="Ergebnis 3 6 6" xfId="14215" xr:uid="{00000000-0005-0000-0000-0000A4330000}"/>
    <cellStyle name="Ergebnis 3 7" xfId="3385" xr:uid="{00000000-0005-0000-0000-0000A5330000}"/>
    <cellStyle name="Ergebnis 3 8" xfId="8302" xr:uid="{00000000-0005-0000-0000-0000A6330000}"/>
    <cellStyle name="Ergebnis 3 9" xfId="8568" xr:uid="{00000000-0005-0000-0000-0000A7330000}"/>
    <cellStyle name="Ergebnis 4" xfId="566" xr:uid="{00000000-0005-0000-0000-0000A8330000}"/>
    <cellStyle name="Ergebnis 4 10" xfId="10870" xr:uid="{00000000-0005-0000-0000-0000A9330000}"/>
    <cellStyle name="Ergebnis 4 11" xfId="11033" xr:uid="{00000000-0005-0000-0000-0000AA330000}"/>
    <cellStyle name="Ergebnis 4 12" xfId="11420" xr:uid="{00000000-0005-0000-0000-0000AB330000}"/>
    <cellStyle name="Ergebnis 4 13" xfId="11792" xr:uid="{00000000-0005-0000-0000-0000AC330000}"/>
    <cellStyle name="Ergebnis 4 14" xfId="12305" xr:uid="{00000000-0005-0000-0000-0000AD330000}"/>
    <cellStyle name="Ergebnis 4 15" xfId="15198" xr:uid="{00000000-0005-0000-0000-0000AE330000}"/>
    <cellStyle name="Ergebnis 4 16" xfId="14952" xr:uid="{00000000-0005-0000-0000-0000AF330000}"/>
    <cellStyle name="Ergebnis 4 17" xfId="18191" xr:uid="{00000000-0005-0000-0000-0000B0330000}"/>
    <cellStyle name="Ergebnis 4 18" xfId="19471" xr:uid="{00000000-0005-0000-0000-0000B1330000}"/>
    <cellStyle name="Ergebnis 4 2" xfId="781" xr:uid="{00000000-0005-0000-0000-0000B2330000}"/>
    <cellStyle name="Ergebnis 4 2 10" xfId="11242" xr:uid="{00000000-0005-0000-0000-0000B3330000}"/>
    <cellStyle name="Ergebnis 4 2 11" xfId="11627" xr:uid="{00000000-0005-0000-0000-0000B4330000}"/>
    <cellStyle name="Ergebnis 4 2 12" xfId="11998" xr:uid="{00000000-0005-0000-0000-0000B5330000}"/>
    <cellStyle name="Ergebnis 4 2 13" xfId="12511" xr:uid="{00000000-0005-0000-0000-0000B6330000}"/>
    <cellStyle name="Ergebnis 4 2 14" xfId="14203" xr:uid="{00000000-0005-0000-0000-0000B7330000}"/>
    <cellStyle name="Ergebnis 4 2 15" xfId="15069" xr:uid="{00000000-0005-0000-0000-0000B8330000}"/>
    <cellStyle name="Ergebnis 4 2 16" xfId="18478" xr:uid="{00000000-0005-0000-0000-0000B9330000}"/>
    <cellStyle name="Ergebnis 4 2 17" xfId="18178" xr:uid="{00000000-0005-0000-0000-0000BA330000}"/>
    <cellStyle name="Ergebnis 4 2 2" xfId="1097" xr:uid="{00000000-0005-0000-0000-0000BB330000}"/>
    <cellStyle name="Ergebnis 4 2 2 2" xfId="12826" xr:uid="{00000000-0005-0000-0000-0000BC330000}"/>
    <cellStyle name="Ergebnis 4 2 2 3" xfId="14109" xr:uid="{00000000-0005-0000-0000-0000BD330000}"/>
    <cellStyle name="Ergebnis 4 2 2 4" xfId="17338" xr:uid="{00000000-0005-0000-0000-0000BE330000}"/>
    <cellStyle name="Ergebnis 4 2 2 5" xfId="17884" xr:uid="{00000000-0005-0000-0000-0000BF330000}"/>
    <cellStyle name="Ergebnis 4 2 2 6" xfId="19290" xr:uid="{00000000-0005-0000-0000-0000C0330000}"/>
    <cellStyle name="Ergebnis 4 2 3" xfId="3947" xr:uid="{00000000-0005-0000-0000-0000C1330000}"/>
    <cellStyle name="Ergebnis 4 2 4" xfId="8447" xr:uid="{00000000-0005-0000-0000-0000C2330000}"/>
    <cellStyle name="Ergebnis 4 2 5" xfId="8635" xr:uid="{00000000-0005-0000-0000-0000C3330000}"/>
    <cellStyle name="Ergebnis 4 2 6" xfId="9682" xr:uid="{00000000-0005-0000-0000-0000C4330000}"/>
    <cellStyle name="Ergebnis 4 2 7" xfId="10111" xr:uid="{00000000-0005-0000-0000-0000C5330000}"/>
    <cellStyle name="Ergebnis 4 2 8" xfId="10523" xr:uid="{00000000-0005-0000-0000-0000C6330000}"/>
    <cellStyle name="Ergebnis 4 2 9" xfId="8838" xr:uid="{00000000-0005-0000-0000-0000C7330000}"/>
    <cellStyle name="Ergebnis 4 3" xfId="1084" xr:uid="{00000000-0005-0000-0000-0000C8330000}"/>
    <cellStyle name="Ergebnis 4 3 2" xfId="12813" xr:uid="{00000000-0005-0000-0000-0000C9330000}"/>
    <cellStyle name="Ergebnis 4 3 3" xfId="14175" xr:uid="{00000000-0005-0000-0000-0000CA330000}"/>
    <cellStyle name="Ergebnis 4 3 4" xfId="17348" xr:uid="{00000000-0005-0000-0000-0000CB330000}"/>
    <cellStyle name="Ergebnis 4 3 5" xfId="17010" xr:uid="{00000000-0005-0000-0000-0000CC330000}"/>
    <cellStyle name="Ergebnis 4 3 6" xfId="18735" xr:uid="{00000000-0005-0000-0000-0000CD330000}"/>
    <cellStyle name="Ergebnis 4 4" xfId="3586" xr:uid="{00000000-0005-0000-0000-0000CE330000}"/>
    <cellStyle name="Ergebnis 4 5" xfId="8337" xr:uid="{00000000-0005-0000-0000-0000CF330000}"/>
    <cellStyle name="Ergebnis 4 6" xfId="9308" xr:uid="{00000000-0005-0000-0000-0000D0330000}"/>
    <cellStyle name="Ergebnis 4 7" xfId="9470" xr:uid="{00000000-0005-0000-0000-0000D1330000}"/>
    <cellStyle name="Ergebnis 4 8" xfId="9897" xr:uid="{00000000-0005-0000-0000-0000D2330000}"/>
    <cellStyle name="Ergebnis 4 9" xfId="10309" xr:uid="{00000000-0005-0000-0000-0000D3330000}"/>
    <cellStyle name="Ergebnis 5" xfId="640" xr:uid="{00000000-0005-0000-0000-0000D4330000}"/>
    <cellStyle name="Ergebnis 5 10" xfId="10738" xr:uid="{00000000-0005-0000-0000-0000D5330000}"/>
    <cellStyle name="Ergebnis 5 11" xfId="11107" xr:uid="{00000000-0005-0000-0000-0000D6330000}"/>
    <cellStyle name="Ergebnis 5 12" xfId="11494" xr:uid="{00000000-0005-0000-0000-0000D7330000}"/>
    <cellStyle name="Ergebnis 5 13" xfId="11866" xr:uid="{00000000-0005-0000-0000-0000D8330000}"/>
    <cellStyle name="Ergebnis 5 14" xfId="12379" xr:uid="{00000000-0005-0000-0000-0000D9330000}"/>
    <cellStyle name="Ergebnis 5 15" xfId="15143" xr:uid="{00000000-0005-0000-0000-0000DA330000}"/>
    <cellStyle name="Ergebnis 5 16" xfId="15796" xr:uid="{00000000-0005-0000-0000-0000DB330000}"/>
    <cellStyle name="Ergebnis 5 17" xfId="18404" xr:uid="{00000000-0005-0000-0000-0000DC330000}"/>
    <cellStyle name="Ergebnis 5 18" xfId="14646" xr:uid="{00000000-0005-0000-0000-0000DD330000}"/>
    <cellStyle name="Ergebnis 5 2" xfId="855" xr:uid="{00000000-0005-0000-0000-0000DE330000}"/>
    <cellStyle name="Ergebnis 5 2 10" xfId="11316" xr:uid="{00000000-0005-0000-0000-0000DF330000}"/>
    <cellStyle name="Ergebnis 5 2 11" xfId="11701" xr:uid="{00000000-0005-0000-0000-0000E0330000}"/>
    <cellStyle name="Ergebnis 5 2 12" xfId="12072" xr:uid="{00000000-0005-0000-0000-0000E1330000}"/>
    <cellStyle name="Ergebnis 5 2 13" xfId="12585" xr:uid="{00000000-0005-0000-0000-0000E2330000}"/>
    <cellStyle name="Ergebnis 5 2 14" xfId="14333" xr:uid="{00000000-0005-0000-0000-0000E3330000}"/>
    <cellStyle name="Ergebnis 5 2 15" xfId="14667" xr:uid="{00000000-0005-0000-0000-0000E4330000}"/>
    <cellStyle name="Ergebnis 5 2 16" xfId="14786" xr:uid="{00000000-0005-0000-0000-0000E5330000}"/>
    <cellStyle name="Ergebnis 5 2 17" xfId="16426" xr:uid="{00000000-0005-0000-0000-0000E6330000}"/>
    <cellStyle name="Ergebnis 5 2 2" xfId="951" xr:uid="{00000000-0005-0000-0000-0000E7330000}"/>
    <cellStyle name="Ergebnis 5 2 2 2" xfId="12680" xr:uid="{00000000-0005-0000-0000-0000E8330000}"/>
    <cellStyle name="Ergebnis 5 2 2 3" xfId="13764" xr:uid="{00000000-0005-0000-0000-0000E9330000}"/>
    <cellStyle name="Ergebnis 5 2 2 4" xfId="17431" xr:uid="{00000000-0005-0000-0000-0000EA330000}"/>
    <cellStyle name="Ergebnis 5 2 2 5" xfId="16041" xr:uid="{00000000-0005-0000-0000-0000EB330000}"/>
    <cellStyle name="Ergebnis 5 2 2 6" xfId="19383" xr:uid="{00000000-0005-0000-0000-0000EC330000}"/>
    <cellStyle name="Ergebnis 5 2 3" xfId="3765" xr:uid="{00000000-0005-0000-0000-0000ED330000}"/>
    <cellStyle name="Ergebnis 5 2 4" xfId="8484" xr:uid="{00000000-0005-0000-0000-0000EE330000}"/>
    <cellStyle name="Ergebnis 5 2 5" xfId="9328" xr:uid="{00000000-0005-0000-0000-0000EF330000}"/>
    <cellStyle name="Ergebnis 5 2 6" xfId="9756" xr:uid="{00000000-0005-0000-0000-0000F0330000}"/>
    <cellStyle name="Ergebnis 5 2 7" xfId="10185" xr:uid="{00000000-0005-0000-0000-0000F1330000}"/>
    <cellStyle name="Ergebnis 5 2 8" xfId="10597" xr:uid="{00000000-0005-0000-0000-0000F2330000}"/>
    <cellStyle name="Ergebnis 5 2 9" xfId="10740" xr:uid="{00000000-0005-0000-0000-0000F3330000}"/>
    <cellStyle name="Ergebnis 5 3" xfId="1007" xr:uid="{00000000-0005-0000-0000-0000F4330000}"/>
    <cellStyle name="Ergebnis 5 3 2" xfId="12736" xr:uid="{00000000-0005-0000-0000-0000F5330000}"/>
    <cellStyle name="Ergebnis 5 3 3" xfId="14181" xr:uid="{00000000-0005-0000-0000-0000F6330000}"/>
    <cellStyle name="Ergebnis 5 3 4" xfId="15595" xr:uid="{00000000-0005-0000-0000-0000F7330000}"/>
    <cellStyle name="Ergebnis 5 3 5" xfId="16162" xr:uid="{00000000-0005-0000-0000-0000F8330000}"/>
    <cellStyle name="Ergebnis 5 3 6" xfId="16061" xr:uid="{00000000-0005-0000-0000-0000F9330000}"/>
    <cellStyle name="Ergebnis 5 4" xfId="3885" xr:uid="{00000000-0005-0000-0000-0000FA330000}"/>
    <cellStyle name="Ergebnis 5 5" xfId="8372" xr:uid="{00000000-0005-0000-0000-0000FB330000}"/>
    <cellStyle name="Ergebnis 5 6" xfId="9036" xr:uid="{00000000-0005-0000-0000-0000FC330000}"/>
    <cellStyle name="Ergebnis 5 7" xfId="9544" xr:uid="{00000000-0005-0000-0000-0000FD330000}"/>
    <cellStyle name="Ergebnis 5 8" xfId="9971" xr:uid="{00000000-0005-0000-0000-0000FE330000}"/>
    <cellStyle name="Ergebnis 5 9" xfId="10383" xr:uid="{00000000-0005-0000-0000-0000FF330000}"/>
    <cellStyle name="Ergebnis 6" xfId="647" xr:uid="{00000000-0005-0000-0000-000000340000}"/>
    <cellStyle name="Ergebnis 6 10" xfId="9247" xr:uid="{00000000-0005-0000-0000-000001340000}"/>
    <cellStyle name="Ergebnis 6 11" xfId="11114" xr:uid="{00000000-0005-0000-0000-000002340000}"/>
    <cellStyle name="Ergebnis 6 12" xfId="11501" xr:uid="{00000000-0005-0000-0000-000003340000}"/>
    <cellStyle name="Ergebnis 6 13" xfId="11873" xr:uid="{00000000-0005-0000-0000-000004340000}"/>
    <cellStyle name="Ergebnis 6 14" xfId="12386" xr:uid="{00000000-0005-0000-0000-000005340000}"/>
    <cellStyle name="Ergebnis 6 15" xfId="16054" xr:uid="{00000000-0005-0000-0000-000006340000}"/>
    <cellStyle name="Ergebnis 6 16" xfId="16467" xr:uid="{00000000-0005-0000-0000-000007340000}"/>
    <cellStyle name="Ergebnis 6 17" xfId="17689" xr:uid="{00000000-0005-0000-0000-000008340000}"/>
    <cellStyle name="Ergebnis 6 18" xfId="14665" xr:uid="{00000000-0005-0000-0000-000009340000}"/>
    <cellStyle name="Ergebnis 6 2" xfId="862" xr:uid="{00000000-0005-0000-0000-00000A340000}"/>
    <cellStyle name="Ergebnis 6 2 10" xfId="11323" xr:uid="{00000000-0005-0000-0000-00000B340000}"/>
    <cellStyle name="Ergebnis 6 2 11" xfId="11708" xr:uid="{00000000-0005-0000-0000-00000C340000}"/>
    <cellStyle name="Ergebnis 6 2 12" xfId="12079" xr:uid="{00000000-0005-0000-0000-00000D340000}"/>
    <cellStyle name="Ergebnis 6 2 13" xfId="12592" xr:uid="{00000000-0005-0000-0000-00000E340000}"/>
    <cellStyle name="Ergebnis 6 2 14" xfId="16137" xr:uid="{00000000-0005-0000-0000-00000F340000}"/>
    <cellStyle name="Ergebnis 6 2 15" xfId="15159" xr:uid="{00000000-0005-0000-0000-000010340000}"/>
    <cellStyle name="Ergebnis 6 2 16" xfId="17669" xr:uid="{00000000-0005-0000-0000-000011340000}"/>
    <cellStyle name="Ergebnis 6 2 17" xfId="14683" xr:uid="{00000000-0005-0000-0000-000012340000}"/>
    <cellStyle name="Ergebnis 6 2 2" xfId="1131" xr:uid="{00000000-0005-0000-0000-000013340000}"/>
    <cellStyle name="Ergebnis 6 2 2 2" xfId="12860" xr:uid="{00000000-0005-0000-0000-000014340000}"/>
    <cellStyle name="Ergebnis 6 2 2 3" xfId="13896" xr:uid="{00000000-0005-0000-0000-000015340000}"/>
    <cellStyle name="Ergebnis 6 2 2 4" xfId="17311" xr:uid="{00000000-0005-0000-0000-000016340000}"/>
    <cellStyle name="Ergebnis 6 2 2 5" xfId="16562" xr:uid="{00000000-0005-0000-0000-000017340000}"/>
    <cellStyle name="Ergebnis 6 2 2 6" xfId="19263" xr:uid="{00000000-0005-0000-0000-000018340000}"/>
    <cellStyle name="Ergebnis 6 2 3" xfId="3792" xr:uid="{00000000-0005-0000-0000-000019340000}"/>
    <cellStyle name="Ergebnis 6 2 4" xfId="8488" xr:uid="{00000000-0005-0000-0000-00001A340000}"/>
    <cellStyle name="Ergebnis 6 2 5" xfId="9335" xr:uid="{00000000-0005-0000-0000-00001B340000}"/>
    <cellStyle name="Ergebnis 6 2 6" xfId="9763" xr:uid="{00000000-0005-0000-0000-00001C340000}"/>
    <cellStyle name="Ergebnis 6 2 7" xfId="10192" xr:uid="{00000000-0005-0000-0000-00001D340000}"/>
    <cellStyle name="Ergebnis 6 2 8" xfId="10604" xr:uid="{00000000-0005-0000-0000-00001E340000}"/>
    <cellStyle name="Ergebnis 6 2 9" xfId="9027" xr:uid="{00000000-0005-0000-0000-00001F340000}"/>
    <cellStyle name="Ergebnis 6 3" xfId="1351" xr:uid="{00000000-0005-0000-0000-000020340000}"/>
    <cellStyle name="Ergebnis 6 3 2" xfId="13080" xr:uid="{00000000-0005-0000-0000-000021340000}"/>
    <cellStyle name="Ergebnis 6 3 3" xfId="15639" xr:uid="{00000000-0005-0000-0000-000022340000}"/>
    <cellStyle name="Ergebnis 6 3 4" xfId="15700" xr:uid="{00000000-0005-0000-0000-000023340000}"/>
    <cellStyle name="Ergebnis 6 3 5" xfId="16033" xr:uid="{00000000-0005-0000-0000-000024340000}"/>
    <cellStyle name="Ergebnis 6 3 6" xfId="18719" xr:uid="{00000000-0005-0000-0000-000025340000}"/>
    <cellStyle name="Ergebnis 6 4" xfId="3949" xr:uid="{00000000-0005-0000-0000-000026340000}"/>
    <cellStyle name="Ergebnis 6 5" xfId="8377" xr:uid="{00000000-0005-0000-0000-000027340000}"/>
    <cellStyle name="Ergebnis 6 6" xfId="9292" xr:uid="{00000000-0005-0000-0000-000028340000}"/>
    <cellStyle name="Ergebnis 6 7" xfId="9551" xr:uid="{00000000-0005-0000-0000-000029340000}"/>
    <cellStyle name="Ergebnis 6 8" xfId="9978" xr:uid="{00000000-0005-0000-0000-00002A340000}"/>
    <cellStyle name="Ergebnis 6 9" xfId="10390" xr:uid="{00000000-0005-0000-0000-00002B340000}"/>
    <cellStyle name="Ergebnis 7" xfId="695" xr:uid="{00000000-0005-0000-0000-00002C340000}"/>
    <cellStyle name="Ergebnis 7 10" xfId="11161" xr:uid="{00000000-0005-0000-0000-00002D340000}"/>
    <cellStyle name="Ergebnis 7 11" xfId="11548" xr:uid="{00000000-0005-0000-0000-00002E340000}"/>
    <cellStyle name="Ergebnis 7 12" xfId="11920" xr:uid="{00000000-0005-0000-0000-00002F340000}"/>
    <cellStyle name="Ergebnis 7 13" xfId="12433" xr:uid="{00000000-0005-0000-0000-000030340000}"/>
    <cellStyle name="Ergebnis 7 14" xfId="14719" xr:uid="{00000000-0005-0000-0000-000031340000}"/>
    <cellStyle name="Ergebnis 7 15" xfId="17508" xr:uid="{00000000-0005-0000-0000-000032340000}"/>
    <cellStyle name="Ergebnis 7 16" xfId="17895" xr:uid="{00000000-0005-0000-0000-000033340000}"/>
    <cellStyle name="Ergebnis 7 17" xfId="14251" xr:uid="{00000000-0005-0000-0000-000034340000}"/>
    <cellStyle name="Ergebnis 7 2" xfId="1361" xr:uid="{00000000-0005-0000-0000-000035340000}"/>
    <cellStyle name="Ergebnis 7 2 2" xfId="13090" xr:uid="{00000000-0005-0000-0000-000036340000}"/>
    <cellStyle name="Ergebnis 7 2 3" xfId="13904" xr:uid="{00000000-0005-0000-0000-000037340000}"/>
    <cellStyle name="Ergebnis 7 2 4" xfId="17144" xr:uid="{00000000-0005-0000-0000-000038340000}"/>
    <cellStyle name="Ergebnis 7 2 5" xfId="13962" xr:uid="{00000000-0005-0000-0000-000039340000}"/>
    <cellStyle name="Ergebnis 7 2 6" xfId="19096" xr:uid="{00000000-0005-0000-0000-00003A340000}"/>
    <cellStyle name="Ergebnis 7 3" xfId="3834" xr:uid="{00000000-0005-0000-0000-00003B340000}"/>
    <cellStyle name="Ergebnis 7 4" xfId="8401" xr:uid="{00000000-0005-0000-0000-00003C340000}"/>
    <cellStyle name="Ergebnis 7 5" xfId="9065" xr:uid="{00000000-0005-0000-0000-00003D340000}"/>
    <cellStyle name="Ergebnis 7 6" xfId="9598" xr:uid="{00000000-0005-0000-0000-00003E340000}"/>
    <cellStyle name="Ergebnis 7 7" xfId="10025" xr:uid="{00000000-0005-0000-0000-00003F340000}"/>
    <cellStyle name="Ergebnis 7 8" xfId="10437" xr:uid="{00000000-0005-0000-0000-000040340000}"/>
    <cellStyle name="Ergebnis 7 9" xfId="9406" xr:uid="{00000000-0005-0000-0000-000041340000}"/>
    <cellStyle name="Erklärender Text" xfId="16863" hidden="1" xr:uid="{00000000-0005-0000-0000-000094340000}"/>
    <cellStyle name="Erklärender Text" xfId="16933" hidden="1" xr:uid="{00000000-0005-0000-0000-000095340000}"/>
    <cellStyle name="Erklärender Text" xfId="16855" hidden="1" xr:uid="{00000000-0005-0000-0000-000093340000}"/>
    <cellStyle name="Erklärender Text" xfId="18811" hidden="1" xr:uid="{00000000-0005-0000-0000-00004E340000}"/>
    <cellStyle name="Erklärender Text" xfId="13486" hidden="1" xr:uid="{00000000-0005-0000-0000-0000DD340000}"/>
    <cellStyle name="Erklärender Text" xfId="13494" hidden="1" xr:uid="{00000000-0005-0000-0000-0000DE340000}"/>
    <cellStyle name="Erklärender Text" xfId="18681" hidden="1" xr:uid="{00000000-0005-0000-0000-000047340000}"/>
    <cellStyle name="Erklärender Text" xfId="13533" hidden="1" xr:uid="{00000000-0005-0000-0000-0000D6340000}"/>
    <cellStyle name="Erklärender Text" xfId="3300" hidden="1" xr:uid="{00000000-0005-0000-0000-0000CE340000}"/>
    <cellStyle name="Erklärender Text" xfId="3269" hidden="1" xr:uid="{00000000-0005-0000-0000-0000CF340000}"/>
    <cellStyle name="Erklärender Text" xfId="3364" hidden="1" xr:uid="{00000000-0005-0000-0000-0000D0340000}"/>
    <cellStyle name="Erklärender Text" xfId="17779" hidden="1" xr:uid="{00000000-0005-0000-0000-00009E340000}"/>
    <cellStyle name="Erklärender Text" xfId="13174" hidden="1" xr:uid="{00000000-0005-0000-0000-0000DB340000}"/>
    <cellStyle name="Erklärender Text" xfId="3716" hidden="1" xr:uid="{00000000-0005-0000-0000-0000D3340000}"/>
    <cellStyle name="Erklärender Text" xfId="984" hidden="1" xr:uid="{00000000-0005-0000-0000-0000D4340000}"/>
    <cellStyle name="Erklärender Text" xfId="1202" hidden="1" xr:uid="{00000000-0005-0000-0000-0000D5340000}"/>
    <cellStyle name="Erklärender Text" xfId="14801" hidden="1" xr:uid="{00000000-0005-0000-0000-00008E340000}"/>
    <cellStyle name="Erklärender Text" xfId="13656" hidden="1" xr:uid="{00000000-0005-0000-0000-0000CC340000}"/>
    <cellStyle name="Erklärender Text" xfId="13417" hidden="1" xr:uid="{00000000-0005-0000-0000-0000D8340000}"/>
    <cellStyle name="Erklärender Text" xfId="12207" hidden="1" xr:uid="{00000000-0005-0000-0000-0000D9340000}"/>
    <cellStyle name="Erklärender Text" xfId="13399" hidden="1" xr:uid="{00000000-0005-0000-0000-0000DA340000}"/>
    <cellStyle name="Erklärender Text" xfId="16289" hidden="1" xr:uid="{00000000-0005-0000-0000-00007E340000}"/>
    <cellStyle name="Erklärender Text" xfId="3803" hidden="1" xr:uid="{00000000-0005-0000-0000-0000D1340000}"/>
    <cellStyle name="Erklärender Text" xfId="13619" hidden="1" xr:uid="{00000000-0005-0000-0000-0000C9340000}"/>
    <cellStyle name="Erklärender Text" xfId="13627" hidden="1" xr:uid="{00000000-0005-0000-0000-0000CA340000}"/>
    <cellStyle name="Erklärender Text" xfId="13683" hidden="1" xr:uid="{00000000-0005-0000-0000-0000CB340000}"/>
    <cellStyle name="Erklärender Text" xfId="13868" hidden="1" xr:uid="{00000000-0005-0000-0000-0000AE340000}"/>
    <cellStyle name="Erklärender Text" xfId="3182" hidden="1" xr:uid="{00000000-0005-0000-0000-0000AF340000}"/>
    <cellStyle name="Erklärender Text" xfId="18165" hidden="1" xr:uid="{00000000-0005-0000-0000-00005D340000}"/>
    <cellStyle name="Erklärender Text" xfId="957" hidden="1" xr:uid="{00000000-0005-0000-0000-0000B1340000}"/>
    <cellStyle name="Erklärender Text" xfId="10703" hidden="1" xr:uid="{00000000-0005-0000-0000-0000BD340000}"/>
    <cellStyle name="Erklärender Text" xfId="10775" hidden="1" xr:uid="{00000000-0005-0000-0000-0000BE340000}"/>
    <cellStyle name="Erklärender Text" xfId="10649" hidden="1" xr:uid="{00000000-0005-0000-0000-0000BF340000}"/>
    <cellStyle name="Erklärender Text" xfId="16902" hidden="1" xr:uid="{00000000-0005-0000-0000-000096340000}"/>
    <cellStyle name="Erklärender Text" xfId="13087" hidden="1" xr:uid="{00000000-0005-0000-0000-0000B6340000}"/>
    <cellStyle name="Erklärender Text" xfId="8524" hidden="1" xr:uid="{00000000-0005-0000-0000-0000C2340000}"/>
    <cellStyle name="Erklärender Text" xfId="8364" hidden="1" xr:uid="{00000000-0005-0000-0000-0000C3340000}"/>
    <cellStyle name="Erklärender Text" xfId="4034" hidden="1" xr:uid="{00000000-0005-0000-0000-0000C4340000}"/>
    <cellStyle name="Erklärender Text" xfId="15930" hidden="1" xr:uid="{00000000-0005-0000-0000-000086340000}"/>
    <cellStyle name="Erklärender Text" xfId="9378" hidden="1" xr:uid="{00000000-0005-0000-0000-0000BB340000}"/>
    <cellStyle name="Erklärender Text" xfId="61" hidden="1" xr:uid="{00000000-0005-0000-0000-0000B3340000}"/>
    <cellStyle name="Erklärender Text" xfId="12184" hidden="1" xr:uid="{00000000-0005-0000-0000-0000B4340000}"/>
    <cellStyle name="Erklärender Text" xfId="12686" hidden="1" xr:uid="{00000000-0005-0000-0000-0000B5340000}"/>
    <cellStyle name="Erklärender Text" xfId="19834" hidden="1" xr:uid="{00000000-0005-0000-0000-000076340000}"/>
    <cellStyle name="Erklärender Text" xfId="8479" hidden="1" xr:uid="{00000000-0005-0000-0000-0000C0340000}"/>
    <cellStyle name="Erklärender Text" xfId="8995" hidden="1" xr:uid="{00000000-0005-0000-0000-0000B8340000}"/>
    <cellStyle name="Erklärender Text" xfId="8825" hidden="1" xr:uid="{00000000-0005-0000-0000-0000B9340000}"/>
    <cellStyle name="Erklärender Text" xfId="9118" hidden="1" xr:uid="{00000000-0005-0000-0000-0000BA340000}"/>
    <cellStyle name="Erklärender Text" xfId="17926" hidden="1" xr:uid="{00000000-0005-0000-0000-0000A6340000}"/>
    <cellStyle name="Erklärender Text" xfId="8252" hidden="1" xr:uid="{00000000-0005-0000-0000-0000C5340000}"/>
    <cellStyle name="Erklärender Text" xfId="15119" hidden="1" xr:uid="{00000000-0005-0000-0000-000073340000}"/>
    <cellStyle name="Erklärender Text" xfId="10728" hidden="1" xr:uid="{00000000-0005-0000-0000-0000C7340000}"/>
    <cellStyle name="Erklärender Text" xfId="13731" hidden="1" xr:uid="{00000000-0005-0000-0000-0000C8340000}"/>
    <cellStyle name="Erklärender Text" xfId="17771" hidden="1" xr:uid="{00000000-0005-0000-0000-00009D340000}"/>
    <cellStyle name="Erklärender Text" xfId="14173" hidden="1" xr:uid="{00000000-0005-0000-0000-00009B340000}"/>
    <cellStyle name="Erklärender Text" xfId="17731" hidden="1" xr:uid="{00000000-0005-0000-0000-00009C340000}"/>
    <cellStyle name="Erklärender Text" xfId="14461" hidden="1" xr:uid="{00000000-0005-0000-0000-00005F340000}"/>
    <cellStyle name="Erklärender Text" xfId="16486" hidden="1" xr:uid="{00000000-0005-0000-0000-0000A1340000}"/>
    <cellStyle name="Erklärender Text" xfId="17846" hidden="1" xr:uid="{00000000-0005-0000-0000-00009F340000}"/>
    <cellStyle name="Erklärender Text" xfId="17815" hidden="1" xr:uid="{00000000-0005-0000-0000-0000A0340000}"/>
    <cellStyle name="Erklärender Text" xfId="1358" hidden="1" xr:uid="{00000000-0005-0000-0000-0000B2340000}"/>
    <cellStyle name="Erklärender Text" xfId="17256" hidden="1" xr:uid="{00000000-0005-0000-0000-0000A5340000}"/>
    <cellStyle name="Erklärender Text" xfId="17147" hidden="1" xr:uid="{00000000-0005-0000-0000-0000A3340000}"/>
    <cellStyle name="Erklärender Text" xfId="17403" hidden="1" xr:uid="{00000000-0005-0000-0000-0000A4340000}"/>
    <cellStyle name="Erklärender Text" xfId="16747" hidden="1" xr:uid="{00000000-0005-0000-0000-000049340000}"/>
    <cellStyle name="Erklärender Text" xfId="18044" hidden="1" xr:uid="{00000000-0005-0000-0000-0000A9340000}"/>
    <cellStyle name="Erklärender Text" xfId="17966" hidden="1" xr:uid="{00000000-0005-0000-0000-0000A7340000}"/>
    <cellStyle name="Erklärender Text" xfId="17974" hidden="1" xr:uid="{00000000-0005-0000-0000-0000A8340000}"/>
    <cellStyle name="Erklärender Text" xfId="13201" hidden="1" xr:uid="{00000000-0005-0000-0000-0000D7340000}"/>
    <cellStyle name="Erklärender Text" xfId="17663" hidden="1" xr:uid="{00000000-0005-0000-0000-0000AD340000}"/>
    <cellStyle name="Erklärender Text" xfId="16608" hidden="1" xr:uid="{00000000-0005-0000-0000-0000AB340000}"/>
    <cellStyle name="Erklärender Text" xfId="14013" hidden="1" xr:uid="{00000000-0005-0000-0000-0000AC340000}"/>
    <cellStyle name="Erklärender Text" xfId="19782" hidden="1" xr:uid="{00000000-0005-0000-0000-00006E340000}"/>
    <cellStyle name="Erklärender Text" xfId="18641" hidden="1" xr:uid="{00000000-0005-0000-0000-000044340000}"/>
    <cellStyle name="Erklärender Text" xfId="14702" hidden="1" xr:uid="{00000000-0005-0000-0000-000042340000}"/>
    <cellStyle name="Erklärender Text" xfId="18601" hidden="1" xr:uid="{00000000-0005-0000-0000-000043340000}"/>
    <cellStyle name="Erklärender Text" xfId="8525" hidden="1" xr:uid="{00000000-0005-0000-0000-0000C1340000}"/>
    <cellStyle name="Erklärender Text" xfId="13446" hidden="1" xr:uid="{00000000-0005-0000-0000-0000E1340000}"/>
    <cellStyle name="Erklärender Text" xfId="12713" hidden="1" xr:uid="{00000000-0005-0000-0000-0000E2340000}"/>
    <cellStyle name="Erklärender Text" xfId="12931" hidden="1" xr:uid="{00000000-0005-0000-0000-0000E0340000}"/>
    <cellStyle name="Erklärender Text" xfId="18963" hidden="1" xr:uid="{00000000-0005-0000-0000-000058340000}"/>
    <cellStyle name="Erklärender Text" xfId="19898" hidden="1" xr:uid="{00000000-0005-0000-0000-000078340000}"/>
    <cellStyle name="Erklärender Text" xfId="19871" hidden="1" xr:uid="{00000000-0005-0000-0000-000079340000}"/>
    <cellStyle name="Erklärender Text" xfId="19842" hidden="1" xr:uid="{00000000-0005-0000-0000-000077340000}"/>
    <cellStyle name="Erklärender Text" xfId="4010" hidden="1" xr:uid="{00000000-0005-0000-0000-0000D2340000}"/>
    <cellStyle name="Erklärender Text" xfId="14439" hidden="1" xr:uid="{00000000-0005-0000-0000-00007C340000}"/>
    <cellStyle name="Erklärender Text" xfId="14617" hidden="1" xr:uid="{00000000-0005-0000-0000-00007D340000}"/>
    <cellStyle name="Erklärender Text" xfId="14745" hidden="1" xr:uid="{00000000-0005-0000-0000-00007B340000}"/>
    <cellStyle name="Erklärender Text" xfId="19355" hidden="1" xr:uid="{00000000-0005-0000-0000-000069340000}"/>
    <cellStyle name="Erklärender Text" xfId="16337" hidden="1" xr:uid="{00000000-0005-0000-0000-000080340000}"/>
    <cellStyle name="Erklärender Text" xfId="16406" hidden="1" xr:uid="{00000000-0005-0000-0000-000081340000}"/>
    <cellStyle name="Erklärender Text" xfId="16329" hidden="1" xr:uid="{00000000-0005-0000-0000-00007F340000}"/>
    <cellStyle name="Erklärender Text" xfId="9236" hidden="1" xr:uid="{00000000-0005-0000-0000-0000BC340000}"/>
    <cellStyle name="Erklärender Text" xfId="15944" hidden="1" xr:uid="{00000000-0005-0000-0000-000084340000}"/>
    <cellStyle name="Erklärender Text" xfId="15720" hidden="1" xr:uid="{00000000-0005-0000-0000-000085340000}"/>
    <cellStyle name="Erklärender Text" xfId="14180" hidden="1" xr:uid="{00000000-0005-0000-0000-000083340000}"/>
    <cellStyle name="Erklärender Text" xfId="17687" hidden="1" xr:uid="{00000000-0005-0000-0000-000053340000}"/>
    <cellStyle name="Erklärender Text" xfId="16619" hidden="1" xr:uid="{00000000-0005-0000-0000-000088340000}"/>
    <cellStyle name="Erklärender Text" xfId="16659" hidden="1" xr:uid="{00000000-0005-0000-0000-000089340000}"/>
    <cellStyle name="Erklärender Text" xfId="15810" hidden="1" xr:uid="{00000000-0005-0000-0000-000087340000}"/>
    <cellStyle name="Erklärender Text" xfId="3230" hidden="1" xr:uid="{00000000-0005-0000-0000-0000CD340000}"/>
    <cellStyle name="Erklärender Text" xfId="16706" hidden="1" xr:uid="{00000000-0005-0000-0000-00008C340000}"/>
    <cellStyle name="Erklärender Text" xfId="16176" hidden="1" xr:uid="{00000000-0005-0000-0000-00008D340000}"/>
    <cellStyle name="Erklärender Text" xfId="16736" hidden="1" xr:uid="{00000000-0005-0000-0000-00008B340000}"/>
    <cellStyle name="Erklärender Text" xfId="19640" hidden="1" xr:uid="{00000000-0005-0000-0000-000064340000}"/>
    <cellStyle name="Erklärender Text" xfId="15283" hidden="1" xr:uid="{00000000-0005-0000-0000-000090340000}"/>
    <cellStyle name="Erklärender Text" xfId="15363" hidden="1" xr:uid="{00000000-0005-0000-0000-000091340000}"/>
    <cellStyle name="Erklärender Text" xfId="14000" hidden="1" xr:uid="{00000000-0005-0000-0000-00008F340000}"/>
    <cellStyle name="Erklärender Text" xfId="8584" hidden="1" xr:uid="{00000000-0005-0000-0000-0000B7340000}"/>
    <cellStyle name="Erklärender Text" xfId="18649" hidden="1" xr:uid="{00000000-0005-0000-0000-000045340000}"/>
    <cellStyle name="Erklärender Text" xfId="18709" hidden="1" xr:uid="{00000000-0005-0000-0000-000046340000}"/>
    <cellStyle name="Erklärender Text" xfId="3222" hidden="1" xr:uid="{00000000-0005-0000-0000-0000B0340000}"/>
    <cellStyle name="Erklärender Text" xfId="14961" hidden="1" xr:uid="{00000000-0005-0000-0000-000048340000}"/>
    <cellStyle name="Erklärender Text" xfId="18671" hidden="1" xr:uid="{00000000-0005-0000-0000-000054340000}"/>
    <cellStyle name="Erklärender Text" xfId="17832" hidden="1" xr:uid="{00000000-0005-0000-0000-000055340000}"/>
    <cellStyle name="Erklärender Text" xfId="16757" hidden="1" xr:uid="{00000000-0005-0000-0000-000056340000}"/>
    <cellStyle name="Erklärender Text" xfId="14301" hidden="1" xr:uid="{00000000-0005-0000-0000-00009A340000}"/>
    <cellStyle name="Erklärender Text" xfId="18771" hidden="1" xr:uid="{00000000-0005-0000-0000-00004D340000}"/>
    <cellStyle name="Erklärender Text" xfId="18971" hidden="1" xr:uid="{00000000-0005-0000-0000-000059340000}"/>
    <cellStyle name="Erklärender Text" xfId="19041" hidden="1" xr:uid="{00000000-0005-0000-0000-00005A340000}"/>
    <cellStyle name="Erklärender Text" xfId="19010" hidden="1" xr:uid="{00000000-0005-0000-0000-00005B340000}"/>
    <cellStyle name="Erklärender Text" xfId="16667" hidden="1" xr:uid="{00000000-0005-0000-0000-00008A340000}"/>
    <cellStyle name="Erklärender Text" xfId="18302" hidden="1" xr:uid="{00000000-0005-0000-0000-000052340000}"/>
    <cellStyle name="Erklärender Text" xfId="18194" hidden="1" xr:uid="{00000000-0005-0000-0000-00004A340000}"/>
    <cellStyle name="Erklärender Text" xfId="18349" hidden="1" xr:uid="{00000000-0005-0000-0000-00004B340000}"/>
    <cellStyle name="Erklärender Text" xfId="18257" hidden="1" xr:uid="{00000000-0005-0000-0000-00004C340000}"/>
    <cellStyle name="Erklärender Text" xfId="14413" hidden="1" xr:uid="{00000000-0005-0000-0000-00007A340000}"/>
    <cellStyle name="Erklärender Text" xfId="18923" hidden="1" xr:uid="{00000000-0005-0000-0000-000057340000}"/>
    <cellStyle name="Erklärender Text" xfId="18819" hidden="1" xr:uid="{00000000-0005-0000-0000-00004F340000}"/>
    <cellStyle name="Erklärender Text" xfId="18883" hidden="1" xr:uid="{00000000-0005-0000-0000-000050340000}"/>
    <cellStyle name="Erklärender Text" xfId="18855" hidden="1" xr:uid="{00000000-0005-0000-0000-000051340000}"/>
    <cellStyle name="Erklärender Text" xfId="18013" hidden="1" xr:uid="{00000000-0005-0000-0000-0000AA340000}"/>
    <cellStyle name="Erklärender Text" xfId="18417" hidden="1" xr:uid="{00000000-0005-0000-0000-00005C340000}"/>
    <cellStyle name="Erklärender Text" xfId="10245" hidden="1" xr:uid="{00000000-0005-0000-0000-0000C6340000}"/>
    <cellStyle name="Erklärender Text" xfId="13939" hidden="1" xr:uid="{00000000-0005-0000-0000-00005E340000}"/>
    <cellStyle name="Erklärender Text" xfId="19208" hidden="1" xr:uid="{00000000-0005-0000-0000-00006A340000}"/>
    <cellStyle name="Erklärender Text" xfId="19664" hidden="1" xr:uid="{00000000-0005-0000-0000-00006B340000}"/>
    <cellStyle name="Erklärender Text" xfId="19704" hidden="1" xr:uid="{00000000-0005-0000-0000-00006C340000}"/>
    <cellStyle name="Erklärender Text" xfId="16815" hidden="1" xr:uid="{00000000-0005-0000-0000-000092340000}"/>
    <cellStyle name="Erklärender Text" xfId="19580" hidden="1" xr:uid="{00000000-0005-0000-0000-000063340000}"/>
    <cellStyle name="Erklärender Text" xfId="19751" hidden="1" xr:uid="{00000000-0005-0000-0000-00006F340000}"/>
    <cellStyle name="Erklärender Text" xfId="18555" hidden="1" xr:uid="{00000000-0005-0000-0000-000070340000}"/>
    <cellStyle name="Erklärender Text" xfId="18213" hidden="1" xr:uid="{00000000-0005-0000-0000-000071340000}"/>
    <cellStyle name="Erklärender Text" xfId="16376" hidden="1" xr:uid="{00000000-0005-0000-0000-000082340000}"/>
    <cellStyle name="Erklärender Text" xfId="19099" hidden="1" xr:uid="{00000000-0005-0000-0000-000068340000}"/>
    <cellStyle name="Erklärender Text" xfId="18331" hidden="1" xr:uid="{00000000-0005-0000-0000-000060340000}"/>
    <cellStyle name="Erklärender Text" xfId="19532" hidden="1" xr:uid="{00000000-0005-0000-0000-000061340000}"/>
    <cellStyle name="Erklärender Text" xfId="19572" hidden="1" xr:uid="{00000000-0005-0000-0000-000062340000}"/>
    <cellStyle name="Erklärender Text" xfId="13564" hidden="1" xr:uid="{00000000-0005-0000-0000-0000DF340000}"/>
    <cellStyle name="Erklärender Text" xfId="19712" hidden="1" xr:uid="{00000000-0005-0000-0000-00006D340000}"/>
    <cellStyle name="Erklärender Text" xfId="19612" hidden="1" xr:uid="{00000000-0005-0000-0000-000065340000}"/>
    <cellStyle name="Erklärender Text" xfId="18247" hidden="1" xr:uid="{00000000-0005-0000-0000-000066340000}"/>
    <cellStyle name="Erklärender Text" xfId="19378" hidden="1" xr:uid="{00000000-0005-0000-0000-000067340000}"/>
    <cellStyle name="Erklärender Text" xfId="17426" hidden="1" xr:uid="{00000000-0005-0000-0000-0000A2340000}"/>
    <cellStyle name="Erklärender Text" xfId="18172" hidden="1" xr:uid="{00000000-0005-0000-0000-000072340000}"/>
    <cellStyle name="Erklärender Text" xfId="13579" hidden="1" xr:uid="{00000000-0005-0000-0000-0000DC340000}"/>
    <cellStyle name="Erklärender Text" xfId="19057" hidden="1" xr:uid="{00000000-0005-0000-0000-000074340000}"/>
    <cellStyle name="Erklärender Text" xfId="19794" hidden="1" xr:uid="{00000000-0005-0000-0000-000075340000}"/>
    <cellStyle name="Erklärender Text" xfId="14524" hidden="1" xr:uid="{00000000-0005-0000-0000-000099340000}"/>
    <cellStyle name="Erklärender Text" xfId="16786" hidden="1" xr:uid="{00000000-0005-0000-0000-000097340000}"/>
    <cellStyle name="Erklärender Text" xfId="16364" hidden="1" xr:uid="{00000000-0005-0000-0000-000098340000}"/>
    <cellStyle name="Erklärender Text 2" xfId="407" xr:uid="{00000000-0005-0000-0000-0000E3340000}"/>
    <cellStyle name="Erklärender Text 3" xfId="289" xr:uid="{00000000-0005-0000-0000-0000E4340000}"/>
    <cellStyle name="Euro" xfId="1569" xr:uid="{00000000-0005-0000-0000-0000E5340000}"/>
    <cellStyle name="Euro 2" xfId="1570" xr:uid="{00000000-0005-0000-0000-0000E6340000}"/>
    <cellStyle name="Euro 3" xfId="6131" xr:uid="{00000000-0005-0000-0000-0000E7340000}"/>
    <cellStyle name="Explanatory Text 10" xfId="6132" xr:uid="{00000000-0005-0000-0000-0000E8340000}"/>
    <cellStyle name="Explanatory Text 11" xfId="6133" xr:uid="{00000000-0005-0000-0000-0000E9340000}"/>
    <cellStyle name="Explanatory Text 12" xfId="6134" xr:uid="{00000000-0005-0000-0000-0000EA340000}"/>
    <cellStyle name="Explanatory Text 13" xfId="6135" xr:uid="{00000000-0005-0000-0000-0000EB340000}"/>
    <cellStyle name="Explanatory Text 14" xfId="12156" xr:uid="{00000000-0005-0000-0000-0000EC340000}"/>
    <cellStyle name="Explanatory Text 2" xfId="148" xr:uid="{00000000-0005-0000-0000-0000ED340000}"/>
    <cellStyle name="Explanatory Text 2 10" xfId="6137" xr:uid="{00000000-0005-0000-0000-0000EE340000}"/>
    <cellStyle name="Explanatory Text 2 11" xfId="6138" xr:uid="{00000000-0005-0000-0000-0000EF340000}"/>
    <cellStyle name="Explanatory Text 2 12" xfId="6139" xr:uid="{00000000-0005-0000-0000-0000F0340000}"/>
    <cellStyle name="Explanatory Text 2 13" xfId="6140" xr:uid="{00000000-0005-0000-0000-0000F1340000}"/>
    <cellStyle name="Explanatory Text 2 14" xfId="6141" xr:uid="{00000000-0005-0000-0000-0000F2340000}"/>
    <cellStyle name="Explanatory Text 2 15" xfId="6142" xr:uid="{00000000-0005-0000-0000-0000F3340000}"/>
    <cellStyle name="Explanatory Text 2 16" xfId="6143" xr:uid="{00000000-0005-0000-0000-0000F4340000}"/>
    <cellStyle name="Explanatory Text 2 17" xfId="6136" xr:uid="{00000000-0005-0000-0000-0000F5340000}"/>
    <cellStyle name="Explanatory Text 2 2" xfId="1571" xr:uid="{00000000-0005-0000-0000-0000F6340000}"/>
    <cellStyle name="Explanatory Text 2 2 2" xfId="2361" xr:uid="{00000000-0005-0000-0000-0000F7340000}"/>
    <cellStyle name="Explanatory Text 2 2 2 2" xfId="6145" xr:uid="{00000000-0005-0000-0000-0000F8340000}"/>
    <cellStyle name="Explanatory Text 2 2 3" xfId="6146" xr:uid="{00000000-0005-0000-0000-0000F9340000}"/>
    <cellStyle name="Explanatory Text 2 2 4" xfId="6147" xr:uid="{00000000-0005-0000-0000-0000FA340000}"/>
    <cellStyle name="Explanatory Text 2 2 5" xfId="6148" xr:uid="{00000000-0005-0000-0000-0000FB340000}"/>
    <cellStyle name="Explanatory Text 2 2 6" xfId="6144" xr:uid="{00000000-0005-0000-0000-0000FC340000}"/>
    <cellStyle name="Explanatory Text 2 3" xfId="2362" xr:uid="{00000000-0005-0000-0000-0000FD340000}"/>
    <cellStyle name="Explanatory Text 2 3 2" xfId="6149" xr:uid="{00000000-0005-0000-0000-0000FE340000}"/>
    <cellStyle name="Explanatory Text 2 4" xfId="6150" xr:uid="{00000000-0005-0000-0000-0000FF340000}"/>
    <cellStyle name="Explanatory Text 2 5" xfId="6151" xr:uid="{00000000-0005-0000-0000-000000350000}"/>
    <cellStyle name="Explanatory Text 2 6" xfId="6152" xr:uid="{00000000-0005-0000-0000-000001350000}"/>
    <cellStyle name="Explanatory Text 2 7" xfId="6153" xr:uid="{00000000-0005-0000-0000-000002350000}"/>
    <cellStyle name="Explanatory Text 2 8" xfId="6154" xr:uid="{00000000-0005-0000-0000-000003350000}"/>
    <cellStyle name="Explanatory Text 2 9" xfId="6155" xr:uid="{00000000-0005-0000-0000-000004350000}"/>
    <cellStyle name="Explanatory Text 3" xfId="239" xr:uid="{00000000-0005-0000-0000-000005350000}"/>
    <cellStyle name="Explanatory Text 3 10" xfId="6157" xr:uid="{00000000-0005-0000-0000-000006350000}"/>
    <cellStyle name="Explanatory Text 3 11" xfId="6156" xr:uid="{00000000-0005-0000-0000-000007350000}"/>
    <cellStyle name="Explanatory Text 3 2" xfId="6158" xr:uid="{00000000-0005-0000-0000-000008350000}"/>
    <cellStyle name="Explanatory Text 3 2 2" xfId="6159" xr:uid="{00000000-0005-0000-0000-000009350000}"/>
    <cellStyle name="Explanatory Text 3 2 3" xfId="6160" xr:uid="{00000000-0005-0000-0000-00000A350000}"/>
    <cellStyle name="Explanatory Text 3 2 4" xfId="6161" xr:uid="{00000000-0005-0000-0000-00000B350000}"/>
    <cellStyle name="Explanatory Text 3 2 5" xfId="6162" xr:uid="{00000000-0005-0000-0000-00000C350000}"/>
    <cellStyle name="Explanatory Text 3 3" xfId="6163" xr:uid="{00000000-0005-0000-0000-00000D350000}"/>
    <cellStyle name="Explanatory Text 3 4" xfId="6164" xr:uid="{00000000-0005-0000-0000-00000E350000}"/>
    <cellStyle name="Explanatory Text 3 5" xfId="6165" xr:uid="{00000000-0005-0000-0000-00000F350000}"/>
    <cellStyle name="Explanatory Text 3 6" xfId="6166" xr:uid="{00000000-0005-0000-0000-000010350000}"/>
    <cellStyle name="Explanatory Text 3 7" xfId="6167" xr:uid="{00000000-0005-0000-0000-000011350000}"/>
    <cellStyle name="Explanatory Text 3 8" xfId="6168" xr:uid="{00000000-0005-0000-0000-000012350000}"/>
    <cellStyle name="Explanatory Text 3 9" xfId="6169" xr:uid="{00000000-0005-0000-0000-000013350000}"/>
    <cellStyle name="Explanatory Text 4" xfId="1879" xr:uid="{00000000-0005-0000-0000-000014350000}"/>
    <cellStyle name="Explanatory Text 4 2" xfId="6171" xr:uid="{00000000-0005-0000-0000-000015350000}"/>
    <cellStyle name="Explanatory Text 4 3" xfId="6172" xr:uid="{00000000-0005-0000-0000-000016350000}"/>
    <cellStyle name="Explanatory Text 4 4" xfId="6173" xr:uid="{00000000-0005-0000-0000-000017350000}"/>
    <cellStyle name="Explanatory Text 4 5" xfId="6174" xr:uid="{00000000-0005-0000-0000-000018350000}"/>
    <cellStyle name="Explanatory Text 4 6" xfId="6175" xr:uid="{00000000-0005-0000-0000-000019350000}"/>
    <cellStyle name="Explanatory Text 4 7" xfId="6176" xr:uid="{00000000-0005-0000-0000-00001A350000}"/>
    <cellStyle name="Explanatory Text 4 8" xfId="6170" xr:uid="{00000000-0005-0000-0000-00001B350000}"/>
    <cellStyle name="Explanatory Text 5" xfId="6177" xr:uid="{00000000-0005-0000-0000-00001C350000}"/>
    <cellStyle name="Explanatory Text 5 2" xfId="6178" xr:uid="{00000000-0005-0000-0000-00001D350000}"/>
    <cellStyle name="Explanatory Text 6" xfId="6179" xr:uid="{00000000-0005-0000-0000-00001E350000}"/>
    <cellStyle name="Explanatory Text 7" xfId="6180" xr:uid="{00000000-0005-0000-0000-00001F350000}"/>
    <cellStyle name="Explanatory Text 8" xfId="6181" xr:uid="{00000000-0005-0000-0000-000020350000}"/>
    <cellStyle name="Explanatory Text 9" xfId="6182" xr:uid="{00000000-0005-0000-0000-000021350000}"/>
    <cellStyle name="EYHeader1" xfId="2363" xr:uid="{00000000-0005-0000-0000-000022350000}"/>
    <cellStyle name="EYHeader1 2" xfId="13360" xr:uid="{00000000-0005-0000-0000-000023350000}"/>
    <cellStyle name="EYHeader1 3" xfId="16781" xr:uid="{00000000-0005-0000-0000-000024350000}"/>
    <cellStyle name="EYHeader1 4" xfId="18377" xr:uid="{00000000-0005-0000-0000-000025350000}"/>
    <cellStyle name="EYHeader1 5" xfId="14320" xr:uid="{00000000-0005-0000-0000-000026350000}"/>
    <cellStyle name="Fixed" xfId="1572" xr:uid="{00000000-0005-0000-0000-000027350000}"/>
    <cellStyle name="Fixed 2" xfId="2364" xr:uid="{00000000-0005-0000-0000-000028350000}"/>
    <cellStyle name="Followed Hyperlink 2" xfId="12157" xr:uid="{00000000-0005-0000-0000-000029350000}"/>
    <cellStyle name="Gilsans" xfId="6183" xr:uid="{00000000-0005-0000-0000-00002A350000}"/>
    <cellStyle name="Gilsansl" xfId="6184" xr:uid="{00000000-0005-0000-0000-00002B350000}"/>
    <cellStyle name="Good" xfId="12122" builtinId="26" customBuiltin="1"/>
    <cellStyle name="Good 10" xfId="6185" xr:uid="{00000000-0005-0000-0000-00002D350000}"/>
    <cellStyle name="Good 11" xfId="6186" xr:uid="{00000000-0005-0000-0000-00002E350000}"/>
    <cellStyle name="Good 12" xfId="6187" xr:uid="{00000000-0005-0000-0000-00002F350000}"/>
    <cellStyle name="Good 13" xfId="6188" xr:uid="{00000000-0005-0000-0000-000030350000}"/>
    <cellStyle name="Good 2" xfId="149" xr:uid="{00000000-0005-0000-0000-000031350000}"/>
    <cellStyle name="Good 2 10" xfId="6190" xr:uid="{00000000-0005-0000-0000-000032350000}"/>
    <cellStyle name="Good 2 11" xfId="6191" xr:uid="{00000000-0005-0000-0000-000033350000}"/>
    <cellStyle name="Good 2 12" xfId="6192" xr:uid="{00000000-0005-0000-0000-000034350000}"/>
    <cellStyle name="Good 2 13" xfId="6193" xr:uid="{00000000-0005-0000-0000-000035350000}"/>
    <cellStyle name="Good 2 14" xfId="6194" xr:uid="{00000000-0005-0000-0000-000036350000}"/>
    <cellStyle name="Good 2 15" xfId="6195" xr:uid="{00000000-0005-0000-0000-000037350000}"/>
    <cellStyle name="Good 2 16" xfId="6196" xr:uid="{00000000-0005-0000-0000-000038350000}"/>
    <cellStyle name="Good 2 17" xfId="6189" xr:uid="{00000000-0005-0000-0000-000039350000}"/>
    <cellStyle name="Good 2 2" xfId="1573" xr:uid="{00000000-0005-0000-0000-00003A350000}"/>
    <cellStyle name="Good 2 2 2" xfId="1574" xr:uid="{00000000-0005-0000-0000-00003B350000}"/>
    <cellStyle name="Good 2 2 2 2" xfId="6198" xr:uid="{00000000-0005-0000-0000-00003C350000}"/>
    <cellStyle name="Good 2 2 3" xfId="1575" xr:uid="{00000000-0005-0000-0000-00003D350000}"/>
    <cellStyle name="Good 2 2 3 2" xfId="6199" xr:uid="{00000000-0005-0000-0000-00003E350000}"/>
    <cellStyle name="Good 2 2 4" xfId="2365" xr:uid="{00000000-0005-0000-0000-00003F350000}"/>
    <cellStyle name="Good 2 2 4 2" xfId="6200" xr:uid="{00000000-0005-0000-0000-000040350000}"/>
    <cellStyle name="Good 2 2 5" xfId="6201" xr:uid="{00000000-0005-0000-0000-000041350000}"/>
    <cellStyle name="Good 2 2 6" xfId="6197" xr:uid="{00000000-0005-0000-0000-000042350000}"/>
    <cellStyle name="Good 2 3" xfId="1576" xr:uid="{00000000-0005-0000-0000-000043350000}"/>
    <cellStyle name="Good 2 3 2" xfId="2366" xr:uid="{00000000-0005-0000-0000-000044350000}"/>
    <cellStyle name="Good 2 3 3" xfId="6202" xr:uid="{00000000-0005-0000-0000-000045350000}"/>
    <cellStyle name="Good 2 4" xfId="2367" xr:uid="{00000000-0005-0000-0000-000046350000}"/>
    <cellStyle name="Good 2 4 2" xfId="6203" xr:uid="{00000000-0005-0000-0000-000047350000}"/>
    <cellStyle name="Good 2 5" xfId="6204" xr:uid="{00000000-0005-0000-0000-000048350000}"/>
    <cellStyle name="Good 2 6" xfId="6205" xr:uid="{00000000-0005-0000-0000-000049350000}"/>
    <cellStyle name="Good 2 7" xfId="6206" xr:uid="{00000000-0005-0000-0000-00004A350000}"/>
    <cellStyle name="Good 2 8" xfId="6207" xr:uid="{00000000-0005-0000-0000-00004B350000}"/>
    <cellStyle name="Good 2 9" xfId="6208" xr:uid="{00000000-0005-0000-0000-00004C350000}"/>
    <cellStyle name="Good 3" xfId="240" xr:uid="{00000000-0005-0000-0000-00004D350000}"/>
    <cellStyle name="Good 3 2" xfId="6210" xr:uid="{00000000-0005-0000-0000-00004E350000}"/>
    <cellStyle name="Good 3 3" xfId="6211" xr:uid="{00000000-0005-0000-0000-00004F350000}"/>
    <cellStyle name="Good 3 4" xfId="6212" xr:uid="{00000000-0005-0000-0000-000050350000}"/>
    <cellStyle name="Good 3 5" xfId="6213" xr:uid="{00000000-0005-0000-0000-000051350000}"/>
    <cellStyle name="Good 3 6" xfId="6214" xr:uid="{00000000-0005-0000-0000-000052350000}"/>
    <cellStyle name="Good 3 7" xfId="6209" xr:uid="{00000000-0005-0000-0000-000053350000}"/>
    <cellStyle name="Good 4" xfId="369" xr:uid="{00000000-0005-0000-0000-000054350000}"/>
    <cellStyle name="Good 4 2" xfId="6216" xr:uid="{00000000-0005-0000-0000-000055350000}"/>
    <cellStyle name="Good 4 3" xfId="6215" xr:uid="{00000000-0005-0000-0000-000056350000}"/>
    <cellStyle name="Good 5" xfId="6217" xr:uid="{00000000-0005-0000-0000-000057350000}"/>
    <cellStyle name="Good 5 2" xfId="6218" xr:uid="{00000000-0005-0000-0000-000058350000}"/>
    <cellStyle name="Good 6" xfId="6219" xr:uid="{00000000-0005-0000-0000-000059350000}"/>
    <cellStyle name="Good 6 2" xfId="6220" xr:uid="{00000000-0005-0000-0000-00005A350000}"/>
    <cellStyle name="Good 7" xfId="6221" xr:uid="{00000000-0005-0000-0000-00005B350000}"/>
    <cellStyle name="Good 7 2" xfId="6222" xr:uid="{00000000-0005-0000-0000-00005C350000}"/>
    <cellStyle name="Good 8" xfId="6223" xr:uid="{00000000-0005-0000-0000-00005D350000}"/>
    <cellStyle name="Good 8 2" xfId="6224" xr:uid="{00000000-0005-0000-0000-00005E350000}"/>
    <cellStyle name="Good 9" xfId="6225" xr:uid="{00000000-0005-0000-0000-00005F350000}"/>
    <cellStyle name="Grey" xfId="2368" xr:uid="{00000000-0005-0000-0000-000060350000}"/>
    <cellStyle name="Growth Factor" xfId="2369" xr:uid="{00000000-0005-0000-0000-000061350000}"/>
    <cellStyle name="Guesses" xfId="1577" xr:uid="{00000000-0005-0000-0000-000062350000}"/>
    <cellStyle name="Gut" xfId="150" xr:uid="{00000000-0005-0000-0000-000063350000}"/>
    <cellStyle name="Hash Out" xfId="2370" xr:uid="{00000000-0005-0000-0000-000064350000}"/>
    <cellStyle name="Hash Out 2" xfId="2371" xr:uid="{00000000-0005-0000-0000-000065350000}"/>
    <cellStyle name="Hash Out 2 2" xfId="2372" xr:uid="{00000000-0005-0000-0000-000066350000}"/>
    <cellStyle name="Header1" xfId="2373" xr:uid="{00000000-0005-0000-0000-000067350000}"/>
    <cellStyle name="Header1 2" xfId="2374" xr:uid="{00000000-0005-0000-0000-000068350000}"/>
    <cellStyle name="Header1 2 2" xfId="2375" xr:uid="{00000000-0005-0000-0000-000069350000}"/>
    <cellStyle name="Header2" xfId="2376" xr:uid="{00000000-0005-0000-0000-00006A350000}"/>
    <cellStyle name="Header2 2" xfId="2377" xr:uid="{00000000-0005-0000-0000-00006B350000}"/>
    <cellStyle name="Header2 2 2" xfId="2378" xr:uid="{00000000-0005-0000-0000-00006C350000}"/>
    <cellStyle name="Header2 2 2 2" xfId="13369" xr:uid="{00000000-0005-0000-0000-00006D350000}"/>
    <cellStyle name="Header2 2 2 3" xfId="14070" xr:uid="{00000000-0005-0000-0000-00006E350000}"/>
    <cellStyle name="Header2 2 2 4" xfId="18294" xr:uid="{00000000-0005-0000-0000-00006F350000}"/>
    <cellStyle name="Header2 2 2 5" xfId="15792" xr:uid="{00000000-0005-0000-0000-000070350000}"/>
    <cellStyle name="Header2 2 3" xfId="13368" xr:uid="{00000000-0005-0000-0000-000071350000}"/>
    <cellStyle name="Header2 2 4" xfId="14885" xr:uid="{00000000-0005-0000-0000-000072350000}"/>
    <cellStyle name="Header2 2 5" xfId="16189" xr:uid="{00000000-0005-0000-0000-000073350000}"/>
    <cellStyle name="Header2 2 6" xfId="18289" xr:uid="{00000000-0005-0000-0000-000074350000}"/>
    <cellStyle name="Header2 3" xfId="13367" xr:uid="{00000000-0005-0000-0000-000075350000}"/>
    <cellStyle name="Header2 4" xfId="14131" xr:uid="{00000000-0005-0000-0000-000076350000}"/>
    <cellStyle name="Header2 5" xfId="18406" xr:uid="{00000000-0005-0000-0000-000077350000}"/>
    <cellStyle name="Header2 6" xfId="14114" xr:uid="{00000000-0005-0000-0000-000078350000}"/>
    <cellStyle name="Heading" xfId="1578" xr:uid="{00000000-0005-0000-0000-000079350000}"/>
    <cellStyle name="Heading 1 10" xfId="6226" xr:uid="{00000000-0005-0000-0000-00007A350000}"/>
    <cellStyle name="Heading 1 11" xfId="6227" xr:uid="{00000000-0005-0000-0000-00007B350000}"/>
    <cellStyle name="Heading 1 12" xfId="6228" xr:uid="{00000000-0005-0000-0000-00007C350000}"/>
    <cellStyle name="Heading 1 13" xfId="6229" xr:uid="{00000000-0005-0000-0000-00007D350000}"/>
    <cellStyle name="Heading 1 14" xfId="6230" xr:uid="{00000000-0005-0000-0000-00007E350000}"/>
    <cellStyle name="Heading 1 15" xfId="6231" xr:uid="{00000000-0005-0000-0000-00007F350000}"/>
    <cellStyle name="Heading 1 16" xfId="6232" xr:uid="{00000000-0005-0000-0000-000080350000}"/>
    <cellStyle name="Heading 1 17" xfId="6233" xr:uid="{00000000-0005-0000-0000-000081350000}"/>
    <cellStyle name="Heading 1 18" xfId="6234" xr:uid="{00000000-0005-0000-0000-000082350000}"/>
    <cellStyle name="Heading 1 19" xfId="6235" xr:uid="{00000000-0005-0000-0000-000083350000}"/>
    <cellStyle name="Heading 1 2" xfId="151" xr:uid="{00000000-0005-0000-0000-000084350000}"/>
    <cellStyle name="Heading 1 2 10" xfId="6237" xr:uid="{00000000-0005-0000-0000-000085350000}"/>
    <cellStyle name="Heading 1 2 11" xfId="6238" xr:uid="{00000000-0005-0000-0000-000086350000}"/>
    <cellStyle name="Heading 1 2 12" xfId="6239" xr:uid="{00000000-0005-0000-0000-000087350000}"/>
    <cellStyle name="Heading 1 2 13" xfId="6240" xr:uid="{00000000-0005-0000-0000-000088350000}"/>
    <cellStyle name="Heading 1 2 14" xfId="6241" xr:uid="{00000000-0005-0000-0000-000089350000}"/>
    <cellStyle name="Heading 1 2 15" xfId="6242" xr:uid="{00000000-0005-0000-0000-00008A350000}"/>
    <cellStyle name="Heading 1 2 16" xfId="6243" xr:uid="{00000000-0005-0000-0000-00008B350000}"/>
    <cellStyle name="Heading 1 2 17" xfId="6236" xr:uid="{00000000-0005-0000-0000-00008C350000}"/>
    <cellStyle name="Heading 1 2 2" xfId="2379" xr:uid="{00000000-0005-0000-0000-00008D350000}"/>
    <cellStyle name="Heading 1 2 2 2" xfId="6245" xr:uid="{00000000-0005-0000-0000-00008E350000}"/>
    <cellStyle name="Heading 1 2 2 3" xfId="6246" xr:uid="{00000000-0005-0000-0000-00008F350000}"/>
    <cellStyle name="Heading 1 2 2 4" xfId="6247" xr:uid="{00000000-0005-0000-0000-000090350000}"/>
    <cellStyle name="Heading 1 2 2 5" xfId="6248" xr:uid="{00000000-0005-0000-0000-000091350000}"/>
    <cellStyle name="Heading 1 2 2 6" xfId="6244" xr:uid="{00000000-0005-0000-0000-000092350000}"/>
    <cellStyle name="Heading 1 2 3" xfId="2380" xr:uid="{00000000-0005-0000-0000-000093350000}"/>
    <cellStyle name="Heading 1 2 3 2" xfId="6249" xr:uid="{00000000-0005-0000-0000-000094350000}"/>
    <cellStyle name="Heading 1 2 4" xfId="2381" xr:uid="{00000000-0005-0000-0000-000095350000}"/>
    <cellStyle name="Heading 1 2 4 2" xfId="6250" xr:uid="{00000000-0005-0000-0000-000096350000}"/>
    <cellStyle name="Heading 1 2 5" xfId="2382" xr:uid="{00000000-0005-0000-0000-000097350000}"/>
    <cellStyle name="Heading 1 2 5 2" xfId="6251" xr:uid="{00000000-0005-0000-0000-000098350000}"/>
    <cellStyle name="Heading 1 2 6" xfId="6252" xr:uid="{00000000-0005-0000-0000-000099350000}"/>
    <cellStyle name="Heading 1 2 7" xfId="6253" xr:uid="{00000000-0005-0000-0000-00009A350000}"/>
    <cellStyle name="Heading 1 2 8" xfId="6254" xr:uid="{00000000-0005-0000-0000-00009B350000}"/>
    <cellStyle name="Heading 1 2 9" xfId="6255" xr:uid="{00000000-0005-0000-0000-00009C350000}"/>
    <cellStyle name="Heading 1 20" xfId="6256" xr:uid="{00000000-0005-0000-0000-00009D350000}"/>
    <cellStyle name="Heading 1 21" xfId="6257" xr:uid="{00000000-0005-0000-0000-00009E350000}"/>
    <cellStyle name="Heading 1 22" xfId="6258" xr:uid="{00000000-0005-0000-0000-00009F350000}"/>
    <cellStyle name="Heading 1 3" xfId="241" xr:uid="{00000000-0005-0000-0000-0000A0350000}"/>
    <cellStyle name="Heading 1 3 2" xfId="6260" xr:uid="{00000000-0005-0000-0000-0000A1350000}"/>
    <cellStyle name="Heading 1 3 3" xfId="6261" xr:uid="{00000000-0005-0000-0000-0000A2350000}"/>
    <cellStyle name="Heading 1 3 4" xfId="6262" xr:uid="{00000000-0005-0000-0000-0000A3350000}"/>
    <cellStyle name="Heading 1 3 5" xfId="6263" xr:uid="{00000000-0005-0000-0000-0000A4350000}"/>
    <cellStyle name="Heading 1 3 6" xfId="6264" xr:uid="{00000000-0005-0000-0000-0000A5350000}"/>
    <cellStyle name="Heading 1 3 7" xfId="6259" xr:uid="{00000000-0005-0000-0000-0000A6350000}"/>
    <cellStyle name="Heading 1 4" xfId="377" xr:uid="{00000000-0005-0000-0000-0000A7350000}"/>
    <cellStyle name="Heading 1 4 2" xfId="6266" xr:uid="{00000000-0005-0000-0000-0000A8350000}"/>
    <cellStyle name="Heading 1 4 3" xfId="6265" xr:uid="{00000000-0005-0000-0000-0000A9350000}"/>
    <cellStyle name="Heading 1 5" xfId="6267" xr:uid="{00000000-0005-0000-0000-0000AA350000}"/>
    <cellStyle name="Heading 1 5 2" xfId="6268" xr:uid="{00000000-0005-0000-0000-0000AB350000}"/>
    <cellStyle name="Heading 1 6" xfId="6269" xr:uid="{00000000-0005-0000-0000-0000AC350000}"/>
    <cellStyle name="Heading 1 7" xfId="6270" xr:uid="{00000000-0005-0000-0000-0000AD350000}"/>
    <cellStyle name="Heading 1 8" xfId="6271" xr:uid="{00000000-0005-0000-0000-0000AE350000}"/>
    <cellStyle name="Heading 1 9" xfId="6272" xr:uid="{00000000-0005-0000-0000-0000AF350000}"/>
    <cellStyle name="Heading 2 10" xfId="6273" xr:uid="{00000000-0005-0000-0000-0000B0350000}"/>
    <cellStyle name="Heading 2 11" xfId="6274" xr:uid="{00000000-0005-0000-0000-0000B1350000}"/>
    <cellStyle name="Heading 2 12" xfId="6275" xr:uid="{00000000-0005-0000-0000-0000B2350000}"/>
    <cellStyle name="Heading 2 13" xfId="6276" xr:uid="{00000000-0005-0000-0000-0000B3350000}"/>
    <cellStyle name="Heading 2 14" xfId="6277" xr:uid="{00000000-0005-0000-0000-0000B4350000}"/>
    <cellStyle name="Heading 2 15" xfId="6278" xr:uid="{00000000-0005-0000-0000-0000B5350000}"/>
    <cellStyle name="Heading 2 16" xfId="6279" xr:uid="{00000000-0005-0000-0000-0000B6350000}"/>
    <cellStyle name="Heading 2 17" xfId="6280" xr:uid="{00000000-0005-0000-0000-0000B7350000}"/>
    <cellStyle name="Heading 2 18" xfId="6281" xr:uid="{00000000-0005-0000-0000-0000B8350000}"/>
    <cellStyle name="Heading 2 19" xfId="6282" xr:uid="{00000000-0005-0000-0000-0000B9350000}"/>
    <cellStyle name="Heading 2 2" xfId="152" xr:uid="{00000000-0005-0000-0000-0000BA350000}"/>
    <cellStyle name="Heading 2 2 10" xfId="6284" xr:uid="{00000000-0005-0000-0000-0000BB350000}"/>
    <cellStyle name="Heading 2 2 11" xfId="6285" xr:uid="{00000000-0005-0000-0000-0000BC350000}"/>
    <cellStyle name="Heading 2 2 12" xfId="6286" xr:uid="{00000000-0005-0000-0000-0000BD350000}"/>
    <cellStyle name="Heading 2 2 13" xfId="6287" xr:uid="{00000000-0005-0000-0000-0000BE350000}"/>
    <cellStyle name="Heading 2 2 14" xfId="6288" xr:uid="{00000000-0005-0000-0000-0000BF350000}"/>
    <cellStyle name="Heading 2 2 15" xfId="6289" xr:uid="{00000000-0005-0000-0000-0000C0350000}"/>
    <cellStyle name="Heading 2 2 16" xfId="6290" xr:uid="{00000000-0005-0000-0000-0000C1350000}"/>
    <cellStyle name="Heading 2 2 17" xfId="6283" xr:uid="{00000000-0005-0000-0000-0000C2350000}"/>
    <cellStyle name="Heading 2 2 2" xfId="2383" xr:uid="{00000000-0005-0000-0000-0000C3350000}"/>
    <cellStyle name="Heading 2 2 2 2" xfId="6292" xr:uid="{00000000-0005-0000-0000-0000C4350000}"/>
    <cellStyle name="Heading 2 2 2 3" xfId="6293" xr:uid="{00000000-0005-0000-0000-0000C5350000}"/>
    <cellStyle name="Heading 2 2 2 4" xfId="6294" xr:uid="{00000000-0005-0000-0000-0000C6350000}"/>
    <cellStyle name="Heading 2 2 2 5" xfId="6295" xr:uid="{00000000-0005-0000-0000-0000C7350000}"/>
    <cellStyle name="Heading 2 2 2 6" xfId="6291" xr:uid="{00000000-0005-0000-0000-0000C8350000}"/>
    <cellStyle name="Heading 2 2 3" xfId="2384" xr:uid="{00000000-0005-0000-0000-0000C9350000}"/>
    <cellStyle name="Heading 2 2 3 2" xfId="6296" xr:uid="{00000000-0005-0000-0000-0000CA350000}"/>
    <cellStyle name="Heading 2 2 4" xfId="6297" xr:uid="{00000000-0005-0000-0000-0000CB350000}"/>
    <cellStyle name="Heading 2 2 5" xfId="6298" xr:uid="{00000000-0005-0000-0000-0000CC350000}"/>
    <cellStyle name="Heading 2 2 6" xfId="6299" xr:uid="{00000000-0005-0000-0000-0000CD350000}"/>
    <cellStyle name="Heading 2 2 7" xfId="6300" xr:uid="{00000000-0005-0000-0000-0000CE350000}"/>
    <cellStyle name="Heading 2 2 8" xfId="6301" xr:uid="{00000000-0005-0000-0000-0000CF350000}"/>
    <cellStyle name="Heading 2 2 9" xfId="6302" xr:uid="{00000000-0005-0000-0000-0000D0350000}"/>
    <cellStyle name="Heading 2 20" xfId="6303" xr:uid="{00000000-0005-0000-0000-0000D1350000}"/>
    <cellStyle name="Heading 2 21" xfId="6304" xr:uid="{00000000-0005-0000-0000-0000D2350000}"/>
    <cellStyle name="Heading 2 22" xfId="6305" xr:uid="{00000000-0005-0000-0000-0000D3350000}"/>
    <cellStyle name="Heading 2 3" xfId="242" xr:uid="{00000000-0005-0000-0000-0000D4350000}"/>
    <cellStyle name="Heading 2 3 2" xfId="6307" xr:uid="{00000000-0005-0000-0000-0000D5350000}"/>
    <cellStyle name="Heading 2 3 3" xfId="6308" xr:uid="{00000000-0005-0000-0000-0000D6350000}"/>
    <cellStyle name="Heading 2 3 4" xfId="6309" xr:uid="{00000000-0005-0000-0000-0000D7350000}"/>
    <cellStyle name="Heading 2 3 5" xfId="6310" xr:uid="{00000000-0005-0000-0000-0000D8350000}"/>
    <cellStyle name="Heading 2 3 6" xfId="6311" xr:uid="{00000000-0005-0000-0000-0000D9350000}"/>
    <cellStyle name="Heading 2 3 7" xfId="6306" xr:uid="{00000000-0005-0000-0000-0000DA350000}"/>
    <cellStyle name="Heading 2 4" xfId="378" xr:uid="{00000000-0005-0000-0000-0000DB350000}"/>
    <cellStyle name="Heading 2 4 2" xfId="6313" xr:uid="{00000000-0005-0000-0000-0000DC350000}"/>
    <cellStyle name="Heading 2 4 3" xfId="6312" xr:uid="{00000000-0005-0000-0000-0000DD350000}"/>
    <cellStyle name="Heading 2 5" xfId="6314" xr:uid="{00000000-0005-0000-0000-0000DE350000}"/>
    <cellStyle name="Heading 2 5 2" xfId="6315" xr:uid="{00000000-0005-0000-0000-0000DF350000}"/>
    <cellStyle name="Heading 2 6" xfId="6316" xr:uid="{00000000-0005-0000-0000-0000E0350000}"/>
    <cellStyle name="Heading 2 6 2" xfId="6317" xr:uid="{00000000-0005-0000-0000-0000E1350000}"/>
    <cellStyle name="Heading 2 7" xfId="6318" xr:uid="{00000000-0005-0000-0000-0000E2350000}"/>
    <cellStyle name="Heading 2 7 2" xfId="6319" xr:uid="{00000000-0005-0000-0000-0000E3350000}"/>
    <cellStyle name="Heading 2 8" xfId="6320" xr:uid="{00000000-0005-0000-0000-0000E4350000}"/>
    <cellStyle name="Heading 2 8 2" xfId="6321" xr:uid="{00000000-0005-0000-0000-0000E5350000}"/>
    <cellStyle name="Heading 2 9" xfId="6322" xr:uid="{00000000-0005-0000-0000-0000E6350000}"/>
    <cellStyle name="Heading 3 10" xfId="6323" xr:uid="{00000000-0005-0000-0000-0000E7350000}"/>
    <cellStyle name="Heading 3 11" xfId="6324" xr:uid="{00000000-0005-0000-0000-0000E8350000}"/>
    <cellStyle name="Heading 3 12" xfId="6325" xr:uid="{00000000-0005-0000-0000-0000E9350000}"/>
    <cellStyle name="Heading 3 13" xfId="6326" xr:uid="{00000000-0005-0000-0000-0000EA350000}"/>
    <cellStyle name="Heading 3 14" xfId="6327" xr:uid="{00000000-0005-0000-0000-0000EB350000}"/>
    <cellStyle name="Heading 3 15" xfId="6328" xr:uid="{00000000-0005-0000-0000-0000EC350000}"/>
    <cellStyle name="Heading 3 16" xfId="6329" xr:uid="{00000000-0005-0000-0000-0000ED350000}"/>
    <cellStyle name="Heading 3 17" xfId="6330" xr:uid="{00000000-0005-0000-0000-0000EE350000}"/>
    <cellStyle name="Heading 3 18" xfId="6331" xr:uid="{00000000-0005-0000-0000-0000EF350000}"/>
    <cellStyle name="Heading 3 19" xfId="6332" xr:uid="{00000000-0005-0000-0000-0000F0350000}"/>
    <cellStyle name="Heading 3 2" xfId="153" xr:uid="{00000000-0005-0000-0000-0000F1350000}"/>
    <cellStyle name="Heading 3 2 10" xfId="6334" xr:uid="{00000000-0005-0000-0000-0000F2350000}"/>
    <cellStyle name="Heading 3 2 11" xfId="6335" xr:uid="{00000000-0005-0000-0000-0000F3350000}"/>
    <cellStyle name="Heading 3 2 12" xfId="6336" xr:uid="{00000000-0005-0000-0000-0000F4350000}"/>
    <cellStyle name="Heading 3 2 13" xfId="6337" xr:uid="{00000000-0005-0000-0000-0000F5350000}"/>
    <cellStyle name="Heading 3 2 14" xfId="6338" xr:uid="{00000000-0005-0000-0000-0000F6350000}"/>
    <cellStyle name="Heading 3 2 15" xfId="6339" xr:uid="{00000000-0005-0000-0000-0000F7350000}"/>
    <cellStyle name="Heading 3 2 16" xfId="6340" xr:uid="{00000000-0005-0000-0000-0000F8350000}"/>
    <cellStyle name="Heading 3 2 17" xfId="6333" xr:uid="{00000000-0005-0000-0000-0000F9350000}"/>
    <cellStyle name="Heading 3 2 2" xfId="2385" xr:uid="{00000000-0005-0000-0000-0000FA350000}"/>
    <cellStyle name="Heading 3 2 2 2" xfId="6342" xr:uid="{00000000-0005-0000-0000-0000FB350000}"/>
    <cellStyle name="Heading 3 2 2 3" xfId="6343" xr:uid="{00000000-0005-0000-0000-0000FC350000}"/>
    <cellStyle name="Heading 3 2 2 4" xfId="6344" xr:uid="{00000000-0005-0000-0000-0000FD350000}"/>
    <cellStyle name="Heading 3 2 2 5" xfId="6345" xr:uid="{00000000-0005-0000-0000-0000FE350000}"/>
    <cellStyle name="Heading 3 2 2 6" xfId="6341" xr:uid="{00000000-0005-0000-0000-0000FF350000}"/>
    <cellStyle name="Heading 3 2 3" xfId="2386" xr:uid="{00000000-0005-0000-0000-000000360000}"/>
    <cellStyle name="Heading 3 2 3 2" xfId="6346" xr:uid="{00000000-0005-0000-0000-000001360000}"/>
    <cellStyle name="Heading 3 2 4" xfId="6347" xr:uid="{00000000-0005-0000-0000-000002360000}"/>
    <cellStyle name="Heading 3 2 5" xfId="6348" xr:uid="{00000000-0005-0000-0000-000003360000}"/>
    <cellStyle name="Heading 3 2 6" xfId="6349" xr:uid="{00000000-0005-0000-0000-000004360000}"/>
    <cellStyle name="Heading 3 2 7" xfId="6350" xr:uid="{00000000-0005-0000-0000-000005360000}"/>
    <cellStyle name="Heading 3 2 8" xfId="6351" xr:uid="{00000000-0005-0000-0000-000006360000}"/>
    <cellStyle name="Heading 3 2 9" xfId="6352" xr:uid="{00000000-0005-0000-0000-000007360000}"/>
    <cellStyle name="Heading 3 20" xfId="6353" xr:uid="{00000000-0005-0000-0000-000008360000}"/>
    <cellStyle name="Heading 3 21" xfId="6354" xr:uid="{00000000-0005-0000-0000-000009360000}"/>
    <cellStyle name="Heading 3 22" xfId="6355" xr:uid="{00000000-0005-0000-0000-00000A360000}"/>
    <cellStyle name="Heading 3 3" xfId="243" xr:uid="{00000000-0005-0000-0000-00000B360000}"/>
    <cellStyle name="Heading 3 3 2" xfId="6357" xr:uid="{00000000-0005-0000-0000-00000C360000}"/>
    <cellStyle name="Heading 3 3 3" xfId="6358" xr:uid="{00000000-0005-0000-0000-00000D360000}"/>
    <cellStyle name="Heading 3 3 4" xfId="6359" xr:uid="{00000000-0005-0000-0000-00000E360000}"/>
    <cellStyle name="Heading 3 3 5" xfId="6360" xr:uid="{00000000-0005-0000-0000-00000F360000}"/>
    <cellStyle name="Heading 3 3 6" xfId="6361" xr:uid="{00000000-0005-0000-0000-000010360000}"/>
    <cellStyle name="Heading 3 3 7" xfId="6356" xr:uid="{00000000-0005-0000-0000-000011360000}"/>
    <cellStyle name="Heading 3 4" xfId="379" xr:uid="{00000000-0005-0000-0000-000012360000}"/>
    <cellStyle name="Heading 3 4 2" xfId="6363" xr:uid="{00000000-0005-0000-0000-000013360000}"/>
    <cellStyle name="Heading 3 4 3" xfId="6362" xr:uid="{00000000-0005-0000-0000-000014360000}"/>
    <cellStyle name="Heading 3 5" xfId="6364" xr:uid="{00000000-0005-0000-0000-000015360000}"/>
    <cellStyle name="Heading 3 5 2" xfId="6365" xr:uid="{00000000-0005-0000-0000-000016360000}"/>
    <cellStyle name="Heading 3 6" xfId="6366" xr:uid="{00000000-0005-0000-0000-000017360000}"/>
    <cellStyle name="Heading 3 6 2" xfId="6367" xr:uid="{00000000-0005-0000-0000-000018360000}"/>
    <cellStyle name="Heading 3 7" xfId="6368" xr:uid="{00000000-0005-0000-0000-000019360000}"/>
    <cellStyle name="Heading 3 7 2" xfId="6369" xr:uid="{00000000-0005-0000-0000-00001A360000}"/>
    <cellStyle name="Heading 3 8" xfId="6370" xr:uid="{00000000-0005-0000-0000-00001B360000}"/>
    <cellStyle name="Heading 3 8 2" xfId="6371" xr:uid="{00000000-0005-0000-0000-00001C360000}"/>
    <cellStyle name="Heading 3 9" xfId="6372" xr:uid="{00000000-0005-0000-0000-00001D360000}"/>
    <cellStyle name="Heading 4 10" xfId="6373" xr:uid="{00000000-0005-0000-0000-00001E360000}"/>
    <cellStyle name="Heading 4 11" xfId="6374" xr:uid="{00000000-0005-0000-0000-00001F360000}"/>
    <cellStyle name="Heading 4 12" xfId="6375" xr:uid="{00000000-0005-0000-0000-000020360000}"/>
    <cellStyle name="Heading 4 13" xfId="6376" xr:uid="{00000000-0005-0000-0000-000021360000}"/>
    <cellStyle name="Heading 4 14" xfId="6377" xr:uid="{00000000-0005-0000-0000-000022360000}"/>
    <cellStyle name="Heading 4 15" xfId="6378" xr:uid="{00000000-0005-0000-0000-000023360000}"/>
    <cellStyle name="Heading 4 16" xfId="6379" xr:uid="{00000000-0005-0000-0000-000024360000}"/>
    <cellStyle name="Heading 4 17" xfId="6380" xr:uid="{00000000-0005-0000-0000-000025360000}"/>
    <cellStyle name="Heading 4 18" xfId="6381" xr:uid="{00000000-0005-0000-0000-000026360000}"/>
    <cellStyle name="Heading 4 19" xfId="6382" xr:uid="{00000000-0005-0000-0000-000027360000}"/>
    <cellStyle name="Heading 4 2" xfId="154" xr:uid="{00000000-0005-0000-0000-000028360000}"/>
    <cellStyle name="Heading 4 2 10" xfId="6384" xr:uid="{00000000-0005-0000-0000-000029360000}"/>
    <cellStyle name="Heading 4 2 11" xfId="6385" xr:uid="{00000000-0005-0000-0000-00002A360000}"/>
    <cellStyle name="Heading 4 2 12" xfId="6386" xr:uid="{00000000-0005-0000-0000-00002B360000}"/>
    <cellStyle name="Heading 4 2 13" xfId="6387" xr:uid="{00000000-0005-0000-0000-00002C360000}"/>
    <cellStyle name="Heading 4 2 14" xfId="6388" xr:uid="{00000000-0005-0000-0000-00002D360000}"/>
    <cellStyle name="Heading 4 2 15" xfId="6389" xr:uid="{00000000-0005-0000-0000-00002E360000}"/>
    <cellStyle name="Heading 4 2 16" xfId="6390" xr:uid="{00000000-0005-0000-0000-00002F360000}"/>
    <cellStyle name="Heading 4 2 17" xfId="6383" xr:uid="{00000000-0005-0000-0000-000030360000}"/>
    <cellStyle name="Heading 4 2 2" xfId="2387" xr:uid="{00000000-0005-0000-0000-000031360000}"/>
    <cellStyle name="Heading 4 2 2 2" xfId="6392" xr:uid="{00000000-0005-0000-0000-000032360000}"/>
    <cellStyle name="Heading 4 2 2 3" xfId="6393" xr:uid="{00000000-0005-0000-0000-000033360000}"/>
    <cellStyle name="Heading 4 2 2 4" xfId="6394" xr:uid="{00000000-0005-0000-0000-000034360000}"/>
    <cellStyle name="Heading 4 2 2 5" xfId="6395" xr:uid="{00000000-0005-0000-0000-000035360000}"/>
    <cellStyle name="Heading 4 2 2 6" xfId="6391" xr:uid="{00000000-0005-0000-0000-000036360000}"/>
    <cellStyle name="Heading 4 2 3" xfId="2388" xr:uid="{00000000-0005-0000-0000-000037360000}"/>
    <cellStyle name="Heading 4 2 3 2" xfId="6396" xr:uid="{00000000-0005-0000-0000-000038360000}"/>
    <cellStyle name="Heading 4 2 4" xfId="6397" xr:uid="{00000000-0005-0000-0000-000039360000}"/>
    <cellStyle name="Heading 4 2 5" xfId="6398" xr:uid="{00000000-0005-0000-0000-00003A360000}"/>
    <cellStyle name="Heading 4 2 6" xfId="6399" xr:uid="{00000000-0005-0000-0000-00003B360000}"/>
    <cellStyle name="Heading 4 2 7" xfId="6400" xr:uid="{00000000-0005-0000-0000-00003C360000}"/>
    <cellStyle name="Heading 4 2 8" xfId="6401" xr:uid="{00000000-0005-0000-0000-00003D360000}"/>
    <cellStyle name="Heading 4 2 9" xfId="6402" xr:uid="{00000000-0005-0000-0000-00003E360000}"/>
    <cellStyle name="Heading 4 20" xfId="6403" xr:uid="{00000000-0005-0000-0000-00003F360000}"/>
    <cellStyle name="Heading 4 21" xfId="6404" xr:uid="{00000000-0005-0000-0000-000040360000}"/>
    <cellStyle name="Heading 4 22" xfId="6405" xr:uid="{00000000-0005-0000-0000-000041360000}"/>
    <cellStyle name="Heading 4 3" xfId="244" xr:uid="{00000000-0005-0000-0000-000042360000}"/>
    <cellStyle name="Heading 4 3 2" xfId="6407" xr:uid="{00000000-0005-0000-0000-000043360000}"/>
    <cellStyle name="Heading 4 3 3" xfId="6408" xr:uid="{00000000-0005-0000-0000-000044360000}"/>
    <cellStyle name="Heading 4 3 4" xfId="6409" xr:uid="{00000000-0005-0000-0000-000045360000}"/>
    <cellStyle name="Heading 4 3 5" xfId="6410" xr:uid="{00000000-0005-0000-0000-000046360000}"/>
    <cellStyle name="Heading 4 3 6" xfId="6411" xr:uid="{00000000-0005-0000-0000-000047360000}"/>
    <cellStyle name="Heading 4 3 7" xfId="6406" xr:uid="{00000000-0005-0000-0000-000048360000}"/>
    <cellStyle name="Heading 4 4" xfId="380" xr:uid="{00000000-0005-0000-0000-000049360000}"/>
    <cellStyle name="Heading 4 4 2" xfId="6413" xr:uid="{00000000-0005-0000-0000-00004A360000}"/>
    <cellStyle name="Heading 4 4 3" xfId="6412" xr:uid="{00000000-0005-0000-0000-00004B360000}"/>
    <cellStyle name="Heading 4 5" xfId="6414" xr:uid="{00000000-0005-0000-0000-00004C360000}"/>
    <cellStyle name="Heading 4 5 2" xfId="6415" xr:uid="{00000000-0005-0000-0000-00004D360000}"/>
    <cellStyle name="Heading 4 6" xfId="6416" xr:uid="{00000000-0005-0000-0000-00004E360000}"/>
    <cellStyle name="Heading 4 7" xfId="6417" xr:uid="{00000000-0005-0000-0000-00004F360000}"/>
    <cellStyle name="Heading 4 8" xfId="6418" xr:uid="{00000000-0005-0000-0000-000050360000}"/>
    <cellStyle name="Heading 4 9" xfId="6419" xr:uid="{00000000-0005-0000-0000-000051360000}"/>
    <cellStyle name="Heading 5" xfId="1579" xr:uid="{00000000-0005-0000-0000-000052360000}"/>
    <cellStyle name="Headline" xfId="13" xr:uid="{00000000-0005-0000-0000-000053360000}"/>
    <cellStyle name="Hyperlink" xfId="2" builtinId="8"/>
    <cellStyle name="Hyperlink 2" xfId="1580" xr:uid="{00000000-0005-0000-0000-000055360000}"/>
    <cellStyle name="Hyperlink 2 2" xfId="1581" xr:uid="{00000000-0005-0000-0000-000056360000}"/>
    <cellStyle name="Hyperlink 2 2 2" xfId="2389" xr:uid="{00000000-0005-0000-0000-000057360000}"/>
    <cellStyle name="Hyperlink 2 3" xfId="6420" xr:uid="{00000000-0005-0000-0000-000058360000}"/>
    <cellStyle name="Hyperlink 3" xfId="1582" xr:uid="{00000000-0005-0000-0000-000059360000}"/>
    <cellStyle name="Hyperlink 3 2" xfId="1583" xr:uid="{00000000-0005-0000-0000-00005A360000}"/>
    <cellStyle name="Hyperlink 3 3" xfId="2390" xr:uid="{00000000-0005-0000-0000-00005B360000}"/>
    <cellStyle name="Hyperlink 4" xfId="1584" xr:uid="{00000000-0005-0000-0000-00005C360000}"/>
    <cellStyle name="Hyperlink 5" xfId="1585" xr:uid="{00000000-0005-0000-0000-00005D360000}"/>
    <cellStyle name="Hyperlink 5 2" xfId="1586" xr:uid="{00000000-0005-0000-0000-00005E360000}"/>
    <cellStyle name="Hyperlink 6" xfId="1587" xr:uid="{00000000-0005-0000-0000-00005F360000}"/>
    <cellStyle name="Hyperlink 7" xfId="1588" xr:uid="{00000000-0005-0000-0000-000060360000}"/>
    <cellStyle name="Hyperlink 8" xfId="1589" xr:uid="{00000000-0005-0000-0000-000061360000}"/>
    <cellStyle name="Hyperlink 9" xfId="12158" xr:uid="{00000000-0005-0000-0000-000062360000}"/>
    <cellStyle name="Hyperlink Arrow" xfId="2391" xr:uid="{00000000-0005-0000-0000-000063360000}"/>
    <cellStyle name="Hyperlink Arrow 2" xfId="2392" xr:uid="{00000000-0005-0000-0000-000064360000}"/>
    <cellStyle name="Hyperlink Arrow 2 2" xfId="2393" xr:uid="{00000000-0005-0000-0000-000065360000}"/>
    <cellStyle name="iComma0" xfId="2394" xr:uid="{00000000-0005-0000-0000-000066360000}"/>
    <cellStyle name="iComma0 2" xfId="6421" xr:uid="{00000000-0005-0000-0000-000067360000}"/>
    <cellStyle name="iComma1" xfId="2395" xr:uid="{00000000-0005-0000-0000-000068360000}"/>
    <cellStyle name="iComma1 2" xfId="6422" xr:uid="{00000000-0005-0000-0000-000069360000}"/>
    <cellStyle name="iComma2" xfId="2396" xr:uid="{00000000-0005-0000-0000-00006A360000}"/>
    <cellStyle name="iComma2 2" xfId="6423" xr:uid="{00000000-0005-0000-0000-00006B360000}"/>
    <cellStyle name="iCurrency0" xfId="2397" xr:uid="{00000000-0005-0000-0000-00006C360000}"/>
    <cellStyle name="iCurrency0 2" xfId="6424" xr:uid="{00000000-0005-0000-0000-00006D360000}"/>
    <cellStyle name="iCurrency2" xfId="2398" xr:uid="{00000000-0005-0000-0000-00006E360000}"/>
    <cellStyle name="iCurrency2 2" xfId="6425" xr:uid="{00000000-0005-0000-0000-00006F360000}"/>
    <cellStyle name="iCurrency2 3" xfId="13374" xr:uid="{00000000-0005-0000-0000-000070360000}"/>
    <cellStyle name="iCurrency2 4" xfId="15659" xr:uid="{00000000-0005-0000-0000-000071360000}"/>
    <cellStyle name="iDateDM" xfId="2399" xr:uid="{00000000-0005-0000-0000-000072360000}"/>
    <cellStyle name="iDateDM 2" xfId="6426" xr:uid="{00000000-0005-0000-0000-000073360000}"/>
    <cellStyle name="iDateDMY" xfId="2400" xr:uid="{00000000-0005-0000-0000-000074360000}"/>
    <cellStyle name="iDateDMY 2" xfId="6427" xr:uid="{00000000-0005-0000-0000-000075360000}"/>
    <cellStyle name="iDateMY" xfId="2401" xr:uid="{00000000-0005-0000-0000-000076360000}"/>
    <cellStyle name="iDateMY 2" xfId="6428" xr:uid="{00000000-0005-0000-0000-000077360000}"/>
    <cellStyle name="iDateT24" xfId="2402" xr:uid="{00000000-0005-0000-0000-000078360000}"/>
    <cellStyle name="iDateT24 2" xfId="6429" xr:uid="{00000000-0005-0000-0000-000079360000}"/>
    <cellStyle name="Inp%0" xfId="2403" xr:uid="{00000000-0005-0000-0000-00007A360000}"/>
    <cellStyle name="Inp%1" xfId="2404" xr:uid="{00000000-0005-0000-0000-00007B360000}"/>
    <cellStyle name="Inp%2" xfId="2405" xr:uid="{00000000-0005-0000-0000-00007C360000}"/>
    <cellStyle name="Inp,0" xfId="2406" xr:uid="{00000000-0005-0000-0000-00007D360000}"/>
    <cellStyle name="Inp,1" xfId="2407" xr:uid="{00000000-0005-0000-0000-00007E360000}"/>
    <cellStyle name="Inp,2" xfId="2408" xr:uid="{00000000-0005-0000-0000-00007F360000}"/>
    <cellStyle name="Input (Date)" xfId="2409" xr:uid="{00000000-0005-0000-0000-000080360000}"/>
    <cellStyle name="Input (StyleA)" xfId="2410" xr:uid="{00000000-0005-0000-0000-000081360000}"/>
    <cellStyle name="Input [yellow]" xfId="2411" xr:uid="{00000000-0005-0000-0000-000082360000}"/>
    <cellStyle name="Input [yellow] 2" xfId="13377" xr:uid="{00000000-0005-0000-0000-000083360000}"/>
    <cellStyle name="Input [yellow] 3" xfId="13818" xr:uid="{00000000-0005-0000-0000-000084360000}"/>
    <cellStyle name="Input [yellow] 4" xfId="16005" xr:uid="{00000000-0005-0000-0000-000085360000}"/>
    <cellStyle name="Input [yellow] 5" xfId="17666" xr:uid="{00000000-0005-0000-0000-000086360000}"/>
    <cellStyle name="Input [yellow] 6" xfId="13954" xr:uid="{00000000-0005-0000-0000-000087360000}"/>
    <cellStyle name="Input 10" xfId="6430" xr:uid="{00000000-0005-0000-0000-000088360000}"/>
    <cellStyle name="Input 11" xfId="6431" xr:uid="{00000000-0005-0000-0000-000089360000}"/>
    <cellStyle name="Input 12" xfId="6432" xr:uid="{00000000-0005-0000-0000-00008A360000}"/>
    <cellStyle name="Input 13" xfId="6433" xr:uid="{00000000-0005-0000-0000-00008B360000}"/>
    <cellStyle name="Input 14" xfId="6434" xr:uid="{00000000-0005-0000-0000-00008C360000}"/>
    <cellStyle name="Input 15" xfId="6435" xr:uid="{00000000-0005-0000-0000-00008D360000}"/>
    <cellStyle name="Input 16" xfId="6436" xr:uid="{00000000-0005-0000-0000-00008E360000}"/>
    <cellStyle name="Input 17" xfId="6437" xr:uid="{00000000-0005-0000-0000-00008F360000}"/>
    <cellStyle name="Input 18" xfId="6438" xr:uid="{00000000-0005-0000-0000-000090360000}"/>
    <cellStyle name="Input 19" xfId="6439" xr:uid="{00000000-0005-0000-0000-000091360000}"/>
    <cellStyle name="Input 2" xfId="7" xr:uid="{00000000-0005-0000-0000-000092360000}"/>
    <cellStyle name="Input 2 10" xfId="6441" xr:uid="{00000000-0005-0000-0000-000093360000}"/>
    <cellStyle name="Input 2 11" xfId="6442" xr:uid="{00000000-0005-0000-0000-000094360000}"/>
    <cellStyle name="Input 2 12" xfId="6443" xr:uid="{00000000-0005-0000-0000-000095360000}"/>
    <cellStyle name="Input 2 13" xfId="6444" xr:uid="{00000000-0005-0000-0000-000096360000}"/>
    <cellStyle name="Input 2 14" xfId="6445" xr:uid="{00000000-0005-0000-0000-000097360000}"/>
    <cellStyle name="Input 2 15" xfId="6446" xr:uid="{00000000-0005-0000-0000-000098360000}"/>
    <cellStyle name="Input 2 16" xfId="6447" xr:uid="{00000000-0005-0000-0000-000099360000}"/>
    <cellStyle name="Input 2 17" xfId="6448" xr:uid="{00000000-0005-0000-0000-00009A360000}"/>
    <cellStyle name="Input 2 18" xfId="6449" xr:uid="{00000000-0005-0000-0000-00009B360000}"/>
    <cellStyle name="Input 2 19" xfId="6440" xr:uid="{00000000-0005-0000-0000-00009C360000}"/>
    <cellStyle name="Input 2 2" xfId="569" xr:uid="{00000000-0005-0000-0000-00009D360000}"/>
    <cellStyle name="Input 2 2 10" xfId="9900" xr:uid="{00000000-0005-0000-0000-00009E360000}"/>
    <cellStyle name="Input 2 2 11" xfId="10312" xr:uid="{00000000-0005-0000-0000-00009F360000}"/>
    <cellStyle name="Input 2 2 12" xfId="10718" xr:uid="{00000000-0005-0000-0000-0000A0360000}"/>
    <cellStyle name="Input 2 2 13" xfId="11036" xr:uid="{00000000-0005-0000-0000-0000A1360000}"/>
    <cellStyle name="Input 2 2 14" xfId="11423" xr:uid="{00000000-0005-0000-0000-0000A2360000}"/>
    <cellStyle name="Input 2 2 15" xfId="11795" xr:uid="{00000000-0005-0000-0000-0000A3360000}"/>
    <cellStyle name="Input 2 2 16" xfId="12308" xr:uid="{00000000-0005-0000-0000-0000A4360000}"/>
    <cellStyle name="Input 2 2 17" xfId="15973" xr:uid="{00000000-0005-0000-0000-0000A5360000}"/>
    <cellStyle name="Input 2 2 18" xfId="15966" xr:uid="{00000000-0005-0000-0000-0000A6360000}"/>
    <cellStyle name="Input 2 2 19" xfId="18307" xr:uid="{00000000-0005-0000-0000-0000A7360000}"/>
    <cellStyle name="Input 2 2 2" xfId="784" xr:uid="{00000000-0005-0000-0000-0000A8360000}"/>
    <cellStyle name="Input 2 2 2 10" xfId="10526" xr:uid="{00000000-0005-0000-0000-0000A9360000}"/>
    <cellStyle name="Input 2 2 2 11" xfId="9301" xr:uid="{00000000-0005-0000-0000-0000AA360000}"/>
    <cellStyle name="Input 2 2 2 12" xfId="11245" xr:uid="{00000000-0005-0000-0000-0000AB360000}"/>
    <cellStyle name="Input 2 2 2 13" xfId="11630" xr:uid="{00000000-0005-0000-0000-0000AC360000}"/>
    <cellStyle name="Input 2 2 2 14" xfId="12001" xr:uid="{00000000-0005-0000-0000-0000AD360000}"/>
    <cellStyle name="Input 2 2 2 15" xfId="12514" xr:uid="{00000000-0005-0000-0000-0000AE360000}"/>
    <cellStyle name="Input 2 2 2 16" xfId="14451" xr:uid="{00000000-0005-0000-0000-0000AF360000}"/>
    <cellStyle name="Input 2 2 2 17" xfId="14948" xr:uid="{00000000-0005-0000-0000-0000B0360000}"/>
    <cellStyle name="Input 2 2 2 18" xfId="18477" xr:uid="{00000000-0005-0000-0000-0000B1360000}"/>
    <cellStyle name="Input 2 2 2 19" xfId="17538" xr:uid="{00000000-0005-0000-0000-0000B2360000}"/>
    <cellStyle name="Input 2 2 2 2" xfId="927" xr:uid="{00000000-0005-0000-0000-0000B3360000}"/>
    <cellStyle name="Input 2 2 2 2 2" xfId="12656" xr:uid="{00000000-0005-0000-0000-0000B4360000}"/>
    <cellStyle name="Input 2 2 2 2 3" xfId="15111" xr:uid="{00000000-0005-0000-0000-0000B5360000}"/>
    <cellStyle name="Input 2 2 2 2 4" xfId="16463" xr:uid="{00000000-0005-0000-0000-0000B6360000}"/>
    <cellStyle name="Input 2 2 2 2 5" xfId="18508" xr:uid="{00000000-0005-0000-0000-0000B7360000}"/>
    <cellStyle name="Input 2 2 2 2 6" xfId="18285" xr:uid="{00000000-0005-0000-0000-0000B8360000}"/>
    <cellStyle name="Input 2 2 2 3" xfId="1590" xr:uid="{00000000-0005-0000-0000-0000B9360000}"/>
    <cellStyle name="Input 2 2 2 3 2" xfId="13172" xr:uid="{00000000-0005-0000-0000-0000BA360000}"/>
    <cellStyle name="Input 2 2 2 3 3" xfId="15654" xr:uid="{00000000-0005-0000-0000-0000BB360000}"/>
    <cellStyle name="Input 2 2 2 3 4" xfId="15702" xr:uid="{00000000-0005-0000-0000-0000BC360000}"/>
    <cellStyle name="Input 2 2 2 3 5" xfId="18387" xr:uid="{00000000-0005-0000-0000-0000BD360000}"/>
    <cellStyle name="Input 2 2 2 3 6" xfId="18322" xr:uid="{00000000-0005-0000-0000-0000BE360000}"/>
    <cellStyle name="Input 2 2 2 4" xfId="3962" xr:uid="{00000000-0005-0000-0000-0000BF360000}"/>
    <cellStyle name="Input 2 2 2 5" xfId="6451" xr:uid="{00000000-0005-0000-0000-0000C0360000}"/>
    <cellStyle name="Input 2 2 2 6" xfId="8450" xr:uid="{00000000-0005-0000-0000-0000C1360000}"/>
    <cellStyle name="Input 2 2 2 7" xfId="8634" xr:uid="{00000000-0005-0000-0000-0000C2360000}"/>
    <cellStyle name="Input 2 2 2 8" xfId="9685" xr:uid="{00000000-0005-0000-0000-0000C3360000}"/>
    <cellStyle name="Input 2 2 2 9" xfId="10114" xr:uid="{00000000-0005-0000-0000-0000C4360000}"/>
    <cellStyle name="Input 2 2 20" xfId="15445" xr:uid="{00000000-0005-0000-0000-0000C5360000}"/>
    <cellStyle name="Input 2 2 3" xfId="1157" xr:uid="{00000000-0005-0000-0000-0000C6360000}"/>
    <cellStyle name="Input 2 2 3 2" xfId="6452" xr:uid="{00000000-0005-0000-0000-0000C7360000}"/>
    <cellStyle name="Input 2 2 3 3" xfId="12886" xr:uid="{00000000-0005-0000-0000-0000C8360000}"/>
    <cellStyle name="Input 2 2 3 4" xfId="15339" xr:uid="{00000000-0005-0000-0000-0000C9360000}"/>
    <cellStyle name="Input 2 2 3 5" xfId="17292" xr:uid="{00000000-0005-0000-0000-0000CA360000}"/>
    <cellStyle name="Input 2 2 3 6" xfId="18128" xr:uid="{00000000-0005-0000-0000-0000CB360000}"/>
    <cellStyle name="Input 2 2 3 7" xfId="19244" xr:uid="{00000000-0005-0000-0000-0000CC360000}"/>
    <cellStyle name="Input 2 2 4" xfId="3318" xr:uid="{00000000-0005-0000-0000-0000CD360000}"/>
    <cellStyle name="Input 2 2 4 2" xfId="6453" xr:uid="{00000000-0005-0000-0000-0000CE360000}"/>
    <cellStyle name="Input 2 2 5" xfId="6454" xr:uid="{00000000-0005-0000-0000-0000CF360000}"/>
    <cellStyle name="Input 2 2 6" xfId="6450" xr:uid="{00000000-0005-0000-0000-0000D0360000}"/>
    <cellStyle name="Input 2 2 7" xfId="8340" xr:uid="{00000000-0005-0000-0000-0000D1360000}"/>
    <cellStyle name="Input 2 2 8" xfId="9104" xr:uid="{00000000-0005-0000-0000-0000D2360000}"/>
    <cellStyle name="Input 2 2 9" xfId="9473" xr:uid="{00000000-0005-0000-0000-0000D3360000}"/>
    <cellStyle name="Input 2 20" xfId="8280" xr:uid="{00000000-0005-0000-0000-0000D4360000}"/>
    <cellStyle name="Input 2 21" xfId="8921" xr:uid="{00000000-0005-0000-0000-0000D5360000}"/>
    <cellStyle name="Input 2 22" xfId="8685" xr:uid="{00000000-0005-0000-0000-0000D6360000}"/>
    <cellStyle name="Input 2 23" xfId="9811" xr:uid="{00000000-0005-0000-0000-0000D7360000}"/>
    <cellStyle name="Input 2 24" xfId="10949" xr:uid="{00000000-0005-0000-0000-0000D8360000}"/>
    <cellStyle name="Input 2 25" xfId="10908" xr:uid="{00000000-0005-0000-0000-0000D9360000}"/>
    <cellStyle name="Input 2 26" xfId="10977" xr:uid="{00000000-0005-0000-0000-0000DA360000}"/>
    <cellStyle name="Input 2 3" xfId="673" xr:uid="{00000000-0005-0000-0000-0000DB360000}"/>
    <cellStyle name="Input 2 3 10" xfId="10416" xr:uid="{00000000-0005-0000-0000-0000DC360000}"/>
    <cellStyle name="Input 2 3 11" xfId="9826" xr:uid="{00000000-0005-0000-0000-0000DD360000}"/>
    <cellStyle name="Input 2 3 12" xfId="11140" xr:uid="{00000000-0005-0000-0000-0000DE360000}"/>
    <cellStyle name="Input 2 3 13" xfId="11527" xr:uid="{00000000-0005-0000-0000-0000DF360000}"/>
    <cellStyle name="Input 2 3 14" xfId="11899" xr:uid="{00000000-0005-0000-0000-0000E0360000}"/>
    <cellStyle name="Input 2 3 15" xfId="12412" xr:uid="{00000000-0005-0000-0000-0000E1360000}"/>
    <cellStyle name="Input 2 3 16" xfId="15123" xr:uid="{00000000-0005-0000-0000-0000E2360000}"/>
    <cellStyle name="Input 2 3 17" xfId="14565" xr:uid="{00000000-0005-0000-0000-0000E3360000}"/>
    <cellStyle name="Input 2 3 18" xfId="16202" xr:uid="{00000000-0005-0000-0000-0000E4360000}"/>
    <cellStyle name="Input 2 3 19" xfId="15995" xr:uid="{00000000-0005-0000-0000-0000E5360000}"/>
    <cellStyle name="Input 2 3 2" xfId="888" xr:uid="{00000000-0005-0000-0000-0000E6360000}"/>
    <cellStyle name="Input 2 3 2 10" xfId="10960" xr:uid="{00000000-0005-0000-0000-0000E7360000}"/>
    <cellStyle name="Input 2 3 2 11" xfId="11349" xr:uid="{00000000-0005-0000-0000-0000E8360000}"/>
    <cellStyle name="Input 2 3 2 12" xfId="11734" xr:uid="{00000000-0005-0000-0000-0000E9360000}"/>
    <cellStyle name="Input 2 3 2 13" xfId="12105" xr:uid="{00000000-0005-0000-0000-0000EA360000}"/>
    <cellStyle name="Input 2 3 2 14" xfId="12618" xr:uid="{00000000-0005-0000-0000-0000EB360000}"/>
    <cellStyle name="Input 2 3 2 15" xfId="15249" xr:uid="{00000000-0005-0000-0000-0000EC360000}"/>
    <cellStyle name="Input 2 3 2 16" xfId="17454" xr:uid="{00000000-0005-0000-0000-0000ED360000}"/>
    <cellStyle name="Input 2 3 2 17" xfId="16974" xr:uid="{00000000-0005-0000-0000-0000EE360000}"/>
    <cellStyle name="Input 2 3 2 18" xfId="19406" xr:uid="{00000000-0005-0000-0000-0000EF360000}"/>
    <cellStyle name="Input 2 3 2 2" xfId="1390" xr:uid="{00000000-0005-0000-0000-0000F0360000}"/>
    <cellStyle name="Input 2 3 2 2 2" xfId="13119" xr:uid="{00000000-0005-0000-0000-0000F1360000}"/>
    <cellStyle name="Input 2 3 2 2 3" xfId="15641" xr:uid="{00000000-0005-0000-0000-0000F2360000}"/>
    <cellStyle name="Input 2 3 2 2 4" xfId="17118" xr:uid="{00000000-0005-0000-0000-0000F3360000}"/>
    <cellStyle name="Input 2 3 2 2 5" xfId="16215" xr:uid="{00000000-0005-0000-0000-0000F4360000}"/>
    <cellStyle name="Input 2 3 2 2 6" xfId="14553" xr:uid="{00000000-0005-0000-0000-0000F5360000}"/>
    <cellStyle name="Input 2 3 2 3" xfId="1591" xr:uid="{00000000-0005-0000-0000-0000F6360000}"/>
    <cellStyle name="Input 2 3 2 3 2" xfId="13173" xr:uid="{00000000-0005-0000-0000-0000F7360000}"/>
    <cellStyle name="Input 2 3 2 3 3" xfId="14968" xr:uid="{00000000-0005-0000-0000-0000F8360000}"/>
    <cellStyle name="Input 2 3 2 3 4" xfId="16614" xr:uid="{00000000-0005-0000-0000-0000F9360000}"/>
    <cellStyle name="Input 2 3 2 3 5" xfId="14466" xr:uid="{00000000-0005-0000-0000-0000FA360000}"/>
    <cellStyle name="Input 2 3 2 3 6" xfId="15982" xr:uid="{00000000-0005-0000-0000-0000FB360000}"/>
    <cellStyle name="Input 2 3 2 4" xfId="4242" xr:uid="{00000000-0005-0000-0000-0000FC360000}"/>
    <cellStyle name="Input 2 3 2 5" xfId="8500" xr:uid="{00000000-0005-0000-0000-0000FD360000}"/>
    <cellStyle name="Input 2 3 2 6" xfId="9361" xr:uid="{00000000-0005-0000-0000-0000FE360000}"/>
    <cellStyle name="Input 2 3 2 7" xfId="9789" xr:uid="{00000000-0005-0000-0000-0000FF360000}"/>
    <cellStyle name="Input 2 3 2 8" xfId="10218" xr:uid="{00000000-0005-0000-0000-000000370000}"/>
    <cellStyle name="Input 2 3 2 9" xfId="10630" xr:uid="{00000000-0005-0000-0000-000001370000}"/>
    <cellStyle name="Input 2 3 3" xfId="1078" xr:uid="{00000000-0005-0000-0000-000002370000}"/>
    <cellStyle name="Input 2 3 3 2" xfId="12807" xr:uid="{00000000-0005-0000-0000-000003370000}"/>
    <cellStyle name="Input 2 3 3 3" xfId="15321" xr:uid="{00000000-0005-0000-0000-000004370000}"/>
    <cellStyle name="Input 2 3 3 4" xfId="17353" xr:uid="{00000000-0005-0000-0000-000005370000}"/>
    <cellStyle name="Input 2 3 3 5" xfId="17649" xr:uid="{00000000-0005-0000-0000-000006370000}"/>
    <cellStyle name="Input 2 3 3 6" xfId="19305" xr:uid="{00000000-0005-0000-0000-000007370000}"/>
    <cellStyle name="Input 2 3 4" xfId="3469" xr:uid="{00000000-0005-0000-0000-000008370000}"/>
    <cellStyle name="Input 2 3 5" xfId="6455" xr:uid="{00000000-0005-0000-0000-000009370000}"/>
    <cellStyle name="Input 2 3 6" xfId="8389" xr:uid="{00000000-0005-0000-0000-00000A370000}"/>
    <cellStyle name="Input 2 3 7" xfId="9002" xr:uid="{00000000-0005-0000-0000-00000B370000}"/>
    <cellStyle name="Input 2 3 8" xfId="9577" xr:uid="{00000000-0005-0000-0000-00000C370000}"/>
    <cellStyle name="Input 2 3 9" xfId="10004" xr:uid="{00000000-0005-0000-0000-00000D370000}"/>
    <cellStyle name="Input 2 4" xfId="684" xr:uid="{00000000-0005-0000-0000-00000E370000}"/>
    <cellStyle name="Input 2 4 10" xfId="10426" xr:uid="{00000000-0005-0000-0000-00000F370000}"/>
    <cellStyle name="Input 2 4 11" xfId="10658" xr:uid="{00000000-0005-0000-0000-000010370000}"/>
    <cellStyle name="Input 2 4 12" xfId="11150" xr:uid="{00000000-0005-0000-0000-000011370000}"/>
    <cellStyle name="Input 2 4 13" xfId="11537" xr:uid="{00000000-0005-0000-0000-000012370000}"/>
    <cellStyle name="Input 2 4 14" xfId="11909" xr:uid="{00000000-0005-0000-0000-000013370000}"/>
    <cellStyle name="Input 2 4 15" xfId="12422" xr:uid="{00000000-0005-0000-0000-000014370000}"/>
    <cellStyle name="Input 2 4 16" xfId="15207" xr:uid="{00000000-0005-0000-0000-000015370000}"/>
    <cellStyle name="Input 2 4 17" xfId="14217" xr:uid="{00000000-0005-0000-0000-000016370000}"/>
    <cellStyle name="Input 2 4 18" xfId="17676" xr:uid="{00000000-0005-0000-0000-000017370000}"/>
    <cellStyle name="Input 2 4 19" xfId="19462" xr:uid="{00000000-0005-0000-0000-000018370000}"/>
    <cellStyle name="Input 2 4 2" xfId="898" xr:uid="{00000000-0005-0000-0000-000019370000}"/>
    <cellStyle name="Input 2 4 2 10" xfId="11359" xr:uid="{00000000-0005-0000-0000-00001A370000}"/>
    <cellStyle name="Input 2 4 2 11" xfId="11744" xr:uid="{00000000-0005-0000-0000-00001B370000}"/>
    <cellStyle name="Input 2 4 2 12" xfId="12115" xr:uid="{00000000-0005-0000-0000-00001C370000}"/>
    <cellStyle name="Input 2 4 2 13" xfId="12628" xr:uid="{00000000-0005-0000-0000-00001D370000}"/>
    <cellStyle name="Input 2 4 2 14" xfId="14264" xr:uid="{00000000-0005-0000-0000-00001E370000}"/>
    <cellStyle name="Input 2 4 2 15" xfId="16583" xr:uid="{00000000-0005-0000-0000-00001F370000}"/>
    <cellStyle name="Input 2 4 2 16" xfId="15687" xr:uid="{00000000-0005-0000-0000-000020370000}"/>
    <cellStyle name="Input 2 4 2 17" xfId="18241" xr:uid="{00000000-0005-0000-0000-000021370000}"/>
    <cellStyle name="Input 2 4 2 2" xfId="1400" xr:uid="{00000000-0005-0000-0000-000022370000}"/>
    <cellStyle name="Input 2 4 2 2 2" xfId="13129" xr:uid="{00000000-0005-0000-0000-000023370000}"/>
    <cellStyle name="Input 2 4 2 2 3" xfId="13866" xr:uid="{00000000-0005-0000-0000-000024370000}"/>
    <cellStyle name="Input 2 4 2 2 4" xfId="17112" xr:uid="{00000000-0005-0000-0000-000025370000}"/>
    <cellStyle name="Input 2 4 2 2 5" xfId="16794" xr:uid="{00000000-0005-0000-0000-000026370000}"/>
    <cellStyle name="Input 2 4 2 2 6" xfId="19064" xr:uid="{00000000-0005-0000-0000-000027370000}"/>
    <cellStyle name="Input 2 4 2 3" xfId="4252" xr:uid="{00000000-0005-0000-0000-000028370000}"/>
    <cellStyle name="Input 2 4 2 4" xfId="8504" xr:uid="{00000000-0005-0000-0000-000029370000}"/>
    <cellStyle name="Input 2 4 2 5" xfId="9371" xr:uid="{00000000-0005-0000-0000-00002A370000}"/>
    <cellStyle name="Input 2 4 2 6" xfId="9799" xr:uid="{00000000-0005-0000-0000-00002B370000}"/>
    <cellStyle name="Input 2 4 2 7" xfId="10228" xr:uid="{00000000-0005-0000-0000-00002C370000}"/>
    <cellStyle name="Input 2 4 2 8" xfId="10640" xr:uid="{00000000-0005-0000-0000-00002D370000}"/>
    <cellStyle name="Input 2 4 2 9" xfId="10970" xr:uid="{00000000-0005-0000-0000-00002E370000}"/>
    <cellStyle name="Input 2 4 3" xfId="1147" xr:uid="{00000000-0005-0000-0000-00002F370000}"/>
    <cellStyle name="Input 2 4 3 2" xfId="12876" xr:uid="{00000000-0005-0000-0000-000030370000}"/>
    <cellStyle name="Input 2 4 3 3" xfId="15331" xr:uid="{00000000-0005-0000-0000-000031370000}"/>
    <cellStyle name="Input 2 4 3 4" xfId="14789" xr:uid="{00000000-0005-0000-0000-000032370000}"/>
    <cellStyle name="Input 2 4 3 5" xfId="17882" xr:uid="{00000000-0005-0000-0000-000033370000}"/>
    <cellStyle name="Input 2 4 3 6" xfId="19252" xr:uid="{00000000-0005-0000-0000-000034370000}"/>
    <cellStyle name="Input 2 4 4" xfId="3785" xr:uid="{00000000-0005-0000-0000-000035370000}"/>
    <cellStyle name="Input 2 4 5" xfId="6456" xr:uid="{00000000-0005-0000-0000-000036370000}"/>
    <cellStyle name="Input 2 4 6" xfId="8394" xr:uid="{00000000-0005-0000-0000-000037370000}"/>
    <cellStyle name="Input 2 4 7" xfId="9064" xr:uid="{00000000-0005-0000-0000-000038370000}"/>
    <cellStyle name="Input 2 4 8" xfId="9587" xr:uid="{00000000-0005-0000-0000-000039370000}"/>
    <cellStyle name="Input 2 4 9" xfId="10014" xr:uid="{00000000-0005-0000-0000-00003A370000}"/>
    <cellStyle name="Input 2 5" xfId="696" xr:uid="{00000000-0005-0000-0000-00003B370000}"/>
    <cellStyle name="Input 2 5 10" xfId="9815" xr:uid="{00000000-0005-0000-0000-00003C370000}"/>
    <cellStyle name="Input 2 5 11" xfId="11162" xr:uid="{00000000-0005-0000-0000-00003D370000}"/>
    <cellStyle name="Input 2 5 12" xfId="11549" xr:uid="{00000000-0005-0000-0000-00003E370000}"/>
    <cellStyle name="Input 2 5 13" xfId="11921" xr:uid="{00000000-0005-0000-0000-00003F370000}"/>
    <cellStyle name="Input 2 5 14" xfId="12434" xr:uid="{00000000-0005-0000-0000-000040370000}"/>
    <cellStyle name="Input 2 5 15" xfId="15214" xr:uid="{00000000-0005-0000-0000-000041370000}"/>
    <cellStyle name="Input 2 5 16" xfId="16017" xr:uid="{00000000-0005-0000-0000-000042370000}"/>
    <cellStyle name="Input 2 5 17" xfId="16755" xr:uid="{00000000-0005-0000-0000-000043370000}"/>
    <cellStyle name="Input 2 5 18" xfId="19455" xr:uid="{00000000-0005-0000-0000-000044370000}"/>
    <cellStyle name="Input 2 5 2" xfId="937" xr:uid="{00000000-0005-0000-0000-000045370000}"/>
    <cellStyle name="Input 2 5 2 2" xfId="12666" xr:uid="{00000000-0005-0000-0000-000046370000}"/>
    <cellStyle name="Input 2 5 2 3" xfId="15256" xr:uid="{00000000-0005-0000-0000-000047370000}"/>
    <cellStyle name="Input 2 5 2 4" xfId="17442" xr:uid="{00000000-0005-0000-0000-000048370000}"/>
    <cellStyle name="Input 2 5 2 5" xfId="15883" xr:uid="{00000000-0005-0000-0000-000049370000}"/>
    <cellStyle name="Input 2 5 2 6" xfId="19394" xr:uid="{00000000-0005-0000-0000-00004A370000}"/>
    <cellStyle name="Input 2 5 3" xfId="3488" xr:uid="{00000000-0005-0000-0000-00004B370000}"/>
    <cellStyle name="Input 2 5 4" xfId="6457" xr:uid="{00000000-0005-0000-0000-00004C370000}"/>
    <cellStyle name="Input 2 5 5" xfId="8402" xr:uid="{00000000-0005-0000-0000-00004D370000}"/>
    <cellStyle name="Input 2 5 6" xfId="8778" xr:uid="{00000000-0005-0000-0000-00004E370000}"/>
    <cellStyle name="Input 2 5 7" xfId="9599" xr:uid="{00000000-0005-0000-0000-00004F370000}"/>
    <cellStyle name="Input 2 5 8" xfId="10026" xr:uid="{00000000-0005-0000-0000-000050370000}"/>
    <cellStyle name="Input 2 5 9" xfId="10438" xr:uid="{00000000-0005-0000-0000-000051370000}"/>
    <cellStyle name="Input 2 6" xfId="155" xr:uid="{00000000-0005-0000-0000-000052370000}"/>
    <cellStyle name="Input 2 6 2" xfId="6458" xr:uid="{00000000-0005-0000-0000-000053370000}"/>
    <cellStyle name="Input 2 6 3" xfId="12209" xr:uid="{00000000-0005-0000-0000-000054370000}"/>
    <cellStyle name="Input 2 6 4" xfId="15120" xr:uid="{00000000-0005-0000-0000-000055370000}"/>
    <cellStyle name="Input 2 6 5" xfId="16490" xr:uid="{00000000-0005-0000-0000-000056370000}"/>
    <cellStyle name="Input 2 6 6" xfId="18286" xr:uid="{00000000-0005-0000-0000-000057370000}"/>
    <cellStyle name="Input 2 6 7" xfId="18179" xr:uid="{00000000-0005-0000-0000-000058370000}"/>
    <cellStyle name="Input 2 7" xfId="1215" xr:uid="{00000000-0005-0000-0000-000059370000}"/>
    <cellStyle name="Input 2 7 2" xfId="6459" xr:uid="{00000000-0005-0000-0000-00005A370000}"/>
    <cellStyle name="Input 2 7 3" xfId="12944" xr:uid="{00000000-0005-0000-0000-00005B370000}"/>
    <cellStyle name="Input 2 7 4" xfId="15373" xr:uid="{00000000-0005-0000-0000-00005C370000}"/>
    <cellStyle name="Input 2 7 5" xfId="17245" xr:uid="{00000000-0005-0000-0000-00005D370000}"/>
    <cellStyle name="Input 2 7 6" xfId="15677" xr:uid="{00000000-0005-0000-0000-00005E370000}"/>
    <cellStyle name="Input 2 7 7" xfId="19197" xr:uid="{00000000-0005-0000-0000-00005F370000}"/>
    <cellStyle name="Input 2 8" xfId="3343" xr:uid="{00000000-0005-0000-0000-000060370000}"/>
    <cellStyle name="Input 2 8 2" xfId="6460" xr:uid="{00000000-0005-0000-0000-000061370000}"/>
    <cellStyle name="Input 2 9" xfId="6461" xr:uid="{00000000-0005-0000-0000-000062370000}"/>
    <cellStyle name="Input 20" xfId="6462" xr:uid="{00000000-0005-0000-0000-000063370000}"/>
    <cellStyle name="Input 21" xfId="6463" xr:uid="{00000000-0005-0000-0000-000064370000}"/>
    <cellStyle name="Input 22" xfId="6464" xr:uid="{00000000-0005-0000-0000-000065370000}"/>
    <cellStyle name="Input 23" xfId="6465" xr:uid="{00000000-0005-0000-0000-000066370000}"/>
    <cellStyle name="Input 24" xfId="6466" xr:uid="{00000000-0005-0000-0000-000067370000}"/>
    <cellStyle name="Input 25" xfId="6467" xr:uid="{00000000-0005-0000-0000-000068370000}"/>
    <cellStyle name="Input 26" xfId="12159" xr:uid="{00000000-0005-0000-0000-000069370000}"/>
    <cellStyle name="Input 27" xfId="12168" xr:uid="{00000000-0005-0000-0000-00006A370000}"/>
    <cellStyle name="Input 3" xfId="245" xr:uid="{00000000-0005-0000-0000-00006B370000}"/>
    <cellStyle name="Input 3 10" xfId="8294" xr:uid="{00000000-0005-0000-0000-00006C370000}"/>
    <cellStyle name="Input 3 11" xfId="8819" xr:uid="{00000000-0005-0000-0000-00006D370000}"/>
    <cellStyle name="Input 3 12" xfId="8949" xr:uid="{00000000-0005-0000-0000-00006E370000}"/>
    <cellStyle name="Input 3 13" xfId="8946" xr:uid="{00000000-0005-0000-0000-00006F370000}"/>
    <cellStyle name="Input 3 14" xfId="10650" xr:uid="{00000000-0005-0000-0000-000070370000}"/>
    <cellStyle name="Input 3 15" xfId="8962" xr:uid="{00000000-0005-0000-0000-000071370000}"/>
    <cellStyle name="Input 3 16" xfId="10246" xr:uid="{00000000-0005-0000-0000-000072370000}"/>
    <cellStyle name="Input 3 17" xfId="12218" xr:uid="{00000000-0005-0000-0000-000073370000}"/>
    <cellStyle name="Input 3 18" xfId="16541" xr:uid="{00000000-0005-0000-0000-000074370000}"/>
    <cellStyle name="Input 3 19" xfId="17659" xr:uid="{00000000-0005-0000-0000-000075370000}"/>
    <cellStyle name="Input 3 2" xfId="601" xr:uid="{00000000-0005-0000-0000-000076370000}"/>
    <cellStyle name="Input 3 2 10" xfId="10344" xr:uid="{00000000-0005-0000-0000-000077370000}"/>
    <cellStyle name="Input 3 2 11" xfId="10788" xr:uid="{00000000-0005-0000-0000-000078370000}"/>
    <cellStyle name="Input 3 2 12" xfId="11068" xr:uid="{00000000-0005-0000-0000-000079370000}"/>
    <cellStyle name="Input 3 2 13" xfId="11455" xr:uid="{00000000-0005-0000-0000-00007A370000}"/>
    <cellStyle name="Input 3 2 14" xfId="11827" xr:uid="{00000000-0005-0000-0000-00007B370000}"/>
    <cellStyle name="Input 3 2 15" xfId="12340" xr:uid="{00000000-0005-0000-0000-00007C370000}"/>
    <cellStyle name="Input 3 2 16" xfId="16236" xr:uid="{00000000-0005-0000-0000-00007D370000}"/>
    <cellStyle name="Input 3 2 17" xfId="14916" xr:uid="{00000000-0005-0000-0000-00007E370000}"/>
    <cellStyle name="Input 3 2 18" xfId="18839" xr:uid="{00000000-0005-0000-0000-00007F370000}"/>
    <cellStyle name="Input 3 2 19" xfId="18112" xr:uid="{00000000-0005-0000-0000-000080370000}"/>
    <cellStyle name="Input 3 2 2" xfId="816" xr:uid="{00000000-0005-0000-0000-000081370000}"/>
    <cellStyle name="Input 3 2 2 10" xfId="11277" xr:uid="{00000000-0005-0000-0000-000082370000}"/>
    <cellStyle name="Input 3 2 2 11" xfId="11662" xr:uid="{00000000-0005-0000-0000-000083370000}"/>
    <cellStyle name="Input 3 2 2 12" xfId="12033" xr:uid="{00000000-0005-0000-0000-000084370000}"/>
    <cellStyle name="Input 3 2 2 13" xfId="12546" xr:uid="{00000000-0005-0000-0000-000085370000}"/>
    <cellStyle name="Input 3 2 2 14" xfId="16049" xr:uid="{00000000-0005-0000-0000-000086370000}"/>
    <cellStyle name="Input 3 2 2 15" xfId="14547" xr:uid="{00000000-0005-0000-0000-000087370000}"/>
    <cellStyle name="Input 3 2 2 16" xfId="14249" xr:uid="{00000000-0005-0000-0000-000088370000}"/>
    <cellStyle name="Input 3 2 2 17" xfId="18288" xr:uid="{00000000-0005-0000-0000-000089370000}"/>
    <cellStyle name="Input 3 2 2 2" xfId="949" xr:uid="{00000000-0005-0000-0000-00008A370000}"/>
    <cellStyle name="Input 3 2 2 2 2" xfId="12678" xr:uid="{00000000-0005-0000-0000-00008B370000}"/>
    <cellStyle name="Input 3 2 2 2 3" xfId="14438" xr:uid="{00000000-0005-0000-0000-00008C370000}"/>
    <cellStyle name="Input 3 2 2 2 4" xfId="17432" xr:uid="{00000000-0005-0000-0000-00008D370000}"/>
    <cellStyle name="Input 3 2 2 2 5" xfId="17104" xr:uid="{00000000-0005-0000-0000-00008E370000}"/>
    <cellStyle name="Input 3 2 2 2 6" xfId="17066" xr:uid="{00000000-0005-0000-0000-00008F370000}"/>
    <cellStyle name="Input 3 2 2 3" xfId="3974" xr:uid="{00000000-0005-0000-0000-000090370000}"/>
    <cellStyle name="Input 3 2 2 4" xfId="8466" xr:uid="{00000000-0005-0000-0000-000091370000}"/>
    <cellStyle name="Input 3 2 2 5" xfId="9004" xr:uid="{00000000-0005-0000-0000-000092370000}"/>
    <cellStyle name="Input 3 2 2 6" xfId="9717" xr:uid="{00000000-0005-0000-0000-000093370000}"/>
    <cellStyle name="Input 3 2 2 7" xfId="10146" xr:uid="{00000000-0005-0000-0000-000094370000}"/>
    <cellStyle name="Input 3 2 2 8" xfId="10558" xr:uid="{00000000-0005-0000-0000-000095370000}"/>
    <cellStyle name="Input 3 2 2 9" xfId="10905" xr:uid="{00000000-0005-0000-0000-000096370000}"/>
    <cellStyle name="Input 3 2 3" xfId="1345" xr:uid="{00000000-0005-0000-0000-000097370000}"/>
    <cellStyle name="Input 3 2 3 2" xfId="13074" xr:uid="{00000000-0005-0000-0000-000098370000}"/>
    <cellStyle name="Input 3 2 3 3" xfId="13845" xr:uid="{00000000-0005-0000-0000-000099370000}"/>
    <cellStyle name="Input 3 2 3 4" xfId="15095" xr:uid="{00000000-0005-0000-0000-00009A370000}"/>
    <cellStyle name="Input 3 2 3 5" xfId="14270" xr:uid="{00000000-0005-0000-0000-00009B370000}"/>
    <cellStyle name="Input 3 2 3 6" xfId="19108" xr:uid="{00000000-0005-0000-0000-00009C370000}"/>
    <cellStyle name="Input 3 2 4" xfId="3701" xr:uid="{00000000-0005-0000-0000-00009D370000}"/>
    <cellStyle name="Input 3 2 5" xfId="6469" xr:uid="{00000000-0005-0000-0000-00009E370000}"/>
    <cellStyle name="Input 3 2 6" xfId="8357" xr:uid="{00000000-0005-0000-0000-00009F370000}"/>
    <cellStyle name="Input 3 2 7" xfId="9233" xr:uid="{00000000-0005-0000-0000-0000A0370000}"/>
    <cellStyle name="Input 3 2 8" xfId="9505" xr:uid="{00000000-0005-0000-0000-0000A1370000}"/>
    <cellStyle name="Input 3 2 9" xfId="9932" xr:uid="{00000000-0005-0000-0000-0000A2370000}"/>
    <cellStyle name="Input 3 20" xfId="17693" xr:uid="{00000000-0005-0000-0000-0000A3370000}"/>
    <cellStyle name="Input 3 21" xfId="19516" xr:uid="{00000000-0005-0000-0000-0000A4370000}"/>
    <cellStyle name="Input 3 3" xfId="600" xr:uid="{00000000-0005-0000-0000-0000A5370000}"/>
    <cellStyle name="Input 3 3 10" xfId="10343" xr:uid="{00000000-0005-0000-0000-0000A6370000}"/>
    <cellStyle name="Input 3 3 11" xfId="9832" xr:uid="{00000000-0005-0000-0000-0000A7370000}"/>
    <cellStyle name="Input 3 3 12" xfId="11067" xr:uid="{00000000-0005-0000-0000-0000A8370000}"/>
    <cellStyle name="Input 3 3 13" xfId="11454" xr:uid="{00000000-0005-0000-0000-0000A9370000}"/>
    <cellStyle name="Input 3 3 14" xfId="11826" xr:uid="{00000000-0005-0000-0000-0000AA370000}"/>
    <cellStyle name="Input 3 3 15" xfId="12339" xr:uid="{00000000-0005-0000-0000-0000AB370000}"/>
    <cellStyle name="Input 3 3 16" xfId="16235" xr:uid="{00000000-0005-0000-0000-0000AC370000}"/>
    <cellStyle name="Input 3 3 17" xfId="14915" xr:uid="{00000000-0005-0000-0000-0000AD370000}"/>
    <cellStyle name="Input 3 3 18" xfId="14383" xr:uid="{00000000-0005-0000-0000-0000AE370000}"/>
    <cellStyle name="Input 3 3 19" xfId="18111" xr:uid="{00000000-0005-0000-0000-0000AF370000}"/>
    <cellStyle name="Input 3 3 2" xfId="815" xr:uid="{00000000-0005-0000-0000-0000B0370000}"/>
    <cellStyle name="Input 3 3 2 10" xfId="11276" xr:uid="{00000000-0005-0000-0000-0000B1370000}"/>
    <cellStyle name="Input 3 3 2 11" xfId="11661" xr:uid="{00000000-0005-0000-0000-0000B2370000}"/>
    <cellStyle name="Input 3 3 2 12" xfId="12032" xr:uid="{00000000-0005-0000-0000-0000B3370000}"/>
    <cellStyle name="Input 3 3 2 13" xfId="12545" xr:uid="{00000000-0005-0000-0000-0000B4370000}"/>
    <cellStyle name="Input 3 3 2 14" xfId="16090" xr:uid="{00000000-0005-0000-0000-0000B5370000}"/>
    <cellStyle name="Input 3 3 2 15" xfId="16075" xr:uid="{00000000-0005-0000-0000-0000B6370000}"/>
    <cellStyle name="Input 3 3 2 16" xfId="18488" xr:uid="{00000000-0005-0000-0000-0000B7370000}"/>
    <cellStyle name="Input 3 3 2 17" xfId="14678" xr:uid="{00000000-0005-0000-0000-0000B8370000}"/>
    <cellStyle name="Input 3 3 2 2" xfId="921" xr:uid="{00000000-0005-0000-0000-0000B9370000}"/>
    <cellStyle name="Input 3 3 2 2 2" xfId="12650" xr:uid="{00000000-0005-0000-0000-0000BA370000}"/>
    <cellStyle name="Input 3 3 2 2 3" xfId="16120" xr:uid="{00000000-0005-0000-0000-0000BB370000}"/>
    <cellStyle name="Input 3 3 2 2 4" xfId="15747" xr:uid="{00000000-0005-0000-0000-0000BC370000}"/>
    <cellStyle name="Input 3 3 2 2 5" xfId="16365" xr:uid="{00000000-0005-0000-0000-0000BD370000}"/>
    <cellStyle name="Input 3 3 2 2 6" xfId="18074" xr:uid="{00000000-0005-0000-0000-0000BE370000}"/>
    <cellStyle name="Input 3 3 2 3" xfId="3324" xr:uid="{00000000-0005-0000-0000-0000BF370000}"/>
    <cellStyle name="Input 3 3 2 4" xfId="8465" xr:uid="{00000000-0005-0000-0000-0000C0370000}"/>
    <cellStyle name="Input 3 3 2 5" xfId="9195" xr:uid="{00000000-0005-0000-0000-0000C1370000}"/>
    <cellStyle name="Input 3 3 2 6" xfId="9716" xr:uid="{00000000-0005-0000-0000-0000C2370000}"/>
    <cellStyle name="Input 3 3 2 7" xfId="10145" xr:uid="{00000000-0005-0000-0000-0000C3370000}"/>
    <cellStyle name="Input 3 3 2 8" xfId="10557" xr:uid="{00000000-0005-0000-0000-0000C4370000}"/>
    <cellStyle name="Input 3 3 2 9" xfId="10680" xr:uid="{00000000-0005-0000-0000-0000C5370000}"/>
    <cellStyle name="Input 3 3 3" xfId="1330" xr:uid="{00000000-0005-0000-0000-0000C6370000}"/>
    <cellStyle name="Input 3 3 3 2" xfId="13059" xr:uid="{00000000-0005-0000-0000-0000C7370000}"/>
    <cellStyle name="Input 3 3 3 3" xfId="14587" xr:uid="{00000000-0005-0000-0000-0000C8370000}"/>
    <cellStyle name="Input 3 3 3 4" xfId="17163" xr:uid="{00000000-0005-0000-0000-0000C9370000}"/>
    <cellStyle name="Input 3 3 3 5" xfId="16031" xr:uid="{00000000-0005-0000-0000-0000CA370000}"/>
    <cellStyle name="Input 3 3 3 6" xfId="19115" xr:uid="{00000000-0005-0000-0000-0000CB370000}"/>
    <cellStyle name="Input 3 3 4" xfId="3656" xr:uid="{00000000-0005-0000-0000-0000CC370000}"/>
    <cellStyle name="Input 3 3 5" xfId="6470" xr:uid="{00000000-0005-0000-0000-0000CD370000}"/>
    <cellStyle name="Input 3 3 6" xfId="8356" xr:uid="{00000000-0005-0000-0000-0000CE370000}"/>
    <cellStyle name="Input 3 3 7" xfId="9149" xr:uid="{00000000-0005-0000-0000-0000CF370000}"/>
    <cellStyle name="Input 3 3 8" xfId="9504" xr:uid="{00000000-0005-0000-0000-0000D0370000}"/>
    <cellStyle name="Input 3 3 9" xfId="9931" xr:uid="{00000000-0005-0000-0000-0000D1370000}"/>
    <cellStyle name="Input 3 4" xfId="544" xr:uid="{00000000-0005-0000-0000-0000D2370000}"/>
    <cellStyle name="Input 3 4 10" xfId="10287" xr:uid="{00000000-0005-0000-0000-0000D3370000}"/>
    <cellStyle name="Input 3 4 11" xfId="8986" xr:uid="{00000000-0005-0000-0000-0000D4370000}"/>
    <cellStyle name="Input 3 4 12" xfId="11011" xr:uid="{00000000-0005-0000-0000-0000D5370000}"/>
    <cellStyle name="Input 3 4 13" xfId="11398" xr:uid="{00000000-0005-0000-0000-0000D6370000}"/>
    <cellStyle name="Input 3 4 14" xfId="11770" xr:uid="{00000000-0005-0000-0000-0000D7370000}"/>
    <cellStyle name="Input 3 4 15" xfId="12283" xr:uid="{00000000-0005-0000-0000-0000D8370000}"/>
    <cellStyle name="Input 3 4 16" xfId="15192" xr:uid="{00000000-0005-0000-0000-0000D9370000}"/>
    <cellStyle name="Input 3 4 17" xfId="15556" xr:uid="{00000000-0005-0000-0000-0000DA370000}"/>
    <cellStyle name="Input 3 4 18" xfId="16163" xr:uid="{00000000-0005-0000-0000-0000DB370000}"/>
    <cellStyle name="Input 3 4 19" xfId="19477" xr:uid="{00000000-0005-0000-0000-0000DC370000}"/>
    <cellStyle name="Input 3 4 2" xfId="759" xr:uid="{00000000-0005-0000-0000-0000DD370000}"/>
    <cellStyle name="Input 3 4 2 10" xfId="11220" xr:uid="{00000000-0005-0000-0000-0000DE370000}"/>
    <cellStyle name="Input 3 4 2 11" xfId="11605" xr:uid="{00000000-0005-0000-0000-0000DF370000}"/>
    <cellStyle name="Input 3 4 2 12" xfId="11976" xr:uid="{00000000-0005-0000-0000-0000E0370000}"/>
    <cellStyle name="Input 3 4 2 13" xfId="12489" xr:uid="{00000000-0005-0000-0000-0000E1370000}"/>
    <cellStyle name="Input 3 4 2 14" xfId="16106" xr:uid="{00000000-0005-0000-0000-0000E2370000}"/>
    <cellStyle name="Input 3 4 2 15" xfId="16459" xr:uid="{00000000-0005-0000-0000-0000E3370000}"/>
    <cellStyle name="Input 3 4 2 16" xfId="15025" xr:uid="{00000000-0005-0000-0000-0000E4370000}"/>
    <cellStyle name="Input 3 4 2 17" xfId="18841" xr:uid="{00000000-0005-0000-0000-0000E5370000}"/>
    <cellStyle name="Input 3 4 2 2" xfId="1028" xr:uid="{00000000-0005-0000-0000-0000E6370000}"/>
    <cellStyle name="Input 3 4 2 2 2" xfId="12757" xr:uid="{00000000-0005-0000-0000-0000E7370000}"/>
    <cellStyle name="Input 3 4 2 2 3" xfId="14808" xr:uid="{00000000-0005-0000-0000-0000E8370000}"/>
    <cellStyle name="Input 3 4 2 2 4" xfId="17384" xr:uid="{00000000-0005-0000-0000-0000E9370000}"/>
    <cellStyle name="Input 3 4 2 2 5" xfId="17888" xr:uid="{00000000-0005-0000-0000-0000EA370000}"/>
    <cellStyle name="Input 3 4 2 2 6" xfId="19336" xr:uid="{00000000-0005-0000-0000-0000EB370000}"/>
    <cellStyle name="Input 3 4 2 3" xfId="3658" xr:uid="{00000000-0005-0000-0000-0000EC370000}"/>
    <cellStyle name="Input 3 4 2 4" xfId="8432" xr:uid="{00000000-0005-0000-0000-0000ED370000}"/>
    <cellStyle name="Input 3 4 2 5" xfId="8776" xr:uid="{00000000-0005-0000-0000-0000EE370000}"/>
    <cellStyle name="Input 3 4 2 6" xfId="9660" xr:uid="{00000000-0005-0000-0000-0000EF370000}"/>
    <cellStyle name="Input 3 4 2 7" xfId="10089" xr:uid="{00000000-0005-0000-0000-0000F0370000}"/>
    <cellStyle name="Input 3 4 2 8" xfId="10501" xr:uid="{00000000-0005-0000-0000-0000F1370000}"/>
    <cellStyle name="Input 3 4 2 9" xfId="9051" xr:uid="{00000000-0005-0000-0000-0000F2370000}"/>
    <cellStyle name="Input 3 4 3" xfId="1207" xr:uid="{00000000-0005-0000-0000-0000F3370000}"/>
    <cellStyle name="Input 3 4 3 2" xfId="12936" xr:uid="{00000000-0005-0000-0000-0000F4370000}"/>
    <cellStyle name="Input 3 4 3 3" xfId="15367" xr:uid="{00000000-0005-0000-0000-0000F5370000}"/>
    <cellStyle name="Input 3 4 3 4" xfId="17252" xr:uid="{00000000-0005-0000-0000-0000F6370000}"/>
    <cellStyle name="Input 3 4 3 5" xfId="14726" xr:uid="{00000000-0005-0000-0000-0000F7370000}"/>
    <cellStyle name="Input 3 4 3 6" xfId="19204" xr:uid="{00000000-0005-0000-0000-0000F8370000}"/>
    <cellStyle name="Input 3 4 4" xfId="3942" xr:uid="{00000000-0005-0000-0000-0000F9370000}"/>
    <cellStyle name="Input 3 4 5" xfId="6471" xr:uid="{00000000-0005-0000-0000-0000FA370000}"/>
    <cellStyle name="Input 3 4 6" xfId="8325" xr:uid="{00000000-0005-0000-0000-0000FB370000}"/>
    <cellStyle name="Input 3 4 7" xfId="9207" xr:uid="{00000000-0005-0000-0000-0000FC370000}"/>
    <cellStyle name="Input 3 4 8" xfId="9448" xr:uid="{00000000-0005-0000-0000-0000FD370000}"/>
    <cellStyle name="Input 3 4 9" xfId="9875" xr:uid="{00000000-0005-0000-0000-0000FE370000}"/>
    <cellStyle name="Input 3 5" xfId="702" xr:uid="{00000000-0005-0000-0000-0000FF370000}"/>
    <cellStyle name="Input 3 5 10" xfId="10773" xr:uid="{00000000-0005-0000-0000-000000380000}"/>
    <cellStyle name="Input 3 5 11" xfId="11168" xr:uid="{00000000-0005-0000-0000-000001380000}"/>
    <cellStyle name="Input 3 5 12" xfId="11555" xr:uid="{00000000-0005-0000-0000-000002380000}"/>
    <cellStyle name="Input 3 5 13" xfId="11927" xr:uid="{00000000-0005-0000-0000-000003380000}"/>
    <cellStyle name="Input 3 5 14" xfId="12440" xr:uid="{00000000-0005-0000-0000-000004380000}"/>
    <cellStyle name="Input 3 5 15" xfId="14310" xr:uid="{00000000-0005-0000-0000-000005380000}"/>
    <cellStyle name="Input 3 5 16" xfId="17504" xr:uid="{00000000-0005-0000-0000-000006380000}"/>
    <cellStyle name="Input 3 5 17" xfId="14863" xr:uid="{00000000-0005-0000-0000-000007380000}"/>
    <cellStyle name="Input 3 5 18" xfId="18157" xr:uid="{00000000-0005-0000-0000-000008380000}"/>
    <cellStyle name="Input 3 5 2" xfId="930" xr:uid="{00000000-0005-0000-0000-000009380000}"/>
    <cellStyle name="Input 3 5 2 2" xfId="12659" xr:uid="{00000000-0005-0000-0000-00000A380000}"/>
    <cellStyle name="Input 3 5 2 3" xfId="16138" xr:uid="{00000000-0005-0000-0000-00000B380000}"/>
    <cellStyle name="Input 3 5 2 4" xfId="15109" xr:uid="{00000000-0005-0000-0000-00000C380000}"/>
    <cellStyle name="Input 3 5 2 5" xfId="15048" xr:uid="{00000000-0005-0000-0000-00000D380000}"/>
    <cellStyle name="Input 3 5 2 6" xfId="16531" xr:uid="{00000000-0005-0000-0000-00000E380000}"/>
    <cellStyle name="Input 3 5 3" xfId="3964" xr:uid="{00000000-0005-0000-0000-00000F380000}"/>
    <cellStyle name="Input 3 5 4" xfId="6472" xr:uid="{00000000-0005-0000-0000-000010380000}"/>
    <cellStyle name="Input 3 5 5" xfId="8408" xr:uid="{00000000-0005-0000-0000-000011380000}"/>
    <cellStyle name="Input 3 5 6" xfId="9124" xr:uid="{00000000-0005-0000-0000-000012380000}"/>
    <cellStyle name="Input 3 5 7" xfId="9605" xr:uid="{00000000-0005-0000-0000-000013380000}"/>
    <cellStyle name="Input 3 5 8" xfId="10032" xr:uid="{00000000-0005-0000-0000-000014380000}"/>
    <cellStyle name="Input 3 5 9" xfId="10444" xr:uid="{00000000-0005-0000-0000-000015380000}"/>
    <cellStyle name="Input 3 6" xfId="1228" xr:uid="{00000000-0005-0000-0000-000016380000}"/>
    <cellStyle name="Input 3 6 2" xfId="6473" xr:uid="{00000000-0005-0000-0000-000017380000}"/>
    <cellStyle name="Input 3 6 3" xfId="12957" xr:uid="{00000000-0005-0000-0000-000018380000}"/>
    <cellStyle name="Input 3 6 4" xfId="14829" xr:uid="{00000000-0005-0000-0000-000019380000}"/>
    <cellStyle name="Input 3 6 5" xfId="14097" xr:uid="{00000000-0005-0000-0000-00001A380000}"/>
    <cellStyle name="Input 3 6 6" xfId="15946" xr:uid="{00000000-0005-0000-0000-00001B380000}"/>
    <cellStyle name="Input 3 6 7" xfId="19187" xr:uid="{00000000-0005-0000-0000-00001C380000}"/>
    <cellStyle name="Input 3 7" xfId="3975" xr:uid="{00000000-0005-0000-0000-00001D380000}"/>
    <cellStyle name="Input 3 7 2" xfId="6474" xr:uid="{00000000-0005-0000-0000-00001E380000}"/>
    <cellStyle name="Input 3 8" xfId="6475" xr:uid="{00000000-0005-0000-0000-00001F380000}"/>
    <cellStyle name="Input 3 9" xfId="6468" xr:uid="{00000000-0005-0000-0000-000020380000}"/>
    <cellStyle name="Input 4" xfId="356" xr:uid="{00000000-0005-0000-0000-000021380000}"/>
    <cellStyle name="Input 4 2" xfId="6477" xr:uid="{00000000-0005-0000-0000-000022380000}"/>
    <cellStyle name="Input 4 3" xfId="6478" xr:uid="{00000000-0005-0000-0000-000023380000}"/>
    <cellStyle name="Input 4 4" xfId="6479" xr:uid="{00000000-0005-0000-0000-000024380000}"/>
    <cellStyle name="Input 4 5" xfId="6476" xr:uid="{00000000-0005-0000-0000-000025380000}"/>
    <cellStyle name="Input 5" xfId="6480" xr:uid="{00000000-0005-0000-0000-000026380000}"/>
    <cellStyle name="Input 5 2" xfId="6481" xr:uid="{00000000-0005-0000-0000-000027380000}"/>
    <cellStyle name="Input 5 3" xfId="6482" xr:uid="{00000000-0005-0000-0000-000028380000}"/>
    <cellStyle name="Input 5 4" xfId="6483" xr:uid="{00000000-0005-0000-0000-000029380000}"/>
    <cellStyle name="Input 6" xfId="6484" xr:uid="{00000000-0005-0000-0000-00002A380000}"/>
    <cellStyle name="Input 6 2" xfId="6485" xr:uid="{00000000-0005-0000-0000-00002B380000}"/>
    <cellStyle name="Input 6 3" xfId="6486" xr:uid="{00000000-0005-0000-0000-00002C380000}"/>
    <cellStyle name="Input 7" xfId="6487" xr:uid="{00000000-0005-0000-0000-00002D380000}"/>
    <cellStyle name="Input 7 2" xfId="6488" xr:uid="{00000000-0005-0000-0000-00002E380000}"/>
    <cellStyle name="Input 8" xfId="6489" xr:uid="{00000000-0005-0000-0000-00002F380000}"/>
    <cellStyle name="Input 8 2" xfId="6490" xr:uid="{00000000-0005-0000-0000-000030380000}"/>
    <cellStyle name="Input 9" xfId="6491" xr:uid="{00000000-0005-0000-0000-000031380000}"/>
    <cellStyle name="Input data" xfId="12160" xr:uid="{00000000-0005-0000-0000-000032380000}"/>
    <cellStyle name="InputCells" xfId="20" xr:uid="{00000000-0005-0000-0000-000033380000}"/>
    <cellStyle name="InputCells 2" xfId="156" xr:uid="{00000000-0005-0000-0000-000034380000}"/>
    <cellStyle name="InputCells 3" xfId="207" xr:uid="{00000000-0005-0000-0000-000035380000}"/>
    <cellStyle name="InputCells 4" xfId="359" xr:uid="{00000000-0005-0000-0000-000036380000}"/>
    <cellStyle name="InputCells_Bborder_1" xfId="157" xr:uid="{00000000-0005-0000-0000-000037380000}"/>
    <cellStyle name="InputCells12" xfId="30" xr:uid="{00000000-0005-0000-0000-000038380000}"/>
    <cellStyle name="InputCells12 2" xfId="158" xr:uid="{00000000-0005-0000-0000-000039380000}"/>
    <cellStyle name="InputCells12 2 2" xfId="433" xr:uid="{00000000-0005-0000-0000-00003A380000}"/>
    <cellStyle name="InputCells12 2 2 2" xfId="607" xr:uid="{00000000-0005-0000-0000-00003B380000}"/>
    <cellStyle name="InputCells12 2 2 2 10" xfId="11074" xr:uid="{00000000-0005-0000-0000-00003C380000}"/>
    <cellStyle name="InputCells12 2 2 2 11" xfId="11461" xr:uid="{00000000-0005-0000-0000-00003D380000}"/>
    <cellStyle name="InputCells12 2 2 2 12" xfId="11833" xr:uid="{00000000-0005-0000-0000-00003E380000}"/>
    <cellStyle name="InputCells12 2 2 2 13" xfId="12346" xr:uid="{00000000-0005-0000-0000-00003F380000}"/>
    <cellStyle name="InputCells12 2 2 2 14" xfId="15725" xr:uid="{00000000-0005-0000-0000-000040380000}"/>
    <cellStyle name="InputCells12 2 2 2 15" xfId="16093" xr:uid="{00000000-0005-0000-0000-000041380000}"/>
    <cellStyle name="InputCells12 2 2 2 16" xfId="14242" xr:uid="{00000000-0005-0000-0000-000042380000}"/>
    <cellStyle name="InputCells12 2 2 2 17" xfId="15022" xr:uid="{00000000-0005-0000-0000-000043380000}"/>
    <cellStyle name="InputCells12 2 2 2 2" xfId="822" xr:uid="{00000000-0005-0000-0000-000044380000}"/>
    <cellStyle name="InputCells12 2 2 2 2 10" xfId="11668" xr:uid="{00000000-0005-0000-0000-000045380000}"/>
    <cellStyle name="InputCells12 2 2 2 2 11" xfId="12039" xr:uid="{00000000-0005-0000-0000-000046380000}"/>
    <cellStyle name="InputCells12 2 2 2 2 12" xfId="12552" xr:uid="{00000000-0005-0000-0000-000047380000}"/>
    <cellStyle name="InputCells12 2 2 2 2 13" xfId="14191" xr:uid="{00000000-0005-0000-0000-000048380000}"/>
    <cellStyle name="InputCells12 2 2 2 2 14" xfId="14228" xr:uid="{00000000-0005-0000-0000-000049380000}"/>
    <cellStyle name="InputCells12 2 2 2 2 15" xfId="18483" xr:uid="{00000000-0005-0000-0000-00004A380000}"/>
    <cellStyle name="InputCells12 2 2 2 2 16" xfId="18452" xr:uid="{00000000-0005-0000-0000-00004B380000}"/>
    <cellStyle name="InputCells12 2 2 2 2 2" xfId="940" xr:uid="{00000000-0005-0000-0000-00004C380000}"/>
    <cellStyle name="InputCells12 2 2 2 2 2 2" xfId="12669" xr:uid="{00000000-0005-0000-0000-00004D380000}"/>
    <cellStyle name="InputCells12 2 2 2 2 2 3" xfId="15258" xr:uid="{00000000-0005-0000-0000-00004E380000}"/>
    <cellStyle name="InputCells12 2 2 2 2 2 4" xfId="14867" xr:uid="{00000000-0005-0000-0000-00004F380000}"/>
    <cellStyle name="InputCells12 2 2 2 2 2 5" xfId="14576" xr:uid="{00000000-0005-0000-0000-000050380000}"/>
    <cellStyle name="InputCells12 2 2 2 2 2 6" xfId="19392" xr:uid="{00000000-0005-0000-0000-000051380000}"/>
    <cellStyle name="InputCells12 2 2 2 2 3" xfId="4143" xr:uid="{00000000-0005-0000-0000-000052380000}"/>
    <cellStyle name="InputCells12 2 2 2 2 4" xfId="8729" xr:uid="{00000000-0005-0000-0000-000053380000}"/>
    <cellStyle name="InputCells12 2 2 2 2 5" xfId="9723" xr:uid="{00000000-0005-0000-0000-000054380000}"/>
    <cellStyle name="InputCells12 2 2 2 2 6" xfId="10152" xr:uid="{00000000-0005-0000-0000-000055380000}"/>
    <cellStyle name="InputCells12 2 2 2 2 7" xfId="10564" xr:uid="{00000000-0005-0000-0000-000056380000}"/>
    <cellStyle name="InputCells12 2 2 2 2 8" xfId="10807" xr:uid="{00000000-0005-0000-0000-000057380000}"/>
    <cellStyle name="InputCells12 2 2 2 2 9" xfId="11283" xr:uid="{00000000-0005-0000-0000-000058380000}"/>
    <cellStyle name="InputCells12 2 2 2 3" xfId="1160" xr:uid="{00000000-0005-0000-0000-000059380000}"/>
    <cellStyle name="InputCells12 2 2 2 3 2" xfId="12889" xr:uid="{00000000-0005-0000-0000-00005A380000}"/>
    <cellStyle name="InputCells12 2 2 2 3 3" xfId="15340" xr:uid="{00000000-0005-0000-0000-00005B380000}"/>
    <cellStyle name="InputCells12 2 2 2 3 4" xfId="14511" xr:uid="{00000000-0005-0000-0000-00005C380000}"/>
    <cellStyle name="InputCells12 2 2 2 3 5" xfId="14783" xr:uid="{00000000-0005-0000-0000-00005D380000}"/>
    <cellStyle name="InputCells12 2 2 2 3 6" xfId="19242" xr:uid="{00000000-0005-0000-0000-00005E380000}"/>
    <cellStyle name="InputCells12 2 2 2 4" xfId="3747" xr:uid="{00000000-0005-0000-0000-00005F380000}"/>
    <cellStyle name="InputCells12 2 2 2 5" xfId="8786" xr:uid="{00000000-0005-0000-0000-000060380000}"/>
    <cellStyle name="InputCells12 2 2 2 6" xfId="9511" xr:uid="{00000000-0005-0000-0000-000061380000}"/>
    <cellStyle name="InputCells12 2 2 2 7" xfId="9938" xr:uid="{00000000-0005-0000-0000-000062380000}"/>
    <cellStyle name="InputCells12 2 2 2 8" xfId="10350" xr:uid="{00000000-0005-0000-0000-000063380000}"/>
    <cellStyle name="InputCells12 2 2 2 9" xfId="8980" xr:uid="{00000000-0005-0000-0000-000064380000}"/>
    <cellStyle name="InputCells12 2 2 3" xfId="732" xr:uid="{00000000-0005-0000-0000-000065380000}"/>
    <cellStyle name="InputCells12 2 2 3 10" xfId="11578" xr:uid="{00000000-0005-0000-0000-000066380000}"/>
    <cellStyle name="InputCells12 2 2 3 11" xfId="11949" xr:uid="{00000000-0005-0000-0000-000067380000}"/>
    <cellStyle name="InputCells12 2 2 3 12" xfId="12462" xr:uid="{00000000-0005-0000-0000-000068380000}"/>
    <cellStyle name="InputCells12 2 2 3 13" xfId="16055" xr:uid="{00000000-0005-0000-0000-000069380000}"/>
    <cellStyle name="InputCells12 2 2 3 14" xfId="17485" xr:uid="{00000000-0005-0000-0000-00006A380000}"/>
    <cellStyle name="InputCells12 2 2 3 15" xfId="14878" xr:uid="{00000000-0005-0000-0000-00006B380000}"/>
    <cellStyle name="InputCells12 2 2 3 16" xfId="17672" xr:uid="{00000000-0005-0000-0000-00006C380000}"/>
    <cellStyle name="InputCells12 2 2 3 2" xfId="1379" xr:uid="{00000000-0005-0000-0000-00006D380000}"/>
    <cellStyle name="InputCells12 2 2 3 2 2" xfId="13108" xr:uid="{00000000-0005-0000-0000-00006E380000}"/>
    <cellStyle name="InputCells12 2 2 3 2 3" xfId="15429" xr:uid="{00000000-0005-0000-0000-00006F380000}"/>
    <cellStyle name="InputCells12 2 2 3 2 4" xfId="17129" xr:uid="{00000000-0005-0000-0000-000070380000}"/>
    <cellStyle name="InputCells12 2 2 3 2 5" xfId="17068" xr:uid="{00000000-0005-0000-0000-000071380000}"/>
    <cellStyle name="InputCells12 2 2 3 2 6" xfId="19081" xr:uid="{00000000-0005-0000-0000-000072380000}"/>
    <cellStyle name="InputCells12 2 2 3 3" xfId="4227" xr:uid="{00000000-0005-0000-0000-000073380000}"/>
    <cellStyle name="InputCells12 2 2 3 4" xfId="8648" xr:uid="{00000000-0005-0000-0000-000074380000}"/>
    <cellStyle name="InputCells12 2 2 3 5" xfId="9633" xr:uid="{00000000-0005-0000-0000-000075380000}"/>
    <cellStyle name="InputCells12 2 2 3 6" xfId="10062" xr:uid="{00000000-0005-0000-0000-000076380000}"/>
    <cellStyle name="InputCells12 2 2 3 7" xfId="10474" xr:uid="{00000000-0005-0000-0000-000077380000}"/>
    <cellStyle name="InputCells12 2 2 3 8" xfId="10950" xr:uid="{00000000-0005-0000-0000-000078380000}"/>
    <cellStyle name="InputCells12 2 2 3 9" xfId="11193" xr:uid="{00000000-0005-0000-0000-000079380000}"/>
    <cellStyle name="InputCells12 2 3" xfId="292" xr:uid="{00000000-0005-0000-0000-00007A380000}"/>
    <cellStyle name="InputCells12 2 3 10" xfId="9011" xr:uid="{00000000-0005-0000-0000-00007B380000}"/>
    <cellStyle name="InputCells12 2 3 11" xfId="8960" xr:uid="{00000000-0005-0000-0000-00007C380000}"/>
    <cellStyle name="InputCells12 2 3 12" xfId="10930" xr:uid="{00000000-0005-0000-0000-00007D380000}"/>
    <cellStyle name="InputCells12 2 3 13" xfId="10654" xr:uid="{00000000-0005-0000-0000-00007E380000}"/>
    <cellStyle name="InputCells12 2 3 14" xfId="10982" xr:uid="{00000000-0005-0000-0000-00007F380000}"/>
    <cellStyle name="InputCells12 2 3 15" xfId="12241" xr:uid="{00000000-0005-0000-0000-000080380000}"/>
    <cellStyle name="InputCells12 2 3 16" xfId="16503" xr:uid="{00000000-0005-0000-0000-000081380000}"/>
    <cellStyle name="InputCells12 2 3 17" xfId="17616" xr:uid="{00000000-0005-0000-0000-000082380000}"/>
    <cellStyle name="InputCells12 2 3 18" xfId="16945" xr:uid="{00000000-0005-0000-0000-000083380000}"/>
    <cellStyle name="InputCells12 2 3 19" xfId="19494" xr:uid="{00000000-0005-0000-0000-000084380000}"/>
    <cellStyle name="InputCells12 2 3 2" xfId="630" xr:uid="{00000000-0005-0000-0000-000085380000}"/>
    <cellStyle name="InputCells12 2 3 2 10" xfId="11097" xr:uid="{00000000-0005-0000-0000-000086380000}"/>
    <cellStyle name="InputCells12 2 3 2 11" xfId="11484" xr:uid="{00000000-0005-0000-0000-000087380000}"/>
    <cellStyle name="InputCells12 2 3 2 12" xfId="11856" xr:uid="{00000000-0005-0000-0000-000088380000}"/>
    <cellStyle name="InputCells12 2 3 2 13" xfId="12369" xr:uid="{00000000-0005-0000-0000-000089380000}"/>
    <cellStyle name="InputCells12 2 3 2 14" xfId="15077" xr:uid="{00000000-0005-0000-0000-00008A380000}"/>
    <cellStyle name="InputCells12 2 3 2 15" xfId="14385" xr:uid="{00000000-0005-0000-0000-00008B380000}"/>
    <cellStyle name="InputCells12 2 3 2 16" xfId="17719" xr:uid="{00000000-0005-0000-0000-00008C380000}"/>
    <cellStyle name="InputCells12 2 3 2 17" xfId="18276" xr:uid="{00000000-0005-0000-0000-00008D380000}"/>
    <cellStyle name="InputCells12 2 3 2 2" xfId="845" xr:uid="{00000000-0005-0000-0000-00008E380000}"/>
    <cellStyle name="InputCells12 2 3 2 2 10" xfId="11691" xr:uid="{00000000-0005-0000-0000-00008F380000}"/>
    <cellStyle name="InputCells12 2 3 2 2 11" xfId="12062" xr:uid="{00000000-0005-0000-0000-000090380000}"/>
    <cellStyle name="InputCells12 2 3 2 2 12" xfId="12575" xr:uid="{00000000-0005-0000-0000-000091380000}"/>
    <cellStyle name="InputCells12 2 3 2 2 13" xfId="16142" xr:uid="{00000000-0005-0000-0000-000092380000}"/>
    <cellStyle name="InputCells12 2 3 2 2 14" xfId="15452" xr:uid="{00000000-0005-0000-0000-000093380000}"/>
    <cellStyle name="InputCells12 2 3 2 2 15" xfId="14749" xr:uid="{00000000-0005-0000-0000-000094380000}"/>
    <cellStyle name="InputCells12 2 3 2 2 16" xfId="18086" xr:uid="{00000000-0005-0000-0000-000095380000}"/>
    <cellStyle name="InputCells12 2 3 2 2 2" xfId="983" xr:uid="{00000000-0005-0000-0000-000096380000}"/>
    <cellStyle name="InputCells12 2 3 2 2 2 2" xfId="12712" xr:uid="{00000000-0005-0000-0000-000097380000}"/>
    <cellStyle name="InputCells12 2 3 2 2 2 3" xfId="14805" xr:uid="{00000000-0005-0000-0000-000098380000}"/>
    <cellStyle name="InputCells12 2 3 2 2 2 4" xfId="17404" xr:uid="{00000000-0005-0000-0000-000099380000}"/>
    <cellStyle name="InputCells12 2 3 2 2 2 5" xfId="15489" xr:uid="{00000000-0005-0000-0000-00009A380000}"/>
    <cellStyle name="InputCells12 2 3 2 2 2 6" xfId="19356" xr:uid="{00000000-0005-0000-0000-00009B380000}"/>
    <cellStyle name="InputCells12 2 3 2 2 3" xfId="3916" xr:uid="{00000000-0005-0000-0000-00009C380000}"/>
    <cellStyle name="InputCells12 2 3 2 2 4" xfId="8870" xr:uid="{00000000-0005-0000-0000-00009D380000}"/>
    <cellStyle name="InputCells12 2 3 2 2 5" xfId="9746" xr:uid="{00000000-0005-0000-0000-00009E380000}"/>
    <cellStyle name="InputCells12 2 3 2 2 6" xfId="10175" xr:uid="{00000000-0005-0000-0000-00009F380000}"/>
    <cellStyle name="InputCells12 2 3 2 2 7" xfId="10587" xr:uid="{00000000-0005-0000-0000-0000A0380000}"/>
    <cellStyle name="InputCells12 2 3 2 2 8" xfId="10766" xr:uid="{00000000-0005-0000-0000-0000A1380000}"/>
    <cellStyle name="InputCells12 2 3 2 2 9" xfId="11306" xr:uid="{00000000-0005-0000-0000-0000A2380000}"/>
    <cellStyle name="InputCells12 2 3 2 3" xfId="1254" xr:uid="{00000000-0005-0000-0000-0000A3380000}"/>
    <cellStyle name="InputCells12 2 3 2 3 2" xfId="12983" xr:uid="{00000000-0005-0000-0000-0000A4380000}"/>
    <cellStyle name="InputCells12 2 3 2 3 3" xfId="15393" xr:uid="{00000000-0005-0000-0000-0000A5380000}"/>
    <cellStyle name="InputCells12 2 3 2 3 4" xfId="16572" xr:uid="{00000000-0005-0000-0000-0000A6380000}"/>
    <cellStyle name="InputCells12 2 3 2 3 5" xfId="15804" xr:uid="{00000000-0005-0000-0000-0000A7380000}"/>
    <cellStyle name="InputCells12 2 3 2 3 6" xfId="19171" xr:uid="{00000000-0005-0000-0000-0000A8380000}"/>
    <cellStyle name="InputCells12 2 3 2 4" xfId="4074" xr:uid="{00000000-0005-0000-0000-0000A9380000}"/>
    <cellStyle name="InputCells12 2 3 2 5" xfId="8784" xr:uid="{00000000-0005-0000-0000-0000AA380000}"/>
    <cellStyle name="InputCells12 2 3 2 6" xfId="9534" xr:uid="{00000000-0005-0000-0000-0000AB380000}"/>
    <cellStyle name="InputCells12 2 3 2 7" xfId="9961" xr:uid="{00000000-0005-0000-0000-0000AC380000}"/>
    <cellStyle name="InputCells12 2 3 2 8" xfId="10373" xr:uid="{00000000-0005-0000-0000-0000AD380000}"/>
    <cellStyle name="InputCells12 2 3 2 9" xfId="10712" xr:uid="{00000000-0005-0000-0000-0000AE380000}"/>
    <cellStyle name="InputCells12 2 3 3" xfId="553" xr:uid="{00000000-0005-0000-0000-0000AF380000}"/>
    <cellStyle name="InputCells12 2 3 3 10" xfId="11020" xr:uid="{00000000-0005-0000-0000-0000B0380000}"/>
    <cellStyle name="InputCells12 2 3 3 11" xfId="11407" xr:uid="{00000000-0005-0000-0000-0000B1380000}"/>
    <cellStyle name="InputCells12 2 3 3 12" xfId="11779" xr:uid="{00000000-0005-0000-0000-0000B2380000}"/>
    <cellStyle name="InputCells12 2 3 3 13" xfId="12292" xr:uid="{00000000-0005-0000-0000-0000B3380000}"/>
    <cellStyle name="InputCells12 2 3 3 14" xfId="15023" xr:uid="{00000000-0005-0000-0000-0000B4380000}"/>
    <cellStyle name="InputCells12 2 3 3 15" xfId="14548" xr:uid="{00000000-0005-0000-0000-0000B5380000}"/>
    <cellStyle name="InputCells12 2 3 3 16" xfId="13935" xr:uid="{00000000-0005-0000-0000-0000B6380000}"/>
    <cellStyle name="InputCells12 2 3 3 17" xfId="18457" xr:uid="{00000000-0005-0000-0000-0000B7380000}"/>
    <cellStyle name="InputCells12 2 3 3 2" xfId="768" xr:uid="{00000000-0005-0000-0000-0000B8380000}"/>
    <cellStyle name="InputCells12 2 3 3 2 10" xfId="11614" xr:uid="{00000000-0005-0000-0000-0000B9380000}"/>
    <cellStyle name="InputCells12 2 3 3 2 11" xfId="11985" xr:uid="{00000000-0005-0000-0000-0000BA380000}"/>
    <cellStyle name="InputCells12 2 3 3 2 12" xfId="12498" xr:uid="{00000000-0005-0000-0000-0000BB380000}"/>
    <cellStyle name="InputCells12 2 3 3 2 13" xfId="14571" xr:uid="{00000000-0005-0000-0000-0000BC380000}"/>
    <cellStyle name="InputCells12 2 3 3 2 14" xfId="15085" xr:uid="{00000000-0005-0000-0000-0000BD380000}"/>
    <cellStyle name="InputCells12 2 3 3 2 15" xfId="18497" xr:uid="{00000000-0005-0000-0000-0000BE380000}"/>
    <cellStyle name="InputCells12 2 3 3 2 16" xfId="16956" xr:uid="{00000000-0005-0000-0000-0000BF380000}"/>
    <cellStyle name="InputCells12 2 3 3 2 2" xfId="1191" xr:uid="{00000000-0005-0000-0000-0000C0380000}"/>
    <cellStyle name="InputCells12 2 3 3 2 2 2" xfId="12920" xr:uid="{00000000-0005-0000-0000-0000C1380000}"/>
    <cellStyle name="InputCells12 2 3 3 2 2 3" xfId="15361" xr:uid="{00000000-0005-0000-0000-0000C2380000}"/>
    <cellStyle name="InputCells12 2 3 3 2 2 4" xfId="17263" xr:uid="{00000000-0005-0000-0000-0000C3380000}"/>
    <cellStyle name="InputCells12 2 3 3 2 2 5" xfId="17859" xr:uid="{00000000-0005-0000-0000-0000C4380000}"/>
    <cellStyle name="InputCells12 2 3 3 2 2 6" xfId="19215" xr:uid="{00000000-0005-0000-0000-0000C5380000}"/>
    <cellStyle name="InputCells12 2 3 3 2 3" xfId="3534" xr:uid="{00000000-0005-0000-0000-0000C6380000}"/>
    <cellStyle name="InputCells12 2 3 3 2 4" xfId="8882" xr:uid="{00000000-0005-0000-0000-0000C7380000}"/>
    <cellStyle name="InputCells12 2 3 3 2 5" xfId="9669" xr:uid="{00000000-0005-0000-0000-0000C8380000}"/>
    <cellStyle name="InputCells12 2 3 3 2 6" xfId="10098" xr:uid="{00000000-0005-0000-0000-0000C9380000}"/>
    <cellStyle name="InputCells12 2 3 3 2 7" xfId="10510" xr:uid="{00000000-0005-0000-0000-0000CA380000}"/>
    <cellStyle name="InputCells12 2 3 3 2 8" xfId="10752" xr:uid="{00000000-0005-0000-0000-0000CB380000}"/>
    <cellStyle name="InputCells12 2 3 3 2 9" xfId="11229" xr:uid="{00000000-0005-0000-0000-0000CC380000}"/>
    <cellStyle name="InputCells12 2 3 3 3" xfId="918" xr:uid="{00000000-0005-0000-0000-0000CD380000}"/>
    <cellStyle name="InputCells12 2 3 3 3 2" xfId="12647" xr:uid="{00000000-0005-0000-0000-0000CE380000}"/>
    <cellStyle name="InputCells12 2 3 3 3 3" xfId="16123" xr:uid="{00000000-0005-0000-0000-0000CF380000}"/>
    <cellStyle name="InputCells12 2 3 3 3 4" xfId="14078" xr:uid="{00000000-0005-0000-0000-0000D0380000}"/>
    <cellStyle name="InputCells12 2 3 3 3 5" xfId="17670" xr:uid="{00000000-0005-0000-0000-0000D1380000}"/>
    <cellStyle name="InputCells12 2 3 3 3 6" xfId="18077" xr:uid="{00000000-0005-0000-0000-0000D2380000}"/>
    <cellStyle name="InputCells12 2 3 3 4" xfId="3548" xr:uid="{00000000-0005-0000-0000-0000D3380000}"/>
    <cellStyle name="InputCells12 2 3 3 5" xfId="9197" xr:uid="{00000000-0005-0000-0000-0000D4380000}"/>
    <cellStyle name="InputCells12 2 3 3 6" xfId="9457" xr:uid="{00000000-0005-0000-0000-0000D5380000}"/>
    <cellStyle name="InputCells12 2 3 3 7" xfId="9884" xr:uid="{00000000-0005-0000-0000-0000D6380000}"/>
    <cellStyle name="InputCells12 2 3 3 8" xfId="10296" xr:uid="{00000000-0005-0000-0000-0000D7380000}"/>
    <cellStyle name="InputCells12 2 3 3 9" xfId="9833" xr:uid="{00000000-0005-0000-0000-0000D8380000}"/>
    <cellStyle name="InputCells12 2 3 4" xfId="669" xr:uid="{00000000-0005-0000-0000-0000D9380000}"/>
    <cellStyle name="InputCells12 2 3 4 10" xfId="11136" xr:uid="{00000000-0005-0000-0000-0000DA380000}"/>
    <cellStyle name="InputCells12 2 3 4 11" xfId="11523" xr:uid="{00000000-0005-0000-0000-0000DB380000}"/>
    <cellStyle name="InputCells12 2 3 4 12" xfId="11895" xr:uid="{00000000-0005-0000-0000-0000DC380000}"/>
    <cellStyle name="InputCells12 2 3 4 13" xfId="12408" xr:uid="{00000000-0005-0000-0000-0000DD380000}"/>
    <cellStyle name="InputCells12 2 3 4 14" xfId="15889" xr:uid="{00000000-0005-0000-0000-0000DE380000}"/>
    <cellStyle name="InputCells12 2 3 4 15" xfId="14774" xr:uid="{00000000-0005-0000-0000-0000DF380000}"/>
    <cellStyle name="InputCells12 2 3 4 16" xfId="17086" xr:uid="{00000000-0005-0000-0000-0000E0380000}"/>
    <cellStyle name="InputCells12 2 3 4 17" xfId="15002" xr:uid="{00000000-0005-0000-0000-0000E1380000}"/>
    <cellStyle name="InputCells12 2 3 4 2" xfId="884" xr:uid="{00000000-0005-0000-0000-0000E2380000}"/>
    <cellStyle name="InputCells12 2 3 4 2 10" xfId="11730" xr:uid="{00000000-0005-0000-0000-0000E3380000}"/>
    <cellStyle name="InputCells12 2 3 4 2 11" xfId="12101" xr:uid="{00000000-0005-0000-0000-0000E4380000}"/>
    <cellStyle name="InputCells12 2 3 4 2 12" xfId="12614" xr:uid="{00000000-0005-0000-0000-0000E5380000}"/>
    <cellStyle name="InputCells12 2 3 4 2 13" xfId="15246" xr:uid="{00000000-0005-0000-0000-0000E6380000}"/>
    <cellStyle name="InputCells12 2 3 4 2 14" xfId="16454" xr:uid="{00000000-0005-0000-0000-0000E7380000}"/>
    <cellStyle name="InputCells12 2 3 4 2 15" xfId="14323" xr:uid="{00000000-0005-0000-0000-0000E8380000}"/>
    <cellStyle name="InputCells12 2 3 4 2 16" xfId="19409" xr:uid="{00000000-0005-0000-0000-0000E9380000}"/>
    <cellStyle name="InputCells12 2 3 4 2 2" xfId="1386" xr:uid="{00000000-0005-0000-0000-0000EA380000}"/>
    <cellStyle name="InputCells12 2 3 4 2 2 2" xfId="13115" xr:uid="{00000000-0005-0000-0000-0000EB380000}"/>
    <cellStyle name="InputCells12 2 3 4 2 2 3" xfId="14849" xr:uid="{00000000-0005-0000-0000-0000EC380000}"/>
    <cellStyle name="InputCells12 2 3 4 2 2 4" xfId="17122" xr:uid="{00000000-0005-0000-0000-0000ED380000}"/>
    <cellStyle name="InputCells12 2 3 4 2 2 5" xfId="17721" xr:uid="{00000000-0005-0000-0000-0000EE380000}"/>
    <cellStyle name="InputCells12 2 3 4 2 2 6" xfId="19074" xr:uid="{00000000-0005-0000-0000-0000EF380000}"/>
    <cellStyle name="InputCells12 2 3 4 2 3" xfId="4238" xr:uid="{00000000-0005-0000-0000-0000F0380000}"/>
    <cellStyle name="InputCells12 2 3 4 2 4" xfId="9357" xr:uid="{00000000-0005-0000-0000-0000F1380000}"/>
    <cellStyle name="InputCells12 2 3 4 2 5" xfId="9785" xr:uid="{00000000-0005-0000-0000-0000F2380000}"/>
    <cellStyle name="InputCells12 2 3 4 2 6" xfId="10214" xr:uid="{00000000-0005-0000-0000-0000F3380000}"/>
    <cellStyle name="InputCells12 2 3 4 2 7" xfId="10626" xr:uid="{00000000-0005-0000-0000-0000F4380000}"/>
    <cellStyle name="InputCells12 2 3 4 2 8" xfId="10956" xr:uid="{00000000-0005-0000-0000-0000F5380000}"/>
    <cellStyle name="InputCells12 2 3 4 2 9" xfId="11345" xr:uid="{00000000-0005-0000-0000-0000F6380000}"/>
    <cellStyle name="InputCells12 2 3 4 3" xfId="1151" xr:uid="{00000000-0005-0000-0000-0000F7380000}"/>
    <cellStyle name="InputCells12 2 3 4 3 2" xfId="12880" xr:uid="{00000000-0005-0000-0000-0000F8380000}"/>
    <cellStyle name="InputCells12 2 3 4 3 3" xfId="15334" xr:uid="{00000000-0005-0000-0000-0000F9380000}"/>
    <cellStyle name="InputCells12 2 3 4 3 4" xfId="15220" xr:uid="{00000000-0005-0000-0000-0000FA380000}"/>
    <cellStyle name="InputCells12 2 3 4 3 5" xfId="16450" xr:uid="{00000000-0005-0000-0000-0000FB380000}"/>
    <cellStyle name="InputCells12 2 3 4 3 6" xfId="19249" xr:uid="{00000000-0005-0000-0000-0000FC380000}"/>
    <cellStyle name="InputCells12 2 3 4 4" xfId="4007" xr:uid="{00000000-0005-0000-0000-0000FD380000}"/>
    <cellStyle name="InputCells12 2 3 4 5" xfId="9067" xr:uid="{00000000-0005-0000-0000-0000FE380000}"/>
    <cellStyle name="InputCells12 2 3 4 6" xfId="9573" xr:uid="{00000000-0005-0000-0000-0000FF380000}"/>
    <cellStyle name="InputCells12 2 3 4 7" xfId="10000" xr:uid="{00000000-0005-0000-0000-000000390000}"/>
    <cellStyle name="InputCells12 2 3 4 8" xfId="10412" xr:uid="{00000000-0005-0000-0000-000001390000}"/>
    <cellStyle name="InputCells12 2 3 4 9" xfId="8966" xr:uid="{00000000-0005-0000-0000-000002390000}"/>
    <cellStyle name="InputCells12 2 3 5" xfId="942" xr:uid="{00000000-0005-0000-0000-000003390000}"/>
    <cellStyle name="InputCells12 2 3 5 2" xfId="12671" xr:uid="{00000000-0005-0000-0000-000004390000}"/>
    <cellStyle name="InputCells12 2 3 5 3" xfId="13852" xr:uid="{00000000-0005-0000-0000-000005390000}"/>
    <cellStyle name="InputCells12 2 3 5 4" xfId="17438" xr:uid="{00000000-0005-0000-0000-000006390000}"/>
    <cellStyle name="InputCells12 2 3 5 5" xfId="13789" xr:uid="{00000000-0005-0000-0000-000007390000}"/>
    <cellStyle name="InputCells12 2 3 5 6" xfId="19390" xr:uid="{00000000-0005-0000-0000-000008390000}"/>
    <cellStyle name="InputCells12 2 3 6" xfId="4171" xr:uid="{00000000-0005-0000-0000-000009390000}"/>
    <cellStyle name="InputCells12 2 3 7" xfId="8686" xr:uid="{00000000-0005-0000-0000-00000A390000}"/>
    <cellStyle name="InputCells12 2 3 8" xfId="8540" xr:uid="{00000000-0005-0000-0000-00000B390000}"/>
    <cellStyle name="InputCells12 2 3 9" xfId="9014" xr:uid="{00000000-0005-0000-0000-00000C390000}"/>
    <cellStyle name="InputCells12 3" xfId="432" xr:uid="{00000000-0005-0000-0000-00000D390000}"/>
    <cellStyle name="InputCells12 3 2" xfId="537" xr:uid="{00000000-0005-0000-0000-00000E390000}"/>
    <cellStyle name="InputCells12 3 2 10" xfId="11004" xr:uid="{00000000-0005-0000-0000-00000F390000}"/>
    <cellStyle name="InputCells12 3 2 11" xfId="11391" xr:uid="{00000000-0005-0000-0000-000010390000}"/>
    <cellStyle name="InputCells12 3 2 12" xfId="11763" xr:uid="{00000000-0005-0000-0000-000011390000}"/>
    <cellStyle name="InputCells12 3 2 13" xfId="12276" xr:uid="{00000000-0005-0000-0000-000012390000}"/>
    <cellStyle name="InputCells12 3 2 14" xfId="15988" xr:uid="{00000000-0005-0000-0000-000013390000}"/>
    <cellStyle name="InputCells12 3 2 15" xfId="16542" xr:uid="{00000000-0005-0000-0000-000014390000}"/>
    <cellStyle name="InputCells12 3 2 16" xfId="15071" xr:uid="{00000000-0005-0000-0000-000015390000}"/>
    <cellStyle name="InputCells12 3 2 17" xfId="18258" xr:uid="{00000000-0005-0000-0000-000016390000}"/>
    <cellStyle name="InputCells12 3 2 2" xfId="752" xr:uid="{00000000-0005-0000-0000-000017390000}"/>
    <cellStyle name="InputCells12 3 2 2 10" xfId="11598" xr:uid="{00000000-0005-0000-0000-000018390000}"/>
    <cellStyle name="InputCells12 3 2 2 11" xfId="11969" xr:uid="{00000000-0005-0000-0000-000019390000}"/>
    <cellStyle name="InputCells12 3 2 2 12" xfId="12482" xr:uid="{00000000-0005-0000-0000-00001A390000}"/>
    <cellStyle name="InputCells12 3 2 2 13" xfId="15624" xr:uid="{00000000-0005-0000-0000-00001B390000}"/>
    <cellStyle name="InputCells12 3 2 2 14" xfId="17475" xr:uid="{00000000-0005-0000-0000-00001C390000}"/>
    <cellStyle name="InputCells12 3 2 2 15" xfId="14290" xr:uid="{00000000-0005-0000-0000-00001D390000}"/>
    <cellStyle name="InputCells12 3 2 2 16" xfId="14898" xr:uid="{00000000-0005-0000-0000-00001E390000}"/>
    <cellStyle name="InputCells12 3 2 2 2" xfId="905" xr:uid="{00000000-0005-0000-0000-00001F390000}"/>
    <cellStyle name="InputCells12 3 2 2 2 2" xfId="12634" xr:uid="{00000000-0005-0000-0000-000020390000}"/>
    <cellStyle name="InputCells12 3 2 2 2 3" xfId="15251" xr:uid="{00000000-0005-0000-0000-000021390000}"/>
    <cellStyle name="InputCells12 3 2 2 2 4" xfId="15451" xr:uid="{00000000-0005-0000-0000-000022390000}"/>
    <cellStyle name="InputCells12 3 2 2 2 5" xfId="17093" xr:uid="{00000000-0005-0000-0000-000023390000}"/>
    <cellStyle name="InputCells12 3 2 2 2 6" xfId="19399" xr:uid="{00000000-0005-0000-0000-000024390000}"/>
    <cellStyle name="InputCells12 3 2 2 3" xfId="3341" xr:uid="{00000000-0005-0000-0000-000025390000}"/>
    <cellStyle name="InputCells12 3 2 2 4" xfId="8640" xr:uid="{00000000-0005-0000-0000-000026390000}"/>
    <cellStyle name="InputCells12 3 2 2 5" xfId="9653" xr:uid="{00000000-0005-0000-0000-000027390000}"/>
    <cellStyle name="InputCells12 3 2 2 6" xfId="10082" xr:uid="{00000000-0005-0000-0000-000028390000}"/>
    <cellStyle name="InputCells12 3 2 2 7" xfId="10494" xr:uid="{00000000-0005-0000-0000-000029390000}"/>
    <cellStyle name="InputCells12 3 2 2 8" xfId="10691" xr:uid="{00000000-0005-0000-0000-00002A390000}"/>
    <cellStyle name="InputCells12 3 2 2 9" xfId="11213" xr:uid="{00000000-0005-0000-0000-00002B390000}"/>
    <cellStyle name="InputCells12 3 2 3" xfId="1226" xr:uid="{00000000-0005-0000-0000-00002C390000}"/>
    <cellStyle name="InputCells12 3 2 3 2" xfId="12955" xr:uid="{00000000-0005-0000-0000-00002D390000}"/>
    <cellStyle name="InputCells12 3 2 3 3" xfId="15378" xr:uid="{00000000-0005-0000-0000-00002E390000}"/>
    <cellStyle name="InputCells12 3 2 3 4" xfId="17236" xr:uid="{00000000-0005-0000-0000-00002F390000}"/>
    <cellStyle name="InputCells12 3 2 3 5" xfId="15674" xr:uid="{00000000-0005-0000-0000-000030390000}"/>
    <cellStyle name="InputCells12 3 2 3 6" xfId="19188" xr:uid="{00000000-0005-0000-0000-000031390000}"/>
    <cellStyle name="InputCells12 3 2 4" xfId="4229" xr:uid="{00000000-0005-0000-0000-000032390000}"/>
    <cellStyle name="InputCells12 3 2 5" xfId="8889" xr:uid="{00000000-0005-0000-0000-000033390000}"/>
    <cellStyle name="InputCells12 3 2 6" xfId="9441" xr:uid="{00000000-0005-0000-0000-000034390000}"/>
    <cellStyle name="InputCells12 3 2 7" xfId="9868" xr:uid="{00000000-0005-0000-0000-000035390000}"/>
    <cellStyle name="InputCells12 3 2 8" xfId="10280" xr:uid="{00000000-0005-0000-0000-000036390000}"/>
    <cellStyle name="InputCells12 3 2 9" xfId="10951" xr:uid="{00000000-0005-0000-0000-000037390000}"/>
    <cellStyle name="InputCells12 3 3" xfId="731" xr:uid="{00000000-0005-0000-0000-000038390000}"/>
    <cellStyle name="InputCells12 3 3 10" xfId="11577" xr:uid="{00000000-0005-0000-0000-000039390000}"/>
    <cellStyle name="InputCells12 3 3 11" xfId="11948" xr:uid="{00000000-0005-0000-0000-00003A390000}"/>
    <cellStyle name="InputCells12 3 3 12" xfId="12461" xr:uid="{00000000-0005-0000-0000-00003B390000}"/>
    <cellStyle name="InputCells12 3 3 13" xfId="13887" xr:uid="{00000000-0005-0000-0000-00003C390000}"/>
    <cellStyle name="InputCells12 3 3 14" xfId="17486" xr:uid="{00000000-0005-0000-0000-00003D390000}"/>
    <cellStyle name="InputCells12 3 3 15" xfId="18542" xr:uid="{00000000-0005-0000-0000-00003E390000}"/>
    <cellStyle name="InputCells12 3 3 16" xfId="19438" xr:uid="{00000000-0005-0000-0000-00003F390000}"/>
    <cellStyle name="InputCells12 3 3 2" xfId="1224" xr:uid="{00000000-0005-0000-0000-000040390000}"/>
    <cellStyle name="InputCells12 3 3 2 2" xfId="12953" xr:uid="{00000000-0005-0000-0000-000041390000}"/>
    <cellStyle name="InputCells12 3 3 2 3" xfId="14827" xr:uid="{00000000-0005-0000-0000-000042390000}"/>
    <cellStyle name="InputCells12 3 3 2 4" xfId="16024" xr:uid="{00000000-0005-0000-0000-000043390000}"/>
    <cellStyle name="InputCells12 3 3 2 5" xfId="17032" xr:uid="{00000000-0005-0000-0000-000044390000}"/>
    <cellStyle name="InputCells12 3 3 2 6" xfId="19190" xr:uid="{00000000-0005-0000-0000-000045390000}"/>
    <cellStyle name="InputCells12 3 3 3" xfId="3417" xr:uid="{00000000-0005-0000-0000-000046390000}"/>
    <cellStyle name="InputCells12 3 3 4" xfId="8746" xr:uid="{00000000-0005-0000-0000-000047390000}"/>
    <cellStyle name="InputCells12 3 3 5" xfId="9632" xr:uid="{00000000-0005-0000-0000-000048390000}"/>
    <cellStyle name="InputCells12 3 3 6" xfId="10061" xr:uid="{00000000-0005-0000-0000-000049390000}"/>
    <cellStyle name="InputCells12 3 3 7" xfId="10473" xr:uid="{00000000-0005-0000-0000-00004A390000}"/>
    <cellStyle name="InputCells12 3 3 8" xfId="10787" xr:uid="{00000000-0005-0000-0000-00004B390000}"/>
    <cellStyle name="InputCells12 3 3 9" xfId="11192" xr:uid="{00000000-0005-0000-0000-00004C390000}"/>
    <cellStyle name="InputCells12 4" xfId="291" xr:uid="{00000000-0005-0000-0000-00004D390000}"/>
    <cellStyle name="InputCells12 4 10" xfId="9222" xr:uid="{00000000-0005-0000-0000-00004E390000}"/>
    <cellStyle name="InputCells12 4 11" xfId="9400" xr:uid="{00000000-0005-0000-0000-00004F390000}"/>
    <cellStyle name="InputCells12 4 12" xfId="10722" xr:uid="{00000000-0005-0000-0000-000050390000}"/>
    <cellStyle name="InputCells12 4 13" xfId="10704" xr:uid="{00000000-0005-0000-0000-000051390000}"/>
    <cellStyle name="InputCells12 4 14" xfId="10861" xr:uid="{00000000-0005-0000-0000-000052390000}"/>
    <cellStyle name="InputCells12 4 15" xfId="12240" xr:uid="{00000000-0005-0000-0000-000053390000}"/>
    <cellStyle name="InputCells12 4 16" xfId="16504" xr:uid="{00000000-0005-0000-0000-000054390000}"/>
    <cellStyle name="InputCells12 4 17" xfId="17617" xr:uid="{00000000-0005-0000-0000-000055390000}"/>
    <cellStyle name="InputCells12 4 18" xfId="14710" xr:uid="{00000000-0005-0000-0000-000056390000}"/>
    <cellStyle name="InputCells12 4 19" xfId="19495" xr:uid="{00000000-0005-0000-0000-000057390000}"/>
    <cellStyle name="InputCells12 4 2" xfId="629" xr:uid="{00000000-0005-0000-0000-000058390000}"/>
    <cellStyle name="InputCells12 4 2 10" xfId="11096" xr:uid="{00000000-0005-0000-0000-000059390000}"/>
    <cellStyle name="InputCells12 4 2 11" xfId="11483" xr:uid="{00000000-0005-0000-0000-00005A390000}"/>
    <cellStyle name="InputCells12 4 2 12" xfId="11855" xr:uid="{00000000-0005-0000-0000-00005B390000}"/>
    <cellStyle name="InputCells12 4 2 13" xfId="12368" xr:uid="{00000000-0005-0000-0000-00005C390000}"/>
    <cellStyle name="InputCells12 4 2 14" xfId="15863" xr:uid="{00000000-0005-0000-0000-00005D390000}"/>
    <cellStyle name="InputCells12 4 2 15" xfId="14210" xr:uid="{00000000-0005-0000-0000-00005E390000}"/>
    <cellStyle name="InputCells12 4 2 16" xfId="16080" xr:uid="{00000000-0005-0000-0000-00005F390000}"/>
    <cellStyle name="InputCells12 4 2 17" xfId="18531" xr:uid="{00000000-0005-0000-0000-000060390000}"/>
    <cellStyle name="InputCells12 4 2 2" xfId="844" xr:uid="{00000000-0005-0000-0000-000061390000}"/>
    <cellStyle name="InputCells12 4 2 2 10" xfId="11690" xr:uid="{00000000-0005-0000-0000-000062390000}"/>
    <cellStyle name="InputCells12 4 2 2 11" xfId="12061" xr:uid="{00000000-0005-0000-0000-000063390000}"/>
    <cellStyle name="InputCells12 4 2 2 12" xfId="12574" xr:uid="{00000000-0005-0000-0000-000064390000}"/>
    <cellStyle name="InputCells12 4 2 2 13" xfId="16135" xr:uid="{00000000-0005-0000-0000-000065390000}"/>
    <cellStyle name="InputCells12 4 2 2 14" xfId="15695" xr:uid="{00000000-0005-0000-0000-000066390000}"/>
    <cellStyle name="InputCells12 4 2 2 15" xfId="15697" xr:uid="{00000000-0005-0000-0000-000067390000}"/>
    <cellStyle name="InputCells12 4 2 2 16" xfId="18085" xr:uid="{00000000-0005-0000-0000-000068390000}"/>
    <cellStyle name="InputCells12 4 2 2 2" xfId="1363" xr:uid="{00000000-0005-0000-0000-000069390000}"/>
    <cellStyle name="InputCells12 4 2 2 2 2" xfId="13092" xr:uid="{00000000-0005-0000-0000-00006A390000}"/>
    <cellStyle name="InputCells12 4 2 2 2 3" xfId="15640" xr:uid="{00000000-0005-0000-0000-00006B390000}"/>
    <cellStyle name="InputCells12 4 2 2 2 4" xfId="17142" xr:uid="{00000000-0005-0000-0000-00006C390000}"/>
    <cellStyle name="InputCells12 4 2 2 2 5" xfId="17714" xr:uid="{00000000-0005-0000-0000-00006D390000}"/>
    <cellStyle name="InputCells12 4 2 2 2 6" xfId="16525" xr:uid="{00000000-0005-0000-0000-00006E390000}"/>
    <cellStyle name="InputCells12 4 2 2 3" xfId="4076" xr:uid="{00000000-0005-0000-0000-00006F390000}"/>
    <cellStyle name="InputCells12 4 2 2 4" xfId="8760" xr:uid="{00000000-0005-0000-0000-000070390000}"/>
    <cellStyle name="InputCells12 4 2 2 5" xfId="9745" xr:uid="{00000000-0005-0000-0000-000071390000}"/>
    <cellStyle name="InputCells12 4 2 2 6" xfId="10174" xr:uid="{00000000-0005-0000-0000-000072390000}"/>
    <cellStyle name="InputCells12 4 2 2 7" xfId="10586" xr:uid="{00000000-0005-0000-0000-000073390000}"/>
    <cellStyle name="InputCells12 4 2 2 8" xfId="8939" xr:uid="{00000000-0005-0000-0000-000074390000}"/>
    <cellStyle name="InputCells12 4 2 2 9" xfId="11305" xr:uid="{00000000-0005-0000-0000-000075390000}"/>
    <cellStyle name="InputCells12 4 2 3" xfId="1145" xr:uid="{00000000-0005-0000-0000-000076390000}"/>
    <cellStyle name="InputCells12 4 2 3 2" xfId="12874" xr:uid="{00000000-0005-0000-0000-000077390000}"/>
    <cellStyle name="InputCells12 4 2 3 3" xfId="14817" xr:uid="{00000000-0005-0000-0000-000078390000}"/>
    <cellStyle name="InputCells12 4 2 3 4" xfId="17301" xr:uid="{00000000-0005-0000-0000-000079390000}"/>
    <cellStyle name="InputCells12 4 2 3 5" xfId="17018" xr:uid="{00000000-0005-0000-0000-00007A390000}"/>
    <cellStyle name="InputCells12 4 2 3 6" xfId="19253" xr:uid="{00000000-0005-0000-0000-00007B390000}"/>
    <cellStyle name="InputCells12 4 2 4" xfId="3784" xr:uid="{00000000-0005-0000-0000-00007C390000}"/>
    <cellStyle name="InputCells12 4 2 5" xfId="9072" xr:uid="{00000000-0005-0000-0000-00007D390000}"/>
    <cellStyle name="InputCells12 4 2 6" xfId="9533" xr:uid="{00000000-0005-0000-0000-00007E390000}"/>
    <cellStyle name="InputCells12 4 2 7" xfId="9960" xr:uid="{00000000-0005-0000-0000-00007F390000}"/>
    <cellStyle name="InputCells12 4 2 8" xfId="10372" xr:uid="{00000000-0005-0000-0000-000080390000}"/>
    <cellStyle name="InputCells12 4 2 9" xfId="8824" xr:uid="{00000000-0005-0000-0000-000081390000}"/>
    <cellStyle name="InputCells12 4 3" xfId="554" xr:uid="{00000000-0005-0000-0000-000082390000}"/>
    <cellStyle name="InputCells12 4 3 10" xfId="11021" xr:uid="{00000000-0005-0000-0000-000083390000}"/>
    <cellStyle name="InputCells12 4 3 11" xfId="11408" xr:uid="{00000000-0005-0000-0000-000084390000}"/>
    <cellStyle name="InputCells12 4 3 12" xfId="11780" xr:uid="{00000000-0005-0000-0000-000085390000}"/>
    <cellStyle name="InputCells12 4 3 13" xfId="12293" xr:uid="{00000000-0005-0000-0000-000086390000}"/>
    <cellStyle name="InputCells12 4 3 14" xfId="15877" xr:uid="{00000000-0005-0000-0000-000087390000}"/>
    <cellStyle name="InputCells12 4 3 15" xfId="16086" xr:uid="{00000000-0005-0000-0000-000088390000}"/>
    <cellStyle name="InputCells12 4 3 16" xfId="16358" xr:uid="{00000000-0005-0000-0000-000089390000}"/>
    <cellStyle name="InputCells12 4 3 17" xfId="18402" xr:uid="{00000000-0005-0000-0000-00008A390000}"/>
    <cellStyle name="InputCells12 4 3 2" xfId="769" xr:uid="{00000000-0005-0000-0000-00008B390000}"/>
    <cellStyle name="InputCells12 4 3 2 10" xfId="11615" xr:uid="{00000000-0005-0000-0000-00008C390000}"/>
    <cellStyle name="InputCells12 4 3 2 11" xfId="11986" xr:uid="{00000000-0005-0000-0000-00008D390000}"/>
    <cellStyle name="InputCells12 4 3 2 12" xfId="12499" xr:uid="{00000000-0005-0000-0000-00008E390000}"/>
    <cellStyle name="InputCells12 4 3 2 13" xfId="15145" xr:uid="{00000000-0005-0000-0000-00008F390000}"/>
    <cellStyle name="InputCells12 4 3 2 14" xfId="15139" xr:uid="{00000000-0005-0000-0000-000090390000}"/>
    <cellStyle name="InputCells12 4 3 2 15" xfId="18515" xr:uid="{00000000-0005-0000-0000-000091390000}"/>
    <cellStyle name="InputCells12 4 3 2 16" xfId="18069" xr:uid="{00000000-0005-0000-0000-000092390000}"/>
    <cellStyle name="InputCells12 4 3 2 2" xfId="1030" xr:uid="{00000000-0005-0000-0000-000093390000}"/>
    <cellStyle name="InputCells12 4 3 2 2 2" xfId="12759" xr:uid="{00000000-0005-0000-0000-000094390000}"/>
    <cellStyle name="InputCells12 4 3 2 2 3" xfId="15298" xr:uid="{00000000-0005-0000-0000-000095390000}"/>
    <cellStyle name="InputCells12 4 3 2 2 4" xfId="16589" xr:uid="{00000000-0005-0000-0000-000096390000}"/>
    <cellStyle name="InputCells12 4 3 2 2 5" xfId="14589" xr:uid="{00000000-0005-0000-0000-000097390000}"/>
    <cellStyle name="InputCells12 4 3 2 2 6" xfId="19335" xr:uid="{00000000-0005-0000-0000-000098390000}"/>
    <cellStyle name="InputCells12 4 3 2 3" xfId="4085" xr:uid="{00000000-0005-0000-0000-000099390000}"/>
    <cellStyle name="InputCells12 4 3 2 4" xfId="8716" xr:uid="{00000000-0005-0000-0000-00009A390000}"/>
    <cellStyle name="InputCells12 4 3 2 5" xfId="9670" xr:uid="{00000000-0005-0000-0000-00009B390000}"/>
    <cellStyle name="InputCells12 4 3 2 6" xfId="10099" xr:uid="{00000000-0005-0000-0000-00009C390000}"/>
    <cellStyle name="InputCells12 4 3 2 7" xfId="10511" xr:uid="{00000000-0005-0000-0000-00009D390000}"/>
    <cellStyle name="InputCells12 4 3 2 8" xfId="10675" xr:uid="{00000000-0005-0000-0000-00009E390000}"/>
    <cellStyle name="InputCells12 4 3 2 9" xfId="11230" xr:uid="{00000000-0005-0000-0000-00009F390000}"/>
    <cellStyle name="InputCells12 4 3 3" xfId="1081" xr:uid="{00000000-0005-0000-0000-0000A0390000}"/>
    <cellStyle name="InputCells12 4 3 3 2" xfId="12810" xr:uid="{00000000-0005-0000-0000-0000A1390000}"/>
    <cellStyle name="InputCells12 4 3 3 3" xfId="15323" xr:uid="{00000000-0005-0000-0000-0000A2390000}"/>
    <cellStyle name="InputCells12 4 3 3 4" xfId="17351" xr:uid="{00000000-0005-0000-0000-0000A3390000}"/>
    <cellStyle name="InputCells12 4 3 3 5" xfId="17567" xr:uid="{00000000-0005-0000-0000-0000A4390000}"/>
    <cellStyle name="InputCells12 4 3 3 6" xfId="19303" xr:uid="{00000000-0005-0000-0000-0000A5390000}"/>
    <cellStyle name="InputCells12 4 3 4" xfId="3621" xr:uid="{00000000-0005-0000-0000-0000A6390000}"/>
    <cellStyle name="InputCells12 4 3 5" xfId="9006" xr:uid="{00000000-0005-0000-0000-0000A7390000}"/>
    <cellStyle name="InputCells12 4 3 6" xfId="9458" xr:uid="{00000000-0005-0000-0000-0000A8390000}"/>
    <cellStyle name="InputCells12 4 3 7" xfId="9885" xr:uid="{00000000-0005-0000-0000-0000A9390000}"/>
    <cellStyle name="InputCells12 4 3 8" xfId="10297" xr:uid="{00000000-0005-0000-0000-0000AA390000}"/>
    <cellStyle name="InputCells12 4 3 9" xfId="8711" xr:uid="{00000000-0005-0000-0000-0000AB390000}"/>
    <cellStyle name="InputCells12 4 4" xfId="528" xr:uid="{00000000-0005-0000-0000-0000AC390000}"/>
    <cellStyle name="InputCells12 4 4 10" xfId="10995" xr:uid="{00000000-0005-0000-0000-0000AD390000}"/>
    <cellStyle name="InputCells12 4 4 11" xfId="11382" xr:uid="{00000000-0005-0000-0000-0000AE390000}"/>
    <cellStyle name="InputCells12 4 4 12" xfId="11754" xr:uid="{00000000-0005-0000-0000-0000AF390000}"/>
    <cellStyle name="InputCells12 4 4 13" xfId="12267" xr:uid="{00000000-0005-0000-0000-0000B0390000}"/>
    <cellStyle name="InputCells12 4 4 14" xfId="15891" xr:uid="{00000000-0005-0000-0000-0000B1390000}"/>
    <cellStyle name="InputCells12 4 4 15" xfId="15549" xr:uid="{00000000-0005-0000-0000-0000B2390000}"/>
    <cellStyle name="InputCells12 4 4 16" xfId="14384" xr:uid="{00000000-0005-0000-0000-0000B3390000}"/>
    <cellStyle name="InputCells12 4 4 17" xfId="17597" xr:uid="{00000000-0005-0000-0000-0000B4390000}"/>
    <cellStyle name="InputCells12 4 4 2" xfId="743" xr:uid="{00000000-0005-0000-0000-0000B5390000}"/>
    <cellStyle name="InputCells12 4 4 2 10" xfId="11589" xr:uid="{00000000-0005-0000-0000-0000B6390000}"/>
    <cellStyle name="InputCells12 4 4 2 11" xfId="11960" xr:uid="{00000000-0005-0000-0000-0000B7390000}"/>
    <cellStyle name="InputCells12 4 4 2 12" xfId="12473" xr:uid="{00000000-0005-0000-0000-0000B8390000}"/>
    <cellStyle name="InputCells12 4 4 2 13" xfId="15620" xr:uid="{00000000-0005-0000-0000-0000B9390000}"/>
    <cellStyle name="InputCells12 4 4 2 14" xfId="17480" xr:uid="{00000000-0005-0000-0000-0000BA390000}"/>
    <cellStyle name="InputCells12 4 4 2 15" xfId="14872" xr:uid="{00000000-0005-0000-0000-0000BB390000}"/>
    <cellStyle name="InputCells12 4 4 2 16" xfId="18727" xr:uid="{00000000-0005-0000-0000-0000BC390000}"/>
    <cellStyle name="InputCells12 4 4 2 2" xfId="1354" xr:uid="{00000000-0005-0000-0000-0000BD390000}"/>
    <cellStyle name="InputCells12 4 4 2 2 2" xfId="13083" xr:uid="{00000000-0005-0000-0000-0000BE390000}"/>
    <cellStyle name="InputCells12 4 4 2 2 3" xfId="13998" xr:uid="{00000000-0005-0000-0000-0000BF390000}"/>
    <cellStyle name="InputCells12 4 4 2 2 4" xfId="17151" xr:uid="{00000000-0005-0000-0000-0000C0390000}"/>
    <cellStyle name="InputCells12 4 4 2 2 5" xfId="14697" xr:uid="{00000000-0005-0000-0000-0000C1390000}"/>
    <cellStyle name="InputCells12 4 4 2 2 6" xfId="19103" xr:uid="{00000000-0005-0000-0000-0000C2390000}"/>
    <cellStyle name="InputCells12 4 4 2 3" xfId="3653" xr:uid="{00000000-0005-0000-0000-0000C3390000}"/>
    <cellStyle name="InputCells12 4 4 2 4" xfId="8742" xr:uid="{00000000-0005-0000-0000-0000C4390000}"/>
    <cellStyle name="InputCells12 4 4 2 5" xfId="9644" xr:uid="{00000000-0005-0000-0000-0000C5390000}"/>
    <cellStyle name="InputCells12 4 4 2 6" xfId="10073" xr:uid="{00000000-0005-0000-0000-0000C6390000}"/>
    <cellStyle name="InputCells12 4 4 2 7" xfId="10485" xr:uid="{00000000-0005-0000-0000-0000C7390000}"/>
    <cellStyle name="InputCells12 4 4 2 8" xfId="8956" xr:uid="{00000000-0005-0000-0000-0000C8390000}"/>
    <cellStyle name="InputCells12 4 4 2 9" xfId="11204" xr:uid="{00000000-0005-0000-0000-0000C9390000}"/>
    <cellStyle name="InputCells12 4 4 3" xfId="1189" xr:uid="{00000000-0005-0000-0000-0000CA390000}"/>
    <cellStyle name="InputCells12 4 4 3 2" xfId="12918" xr:uid="{00000000-0005-0000-0000-0000CB390000}"/>
    <cellStyle name="InputCells12 4 4 3 3" xfId="15359" xr:uid="{00000000-0005-0000-0000-0000CC390000}"/>
    <cellStyle name="InputCells12 4 4 3 4" xfId="17265" xr:uid="{00000000-0005-0000-0000-0000CD390000}"/>
    <cellStyle name="InputCells12 4 4 3 5" xfId="16761" xr:uid="{00000000-0005-0000-0000-0000CE390000}"/>
    <cellStyle name="InputCells12 4 4 3 6" xfId="19217" xr:uid="{00000000-0005-0000-0000-0000CF390000}"/>
    <cellStyle name="InputCells12 4 4 4" xfId="3389" xr:uid="{00000000-0005-0000-0000-0000D0390000}"/>
    <cellStyle name="InputCells12 4 4 5" xfId="9077" xr:uid="{00000000-0005-0000-0000-0000D1390000}"/>
    <cellStyle name="InputCells12 4 4 6" xfId="9432" xr:uid="{00000000-0005-0000-0000-0000D2390000}"/>
    <cellStyle name="InputCells12 4 4 7" xfId="9859" xr:uid="{00000000-0005-0000-0000-0000D3390000}"/>
    <cellStyle name="InputCells12 4 4 8" xfId="10271" xr:uid="{00000000-0005-0000-0000-0000D4390000}"/>
    <cellStyle name="InputCells12 4 4 9" xfId="8715" xr:uid="{00000000-0005-0000-0000-0000D5390000}"/>
    <cellStyle name="InputCells12 4 5" xfId="1138" xr:uid="{00000000-0005-0000-0000-0000D6390000}"/>
    <cellStyle name="InputCells12 4 5 2" xfId="12867" xr:uid="{00000000-0005-0000-0000-0000D7390000}"/>
    <cellStyle name="InputCells12 4 5 3" xfId="14612" xr:uid="{00000000-0005-0000-0000-0000D8390000}"/>
    <cellStyle name="InputCells12 4 5 4" xfId="14954" xr:uid="{00000000-0005-0000-0000-0000D9390000}"/>
    <cellStyle name="InputCells12 4 5 5" xfId="16488" xr:uid="{00000000-0005-0000-0000-0000DA390000}"/>
    <cellStyle name="InputCells12 4 5 6" xfId="18902" xr:uid="{00000000-0005-0000-0000-0000DB390000}"/>
    <cellStyle name="InputCells12 4 6" xfId="4099" xr:uid="{00000000-0005-0000-0000-0000DC390000}"/>
    <cellStyle name="InputCells12 4 7" xfId="8687" xr:uid="{00000000-0005-0000-0000-0000DD390000}"/>
    <cellStyle name="InputCells12 4 8" xfId="8692" xr:uid="{00000000-0005-0000-0000-0000DE390000}"/>
    <cellStyle name="InputCells12 4 9" xfId="9319" xr:uid="{00000000-0005-0000-0000-0000DF390000}"/>
    <cellStyle name="InputCells12 5" xfId="86" xr:uid="{00000000-0005-0000-0000-0000E0390000}"/>
    <cellStyle name="InputCells12 5 2" xfId="3255" xr:uid="{00000000-0005-0000-0000-0000E1390000}"/>
    <cellStyle name="InputCells12 5 2 2" xfId="13519" xr:uid="{00000000-0005-0000-0000-0000E2390000}"/>
    <cellStyle name="InputCells12 5 2 3" xfId="16888" xr:uid="{00000000-0005-0000-0000-0000E3390000}"/>
    <cellStyle name="InputCells12 5 2 4" xfId="17999" xr:uid="{00000000-0005-0000-0000-0000E4390000}"/>
    <cellStyle name="InputCells12 5 2 5" xfId="18996" xr:uid="{00000000-0005-0000-0000-0000E5390000}"/>
    <cellStyle name="InputCells12 5 2 6" xfId="19737" xr:uid="{00000000-0005-0000-0000-0000E6390000}"/>
    <cellStyle name="InputCells12 5 3" xfId="8547" xr:uid="{00000000-0005-0000-0000-0000E7390000}"/>
    <cellStyle name="InputCells12 5 4" xfId="13756" xr:uid="{00000000-0005-0000-0000-0000E8390000}"/>
    <cellStyle name="InputCells12_BBorder" xfId="36" xr:uid="{00000000-0005-0000-0000-0000E9390000}"/>
    <cellStyle name="IntCells" xfId="159" xr:uid="{00000000-0005-0000-0000-0000EA390000}"/>
    <cellStyle name="iPercent0" xfId="2412" xr:uid="{00000000-0005-0000-0000-0000EB390000}"/>
    <cellStyle name="iPercent0 2" xfId="6492" xr:uid="{00000000-0005-0000-0000-0000EC390000}"/>
    <cellStyle name="iPercent1" xfId="2413" xr:uid="{00000000-0005-0000-0000-0000ED390000}"/>
    <cellStyle name="iPercent1 2" xfId="6493" xr:uid="{00000000-0005-0000-0000-0000EE390000}"/>
    <cellStyle name="iTextB" xfId="2414" xr:uid="{00000000-0005-0000-0000-0000EF390000}"/>
    <cellStyle name="iTextB 2" xfId="6494" xr:uid="{00000000-0005-0000-0000-0000F0390000}"/>
    <cellStyle name="iTextCen" xfId="2415" xr:uid="{00000000-0005-0000-0000-0000F1390000}"/>
    <cellStyle name="iTextCen 2" xfId="6495" xr:uid="{00000000-0005-0000-0000-0000F2390000}"/>
    <cellStyle name="iTextGen" xfId="2416" xr:uid="{00000000-0005-0000-0000-0000F3390000}"/>
    <cellStyle name="iTextGen 2" xfId="6496" xr:uid="{00000000-0005-0000-0000-0000F4390000}"/>
    <cellStyle name="iTextGenProt" xfId="2417" xr:uid="{00000000-0005-0000-0000-0000F5390000}"/>
    <cellStyle name="iTextGenProt 2" xfId="6497" xr:uid="{00000000-0005-0000-0000-0000F6390000}"/>
    <cellStyle name="iTextGenWrap" xfId="2418" xr:uid="{00000000-0005-0000-0000-0000F7390000}"/>
    <cellStyle name="iTextGenWrap 2" xfId="6498" xr:uid="{00000000-0005-0000-0000-0000F8390000}"/>
    <cellStyle name="iTextI" xfId="2419" xr:uid="{00000000-0005-0000-0000-0000F9390000}"/>
    <cellStyle name="iTextI 2" xfId="6499" xr:uid="{00000000-0005-0000-0000-0000FA390000}"/>
    <cellStyle name="iTextSm" xfId="2420" xr:uid="{00000000-0005-0000-0000-0000FB390000}"/>
    <cellStyle name="iTextSm 2" xfId="6501" xr:uid="{00000000-0005-0000-0000-0000FC390000}"/>
    <cellStyle name="iTextSm 3" xfId="6502" xr:uid="{00000000-0005-0000-0000-0000FD390000}"/>
    <cellStyle name="iTextSm 4" xfId="6500" xr:uid="{00000000-0005-0000-0000-0000FE390000}"/>
    <cellStyle name="iTextSm_Sheet2" xfId="6503" xr:uid="{00000000-0005-0000-0000-0000FF390000}"/>
    <cellStyle name="iTextU" xfId="2421" xr:uid="{00000000-0005-0000-0000-0000003A0000}"/>
    <cellStyle name="iTextU 2" xfId="6504" xr:uid="{00000000-0005-0000-0000-0000013A0000}"/>
    <cellStyle name="Komma [0]_Blad1" xfId="2422" xr:uid="{00000000-0005-0000-0000-0000023A0000}"/>
    <cellStyle name="Komma_Blad1" xfId="2423" xr:uid="{00000000-0005-0000-0000-0000033A0000}"/>
    <cellStyle name="KP_thin_border_dark_grey" xfId="46" xr:uid="{00000000-0005-0000-0000-0000043A0000}"/>
    <cellStyle name="Linked Cell 10" xfId="6505" xr:uid="{00000000-0005-0000-0000-0000053A0000}"/>
    <cellStyle name="Linked Cell 11" xfId="6506" xr:uid="{00000000-0005-0000-0000-0000063A0000}"/>
    <cellStyle name="Linked Cell 12" xfId="6507" xr:uid="{00000000-0005-0000-0000-0000073A0000}"/>
    <cellStyle name="Linked Cell 13" xfId="6508" xr:uid="{00000000-0005-0000-0000-0000083A0000}"/>
    <cellStyle name="Linked Cell 14" xfId="12161" xr:uid="{00000000-0005-0000-0000-0000093A0000}"/>
    <cellStyle name="Linked Cell 2" xfId="160" xr:uid="{00000000-0005-0000-0000-00000A3A0000}"/>
    <cellStyle name="Linked Cell 2 10" xfId="6510" xr:uid="{00000000-0005-0000-0000-00000B3A0000}"/>
    <cellStyle name="Linked Cell 2 11" xfId="6511" xr:uid="{00000000-0005-0000-0000-00000C3A0000}"/>
    <cellStyle name="Linked Cell 2 12" xfId="6512" xr:uid="{00000000-0005-0000-0000-00000D3A0000}"/>
    <cellStyle name="Linked Cell 2 13" xfId="6513" xr:uid="{00000000-0005-0000-0000-00000E3A0000}"/>
    <cellStyle name="Linked Cell 2 14" xfId="6514" xr:uid="{00000000-0005-0000-0000-00000F3A0000}"/>
    <cellStyle name="Linked Cell 2 15" xfId="6515" xr:uid="{00000000-0005-0000-0000-0000103A0000}"/>
    <cellStyle name="Linked Cell 2 16" xfId="6516" xr:uid="{00000000-0005-0000-0000-0000113A0000}"/>
    <cellStyle name="Linked Cell 2 17" xfId="6509" xr:uid="{00000000-0005-0000-0000-0000123A0000}"/>
    <cellStyle name="Linked Cell 2 2" xfId="2424" xr:uid="{00000000-0005-0000-0000-0000133A0000}"/>
    <cellStyle name="Linked Cell 2 2 2" xfId="6518" xr:uid="{00000000-0005-0000-0000-0000143A0000}"/>
    <cellStyle name="Linked Cell 2 2 3" xfId="6519" xr:uid="{00000000-0005-0000-0000-0000153A0000}"/>
    <cellStyle name="Linked Cell 2 2 4" xfId="6520" xr:uid="{00000000-0005-0000-0000-0000163A0000}"/>
    <cellStyle name="Linked Cell 2 2 5" xfId="6521" xr:uid="{00000000-0005-0000-0000-0000173A0000}"/>
    <cellStyle name="Linked Cell 2 2 6" xfId="6517" xr:uid="{00000000-0005-0000-0000-0000183A0000}"/>
    <cellStyle name="Linked Cell 2 3" xfId="2425" xr:uid="{00000000-0005-0000-0000-0000193A0000}"/>
    <cellStyle name="Linked Cell 2 3 2" xfId="6522" xr:uid="{00000000-0005-0000-0000-00001A3A0000}"/>
    <cellStyle name="Linked Cell 2 4" xfId="6523" xr:uid="{00000000-0005-0000-0000-00001B3A0000}"/>
    <cellStyle name="Linked Cell 2 5" xfId="6524" xr:uid="{00000000-0005-0000-0000-00001C3A0000}"/>
    <cellStyle name="Linked Cell 2 6" xfId="6525" xr:uid="{00000000-0005-0000-0000-00001D3A0000}"/>
    <cellStyle name="Linked Cell 2 7" xfId="6526" xr:uid="{00000000-0005-0000-0000-00001E3A0000}"/>
    <cellStyle name="Linked Cell 2 8" xfId="6527" xr:uid="{00000000-0005-0000-0000-00001F3A0000}"/>
    <cellStyle name="Linked Cell 2 9" xfId="6528" xr:uid="{00000000-0005-0000-0000-0000203A0000}"/>
    <cellStyle name="Linked Cell 3" xfId="246" xr:uid="{00000000-0005-0000-0000-0000213A0000}"/>
    <cellStyle name="Linked Cell 3 2" xfId="6530" xr:uid="{00000000-0005-0000-0000-0000223A0000}"/>
    <cellStyle name="Linked Cell 3 3" xfId="6531" xr:uid="{00000000-0005-0000-0000-0000233A0000}"/>
    <cellStyle name="Linked Cell 3 4" xfId="6532" xr:uid="{00000000-0005-0000-0000-0000243A0000}"/>
    <cellStyle name="Linked Cell 3 5" xfId="6533" xr:uid="{00000000-0005-0000-0000-0000253A0000}"/>
    <cellStyle name="Linked Cell 3 6" xfId="6534" xr:uid="{00000000-0005-0000-0000-0000263A0000}"/>
    <cellStyle name="Linked Cell 3 7" xfId="6529" xr:uid="{00000000-0005-0000-0000-0000273A0000}"/>
    <cellStyle name="Linked Cell 4" xfId="381" xr:uid="{00000000-0005-0000-0000-0000283A0000}"/>
    <cellStyle name="Linked Cell 4 2" xfId="6536" xr:uid="{00000000-0005-0000-0000-0000293A0000}"/>
    <cellStyle name="Linked Cell 4 3" xfId="6535" xr:uid="{00000000-0005-0000-0000-00002A3A0000}"/>
    <cellStyle name="Linked Cell 5" xfId="6537" xr:uid="{00000000-0005-0000-0000-00002B3A0000}"/>
    <cellStyle name="Linked Cell 5 2" xfId="6538" xr:uid="{00000000-0005-0000-0000-00002C3A0000}"/>
    <cellStyle name="Linked Cell 6" xfId="6539" xr:uid="{00000000-0005-0000-0000-00002D3A0000}"/>
    <cellStyle name="Linked Cell 7" xfId="6540" xr:uid="{00000000-0005-0000-0000-00002E3A0000}"/>
    <cellStyle name="Linked Cell 8" xfId="6541" xr:uid="{00000000-0005-0000-0000-00002F3A0000}"/>
    <cellStyle name="Linked Cell 9" xfId="6542" xr:uid="{00000000-0005-0000-0000-0000303A0000}"/>
    <cellStyle name="MAJOR ROW HEADING" xfId="2426" xr:uid="{00000000-0005-0000-0000-0000313A0000}"/>
    <cellStyle name="MAJOR ROW HEADING 2" xfId="2427" xr:uid="{00000000-0005-0000-0000-0000323A0000}"/>
    <cellStyle name="MAJOR ROW HEADING 2 2" xfId="2428" xr:uid="{00000000-0005-0000-0000-0000333A0000}"/>
    <cellStyle name="Menu" xfId="1592" xr:uid="{00000000-0005-0000-0000-0000343A0000}"/>
    <cellStyle name="Millares [0]_A" xfId="2429" xr:uid="{00000000-0005-0000-0000-0000353A0000}"/>
    <cellStyle name="Millares_A" xfId="2430" xr:uid="{00000000-0005-0000-0000-0000363A0000}"/>
    <cellStyle name="Milliers [0]_03tabmat" xfId="1593" xr:uid="{00000000-0005-0000-0000-0000373A0000}"/>
    <cellStyle name="Milliers_03tabmat" xfId="1594" xr:uid="{00000000-0005-0000-0000-0000383A0000}"/>
    <cellStyle name="MINOR ROW HEADING" xfId="2431" xr:uid="{00000000-0005-0000-0000-0000393A0000}"/>
    <cellStyle name="MINOR ROW HEADING 2" xfId="2432" xr:uid="{00000000-0005-0000-0000-00003A3A0000}"/>
    <cellStyle name="MINOR ROW HEADING 2 2" xfId="2433" xr:uid="{00000000-0005-0000-0000-00003B3A0000}"/>
    <cellStyle name="Moneda [0]_A" xfId="2434" xr:uid="{00000000-0005-0000-0000-00003C3A0000}"/>
    <cellStyle name="Moneda_A" xfId="2435" xr:uid="{00000000-0005-0000-0000-00003D3A0000}"/>
    <cellStyle name="Monétaire [0]_03tabmat" xfId="1595" xr:uid="{00000000-0005-0000-0000-00003E3A0000}"/>
    <cellStyle name="Monétaire_03tabmat" xfId="1596" xr:uid="{00000000-0005-0000-0000-00003F3A0000}"/>
    <cellStyle name="N+(X)" xfId="1597" xr:uid="{00000000-0005-0000-0000-0000403A0000}"/>
    <cellStyle name="Neutral" xfId="12124" builtinId="28" customBuiltin="1"/>
    <cellStyle name="Neutral 10" xfId="6543" xr:uid="{00000000-0005-0000-0000-0000423A0000}"/>
    <cellStyle name="Neutral 11" xfId="6544" xr:uid="{00000000-0005-0000-0000-0000433A0000}"/>
    <cellStyle name="Neutral 12" xfId="6545" xr:uid="{00000000-0005-0000-0000-0000443A0000}"/>
    <cellStyle name="Neutral 13" xfId="6546" xr:uid="{00000000-0005-0000-0000-0000453A0000}"/>
    <cellStyle name="Neutral 2" xfId="161" xr:uid="{00000000-0005-0000-0000-0000463A0000}"/>
    <cellStyle name="Neutral 2 10" xfId="6548" xr:uid="{00000000-0005-0000-0000-0000473A0000}"/>
    <cellStyle name="Neutral 2 11" xfId="6549" xr:uid="{00000000-0005-0000-0000-0000483A0000}"/>
    <cellStyle name="Neutral 2 12" xfId="6550" xr:uid="{00000000-0005-0000-0000-0000493A0000}"/>
    <cellStyle name="Neutral 2 13" xfId="6551" xr:uid="{00000000-0005-0000-0000-00004A3A0000}"/>
    <cellStyle name="Neutral 2 14" xfId="6552" xr:uid="{00000000-0005-0000-0000-00004B3A0000}"/>
    <cellStyle name="Neutral 2 15" xfId="6553" xr:uid="{00000000-0005-0000-0000-00004C3A0000}"/>
    <cellStyle name="Neutral 2 16" xfId="6554" xr:uid="{00000000-0005-0000-0000-00004D3A0000}"/>
    <cellStyle name="Neutral 2 17" xfId="6547" xr:uid="{00000000-0005-0000-0000-00004E3A0000}"/>
    <cellStyle name="Neutral 2 2" xfId="1598" xr:uid="{00000000-0005-0000-0000-00004F3A0000}"/>
    <cellStyle name="Neutral 2 2 2" xfId="1599" xr:uid="{00000000-0005-0000-0000-0000503A0000}"/>
    <cellStyle name="Neutral 2 2 2 2" xfId="6556" xr:uid="{00000000-0005-0000-0000-0000513A0000}"/>
    <cellStyle name="Neutral 2 2 3" xfId="1600" xr:uid="{00000000-0005-0000-0000-0000523A0000}"/>
    <cellStyle name="Neutral 2 2 3 2" xfId="6557" xr:uid="{00000000-0005-0000-0000-0000533A0000}"/>
    <cellStyle name="Neutral 2 2 4" xfId="2436" xr:uid="{00000000-0005-0000-0000-0000543A0000}"/>
    <cellStyle name="Neutral 2 2 4 2" xfId="6558" xr:uid="{00000000-0005-0000-0000-0000553A0000}"/>
    <cellStyle name="Neutral 2 2 5" xfId="6559" xr:uid="{00000000-0005-0000-0000-0000563A0000}"/>
    <cellStyle name="Neutral 2 2 6" xfId="6555" xr:uid="{00000000-0005-0000-0000-0000573A0000}"/>
    <cellStyle name="Neutral 2 3" xfId="1601" xr:uid="{00000000-0005-0000-0000-0000583A0000}"/>
    <cellStyle name="Neutral 2 3 2" xfId="2437" xr:uid="{00000000-0005-0000-0000-0000593A0000}"/>
    <cellStyle name="Neutral 2 3 3" xfId="6560" xr:uid="{00000000-0005-0000-0000-00005A3A0000}"/>
    <cellStyle name="Neutral 2 4" xfId="2438" xr:uid="{00000000-0005-0000-0000-00005B3A0000}"/>
    <cellStyle name="Neutral 2 4 2" xfId="6561" xr:uid="{00000000-0005-0000-0000-00005C3A0000}"/>
    <cellStyle name="Neutral 2 5" xfId="6562" xr:uid="{00000000-0005-0000-0000-00005D3A0000}"/>
    <cellStyle name="Neutral 2 6" xfId="6563" xr:uid="{00000000-0005-0000-0000-00005E3A0000}"/>
    <cellStyle name="Neutral 2 7" xfId="6564" xr:uid="{00000000-0005-0000-0000-00005F3A0000}"/>
    <cellStyle name="Neutral 2 8" xfId="6565" xr:uid="{00000000-0005-0000-0000-0000603A0000}"/>
    <cellStyle name="Neutral 2 9" xfId="6566" xr:uid="{00000000-0005-0000-0000-0000613A0000}"/>
    <cellStyle name="Neutral 3" xfId="247" xr:uid="{00000000-0005-0000-0000-0000623A0000}"/>
    <cellStyle name="Neutral 3 2" xfId="6568" xr:uid="{00000000-0005-0000-0000-0000633A0000}"/>
    <cellStyle name="Neutral 3 3" xfId="6569" xr:uid="{00000000-0005-0000-0000-0000643A0000}"/>
    <cellStyle name="Neutral 3 4" xfId="6570" xr:uid="{00000000-0005-0000-0000-0000653A0000}"/>
    <cellStyle name="Neutral 3 5" xfId="6571" xr:uid="{00000000-0005-0000-0000-0000663A0000}"/>
    <cellStyle name="Neutral 3 6" xfId="6572" xr:uid="{00000000-0005-0000-0000-0000673A0000}"/>
    <cellStyle name="Neutral 3 7" xfId="6567" xr:uid="{00000000-0005-0000-0000-0000683A0000}"/>
    <cellStyle name="Neutral 4" xfId="6573" xr:uid="{00000000-0005-0000-0000-0000693A0000}"/>
    <cellStyle name="Neutral 4 2" xfId="6574" xr:uid="{00000000-0005-0000-0000-00006A3A0000}"/>
    <cellStyle name="Neutral 5" xfId="6575" xr:uid="{00000000-0005-0000-0000-00006B3A0000}"/>
    <cellStyle name="Neutral 5 2" xfId="6576" xr:uid="{00000000-0005-0000-0000-00006C3A0000}"/>
    <cellStyle name="Neutral 6" xfId="6577" xr:uid="{00000000-0005-0000-0000-00006D3A0000}"/>
    <cellStyle name="Neutral 6 2" xfId="6578" xr:uid="{00000000-0005-0000-0000-00006E3A0000}"/>
    <cellStyle name="Neutral 7" xfId="6579" xr:uid="{00000000-0005-0000-0000-00006F3A0000}"/>
    <cellStyle name="Neutral 7 2" xfId="6580" xr:uid="{00000000-0005-0000-0000-0000703A0000}"/>
    <cellStyle name="Neutral 8" xfId="6581" xr:uid="{00000000-0005-0000-0000-0000713A0000}"/>
    <cellStyle name="Neutral 8 2" xfId="6582" xr:uid="{00000000-0005-0000-0000-0000723A0000}"/>
    <cellStyle name="Neutral 9" xfId="6583" xr:uid="{00000000-0005-0000-0000-0000733A0000}"/>
    <cellStyle name="Nick's Standard" xfId="2439" xr:uid="{00000000-0005-0000-0000-0000743A0000}"/>
    <cellStyle name="Nml%0" xfId="2440" xr:uid="{00000000-0005-0000-0000-0000753A0000}"/>
    <cellStyle name="Nml%1" xfId="2441" xr:uid="{00000000-0005-0000-0000-0000763A0000}"/>
    <cellStyle name="Nml%2" xfId="2442" xr:uid="{00000000-0005-0000-0000-0000773A0000}"/>
    <cellStyle name="Nml,0" xfId="2443" xr:uid="{00000000-0005-0000-0000-0000783A0000}"/>
    <cellStyle name="Nml,1" xfId="2444" xr:uid="{00000000-0005-0000-0000-0000793A0000}"/>
    <cellStyle name="Nml,2" xfId="2445" xr:uid="{00000000-0005-0000-0000-00007A3A0000}"/>
    <cellStyle name="Normaali 2" xfId="162" xr:uid="{00000000-0005-0000-0000-00007B3A0000}"/>
    <cellStyle name="Normaali 2 2" xfId="163" xr:uid="{00000000-0005-0000-0000-00007C3A0000}"/>
    <cellStyle name="Normal" xfId="0" builtinId="0"/>
    <cellStyle name="Normal - Style1" xfId="2446" xr:uid="{00000000-0005-0000-0000-00007E3A0000}"/>
    <cellStyle name="Normal 10" xfId="384" xr:uid="{00000000-0005-0000-0000-00007F3A0000}"/>
    <cellStyle name="Normal 10 10" xfId="2447" xr:uid="{00000000-0005-0000-0000-0000803A0000}"/>
    <cellStyle name="Normal 10 2" xfId="453" xr:uid="{00000000-0005-0000-0000-0000813A0000}"/>
    <cellStyle name="Normal 10 2 2" xfId="1602" xr:uid="{00000000-0005-0000-0000-0000823A0000}"/>
    <cellStyle name="Normal 10 2 2 2" xfId="1603" xr:uid="{00000000-0005-0000-0000-0000833A0000}"/>
    <cellStyle name="Normal 10 2 2 2 2" xfId="1604" xr:uid="{00000000-0005-0000-0000-0000843A0000}"/>
    <cellStyle name="Normal 10 2 2 2 2 2" xfId="2448" xr:uid="{00000000-0005-0000-0000-0000853A0000}"/>
    <cellStyle name="Normal 10 2 2 2 3" xfId="2449" xr:uid="{00000000-0005-0000-0000-0000863A0000}"/>
    <cellStyle name="Normal 10 2 2 3" xfId="1605" xr:uid="{00000000-0005-0000-0000-0000873A0000}"/>
    <cellStyle name="Normal 10 2 2 4" xfId="1606" xr:uid="{00000000-0005-0000-0000-0000883A0000}"/>
    <cellStyle name="Normal 10 2 2 5" xfId="2450" xr:uid="{00000000-0005-0000-0000-0000893A0000}"/>
    <cellStyle name="Normal 10 2 3" xfId="1607" xr:uid="{00000000-0005-0000-0000-00008A3A0000}"/>
    <cellStyle name="Normal 10 2 3 2" xfId="1608" xr:uid="{00000000-0005-0000-0000-00008B3A0000}"/>
    <cellStyle name="Normal 10 2 3 2 2" xfId="2451" xr:uid="{00000000-0005-0000-0000-00008C3A0000}"/>
    <cellStyle name="Normal 10 2 3 3" xfId="2452" xr:uid="{00000000-0005-0000-0000-00008D3A0000}"/>
    <cellStyle name="Normal 10 2 4" xfId="1609" xr:uid="{00000000-0005-0000-0000-00008E3A0000}"/>
    <cellStyle name="Normal 10 2 5" xfId="1610" xr:uid="{00000000-0005-0000-0000-00008F3A0000}"/>
    <cellStyle name="Normal 10 2 6" xfId="2453" xr:uid="{00000000-0005-0000-0000-0000903A0000}"/>
    <cellStyle name="Normal 10 3" xfId="1406" xr:uid="{00000000-0005-0000-0000-0000913A0000}"/>
    <cellStyle name="Normal 10 3 2" xfId="1611" xr:uid="{00000000-0005-0000-0000-0000923A0000}"/>
    <cellStyle name="Normal 10 3 2 2" xfId="1612" xr:uid="{00000000-0005-0000-0000-0000933A0000}"/>
    <cellStyle name="Normal 10 3 2 2 2" xfId="1613" xr:uid="{00000000-0005-0000-0000-0000943A0000}"/>
    <cellStyle name="Normal 10 3 2 2 3" xfId="2454" xr:uid="{00000000-0005-0000-0000-0000953A0000}"/>
    <cellStyle name="Normal 10 3 2 3" xfId="1614" xr:uid="{00000000-0005-0000-0000-0000963A0000}"/>
    <cellStyle name="Normal 10 3 2 4" xfId="1615" xr:uid="{00000000-0005-0000-0000-0000973A0000}"/>
    <cellStyle name="Normal 10 3 2 5" xfId="2455" xr:uid="{00000000-0005-0000-0000-0000983A0000}"/>
    <cellStyle name="Normal 10 3 3" xfId="1616" xr:uid="{00000000-0005-0000-0000-0000993A0000}"/>
    <cellStyle name="Normal 10 3 3 2" xfId="1617" xr:uid="{00000000-0005-0000-0000-00009A3A0000}"/>
    <cellStyle name="Normal 10 3 4" xfId="1618" xr:uid="{00000000-0005-0000-0000-00009B3A0000}"/>
    <cellStyle name="Normal 10 3 5" xfId="1619" xr:uid="{00000000-0005-0000-0000-00009C3A0000}"/>
    <cellStyle name="Normal 10 3 6" xfId="2456" xr:uid="{00000000-0005-0000-0000-00009D3A0000}"/>
    <cellStyle name="Normal 10 4" xfId="1620" xr:uid="{00000000-0005-0000-0000-00009E3A0000}"/>
    <cellStyle name="Normal 10 4 2" xfId="1621" xr:uid="{00000000-0005-0000-0000-00009F3A0000}"/>
    <cellStyle name="Normal 10 4 2 2" xfId="1622" xr:uid="{00000000-0005-0000-0000-0000A03A0000}"/>
    <cellStyle name="Normal 10 4 2 3" xfId="2457" xr:uid="{00000000-0005-0000-0000-0000A13A0000}"/>
    <cellStyle name="Normal 10 4 3" xfId="1623" xr:uid="{00000000-0005-0000-0000-0000A23A0000}"/>
    <cellStyle name="Normal 10 4 4" xfId="1624" xr:uid="{00000000-0005-0000-0000-0000A33A0000}"/>
    <cellStyle name="Normal 10 4 5" xfId="2458" xr:uid="{00000000-0005-0000-0000-0000A43A0000}"/>
    <cellStyle name="Normal 10 5" xfId="1625" xr:uid="{00000000-0005-0000-0000-0000A53A0000}"/>
    <cellStyle name="Normal 10 5 2" xfId="1626" xr:uid="{00000000-0005-0000-0000-0000A63A0000}"/>
    <cellStyle name="Normal 10 6" xfId="1627" xr:uid="{00000000-0005-0000-0000-0000A73A0000}"/>
    <cellStyle name="Normal 10 7" xfId="1628" xr:uid="{00000000-0005-0000-0000-0000A83A0000}"/>
    <cellStyle name="Normal 10 7 2" xfId="1629" xr:uid="{00000000-0005-0000-0000-0000A93A0000}"/>
    <cellStyle name="Normal 10 8" xfId="1630" xr:uid="{00000000-0005-0000-0000-0000AA3A0000}"/>
    <cellStyle name="Normal 10 9" xfId="2459" xr:uid="{00000000-0005-0000-0000-0000AB3A0000}"/>
    <cellStyle name="Normal 100" xfId="1631" xr:uid="{00000000-0005-0000-0000-0000AC3A0000}"/>
    <cellStyle name="Normal 101" xfId="1632" xr:uid="{00000000-0005-0000-0000-0000AD3A0000}"/>
    <cellStyle name="Normal 102" xfId="1633" xr:uid="{00000000-0005-0000-0000-0000AE3A0000}"/>
    <cellStyle name="Normal 102 2" xfId="1881" xr:uid="{00000000-0005-0000-0000-0000AF3A0000}"/>
    <cellStyle name="Normal 103" xfId="1407" xr:uid="{00000000-0005-0000-0000-0000B03A0000}"/>
    <cellStyle name="Normal 104" xfId="2460" xr:uid="{00000000-0005-0000-0000-0000B13A0000}"/>
    <cellStyle name="Normal 105" xfId="2461" xr:uid="{00000000-0005-0000-0000-0000B23A0000}"/>
    <cellStyle name="Normal 106" xfId="2462" xr:uid="{00000000-0005-0000-0000-0000B33A0000}"/>
    <cellStyle name="Normal 107" xfId="2463" xr:uid="{00000000-0005-0000-0000-0000B43A0000}"/>
    <cellStyle name="Normal 108" xfId="2464" xr:uid="{00000000-0005-0000-0000-0000B53A0000}"/>
    <cellStyle name="Normal 108 2" xfId="2465" xr:uid="{00000000-0005-0000-0000-0000B63A0000}"/>
    <cellStyle name="Normal 109" xfId="2466" xr:uid="{00000000-0005-0000-0000-0000B73A0000}"/>
    <cellStyle name="Normal 109 2" xfId="2467" xr:uid="{00000000-0005-0000-0000-0000B83A0000}"/>
    <cellStyle name="Normal 11" xfId="412" xr:uid="{00000000-0005-0000-0000-0000B93A0000}"/>
    <cellStyle name="Normal 11 2" xfId="5" xr:uid="{00000000-0005-0000-0000-0000BA3A0000}"/>
    <cellStyle name="Normal 11 2 2" xfId="454" xr:uid="{00000000-0005-0000-0000-0000BB3A0000}"/>
    <cellStyle name="Normal 11 2 2 2" xfId="2468" xr:uid="{00000000-0005-0000-0000-0000BC3A0000}"/>
    <cellStyle name="Normal 11 2 2 2 2" xfId="2469" xr:uid="{00000000-0005-0000-0000-0000BD3A0000}"/>
    <cellStyle name="Normal 11 2 3" xfId="2470" xr:uid="{00000000-0005-0000-0000-0000BE3A0000}"/>
    <cellStyle name="Normal 11 2 3 2" xfId="2471" xr:uid="{00000000-0005-0000-0000-0000BF3A0000}"/>
    <cellStyle name="Normal 11 2 4" xfId="2472" xr:uid="{00000000-0005-0000-0000-0000C03A0000}"/>
    <cellStyle name="Normal 11 2 5" xfId="8195" xr:uid="{00000000-0005-0000-0000-0000C13A0000}"/>
    <cellStyle name="Normal 11 3" xfId="1634" xr:uid="{00000000-0005-0000-0000-0000C23A0000}"/>
    <cellStyle name="Normal 11 3 2" xfId="2473" xr:uid="{00000000-0005-0000-0000-0000C33A0000}"/>
    <cellStyle name="Normal 11 3 2 2" xfId="2474" xr:uid="{00000000-0005-0000-0000-0000C43A0000}"/>
    <cellStyle name="Normal 11 3 3" xfId="2475" xr:uid="{00000000-0005-0000-0000-0000C53A0000}"/>
    <cellStyle name="Normal 11 4" xfId="2476" xr:uid="{00000000-0005-0000-0000-0000C63A0000}"/>
    <cellStyle name="Normal 11 4 2" xfId="2477" xr:uid="{00000000-0005-0000-0000-0000C73A0000}"/>
    <cellStyle name="Normal 11 5" xfId="2478" xr:uid="{00000000-0005-0000-0000-0000C83A0000}"/>
    <cellStyle name="Normal 11 6" xfId="2479" xr:uid="{00000000-0005-0000-0000-0000C93A0000}"/>
    <cellStyle name="Normal 11 7" xfId="2480" xr:uid="{00000000-0005-0000-0000-0000CA3A0000}"/>
    <cellStyle name="Normal 11 8" xfId="6584" xr:uid="{00000000-0005-0000-0000-0000CB3A0000}"/>
    <cellStyle name="Normal 110" xfId="2481" xr:uid="{00000000-0005-0000-0000-0000CC3A0000}"/>
    <cellStyle name="Normal 111" xfId="2482" xr:uid="{00000000-0005-0000-0000-0000CD3A0000}"/>
    <cellStyle name="Normal 112" xfId="2483" xr:uid="{00000000-0005-0000-0000-0000CE3A0000}"/>
    <cellStyle name="Normal 113" xfId="2484" xr:uid="{00000000-0005-0000-0000-0000CF3A0000}"/>
    <cellStyle name="Normal 114" xfId="2485" xr:uid="{00000000-0005-0000-0000-0000D03A0000}"/>
    <cellStyle name="Normal 115" xfId="2486" xr:uid="{00000000-0005-0000-0000-0000D13A0000}"/>
    <cellStyle name="Normal 116" xfId="2487" xr:uid="{00000000-0005-0000-0000-0000D23A0000}"/>
    <cellStyle name="Normal 117" xfId="2488" xr:uid="{00000000-0005-0000-0000-0000D33A0000}"/>
    <cellStyle name="Normal 118" xfId="2489" xr:uid="{00000000-0005-0000-0000-0000D43A0000}"/>
    <cellStyle name="Normal 119" xfId="2490" xr:uid="{00000000-0005-0000-0000-0000D53A0000}"/>
    <cellStyle name="Normal 12" xfId="523" xr:uid="{00000000-0005-0000-0000-0000D63A0000}"/>
    <cellStyle name="Normal 12 2" xfId="683" xr:uid="{00000000-0005-0000-0000-0000D73A0000}"/>
    <cellStyle name="Normal 12 2 2" xfId="2491" xr:uid="{00000000-0005-0000-0000-0000D83A0000}"/>
    <cellStyle name="Normal 12 2 2 2" xfId="2492" xr:uid="{00000000-0005-0000-0000-0000D93A0000}"/>
    <cellStyle name="Normal 12 2 2 2 2" xfId="2493" xr:uid="{00000000-0005-0000-0000-0000DA3A0000}"/>
    <cellStyle name="Normal 12 2 3" xfId="2494" xr:uid="{00000000-0005-0000-0000-0000DB3A0000}"/>
    <cellStyle name="Normal 12 2 3 2" xfId="2495" xr:uid="{00000000-0005-0000-0000-0000DC3A0000}"/>
    <cellStyle name="Normal 12 2 4" xfId="2496" xr:uid="{00000000-0005-0000-0000-0000DD3A0000}"/>
    <cellStyle name="Normal 12 2 5" xfId="8196" xr:uid="{00000000-0005-0000-0000-0000DE3A0000}"/>
    <cellStyle name="Normal 12 3" xfId="1635" xr:uid="{00000000-0005-0000-0000-0000DF3A0000}"/>
    <cellStyle name="Normal 12 3 2" xfId="2497" xr:uid="{00000000-0005-0000-0000-0000E03A0000}"/>
    <cellStyle name="Normal 12 3 2 2" xfId="2498" xr:uid="{00000000-0005-0000-0000-0000E13A0000}"/>
    <cellStyle name="Normal 12 3 3" xfId="2499" xr:uid="{00000000-0005-0000-0000-0000E23A0000}"/>
    <cellStyle name="Normal 12 4" xfId="2500" xr:uid="{00000000-0005-0000-0000-0000E33A0000}"/>
    <cellStyle name="Normal 12 4 2" xfId="2501" xr:uid="{00000000-0005-0000-0000-0000E43A0000}"/>
    <cellStyle name="Normal 12 5" xfId="2502" xr:uid="{00000000-0005-0000-0000-0000E53A0000}"/>
    <cellStyle name="Normal 12 6" xfId="2503" xr:uid="{00000000-0005-0000-0000-0000E63A0000}"/>
    <cellStyle name="Normal 12 7" xfId="2504" xr:uid="{00000000-0005-0000-0000-0000E73A0000}"/>
    <cellStyle name="Normal 12 8" xfId="6585" xr:uid="{00000000-0005-0000-0000-0000E83A0000}"/>
    <cellStyle name="Normal 120" xfId="2505" xr:uid="{00000000-0005-0000-0000-0000E93A0000}"/>
    <cellStyle name="Normal 121" xfId="2506" xr:uid="{00000000-0005-0000-0000-0000EA3A0000}"/>
    <cellStyle name="Normal 122" xfId="2507" xr:uid="{00000000-0005-0000-0000-0000EB3A0000}"/>
    <cellStyle name="Normal 123" xfId="4174" xr:uid="{00000000-0005-0000-0000-0000EC3A0000}"/>
    <cellStyle name="Normal 124" xfId="7515" xr:uid="{00000000-0005-0000-0000-0000ED3A0000}"/>
    <cellStyle name="Normal 125" xfId="8239" xr:uid="{00000000-0005-0000-0000-0000EE3A0000}"/>
    <cellStyle name="Normal 126" xfId="8234" xr:uid="{00000000-0005-0000-0000-0000EF3A0000}"/>
    <cellStyle name="Normal 127" xfId="8237" xr:uid="{00000000-0005-0000-0000-0000F03A0000}"/>
    <cellStyle name="Normal 128" xfId="8236" xr:uid="{00000000-0005-0000-0000-0000F13A0000}"/>
    <cellStyle name="Normal 129" xfId="8533" xr:uid="{00000000-0005-0000-0000-0000F23A0000}"/>
    <cellStyle name="Normal 13" xfId="1636" xr:uid="{00000000-0005-0000-0000-0000F33A0000}"/>
    <cellStyle name="Normal 13 2" xfId="1637" xr:uid="{00000000-0005-0000-0000-0000F43A0000}"/>
    <cellStyle name="Normal 13 2 2" xfId="1638" xr:uid="{00000000-0005-0000-0000-0000F53A0000}"/>
    <cellStyle name="Normal 13 2 2 2" xfId="1639" xr:uid="{00000000-0005-0000-0000-0000F63A0000}"/>
    <cellStyle name="Normal 13 2 2 2 2" xfId="2508" xr:uid="{00000000-0005-0000-0000-0000F73A0000}"/>
    <cellStyle name="Normal 13 2 2 2 3" xfId="2509" xr:uid="{00000000-0005-0000-0000-0000F83A0000}"/>
    <cellStyle name="Normal 13 2 2 3" xfId="2510" xr:uid="{00000000-0005-0000-0000-0000F93A0000}"/>
    <cellStyle name="Normal 13 2 3" xfId="1640" xr:uid="{00000000-0005-0000-0000-0000FA3A0000}"/>
    <cellStyle name="Normal 13 2 3 2" xfId="2511" xr:uid="{00000000-0005-0000-0000-0000FB3A0000}"/>
    <cellStyle name="Normal 13 2 3 3" xfId="2512" xr:uid="{00000000-0005-0000-0000-0000FC3A0000}"/>
    <cellStyle name="Normal 13 2 4" xfId="1641" xr:uid="{00000000-0005-0000-0000-0000FD3A0000}"/>
    <cellStyle name="Normal 13 2 5" xfId="2513" xr:uid="{00000000-0005-0000-0000-0000FE3A0000}"/>
    <cellStyle name="Normal 13 2 6" xfId="8197" xr:uid="{00000000-0005-0000-0000-0000FF3A0000}"/>
    <cellStyle name="Normal 13 3" xfId="1642" xr:uid="{00000000-0005-0000-0000-0000003B0000}"/>
    <cellStyle name="Normal 13 3 2" xfId="1643" xr:uid="{00000000-0005-0000-0000-0000013B0000}"/>
    <cellStyle name="Normal 13 3 2 2" xfId="1644" xr:uid="{00000000-0005-0000-0000-0000023B0000}"/>
    <cellStyle name="Normal 13 3 2 2 2" xfId="2514" xr:uid="{00000000-0005-0000-0000-0000033B0000}"/>
    <cellStyle name="Normal 13 3 2 3" xfId="2515" xr:uid="{00000000-0005-0000-0000-0000043B0000}"/>
    <cellStyle name="Normal 13 3 3" xfId="1645" xr:uid="{00000000-0005-0000-0000-0000053B0000}"/>
    <cellStyle name="Normal 13 3 4" xfId="1646" xr:uid="{00000000-0005-0000-0000-0000063B0000}"/>
    <cellStyle name="Normal 13 3 5" xfId="2516" xr:uid="{00000000-0005-0000-0000-0000073B0000}"/>
    <cellStyle name="Normal 13 4" xfId="1647" xr:uid="{00000000-0005-0000-0000-0000083B0000}"/>
    <cellStyle name="Normal 13 4 2" xfId="2517" xr:uid="{00000000-0005-0000-0000-0000093B0000}"/>
    <cellStyle name="Normal 13 4 3" xfId="2518" xr:uid="{00000000-0005-0000-0000-00000A3B0000}"/>
    <cellStyle name="Normal 13 5" xfId="2519" xr:uid="{00000000-0005-0000-0000-00000B3B0000}"/>
    <cellStyle name="Normal 13 6" xfId="2520" xr:uid="{00000000-0005-0000-0000-00000C3B0000}"/>
    <cellStyle name="Normal 13 7" xfId="2521" xr:uid="{00000000-0005-0000-0000-00000D3B0000}"/>
    <cellStyle name="Normal 13 8" xfId="2522" xr:uid="{00000000-0005-0000-0000-00000E3B0000}"/>
    <cellStyle name="Normal 13 9" xfId="6586" xr:uid="{00000000-0005-0000-0000-00000F3B0000}"/>
    <cellStyle name="Normal 130" xfId="12150" xr:uid="{00000000-0005-0000-0000-0000103B0000}"/>
    <cellStyle name="Normal 131" xfId="12165" xr:uid="{00000000-0005-0000-0000-0000113B0000}"/>
    <cellStyle name="Normal 132" xfId="19906" xr:uid="{61A0BB0F-0EDA-492E-A13C-0EC8124E67C6}"/>
    <cellStyle name="Normal 133" xfId="19908" xr:uid="{D11FCC16-2167-4A0F-8D70-83334EF5E37D}"/>
    <cellStyle name="Normal 134" xfId="19905" xr:uid="{5B978BFF-71F9-41D5-906B-BE8907B87CDF}"/>
    <cellStyle name="Normal 135" xfId="19907" xr:uid="{EB31F02A-D04F-49B3-81C0-67D2519B267D}"/>
    <cellStyle name="Normal 136" xfId="19909" xr:uid="{54157E04-386F-43A1-ACEB-A4038185C58F}"/>
    <cellStyle name="Normal 14" xfId="1648" xr:uid="{00000000-0005-0000-0000-0000123B0000}"/>
    <cellStyle name="Normal 14 2" xfId="1649" xr:uid="{00000000-0005-0000-0000-0000133B0000}"/>
    <cellStyle name="Normal 14 2 2" xfId="1650" xr:uid="{00000000-0005-0000-0000-0000143B0000}"/>
    <cellStyle name="Normal 14 2 2 2" xfId="2523" xr:uid="{00000000-0005-0000-0000-0000153B0000}"/>
    <cellStyle name="Normal 14 2 2 3" xfId="2524" xr:uid="{00000000-0005-0000-0000-0000163B0000}"/>
    <cellStyle name="Normal 14 2 2 4" xfId="2525" xr:uid="{00000000-0005-0000-0000-0000173B0000}"/>
    <cellStyle name="Normal 14 2 3" xfId="2526" xr:uid="{00000000-0005-0000-0000-0000183B0000}"/>
    <cellStyle name="Normal 14 2 3 2" xfId="2527" xr:uid="{00000000-0005-0000-0000-0000193B0000}"/>
    <cellStyle name="Normal 14 2 4" xfId="2528" xr:uid="{00000000-0005-0000-0000-00001A3B0000}"/>
    <cellStyle name="Normal 14 2 5" xfId="2529" xr:uid="{00000000-0005-0000-0000-00001B3B0000}"/>
    <cellStyle name="Normal 14 3" xfId="1651" xr:uid="{00000000-0005-0000-0000-00001C3B0000}"/>
    <cellStyle name="Normal 14 4" xfId="1652" xr:uid="{00000000-0005-0000-0000-00001D3B0000}"/>
    <cellStyle name="Normal 14 5" xfId="2530" xr:uid="{00000000-0005-0000-0000-00001E3B0000}"/>
    <cellStyle name="Normal 14 6" xfId="2531" xr:uid="{00000000-0005-0000-0000-00001F3B0000}"/>
    <cellStyle name="Normal 15" xfId="1653" xr:uid="{00000000-0005-0000-0000-0000203B0000}"/>
    <cellStyle name="Normal 15 2" xfId="1654" xr:uid="{00000000-0005-0000-0000-0000213B0000}"/>
    <cellStyle name="Normal 15 2 2" xfId="1655" xr:uid="{00000000-0005-0000-0000-0000223B0000}"/>
    <cellStyle name="Normal 15 2 2 2" xfId="2532" xr:uid="{00000000-0005-0000-0000-0000233B0000}"/>
    <cellStyle name="Normal 15 2 2 3" xfId="2533" xr:uid="{00000000-0005-0000-0000-0000243B0000}"/>
    <cellStyle name="Normal 15 2 2 4" xfId="2534" xr:uid="{00000000-0005-0000-0000-0000253B0000}"/>
    <cellStyle name="Normal 15 2 3" xfId="2535" xr:uid="{00000000-0005-0000-0000-0000263B0000}"/>
    <cellStyle name="Normal 15 2 3 2" xfId="2536" xr:uid="{00000000-0005-0000-0000-0000273B0000}"/>
    <cellStyle name="Normal 15 2 4" xfId="2537" xr:uid="{00000000-0005-0000-0000-0000283B0000}"/>
    <cellStyle name="Normal 15 2 5" xfId="2538" xr:uid="{00000000-0005-0000-0000-0000293B0000}"/>
    <cellStyle name="Normal 15 3" xfId="1656" xr:uid="{00000000-0005-0000-0000-00002A3B0000}"/>
    <cellStyle name="Normal 15 3 2" xfId="2539" xr:uid="{00000000-0005-0000-0000-00002B3B0000}"/>
    <cellStyle name="Normal 15 3 2 2" xfId="2540" xr:uid="{00000000-0005-0000-0000-00002C3B0000}"/>
    <cellStyle name="Normal 15 3 3" xfId="2541" xr:uid="{00000000-0005-0000-0000-00002D3B0000}"/>
    <cellStyle name="Normal 15 3 3 2" xfId="2542" xr:uid="{00000000-0005-0000-0000-00002E3B0000}"/>
    <cellStyle name="Normal 15 3 4" xfId="2543" xr:uid="{00000000-0005-0000-0000-00002F3B0000}"/>
    <cellStyle name="Normal 15 3 5" xfId="2544" xr:uid="{00000000-0005-0000-0000-0000303B0000}"/>
    <cellStyle name="Normal 15 4" xfId="1657" xr:uid="{00000000-0005-0000-0000-0000313B0000}"/>
    <cellStyle name="Normal 15 5" xfId="2545" xr:uid="{00000000-0005-0000-0000-0000323B0000}"/>
    <cellStyle name="Normal 15 6" xfId="2546" xr:uid="{00000000-0005-0000-0000-0000333B0000}"/>
    <cellStyle name="Normal 16" xfId="1658" xr:uid="{00000000-0005-0000-0000-0000343B0000}"/>
    <cellStyle name="Normal 16 2" xfId="1659" xr:uid="{00000000-0005-0000-0000-0000353B0000}"/>
    <cellStyle name="Normal 16 2 2" xfId="2547" xr:uid="{00000000-0005-0000-0000-0000363B0000}"/>
    <cellStyle name="Normal 16 2 2 2" xfId="2548" xr:uid="{00000000-0005-0000-0000-0000373B0000}"/>
    <cellStyle name="Normal 16 2 2 3" xfId="2549" xr:uid="{00000000-0005-0000-0000-0000383B0000}"/>
    <cellStyle name="Normal 16 2 3" xfId="2550" xr:uid="{00000000-0005-0000-0000-0000393B0000}"/>
    <cellStyle name="Normal 16 2 3 2" xfId="2551" xr:uid="{00000000-0005-0000-0000-00003A3B0000}"/>
    <cellStyle name="Normal 16 2 4" xfId="2552" xr:uid="{00000000-0005-0000-0000-00003B3B0000}"/>
    <cellStyle name="Normal 16 2 5" xfId="2553" xr:uid="{00000000-0005-0000-0000-00003C3B0000}"/>
    <cellStyle name="Normal 16 3" xfId="2554" xr:uid="{00000000-0005-0000-0000-00003D3B0000}"/>
    <cellStyle name="Normal 16 4" xfId="2555" xr:uid="{00000000-0005-0000-0000-00003E3B0000}"/>
    <cellStyle name="Normal 16 5" xfId="2556" xr:uid="{00000000-0005-0000-0000-00003F3B0000}"/>
    <cellStyle name="Normal 16 6" xfId="6587" xr:uid="{00000000-0005-0000-0000-0000403B0000}"/>
    <cellStyle name="Normal 17" xfId="1660" xr:uid="{00000000-0005-0000-0000-0000413B0000}"/>
    <cellStyle name="Normal 17 2" xfId="1661" xr:uid="{00000000-0005-0000-0000-0000423B0000}"/>
    <cellStyle name="Normal 17 2 2" xfId="2557" xr:uid="{00000000-0005-0000-0000-0000433B0000}"/>
    <cellStyle name="Normal 17 2 3" xfId="2558" xr:uid="{00000000-0005-0000-0000-0000443B0000}"/>
    <cellStyle name="Normal 17 3" xfId="1662" xr:uid="{00000000-0005-0000-0000-0000453B0000}"/>
    <cellStyle name="Normal 17 4" xfId="2559" xr:uid="{00000000-0005-0000-0000-0000463B0000}"/>
    <cellStyle name="Normal 17 5" xfId="2560" xr:uid="{00000000-0005-0000-0000-0000473B0000}"/>
    <cellStyle name="Normal 17 6" xfId="2561" xr:uid="{00000000-0005-0000-0000-0000483B0000}"/>
    <cellStyle name="Normal 17 7" xfId="6588" xr:uid="{00000000-0005-0000-0000-0000493B0000}"/>
    <cellStyle name="Normal 18" xfId="1663" xr:uid="{00000000-0005-0000-0000-00004A3B0000}"/>
    <cellStyle name="Normal 18 2" xfId="1664" xr:uid="{00000000-0005-0000-0000-00004B3B0000}"/>
    <cellStyle name="Normal 18 2 2" xfId="2562" xr:uid="{00000000-0005-0000-0000-00004C3B0000}"/>
    <cellStyle name="Normal 18 2 3" xfId="2563" xr:uid="{00000000-0005-0000-0000-00004D3B0000}"/>
    <cellStyle name="Normal 18 3" xfId="1665" xr:uid="{00000000-0005-0000-0000-00004E3B0000}"/>
    <cellStyle name="Normal 18 4" xfId="2564" xr:uid="{00000000-0005-0000-0000-00004F3B0000}"/>
    <cellStyle name="Normal 18 5" xfId="2565" xr:uid="{00000000-0005-0000-0000-0000503B0000}"/>
    <cellStyle name="Normal 18 6" xfId="6589" xr:uid="{00000000-0005-0000-0000-0000513B0000}"/>
    <cellStyle name="Normal 19" xfId="1666" xr:uid="{00000000-0005-0000-0000-0000523B0000}"/>
    <cellStyle name="Normal 19 2" xfId="1667" xr:uid="{00000000-0005-0000-0000-0000533B0000}"/>
    <cellStyle name="Normal 19 2 2" xfId="2566" xr:uid="{00000000-0005-0000-0000-0000543B0000}"/>
    <cellStyle name="Normal 19 2 2 2" xfId="2567" xr:uid="{00000000-0005-0000-0000-0000553B0000}"/>
    <cellStyle name="Normal 19 2 3" xfId="2568" xr:uid="{00000000-0005-0000-0000-0000563B0000}"/>
    <cellStyle name="Normal 19 3" xfId="2569" xr:uid="{00000000-0005-0000-0000-0000573B0000}"/>
    <cellStyle name="Normal 19 3 2" xfId="2570" xr:uid="{00000000-0005-0000-0000-0000583B0000}"/>
    <cellStyle name="Normal 19 4" xfId="2571" xr:uid="{00000000-0005-0000-0000-0000593B0000}"/>
    <cellStyle name="Normal 19 5" xfId="2572" xr:uid="{00000000-0005-0000-0000-00005A3B0000}"/>
    <cellStyle name="Normal 19 6" xfId="2573" xr:uid="{00000000-0005-0000-0000-00005B3B0000}"/>
    <cellStyle name="Normal 19 7" xfId="6590" xr:uid="{00000000-0005-0000-0000-00005C3B0000}"/>
    <cellStyle name="Normal 2" xfId="3" xr:uid="{00000000-0005-0000-0000-00005D3B0000}"/>
    <cellStyle name="Normal 2 10" xfId="1668" xr:uid="{00000000-0005-0000-0000-00005E3B0000}"/>
    <cellStyle name="Normal 2 10 2" xfId="8198" xr:uid="{00000000-0005-0000-0000-00005F3B0000}"/>
    <cellStyle name="Normal 2 10 3" xfId="6591" xr:uid="{00000000-0005-0000-0000-0000603B0000}"/>
    <cellStyle name="Normal 2 11" xfId="2574" xr:uid="{00000000-0005-0000-0000-0000613B0000}"/>
    <cellStyle name="Normal 2 12" xfId="2575" xr:uid="{00000000-0005-0000-0000-0000623B0000}"/>
    <cellStyle name="Normal 2 12 2" xfId="6592" xr:uid="{00000000-0005-0000-0000-0000633B0000}"/>
    <cellStyle name="Normal 2 13" xfId="6593" xr:uid="{00000000-0005-0000-0000-0000643B0000}"/>
    <cellStyle name="Normal 2 14" xfId="6594" xr:uid="{00000000-0005-0000-0000-0000653B0000}"/>
    <cellStyle name="Normal 2 15" xfId="6595" xr:uid="{00000000-0005-0000-0000-0000663B0000}"/>
    <cellStyle name="Normal 2 16" xfId="6596" xr:uid="{00000000-0005-0000-0000-0000673B0000}"/>
    <cellStyle name="Normal 2 2" xfId="4" xr:uid="{00000000-0005-0000-0000-0000683B0000}"/>
    <cellStyle name="Normal 2 2 10" xfId="6597" xr:uid="{00000000-0005-0000-0000-0000693B0000}"/>
    <cellStyle name="Normal 2 2 10 2" xfId="8199" xr:uid="{00000000-0005-0000-0000-00006A3B0000}"/>
    <cellStyle name="Normal 2 2 2" xfId="165" xr:uid="{00000000-0005-0000-0000-00006B3B0000}"/>
    <cellStyle name="Normal 2 2 2 2" xfId="2576" xr:uid="{00000000-0005-0000-0000-00006C3B0000}"/>
    <cellStyle name="Normal 2 2 2 3" xfId="2577" xr:uid="{00000000-0005-0000-0000-00006D3B0000}"/>
    <cellStyle name="Normal 2 2 2 4" xfId="2578" xr:uid="{00000000-0005-0000-0000-00006E3B0000}"/>
    <cellStyle name="Normal 2 2 2 5" xfId="2579" xr:uid="{00000000-0005-0000-0000-00006F3B0000}"/>
    <cellStyle name="Normal 2 2 2 6" xfId="2580" xr:uid="{00000000-0005-0000-0000-0000703B0000}"/>
    <cellStyle name="Normal 2 2 2 7" xfId="2581" xr:uid="{00000000-0005-0000-0000-0000713B0000}"/>
    <cellStyle name="Normal 2 2 3" xfId="1669" xr:uid="{00000000-0005-0000-0000-0000723B0000}"/>
    <cellStyle name="Normal 2 2 3 2" xfId="2582" xr:uid="{00000000-0005-0000-0000-0000733B0000}"/>
    <cellStyle name="Normal 2 2 4" xfId="1670" xr:uid="{00000000-0005-0000-0000-0000743B0000}"/>
    <cellStyle name="Normal 2 2 4 2" xfId="2583" xr:uid="{00000000-0005-0000-0000-0000753B0000}"/>
    <cellStyle name="Normal 2 2 4 3" xfId="2584" xr:uid="{00000000-0005-0000-0000-0000763B0000}"/>
    <cellStyle name="Normal 2 2 5" xfId="1671" xr:uid="{00000000-0005-0000-0000-0000773B0000}"/>
    <cellStyle name="Normal 2 2 5 2" xfId="8200" xr:uid="{00000000-0005-0000-0000-0000783B0000}"/>
    <cellStyle name="Normal 2 2 5 3" xfId="6598" xr:uid="{00000000-0005-0000-0000-0000793B0000}"/>
    <cellStyle name="Normal 2 2 6" xfId="2585" xr:uid="{00000000-0005-0000-0000-00007A3B0000}"/>
    <cellStyle name="Normal 2 2 6 2" xfId="8201" xr:uid="{00000000-0005-0000-0000-00007B3B0000}"/>
    <cellStyle name="Normal 2 2 6 3" xfId="6599" xr:uid="{00000000-0005-0000-0000-00007C3B0000}"/>
    <cellStyle name="Normal 2 2 7" xfId="2586" xr:uid="{00000000-0005-0000-0000-00007D3B0000}"/>
    <cellStyle name="Normal 2 2 7 2" xfId="8202" xr:uid="{00000000-0005-0000-0000-00007E3B0000}"/>
    <cellStyle name="Normal 2 2 8" xfId="6600" xr:uid="{00000000-0005-0000-0000-00007F3B0000}"/>
    <cellStyle name="Normal 2 2 8 2" xfId="8203" xr:uid="{00000000-0005-0000-0000-0000803B0000}"/>
    <cellStyle name="Normal 2 2 9" xfId="6601" xr:uid="{00000000-0005-0000-0000-0000813B0000}"/>
    <cellStyle name="Normal 2 2 9 2" xfId="8204" xr:uid="{00000000-0005-0000-0000-0000823B0000}"/>
    <cellStyle name="Normal 2 2_EDB010" xfId="1672" xr:uid="{00000000-0005-0000-0000-0000833B0000}"/>
    <cellStyle name="Normal 2 3" xfId="166" xr:uid="{00000000-0005-0000-0000-0000843B0000}"/>
    <cellStyle name="Normal 2 3 2" xfId="434" xr:uid="{00000000-0005-0000-0000-0000853B0000}"/>
    <cellStyle name="Normal 2 3 2 2" xfId="2587" xr:uid="{00000000-0005-0000-0000-0000863B0000}"/>
    <cellStyle name="Normal 2 3 2 2 2" xfId="8205" xr:uid="{00000000-0005-0000-0000-0000873B0000}"/>
    <cellStyle name="Normal 2 3 2 3" xfId="2588" xr:uid="{00000000-0005-0000-0000-0000883B0000}"/>
    <cellStyle name="Normal 2 3 2 4" xfId="2589" xr:uid="{00000000-0005-0000-0000-0000893B0000}"/>
    <cellStyle name="Normal 2 3 3" xfId="1673" xr:uid="{00000000-0005-0000-0000-00008A3B0000}"/>
    <cellStyle name="Normal 2 3 3 2" xfId="8206" xr:uid="{00000000-0005-0000-0000-00008B3B0000}"/>
    <cellStyle name="Normal 2 3 3 3" xfId="6602" xr:uid="{00000000-0005-0000-0000-00008C3B0000}"/>
    <cellStyle name="Normal 2 3 4" xfId="2590" xr:uid="{00000000-0005-0000-0000-00008D3B0000}"/>
    <cellStyle name="Normal 2 3 4 2" xfId="8207" xr:uid="{00000000-0005-0000-0000-00008E3B0000}"/>
    <cellStyle name="Normal 2 3 4 3" xfId="6603" xr:uid="{00000000-0005-0000-0000-00008F3B0000}"/>
    <cellStyle name="Normal 2 3 5" xfId="2591" xr:uid="{00000000-0005-0000-0000-0000903B0000}"/>
    <cellStyle name="Normal 2 3 5 2" xfId="8208" xr:uid="{00000000-0005-0000-0000-0000913B0000}"/>
    <cellStyle name="Normal 2 3 5 3" xfId="6604" xr:uid="{00000000-0005-0000-0000-0000923B0000}"/>
    <cellStyle name="Normal 2 3 6" xfId="2592" xr:uid="{00000000-0005-0000-0000-0000933B0000}"/>
    <cellStyle name="Normal 2 3 6 2" xfId="8209" xr:uid="{00000000-0005-0000-0000-0000943B0000}"/>
    <cellStyle name="Normal 2 3 7" xfId="6605" xr:uid="{00000000-0005-0000-0000-0000953B0000}"/>
    <cellStyle name="Normal 2 3 7 2" xfId="8210" xr:uid="{00000000-0005-0000-0000-0000963B0000}"/>
    <cellStyle name="Normal 2 3 8" xfId="6606" xr:uid="{00000000-0005-0000-0000-0000973B0000}"/>
    <cellStyle name="Normal 2 3 8 2" xfId="8211" xr:uid="{00000000-0005-0000-0000-0000983B0000}"/>
    <cellStyle name="Normal 2 3 9" xfId="6607" xr:uid="{00000000-0005-0000-0000-0000993B0000}"/>
    <cellStyle name="Normal 2 3 9 2" xfId="8212" xr:uid="{00000000-0005-0000-0000-00009A3B0000}"/>
    <cellStyle name="Normal 2 4" xfId="51" xr:uid="{00000000-0005-0000-0000-00009B3B0000}"/>
    <cellStyle name="Normal 2 4 2" xfId="2593" xr:uid="{00000000-0005-0000-0000-00009C3B0000}"/>
    <cellStyle name="Normal 2 4 2 2" xfId="2594" xr:uid="{00000000-0005-0000-0000-00009D3B0000}"/>
    <cellStyle name="Normal 2 4 2 2 2" xfId="8213" xr:uid="{00000000-0005-0000-0000-00009E3B0000}"/>
    <cellStyle name="Normal 2 4 2 3" xfId="2595" xr:uid="{00000000-0005-0000-0000-00009F3B0000}"/>
    <cellStyle name="Normal 2 4 3" xfId="2596" xr:uid="{00000000-0005-0000-0000-0000A03B0000}"/>
    <cellStyle name="Normal 2 4 3 2" xfId="8214" xr:uid="{00000000-0005-0000-0000-0000A13B0000}"/>
    <cellStyle name="Normal 2 4 3 3" xfId="6608" xr:uid="{00000000-0005-0000-0000-0000A23B0000}"/>
    <cellStyle name="Normal 2 4 4" xfId="2597" xr:uid="{00000000-0005-0000-0000-0000A33B0000}"/>
    <cellStyle name="Normal 2 4 4 2" xfId="8215" xr:uid="{00000000-0005-0000-0000-0000A43B0000}"/>
    <cellStyle name="Normal 2 4 5" xfId="6609" xr:uid="{00000000-0005-0000-0000-0000A53B0000}"/>
    <cellStyle name="Normal 2 4 5 2" xfId="8216" xr:uid="{00000000-0005-0000-0000-0000A63B0000}"/>
    <cellStyle name="Normal 2 4 6" xfId="6610" xr:uid="{00000000-0005-0000-0000-0000A73B0000}"/>
    <cellStyle name="Normal 2 4 6 2" xfId="8217" xr:uid="{00000000-0005-0000-0000-0000A83B0000}"/>
    <cellStyle name="Normal 2 4 7" xfId="6611" xr:uid="{00000000-0005-0000-0000-0000A93B0000}"/>
    <cellStyle name="Normal 2 4 7 2" xfId="8218" xr:uid="{00000000-0005-0000-0000-0000AA3B0000}"/>
    <cellStyle name="Normal 2 4 8" xfId="6612" xr:uid="{00000000-0005-0000-0000-0000AB3B0000}"/>
    <cellStyle name="Normal 2 4 8 2" xfId="8219" xr:uid="{00000000-0005-0000-0000-0000AC3B0000}"/>
    <cellStyle name="Normal 2 4 9" xfId="6613" xr:uid="{00000000-0005-0000-0000-0000AD3B0000}"/>
    <cellStyle name="Normal 2 4 9 2" xfId="8220" xr:uid="{00000000-0005-0000-0000-0000AE3B0000}"/>
    <cellStyle name="Normal 2 5" xfId="1674" xr:uid="{00000000-0005-0000-0000-0000AF3B0000}"/>
    <cellStyle name="Normal 2 5 2" xfId="2598" xr:uid="{00000000-0005-0000-0000-0000B03B0000}"/>
    <cellStyle name="Normal 2 5 2 2" xfId="2599" xr:uid="{00000000-0005-0000-0000-0000B13B0000}"/>
    <cellStyle name="Normal 2 5 2 2 2" xfId="8221" xr:uid="{00000000-0005-0000-0000-0000B23B0000}"/>
    <cellStyle name="Normal 2 5 2 3" xfId="2600" xr:uid="{00000000-0005-0000-0000-0000B33B0000}"/>
    <cellStyle name="Normal 2 5 3" xfId="2601" xr:uid="{00000000-0005-0000-0000-0000B43B0000}"/>
    <cellStyle name="Normal 2 5 3 2" xfId="8222" xr:uid="{00000000-0005-0000-0000-0000B53B0000}"/>
    <cellStyle name="Normal 2 5 3 3" xfId="6614" xr:uid="{00000000-0005-0000-0000-0000B63B0000}"/>
    <cellStyle name="Normal 2 5 4" xfId="2602" xr:uid="{00000000-0005-0000-0000-0000B73B0000}"/>
    <cellStyle name="Normal 2 5 4 2" xfId="8223" xr:uid="{00000000-0005-0000-0000-0000B83B0000}"/>
    <cellStyle name="Normal 2 5 5" xfId="6615" xr:uid="{00000000-0005-0000-0000-0000B93B0000}"/>
    <cellStyle name="Normal 2 5 5 2" xfId="8224" xr:uid="{00000000-0005-0000-0000-0000BA3B0000}"/>
    <cellStyle name="Normal 2 6" xfId="1675" xr:uid="{00000000-0005-0000-0000-0000BB3B0000}"/>
    <cellStyle name="Normal 2 6 2" xfId="2603" xr:uid="{00000000-0005-0000-0000-0000BC3B0000}"/>
    <cellStyle name="Normal 2 6 2 2" xfId="2604" xr:uid="{00000000-0005-0000-0000-0000BD3B0000}"/>
    <cellStyle name="Normal 2 6 3" xfId="2605" xr:uid="{00000000-0005-0000-0000-0000BE3B0000}"/>
    <cellStyle name="Normal 2 6 3 2" xfId="2606" xr:uid="{00000000-0005-0000-0000-0000BF3B0000}"/>
    <cellStyle name="Normal 2 6 4" xfId="2607" xr:uid="{00000000-0005-0000-0000-0000C03B0000}"/>
    <cellStyle name="Normal 2 6 4 2" xfId="8225" xr:uid="{00000000-0005-0000-0000-0000C13B0000}"/>
    <cellStyle name="Normal 2 6 5" xfId="2608" xr:uid="{00000000-0005-0000-0000-0000C23B0000}"/>
    <cellStyle name="Normal 2 6 5 2" xfId="8226" xr:uid="{00000000-0005-0000-0000-0000C33B0000}"/>
    <cellStyle name="Normal 2 6 5 3" xfId="6616" xr:uid="{00000000-0005-0000-0000-0000C43B0000}"/>
    <cellStyle name="Normal 2 6 6" xfId="2609" xr:uid="{00000000-0005-0000-0000-0000C53B0000}"/>
    <cellStyle name="Normal 2 7" xfId="1676" xr:uid="{00000000-0005-0000-0000-0000C63B0000}"/>
    <cellStyle name="Normal 2 7 2" xfId="2610" xr:uid="{00000000-0005-0000-0000-0000C73B0000}"/>
    <cellStyle name="Normal 2 7 2 2" xfId="8227" xr:uid="{00000000-0005-0000-0000-0000C83B0000}"/>
    <cellStyle name="Normal 2 7 3" xfId="2611" xr:uid="{00000000-0005-0000-0000-0000C93B0000}"/>
    <cellStyle name="Normal 2 7 4" xfId="2612" xr:uid="{00000000-0005-0000-0000-0000CA3B0000}"/>
    <cellStyle name="Normal 2 8" xfId="1677" xr:uid="{00000000-0005-0000-0000-0000CB3B0000}"/>
    <cellStyle name="Normal 2 8 2" xfId="2613" xr:uid="{00000000-0005-0000-0000-0000CC3B0000}"/>
    <cellStyle name="Normal 2 8 2 2" xfId="8228" xr:uid="{00000000-0005-0000-0000-0000CD3B0000}"/>
    <cellStyle name="Normal 2 8 3" xfId="2614" xr:uid="{00000000-0005-0000-0000-0000CE3B0000}"/>
    <cellStyle name="Normal 2 8 4" xfId="6617" xr:uid="{00000000-0005-0000-0000-0000CF3B0000}"/>
    <cellStyle name="Normal 2 9" xfId="1678" xr:uid="{00000000-0005-0000-0000-0000D03B0000}"/>
    <cellStyle name="Normal 2 9 2" xfId="2615" xr:uid="{00000000-0005-0000-0000-0000D13B0000}"/>
    <cellStyle name="Normal 2 9 2 2" xfId="8229" xr:uid="{00000000-0005-0000-0000-0000D23B0000}"/>
    <cellStyle name="Normal 2 9 3" xfId="6618" xr:uid="{00000000-0005-0000-0000-0000D33B0000}"/>
    <cellStyle name="Normal 2_Asset Register Jan 10 for Depreciation" xfId="2616" xr:uid="{00000000-0005-0000-0000-0000D43B0000}"/>
    <cellStyle name="Normal 20" xfId="1679" xr:uid="{00000000-0005-0000-0000-0000D53B0000}"/>
    <cellStyle name="Normal 20 2" xfId="1680" xr:uid="{00000000-0005-0000-0000-0000D63B0000}"/>
    <cellStyle name="Normal 20 2 2" xfId="2617" xr:uid="{00000000-0005-0000-0000-0000D73B0000}"/>
    <cellStyle name="Normal 20 2 2 2" xfId="2618" xr:uid="{00000000-0005-0000-0000-0000D83B0000}"/>
    <cellStyle name="Normal 20 2 3" xfId="2619" xr:uid="{00000000-0005-0000-0000-0000D93B0000}"/>
    <cellStyle name="Normal 20 3" xfId="2620" xr:uid="{00000000-0005-0000-0000-0000DA3B0000}"/>
    <cellStyle name="Normal 20 3 2" xfId="2621" xr:uid="{00000000-0005-0000-0000-0000DB3B0000}"/>
    <cellStyle name="Normal 20 4" xfId="2622" xr:uid="{00000000-0005-0000-0000-0000DC3B0000}"/>
    <cellStyle name="Normal 20 5" xfId="2623" xr:uid="{00000000-0005-0000-0000-0000DD3B0000}"/>
    <cellStyle name="Normal 21" xfId="1681" xr:uid="{00000000-0005-0000-0000-0000DE3B0000}"/>
    <cellStyle name="Normal 21 2" xfId="2624" xr:uid="{00000000-0005-0000-0000-0000DF3B0000}"/>
    <cellStyle name="Normal 21 2 2" xfId="2625" xr:uid="{00000000-0005-0000-0000-0000E03B0000}"/>
    <cellStyle name="Normal 21 2 2 2" xfId="2626" xr:uid="{00000000-0005-0000-0000-0000E13B0000}"/>
    <cellStyle name="Normal 21 2 3" xfId="8230" xr:uid="{00000000-0005-0000-0000-0000E23B0000}"/>
    <cellStyle name="Normal 21 3" xfId="2627" xr:uid="{00000000-0005-0000-0000-0000E33B0000}"/>
    <cellStyle name="Normal 21 3 2" xfId="2628" xr:uid="{00000000-0005-0000-0000-0000E43B0000}"/>
    <cellStyle name="Normal 21 4" xfId="2629" xr:uid="{00000000-0005-0000-0000-0000E53B0000}"/>
    <cellStyle name="Normal 21 5" xfId="2630" xr:uid="{00000000-0005-0000-0000-0000E63B0000}"/>
    <cellStyle name="Normal 21 6" xfId="2631" xr:uid="{00000000-0005-0000-0000-0000E73B0000}"/>
    <cellStyle name="Normal 21 7" xfId="6619" xr:uid="{00000000-0005-0000-0000-0000E83B0000}"/>
    <cellStyle name="Normal 22" xfId="1682" xr:uid="{00000000-0005-0000-0000-0000E93B0000}"/>
    <cellStyle name="Normal 22 2" xfId="2632" xr:uid="{00000000-0005-0000-0000-0000EA3B0000}"/>
    <cellStyle name="Normal 22 2 2" xfId="2633" xr:uid="{00000000-0005-0000-0000-0000EB3B0000}"/>
    <cellStyle name="Normal 22 3" xfId="2634" xr:uid="{00000000-0005-0000-0000-0000EC3B0000}"/>
    <cellStyle name="Normal 22 4" xfId="2635" xr:uid="{00000000-0005-0000-0000-0000ED3B0000}"/>
    <cellStyle name="Normal 23" xfId="1683" xr:uid="{00000000-0005-0000-0000-0000EE3B0000}"/>
    <cellStyle name="Normal 23 2" xfId="2636" xr:uid="{00000000-0005-0000-0000-0000EF3B0000}"/>
    <cellStyle name="Normal 23 2 2" xfId="2637" xr:uid="{00000000-0005-0000-0000-0000F03B0000}"/>
    <cellStyle name="Normal 23 3" xfId="2638" xr:uid="{00000000-0005-0000-0000-0000F13B0000}"/>
    <cellStyle name="Normal 23 4" xfId="2639" xr:uid="{00000000-0005-0000-0000-0000F23B0000}"/>
    <cellStyle name="Normal 23 5" xfId="2640" xr:uid="{00000000-0005-0000-0000-0000F33B0000}"/>
    <cellStyle name="Normal 24" xfId="1684" xr:uid="{00000000-0005-0000-0000-0000F43B0000}"/>
    <cellStyle name="Normal 24 2" xfId="2641" xr:uid="{00000000-0005-0000-0000-0000F53B0000}"/>
    <cellStyle name="Normal 24 2 2" xfId="2642" xr:uid="{00000000-0005-0000-0000-0000F63B0000}"/>
    <cellStyle name="Normal 24 3" xfId="2643" xr:uid="{00000000-0005-0000-0000-0000F73B0000}"/>
    <cellStyle name="Normal 24 4" xfId="2644" xr:uid="{00000000-0005-0000-0000-0000F83B0000}"/>
    <cellStyle name="Normal 25" xfId="1685" xr:uid="{00000000-0005-0000-0000-0000F93B0000}"/>
    <cellStyle name="Normal 25 2" xfId="2645" xr:uid="{00000000-0005-0000-0000-0000FA3B0000}"/>
    <cellStyle name="Normal 25 2 2" xfId="2646" xr:uid="{00000000-0005-0000-0000-0000FB3B0000}"/>
    <cellStyle name="Normal 25 3" xfId="2647" xr:uid="{00000000-0005-0000-0000-0000FC3B0000}"/>
    <cellStyle name="Normal 25 4" xfId="2648" xr:uid="{00000000-0005-0000-0000-0000FD3B0000}"/>
    <cellStyle name="Normal 26" xfId="1686" xr:uid="{00000000-0005-0000-0000-0000FE3B0000}"/>
    <cellStyle name="Normal 26 2" xfId="2649" xr:uid="{00000000-0005-0000-0000-0000FF3B0000}"/>
    <cellStyle name="Normal 26 2 2" xfId="2650" xr:uid="{00000000-0005-0000-0000-0000003C0000}"/>
    <cellStyle name="Normal 26 3" xfId="2651" xr:uid="{00000000-0005-0000-0000-0000013C0000}"/>
    <cellStyle name="Normal 27" xfId="1687" xr:uid="{00000000-0005-0000-0000-0000023C0000}"/>
    <cellStyle name="Normal 27 2" xfId="2652" xr:uid="{00000000-0005-0000-0000-0000033C0000}"/>
    <cellStyle name="Normal 27 2 2" xfId="2653" xr:uid="{00000000-0005-0000-0000-0000043C0000}"/>
    <cellStyle name="Normal 27 3" xfId="2654" xr:uid="{00000000-0005-0000-0000-0000053C0000}"/>
    <cellStyle name="Normal 28" xfId="1688" xr:uid="{00000000-0005-0000-0000-0000063C0000}"/>
    <cellStyle name="Normal 28 2" xfId="2655" xr:uid="{00000000-0005-0000-0000-0000073C0000}"/>
    <cellStyle name="Normal 28 2 2" xfId="2656" xr:uid="{00000000-0005-0000-0000-0000083C0000}"/>
    <cellStyle name="Normal 28 3" xfId="2657" xr:uid="{00000000-0005-0000-0000-0000093C0000}"/>
    <cellStyle name="Normal 29" xfId="1689" xr:uid="{00000000-0005-0000-0000-00000A3C0000}"/>
    <cellStyle name="Normal 29 2" xfId="2658" xr:uid="{00000000-0005-0000-0000-00000B3C0000}"/>
    <cellStyle name="Normal 29 2 2" xfId="2659" xr:uid="{00000000-0005-0000-0000-00000C3C0000}"/>
    <cellStyle name="Normal 29 3" xfId="2660" xr:uid="{00000000-0005-0000-0000-00000D3C0000}"/>
    <cellStyle name="Normal 3" xfId="47" xr:uid="{00000000-0005-0000-0000-00000E3C0000}"/>
    <cellStyle name="Normal 3 2" xfId="167" xr:uid="{00000000-0005-0000-0000-00000F3C0000}"/>
    <cellStyle name="Normal 3 2 2" xfId="52" xr:uid="{00000000-0005-0000-0000-0000103C0000}"/>
    <cellStyle name="Normal 3 2 2 2" xfId="2661" xr:uid="{00000000-0005-0000-0000-0000113C0000}"/>
    <cellStyle name="Normal 3 2 2 2 2" xfId="2662" xr:uid="{00000000-0005-0000-0000-0000123C0000}"/>
    <cellStyle name="Normal 3 2 2 3" xfId="2663" xr:uid="{00000000-0005-0000-0000-0000133C0000}"/>
    <cellStyle name="Normal 3 2 2 3 2" xfId="2664" xr:uid="{00000000-0005-0000-0000-0000143C0000}"/>
    <cellStyle name="Normal 3 2 2 3 3" xfId="2665" xr:uid="{00000000-0005-0000-0000-0000153C0000}"/>
    <cellStyle name="Normal 3 2 2 4" xfId="2666" xr:uid="{00000000-0005-0000-0000-0000163C0000}"/>
    <cellStyle name="Normal 3 2 2 4 2" xfId="2667" xr:uid="{00000000-0005-0000-0000-0000173C0000}"/>
    <cellStyle name="Normal 3 2 2 5" xfId="2668" xr:uid="{00000000-0005-0000-0000-0000183C0000}"/>
    <cellStyle name="Normal 3 2 2 6" xfId="2669" xr:uid="{00000000-0005-0000-0000-0000193C0000}"/>
    <cellStyle name="Normal 3 2 2 7" xfId="6620" xr:uid="{00000000-0005-0000-0000-00001A3C0000}"/>
    <cellStyle name="Normal 3 2 3" xfId="2670" xr:uid="{00000000-0005-0000-0000-00001B3C0000}"/>
    <cellStyle name="Normal 3 2 3 2" xfId="2671" xr:uid="{00000000-0005-0000-0000-00001C3C0000}"/>
    <cellStyle name="Normal 3 2 4" xfId="2672" xr:uid="{00000000-0005-0000-0000-00001D3C0000}"/>
    <cellStyle name="Normal 3 2 5" xfId="2673" xr:uid="{00000000-0005-0000-0000-00001E3C0000}"/>
    <cellStyle name="Normal 3 2 6" xfId="2674" xr:uid="{00000000-0005-0000-0000-00001F3C0000}"/>
    <cellStyle name="Normal 3 3" xfId="208" xr:uid="{00000000-0005-0000-0000-0000203C0000}"/>
    <cellStyle name="Normal 3 3 2" xfId="1690" xr:uid="{00000000-0005-0000-0000-0000213C0000}"/>
    <cellStyle name="Normal 3 3 2 2" xfId="2675" xr:uid="{00000000-0005-0000-0000-0000223C0000}"/>
    <cellStyle name="Normal 3 3 2 3" xfId="2676" xr:uid="{00000000-0005-0000-0000-0000233C0000}"/>
    <cellStyle name="Normal 3 3 2 4" xfId="6621" xr:uid="{00000000-0005-0000-0000-0000243C0000}"/>
    <cellStyle name="Normal 3 3 3" xfId="1691" xr:uid="{00000000-0005-0000-0000-0000253C0000}"/>
    <cellStyle name="Normal 3 3 3 2" xfId="2677" xr:uid="{00000000-0005-0000-0000-0000263C0000}"/>
    <cellStyle name="Normal 3 3 3 3" xfId="2678" xr:uid="{00000000-0005-0000-0000-0000273C0000}"/>
    <cellStyle name="Normal 3 3 4" xfId="2679" xr:uid="{00000000-0005-0000-0000-0000283C0000}"/>
    <cellStyle name="Normal 3 3 5" xfId="2680" xr:uid="{00000000-0005-0000-0000-0000293C0000}"/>
    <cellStyle name="Normal 3 3 6" xfId="2681" xr:uid="{00000000-0005-0000-0000-00002A3C0000}"/>
    <cellStyle name="Normal 3 3 7" xfId="2682" xr:uid="{00000000-0005-0000-0000-00002B3C0000}"/>
    <cellStyle name="Normal 3 4" xfId="370" xr:uid="{00000000-0005-0000-0000-00002C3C0000}"/>
    <cellStyle name="Normal 3 4 2" xfId="2683" xr:uid="{00000000-0005-0000-0000-00002D3C0000}"/>
    <cellStyle name="Normal 3 4 3" xfId="2684" xr:uid="{00000000-0005-0000-0000-00002E3C0000}"/>
    <cellStyle name="Normal 3 4 4" xfId="2685" xr:uid="{00000000-0005-0000-0000-00002F3C0000}"/>
    <cellStyle name="Normal 3 5" xfId="1692" xr:uid="{00000000-0005-0000-0000-0000303C0000}"/>
    <cellStyle name="Normal 3 5 2" xfId="2686" xr:uid="{00000000-0005-0000-0000-0000313C0000}"/>
    <cellStyle name="Normal 3 5 3" xfId="6622" xr:uid="{00000000-0005-0000-0000-0000323C0000}"/>
    <cellStyle name="Normal 3 6" xfId="1876" xr:uid="{00000000-0005-0000-0000-0000333C0000}"/>
    <cellStyle name="Normal 3 6 2" xfId="6623" xr:uid="{00000000-0005-0000-0000-0000343C0000}"/>
    <cellStyle name="Normal 3 7" xfId="2687" xr:uid="{00000000-0005-0000-0000-0000353C0000}"/>
    <cellStyle name="Normal 3 8" xfId="2688" xr:uid="{00000000-0005-0000-0000-0000363C0000}"/>
    <cellStyle name="Normal 3_Asset Register Jan 10 for Depreciation" xfId="2689" xr:uid="{00000000-0005-0000-0000-0000373C0000}"/>
    <cellStyle name="Normal 30" xfId="1693" xr:uid="{00000000-0005-0000-0000-0000383C0000}"/>
    <cellStyle name="Normal 30 2" xfId="2690" xr:uid="{00000000-0005-0000-0000-0000393C0000}"/>
    <cellStyle name="Normal 30 2 2" xfId="2691" xr:uid="{00000000-0005-0000-0000-00003A3C0000}"/>
    <cellStyle name="Normal 30 3" xfId="2692" xr:uid="{00000000-0005-0000-0000-00003B3C0000}"/>
    <cellStyle name="Normal 30 4" xfId="2693" xr:uid="{00000000-0005-0000-0000-00003C3C0000}"/>
    <cellStyle name="Normal 31" xfId="1694" xr:uid="{00000000-0005-0000-0000-00003D3C0000}"/>
    <cellStyle name="Normal 31 2" xfId="2694" xr:uid="{00000000-0005-0000-0000-00003E3C0000}"/>
    <cellStyle name="Normal 31 3" xfId="2695" xr:uid="{00000000-0005-0000-0000-00003F3C0000}"/>
    <cellStyle name="Normal 31 3 2" xfId="2696" xr:uid="{00000000-0005-0000-0000-0000403C0000}"/>
    <cellStyle name="Normal 31 4" xfId="2697" xr:uid="{00000000-0005-0000-0000-0000413C0000}"/>
    <cellStyle name="Normal 31 5" xfId="2698" xr:uid="{00000000-0005-0000-0000-0000423C0000}"/>
    <cellStyle name="Normal 32" xfId="1695" xr:uid="{00000000-0005-0000-0000-0000433C0000}"/>
    <cellStyle name="Normal 32 2" xfId="2699" xr:uid="{00000000-0005-0000-0000-0000443C0000}"/>
    <cellStyle name="Normal 32 2 2" xfId="2700" xr:uid="{00000000-0005-0000-0000-0000453C0000}"/>
    <cellStyle name="Normal 32 3" xfId="2701" xr:uid="{00000000-0005-0000-0000-0000463C0000}"/>
    <cellStyle name="Normal 32 4" xfId="2702" xr:uid="{00000000-0005-0000-0000-0000473C0000}"/>
    <cellStyle name="Normal 33" xfId="1696" xr:uid="{00000000-0005-0000-0000-0000483C0000}"/>
    <cellStyle name="Normal 33 2" xfId="2703" xr:uid="{00000000-0005-0000-0000-0000493C0000}"/>
    <cellStyle name="Normal 33 2 2" xfId="2704" xr:uid="{00000000-0005-0000-0000-00004A3C0000}"/>
    <cellStyle name="Normal 33 3" xfId="2705" xr:uid="{00000000-0005-0000-0000-00004B3C0000}"/>
    <cellStyle name="Normal 33 4" xfId="2706" xr:uid="{00000000-0005-0000-0000-00004C3C0000}"/>
    <cellStyle name="Normal 34" xfId="1697" xr:uid="{00000000-0005-0000-0000-00004D3C0000}"/>
    <cellStyle name="Normal 34 2" xfId="2707" xr:uid="{00000000-0005-0000-0000-00004E3C0000}"/>
    <cellStyle name="Normal 34 2 2" xfId="2708" xr:uid="{00000000-0005-0000-0000-00004F3C0000}"/>
    <cellStyle name="Normal 34 3" xfId="2709" xr:uid="{00000000-0005-0000-0000-0000503C0000}"/>
    <cellStyle name="Normal 34 4" xfId="2710" xr:uid="{00000000-0005-0000-0000-0000513C0000}"/>
    <cellStyle name="Normal 35" xfId="1698" xr:uid="{00000000-0005-0000-0000-0000523C0000}"/>
    <cellStyle name="Normal 35 2" xfId="2711" xr:uid="{00000000-0005-0000-0000-0000533C0000}"/>
    <cellStyle name="Normal 35 2 2" xfId="2712" xr:uid="{00000000-0005-0000-0000-0000543C0000}"/>
    <cellStyle name="Normal 35 3" xfId="2713" xr:uid="{00000000-0005-0000-0000-0000553C0000}"/>
    <cellStyle name="Normal 35 4" xfId="2714" xr:uid="{00000000-0005-0000-0000-0000563C0000}"/>
    <cellStyle name="Normal 36" xfId="1699" xr:uid="{00000000-0005-0000-0000-0000573C0000}"/>
    <cellStyle name="Normal 36 2" xfId="2715" xr:uid="{00000000-0005-0000-0000-0000583C0000}"/>
    <cellStyle name="Normal 36 2 2" xfId="2716" xr:uid="{00000000-0005-0000-0000-0000593C0000}"/>
    <cellStyle name="Normal 36 3" xfId="2717" xr:uid="{00000000-0005-0000-0000-00005A3C0000}"/>
    <cellStyle name="Normal 36 4" xfId="2718" xr:uid="{00000000-0005-0000-0000-00005B3C0000}"/>
    <cellStyle name="Normal 37" xfId="1700" xr:uid="{00000000-0005-0000-0000-00005C3C0000}"/>
    <cellStyle name="Normal 37 2" xfId="2719" xr:uid="{00000000-0005-0000-0000-00005D3C0000}"/>
    <cellStyle name="Normal 37 2 2" xfId="2720" xr:uid="{00000000-0005-0000-0000-00005E3C0000}"/>
    <cellStyle name="Normal 37 3" xfId="2721" xr:uid="{00000000-0005-0000-0000-00005F3C0000}"/>
    <cellStyle name="Normal 37 4" xfId="2722" xr:uid="{00000000-0005-0000-0000-0000603C0000}"/>
    <cellStyle name="Normal 38" xfId="1701" xr:uid="{00000000-0005-0000-0000-0000613C0000}"/>
    <cellStyle name="Normal 38 2" xfId="2723" xr:uid="{00000000-0005-0000-0000-0000623C0000}"/>
    <cellStyle name="Normal 38 2 2" xfId="2724" xr:uid="{00000000-0005-0000-0000-0000633C0000}"/>
    <cellStyle name="Normal 38 3" xfId="2725" xr:uid="{00000000-0005-0000-0000-0000643C0000}"/>
    <cellStyle name="Normal 38 4" xfId="2726" xr:uid="{00000000-0005-0000-0000-0000653C0000}"/>
    <cellStyle name="Normal 39" xfId="1702" xr:uid="{00000000-0005-0000-0000-0000663C0000}"/>
    <cellStyle name="Normal 39 2" xfId="2727" xr:uid="{00000000-0005-0000-0000-0000673C0000}"/>
    <cellStyle name="Normal 39 2 2" xfId="2728" xr:uid="{00000000-0005-0000-0000-0000683C0000}"/>
    <cellStyle name="Normal 39 3" xfId="2729" xr:uid="{00000000-0005-0000-0000-0000693C0000}"/>
    <cellStyle name="Normal 39 4" xfId="2730" xr:uid="{00000000-0005-0000-0000-00006A3C0000}"/>
    <cellStyle name="Normal 4" xfId="168" xr:uid="{00000000-0005-0000-0000-00006B3C0000}"/>
    <cellStyle name="Normal 4 10" xfId="4068" xr:uid="{00000000-0005-0000-0000-00006C3C0000}"/>
    <cellStyle name="Normal 4 2" xfId="169" xr:uid="{00000000-0005-0000-0000-00006D3C0000}"/>
    <cellStyle name="Normal 4 2 2" xfId="170" xr:uid="{00000000-0005-0000-0000-00006E3C0000}"/>
    <cellStyle name="Normal 4 2 2 2" xfId="1703" xr:uid="{00000000-0005-0000-0000-00006F3C0000}"/>
    <cellStyle name="Normal 4 2 2 2 2" xfId="2731" xr:uid="{00000000-0005-0000-0000-0000703C0000}"/>
    <cellStyle name="Normal 4 2 2 2 3" xfId="2732" xr:uid="{00000000-0005-0000-0000-0000713C0000}"/>
    <cellStyle name="Normal 4 2 2 3" xfId="1704" xr:uid="{00000000-0005-0000-0000-0000723C0000}"/>
    <cellStyle name="Normal 4 2 2 3 2" xfId="1705" xr:uid="{00000000-0005-0000-0000-0000733C0000}"/>
    <cellStyle name="Normal 4 2 2 4" xfId="1706" xr:uid="{00000000-0005-0000-0000-0000743C0000}"/>
    <cellStyle name="Normal 4 2 2 5" xfId="1707" xr:uid="{00000000-0005-0000-0000-0000753C0000}"/>
    <cellStyle name="Normal 4 2 2 6" xfId="2733" xr:uid="{00000000-0005-0000-0000-0000763C0000}"/>
    <cellStyle name="Normal 4 2 3" xfId="435" xr:uid="{00000000-0005-0000-0000-0000773C0000}"/>
    <cellStyle name="Normal 4 2 3 2" xfId="1708" xr:uid="{00000000-0005-0000-0000-0000783C0000}"/>
    <cellStyle name="Normal 4 2 3 2 2" xfId="2734" xr:uid="{00000000-0005-0000-0000-0000793C0000}"/>
    <cellStyle name="Normal 4 2 3 3" xfId="2735" xr:uid="{00000000-0005-0000-0000-00007A3C0000}"/>
    <cellStyle name="Normal 4 2 4" xfId="1709" xr:uid="{00000000-0005-0000-0000-00007B3C0000}"/>
    <cellStyle name="Normal 4 2 4 2" xfId="2736" xr:uid="{00000000-0005-0000-0000-00007C3C0000}"/>
    <cellStyle name="Normal 4 2 5" xfId="1710" xr:uid="{00000000-0005-0000-0000-00007D3C0000}"/>
    <cellStyle name="Normal 4 2 5 2" xfId="1711" xr:uid="{00000000-0005-0000-0000-00007E3C0000}"/>
    <cellStyle name="Normal 4 2 5 3" xfId="2737" xr:uid="{00000000-0005-0000-0000-00007F3C0000}"/>
    <cellStyle name="Normal 4 2 6" xfId="1712" xr:uid="{00000000-0005-0000-0000-0000803C0000}"/>
    <cellStyle name="Normal 4 2 6 2" xfId="2738" xr:uid="{00000000-0005-0000-0000-0000813C0000}"/>
    <cellStyle name="Normal 4 2_Book4" xfId="2739" xr:uid="{00000000-0005-0000-0000-0000823C0000}"/>
    <cellStyle name="Normal 4 3" xfId="209" xr:uid="{00000000-0005-0000-0000-0000833C0000}"/>
    <cellStyle name="Normal 4 3 2" xfId="436" xr:uid="{00000000-0005-0000-0000-0000843C0000}"/>
    <cellStyle name="Normal 4 3 2 2" xfId="1713" xr:uid="{00000000-0005-0000-0000-0000853C0000}"/>
    <cellStyle name="Normal 4 3 2 2 2" xfId="1714" xr:uid="{00000000-0005-0000-0000-0000863C0000}"/>
    <cellStyle name="Normal 4 3 2 2 3" xfId="2740" xr:uid="{00000000-0005-0000-0000-0000873C0000}"/>
    <cellStyle name="Normal 4 3 2 3" xfId="1715" xr:uid="{00000000-0005-0000-0000-0000883C0000}"/>
    <cellStyle name="Normal 4 3 2 4" xfId="1716" xr:uid="{00000000-0005-0000-0000-0000893C0000}"/>
    <cellStyle name="Normal 4 3 2 5" xfId="2741" xr:uid="{00000000-0005-0000-0000-00008A3C0000}"/>
    <cellStyle name="Normal 4 3 3" xfId="1717" xr:uid="{00000000-0005-0000-0000-00008B3C0000}"/>
    <cellStyle name="Normal 4 3 3 2" xfId="1718" xr:uid="{00000000-0005-0000-0000-00008C3C0000}"/>
    <cellStyle name="Normal 4 3 3 3" xfId="2742" xr:uid="{00000000-0005-0000-0000-00008D3C0000}"/>
    <cellStyle name="Normal 4 3 4" xfId="1719" xr:uid="{00000000-0005-0000-0000-00008E3C0000}"/>
    <cellStyle name="Normal 4 3 4 2" xfId="2743" xr:uid="{00000000-0005-0000-0000-00008F3C0000}"/>
    <cellStyle name="Normal 4 3 5" xfId="1720" xr:uid="{00000000-0005-0000-0000-0000903C0000}"/>
    <cellStyle name="Normal 4 3 6" xfId="2744" xr:uid="{00000000-0005-0000-0000-0000913C0000}"/>
    <cellStyle name="Normal 4 4" xfId="1721" xr:uid="{00000000-0005-0000-0000-0000923C0000}"/>
    <cellStyle name="Normal 4 4 2" xfId="1722" xr:uid="{00000000-0005-0000-0000-0000933C0000}"/>
    <cellStyle name="Normal 4 4 2 2" xfId="1723" xr:uid="{00000000-0005-0000-0000-0000943C0000}"/>
    <cellStyle name="Normal 4 4 2 3" xfId="2745" xr:uid="{00000000-0005-0000-0000-0000953C0000}"/>
    <cellStyle name="Normal 4 4 3" xfId="1724" xr:uid="{00000000-0005-0000-0000-0000963C0000}"/>
    <cellStyle name="Normal 4 4 4" xfId="1725" xr:uid="{00000000-0005-0000-0000-0000973C0000}"/>
    <cellStyle name="Normal 4 4 5" xfId="2746" xr:uid="{00000000-0005-0000-0000-0000983C0000}"/>
    <cellStyle name="Normal 4 5" xfId="1726" xr:uid="{00000000-0005-0000-0000-0000993C0000}"/>
    <cellStyle name="Normal 4 5 2" xfId="1727" xr:uid="{00000000-0005-0000-0000-00009A3C0000}"/>
    <cellStyle name="Normal 4 5 2 2" xfId="1728" xr:uid="{00000000-0005-0000-0000-00009B3C0000}"/>
    <cellStyle name="Normal 4 5 3" xfId="1729" xr:uid="{00000000-0005-0000-0000-00009C3C0000}"/>
    <cellStyle name="Normal 4 5 4" xfId="1730" xr:uid="{00000000-0005-0000-0000-00009D3C0000}"/>
    <cellStyle name="Normal 4 5 5" xfId="2747" xr:uid="{00000000-0005-0000-0000-00009E3C0000}"/>
    <cellStyle name="Normal 4 6" xfId="1731" xr:uid="{00000000-0005-0000-0000-00009F3C0000}"/>
    <cellStyle name="Normal 4 6 2" xfId="2748" xr:uid="{00000000-0005-0000-0000-0000A03C0000}"/>
    <cellStyle name="Normal 4 7" xfId="1732" xr:uid="{00000000-0005-0000-0000-0000A13C0000}"/>
    <cellStyle name="Normal 4 7 2" xfId="2749" xr:uid="{00000000-0005-0000-0000-0000A23C0000}"/>
    <cellStyle name="Normal 4 8" xfId="1733" xr:uid="{00000000-0005-0000-0000-0000A33C0000}"/>
    <cellStyle name="Normal 4 8 2" xfId="2750" xr:uid="{00000000-0005-0000-0000-0000A43C0000}"/>
    <cellStyle name="Normal 4 9" xfId="2751" xr:uid="{00000000-0005-0000-0000-0000A53C0000}"/>
    <cellStyle name="Normal 4_Balance Sheet" xfId="2752" xr:uid="{00000000-0005-0000-0000-0000A63C0000}"/>
    <cellStyle name="Normal 40" xfId="1734" xr:uid="{00000000-0005-0000-0000-0000A73C0000}"/>
    <cellStyle name="Normal 40 2" xfId="2753" xr:uid="{00000000-0005-0000-0000-0000A83C0000}"/>
    <cellStyle name="Normal 40 2 2" xfId="2754" xr:uid="{00000000-0005-0000-0000-0000A93C0000}"/>
    <cellStyle name="Normal 40 3" xfId="2755" xr:uid="{00000000-0005-0000-0000-0000AA3C0000}"/>
    <cellStyle name="Normal 40 4" xfId="2756" xr:uid="{00000000-0005-0000-0000-0000AB3C0000}"/>
    <cellStyle name="Normal 41" xfId="1735" xr:uid="{00000000-0005-0000-0000-0000AC3C0000}"/>
    <cellStyle name="Normal 41 2" xfId="2757" xr:uid="{00000000-0005-0000-0000-0000AD3C0000}"/>
    <cellStyle name="Normal 41 2 2" xfId="2758" xr:uid="{00000000-0005-0000-0000-0000AE3C0000}"/>
    <cellStyle name="Normal 41 3" xfId="2759" xr:uid="{00000000-0005-0000-0000-0000AF3C0000}"/>
    <cellStyle name="Normal 41 4" xfId="2760" xr:uid="{00000000-0005-0000-0000-0000B03C0000}"/>
    <cellStyle name="Normal 41 5" xfId="2761" xr:uid="{00000000-0005-0000-0000-0000B13C0000}"/>
    <cellStyle name="Normal 42" xfId="1736" xr:uid="{00000000-0005-0000-0000-0000B23C0000}"/>
    <cellStyle name="Normal 42 2" xfId="2762" xr:uid="{00000000-0005-0000-0000-0000B33C0000}"/>
    <cellStyle name="Normal 42 2 2" xfId="2763" xr:uid="{00000000-0005-0000-0000-0000B43C0000}"/>
    <cellStyle name="Normal 42 2 2 2" xfId="2764" xr:uid="{00000000-0005-0000-0000-0000B53C0000}"/>
    <cellStyle name="Normal 42 2 2 3" xfId="2765" xr:uid="{00000000-0005-0000-0000-0000B63C0000}"/>
    <cellStyle name="Normal 42 2 3" xfId="2766" xr:uid="{00000000-0005-0000-0000-0000B73C0000}"/>
    <cellStyle name="Normal 42 2 3 2" xfId="2767" xr:uid="{00000000-0005-0000-0000-0000B83C0000}"/>
    <cellStyle name="Normal 42 2 4" xfId="2768" xr:uid="{00000000-0005-0000-0000-0000B93C0000}"/>
    <cellStyle name="Normal 42 3" xfId="2769" xr:uid="{00000000-0005-0000-0000-0000BA3C0000}"/>
    <cellStyle name="Normal 42 4" xfId="2770" xr:uid="{00000000-0005-0000-0000-0000BB3C0000}"/>
    <cellStyle name="Normal 43" xfId="1737" xr:uid="{00000000-0005-0000-0000-0000BC3C0000}"/>
    <cellStyle name="Normal 43 2" xfId="2771" xr:uid="{00000000-0005-0000-0000-0000BD3C0000}"/>
    <cellStyle name="Normal 43 2 2" xfId="2772" xr:uid="{00000000-0005-0000-0000-0000BE3C0000}"/>
    <cellStyle name="Normal 43 3" xfId="2773" xr:uid="{00000000-0005-0000-0000-0000BF3C0000}"/>
    <cellStyle name="Normal 43 4" xfId="2774" xr:uid="{00000000-0005-0000-0000-0000C03C0000}"/>
    <cellStyle name="Normal 44" xfId="1738" xr:uid="{00000000-0005-0000-0000-0000C13C0000}"/>
    <cellStyle name="Normal 44 2" xfId="2775" xr:uid="{00000000-0005-0000-0000-0000C23C0000}"/>
    <cellStyle name="Normal 44 2 2" xfId="2776" xr:uid="{00000000-0005-0000-0000-0000C33C0000}"/>
    <cellStyle name="Normal 44 3" xfId="2777" xr:uid="{00000000-0005-0000-0000-0000C43C0000}"/>
    <cellStyle name="Normal 44 4" xfId="2778" xr:uid="{00000000-0005-0000-0000-0000C53C0000}"/>
    <cellStyle name="Normal 45" xfId="1739" xr:uid="{00000000-0005-0000-0000-0000C63C0000}"/>
    <cellStyle name="Normal 45 2" xfId="2779" xr:uid="{00000000-0005-0000-0000-0000C73C0000}"/>
    <cellStyle name="Normal 45 2 2" xfId="2780" xr:uid="{00000000-0005-0000-0000-0000C83C0000}"/>
    <cellStyle name="Normal 45 3" xfId="2781" xr:uid="{00000000-0005-0000-0000-0000C93C0000}"/>
    <cellStyle name="Normal 45 4" xfId="2782" xr:uid="{00000000-0005-0000-0000-0000CA3C0000}"/>
    <cellStyle name="Normal 46" xfId="1740" xr:uid="{00000000-0005-0000-0000-0000CB3C0000}"/>
    <cellStyle name="Normal 46 2" xfId="2783" xr:uid="{00000000-0005-0000-0000-0000CC3C0000}"/>
    <cellStyle name="Normal 46 2 2" xfId="2784" xr:uid="{00000000-0005-0000-0000-0000CD3C0000}"/>
    <cellStyle name="Normal 46 3" xfId="2785" xr:uid="{00000000-0005-0000-0000-0000CE3C0000}"/>
    <cellStyle name="Normal 46 4" xfId="2786" xr:uid="{00000000-0005-0000-0000-0000CF3C0000}"/>
    <cellStyle name="Normal 47" xfId="1741" xr:uid="{00000000-0005-0000-0000-0000D03C0000}"/>
    <cellStyle name="Normal 47 2" xfId="2787" xr:uid="{00000000-0005-0000-0000-0000D13C0000}"/>
    <cellStyle name="Normal 47 2 2" xfId="2788" xr:uid="{00000000-0005-0000-0000-0000D23C0000}"/>
    <cellStyle name="Normal 47 3" xfId="2789" xr:uid="{00000000-0005-0000-0000-0000D33C0000}"/>
    <cellStyle name="Normal 47 4" xfId="2790" xr:uid="{00000000-0005-0000-0000-0000D43C0000}"/>
    <cellStyle name="Normal 48" xfId="1742" xr:uid="{00000000-0005-0000-0000-0000D53C0000}"/>
    <cellStyle name="Normal 48 2" xfId="2791" xr:uid="{00000000-0005-0000-0000-0000D63C0000}"/>
    <cellStyle name="Normal 48 2 2" xfId="2792" xr:uid="{00000000-0005-0000-0000-0000D73C0000}"/>
    <cellStyle name="Normal 48 3" xfId="2793" xr:uid="{00000000-0005-0000-0000-0000D83C0000}"/>
    <cellStyle name="Normal 48 4" xfId="2794" xr:uid="{00000000-0005-0000-0000-0000D93C0000}"/>
    <cellStyle name="Normal 49" xfId="1743" xr:uid="{00000000-0005-0000-0000-0000DA3C0000}"/>
    <cellStyle name="Normal 49 2" xfId="2795" xr:uid="{00000000-0005-0000-0000-0000DB3C0000}"/>
    <cellStyle name="Normal 49 2 2" xfId="2796" xr:uid="{00000000-0005-0000-0000-0000DC3C0000}"/>
    <cellStyle name="Normal 49 2 3" xfId="2797" xr:uid="{00000000-0005-0000-0000-0000DD3C0000}"/>
    <cellStyle name="Normal 49 3" xfId="2798" xr:uid="{00000000-0005-0000-0000-0000DE3C0000}"/>
    <cellStyle name="Normal 49 3 2" xfId="2799" xr:uid="{00000000-0005-0000-0000-0000DF3C0000}"/>
    <cellStyle name="Normal 49 4" xfId="2800" xr:uid="{00000000-0005-0000-0000-0000E03C0000}"/>
    <cellStyle name="Normal 5" xfId="171" xr:uid="{00000000-0005-0000-0000-0000E13C0000}"/>
    <cellStyle name="Normal 5 10" xfId="4586" xr:uid="{00000000-0005-0000-0000-0000E23C0000}"/>
    <cellStyle name="Normal 5 2" xfId="302" xr:uid="{00000000-0005-0000-0000-0000E33C0000}"/>
    <cellStyle name="Normal 5 2 2" xfId="309" xr:uid="{00000000-0005-0000-0000-0000E43C0000}"/>
    <cellStyle name="Normal 5 2 2 2" xfId="315" xr:uid="{00000000-0005-0000-0000-0000E53C0000}"/>
    <cellStyle name="Normal 5 2 2 2 2" xfId="330" xr:uid="{00000000-0005-0000-0000-0000E63C0000}"/>
    <cellStyle name="Normal 5 2 2 2 2 2" xfId="459" xr:uid="{00000000-0005-0000-0000-0000E73C0000}"/>
    <cellStyle name="Normal 5 2 2 2 3" xfId="458" xr:uid="{00000000-0005-0000-0000-0000E83C0000}"/>
    <cellStyle name="Normal 5 2 2 3" xfId="329" xr:uid="{00000000-0005-0000-0000-0000E93C0000}"/>
    <cellStyle name="Normal 5 2 2 3 2" xfId="460" xr:uid="{00000000-0005-0000-0000-0000EA3C0000}"/>
    <cellStyle name="Normal 5 2 2 4" xfId="457" xr:uid="{00000000-0005-0000-0000-0000EB3C0000}"/>
    <cellStyle name="Normal 5 2 3" xfId="314" xr:uid="{00000000-0005-0000-0000-0000EC3C0000}"/>
    <cellStyle name="Normal 5 2 3 2" xfId="331" xr:uid="{00000000-0005-0000-0000-0000ED3C0000}"/>
    <cellStyle name="Normal 5 2 3 2 2" xfId="462" xr:uid="{00000000-0005-0000-0000-0000EE3C0000}"/>
    <cellStyle name="Normal 5 2 3 3" xfId="461" xr:uid="{00000000-0005-0000-0000-0000EF3C0000}"/>
    <cellStyle name="Normal 5 2 4" xfId="328" xr:uid="{00000000-0005-0000-0000-0000F03C0000}"/>
    <cellStyle name="Normal 5 2 4 2" xfId="463" xr:uid="{00000000-0005-0000-0000-0000F13C0000}"/>
    <cellStyle name="Normal 5 2 5" xfId="437" xr:uid="{00000000-0005-0000-0000-0000F23C0000}"/>
    <cellStyle name="Normal 5 2 5 2" xfId="464" xr:uid="{00000000-0005-0000-0000-0000F33C0000}"/>
    <cellStyle name="Normal 5 2 6" xfId="456" xr:uid="{00000000-0005-0000-0000-0000F43C0000}"/>
    <cellStyle name="Normal 5 2 7" xfId="6624" xr:uid="{00000000-0005-0000-0000-0000F53C0000}"/>
    <cellStyle name="Normal 5 3" xfId="306" xr:uid="{00000000-0005-0000-0000-0000F63C0000}"/>
    <cellStyle name="Normal 5 3 2" xfId="316" xr:uid="{00000000-0005-0000-0000-0000F73C0000}"/>
    <cellStyle name="Normal 5 3 2 2" xfId="333" xr:uid="{00000000-0005-0000-0000-0000F83C0000}"/>
    <cellStyle name="Normal 5 3 2 2 2" xfId="467" xr:uid="{00000000-0005-0000-0000-0000F93C0000}"/>
    <cellStyle name="Normal 5 3 2 3" xfId="466" xr:uid="{00000000-0005-0000-0000-0000FA3C0000}"/>
    <cellStyle name="Normal 5 3 3" xfId="332" xr:uid="{00000000-0005-0000-0000-0000FB3C0000}"/>
    <cellStyle name="Normal 5 3 3 2" xfId="468" xr:uid="{00000000-0005-0000-0000-0000FC3C0000}"/>
    <cellStyle name="Normal 5 3 4" xfId="465" xr:uid="{00000000-0005-0000-0000-0000FD3C0000}"/>
    <cellStyle name="Normal 5 3 5" xfId="2801" xr:uid="{00000000-0005-0000-0000-0000FE3C0000}"/>
    <cellStyle name="Normal 5 4" xfId="313" xr:uid="{00000000-0005-0000-0000-0000FF3C0000}"/>
    <cellStyle name="Normal 5 4 2" xfId="334" xr:uid="{00000000-0005-0000-0000-0000003D0000}"/>
    <cellStyle name="Normal 5 4 2 2" xfId="470" xr:uid="{00000000-0005-0000-0000-0000013D0000}"/>
    <cellStyle name="Normal 5 4 3" xfId="469" xr:uid="{00000000-0005-0000-0000-0000023D0000}"/>
    <cellStyle name="Normal 5 4 4" xfId="2802" xr:uid="{00000000-0005-0000-0000-0000033D0000}"/>
    <cellStyle name="Normal 5 5" xfId="327" xr:uid="{00000000-0005-0000-0000-0000043D0000}"/>
    <cellStyle name="Normal 5 5 2" xfId="471" xr:uid="{00000000-0005-0000-0000-0000053D0000}"/>
    <cellStyle name="Normal 5 6" xfId="371" xr:uid="{00000000-0005-0000-0000-0000063D0000}"/>
    <cellStyle name="Normal 5 6 2" xfId="8231" xr:uid="{00000000-0005-0000-0000-0000073D0000}"/>
    <cellStyle name="Normal 5 6 3" xfId="6625" xr:uid="{00000000-0005-0000-0000-0000083D0000}"/>
    <cellStyle name="Normal 5 7" xfId="455" xr:uid="{00000000-0005-0000-0000-0000093D0000}"/>
    <cellStyle name="Normal 5 7 2" xfId="6626" xr:uid="{00000000-0005-0000-0000-00000A3D0000}"/>
    <cellStyle name="Normal 5 8" xfId="293" xr:uid="{00000000-0005-0000-0000-00000B3D0000}"/>
    <cellStyle name="Normal 5 8 2" xfId="6627" xr:uid="{00000000-0005-0000-0000-00000C3D0000}"/>
    <cellStyle name="Normal 5 9" xfId="2803" xr:uid="{00000000-0005-0000-0000-00000D3D0000}"/>
    <cellStyle name="Normal 5_Division Plan Format 2010 07 17 (Jun Fcst)" xfId="2804" xr:uid="{00000000-0005-0000-0000-00000E3D0000}"/>
    <cellStyle name="Normal 50" xfId="1744" xr:uid="{00000000-0005-0000-0000-00000F3D0000}"/>
    <cellStyle name="Normal 50 2" xfId="2805" xr:uid="{00000000-0005-0000-0000-0000103D0000}"/>
    <cellStyle name="Normal 50 2 2" xfId="2806" xr:uid="{00000000-0005-0000-0000-0000113D0000}"/>
    <cellStyle name="Normal 50 2 3" xfId="2807" xr:uid="{00000000-0005-0000-0000-0000123D0000}"/>
    <cellStyle name="Normal 50 3" xfId="2808" xr:uid="{00000000-0005-0000-0000-0000133D0000}"/>
    <cellStyle name="Normal 50 3 2" xfId="2809" xr:uid="{00000000-0005-0000-0000-0000143D0000}"/>
    <cellStyle name="Normal 50 4" xfId="2810" xr:uid="{00000000-0005-0000-0000-0000153D0000}"/>
    <cellStyle name="Normal 51" xfId="1745" xr:uid="{00000000-0005-0000-0000-0000163D0000}"/>
    <cellStyle name="Normal 51 2" xfId="2811" xr:uid="{00000000-0005-0000-0000-0000173D0000}"/>
    <cellStyle name="Normal 52" xfId="1746" xr:uid="{00000000-0005-0000-0000-0000183D0000}"/>
    <cellStyle name="Normal 52 2" xfId="2812" xr:uid="{00000000-0005-0000-0000-0000193D0000}"/>
    <cellStyle name="Normal 53" xfId="1747" xr:uid="{00000000-0005-0000-0000-00001A3D0000}"/>
    <cellStyle name="Normal 53 2" xfId="2813" xr:uid="{00000000-0005-0000-0000-00001B3D0000}"/>
    <cellStyle name="Normal 54" xfId="1748" xr:uid="{00000000-0005-0000-0000-00001C3D0000}"/>
    <cellStyle name="Normal 54 2" xfId="2814" xr:uid="{00000000-0005-0000-0000-00001D3D0000}"/>
    <cellStyle name="Normal 55" xfId="1749" xr:uid="{00000000-0005-0000-0000-00001E3D0000}"/>
    <cellStyle name="Normal 55 2" xfId="2815" xr:uid="{00000000-0005-0000-0000-00001F3D0000}"/>
    <cellStyle name="Normal 56" xfId="1750" xr:uid="{00000000-0005-0000-0000-0000203D0000}"/>
    <cellStyle name="Normal 56 2" xfId="2816" xr:uid="{00000000-0005-0000-0000-0000213D0000}"/>
    <cellStyle name="Normal 57" xfId="1751" xr:uid="{00000000-0005-0000-0000-0000223D0000}"/>
    <cellStyle name="Normal 57 2" xfId="2817" xr:uid="{00000000-0005-0000-0000-0000233D0000}"/>
    <cellStyle name="Normal 58" xfId="1752" xr:uid="{00000000-0005-0000-0000-0000243D0000}"/>
    <cellStyle name="Normal 58 2" xfId="2818" xr:uid="{00000000-0005-0000-0000-0000253D0000}"/>
    <cellStyle name="Normal 59" xfId="1753" xr:uid="{00000000-0005-0000-0000-0000263D0000}"/>
    <cellStyle name="Normal 59 2" xfId="2819" xr:uid="{00000000-0005-0000-0000-0000273D0000}"/>
    <cellStyle name="Normal 6" xfId="172" xr:uid="{00000000-0005-0000-0000-0000283D0000}"/>
    <cellStyle name="Normal 6 10" xfId="438" xr:uid="{00000000-0005-0000-0000-0000293D0000}"/>
    <cellStyle name="Normal 6 10 2" xfId="473" xr:uid="{00000000-0005-0000-0000-00002A3D0000}"/>
    <cellStyle name="Normal 6 11" xfId="472" xr:uid="{00000000-0005-0000-0000-00002B3D0000}"/>
    <cellStyle name="Normal 6 12" xfId="4391" xr:uid="{00000000-0005-0000-0000-00002C3D0000}"/>
    <cellStyle name="Normal 6 2" xfId="303" xr:uid="{00000000-0005-0000-0000-00002D3D0000}"/>
    <cellStyle name="Normal 6 2 2" xfId="310" xr:uid="{00000000-0005-0000-0000-00002E3D0000}"/>
    <cellStyle name="Normal 6 2 2 2" xfId="319" xr:uid="{00000000-0005-0000-0000-00002F3D0000}"/>
    <cellStyle name="Normal 6 2 2 2 2" xfId="338" xr:uid="{00000000-0005-0000-0000-0000303D0000}"/>
    <cellStyle name="Normal 6 2 2 2 2 2" xfId="477" xr:uid="{00000000-0005-0000-0000-0000313D0000}"/>
    <cellStyle name="Normal 6 2 2 2 3" xfId="476" xr:uid="{00000000-0005-0000-0000-0000323D0000}"/>
    <cellStyle name="Normal 6 2 2 3" xfId="337" xr:uid="{00000000-0005-0000-0000-0000333D0000}"/>
    <cellStyle name="Normal 6 2 2 3 2" xfId="478" xr:uid="{00000000-0005-0000-0000-0000343D0000}"/>
    <cellStyle name="Normal 6 2 2 4" xfId="475" xr:uid="{00000000-0005-0000-0000-0000353D0000}"/>
    <cellStyle name="Normal 6 2 3" xfId="318" xr:uid="{00000000-0005-0000-0000-0000363D0000}"/>
    <cellStyle name="Normal 6 2 3 2" xfId="339" xr:uid="{00000000-0005-0000-0000-0000373D0000}"/>
    <cellStyle name="Normal 6 2 3 2 2" xfId="480" xr:uid="{00000000-0005-0000-0000-0000383D0000}"/>
    <cellStyle name="Normal 6 2 3 3" xfId="479" xr:uid="{00000000-0005-0000-0000-0000393D0000}"/>
    <cellStyle name="Normal 6 2 4" xfId="336" xr:uid="{00000000-0005-0000-0000-00003A3D0000}"/>
    <cellStyle name="Normal 6 2 4 2" xfId="481" xr:uid="{00000000-0005-0000-0000-00003B3D0000}"/>
    <cellStyle name="Normal 6 2 5" xfId="439" xr:uid="{00000000-0005-0000-0000-00003C3D0000}"/>
    <cellStyle name="Normal 6 2 5 2" xfId="482" xr:uid="{00000000-0005-0000-0000-00003D3D0000}"/>
    <cellStyle name="Normal 6 2 6" xfId="474" xr:uid="{00000000-0005-0000-0000-00003E3D0000}"/>
    <cellStyle name="Normal 6 2 7" xfId="4548" xr:uid="{00000000-0005-0000-0000-00003F3D0000}"/>
    <cellStyle name="Normal 6 3" xfId="305" xr:uid="{00000000-0005-0000-0000-0000403D0000}"/>
    <cellStyle name="Normal 6 3 2" xfId="312" xr:uid="{00000000-0005-0000-0000-0000413D0000}"/>
    <cellStyle name="Normal 6 3 2 2" xfId="321" xr:uid="{00000000-0005-0000-0000-0000423D0000}"/>
    <cellStyle name="Normal 6 3 2 2 2" xfId="342" xr:uid="{00000000-0005-0000-0000-0000433D0000}"/>
    <cellStyle name="Normal 6 3 2 2 2 2" xfId="486" xr:uid="{00000000-0005-0000-0000-0000443D0000}"/>
    <cellStyle name="Normal 6 3 2 2 3" xfId="485" xr:uid="{00000000-0005-0000-0000-0000453D0000}"/>
    <cellStyle name="Normal 6 3 2 3" xfId="341" xr:uid="{00000000-0005-0000-0000-0000463D0000}"/>
    <cellStyle name="Normal 6 3 2 3 2" xfId="487" xr:uid="{00000000-0005-0000-0000-0000473D0000}"/>
    <cellStyle name="Normal 6 3 2 4" xfId="484" xr:uid="{00000000-0005-0000-0000-0000483D0000}"/>
    <cellStyle name="Normal 6 3 3" xfId="320" xr:uid="{00000000-0005-0000-0000-0000493D0000}"/>
    <cellStyle name="Normal 6 3 3 2" xfId="343" xr:uid="{00000000-0005-0000-0000-00004A3D0000}"/>
    <cellStyle name="Normal 6 3 3 2 2" xfId="489" xr:uid="{00000000-0005-0000-0000-00004B3D0000}"/>
    <cellStyle name="Normal 6 3 3 3" xfId="488" xr:uid="{00000000-0005-0000-0000-00004C3D0000}"/>
    <cellStyle name="Normal 6 3 4" xfId="340" xr:uid="{00000000-0005-0000-0000-00004D3D0000}"/>
    <cellStyle name="Normal 6 3 4 2" xfId="490" xr:uid="{00000000-0005-0000-0000-00004E3D0000}"/>
    <cellStyle name="Normal 6 3 5" xfId="483" xr:uid="{00000000-0005-0000-0000-00004F3D0000}"/>
    <cellStyle name="Normal 6 3 6" xfId="6628" xr:uid="{00000000-0005-0000-0000-0000503D0000}"/>
    <cellStyle name="Normal 6 4" xfId="307" xr:uid="{00000000-0005-0000-0000-0000513D0000}"/>
    <cellStyle name="Normal 6 4 2" xfId="322" xr:uid="{00000000-0005-0000-0000-0000523D0000}"/>
    <cellStyle name="Normal 6 4 2 2" xfId="345" xr:uid="{00000000-0005-0000-0000-0000533D0000}"/>
    <cellStyle name="Normal 6 4 2 2 2" xfId="493" xr:uid="{00000000-0005-0000-0000-0000543D0000}"/>
    <cellStyle name="Normal 6 4 2 3" xfId="492" xr:uid="{00000000-0005-0000-0000-0000553D0000}"/>
    <cellStyle name="Normal 6 4 3" xfId="344" xr:uid="{00000000-0005-0000-0000-0000563D0000}"/>
    <cellStyle name="Normal 6 4 3 2" xfId="494" xr:uid="{00000000-0005-0000-0000-0000573D0000}"/>
    <cellStyle name="Normal 6 4 4" xfId="491" xr:uid="{00000000-0005-0000-0000-0000583D0000}"/>
    <cellStyle name="Normal 6 4 5" xfId="6629" xr:uid="{00000000-0005-0000-0000-0000593D0000}"/>
    <cellStyle name="Normal 6 5" xfId="317" xr:uid="{00000000-0005-0000-0000-00005A3D0000}"/>
    <cellStyle name="Normal 6 5 2" xfId="346" xr:uid="{00000000-0005-0000-0000-00005B3D0000}"/>
    <cellStyle name="Normal 6 5 2 2" xfId="496" xr:uid="{00000000-0005-0000-0000-00005C3D0000}"/>
    <cellStyle name="Normal 6 5 3" xfId="495" xr:uid="{00000000-0005-0000-0000-00005D3D0000}"/>
    <cellStyle name="Normal 6 5 4" xfId="6630" xr:uid="{00000000-0005-0000-0000-00005E3D0000}"/>
    <cellStyle name="Normal 6 6" xfId="335" xr:uid="{00000000-0005-0000-0000-00005F3D0000}"/>
    <cellStyle name="Normal 6 6 2" xfId="497" xr:uid="{00000000-0005-0000-0000-0000603D0000}"/>
    <cellStyle name="Normal 6 6 3" xfId="6631" xr:uid="{00000000-0005-0000-0000-0000613D0000}"/>
    <cellStyle name="Normal 6 7" xfId="372" xr:uid="{00000000-0005-0000-0000-0000623D0000}"/>
    <cellStyle name="Normal 6 7 2" xfId="498" xr:uid="{00000000-0005-0000-0000-0000633D0000}"/>
    <cellStyle name="Normal 6 8" xfId="408" xr:uid="{00000000-0005-0000-0000-0000643D0000}"/>
    <cellStyle name="Normal 6 8 2" xfId="499" xr:uid="{00000000-0005-0000-0000-0000653D0000}"/>
    <cellStyle name="Normal 6 9" xfId="411" xr:uid="{00000000-0005-0000-0000-0000663D0000}"/>
    <cellStyle name="Normal 6 9 2" xfId="500" xr:uid="{00000000-0005-0000-0000-0000673D0000}"/>
    <cellStyle name="Normal 60" xfId="1754" xr:uid="{00000000-0005-0000-0000-0000683D0000}"/>
    <cellStyle name="Normal 60 2" xfId="2820" xr:uid="{00000000-0005-0000-0000-0000693D0000}"/>
    <cellStyle name="Normal 61" xfId="1755" xr:uid="{00000000-0005-0000-0000-00006A3D0000}"/>
    <cellStyle name="Normal 61 2" xfId="2821" xr:uid="{00000000-0005-0000-0000-00006B3D0000}"/>
    <cellStyle name="Normal 62" xfId="1756" xr:uid="{00000000-0005-0000-0000-00006C3D0000}"/>
    <cellStyle name="Normal 62 2" xfId="2822" xr:uid="{00000000-0005-0000-0000-00006D3D0000}"/>
    <cellStyle name="Normal 63" xfId="1757" xr:uid="{00000000-0005-0000-0000-00006E3D0000}"/>
    <cellStyle name="Normal 63 2" xfId="2823" xr:uid="{00000000-0005-0000-0000-00006F3D0000}"/>
    <cellStyle name="Normal 64" xfId="1758" xr:uid="{00000000-0005-0000-0000-0000703D0000}"/>
    <cellStyle name="Normal 65" xfId="1759" xr:uid="{00000000-0005-0000-0000-0000713D0000}"/>
    <cellStyle name="Normal 65 2" xfId="2824" xr:uid="{00000000-0005-0000-0000-0000723D0000}"/>
    <cellStyle name="Normal 66" xfId="1760" xr:uid="{00000000-0005-0000-0000-0000733D0000}"/>
    <cellStyle name="Normal 66 2" xfId="2825" xr:uid="{00000000-0005-0000-0000-0000743D0000}"/>
    <cellStyle name="Normal 67" xfId="1761" xr:uid="{00000000-0005-0000-0000-0000753D0000}"/>
    <cellStyle name="Normal 67 2" xfId="2826" xr:uid="{00000000-0005-0000-0000-0000763D0000}"/>
    <cellStyle name="Normal 68" xfId="1762" xr:uid="{00000000-0005-0000-0000-0000773D0000}"/>
    <cellStyle name="Normal 68 2" xfId="2827" xr:uid="{00000000-0005-0000-0000-0000783D0000}"/>
    <cellStyle name="Normal 69" xfId="1763" xr:uid="{00000000-0005-0000-0000-0000793D0000}"/>
    <cellStyle name="Normal 69 2" xfId="2828" xr:uid="{00000000-0005-0000-0000-00007A3D0000}"/>
    <cellStyle name="Normal 7" xfId="45" xr:uid="{00000000-0005-0000-0000-00007B3D0000}"/>
    <cellStyle name="Normal 7 2" xfId="304" xr:uid="{00000000-0005-0000-0000-00007C3D0000}"/>
    <cellStyle name="Normal 7 2 2" xfId="311" xr:uid="{00000000-0005-0000-0000-00007D3D0000}"/>
    <cellStyle name="Normal 7 2 2 2" xfId="325" xr:uid="{00000000-0005-0000-0000-00007E3D0000}"/>
    <cellStyle name="Normal 7 2 2 2 2" xfId="350" xr:uid="{00000000-0005-0000-0000-00007F3D0000}"/>
    <cellStyle name="Normal 7 2 2 2 2 2" xfId="505" xr:uid="{00000000-0005-0000-0000-0000803D0000}"/>
    <cellStyle name="Normal 7 2 2 2 3" xfId="504" xr:uid="{00000000-0005-0000-0000-0000813D0000}"/>
    <cellStyle name="Normal 7 2 2 3" xfId="349" xr:uid="{00000000-0005-0000-0000-0000823D0000}"/>
    <cellStyle name="Normal 7 2 2 3 2" xfId="506" xr:uid="{00000000-0005-0000-0000-0000833D0000}"/>
    <cellStyle name="Normal 7 2 2 4" xfId="503" xr:uid="{00000000-0005-0000-0000-0000843D0000}"/>
    <cellStyle name="Normal 7 2 3" xfId="324" xr:uid="{00000000-0005-0000-0000-0000853D0000}"/>
    <cellStyle name="Normal 7 2 3 2" xfId="351" xr:uid="{00000000-0005-0000-0000-0000863D0000}"/>
    <cellStyle name="Normal 7 2 3 2 2" xfId="508" xr:uid="{00000000-0005-0000-0000-0000873D0000}"/>
    <cellStyle name="Normal 7 2 3 3" xfId="507" xr:uid="{00000000-0005-0000-0000-0000883D0000}"/>
    <cellStyle name="Normal 7 2 4" xfId="348" xr:uid="{00000000-0005-0000-0000-0000893D0000}"/>
    <cellStyle name="Normal 7 2 4 2" xfId="509" xr:uid="{00000000-0005-0000-0000-00008A3D0000}"/>
    <cellStyle name="Normal 7 2 5" xfId="440" xr:uid="{00000000-0005-0000-0000-00008B3D0000}"/>
    <cellStyle name="Normal 7 2 5 2" xfId="510" xr:uid="{00000000-0005-0000-0000-00008C3D0000}"/>
    <cellStyle name="Normal 7 2 6" xfId="502" xr:uid="{00000000-0005-0000-0000-00008D3D0000}"/>
    <cellStyle name="Normal 7 2 7" xfId="4582" xr:uid="{00000000-0005-0000-0000-00008E3D0000}"/>
    <cellStyle name="Normal 7 3" xfId="308" xr:uid="{00000000-0005-0000-0000-00008F3D0000}"/>
    <cellStyle name="Normal 7 3 2" xfId="326" xr:uid="{00000000-0005-0000-0000-0000903D0000}"/>
    <cellStyle name="Normal 7 3 2 2" xfId="353" xr:uid="{00000000-0005-0000-0000-0000913D0000}"/>
    <cellStyle name="Normal 7 3 2 2 2" xfId="513" xr:uid="{00000000-0005-0000-0000-0000923D0000}"/>
    <cellStyle name="Normal 7 3 2 3" xfId="512" xr:uid="{00000000-0005-0000-0000-0000933D0000}"/>
    <cellStyle name="Normal 7 3 3" xfId="352" xr:uid="{00000000-0005-0000-0000-0000943D0000}"/>
    <cellStyle name="Normal 7 3 3 2" xfId="514" xr:uid="{00000000-0005-0000-0000-0000953D0000}"/>
    <cellStyle name="Normal 7 3 4" xfId="511" xr:uid="{00000000-0005-0000-0000-0000963D0000}"/>
    <cellStyle name="Normal 7 3 5" xfId="4387" xr:uid="{00000000-0005-0000-0000-0000973D0000}"/>
    <cellStyle name="Normal 7 4" xfId="323" xr:uid="{00000000-0005-0000-0000-0000983D0000}"/>
    <cellStyle name="Normal 7 4 2" xfId="354" xr:uid="{00000000-0005-0000-0000-0000993D0000}"/>
    <cellStyle name="Normal 7 4 2 2" xfId="516" xr:uid="{00000000-0005-0000-0000-00009A3D0000}"/>
    <cellStyle name="Normal 7 4 3" xfId="515" xr:uid="{00000000-0005-0000-0000-00009B3D0000}"/>
    <cellStyle name="Normal 7 4 4" xfId="3545" xr:uid="{00000000-0005-0000-0000-00009C3D0000}"/>
    <cellStyle name="Normal 7 5" xfId="347" xr:uid="{00000000-0005-0000-0000-00009D3D0000}"/>
    <cellStyle name="Normal 7 5 2" xfId="517" xr:uid="{00000000-0005-0000-0000-00009E3D0000}"/>
    <cellStyle name="Normal 7 5 3" xfId="6632" xr:uid="{00000000-0005-0000-0000-00009F3D0000}"/>
    <cellStyle name="Normal 7 6" xfId="360" xr:uid="{00000000-0005-0000-0000-0000A03D0000}"/>
    <cellStyle name="Normal 7 7" xfId="501" xr:uid="{00000000-0005-0000-0000-0000A13D0000}"/>
    <cellStyle name="Normal 7 8" xfId="301" xr:uid="{00000000-0005-0000-0000-0000A23D0000}"/>
    <cellStyle name="Normal 70" xfId="1764" xr:uid="{00000000-0005-0000-0000-0000A33D0000}"/>
    <cellStyle name="Normal 70 2" xfId="2829" xr:uid="{00000000-0005-0000-0000-0000A43D0000}"/>
    <cellStyle name="Normal 71" xfId="1765" xr:uid="{00000000-0005-0000-0000-0000A53D0000}"/>
    <cellStyle name="Normal 71 2" xfId="2830" xr:uid="{00000000-0005-0000-0000-0000A63D0000}"/>
    <cellStyle name="Normal 71 3" xfId="2831" xr:uid="{00000000-0005-0000-0000-0000A73D0000}"/>
    <cellStyle name="Normal 72" xfId="1766" xr:uid="{00000000-0005-0000-0000-0000A83D0000}"/>
    <cellStyle name="Normal 72 2" xfId="2832" xr:uid="{00000000-0005-0000-0000-0000A93D0000}"/>
    <cellStyle name="Normal 73" xfId="1767" xr:uid="{00000000-0005-0000-0000-0000AA3D0000}"/>
    <cellStyle name="Normal 73 2" xfId="2833" xr:uid="{00000000-0005-0000-0000-0000AB3D0000}"/>
    <cellStyle name="Normal 74" xfId="1768" xr:uid="{00000000-0005-0000-0000-0000AC3D0000}"/>
    <cellStyle name="Normal 74 2" xfId="2834" xr:uid="{00000000-0005-0000-0000-0000AD3D0000}"/>
    <cellStyle name="Normal 75" xfId="1769" xr:uid="{00000000-0005-0000-0000-0000AE3D0000}"/>
    <cellStyle name="Normal 75 2" xfId="2835" xr:uid="{00000000-0005-0000-0000-0000AF3D0000}"/>
    <cellStyle name="Normal 76" xfId="1770" xr:uid="{00000000-0005-0000-0000-0000B03D0000}"/>
    <cellStyle name="Normal 76 2" xfId="2836" xr:uid="{00000000-0005-0000-0000-0000B13D0000}"/>
    <cellStyle name="Normal 77" xfId="1771" xr:uid="{00000000-0005-0000-0000-0000B23D0000}"/>
    <cellStyle name="Normal 77 2" xfId="2837" xr:uid="{00000000-0005-0000-0000-0000B33D0000}"/>
    <cellStyle name="Normal 78" xfId="1772" xr:uid="{00000000-0005-0000-0000-0000B43D0000}"/>
    <cellStyle name="Normal 78 2" xfId="2838" xr:uid="{00000000-0005-0000-0000-0000B53D0000}"/>
    <cellStyle name="Normal 79" xfId="1773" xr:uid="{00000000-0005-0000-0000-0000B63D0000}"/>
    <cellStyle name="Normal 79 2" xfId="2839" xr:uid="{00000000-0005-0000-0000-0000B73D0000}"/>
    <cellStyle name="Normal 8" xfId="248" xr:uid="{00000000-0005-0000-0000-0000B83D0000}"/>
    <cellStyle name="Normal 8 2" xfId="442" xr:uid="{00000000-0005-0000-0000-0000B93D0000}"/>
    <cellStyle name="Normal 8 2 2" xfId="2840" xr:uid="{00000000-0005-0000-0000-0000BA3D0000}"/>
    <cellStyle name="Normal 8 2 2 2" xfId="2841" xr:uid="{00000000-0005-0000-0000-0000BB3D0000}"/>
    <cellStyle name="Normal 8 2 3" xfId="2842" xr:uid="{00000000-0005-0000-0000-0000BC3D0000}"/>
    <cellStyle name="Normal 8 3" xfId="441" xr:uid="{00000000-0005-0000-0000-0000BD3D0000}"/>
    <cellStyle name="Normal 8 3 2" xfId="2843" xr:uid="{00000000-0005-0000-0000-0000BE3D0000}"/>
    <cellStyle name="Normal 8 3 3" xfId="2844" xr:uid="{00000000-0005-0000-0000-0000BF3D0000}"/>
    <cellStyle name="Normal 8 4" xfId="1774" xr:uid="{00000000-0005-0000-0000-0000C03D0000}"/>
    <cellStyle name="Normal 8 4 2" xfId="2845" xr:uid="{00000000-0005-0000-0000-0000C13D0000}"/>
    <cellStyle name="Normal 8 5" xfId="2846" xr:uid="{00000000-0005-0000-0000-0000C23D0000}"/>
    <cellStyle name="Normal 8 6" xfId="2847" xr:uid="{00000000-0005-0000-0000-0000C33D0000}"/>
    <cellStyle name="Normal 8 7" xfId="2848" xr:uid="{00000000-0005-0000-0000-0000C43D0000}"/>
    <cellStyle name="Normal 8 8" xfId="2849" xr:uid="{00000000-0005-0000-0000-0000C53D0000}"/>
    <cellStyle name="Normal 8 9" xfId="2850" xr:uid="{00000000-0005-0000-0000-0000C63D0000}"/>
    <cellStyle name="Normal 80" xfId="1775" xr:uid="{00000000-0005-0000-0000-0000C73D0000}"/>
    <cellStyle name="Normal 80 2" xfId="2851" xr:uid="{00000000-0005-0000-0000-0000C83D0000}"/>
    <cellStyle name="Normal 81" xfId="1776" xr:uid="{00000000-0005-0000-0000-0000C93D0000}"/>
    <cellStyle name="Normal 81 2" xfId="2852" xr:uid="{00000000-0005-0000-0000-0000CA3D0000}"/>
    <cellStyle name="Normal 82" xfId="1777" xr:uid="{00000000-0005-0000-0000-0000CB3D0000}"/>
    <cellStyle name="Normal 82 2" xfId="2853" xr:uid="{00000000-0005-0000-0000-0000CC3D0000}"/>
    <cellStyle name="Normal 83" xfId="1778" xr:uid="{00000000-0005-0000-0000-0000CD3D0000}"/>
    <cellStyle name="Normal 83 2" xfId="2854" xr:uid="{00000000-0005-0000-0000-0000CE3D0000}"/>
    <cellStyle name="Normal 84" xfId="1779" xr:uid="{00000000-0005-0000-0000-0000CF3D0000}"/>
    <cellStyle name="Normal 84 2" xfId="2855" xr:uid="{00000000-0005-0000-0000-0000D03D0000}"/>
    <cellStyle name="Normal 85" xfId="1780" xr:uid="{00000000-0005-0000-0000-0000D13D0000}"/>
    <cellStyle name="Normal 85 2" xfId="2856" xr:uid="{00000000-0005-0000-0000-0000D23D0000}"/>
    <cellStyle name="Normal 86" xfId="1781" xr:uid="{00000000-0005-0000-0000-0000D33D0000}"/>
    <cellStyle name="Normal 86 2" xfId="2857" xr:uid="{00000000-0005-0000-0000-0000D43D0000}"/>
    <cellStyle name="Normal 87" xfId="1782" xr:uid="{00000000-0005-0000-0000-0000D53D0000}"/>
    <cellStyle name="Normal 87 2" xfId="2858" xr:uid="{00000000-0005-0000-0000-0000D63D0000}"/>
    <cellStyle name="Normal 88" xfId="1783" xr:uid="{00000000-0005-0000-0000-0000D73D0000}"/>
    <cellStyle name="Normal 88 2" xfId="2859" xr:uid="{00000000-0005-0000-0000-0000D83D0000}"/>
    <cellStyle name="Normal 89" xfId="1784" xr:uid="{00000000-0005-0000-0000-0000D93D0000}"/>
    <cellStyle name="Normal 89 2" xfId="2860" xr:uid="{00000000-0005-0000-0000-0000DA3D0000}"/>
    <cellStyle name="Normal 9" xfId="355" xr:uid="{00000000-0005-0000-0000-0000DB3D0000}"/>
    <cellStyle name="Normal 9 10" xfId="2861" xr:uid="{00000000-0005-0000-0000-0000DC3D0000}"/>
    <cellStyle name="Normal 9 11" xfId="2862" xr:uid="{00000000-0005-0000-0000-0000DD3D0000}"/>
    <cellStyle name="Normal 9 2" xfId="518" xr:uid="{00000000-0005-0000-0000-0000DE3D0000}"/>
    <cellStyle name="Normal 9 2 2" xfId="2863" xr:uid="{00000000-0005-0000-0000-0000DF3D0000}"/>
    <cellStyle name="Normal 9 2 3" xfId="2864" xr:uid="{00000000-0005-0000-0000-0000E03D0000}"/>
    <cellStyle name="Normal 9 3" xfId="1785" xr:uid="{00000000-0005-0000-0000-0000E13D0000}"/>
    <cellStyle name="Normal 9 3 2" xfId="2865" xr:uid="{00000000-0005-0000-0000-0000E23D0000}"/>
    <cellStyle name="Normal 9 4" xfId="2866" xr:uid="{00000000-0005-0000-0000-0000E33D0000}"/>
    <cellStyle name="Normal 90" xfId="1786" xr:uid="{00000000-0005-0000-0000-0000E43D0000}"/>
    <cellStyle name="Normal 90 2" xfId="2867" xr:uid="{00000000-0005-0000-0000-0000E53D0000}"/>
    <cellStyle name="Normal 91" xfId="1787" xr:uid="{00000000-0005-0000-0000-0000E63D0000}"/>
    <cellStyle name="Normal 91 2" xfId="2868" xr:uid="{00000000-0005-0000-0000-0000E73D0000}"/>
    <cellStyle name="Normal 92" xfId="1788" xr:uid="{00000000-0005-0000-0000-0000E83D0000}"/>
    <cellStyle name="Normal 92 2" xfId="2869" xr:uid="{00000000-0005-0000-0000-0000E93D0000}"/>
    <cellStyle name="Normal 93" xfId="1789" xr:uid="{00000000-0005-0000-0000-0000EA3D0000}"/>
    <cellStyle name="Normal 94" xfId="1790" xr:uid="{00000000-0005-0000-0000-0000EB3D0000}"/>
    <cellStyle name="Normal 95" xfId="1791" xr:uid="{00000000-0005-0000-0000-0000EC3D0000}"/>
    <cellStyle name="Normal 96" xfId="1792" xr:uid="{00000000-0005-0000-0000-0000ED3D0000}"/>
    <cellStyle name="Normal 97" xfId="1793" xr:uid="{00000000-0005-0000-0000-0000EE3D0000}"/>
    <cellStyle name="Normal 98" xfId="1794" xr:uid="{00000000-0005-0000-0000-0000EF3D0000}"/>
    <cellStyle name="Normal 99" xfId="1795" xr:uid="{00000000-0005-0000-0000-0000F03D0000}"/>
    <cellStyle name="Normal GHG Numbers (0.00)" xfId="173" xr:uid="{00000000-0005-0000-0000-0000F13D0000}"/>
    <cellStyle name="Normal GHG Numbers (0.00) 2" xfId="174" xr:uid="{00000000-0005-0000-0000-0000F23D0000}"/>
    <cellStyle name="Normal GHG Numbers (0.00) 3" xfId="48" xr:uid="{00000000-0005-0000-0000-0000F33D0000}"/>
    <cellStyle name="Normal GHG Numbers (0.00) 3 2" xfId="443" xr:uid="{00000000-0005-0000-0000-0000F43D0000}"/>
    <cellStyle name="Normal GHG Numbers (0.00) 3 2 2" xfId="592" xr:uid="{00000000-0005-0000-0000-0000F53D0000}"/>
    <cellStyle name="Normal GHG Numbers (0.00) 3 2 2 10" xfId="11059" xr:uid="{00000000-0005-0000-0000-0000F63D0000}"/>
    <cellStyle name="Normal GHG Numbers (0.00) 3 2 2 11" xfId="11446" xr:uid="{00000000-0005-0000-0000-0000F73D0000}"/>
    <cellStyle name="Normal GHG Numbers (0.00) 3 2 2 12" xfId="11818" xr:uid="{00000000-0005-0000-0000-0000F83D0000}"/>
    <cellStyle name="Normal GHG Numbers (0.00) 3 2 2 13" xfId="12331" xr:uid="{00000000-0005-0000-0000-0000F93D0000}"/>
    <cellStyle name="Normal GHG Numbers (0.00) 3 2 2 14" xfId="15206" xr:uid="{00000000-0005-0000-0000-0000FA3D0000}"/>
    <cellStyle name="Normal GHG Numbers (0.00) 3 2 2 15" xfId="17516" xr:uid="{00000000-0005-0000-0000-0000FB3D0000}"/>
    <cellStyle name="Normal GHG Numbers (0.00) 3 2 2 16" xfId="18575" xr:uid="{00000000-0005-0000-0000-0000FC3D0000}"/>
    <cellStyle name="Normal GHG Numbers (0.00) 3 2 2 17" xfId="19463" xr:uid="{00000000-0005-0000-0000-0000FD3D0000}"/>
    <cellStyle name="Normal GHG Numbers (0.00) 3 2 2 2" xfId="807" xr:uid="{00000000-0005-0000-0000-0000FE3D0000}"/>
    <cellStyle name="Normal GHG Numbers (0.00) 3 2 2 2 10" xfId="11653" xr:uid="{00000000-0005-0000-0000-0000FF3D0000}"/>
    <cellStyle name="Normal GHG Numbers (0.00) 3 2 2 2 11" xfId="12024" xr:uid="{00000000-0005-0000-0000-0000003E0000}"/>
    <cellStyle name="Normal GHG Numbers (0.00) 3 2 2 2 12" xfId="12537" xr:uid="{00000000-0005-0000-0000-0000013E0000}"/>
    <cellStyle name="Normal GHG Numbers (0.00) 3 2 2 2 13" xfId="14193" xr:uid="{00000000-0005-0000-0000-0000023E0000}"/>
    <cellStyle name="Normal GHG Numbers (0.00) 3 2 2 2 14" xfId="17466" xr:uid="{00000000-0005-0000-0000-0000033E0000}"/>
    <cellStyle name="Normal GHG Numbers (0.00) 3 2 2 2 15" xfId="15448" xr:uid="{00000000-0005-0000-0000-0000043E0000}"/>
    <cellStyle name="Normal GHG Numbers (0.00) 3 2 2 2 16" xfId="17540" xr:uid="{00000000-0005-0000-0000-0000053E0000}"/>
    <cellStyle name="Normal GHG Numbers (0.00) 3 2 2 2 2" xfId="1125" xr:uid="{00000000-0005-0000-0000-0000063E0000}"/>
    <cellStyle name="Normal GHG Numbers (0.00) 3 2 2 2 2 2" xfId="12854" xr:uid="{00000000-0005-0000-0000-0000073E0000}"/>
    <cellStyle name="Normal GHG Numbers (0.00) 3 2 2 2 2 3" xfId="13893" xr:uid="{00000000-0005-0000-0000-0000083E0000}"/>
    <cellStyle name="Normal GHG Numbers (0.00) 3 2 2 2 2 4" xfId="17317" xr:uid="{00000000-0005-0000-0000-0000093E0000}"/>
    <cellStyle name="Normal GHG Numbers (0.00) 3 2 2 2 2 5" xfId="14711" xr:uid="{00000000-0005-0000-0000-00000A3E0000}"/>
    <cellStyle name="Normal GHG Numbers (0.00) 3 2 2 2 2 6" xfId="19269" xr:uid="{00000000-0005-0000-0000-00000B3E0000}"/>
    <cellStyle name="Normal GHG Numbers (0.00) 3 2 2 2 3" xfId="4195" xr:uid="{00000000-0005-0000-0000-00000C3E0000}"/>
    <cellStyle name="Normal GHG Numbers (0.00) 3 2 2 2 4" xfId="9198" xr:uid="{00000000-0005-0000-0000-00000D3E0000}"/>
    <cellStyle name="Normal GHG Numbers (0.00) 3 2 2 2 5" xfId="9708" xr:uid="{00000000-0005-0000-0000-00000E3E0000}"/>
    <cellStyle name="Normal GHG Numbers (0.00) 3 2 2 2 6" xfId="10137" xr:uid="{00000000-0005-0000-0000-00000F3E0000}"/>
    <cellStyle name="Normal GHG Numbers (0.00) 3 2 2 2 7" xfId="10549" xr:uid="{00000000-0005-0000-0000-0000103E0000}"/>
    <cellStyle name="Normal GHG Numbers (0.00) 3 2 2 2 8" xfId="8926" xr:uid="{00000000-0005-0000-0000-0000113E0000}"/>
    <cellStyle name="Normal GHG Numbers (0.00) 3 2 2 2 9" xfId="11268" xr:uid="{00000000-0005-0000-0000-0000123E0000}"/>
    <cellStyle name="Normal GHG Numbers (0.00) 3 2 2 3" xfId="1073" xr:uid="{00000000-0005-0000-0000-0000133E0000}"/>
    <cellStyle name="Normal GHG Numbers (0.00) 3 2 2 3 2" xfId="12802" xr:uid="{00000000-0005-0000-0000-0000143E0000}"/>
    <cellStyle name="Normal GHG Numbers (0.00) 3 2 2 3 3" xfId="15317" xr:uid="{00000000-0005-0000-0000-0000153E0000}"/>
    <cellStyle name="Normal GHG Numbers (0.00) 3 2 2 3 4" xfId="17357" xr:uid="{00000000-0005-0000-0000-0000163E0000}"/>
    <cellStyle name="Normal GHG Numbers (0.00) 3 2 2 3 5" xfId="13980" xr:uid="{00000000-0005-0000-0000-0000173E0000}"/>
    <cellStyle name="Normal GHG Numbers (0.00) 3 2 2 3 6" xfId="19309" xr:uid="{00000000-0005-0000-0000-0000183E0000}"/>
    <cellStyle name="Normal GHG Numbers (0.00) 3 2 2 4" xfId="4093" xr:uid="{00000000-0005-0000-0000-0000193E0000}"/>
    <cellStyle name="Normal GHG Numbers (0.00) 3 2 2 5" xfId="9229" xr:uid="{00000000-0005-0000-0000-00001A3E0000}"/>
    <cellStyle name="Normal GHG Numbers (0.00) 3 2 2 6" xfId="9496" xr:uid="{00000000-0005-0000-0000-00001B3E0000}"/>
    <cellStyle name="Normal GHG Numbers (0.00) 3 2 2 7" xfId="9923" xr:uid="{00000000-0005-0000-0000-00001C3E0000}"/>
    <cellStyle name="Normal GHG Numbers (0.00) 3 2 2 8" xfId="10335" xr:uid="{00000000-0005-0000-0000-00001D3E0000}"/>
    <cellStyle name="Normal GHG Numbers (0.00) 3 2 2 9" xfId="9303" xr:uid="{00000000-0005-0000-0000-00001E3E0000}"/>
    <cellStyle name="Normal GHG Numbers (0.00) 3 2 3" xfId="733" xr:uid="{00000000-0005-0000-0000-00001F3E0000}"/>
    <cellStyle name="Normal GHG Numbers (0.00) 3 2 3 10" xfId="11579" xr:uid="{00000000-0005-0000-0000-0000203E0000}"/>
    <cellStyle name="Normal GHG Numbers (0.00) 3 2 3 11" xfId="11950" xr:uid="{00000000-0005-0000-0000-0000213E0000}"/>
    <cellStyle name="Normal GHG Numbers (0.00) 3 2 3 12" xfId="12463" xr:uid="{00000000-0005-0000-0000-0000223E0000}"/>
    <cellStyle name="Normal GHG Numbers (0.00) 3 2 3 13" xfId="16179" xr:uid="{00000000-0005-0000-0000-0000233E0000}"/>
    <cellStyle name="Normal GHG Numbers (0.00) 3 2 3 14" xfId="16272" xr:uid="{00000000-0005-0000-0000-0000243E0000}"/>
    <cellStyle name="Normal GHG Numbers (0.00) 3 2 3 15" xfId="15070" xr:uid="{00000000-0005-0000-0000-0000253E0000}"/>
    <cellStyle name="Normal GHG Numbers (0.00) 3 2 3 16" xfId="17668" xr:uid="{00000000-0005-0000-0000-0000263E0000}"/>
    <cellStyle name="Normal GHG Numbers (0.00) 3 2 3 2" xfId="1275" xr:uid="{00000000-0005-0000-0000-0000273E0000}"/>
    <cellStyle name="Normal GHG Numbers (0.00) 3 2 3 2 2" xfId="13004" xr:uid="{00000000-0005-0000-0000-0000283E0000}"/>
    <cellStyle name="Normal GHG Numbers (0.00) 3 2 3 2 3" xfId="15403" xr:uid="{00000000-0005-0000-0000-0000293E0000}"/>
    <cellStyle name="Normal GHG Numbers (0.00) 3 2 3 2 4" xfId="14870" xr:uid="{00000000-0005-0000-0000-00002A3E0000}"/>
    <cellStyle name="Normal GHG Numbers (0.00) 3 2 3 2 5" xfId="18140" xr:uid="{00000000-0005-0000-0000-00002B3E0000}"/>
    <cellStyle name="Normal GHG Numbers (0.00) 3 2 3 2 6" xfId="19156" xr:uid="{00000000-0005-0000-0000-00002C3E0000}"/>
    <cellStyle name="Normal GHG Numbers (0.00) 3 2 3 3" xfId="3883" xr:uid="{00000000-0005-0000-0000-00002D3E0000}"/>
    <cellStyle name="Normal GHG Numbers (0.00) 3 2 3 4" xfId="8854" xr:uid="{00000000-0005-0000-0000-00002E3E0000}"/>
    <cellStyle name="Normal GHG Numbers (0.00) 3 2 3 5" xfId="9634" xr:uid="{00000000-0005-0000-0000-00002F3E0000}"/>
    <cellStyle name="Normal GHG Numbers (0.00) 3 2 3 6" xfId="10063" xr:uid="{00000000-0005-0000-0000-0000303E0000}"/>
    <cellStyle name="Normal GHG Numbers (0.00) 3 2 3 7" xfId="10475" xr:uid="{00000000-0005-0000-0000-0000313E0000}"/>
    <cellStyle name="Normal GHG Numbers (0.00) 3 2 3 8" xfId="10832" xr:uid="{00000000-0005-0000-0000-0000323E0000}"/>
    <cellStyle name="Normal GHG Numbers (0.00) 3 2 3 9" xfId="11194" xr:uid="{00000000-0005-0000-0000-0000333E0000}"/>
    <cellStyle name="Normal GHG Numbers (0.00) 3 3" xfId="373" xr:uid="{00000000-0005-0000-0000-0000343E0000}"/>
    <cellStyle name="Normal GHG Numbers (0.00) 3 3 10" xfId="9183" xr:uid="{00000000-0005-0000-0000-0000353E0000}"/>
    <cellStyle name="Normal GHG Numbers (0.00) 3 3 11" xfId="10797" xr:uid="{00000000-0005-0000-0000-0000363E0000}"/>
    <cellStyle name="Normal GHG Numbers (0.00) 3 3 12" xfId="10817" xr:uid="{00000000-0005-0000-0000-0000373E0000}"/>
    <cellStyle name="Normal GHG Numbers (0.00) 3 3 13" xfId="10685" xr:uid="{00000000-0005-0000-0000-0000383E0000}"/>
    <cellStyle name="Normal GHG Numbers (0.00) 3 3 14" xfId="8951" xr:uid="{00000000-0005-0000-0000-0000393E0000}"/>
    <cellStyle name="Normal GHG Numbers (0.00) 3 3 15" xfId="12251" xr:uid="{00000000-0005-0000-0000-00003A3E0000}"/>
    <cellStyle name="Normal GHG Numbers (0.00) 3 3 16" xfId="16448" xr:uid="{00000000-0005-0000-0000-00003B3E0000}"/>
    <cellStyle name="Normal GHG Numbers (0.00) 3 3 17" xfId="17574" xr:uid="{00000000-0005-0000-0000-00003C3E0000}"/>
    <cellStyle name="Normal GHG Numbers (0.00) 3 3 18" xfId="14376" xr:uid="{00000000-0005-0000-0000-00003D3E0000}"/>
    <cellStyle name="Normal GHG Numbers (0.00) 3 3 19" xfId="19486" xr:uid="{00000000-0005-0000-0000-00003E3E0000}"/>
    <cellStyle name="Normal GHG Numbers (0.00) 3 3 2" xfId="651" xr:uid="{00000000-0005-0000-0000-00003F3E0000}"/>
    <cellStyle name="Normal GHG Numbers (0.00) 3 3 2 10" xfId="11118" xr:uid="{00000000-0005-0000-0000-0000403E0000}"/>
    <cellStyle name="Normal GHG Numbers (0.00) 3 3 2 11" xfId="11505" xr:uid="{00000000-0005-0000-0000-0000413E0000}"/>
    <cellStyle name="Normal GHG Numbers (0.00) 3 3 2 12" xfId="11877" xr:uid="{00000000-0005-0000-0000-0000423E0000}"/>
    <cellStyle name="Normal GHG Numbers (0.00) 3 3 2 13" xfId="12390" xr:uid="{00000000-0005-0000-0000-0000433E0000}"/>
    <cellStyle name="Normal GHG Numbers (0.00) 3 3 2 14" xfId="16696" xr:uid="{00000000-0005-0000-0000-0000443E0000}"/>
    <cellStyle name="Normal GHG Numbers (0.00) 3 3 2 15" xfId="16575" xr:uid="{00000000-0005-0000-0000-0000453E0000}"/>
    <cellStyle name="Normal GHG Numbers (0.00) 3 3 2 16" xfId="18246" xr:uid="{00000000-0005-0000-0000-0000463E0000}"/>
    <cellStyle name="Normal GHG Numbers (0.00) 3 3 2 17" xfId="19602" xr:uid="{00000000-0005-0000-0000-0000473E0000}"/>
    <cellStyle name="Normal GHG Numbers (0.00) 3 3 2 2" xfId="866" xr:uid="{00000000-0005-0000-0000-0000483E0000}"/>
    <cellStyle name="Normal GHG Numbers (0.00) 3 3 2 2 10" xfId="11712" xr:uid="{00000000-0005-0000-0000-0000493E0000}"/>
    <cellStyle name="Normal GHG Numbers (0.00) 3 3 2 2 11" xfId="12083" xr:uid="{00000000-0005-0000-0000-00004A3E0000}"/>
    <cellStyle name="Normal GHG Numbers (0.00) 3 3 2 2 12" xfId="12596" xr:uid="{00000000-0005-0000-0000-00004B3E0000}"/>
    <cellStyle name="Normal GHG Numbers (0.00) 3 3 2 2 13" xfId="16057" xr:uid="{00000000-0005-0000-0000-00004C3E0000}"/>
    <cellStyle name="Normal GHG Numbers (0.00) 3 3 2 2 14" xfId="16097" xr:uid="{00000000-0005-0000-0000-00004D3E0000}"/>
    <cellStyle name="Normal GHG Numbers (0.00) 3 3 2 2 15" xfId="16967" xr:uid="{00000000-0005-0000-0000-00004E3E0000}"/>
    <cellStyle name="Normal GHG Numbers (0.00) 3 3 2 2 16" xfId="17862" xr:uid="{00000000-0005-0000-0000-00004F3E0000}"/>
    <cellStyle name="Normal GHG Numbers (0.00) 3 3 2 2 2" xfId="1153" xr:uid="{00000000-0005-0000-0000-0000503E0000}"/>
    <cellStyle name="Normal GHG Numbers (0.00) 3 3 2 2 2 2" xfId="12882" xr:uid="{00000000-0005-0000-0000-0000513E0000}"/>
    <cellStyle name="Normal GHG Numbers (0.00) 3 3 2 2 2 3" xfId="15336" xr:uid="{00000000-0005-0000-0000-0000523E0000}"/>
    <cellStyle name="Normal GHG Numbers (0.00) 3 3 2 2 2 4" xfId="17295" xr:uid="{00000000-0005-0000-0000-0000533E0000}"/>
    <cellStyle name="Normal GHG Numbers (0.00) 3 3 2 2 2 5" xfId="17019" xr:uid="{00000000-0005-0000-0000-0000543E0000}"/>
    <cellStyle name="Normal GHG Numbers (0.00) 3 3 2 2 2 6" xfId="19247" xr:uid="{00000000-0005-0000-0000-0000553E0000}"/>
    <cellStyle name="Normal GHG Numbers (0.00) 3 3 2 2 3" xfId="4081" xr:uid="{00000000-0005-0000-0000-0000563E0000}"/>
    <cellStyle name="Normal GHG Numbers (0.00) 3 3 2 2 4" xfId="9339" xr:uid="{00000000-0005-0000-0000-0000573E0000}"/>
    <cellStyle name="Normal GHG Numbers (0.00) 3 3 2 2 5" xfId="9767" xr:uid="{00000000-0005-0000-0000-0000583E0000}"/>
    <cellStyle name="Normal GHG Numbers (0.00) 3 3 2 2 6" xfId="10196" xr:uid="{00000000-0005-0000-0000-0000593E0000}"/>
    <cellStyle name="Normal GHG Numbers (0.00) 3 3 2 2 7" xfId="10608" xr:uid="{00000000-0005-0000-0000-00005A3E0000}"/>
    <cellStyle name="Normal GHG Numbers (0.00) 3 3 2 2 8" xfId="9824" xr:uid="{00000000-0005-0000-0000-00005B3E0000}"/>
    <cellStyle name="Normal GHG Numbers (0.00) 3 3 2 2 9" xfId="11327" xr:uid="{00000000-0005-0000-0000-00005C3E0000}"/>
    <cellStyle name="Normal GHG Numbers (0.00) 3 3 2 3" xfId="925" xr:uid="{00000000-0005-0000-0000-00005D3E0000}"/>
    <cellStyle name="Normal GHG Numbers (0.00) 3 3 2 3 2" xfId="12654" xr:uid="{00000000-0005-0000-0000-00005E3E0000}"/>
    <cellStyle name="Normal GHG Numbers (0.00) 3 3 2 3 3" xfId="16122" xr:uid="{00000000-0005-0000-0000-00005F3E0000}"/>
    <cellStyle name="Normal GHG Numbers (0.00) 3 3 2 3 4" xfId="15183" xr:uid="{00000000-0005-0000-0000-0000603E0000}"/>
    <cellStyle name="Normal GHG Numbers (0.00) 3 3 2 3 5" xfId="17096" xr:uid="{00000000-0005-0000-0000-0000613E0000}"/>
    <cellStyle name="Normal GHG Numbers (0.00) 3 3 2 3 6" xfId="18076" xr:uid="{00000000-0005-0000-0000-0000623E0000}"/>
    <cellStyle name="Normal GHG Numbers (0.00) 3 3 2 4" xfId="3734" xr:uid="{00000000-0005-0000-0000-0000633E0000}"/>
    <cellStyle name="Normal GHG Numbers (0.00) 3 3 2 5" xfId="9000" xr:uid="{00000000-0005-0000-0000-0000643E0000}"/>
    <cellStyle name="Normal GHG Numbers (0.00) 3 3 2 6" xfId="9555" xr:uid="{00000000-0005-0000-0000-0000653E0000}"/>
    <cellStyle name="Normal GHG Numbers (0.00) 3 3 2 7" xfId="9982" xr:uid="{00000000-0005-0000-0000-0000663E0000}"/>
    <cellStyle name="Normal GHG Numbers (0.00) 3 3 2 8" xfId="10394" xr:uid="{00000000-0005-0000-0000-0000673E0000}"/>
    <cellStyle name="Normal GHG Numbers (0.00) 3 3 2 9" xfId="10856" xr:uid="{00000000-0005-0000-0000-0000683E0000}"/>
    <cellStyle name="Normal GHG Numbers (0.00) 3 3 3" xfId="548" xr:uid="{00000000-0005-0000-0000-0000693E0000}"/>
    <cellStyle name="Normal GHG Numbers (0.00) 3 3 3 10" xfId="11015" xr:uid="{00000000-0005-0000-0000-00006A3E0000}"/>
    <cellStyle name="Normal GHG Numbers (0.00) 3 3 3 11" xfId="11402" xr:uid="{00000000-0005-0000-0000-00006B3E0000}"/>
    <cellStyle name="Normal GHG Numbers (0.00) 3 3 3 12" xfId="11774" xr:uid="{00000000-0005-0000-0000-00006C3E0000}"/>
    <cellStyle name="Normal GHG Numbers (0.00) 3 3 3 13" xfId="12287" xr:uid="{00000000-0005-0000-0000-00006D3E0000}"/>
    <cellStyle name="Normal GHG Numbers (0.00) 3 3 3 14" xfId="15196" xr:uid="{00000000-0005-0000-0000-00006E3E0000}"/>
    <cellStyle name="Normal GHG Numbers (0.00) 3 3 3 15" xfId="17526" xr:uid="{00000000-0005-0000-0000-00006F3E0000}"/>
    <cellStyle name="Normal GHG Numbers (0.00) 3 3 3 16" xfId="18382" xr:uid="{00000000-0005-0000-0000-0000703E0000}"/>
    <cellStyle name="Normal GHG Numbers (0.00) 3 3 3 17" xfId="19473" xr:uid="{00000000-0005-0000-0000-0000713E0000}"/>
    <cellStyle name="Normal GHG Numbers (0.00) 3 3 3 2" xfId="763" xr:uid="{00000000-0005-0000-0000-0000723E0000}"/>
    <cellStyle name="Normal GHG Numbers (0.00) 3 3 3 2 10" xfId="11609" xr:uid="{00000000-0005-0000-0000-0000733E0000}"/>
    <cellStyle name="Normal GHG Numbers (0.00) 3 3 3 2 11" xfId="11980" xr:uid="{00000000-0005-0000-0000-0000743E0000}"/>
    <cellStyle name="Normal GHG Numbers (0.00) 3 3 3 2 12" xfId="12493" xr:uid="{00000000-0005-0000-0000-0000753E0000}"/>
    <cellStyle name="Normal GHG Numbers (0.00) 3 3 3 2 13" xfId="15149" xr:uid="{00000000-0005-0000-0000-0000763E0000}"/>
    <cellStyle name="Normal GHG Numbers (0.00) 3 3 3 2 14" xfId="14486" xr:uid="{00000000-0005-0000-0000-0000773E0000}"/>
    <cellStyle name="Normal GHG Numbers (0.00) 3 3 3 2 15" xfId="14028" xr:uid="{00000000-0005-0000-0000-0000783E0000}"/>
    <cellStyle name="Normal GHG Numbers (0.00) 3 3 3 2 16" xfId="18421" xr:uid="{00000000-0005-0000-0000-0000793E0000}"/>
    <cellStyle name="Normal GHG Numbers (0.00) 3 3 3 2 2" xfId="1044" xr:uid="{00000000-0005-0000-0000-00007A3E0000}"/>
    <cellStyle name="Normal GHG Numbers (0.00) 3 3 3 2 2 2" xfId="12773" xr:uid="{00000000-0005-0000-0000-00007B3E0000}"/>
    <cellStyle name="Normal GHG Numbers (0.00) 3 3 3 2 2 3" xfId="15302" xr:uid="{00000000-0005-0000-0000-00007C3E0000}"/>
    <cellStyle name="Normal GHG Numbers (0.00) 3 3 3 2 2 4" xfId="16421" xr:uid="{00000000-0005-0000-0000-00007D3E0000}"/>
    <cellStyle name="Normal GHG Numbers (0.00) 3 3 3 2 2 5" xfId="14256" xr:uid="{00000000-0005-0000-0000-00007E3E0000}"/>
    <cellStyle name="Normal GHG Numbers (0.00) 3 3 3 2 2 6" xfId="19330" xr:uid="{00000000-0005-0000-0000-00007F3E0000}"/>
    <cellStyle name="Normal GHG Numbers (0.00) 3 3 3 2 3" xfId="3890" xr:uid="{00000000-0005-0000-0000-0000803E0000}"/>
    <cellStyle name="Normal GHG Numbers (0.00) 3 3 3 2 4" xfId="8774" xr:uid="{00000000-0005-0000-0000-0000813E0000}"/>
    <cellStyle name="Normal GHG Numbers (0.00) 3 3 3 2 5" xfId="9664" xr:uid="{00000000-0005-0000-0000-0000823E0000}"/>
    <cellStyle name="Normal GHG Numbers (0.00) 3 3 3 2 6" xfId="10093" xr:uid="{00000000-0005-0000-0000-0000833E0000}"/>
    <cellStyle name="Normal GHG Numbers (0.00) 3 3 3 2 7" xfId="10505" xr:uid="{00000000-0005-0000-0000-0000843E0000}"/>
    <cellStyle name="Normal GHG Numbers (0.00) 3 3 3 2 8" xfId="9237" xr:uid="{00000000-0005-0000-0000-0000853E0000}"/>
    <cellStyle name="Normal GHG Numbers (0.00) 3 3 3 2 9" xfId="11224" xr:uid="{00000000-0005-0000-0000-0000863E0000}"/>
    <cellStyle name="Normal GHG Numbers (0.00) 3 3 3 3" xfId="994" xr:uid="{00000000-0005-0000-0000-0000873E0000}"/>
    <cellStyle name="Normal GHG Numbers (0.00) 3 3 3 3 2" xfId="12723" xr:uid="{00000000-0005-0000-0000-0000883E0000}"/>
    <cellStyle name="Normal GHG Numbers (0.00) 3 3 3 3 3" xfId="14527" xr:uid="{00000000-0005-0000-0000-0000893E0000}"/>
    <cellStyle name="Normal GHG Numbers (0.00) 3 3 3 3 4" xfId="17395" xr:uid="{00000000-0005-0000-0000-00008A3E0000}"/>
    <cellStyle name="Normal GHG Numbers (0.00) 3 3 3 3 5" xfId="15494" xr:uid="{00000000-0005-0000-0000-00008B3E0000}"/>
    <cellStyle name="Normal GHG Numbers (0.00) 3 3 3 3 6" xfId="14144" xr:uid="{00000000-0005-0000-0000-00008C3E0000}"/>
    <cellStyle name="Normal GHG Numbers (0.00) 3 3 3 4" xfId="3804" xr:uid="{00000000-0005-0000-0000-00008D3E0000}"/>
    <cellStyle name="Normal GHG Numbers (0.00) 3 3 3 5" xfId="9012" xr:uid="{00000000-0005-0000-0000-00008E3E0000}"/>
    <cellStyle name="Normal GHG Numbers (0.00) 3 3 3 6" xfId="9452" xr:uid="{00000000-0005-0000-0000-00008F3E0000}"/>
    <cellStyle name="Normal GHG Numbers (0.00) 3 3 3 7" xfId="9879" xr:uid="{00000000-0005-0000-0000-0000903E0000}"/>
    <cellStyle name="Normal GHG Numbers (0.00) 3 3 3 8" xfId="10291" xr:uid="{00000000-0005-0000-0000-0000913E0000}"/>
    <cellStyle name="Normal GHG Numbers (0.00) 3 3 3 9" xfId="10845" xr:uid="{00000000-0005-0000-0000-0000923E0000}"/>
    <cellStyle name="Normal GHG Numbers (0.00) 3 3 4" xfId="681" xr:uid="{00000000-0005-0000-0000-0000933E0000}"/>
    <cellStyle name="Normal GHG Numbers (0.00) 3 3 4 10" xfId="11148" xr:uid="{00000000-0005-0000-0000-0000943E0000}"/>
    <cellStyle name="Normal GHG Numbers (0.00) 3 3 4 11" xfId="11535" xr:uid="{00000000-0005-0000-0000-0000953E0000}"/>
    <cellStyle name="Normal GHG Numbers (0.00) 3 3 4 12" xfId="11907" xr:uid="{00000000-0005-0000-0000-0000963E0000}"/>
    <cellStyle name="Normal GHG Numbers (0.00) 3 3 4 13" xfId="12420" xr:uid="{00000000-0005-0000-0000-0000973E0000}"/>
    <cellStyle name="Normal GHG Numbers (0.00) 3 3 4 14" xfId="16360" xr:uid="{00000000-0005-0000-0000-0000983E0000}"/>
    <cellStyle name="Normal GHG Numbers (0.00) 3 3 4 15" xfId="14862" xr:uid="{00000000-0005-0000-0000-0000993E0000}"/>
    <cellStyle name="Normal GHG Numbers (0.00) 3 3 4 16" xfId="15673" xr:uid="{00000000-0005-0000-0000-00009A3E0000}"/>
    <cellStyle name="Normal GHG Numbers (0.00) 3 3 4 17" xfId="18155" xr:uid="{00000000-0005-0000-0000-00009B3E0000}"/>
    <cellStyle name="Normal GHG Numbers (0.00) 3 3 4 2" xfId="896" xr:uid="{00000000-0005-0000-0000-00009C3E0000}"/>
    <cellStyle name="Normal GHG Numbers (0.00) 3 3 4 2 10" xfId="11742" xr:uid="{00000000-0005-0000-0000-00009D3E0000}"/>
    <cellStyle name="Normal GHG Numbers (0.00) 3 3 4 2 11" xfId="12113" xr:uid="{00000000-0005-0000-0000-00009E3E0000}"/>
    <cellStyle name="Normal GHG Numbers (0.00) 3 3 4 2 12" xfId="12626" xr:uid="{00000000-0005-0000-0000-00009F3E0000}"/>
    <cellStyle name="Normal GHG Numbers (0.00) 3 3 4 2 13" xfId="15115" xr:uid="{00000000-0005-0000-0000-0000A03E0000}"/>
    <cellStyle name="Normal GHG Numbers (0.00) 3 3 4 2 14" xfId="14883" xr:uid="{00000000-0005-0000-0000-0000A13E0000}"/>
    <cellStyle name="Normal GHG Numbers (0.00) 3 3 4 2 15" xfId="13792" xr:uid="{00000000-0005-0000-0000-0000A23E0000}"/>
    <cellStyle name="Normal GHG Numbers (0.00) 3 3 4 2 16" xfId="17577" xr:uid="{00000000-0005-0000-0000-0000A33E0000}"/>
    <cellStyle name="Normal GHG Numbers (0.00) 3 3 4 2 2" xfId="1398" xr:uid="{00000000-0005-0000-0000-0000A43E0000}"/>
    <cellStyle name="Normal GHG Numbers (0.00) 3 3 4 2 2 2" xfId="13127" xr:uid="{00000000-0005-0000-0000-0000A53E0000}"/>
    <cellStyle name="Normal GHG Numbers (0.00) 3 3 4 2 2 3" xfId="16067" xr:uid="{00000000-0005-0000-0000-0000A63E0000}"/>
    <cellStyle name="Normal GHG Numbers (0.00) 3 3 4 2 2 4" xfId="16574" xr:uid="{00000000-0005-0000-0000-0000A73E0000}"/>
    <cellStyle name="Normal GHG Numbers (0.00) 3 3 4 2 2 5" xfId="17598" xr:uid="{00000000-0005-0000-0000-0000A83E0000}"/>
    <cellStyle name="Normal GHG Numbers (0.00) 3 3 4 2 2 6" xfId="18563" xr:uid="{00000000-0005-0000-0000-0000A93E0000}"/>
    <cellStyle name="Normal GHG Numbers (0.00) 3 3 4 2 3" xfId="4250" xr:uid="{00000000-0005-0000-0000-0000AA3E0000}"/>
    <cellStyle name="Normal GHG Numbers (0.00) 3 3 4 2 4" xfId="9369" xr:uid="{00000000-0005-0000-0000-0000AB3E0000}"/>
    <cellStyle name="Normal GHG Numbers (0.00) 3 3 4 2 5" xfId="9797" xr:uid="{00000000-0005-0000-0000-0000AC3E0000}"/>
    <cellStyle name="Normal GHG Numbers (0.00) 3 3 4 2 6" xfId="10226" xr:uid="{00000000-0005-0000-0000-0000AD3E0000}"/>
    <cellStyle name="Normal GHG Numbers (0.00) 3 3 4 2 7" xfId="10638" xr:uid="{00000000-0005-0000-0000-0000AE3E0000}"/>
    <cellStyle name="Normal GHG Numbers (0.00) 3 3 4 2 8" xfId="10968" xr:uid="{00000000-0005-0000-0000-0000AF3E0000}"/>
    <cellStyle name="Normal GHG Numbers (0.00) 3 3 4 2 9" xfId="11357" xr:uid="{00000000-0005-0000-0000-0000B03E0000}"/>
    <cellStyle name="Normal GHG Numbers (0.00) 3 3 4 3" xfId="1372" xr:uid="{00000000-0005-0000-0000-0000B13E0000}"/>
    <cellStyle name="Normal GHG Numbers (0.00) 3 3 4 3 2" xfId="13101" xr:uid="{00000000-0005-0000-0000-0000B23E0000}"/>
    <cellStyle name="Normal GHG Numbers (0.00) 3 3 4 3 3" xfId="13863" xr:uid="{00000000-0005-0000-0000-0000B33E0000}"/>
    <cellStyle name="Normal GHG Numbers (0.00) 3 3 4 3 4" xfId="16478" xr:uid="{00000000-0005-0000-0000-0000B43E0000}"/>
    <cellStyle name="Normal GHG Numbers (0.00) 3 3 4 3 5" xfId="15698" xr:uid="{00000000-0005-0000-0000-0000B53E0000}"/>
    <cellStyle name="Normal GHG Numbers (0.00) 3 3 4 3 6" xfId="19088" xr:uid="{00000000-0005-0000-0000-0000B63E0000}"/>
    <cellStyle name="Normal GHG Numbers (0.00) 3 3 4 4" xfId="4101" xr:uid="{00000000-0005-0000-0000-0000B73E0000}"/>
    <cellStyle name="Normal GHG Numbers (0.00) 3 3 4 5" xfId="8780" xr:uid="{00000000-0005-0000-0000-0000B83E0000}"/>
    <cellStyle name="Normal GHG Numbers (0.00) 3 3 4 6" xfId="9585" xr:uid="{00000000-0005-0000-0000-0000B93E0000}"/>
    <cellStyle name="Normal GHG Numbers (0.00) 3 3 4 7" xfId="10012" xr:uid="{00000000-0005-0000-0000-0000BA3E0000}"/>
    <cellStyle name="Normal GHG Numbers (0.00) 3 3 4 8" xfId="10424" xr:uid="{00000000-0005-0000-0000-0000BB3E0000}"/>
    <cellStyle name="Normal GHG Numbers (0.00) 3 3 4 9" xfId="10926" xr:uid="{00000000-0005-0000-0000-0000BC3E0000}"/>
    <cellStyle name="Normal GHG Numbers (0.00) 3 3 5" xfId="1220" xr:uid="{00000000-0005-0000-0000-0000BD3E0000}"/>
    <cellStyle name="Normal GHG Numbers (0.00) 3 3 5 2" xfId="12949" xr:uid="{00000000-0005-0000-0000-0000BE3E0000}"/>
    <cellStyle name="Normal GHG Numbers (0.00) 3 3 5 3" xfId="15377" xr:uid="{00000000-0005-0000-0000-0000BF3E0000}"/>
    <cellStyle name="Normal GHG Numbers (0.00) 3 3 5 4" xfId="17241" xr:uid="{00000000-0005-0000-0000-0000C03E0000}"/>
    <cellStyle name="Normal GHG Numbers (0.00) 3 3 5 5" xfId="14491" xr:uid="{00000000-0005-0000-0000-0000C13E0000}"/>
    <cellStyle name="Normal GHG Numbers (0.00) 3 3 5 6" xfId="19193" xr:uid="{00000000-0005-0000-0000-0000C23E0000}"/>
    <cellStyle name="Normal GHG Numbers (0.00) 3 3 6" xfId="3563" xr:uid="{00000000-0005-0000-0000-0000C33E0000}"/>
    <cellStyle name="Normal GHG Numbers (0.00) 3 3 7" xfId="8866" xr:uid="{00000000-0005-0000-0000-0000C43E0000}"/>
    <cellStyle name="Normal GHG Numbers (0.00) 3 3 8" xfId="9083" xr:uid="{00000000-0005-0000-0000-0000C53E0000}"/>
    <cellStyle name="Normal GHG Numbers (0.00) 3 3 9" xfId="9302" xr:uid="{00000000-0005-0000-0000-0000C63E0000}"/>
    <cellStyle name="Normal GHG Numbers (0.00) 3 4" xfId="175" xr:uid="{00000000-0005-0000-0000-0000C73E0000}"/>
    <cellStyle name="Normal GHG Numbers (0.00) 3 4 2" xfId="3259" xr:uid="{00000000-0005-0000-0000-0000C83E0000}"/>
    <cellStyle name="Normal GHG Numbers (0.00) 3 4 2 2" xfId="13523" xr:uid="{00000000-0005-0000-0000-0000C93E0000}"/>
    <cellStyle name="Normal GHG Numbers (0.00) 3 4 2 3" xfId="16892" xr:uid="{00000000-0005-0000-0000-0000CA3E0000}"/>
    <cellStyle name="Normal GHG Numbers (0.00) 3 4 2 4" xfId="18003" xr:uid="{00000000-0005-0000-0000-0000CB3E0000}"/>
    <cellStyle name="Normal GHG Numbers (0.00) 3 4 2 5" xfId="19000" xr:uid="{00000000-0005-0000-0000-0000CC3E0000}"/>
    <cellStyle name="Normal GHG Numbers (0.00) 3 4 2 6" xfId="19741" xr:uid="{00000000-0005-0000-0000-0000CD3E0000}"/>
    <cellStyle name="Normal GHG Numbers (0.00) 3 4 3" xfId="9052" xr:uid="{00000000-0005-0000-0000-0000CE3E0000}"/>
    <cellStyle name="Normal GHG Numbers (0.00) 3 4 4" xfId="13822" xr:uid="{00000000-0005-0000-0000-0000CF3E0000}"/>
    <cellStyle name="Normal GHG Textfiels Bold" xfId="15" xr:uid="{00000000-0005-0000-0000-0000D03E0000}"/>
    <cellStyle name="Normal GHG Textfiels Bold 2" xfId="176" xr:uid="{00000000-0005-0000-0000-0000D13E0000}"/>
    <cellStyle name="Normal GHG Textfiels Bold 3" xfId="177" xr:uid="{00000000-0005-0000-0000-0000D23E0000}"/>
    <cellStyle name="Normal GHG Textfiels Bold 3 2" xfId="444" xr:uid="{00000000-0005-0000-0000-0000D33E0000}"/>
    <cellStyle name="Normal GHG Textfiels Bold 3 2 2" xfId="536" xr:uid="{00000000-0005-0000-0000-0000D43E0000}"/>
    <cellStyle name="Normal GHG Textfiels Bold 3 2 2 10" xfId="11003" xr:uid="{00000000-0005-0000-0000-0000D53E0000}"/>
    <cellStyle name="Normal GHG Textfiels Bold 3 2 2 11" xfId="11390" xr:uid="{00000000-0005-0000-0000-0000D63E0000}"/>
    <cellStyle name="Normal GHG Textfiels Bold 3 2 2 12" xfId="11762" xr:uid="{00000000-0005-0000-0000-0000D73E0000}"/>
    <cellStyle name="Normal GHG Textfiels Bold 3 2 2 13" xfId="12275" xr:uid="{00000000-0005-0000-0000-0000D83E0000}"/>
    <cellStyle name="Normal GHG Textfiels Bold 3 2 2 14" xfId="14976" xr:uid="{00000000-0005-0000-0000-0000D93E0000}"/>
    <cellStyle name="Normal GHG Textfiels Bold 3 2 2 15" xfId="16184" xr:uid="{00000000-0005-0000-0000-0000DA3E0000}"/>
    <cellStyle name="Normal GHG Textfiels Bold 3 2 2 16" xfId="17594" xr:uid="{00000000-0005-0000-0000-0000DB3E0000}"/>
    <cellStyle name="Normal GHG Textfiels Bold 3 2 2 17" xfId="18544" xr:uid="{00000000-0005-0000-0000-0000DC3E0000}"/>
    <cellStyle name="Normal GHG Textfiels Bold 3 2 2 2" xfId="751" xr:uid="{00000000-0005-0000-0000-0000DD3E0000}"/>
    <cellStyle name="Normal GHG Textfiels Bold 3 2 2 2 10" xfId="11597" xr:uid="{00000000-0005-0000-0000-0000DE3E0000}"/>
    <cellStyle name="Normal GHG Textfiels Bold 3 2 2 2 11" xfId="11968" xr:uid="{00000000-0005-0000-0000-0000DF3E0000}"/>
    <cellStyle name="Normal GHG Textfiels Bold 3 2 2 2 12" xfId="12481" xr:uid="{00000000-0005-0000-0000-0000E03E0000}"/>
    <cellStyle name="Normal GHG Textfiels Bold 3 2 2 2 13" xfId="13892" xr:uid="{00000000-0005-0000-0000-0000E13E0000}"/>
    <cellStyle name="Normal GHG Textfiels Bold 3 2 2 2 14" xfId="17476" xr:uid="{00000000-0005-0000-0000-0000E23E0000}"/>
    <cellStyle name="Normal GHG Textfiels Bold 3 2 2 2 15" xfId="16013" xr:uid="{00000000-0005-0000-0000-0000E33E0000}"/>
    <cellStyle name="Normal GHG Textfiels Bold 3 2 2 2 16" xfId="19428" xr:uid="{00000000-0005-0000-0000-0000E43E0000}"/>
    <cellStyle name="Normal GHG Textfiels Bold 3 2 2 2 2" xfId="1106" xr:uid="{00000000-0005-0000-0000-0000E53E0000}"/>
    <cellStyle name="Normal GHG Textfiels Bold 3 2 2 2 2 2" xfId="12835" xr:uid="{00000000-0005-0000-0000-0000E63E0000}"/>
    <cellStyle name="Normal GHG Textfiels Bold 3 2 2 2 2 3" xfId="14115" xr:uid="{00000000-0005-0000-0000-0000E73E0000}"/>
    <cellStyle name="Normal GHG Textfiels Bold 3 2 2 2 2 4" xfId="17331" xr:uid="{00000000-0005-0000-0000-0000E83E0000}"/>
    <cellStyle name="Normal GHG Textfiels Bold 3 2 2 2 2 5" xfId="14632" xr:uid="{00000000-0005-0000-0000-0000E93E0000}"/>
    <cellStyle name="Normal GHG Textfiels Bold 3 2 2 2 2 6" xfId="14966" xr:uid="{00000000-0005-0000-0000-0000EA3E0000}"/>
    <cellStyle name="Normal GHG Textfiels Bold 3 2 2 2 3" xfId="3861" xr:uid="{00000000-0005-0000-0000-0000EB3E0000}"/>
    <cellStyle name="Normal GHG Textfiels Bold 3 2 2 2 4" xfId="8738" xr:uid="{00000000-0005-0000-0000-0000EC3E0000}"/>
    <cellStyle name="Normal GHG Textfiels Bold 3 2 2 2 5" xfId="9652" xr:uid="{00000000-0005-0000-0000-0000ED3E0000}"/>
    <cellStyle name="Normal GHG Textfiels Bold 3 2 2 2 6" xfId="10081" xr:uid="{00000000-0005-0000-0000-0000EE3E0000}"/>
    <cellStyle name="Normal GHG Textfiels Bold 3 2 2 2 7" xfId="10493" xr:uid="{00000000-0005-0000-0000-0000EF3E0000}"/>
    <cellStyle name="Normal GHG Textfiels Bold 3 2 2 2 8" xfId="8958" xr:uid="{00000000-0005-0000-0000-0000F03E0000}"/>
    <cellStyle name="Normal GHG Textfiels Bold 3 2 2 2 9" xfId="11212" xr:uid="{00000000-0005-0000-0000-0000F13E0000}"/>
    <cellStyle name="Normal GHG Textfiels Bold 3 2 2 3" xfId="1334" xr:uid="{00000000-0005-0000-0000-0000F23E0000}"/>
    <cellStyle name="Normal GHG Textfiels Bold 3 2 2 3 2" xfId="13063" xr:uid="{00000000-0005-0000-0000-0000F33E0000}"/>
    <cellStyle name="Normal GHG Textfiels Bold 3 2 2 3 3" xfId="13974" xr:uid="{00000000-0005-0000-0000-0000F43E0000}"/>
    <cellStyle name="Normal GHG Textfiels Bold 3 2 2 3 4" xfId="15850" xr:uid="{00000000-0005-0000-0000-0000F53E0000}"/>
    <cellStyle name="Normal GHG Textfiels Bold 3 2 2 3 5" xfId="14234" xr:uid="{00000000-0005-0000-0000-0000F63E0000}"/>
    <cellStyle name="Normal GHG Textfiels Bold 3 2 2 3 6" xfId="18295" xr:uid="{00000000-0005-0000-0000-0000F73E0000}"/>
    <cellStyle name="Normal GHG Textfiels Bold 3 2 2 4" xfId="4103" xr:uid="{00000000-0005-0000-0000-0000F83E0000}"/>
    <cellStyle name="Normal GHG Textfiels Bold 3 2 2 5" xfId="9110" xr:uid="{00000000-0005-0000-0000-0000F93E0000}"/>
    <cellStyle name="Normal GHG Textfiels Bold 3 2 2 6" xfId="9440" xr:uid="{00000000-0005-0000-0000-0000FA3E0000}"/>
    <cellStyle name="Normal GHG Textfiels Bold 3 2 2 7" xfId="9867" xr:uid="{00000000-0005-0000-0000-0000FB3E0000}"/>
    <cellStyle name="Normal GHG Textfiels Bold 3 2 2 8" xfId="10279" xr:uid="{00000000-0005-0000-0000-0000FC3E0000}"/>
    <cellStyle name="Normal GHG Textfiels Bold 3 2 2 9" xfId="9133" xr:uid="{00000000-0005-0000-0000-0000FD3E0000}"/>
    <cellStyle name="Normal GHG Textfiels Bold 3 2 3" xfId="734" xr:uid="{00000000-0005-0000-0000-0000FE3E0000}"/>
    <cellStyle name="Normal GHG Textfiels Bold 3 2 3 10" xfId="11580" xr:uid="{00000000-0005-0000-0000-0000FF3E0000}"/>
    <cellStyle name="Normal GHG Textfiels Bold 3 2 3 11" xfId="11951" xr:uid="{00000000-0005-0000-0000-0000003F0000}"/>
    <cellStyle name="Normal GHG Textfiels Bold 3 2 3 12" xfId="12464" xr:uid="{00000000-0005-0000-0000-0000013F0000}"/>
    <cellStyle name="Normal GHG Textfiels Bold 3 2 3 13" xfId="13985" xr:uid="{00000000-0005-0000-0000-0000023F0000}"/>
    <cellStyle name="Normal GHG Textfiels Bold 3 2 3 14" xfId="14895" xr:uid="{00000000-0005-0000-0000-0000033F0000}"/>
    <cellStyle name="Normal GHG Textfiels Bold 3 2 3 15" xfId="16491" xr:uid="{00000000-0005-0000-0000-0000043F0000}"/>
    <cellStyle name="Normal GHG Textfiels Bold 3 2 3 16" xfId="19437" xr:uid="{00000000-0005-0000-0000-0000053F0000}"/>
    <cellStyle name="Normal GHG Textfiels Bold 3 2 3 2" xfId="1382" xr:uid="{00000000-0005-0000-0000-0000063F0000}"/>
    <cellStyle name="Normal GHG Textfiels Bold 3 2 3 2 2" xfId="13111" xr:uid="{00000000-0005-0000-0000-0000073F0000}"/>
    <cellStyle name="Normal GHG Textfiels Bold 3 2 3 2 3" xfId="14846" xr:uid="{00000000-0005-0000-0000-0000083F0000}"/>
    <cellStyle name="Normal GHG Textfiels Bold 3 2 3 2 4" xfId="17126" xr:uid="{00000000-0005-0000-0000-0000093F0000}"/>
    <cellStyle name="Normal GHG Textfiels Bold 3 2 3 2 5" xfId="15977" xr:uid="{00000000-0005-0000-0000-00000A3F0000}"/>
    <cellStyle name="Normal GHG Textfiels Bold 3 2 3 2 6" xfId="19078" xr:uid="{00000000-0005-0000-0000-00000B3F0000}"/>
    <cellStyle name="Normal GHG Textfiels Bold 3 2 3 3" xfId="3335" xr:uid="{00000000-0005-0000-0000-00000C3F0000}"/>
    <cellStyle name="Normal GHG Textfiels Bold 3 2 3 4" xfId="8745" xr:uid="{00000000-0005-0000-0000-00000D3F0000}"/>
    <cellStyle name="Normal GHG Textfiels Bold 3 2 3 5" xfId="9635" xr:uid="{00000000-0005-0000-0000-00000E3F0000}"/>
    <cellStyle name="Normal GHG Textfiels Bold 3 2 3 6" xfId="10064" xr:uid="{00000000-0005-0000-0000-00000F3F0000}"/>
    <cellStyle name="Normal GHG Textfiels Bold 3 2 3 7" xfId="10476" xr:uid="{00000000-0005-0000-0000-0000103F0000}"/>
    <cellStyle name="Normal GHG Textfiels Bold 3 2 3 8" xfId="9147" xr:uid="{00000000-0005-0000-0000-0000113F0000}"/>
    <cellStyle name="Normal GHG Textfiels Bold 3 2 3 9" xfId="11195" xr:uid="{00000000-0005-0000-0000-0000123F0000}"/>
    <cellStyle name="Normal GHG Textfiels Bold 3 3" xfId="374" xr:uid="{00000000-0005-0000-0000-0000133F0000}"/>
    <cellStyle name="Normal GHG Textfiels Bold 3 3 10" xfId="8581" xr:uid="{00000000-0005-0000-0000-0000143F0000}"/>
    <cellStyle name="Normal GHG Textfiels Bold 3 3 11" xfId="8700" xr:uid="{00000000-0005-0000-0000-0000153F0000}"/>
    <cellStyle name="Normal GHG Textfiels Bold 3 3 12" xfId="8583" xr:uid="{00000000-0005-0000-0000-0000163F0000}"/>
    <cellStyle name="Normal GHG Textfiels Bold 3 3 13" xfId="10909" xr:uid="{00000000-0005-0000-0000-0000173F0000}"/>
    <cellStyle name="Normal GHG Textfiels Bold 3 3 14" xfId="9204" xr:uid="{00000000-0005-0000-0000-0000183F0000}"/>
    <cellStyle name="Normal GHG Textfiels Bold 3 3 15" xfId="12252" xr:uid="{00000000-0005-0000-0000-0000193F0000}"/>
    <cellStyle name="Normal GHG Textfiels Bold 3 3 16" xfId="16447" xr:uid="{00000000-0005-0000-0000-00001A3F0000}"/>
    <cellStyle name="Normal GHG Textfiels Bold 3 3 17" xfId="17573" xr:uid="{00000000-0005-0000-0000-00001B3F0000}"/>
    <cellStyle name="Normal GHG Textfiels Bold 3 3 18" xfId="15900" xr:uid="{00000000-0005-0000-0000-00001C3F0000}"/>
    <cellStyle name="Normal GHG Textfiels Bold 3 3 19" xfId="19485" xr:uid="{00000000-0005-0000-0000-00001D3F0000}"/>
    <cellStyle name="Normal GHG Textfiels Bold 3 3 2" xfId="652" xr:uid="{00000000-0005-0000-0000-00001E3F0000}"/>
    <cellStyle name="Normal GHG Textfiels Bold 3 3 2 10" xfId="11119" xr:uid="{00000000-0005-0000-0000-00001F3F0000}"/>
    <cellStyle name="Normal GHG Textfiels Bold 3 3 2 11" xfId="11506" xr:uid="{00000000-0005-0000-0000-0000203F0000}"/>
    <cellStyle name="Normal GHG Textfiels Bold 3 3 2 12" xfId="11878" xr:uid="{00000000-0005-0000-0000-0000213F0000}"/>
    <cellStyle name="Normal GHG Textfiels Bold 3 3 2 13" xfId="12391" xr:uid="{00000000-0005-0000-0000-0000223F0000}"/>
    <cellStyle name="Normal GHG Textfiels Bold 3 3 2 14" xfId="16239" xr:uid="{00000000-0005-0000-0000-0000233F0000}"/>
    <cellStyle name="Normal GHG Textfiels Bold 3 3 2 15" xfId="17805" xr:uid="{00000000-0005-0000-0000-0000243F0000}"/>
    <cellStyle name="Normal GHG Textfiels Bold 3 3 2 16" xfId="18185" xr:uid="{00000000-0005-0000-0000-0000253F0000}"/>
    <cellStyle name="Normal GHG Textfiels Bold 3 3 2 17" xfId="18115" xr:uid="{00000000-0005-0000-0000-0000263F0000}"/>
    <cellStyle name="Normal GHG Textfiels Bold 3 3 2 2" xfId="867" xr:uid="{00000000-0005-0000-0000-0000273F0000}"/>
    <cellStyle name="Normal GHG Textfiels Bold 3 3 2 2 10" xfId="11713" xr:uid="{00000000-0005-0000-0000-0000283F0000}"/>
    <cellStyle name="Normal GHG Textfiels Bold 3 3 2 2 11" xfId="12084" xr:uid="{00000000-0005-0000-0000-0000293F0000}"/>
    <cellStyle name="Normal GHG Textfiels Bold 3 3 2 2 12" xfId="12597" xr:uid="{00000000-0005-0000-0000-00002A3F0000}"/>
    <cellStyle name="Normal GHG Textfiels Bold 3 3 2 2 13" xfId="16242" xr:uid="{00000000-0005-0000-0000-00002B3F0000}"/>
    <cellStyle name="Normal GHG Textfiels Bold 3 3 2 2 14" xfId="14011" xr:uid="{00000000-0005-0000-0000-00002C3F0000}"/>
    <cellStyle name="Normal GHG Textfiels Bold 3 3 2 2 15" xfId="16506" xr:uid="{00000000-0005-0000-0000-00002D3F0000}"/>
    <cellStyle name="Normal GHG Textfiels Bold 3 3 2 2 16" xfId="18118" xr:uid="{00000000-0005-0000-0000-00002E3F0000}"/>
    <cellStyle name="Normal GHG Textfiels Bold 3 3 2 2 2" xfId="1338" xr:uid="{00000000-0005-0000-0000-00002F3F0000}"/>
    <cellStyle name="Normal GHG Textfiels Bold 3 3 2 2 2 2" xfId="13067" xr:uid="{00000000-0005-0000-0000-0000303F0000}"/>
    <cellStyle name="Normal GHG Textfiels Bold 3 3 2 2 2 3" xfId="15634" xr:uid="{00000000-0005-0000-0000-0000313F0000}"/>
    <cellStyle name="Normal GHG Textfiels Bold 3 3 2 2 2 4" xfId="15819" xr:uid="{00000000-0005-0000-0000-0000323F0000}"/>
    <cellStyle name="Normal GHG Textfiels Bold 3 3 2 2 2 5" xfId="15093" xr:uid="{00000000-0005-0000-0000-0000333F0000}"/>
    <cellStyle name="Normal GHG Textfiels Bold 3 3 2 2 2 6" xfId="15191" xr:uid="{00000000-0005-0000-0000-0000343F0000}"/>
    <cellStyle name="Normal GHG Textfiels Bold 3 3 2 2 3" xfId="4124" xr:uid="{00000000-0005-0000-0000-0000353F0000}"/>
    <cellStyle name="Normal GHG Textfiels Bold 3 3 2 2 4" xfId="9340" xr:uid="{00000000-0005-0000-0000-0000363F0000}"/>
    <cellStyle name="Normal GHG Textfiels Bold 3 3 2 2 5" xfId="9768" xr:uid="{00000000-0005-0000-0000-0000373F0000}"/>
    <cellStyle name="Normal GHG Textfiels Bold 3 3 2 2 6" xfId="10197" xr:uid="{00000000-0005-0000-0000-0000383F0000}"/>
    <cellStyle name="Normal GHG Textfiels Bold 3 3 2 2 7" xfId="10609" xr:uid="{00000000-0005-0000-0000-0000393F0000}"/>
    <cellStyle name="Normal GHG Textfiels Bold 3 3 2 2 8" xfId="9380" xr:uid="{00000000-0005-0000-0000-00003A3F0000}"/>
    <cellStyle name="Normal GHG Textfiels Bold 3 3 2 2 9" xfId="11328" xr:uid="{00000000-0005-0000-0000-00003B3F0000}"/>
    <cellStyle name="Normal GHG Textfiels Bold 3 3 2 3" xfId="1146" xr:uid="{00000000-0005-0000-0000-00003C3F0000}"/>
    <cellStyle name="Normal GHG Textfiels Bold 3 3 2 3 2" xfId="12875" xr:uid="{00000000-0005-0000-0000-00003D3F0000}"/>
    <cellStyle name="Normal GHG Textfiels Bold 3 3 2 3 3" xfId="14134" xr:uid="{00000000-0005-0000-0000-00003E3F0000}"/>
    <cellStyle name="Normal GHG Textfiels Bold 3 3 2 3 4" xfId="17300" xr:uid="{00000000-0005-0000-0000-00003F3F0000}"/>
    <cellStyle name="Normal GHG Textfiels Bold 3 3 2 3 5" xfId="14753" xr:uid="{00000000-0005-0000-0000-0000403F0000}"/>
    <cellStyle name="Normal GHG Textfiels Bold 3 3 2 3 6" xfId="18566" xr:uid="{00000000-0005-0000-0000-0000413F0000}"/>
    <cellStyle name="Normal GHG Textfiels Bold 3 3 2 4" xfId="3764" xr:uid="{00000000-0005-0000-0000-0000423F0000}"/>
    <cellStyle name="Normal GHG Textfiels Bold 3 3 2 5" xfId="9179" xr:uid="{00000000-0005-0000-0000-0000433F0000}"/>
    <cellStyle name="Normal GHG Textfiels Bold 3 3 2 6" xfId="9556" xr:uid="{00000000-0005-0000-0000-0000443F0000}"/>
    <cellStyle name="Normal GHG Textfiels Bold 3 3 2 7" xfId="9983" xr:uid="{00000000-0005-0000-0000-0000453F0000}"/>
    <cellStyle name="Normal GHG Textfiels Bold 3 3 2 8" xfId="10395" xr:uid="{00000000-0005-0000-0000-0000463F0000}"/>
    <cellStyle name="Normal GHG Textfiels Bold 3 3 2 9" xfId="10656" xr:uid="{00000000-0005-0000-0000-0000473F0000}"/>
    <cellStyle name="Normal GHG Textfiels Bold 3 3 3" xfId="595" xr:uid="{00000000-0005-0000-0000-0000483F0000}"/>
    <cellStyle name="Normal GHG Textfiels Bold 3 3 3 10" xfId="11062" xr:uid="{00000000-0005-0000-0000-0000493F0000}"/>
    <cellStyle name="Normal GHG Textfiels Bold 3 3 3 11" xfId="11449" xr:uid="{00000000-0005-0000-0000-00004A3F0000}"/>
    <cellStyle name="Normal GHG Textfiels Bold 3 3 3 12" xfId="11821" xr:uid="{00000000-0005-0000-0000-00004B3F0000}"/>
    <cellStyle name="Normal GHG Textfiels Bold 3 3 3 13" xfId="12334" xr:uid="{00000000-0005-0000-0000-00004C3F0000}"/>
    <cellStyle name="Normal GHG Textfiels Bold 3 3 3 14" xfId="16232" xr:uid="{00000000-0005-0000-0000-00004D3F0000}"/>
    <cellStyle name="Normal GHG Textfiels Bold 3 3 3 15" xfId="15566" xr:uid="{00000000-0005-0000-0000-00004E3F0000}"/>
    <cellStyle name="Normal GHG Textfiels Bold 3 3 3 16" xfId="18460" xr:uid="{00000000-0005-0000-0000-00004F3F0000}"/>
    <cellStyle name="Normal GHG Textfiels Bold 3 3 3 17" xfId="18108" xr:uid="{00000000-0005-0000-0000-0000503F0000}"/>
    <cellStyle name="Normal GHG Textfiels Bold 3 3 3 2" xfId="810" xr:uid="{00000000-0005-0000-0000-0000513F0000}"/>
    <cellStyle name="Normal GHG Textfiels Bold 3 3 3 2 10" xfId="11656" xr:uid="{00000000-0005-0000-0000-0000523F0000}"/>
    <cellStyle name="Normal GHG Textfiels Bold 3 3 3 2 11" xfId="12027" xr:uid="{00000000-0005-0000-0000-0000533F0000}"/>
    <cellStyle name="Normal GHG Textfiels Bold 3 3 3 2 12" xfId="12540" xr:uid="{00000000-0005-0000-0000-0000543F0000}"/>
    <cellStyle name="Normal GHG Textfiels Bold 3 3 3 2 13" xfId="14652" xr:uid="{00000000-0005-0000-0000-0000553F0000}"/>
    <cellStyle name="Normal GHG Textfiels Bold 3 3 3 2 14" xfId="16590" xr:uid="{00000000-0005-0000-0000-0000563F0000}"/>
    <cellStyle name="Normal GHG Textfiels Bold 3 3 3 2 15" xfId="14266" xr:uid="{00000000-0005-0000-0000-0000573F0000}"/>
    <cellStyle name="Normal GHG Textfiels Bold 3 3 3 2 16" xfId="15999" xr:uid="{00000000-0005-0000-0000-0000583F0000}"/>
    <cellStyle name="Normal GHG Textfiels Bold 3 3 3 2 2" xfId="1281" xr:uid="{00000000-0005-0000-0000-0000593F0000}"/>
    <cellStyle name="Normal GHG Textfiels Bold 3 3 3 2 2 2" xfId="13010" xr:uid="{00000000-0005-0000-0000-00005A3F0000}"/>
    <cellStyle name="Normal GHG Textfiels Bold 3 3 3 2 2 3" xfId="15406" xr:uid="{00000000-0005-0000-0000-00005B3F0000}"/>
    <cellStyle name="Normal GHG Textfiels Bold 3 3 3 2 2 4" xfId="17200" xr:uid="{00000000-0005-0000-0000-00005C3F0000}"/>
    <cellStyle name="Normal GHG Textfiels Bold 3 3 3 2 2 5" xfId="17868" xr:uid="{00000000-0005-0000-0000-00005D3F0000}"/>
    <cellStyle name="Normal GHG Textfiels Bold 3 3 3 2 2 6" xfId="19152" xr:uid="{00000000-0005-0000-0000-00005E3F0000}"/>
    <cellStyle name="Normal GHG Textfiels Bold 3 3 3 2 3" xfId="4145" xr:uid="{00000000-0005-0000-0000-00005F3F0000}"/>
    <cellStyle name="Normal GHG Textfiels Bold 3 3 3 2 4" xfId="9100" xr:uid="{00000000-0005-0000-0000-0000603F0000}"/>
    <cellStyle name="Normal GHG Textfiels Bold 3 3 3 2 5" xfId="9711" xr:uid="{00000000-0005-0000-0000-0000613F0000}"/>
    <cellStyle name="Normal GHG Textfiels Bold 3 3 3 2 6" xfId="10140" xr:uid="{00000000-0005-0000-0000-0000623F0000}"/>
    <cellStyle name="Normal GHG Textfiels Bold 3 3 3 2 7" xfId="10552" xr:uid="{00000000-0005-0000-0000-0000633F0000}"/>
    <cellStyle name="Normal GHG Textfiels Bold 3 3 3 2 8" xfId="10912" xr:uid="{00000000-0005-0000-0000-0000643F0000}"/>
    <cellStyle name="Normal GHG Textfiels Bold 3 3 3 2 9" xfId="11271" xr:uid="{00000000-0005-0000-0000-0000653F0000}"/>
    <cellStyle name="Normal GHG Textfiels Bold 3 3 3 3" xfId="1087" xr:uid="{00000000-0005-0000-0000-0000663F0000}"/>
    <cellStyle name="Normal GHG Textfiels Bold 3 3 3 3 2" xfId="12816" xr:uid="{00000000-0005-0000-0000-0000673F0000}"/>
    <cellStyle name="Normal GHG Textfiels Bold 3 3 3 3 3" xfId="15327" xr:uid="{00000000-0005-0000-0000-0000683F0000}"/>
    <cellStyle name="Normal GHG Textfiels Bold 3 3 3 3 4" xfId="17346" xr:uid="{00000000-0005-0000-0000-0000693F0000}"/>
    <cellStyle name="Normal GHG Textfiels Bold 3 3 3 3 5" xfId="15449" xr:uid="{00000000-0005-0000-0000-00006A3F0000}"/>
    <cellStyle name="Normal GHG Textfiels Bold 3 3 3 3 6" xfId="19298" xr:uid="{00000000-0005-0000-0000-00006B3F0000}"/>
    <cellStyle name="Normal GHG Textfiels Bold 3 3 3 4" xfId="4203" xr:uid="{00000000-0005-0000-0000-00006C3F0000}"/>
    <cellStyle name="Normal GHG Textfiels Bold 3 3 3 5" xfId="9022" xr:uid="{00000000-0005-0000-0000-00006D3F0000}"/>
    <cellStyle name="Normal GHG Textfiels Bold 3 3 3 6" xfId="9499" xr:uid="{00000000-0005-0000-0000-00006E3F0000}"/>
    <cellStyle name="Normal GHG Textfiels Bold 3 3 3 7" xfId="9926" xr:uid="{00000000-0005-0000-0000-00006F3F0000}"/>
    <cellStyle name="Normal GHG Textfiels Bold 3 3 3 8" xfId="10338" xr:uid="{00000000-0005-0000-0000-0000703F0000}"/>
    <cellStyle name="Normal GHG Textfiels Bold 3 3 3 9" xfId="8809" xr:uid="{00000000-0005-0000-0000-0000713F0000}"/>
    <cellStyle name="Normal GHG Textfiels Bold 3 3 4" xfId="570" xr:uid="{00000000-0005-0000-0000-0000723F0000}"/>
    <cellStyle name="Normal GHG Textfiels Bold 3 3 4 10" xfId="11037" xr:uid="{00000000-0005-0000-0000-0000733F0000}"/>
    <cellStyle name="Normal GHG Textfiels Bold 3 3 4 11" xfId="11424" xr:uid="{00000000-0005-0000-0000-0000743F0000}"/>
    <cellStyle name="Normal GHG Textfiels Bold 3 3 4 12" xfId="11796" xr:uid="{00000000-0005-0000-0000-0000753F0000}"/>
    <cellStyle name="Normal GHG Textfiels Bold 3 3 4 13" xfId="12309" xr:uid="{00000000-0005-0000-0000-0000763F0000}"/>
    <cellStyle name="Normal GHG Textfiels Bold 3 3 4 14" xfId="16019" xr:uid="{00000000-0005-0000-0000-0000773F0000}"/>
    <cellStyle name="Normal GHG Textfiels Bold 3 3 4 15" xfId="15681" xr:uid="{00000000-0005-0000-0000-0000783F0000}"/>
    <cellStyle name="Normal GHG Textfiels Bold 3 3 4 16" xfId="18353" xr:uid="{00000000-0005-0000-0000-0000793F0000}"/>
    <cellStyle name="Normal GHG Textfiels Bold 3 3 4 17" xfId="16206" xr:uid="{00000000-0005-0000-0000-00007A3F0000}"/>
    <cellStyle name="Normal GHG Textfiels Bold 3 3 4 2" xfId="785" xr:uid="{00000000-0005-0000-0000-00007B3F0000}"/>
    <cellStyle name="Normal GHG Textfiels Bold 3 3 4 2 10" xfId="11631" xr:uid="{00000000-0005-0000-0000-00007C3F0000}"/>
    <cellStyle name="Normal GHG Textfiels Bold 3 3 4 2 11" xfId="12002" xr:uid="{00000000-0005-0000-0000-00007D3F0000}"/>
    <cellStyle name="Normal GHG Textfiels Bold 3 3 4 2 12" xfId="12515" xr:uid="{00000000-0005-0000-0000-00007E3F0000}"/>
    <cellStyle name="Normal GHG Textfiels Bold 3 3 4 2 13" xfId="15110" xr:uid="{00000000-0005-0000-0000-00007F3F0000}"/>
    <cellStyle name="Normal GHG Textfiels Bold 3 3 4 2 14" xfId="16169" xr:uid="{00000000-0005-0000-0000-0000803F0000}"/>
    <cellStyle name="Normal GHG Textfiels Bold 3 3 4 2 15" xfId="18498" xr:uid="{00000000-0005-0000-0000-0000813F0000}"/>
    <cellStyle name="Normal GHG Textfiels Bold 3 3 4 2 16" xfId="18414" xr:uid="{00000000-0005-0000-0000-0000823F0000}"/>
    <cellStyle name="Normal GHG Textfiels Bold 3 3 4 2 2" xfId="1119" xr:uid="{00000000-0005-0000-0000-0000833F0000}"/>
    <cellStyle name="Normal GHG Textfiels Bold 3 3 4 2 2 2" xfId="12848" xr:uid="{00000000-0005-0000-0000-0000843F0000}"/>
    <cellStyle name="Normal GHG Textfiels Bold 3 3 4 2 2 3" xfId="14468" xr:uid="{00000000-0005-0000-0000-0000853F0000}"/>
    <cellStyle name="Normal GHG Textfiels Bold 3 3 4 2 2 4" xfId="17321" xr:uid="{00000000-0005-0000-0000-0000863F0000}"/>
    <cellStyle name="Normal GHG Textfiels Bold 3 3 4 2 2 5" xfId="18560" xr:uid="{00000000-0005-0000-0000-0000873F0000}"/>
    <cellStyle name="Normal GHG Textfiels Bold 3 3 4 2 2 6" xfId="19273" xr:uid="{00000000-0005-0000-0000-0000883F0000}"/>
    <cellStyle name="Normal GHG Textfiels Bold 3 3 4 2 3" xfId="3822" xr:uid="{00000000-0005-0000-0000-0000893F0000}"/>
    <cellStyle name="Normal GHG Textfiels Bold 3 3 4 2 4" xfId="8734" xr:uid="{00000000-0005-0000-0000-00008A3F0000}"/>
    <cellStyle name="Normal GHG Textfiels Bold 3 3 4 2 5" xfId="9686" xr:uid="{00000000-0005-0000-0000-00008B3F0000}"/>
    <cellStyle name="Normal GHG Textfiels Bold 3 3 4 2 6" xfId="10115" xr:uid="{00000000-0005-0000-0000-00008C3F0000}"/>
    <cellStyle name="Normal GHG Textfiels Bold 3 3 4 2 7" xfId="10527" xr:uid="{00000000-0005-0000-0000-00008D3F0000}"/>
    <cellStyle name="Normal GHG Textfiels Bold 3 3 4 2 8" xfId="10678" xr:uid="{00000000-0005-0000-0000-00008E3F0000}"/>
    <cellStyle name="Normal GHG Textfiels Bold 3 3 4 2 9" xfId="11246" xr:uid="{00000000-0005-0000-0000-00008F3F0000}"/>
    <cellStyle name="Normal GHG Textfiels Bold 3 3 4 3" xfId="996" xr:uid="{00000000-0005-0000-0000-0000903F0000}"/>
    <cellStyle name="Normal GHG Textfiels Bold 3 3 4 3 2" xfId="12725" xr:uid="{00000000-0005-0000-0000-0000913F0000}"/>
    <cellStyle name="Normal GHG Textfiels Bold 3 3 4 3 3" xfId="14635" xr:uid="{00000000-0005-0000-0000-0000923F0000}"/>
    <cellStyle name="Normal GHG Textfiels Bold 3 3 4 3 4" xfId="17394" xr:uid="{00000000-0005-0000-0000-0000933F0000}"/>
    <cellStyle name="Normal GHG Textfiels Bold 3 3 4 3 5" xfId="16587" xr:uid="{00000000-0005-0000-0000-0000943F0000}"/>
    <cellStyle name="Normal GHG Textfiels Bold 3 3 4 3 6" xfId="13806" xr:uid="{00000000-0005-0000-0000-0000953F0000}"/>
    <cellStyle name="Normal GHG Textfiels Bold 3 3 4 4" xfId="3952" xr:uid="{00000000-0005-0000-0000-0000963F0000}"/>
    <cellStyle name="Normal GHG Textfiels Bold 3 3 4 5" xfId="9262" xr:uid="{00000000-0005-0000-0000-0000973F0000}"/>
    <cellStyle name="Normal GHG Textfiels Bold 3 3 4 6" xfId="9474" xr:uid="{00000000-0005-0000-0000-0000983F0000}"/>
    <cellStyle name="Normal GHG Textfiels Bold 3 3 4 7" xfId="9901" xr:uid="{00000000-0005-0000-0000-0000993F0000}"/>
    <cellStyle name="Normal GHG Textfiels Bold 3 3 4 8" xfId="10313" xr:uid="{00000000-0005-0000-0000-00009A3F0000}"/>
    <cellStyle name="Normal GHG Textfiels Bold 3 3 4 9" xfId="10843" xr:uid="{00000000-0005-0000-0000-00009B3F0000}"/>
    <cellStyle name="Normal GHG Textfiels Bold 3 3 5" xfId="990" xr:uid="{00000000-0005-0000-0000-00009C3F0000}"/>
    <cellStyle name="Normal GHG Textfiels Bold 3 3 5 2" xfId="12719" xr:uid="{00000000-0005-0000-0000-00009D3F0000}"/>
    <cellStyle name="Normal GHG Textfiels Bold 3 3 5 3" xfId="14263" xr:uid="{00000000-0005-0000-0000-00009E3F0000}"/>
    <cellStyle name="Normal GHG Textfiels Bold 3 3 5 4" xfId="17398" xr:uid="{00000000-0005-0000-0000-00009F3F0000}"/>
    <cellStyle name="Normal GHG Textfiels Bold 3 3 5 5" xfId="13929" xr:uid="{00000000-0005-0000-0000-0000A03F0000}"/>
    <cellStyle name="Normal GHG Textfiels Bold 3 3 5 6" xfId="17560" xr:uid="{00000000-0005-0000-0000-0000A13F0000}"/>
    <cellStyle name="Normal GHG Textfiels Bold 3 3 6" xfId="3910" xr:uid="{00000000-0005-0000-0000-0000A23F0000}"/>
    <cellStyle name="Normal GHG Textfiels Bold 3 3 7" xfId="8753" xr:uid="{00000000-0005-0000-0000-0000A33F0000}"/>
    <cellStyle name="Normal GHG Textfiels Bold 3 3 8" xfId="9305" xr:uid="{00000000-0005-0000-0000-0000A43F0000}"/>
    <cellStyle name="Normal GHG Textfiels Bold 3 3 9" xfId="8833" xr:uid="{00000000-0005-0000-0000-0000A53F0000}"/>
    <cellStyle name="Normal GHG whole table" xfId="24" xr:uid="{00000000-0005-0000-0000-0000A63F0000}"/>
    <cellStyle name="Normal GHG whole table 2" xfId="445" xr:uid="{00000000-0005-0000-0000-0000A73F0000}"/>
    <cellStyle name="Normal GHG whole table 2 2" xfId="591" xr:uid="{00000000-0005-0000-0000-0000A83F0000}"/>
    <cellStyle name="Normal GHG whole table 2 2 10" xfId="11058" xr:uid="{00000000-0005-0000-0000-0000A93F0000}"/>
    <cellStyle name="Normal GHG whole table 2 2 11" xfId="11445" xr:uid="{00000000-0005-0000-0000-0000AA3F0000}"/>
    <cellStyle name="Normal GHG whole table 2 2 12" xfId="11817" xr:uid="{00000000-0005-0000-0000-0000AB3F0000}"/>
    <cellStyle name="Normal GHG whole table 2 2 13" xfId="12330" xr:uid="{00000000-0005-0000-0000-0000AC3F0000}"/>
    <cellStyle name="Normal GHG whole table 2 2 14" xfId="15205" xr:uid="{00000000-0005-0000-0000-0000AD3F0000}"/>
    <cellStyle name="Normal GHG whole table 2 2 15" xfId="17517" xr:uid="{00000000-0005-0000-0000-0000AE3F0000}"/>
    <cellStyle name="Normal GHG whole table 2 2 16" xfId="15652" xr:uid="{00000000-0005-0000-0000-0000AF3F0000}"/>
    <cellStyle name="Normal GHG whole table 2 2 17" xfId="19464" xr:uid="{00000000-0005-0000-0000-0000B03F0000}"/>
    <cellStyle name="Normal GHG whole table 2 2 2" xfId="806" xr:uid="{00000000-0005-0000-0000-0000B13F0000}"/>
    <cellStyle name="Normal GHG whole table 2 2 2 10" xfId="11652" xr:uid="{00000000-0005-0000-0000-0000B23F0000}"/>
    <cellStyle name="Normal GHG whole table 2 2 2 11" xfId="12023" xr:uid="{00000000-0005-0000-0000-0000B33F0000}"/>
    <cellStyle name="Normal GHG whole table 2 2 2 12" xfId="12536" xr:uid="{00000000-0005-0000-0000-0000B43F0000}"/>
    <cellStyle name="Normal GHG whole table 2 2 2 13" xfId="15237" xr:uid="{00000000-0005-0000-0000-0000B53F0000}"/>
    <cellStyle name="Normal GHG whole table 2 2 2 14" xfId="16553" xr:uid="{00000000-0005-0000-0000-0000B63F0000}"/>
    <cellStyle name="Normal GHG whole table 2 2 2 15" xfId="16482" xr:uid="{00000000-0005-0000-0000-0000B73F0000}"/>
    <cellStyle name="Normal GHG whole table 2 2 2 16" xfId="19419" xr:uid="{00000000-0005-0000-0000-0000B83F0000}"/>
    <cellStyle name="Normal GHG whole table 2 2 2 2" xfId="1314" xr:uid="{00000000-0005-0000-0000-0000B93F0000}"/>
    <cellStyle name="Normal GHG whole table 2 2 2 2 2" xfId="13043" xr:uid="{00000000-0005-0000-0000-0000BA3F0000}"/>
    <cellStyle name="Normal GHG whole table 2 2 2 2 3" xfId="14929" xr:uid="{00000000-0005-0000-0000-0000BB3F0000}"/>
    <cellStyle name="Normal GHG whole table 2 2 2 2 4" xfId="15865" xr:uid="{00000000-0005-0000-0000-0000BC3F0000}"/>
    <cellStyle name="Normal GHG whole table 2 2 2 2 5" xfId="16393" xr:uid="{00000000-0005-0000-0000-0000BD3F0000}"/>
    <cellStyle name="Normal GHG whole table 2 2 2 2 6" xfId="14734" xr:uid="{00000000-0005-0000-0000-0000BE3F0000}"/>
    <cellStyle name="Normal GHG whole table 2 2 2 3" xfId="3672" xr:uid="{00000000-0005-0000-0000-0000BF3F0000}"/>
    <cellStyle name="Normal GHG whole table 2 2 2 4" xfId="8876" xr:uid="{00000000-0005-0000-0000-0000C03F0000}"/>
    <cellStyle name="Normal GHG whole table 2 2 2 5" xfId="9707" xr:uid="{00000000-0005-0000-0000-0000C13F0000}"/>
    <cellStyle name="Normal GHG whole table 2 2 2 6" xfId="10136" xr:uid="{00000000-0005-0000-0000-0000C23F0000}"/>
    <cellStyle name="Normal GHG whole table 2 2 2 7" xfId="10548" xr:uid="{00000000-0005-0000-0000-0000C33F0000}"/>
    <cellStyle name="Normal GHG whole table 2 2 2 8" xfId="10763" xr:uid="{00000000-0005-0000-0000-0000C43F0000}"/>
    <cellStyle name="Normal GHG whole table 2 2 2 9" xfId="11267" xr:uid="{00000000-0005-0000-0000-0000C53F0000}"/>
    <cellStyle name="Normal GHG whole table 2 2 3" xfId="1301" xr:uid="{00000000-0005-0000-0000-0000C63F0000}"/>
    <cellStyle name="Normal GHG whole table 2 2 3 2" xfId="13030" xr:uid="{00000000-0005-0000-0000-0000C73F0000}"/>
    <cellStyle name="Normal GHG whole table 2 2 3 3" xfId="15417" xr:uid="{00000000-0005-0000-0000-0000C83F0000}"/>
    <cellStyle name="Normal GHG whole table 2 2 3 4" xfId="16549" xr:uid="{00000000-0005-0000-0000-0000C93F0000}"/>
    <cellStyle name="Normal GHG whole table 2 2 3 5" xfId="16567" xr:uid="{00000000-0005-0000-0000-0000CA3F0000}"/>
    <cellStyle name="Normal GHG whole table 2 2 3 6" xfId="19136" xr:uid="{00000000-0005-0000-0000-0000CB3F0000}"/>
    <cellStyle name="Normal GHG whole table 2 2 4" xfId="4030" xr:uid="{00000000-0005-0000-0000-0000CC3F0000}"/>
    <cellStyle name="Normal GHG whole table 2 2 5" xfId="9148" xr:uid="{00000000-0005-0000-0000-0000CD3F0000}"/>
    <cellStyle name="Normal GHG whole table 2 2 6" xfId="9495" xr:uid="{00000000-0005-0000-0000-0000CE3F0000}"/>
    <cellStyle name="Normal GHG whole table 2 2 7" xfId="9922" xr:uid="{00000000-0005-0000-0000-0000CF3F0000}"/>
    <cellStyle name="Normal GHG whole table 2 2 8" xfId="10334" xr:uid="{00000000-0005-0000-0000-0000D03F0000}"/>
    <cellStyle name="Normal GHG whole table 2 2 9" xfId="8754" xr:uid="{00000000-0005-0000-0000-0000D13F0000}"/>
    <cellStyle name="Normal GHG whole table 2 3" xfId="735" xr:uid="{00000000-0005-0000-0000-0000D23F0000}"/>
    <cellStyle name="Normal GHG whole table 2 3 10" xfId="11581" xr:uid="{00000000-0005-0000-0000-0000D33F0000}"/>
    <cellStyle name="Normal GHG whole table 2 3 11" xfId="11952" xr:uid="{00000000-0005-0000-0000-0000D43F0000}"/>
    <cellStyle name="Normal GHG whole table 2 3 12" xfId="12465" xr:uid="{00000000-0005-0000-0000-0000D53F0000}"/>
    <cellStyle name="Normal GHG whole table 2 3 13" xfId="15616" xr:uid="{00000000-0005-0000-0000-0000D63F0000}"/>
    <cellStyle name="Normal GHG whole table 2 3 14" xfId="17484" xr:uid="{00000000-0005-0000-0000-0000D73F0000}"/>
    <cellStyle name="Normal GHG whole table 2 3 15" xfId="14599" xr:uid="{00000000-0005-0000-0000-0000D83F0000}"/>
    <cellStyle name="Normal GHG whole table 2 3 16" xfId="16440" xr:uid="{00000000-0005-0000-0000-0000D93F0000}"/>
    <cellStyle name="Normal GHG whole table 2 3 2" xfId="1306" xr:uid="{00000000-0005-0000-0000-0000DA3F0000}"/>
    <cellStyle name="Normal GHG whole table 2 3 2 2" xfId="13035" xr:uid="{00000000-0005-0000-0000-0000DB3F0000}"/>
    <cellStyle name="Normal GHG whole table 2 3 2 3" xfId="15421" xr:uid="{00000000-0005-0000-0000-0000DC3F0000}"/>
    <cellStyle name="Normal GHG whole table 2 3 2 4" xfId="17179" xr:uid="{00000000-0005-0000-0000-0000DD3F0000}"/>
    <cellStyle name="Normal GHG whole table 2 3 2 5" xfId="17857" xr:uid="{00000000-0005-0000-0000-0000DE3F0000}"/>
    <cellStyle name="Normal GHG whole table 2 3 2 6" xfId="19131" xr:uid="{00000000-0005-0000-0000-0000DF3F0000}"/>
    <cellStyle name="Normal GHG whole table 2 3 3" xfId="3513" xr:uid="{00000000-0005-0000-0000-0000E03F0000}"/>
    <cellStyle name="Normal GHG whole table 2 3 4" xfId="8647" xr:uid="{00000000-0005-0000-0000-0000E13F0000}"/>
    <cellStyle name="Normal GHG whole table 2 3 5" xfId="9636" xr:uid="{00000000-0005-0000-0000-0000E23F0000}"/>
    <cellStyle name="Normal GHG whole table 2 3 6" xfId="10065" xr:uid="{00000000-0005-0000-0000-0000E33F0000}"/>
    <cellStyle name="Normal GHG whole table 2 3 7" xfId="10477" xr:uid="{00000000-0005-0000-0000-0000E43F0000}"/>
    <cellStyle name="Normal GHG whole table 2 3 8" xfId="9224" xr:uid="{00000000-0005-0000-0000-0000E53F0000}"/>
    <cellStyle name="Normal GHG whole table 2 3 9" xfId="11196" xr:uid="{00000000-0005-0000-0000-0000E63F0000}"/>
    <cellStyle name="Normal GHG whole table 3" xfId="294" xr:uid="{00000000-0005-0000-0000-0000E73F0000}"/>
    <cellStyle name="Normal GHG whole table 3 10" xfId="8908" xr:uid="{00000000-0005-0000-0000-0000E83F0000}"/>
    <cellStyle name="Normal GHG whole table 3 11" xfId="10917" xr:uid="{00000000-0005-0000-0000-0000E93F0000}"/>
    <cellStyle name="Normal GHG whole table 3 12" xfId="10888" xr:uid="{00000000-0005-0000-0000-0000EA3F0000}"/>
    <cellStyle name="Normal GHG whole table 3 13" xfId="10900" xr:uid="{00000000-0005-0000-0000-0000EB3F0000}"/>
    <cellStyle name="Normal GHG whole table 3 14" xfId="10868" xr:uid="{00000000-0005-0000-0000-0000EC3F0000}"/>
    <cellStyle name="Normal GHG whole table 3 15" xfId="12242" xr:uid="{00000000-0005-0000-0000-0000ED3F0000}"/>
    <cellStyle name="Normal GHG whole table 3 16" xfId="16501" xr:uid="{00000000-0005-0000-0000-0000EE3F0000}"/>
    <cellStyle name="Normal GHG whole table 3 17" xfId="17615" xr:uid="{00000000-0005-0000-0000-0000EF3F0000}"/>
    <cellStyle name="Normal GHG whole table 3 18" xfId="17674" xr:uid="{00000000-0005-0000-0000-0000F03F0000}"/>
    <cellStyle name="Normal GHG whole table 3 19" xfId="19493" xr:uid="{00000000-0005-0000-0000-0000F13F0000}"/>
    <cellStyle name="Normal GHG whole table 3 2" xfId="631" xr:uid="{00000000-0005-0000-0000-0000F23F0000}"/>
    <cellStyle name="Normal GHG whole table 3 2 10" xfId="11098" xr:uid="{00000000-0005-0000-0000-0000F33F0000}"/>
    <cellStyle name="Normal GHG whole table 3 2 11" xfId="11485" xr:uid="{00000000-0005-0000-0000-0000F43F0000}"/>
    <cellStyle name="Normal GHG whole table 3 2 12" xfId="11857" xr:uid="{00000000-0005-0000-0000-0000F53F0000}"/>
    <cellStyle name="Normal GHG whole table 3 2 13" xfId="12370" xr:uid="{00000000-0005-0000-0000-0000F63F0000}"/>
    <cellStyle name="Normal GHG whole table 3 2 14" xfId="16036" xr:uid="{00000000-0005-0000-0000-0000F73F0000}"/>
    <cellStyle name="Normal GHG whole table 3 2 15" xfId="14375" xr:uid="{00000000-0005-0000-0000-0000F83F0000}"/>
    <cellStyle name="Normal GHG whole table 3 2 16" xfId="18228" xr:uid="{00000000-0005-0000-0000-0000F93F0000}"/>
    <cellStyle name="Normal GHG whole table 3 2 17" xfId="16527" xr:uid="{00000000-0005-0000-0000-0000FA3F0000}"/>
    <cellStyle name="Normal GHG whole table 3 2 2" xfId="846" xr:uid="{00000000-0005-0000-0000-0000FB3F0000}"/>
    <cellStyle name="Normal GHG whole table 3 2 2 10" xfId="11692" xr:uid="{00000000-0005-0000-0000-0000FC3F0000}"/>
    <cellStyle name="Normal GHG whole table 3 2 2 11" xfId="12063" xr:uid="{00000000-0005-0000-0000-0000FD3F0000}"/>
    <cellStyle name="Normal GHG whole table 3 2 2 12" xfId="12576" xr:uid="{00000000-0005-0000-0000-0000FE3F0000}"/>
    <cellStyle name="Normal GHG whole table 3 2 2 13" xfId="14744" xr:uid="{00000000-0005-0000-0000-0000FF3F0000}"/>
    <cellStyle name="Normal GHG whole table 3 2 2 14" xfId="15963" xr:uid="{00000000-0005-0000-0000-000000400000}"/>
    <cellStyle name="Normal GHG whole table 3 2 2 15" xfId="16524" xr:uid="{00000000-0005-0000-0000-000001400000}"/>
    <cellStyle name="Normal GHG whole table 3 2 2 16" xfId="18423" xr:uid="{00000000-0005-0000-0000-000002400000}"/>
    <cellStyle name="Normal GHG whole table 3 2 2 2" xfId="1370" xr:uid="{00000000-0005-0000-0000-000003400000}"/>
    <cellStyle name="Normal GHG whole table 3 2 2 2 2" xfId="13099" xr:uid="{00000000-0005-0000-0000-000004400000}"/>
    <cellStyle name="Normal GHG whole table 3 2 2 2 3" xfId="16026" xr:uid="{00000000-0005-0000-0000-000005400000}"/>
    <cellStyle name="Normal GHG whole table 3 2 2 2 4" xfId="17136" xr:uid="{00000000-0005-0000-0000-000006400000}"/>
    <cellStyle name="Normal GHG whole table 3 2 2 2 5" xfId="13785" xr:uid="{00000000-0005-0000-0000-000007400000}"/>
    <cellStyle name="Normal GHG whole table 3 2 2 2 6" xfId="15167" xr:uid="{00000000-0005-0000-0000-000008400000}"/>
    <cellStyle name="Normal GHG whole table 3 2 2 3" xfId="3361" xr:uid="{00000000-0005-0000-0000-000009400000}"/>
    <cellStyle name="Normal GHG whole table 3 2 2 4" xfId="8567" xr:uid="{00000000-0005-0000-0000-00000A400000}"/>
    <cellStyle name="Normal GHG whole table 3 2 2 5" xfId="9747" xr:uid="{00000000-0005-0000-0000-00000B400000}"/>
    <cellStyle name="Normal GHG whole table 3 2 2 6" xfId="10176" xr:uid="{00000000-0005-0000-0000-00000C400000}"/>
    <cellStyle name="Normal GHG whole table 3 2 2 7" xfId="10588" xr:uid="{00000000-0005-0000-0000-00000D400000}"/>
    <cellStyle name="Normal GHG whole table 3 2 2 8" xfId="10777" xr:uid="{00000000-0005-0000-0000-00000E400000}"/>
    <cellStyle name="Normal GHG whole table 3 2 2 9" xfId="11307" xr:uid="{00000000-0005-0000-0000-00000F400000}"/>
    <cellStyle name="Normal GHG whole table 3 2 3" xfId="1101" xr:uid="{00000000-0005-0000-0000-000010400000}"/>
    <cellStyle name="Normal GHG whole table 3 2 3 2" xfId="12830" xr:uid="{00000000-0005-0000-0000-000011400000}"/>
    <cellStyle name="Normal GHG whole table 3 2 3 3" xfId="14449" xr:uid="{00000000-0005-0000-0000-000012400000}"/>
    <cellStyle name="Normal GHG whole table 3 2 3 4" xfId="16417" xr:uid="{00000000-0005-0000-0000-000013400000}"/>
    <cellStyle name="Normal GHG whole table 3 2 3 5" xfId="17536" xr:uid="{00000000-0005-0000-0000-000014400000}"/>
    <cellStyle name="Normal GHG whole table 3 2 3 6" xfId="19287" xr:uid="{00000000-0005-0000-0000-000015400000}"/>
    <cellStyle name="Normal GHG whole table 3 2 4" xfId="3565" xr:uid="{00000000-0005-0000-0000-000016400000}"/>
    <cellStyle name="Normal GHG whole table 3 2 5" xfId="9169" xr:uid="{00000000-0005-0000-0000-000017400000}"/>
    <cellStyle name="Normal GHG whole table 3 2 6" xfId="9535" xr:uid="{00000000-0005-0000-0000-000018400000}"/>
    <cellStyle name="Normal GHG whole table 3 2 7" xfId="9962" xr:uid="{00000000-0005-0000-0000-000019400000}"/>
    <cellStyle name="Normal GHG whole table 3 2 8" xfId="10374" xr:uid="{00000000-0005-0000-0000-00001A400000}"/>
    <cellStyle name="Normal GHG whole table 3 2 9" xfId="9174" xr:uid="{00000000-0005-0000-0000-00001B400000}"/>
    <cellStyle name="Normal GHG whole table 3 3" xfId="552" xr:uid="{00000000-0005-0000-0000-00001C400000}"/>
    <cellStyle name="Normal GHG whole table 3 3 10" xfId="11019" xr:uid="{00000000-0005-0000-0000-00001D400000}"/>
    <cellStyle name="Normal GHG whole table 3 3 11" xfId="11406" xr:uid="{00000000-0005-0000-0000-00001E400000}"/>
    <cellStyle name="Normal GHG whole table 3 3 12" xfId="11778" xr:uid="{00000000-0005-0000-0000-00001F400000}"/>
    <cellStyle name="Normal GHG whole table 3 3 13" xfId="12291" xr:uid="{00000000-0005-0000-0000-000020400000}"/>
    <cellStyle name="Normal GHG whole table 3 3 14" xfId="16015" xr:uid="{00000000-0005-0000-0000-000021400000}"/>
    <cellStyle name="Normal GHG whole table 3 3 15" xfId="15743" xr:uid="{00000000-0005-0000-0000-000022400000}"/>
    <cellStyle name="Normal GHG whole table 3 3 16" xfId="18304" xr:uid="{00000000-0005-0000-0000-000023400000}"/>
    <cellStyle name="Normal GHG whole table 3 3 17" xfId="16444" xr:uid="{00000000-0005-0000-0000-000024400000}"/>
    <cellStyle name="Normal GHG whole table 3 3 2" xfId="767" xr:uid="{00000000-0005-0000-0000-000025400000}"/>
    <cellStyle name="Normal GHG whole table 3 3 2 10" xfId="11613" xr:uid="{00000000-0005-0000-0000-000026400000}"/>
    <cellStyle name="Normal GHG whole table 3 3 2 11" xfId="11984" xr:uid="{00000000-0005-0000-0000-000027400000}"/>
    <cellStyle name="Normal GHG whole table 3 3 2 12" xfId="12497" xr:uid="{00000000-0005-0000-0000-000028400000}"/>
    <cellStyle name="Normal GHG whole table 3 3 2 13" xfId="14225" xr:uid="{00000000-0005-0000-0000-000029400000}"/>
    <cellStyle name="Normal GHG whole table 3 3 2 14" xfId="16724" xr:uid="{00000000-0005-0000-0000-00002A400000}"/>
    <cellStyle name="Normal GHG whole table 3 3 2 15" xfId="18474" xr:uid="{00000000-0005-0000-0000-00002B400000}"/>
    <cellStyle name="Normal GHG whole table 3 3 2 16" xfId="18540" xr:uid="{00000000-0005-0000-0000-00002C400000}"/>
    <cellStyle name="Normal GHG whole table 3 3 2 2" xfId="1123" xr:uid="{00000000-0005-0000-0000-00002D400000}"/>
    <cellStyle name="Normal GHG whole table 3 3 2 2 2" xfId="12852" xr:uid="{00000000-0005-0000-0000-00002E400000}"/>
    <cellStyle name="Normal GHG whole table 3 3 2 2 3" xfId="14661" xr:uid="{00000000-0005-0000-0000-00002F400000}"/>
    <cellStyle name="Normal GHG whole table 3 3 2 2 4" xfId="17319" xr:uid="{00000000-0005-0000-0000-000030400000}"/>
    <cellStyle name="Normal GHG whole table 3 3 2 2 5" xfId="16157" xr:uid="{00000000-0005-0000-0000-000031400000}"/>
    <cellStyle name="Normal GHG whole table 3 3 2 2 6" xfId="19271" xr:uid="{00000000-0005-0000-0000-000032400000}"/>
    <cellStyle name="Normal GHG whole table 3 3 2 3" xfId="4154" xr:uid="{00000000-0005-0000-0000-000033400000}"/>
    <cellStyle name="Normal GHG whole table 3 3 2 4" xfId="8772" xr:uid="{00000000-0005-0000-0000-000034400000}"/>
    <cellStyle name="Normal GHG whole table 3 3 2 5" xfId="9668" xr:uid="{00000000-0005-0000-0000-000035400000}"/>
    <cellStyle name="Normal GHG whole table 3 3 2 6" xfId="10097" xr:uid="{00000000-0005-0000-0000-000036400000}"/>
    <cellStyle name="Normal GHG whole table 3 3 2 7" xfId="10509" xr:uid="{00000000-0005-0000-0000-000037400000}"/>
    <cellStyle name="Normal GHG whole table 3 3 2 8" xfId="9079" xr:uid="{00000000-0005-0000-0000-000038400000}"/>
    <cellStyle name="Normal GHG whole table 3 3 2 9" xfId="11228" xr:uid="{00000000-0005-0000-0000-000039400000}"/>
    <cellStyle name="Normal GHG whole table 3 3 3" xfId="1172" xr:uid="{00000000-0005-0000-0000-00003A400000}"/>
    <cellStyle name="Normal GHG whole table 3 3 3 2" xfId="12901" xr:uid="{00000000-0005-0000-0000-00003B400000}"/>
    <cellStyle name="Normal GHG whole table 3 3 3 3" xfId="15346" xr:uid="{00000000-0005-0000-0000-00003C400000}"/>
    <cellStyle name="Normal GHG whole table 3 3 3 4" xfId="17280" xr:uid="{00000000-0005-0000-0000-00003D400000}"/>
    <cellStyle name="Normal GHG whole table 3 3 3 5" xfId="17023" xr:uid="{00000000-0005-0000-0000-00003E400000}"/>
    <cellStyle name="Normal GHG whole table 3 3 3 6" xfId="19232" xr:uid="{00000000-0005-0000-0000-00003F400000}"/>
    <cellStyle name="Normal GHG whole table 3 3 4" xfId="3756" xr:uid="{00000000-0005-0000-0000-000040400000}"/>
    <cellStyle name="Normal GHG whole table 3 3 5" xfId="9158" xr:uid="{00000000-0005-0000-0000-000041400000}"/>
    <cellStyle name="Normal GHG whole table 3 3 6" xfId="9456" xr:uid="{00000000-0005-0000-0000-000042400000}"/>
    <cellStyle name="Normal GHG whole table 3 3 7" xfId="9883" xr:uid="{00000000-0005-0000-0000-000043400000}"/>
    <cellStyle name="Normal GHG whole table 3 3 8" xfId="10295" xr:uid="{00000000-0005-0000-0000-000044400000}"/>
    <cellStyle name="Normal GHG whole table 3 3 9" xfId="10646" xr:uid="{00000000-0005-0000-0000-000045400000}"/>
    <cellStyle name="Normal GHG whole table 3 4" xfId="639" xr:uid="{00000000-0005-0000-0000-000046400000}"/>
    <cellStyle name="Normal GHG whole table 3 4 10" xfId="11106" xr:uid="{00000000-0005-0000-0000-000047400000}"/>
    <cellStyle name="Normal GHG whole table 3 4 11" xfId="11493" xr:uid="{00000000-0005-0000-0000-000048400000}"/>
    <cellStyle name="Normal GHG whole table 3 4 12" xfId="11865" xr:uid="{00000000-0005-0000-0000-000049400000}"/>
    <cellStyle name="Normal GHG whole table 3 4 13" xfId="12378" xr:uid="{00000000-0005-0000-0000-00004A400000}"/>
    <cellStyle name="Normal GHG whole table 3 4 14" xfId="13820" xr:uid="{00000000-0005-0000-0000-00004B400000}"/>
    <cellStyle name="Normal GHG whole table 3 4 15" xfId="14706" xr:uid="{00000000-0005-0000-0000-00004C400000}"/>
    <cellStyle name="Normal GHG whole table 3 4 16" xfId="18180" xr:uid="{00000000-0005-0000-0000-00004D400000}"/>
    <cellStyle name="Normal GHG whole table 3 4 17" xfId="16213" xr:uid="{00000000-0005-0000-0000-00004E400000}"/>
    <cellStyle name="Normal GHG whole table 3 4 2" xfId="854" xr:uid="{00000000-0005-0000-0000-00004F400000}"/>
    <cellStyle name="Normal GHG whole table 3 4 2 10" xfId="11700" xr:uid="{00000000-0005-0000-0000-000050400000}"/>
    <cellStyle name="Normal GHG whole table 3 4 2 11" xfId="12071" xr:uid="{00000000-0005-0000-0000-000051400000}"/>
    <cellStyle name="Normal GHG whole table 3 4 2 12" xfId="12584" xr:uid="{00000000-0005-0000-0000-000052400000}"/>
    <cellStyle name="Normal GHG whole table 3 4 2 13" xfId="16129" xr:uid="{00000000-0005-0000-0000-000053400000}"/>
    <cellStyle name="Normal GHG whole table 3 4 2 14" xfId="14311" xr:uid="{00000000-0005-0000-0000-000054400000}"/>
    <cellStyle name="Normal GHG whole table 3 4 2 15" xfId="18427" xr:uid="{00000000-0005-0000-0000-000055400000}"/>
    <cellStyle name="Normal GHG whole table 3 4 2 16" xfId="18084" xr:uid="{00000000-0005-0000-0000-000056400000}"/>
    <cellStyle name="Normal GHG whole table 3 4 2 2" xfId="1353" xr:uid="{00000000-0005-0000-0000-000057400000}"/>
    <cellStyle name="Normal GHG whole table 3 4 2 2 2" xfId="13082" xr:uid="{00000000-0005-0000-0000-000058400000}"/>
    <cellStyle name="Normal GHG whole table 3 4 2 2 3" xfId="13900" xr:uid="{00000000-0005-0000-0000-000059400000}"/>
    <cellStyle name="Normal GHG whole table 3 4 2 2 4" xfId="17152" xr:uid="{00000000-0005-0000-0000-00005A400000}"/>
    <cellStyle name="Normal GHG whole table 3 4 2 2 5" xfId="14195" xr:uid="{00000000-0005-0000-0000-00005B400000}"/>
    <cellStyle name="Normal GHG whole table 3 4 2 2 6" xfId="19104" xr:uid="{00000000-0005-0000-0000-00005C400000}"/>
    <cellStyle name="Normal GHG whole table 3 4 2 3" xfId="3874" xr:uid="{00000000-0005-0000-0000-00005D400000}"/>
    <cellStyle name="Normal GHG whole table 3 4 2 4" xfId="9327" xr:uid="{00000000-0005-0000-0000-00005E400000}"/>
    <cellStyle name="Normal GHG whole table 3 4 2 5" xfId="9755" xr:uid="{00000000-0005-0000-0000-00005F400000}"/>
    <cellStyle name="Normal GHG whole table 3 4 2 6" xfId="10184" xr:uid="{00000000-0005-0000-0000-000060400000}"/>
    <cellStyle name="Normal GHG whole table 3 4 2 7" xfId="10596" xr:uid="{00000000-0005-0000-0000-000061400000}"/>
    <cellStyle name="Normal GHG whole table 3 4 2 8" xfId="10683" xr:uid="{00000000-0005-0000-0000-000062400000}"/>
    <cellStyle name="Normal GHG whole table 3 4 2 9" xfId="11315" xr:uid="{00000000-0005-0000-0000-000063400000}"/>
    <cellStyle name="Normal GHG whole table 3 4 3" xfId="993" xr:uid="{00000000-0005-0000-0000-000064400000}"/>
    <cellStyle name="Normal GHG whole table 3 4 3 2" xfId="12722" xr:uid="{00000000-0005-0000-0000-000065400000}"/>
    <cellStyle name="Normal GHG whole table 3 4 3 3" xfId="15290" xr:uid="{00000000-0005-0000-0000-000066400000}"/>
    <cellStyle name="Normal GHG whole table 3 4 3 4" xfId="17396" xr:uid="{00000000-0005-0000-0000-000067400000}"/>
    <cellStyle name="Normal GHG whole table 3 4 3 5" xfId="17711" xr:uid="{00000000-0005-0000-0000-000068400000}"/>
    <cellStyle name="Normal GHG whole table 3 4 3 6" xfId="19348" xr:uid="{00000000-0005-0000-0000-000069400000}"/>
    <cellStyle name="Normal GHG whole table 3 4 4" xfId="4037" xr:uid="{00000000-0005-0000-0000-00006A400000}"/>
    <cellStyle name="Normal GHG whole table 3 4 5" xfId="9225" xr:uid="{00000000-0005-0000-0000-00006B400000}"/>
    <cellStyle name="Normal GHG whole table 3 4 6" xfId="9543" xr:uid="{00000000-0005-0000-0000-00006C400000}"/>
    <cellStyle name="Normal GHG whole table 3 4 7" xfId="9970" xr:uid="{00000000-0005-0000-0000-00006D400000}"/>
    <cellStyle name="Normal GHG whole table 3 4 8" xfId="10382" xr:uid="{00000000-0005-0000-0000-00006E400000}"/>
    <cellStyle name="Normal GHG whole table 3 4 9" xfId="10455" xr:uid="{00000000-0005-0000-0000-00006F400000}"/>
    <cellStyle name="Normal GHG whole table 3 5" xfId="907" xr:uid="{00000000-0005-0000-0000-000070400000}"/>
    <cellStyle name="Normal GHG whole table 3 5 2" xfId="12636" xr:uid="{00000000-0005-0000-0000-000071400000}"/>
    <cellStyle name="Normal GHG whole table 3 5 3" xfId="14185" xr:uid="{00000000-0005-0000-0000-000072400000}"/>
    <cellStyle name="Normal GHG whole table 3 5 4" xfId="15910" xr:uid="{00000000-0005-0000-0000-000073400000}"/>
    <cellStyle name="Normal GHG whole table 3 5 5" xfId="17095" xr:uid="{00000000-0005-0000-0000-000074400000}"/>
    <cellStyle name="Normal GHG whole table 3 5 6" xfId="14325" xr:uid="{00000000-0005-0000-0000-000075400000}"/>
    <cellStyle name="Normal GHG whole table 3 6" xfId="3523" xr:uid="{00000000-0005-0000-0000-000076400000}"/>
    <cellStyle name="Normal GHG whole table 3 7" xfId="8858" xr:uid="{00000000-0005-0000-0000-000077400000}"/>
    <cellStyle name="Normal GHG whole table 3 8" xfId="8693" xr:uid="{00000000-0005-0000-0000-000078400000}"/>
    <cellStyle name="Normal GHG whole table 3 9" xfId="8548" xr:uid="{00000000-0005-0000-0000-000079400000}"/>
    <cellStyle name="Normal GHG whole table 4" xfId="81" xr:uid="{00000000-0005-0000-0000-00007A400000}"/>
    <cellStyle name="Normal GHG whole table 4 2" xfId="3250" xr:uid="{00000000-0005-0000-0000-00007B400000}"/>
    <cellStyle name="Normal GHG whole table 4 2 2" xfId="13514" xr:uid="{00000000-0005-0000-0000-00007C400000}"/>
    <cellStyle name="Normal GHG whole table 4 2 3" xfId="16883" xr:uid="{00000000-0005-0000-0000-00007D400000}"/>
    <cellStyle name="Normal GHG whole table 4 2 4" xfId="17994" xr:uid="{00000000-0005-0000-0000-00007E400000}"/>
    <cellStyle name="Normal GHG whole table 4 2 5" xfId="18991" xr:uid="{00000000-0005-0000-0000-00007F400000}"/>
    <cellStyle name="Normal GHG whole table 4 2 6" xfId="19732" xr:uid="{00000000-0005-0000-0000-000080400000}"/>
    <cellStyle name="Normal GHG whole table 4 3" xfId="9026" xr:uid="{00000000-0005-0000-0000-000081400000}"/>
    <cellStyle name="Normal GHG whole table 4 4" xfId="13751" xr:uid="{00000000-0005-0000-0000-000082400000}"/>
    <cellStyle name="Normal GHG-Shade" xfId="22" xr:uid="{00000000-0005-0000-0000-000083400000}"/>
    <cellStyle name="Normal GHG-Shade 2" xfId="178" xr:uid="{00000000-0005-0000-0000-000084400000}"/>
    <cellStyle name="Normal GHG-Shade 2 2" xfId="179" xr:uid="{00000000-0005-0000-0000-000085400000}"/>
    <cellStyle name="Normal GHG-Shade 2 3" xfId="180" xr:uid="{00000000-0005-0000-0000-000086400000}"/>
    <cellStyle name="Normal GHG-Shade 2 4" xfId="210" xr:uid="{00000000-0005-0000-0000-000087400000}"/>
    <cellStyle name="Normal GHG-Shade 2 5" xfId="375" xr:uid="{00000000-0005-0000-0000-000088400000}"/>
    <cellStyle name="Normal GHG-Shade 3" xfId="181" xr:uid="{00000000-0005-0000-0000-000089400000}"/>
    <cellStyle name="Normal GHG-Shade 3 2" xfId="182" xr:uid="{00000000-0005-0000-0000-00008A400000}"/>
    <cellStyle name="Normal GHG-Shade 4" xfId="183" xr:uid="{00000000-0005-0000-0000-00008B400000}"/>
    <cellStyle name="Normal GHG-Shade 4 2" xfId="446" xr:uid="{00000000-0005-0000-0000-00008C400000}"/>
    <cellStyle name="Normal U" xfId="2870" xr:uid="{00000000-0005-0000-0000-00008D400000}"/>
    <cellStyle name="Normal U 2" xfId="2871" xr:uid="{00000000-0005-0000-0000-00008E400000}"/>
    <cellStyle name="Normal U 2 2" xfId="2872" xr:uid="{00000000-0005-0000-0000-00008F400000}"/>
    <cellStyle name="Normál_Munka1" xfId="37" xr:uid="{00000000-0005-0000-0000-000090400000}"/>
    <cellStyle name="Note 10" xfId="6633" xr:uid="{00000000-0005-0000-0000-000091400000}"/>
    <cellStyle name="Note 10 2" xfId="6634" xr:uid="{00000000-0005-0000-0000-000092400000}"/>
    <cellStyle name="Note 10 3" xfId="6635" xr:uid="{00000000-0005-0000-0000-000093400000}"/>
    <cellStyle name="Note 10 4" xfId="6636" xr:uid="{00000000-0005-0000-0000-000094400000}"/>
    <cellStyle name="Note 10 5" xfId="6637" xr:uid="{00000000-0005-0000-0000-000095400000}"/>
    <cellStyle name="Note 10 6" xfId="6638" xr:uid="{00000000-0005-0000-0000-000096400000}"/>
    <cellStyle name="Note 10 7" xfId="6639" xr:uid="{00000000-0005-0000-0000-000097400000}"/>
    <cellStyle name="Note 10 8" xfId="6640" xr:uid="{00000000-0005-0000-0000-000098400000}"/>
    <cellStyle name="Note 10 9" xfId="6641" xr:uid="{00000000-0005-0000-0000-000099400000}"/>
    <cellStyle name="Note 11" xfId="6642" xr:uid="{00000000-0005-0000-0000-00009A400000}"/>
    <cellStyle name="Note 11 2" xfId="6643" xr:uid="{00000000-0005-0000-0000-00009B400000}"/>
    <cellStyle name="Note 11 3" xfId="6644" xr:uid="{00000000-0005-0000-0000-00009C400000}"/>
    <cellStyle name="Note 11 4" xfId="6645" xr:uid="{00000000-0005-0000-0000-00009D400000}"/>
    <cellStyle name="Note 11 5" xfId="6646" xr:uid="{00000000-0005-0000-0000-00009E400000}"/>
    <cellStyle name="Note 12" xfId="6647" xr:uid="{00000000-0005-0000-0000-00009F400000}"/>
    <cellStyle name="Note 12 2" xfId="6648" xr:uid="{00000000-0005-0000-0000-0000A0400000}"/>
    <cellStyle name="Note 12 3" xfId="6649" xr:uid="{00000000-0005-0000-0000-0000A1400000}"/>
    <cellStyle name="Note 12 4" xfId="6650" xr:uid="{00000000-0005-0000-0000-0000A2400000}"/>
    <cellStyle name="Note 12 5" xfId="6651" xr:uid="{00000000-0005-0000-0000-0000A3400000}"/>
    <cellStyle name="Note 13" xfId="6652" xr:uid="{00000000-0005-0000-0000-0000A4400000}"/>
    <cellStyle name="Note 14" xfId="6653" xr:uid="{00000000-0005-0000-0000-0000A5400000}"/>
    <cellStyle name="Note 15" xfId="6654" xr:uid="{00000000-0005-0000-0000-0000A6400000}"/>
    <cellStyle name="Note 16" xfId="6655" xr:uid="{00000000-0005-0000-0000-0000A7400000}"/>
    <cellStyle name="Note 17" xfId="6656" xr:uid="{00000000-0005-0000-0000-0000A8400000}"/>
    <cellStyle name="Note 18" xfId="6657" xr:uid="{00000000-0005-0000-0000-0000A9400000}"/>
    <cellStyle name="Note 19" xfId="6658" xr:uid="{00000000-0005-0000-0000-0000AA400000}"/>
    <cellStyle name="Note 2" xfId="184" xr:uid="{00000000-0005-0000-0000-0000AB400000}"/>
    <cellStyle name="Note 2 10" xfId="6660" xr:uid="{00000000-0005-0000-0000-0000AC400000}"/>
    <cellStyle name="Note 2 10 2" xfId="6661" xr:uid="{00000000-0005-0000-0000-0000AD400000}"/>
    <cellStyle name="Note 2 10 3" xfId="6662" xr:uid="{00000000-0005-0000-0000-0000AE400000}"/>
    <cellStyle name="Note 2 10 4" xfId="6663" xr:uid="{00000000-0005-0000-0000-0000AF400000}"/>
    <cellStyle name="Note 2 10 5" xfId="6664" xr:uid="{00000000-0005-0000-0000-0000B0400000}"/>
    <cellStyle name="Note 2 11" xfId="6665" xr:uid="{00000000-0005-0000-0000-0000B1400000}"/>
    <cellStyle name="Note 2 11 2" xfId="6666" xr:uid="{00000000-0005-0000-0000-0000B2400000}"/>
    <cellStyle name="Note 2 11 3" xfId="6667" xr:uid="{00000000-0005-0000-0000-0000B3400000}"/>
    <cellStyle name="Note 2 11 4" xfId="6668" xr:uid="{00000000-0005-0000-0000-0000B4400000}"/>
    <cellStyle name="Note 2 11 5" xfId="6669" xr:uid="{00000000-0005-0000-0000-0000B5400000}"/>
    <cellStyle name="Note 2 12" xfId="6670" xr:uid="{00000000-0005-0000-0000-0000B6400000}"/>
    <cellStyle name="Note 2 13" xfId="6671" xr:uid="{00000000-0005-0000-0000-0000B7400000}"/>
    <cellStyle name="Note 2 14" xfId="6672" xr:uid="{00000000-0005-0000-0000-0000B8400000}"/>
    <cellStyle name="Note 2 15" xfId="6673" xr:uid="{00000000-0005-0000-0000-0000B9400000}"/>
    <cellStyle name="Note 2 16" xfId="6674" xr:uid="{00000000-0005-0000-0000-0000BA400000}"/>
    <cellStyle name="Note 2 17" xfId="6675" xr:uid="{00000000-0005-0000-0000-0000BB400000}"/>
    <cellStyle name="Note 2 18" xfId="6676" xr:uid="{00000000-0005-0000-0000-0000BC400000}"/>
    <cellStyle name="Note 2 19" xfId="6677" xr:uid="{00000000-0005-0000-0000-0000BD400000}"/>
    <cellStyle name="Note 2 2" xfId="574" xr:uid="{00000000-0005-0000-0000-0000BE400000}"/>
    <cellStyle name="Note 2 2 10" xfId="6678" xr:uid="{00000000-0005-0000-0000-0000BF400000}"/>
    <cellStyle name="Note 2 2 11" xfId="8343" xr:uid="{00000000-0005-0000-0000-0000C0400000}"/>
    <cellStyle name="Note 2 2 12" xfId="9106" xr:uid="{00000000-0005-0000-0000-0000C1400000}"/>
    <cellStyle name="Note 2 2 13" xfId="9478" xr:uid="{00000000-0005-0000-0000-0000C2400000}"/>
    <cellStyle name="Note 2 2 14" xfId="9905" xr:uid="{00000000-0005-0000-0000-0000C3400000}"/>
    <cellStyle name="Note 2 2 15" xfId="10317" xr:uid="{00000000-0005-0000-0000-0000C4400000}"/>
    <cellStyle name="Note 2 2 16" xfId="9015" xr:uid="{00000000-0005-0000-0000-0000C5400000}"/>
    <cellStyle name="Note 2 2 17" xfId="11041" xr:uid="{00000000-0005-0000-0000-0000C6400000}"/>
    <cellStyle name="Note 2 2 18" xfId="11428" xr:uid="{00000000-0005-0000-0000-0000C7400000}"/>
    <cellStyle name="Note 2 2 19" xfId="11800" xr:uid="{00000000-0005-0000-0000-0000C8400000}"/>
    <cellStyle name="Note 2 2 2" xfId="789" xr:uid="{00000000-0005-0000-0000-0000C9400000}"/>
    <cellStyle name="Note 2 2 2 10" xfId="10531" xr:uid="{00000000-0005-0000-0000-0000CA400000}"/>
    <cellStyle name="Note 2 2 2 11" xfId="10660" xr:uid="{00000000-0005-0000-0000-0000CB400000}"/>
    <cellStyle name="Note 2 2 2 12" xfId="11250" xr:uid="{00000000-0005-0000-0000-0000CC400000}"/>
    <cellStyle name="Note 2 2 2 13" xfId="11635" xr:uid="{00000000-0005-0000-0000-0000CD400000}"/>
    <cellStyle name="Note 2 2 2 14" xfId="12006" xr:uid="{00000000-0005-0000-0000-0000CE400000}"/>
    <cellStyle name="Note 2 2 2 15" xfId="12519" xr:uid="{00000000-0005-0000-0000-0000CF400000}"/>
    <cellStyle name="Note 2 2 2 16" xfId="16143" xr:uid="{00000000-0005-0000-0000-0000D0400000}"/>
    <cellStyle name="Note 2 2 2 17" xfId="16204" xr:uid="{00000000-0005-0000-0000-0000D1400000}"/>
    <cellStyle name="Note 2 2 2 18" xfId="15130" xr:uid="{00000000-0005-0000-0000-0000D2400000}"/>
    <cellStyle name="Note 2 2 2 19" xfId="18087" xr:uid="{00000000-0005-0000-0000-0000D3400000}"/>
    <cellStyle name="Note 2 2 2 2" xfId="1194" xr:uid="{00000000-0005-0000-0000-0000D4400000}"/>
    <cellStyle name="Note 2 2 2 2 2" xfId="12923" xr:uid="{00000000-0005-0000-0000-0000D5400000}"/>
    <cellStyle name="Note 2 2 2 2 3" xfId="13773" xr:uid="{00000000-0005-0000-0000-0000D6400000}"/>
    <cellStyle name="Note 2 2 2 2 4" xfId="14022" xr:uid="{00000000-0005-0000-0000-0000D7400000}"/>
    <cellStyle name="Note 2 2 2 2 5" xfId="16029" xr:uid="{00000000-0005-0000-0000-0000D8400000}"/>
    <cellStyle name="Note 2 2 2 2 6" xfId="19214" xr:uid="{00000000-0005-0000-0000-0000D9400000}"/>
    <cellStyle name="Note 2 2 2 3" xfId="1796" xr:uid="{00000000-0005-0000-0000-0000DA400000}"/>
    <cellStyle name="Note 2 2 2 3 2" xfId="13186" xr:uid="{00000000-0005-0000-0000-0000DB400000}"/>
    <cellStyle name="Note 2 2 2 3 3" xfId="14272" xr:uid="{00000000-0005-0000-0000-0000DC400000}"/>
    <cellStyle name="Note 2 2 2 3 4" xfId="17044" xr:uid="{00000000-0005-0000-0000-0000DD400000}"/>
    <cellStyle name="Note 2 2 2 3 5" xfId="13696" xr:uid="{00000000-0005-0000-0000-0000DE400000}"/>
    <cellStyle name="Note 2 2 2 3 6" xfId="19049" xr:uid="{00000000-0005-0000-0000-0000DF400000}"/>
    <cellStyle name="Note 2 2 2 4" xfId="3575" xr:uid="{00000000-0005-0000-0000-0000E0400000}"/>
    <cellStyle name="Note 2 2 2 5" xfId="6679" xr:uid="{00000000-0005-0000-0000-0000E1400000}"/>
    <cellStyle name="Note 2 2 2 6" xfId="8453" xr:uid="{00000000-0005-0000-0000-0000E2400000}"/>
    <cellStyle name="Note 2 2 2 7" xfId="8732" xr:uid="{00000000-0005-0000-0000-0000E3400000}"/>
    <cellStyle name="Note 2 2 2 8" xfId="9690" xr:uid="{00000000-0005-0000-0000-0000E4400000}"/>
    <cellStyle name="Note 2 2 2 9" xfId="10119" xr:uid="{00000000-0005-0000-0000-0000E5400000}"/>
    <cellStyle name="Note 2 2 20" xfId="12313" xr:uid="{00000000-0005-0000-0000-0000E6400000}"/>
    <cellStyle name="Note 2 2 21" xfId="14528" xr:uid="{00000000-0005-0000-0000-0000E7400000}"/>
    <cellStyle name="Note 2 2 22" xfId="14239" xr:uid="{00000000-0005-0000-0000-0000E8400000}"/>
    <cellStyle name="Note 2 2 23" xfId="16957" xr:uid="{00000000-0005-0000-0000-0000E9400000}"/>
    <cellStyle name="Note 2 2 24" xfId="16087" xr:uid="{00000000-0005-0000-0000-0000EA400000}"/>
    <cellStyle name="Note 2 2 3" xfId="1108" xr:uid="{00000000-0005-0000-0000-0000EB400000}"/>
    <cellStyle name="Note 2 2 3 2" xfId="6680" xr:uid="{00000000-0005-0000-0000-0000EC400000}"/>
    <cellStyle name="Note 2 2 3 3" xfId="12837" xr:uid="{00000000-0005-0000-0000-0000ED400000}"/>
    <cellStyle name="Note 2 2 3 4" xfId="14345" xr:uid="{00000000-0005-0000-0000-0000EE400000}"/>
    <cellStyle name="Note 2 2 3 5" xfId="17330" xr:uid="{00000000-0005-0000-0000-0000EF400000}"/>
    <cellStyle name="Note 2 2 3 6" xfId="18465" xr:uid="{00000000-0005-0000-0000-0000F0400000}"/>
    <cellStyle name="Note 2 2 3 7" xfId="19282" xr:uid="{00000000-0005-0000-0000-0000F1400000}"/>
    <cellStyle name="Note 2 2 4" xfId="2873" xr:uid="{00000000-0005-0000-0000-0000F2400000}"/>
    <cellStyle name="Note 2 2 4 2" xfId="6681" xr:uid="{00000000-0005-0000-0000-0000F3400000}"/>
    <cellStyle name="Note 2 2 4 3" xfId="13421" xr:uid="{00000000-0005-0000-0000-0000F4400000}"/>
    <cellStyle name="Note 2 2 4 4" xfId="16039" xr:uid="{00000000-0005-0000-0000-0000F5400000}"/>
    <cellStyle name="Note 2 2 4 5" xfId="14205" xr:uid="{00000000-0005-0000-0000-0000F6400000}"/>
    <cellStyle name="Note 2 2 4 6" xfId="14559" xr:uid="{00000000-0005-0000-0000-0000F7400000}"/>
    <cellStyle name="Note 2 2 4 7" xfId="18061" xr:uid="{00000000-0005-0000-0000-0000F8400000}"/>
    <cellStyle name="Note 2 2 4 8" xfId="15532" xr:uid="{00000000-0005-0000-0000-0000F9400000}"/>
    <cellStyle name="Note 2 2 5" xfId="2874" xr:uid="{00000000-0005-0000-0000-0000FA400000}"/>
    <cellStyle name="Note 2 2 5 2" xfId="6682" xr:uid="{00000000-0005-0000-0000-0000FB400000}"/>
    <cellStyle name="Note 2 2 6" xfId="3902" xr:uid="{00000000-0005-0000-0000-0000FC400000}"/>
    <cellStyle name="Note 2 2 6 2" xfId="6683" xr:uid="{00000000-0005-0000-0000-0000FD400000}"/>
    <cellStyle name="Note 2 2 7" xfId="6684" xr:uid="{00000000-0005-0000-0000-0000FE400000}"/>
    <cellStyle name="Note 2 2 8" xfId="6685" xr:uid="{00000000-0005-0000-0000-0000FF400000}"/>
    <cellStyle name="Note 2 2 9" xfId="6686" xr:uid="{00000000-0005-0000-0000-000000410000}"/>
    <cellStyle name="Note 2 20" xfId="6687" xr:uid="{00000000-0005-0000-0000-000001410000}"/>
    <cellStyle name="Note 2 21" xfId="6688" xr:uid="{00000000-0005-0000-0000-000002410000}"/>
    <cellStyle name="Note 2 22" xfId="6689" xr:uid="{00000000-0005-0000-0000-000003410000}"/>
    <cellStyle name="Note 2 23" xfId="6690" xr:uid="{00000000-0005-0000-0000-000004410000}"/>
    <cellStyle name="Note 2 24" xfId="6691" xr:uid="{00000000-0005-0000-0000-000005410000}"/>
    <cellStyle name="Note 2 25" xfId="6692" xr:uid="{00000000-0005-0000-0000-000006410000}"/>
    <cellStyle name="Note 2 26" xfId="6693" xr:uid="{00000000-0005-0000-0000-000007410000}"/>
    <cellStyle name="Note 2 27" xfId="6659" xr:uid="{00000000-0005-0000-0000-000008410000}"/>
    <cellStyle name="Note 2 28" xfId="8285" xr:uid="{00000000-0005-0000-0000-000009410000}"/>
    <cellStyle name="Note 2 29" xfId="8971" xr:uid="{00000000-0005-0000-0000-00000A410000}"/>
    <cellStyle name="Note 2 3" xfId="638" xr:uid="{00000000-0005-0000-0000-00000B410000}"/>
    <cellStyle name="Note 2 3 10" xfId="6694" xr:uid="{00000000-0005-0000-0000-00000C410000}"/>
    <cellStyle name="Note 2 3 11" xfId="8371" xr:uid="{00000000-0005-0000-0000-00000D410000}"/>
    <cellStyle name="Note 2 3 12" xfId="8612" xr:uid="{00000000-0005-0000-0000-00000E410000}"/>
    <cellStyle name="Note 2 3 13" xfId="9542" xr:uid="{00000000-0005-0000-0000-00000F410000}"/>
    <cellStyle name="Note 2 3 14" xfId="9969" xr:uid="{00000000-0005-0000-0000-000010410000}"/>
    <cellStyle name="Note 2 3 15" xfId="10381" xr:uid="{00000000-0005-0000-0000-000011410000}"/>
    <cellStyle name="Note 2 3 16" xfId="8536" xr:uid="{00000000-0005-0000-0000-000012410000}"/>
    <cellStyle name="Note 2 3 17" xfId="11105" xr:uid="{00000000-0005-0000-0000-000013410000}"/>
    <cellStyle name="Note 2 3 18" xfId="11492" xr:uid="{00000000-0005-0000-0000-000014410000}"/>
    <cellStyle name="Note 2 3 19" xfId="11864" xr:uid="{00000000-0005-0000-0000-000015410000}"/>
    <cellStyle name="Note 2 3 2" xfId="853" xr:uid="{00000000-0005-0000-0000-000016410000}"/>
    <cellStyle name="Note 2 3 2 10" xfId="8817" xr:uid="{00000000-0005-0000-0000-000017410000}"/>
    <cellStyle name="Note 2 3 2 11" xfId="11314" xr:uid="{00000000-0005-0000-0000-000018410000}"/>
    <cellStyle name="Note 2 3 2 12" xfId="11699" xr:uid="{00000000-0005-0000-0000-000019410000}"/>
    <cellStyle name="Note 2 3 2 13" xfId="12070" xr:uid="{00000000-0005-0000-0000-00001A410000}"/>
    <cellStyle name="Note 2 3 2 14" xfId="12583" xr:uid="{00000000-0005-0000-0000-00001B410000}"/>
    <cellStyle name="Note 2 3 2 15" xfId="15147" xr:uid="{00000000-0005-0000-0000-00001C410000}"/>
    <cellStyle name="Note 2 3 2 16" xfId="15705" xr:uid="{00000000-0005-0000-0000-00001D410000}"/>
    <cellStyle name="Note 2 3 2 17" xfId="17091" xr:uid="{00000000-0005-0000-0000-00001E410000}"/>
    <cellStyle name="Note 2 3 2 18" xfId="13941" xr:uid="{00000000-0005-0000-0000-00001F410000}"/>
    <cellStyle name="Note 2 3 2 2" xfId="1264" xr:uid="{00000000-0005-0000-0000-000020410000}"/>
    <cellStyle name="Note 2 3 2 2 2" xfId="12993" xr:uid="{00000000-0005-0000-0000-000021410000}"/>
    <cellStyle name="Note 2 3 2 2 3" xfId="15396" xr:uid="{00000000-0005-0000-0000-000022410000}"/>
    <cellStyle name="Note 2 3 2 2 4" xfId="13931" xr:uid="{00000000-0005-0000-0000-000023410000}"/>
    <cellStyle name="Note 2 3 2 2 5" xfId="18136" xr:uid="{00000000-0005-0000-0000-000024410000}"/>
    <cellStyle name="Note 2 3 2 2 6" xfId="19163" xr:uid="{00000000-0005-0000-0000-000025410000}"/>
    <cellStyle name="Note 2 3 2 3" xfId="3689" xr:uid="{00000000-0005-0000-0000-000026410000}"/>
    <cellStyle name="Note 2 3 2 4" xfId="6695" xr:uid="{00000000-0005-0000-0000-000027410000}"/>
    <cellStyle name="Note 2 3 2 5" xfId="8483" xr:uid="{00000000-0005-0000-0000-000028410000}"/>
    <cellStyle name="Note 2 3 2 6" xfId="9326" xr:uid="{00000000-0005-0000-0000-000029410000}"/>
    <cellStyle name="Note 2 3 2 7" xfId="9754" xr:uid="{00000000-0005-0000-0000-00002A410000}"/>
    <cellStyle name="Note 2 3 2 8" xfId="10183" xr:uid="{00000000-0005-0000-0000-00002B410000}"/>
    <cellStyle name="Note 2 3 2 9" xfId="10595" xr:uid="{00000000-0005-0000-0000-00002C410000}"/>
    <cellStyle name="Note 2 3 20" xfId="12377" xr:uid="{00000000-0005-0000-0000-00002D410000}"/>
    <cellStyle name="Note 2 3 21" xfId="15979" xr:uid="{00000000-0005-0000-0000-00002E410000}"/>
    <cellStyle name="Note 2 3 22" xfId="14061" xr:uid="{00000000-0005-0000-0000-00002F410000}"/>
    <cellStyle name="Note 2 3 23" xfId="18461" xr:uid="{00000000-0005-0000-0000-000030410000}"/>
    <cellStyle name="Note 2 3 24" xfId="18595" xr:uid="{00000000-0005-0000-0000-000031410000}"/>
    <cellStyle name="Note 2 3 3" xfId="1313" xr:uid="{00000000-0005-0000-0000-000032410000}"/>
    <cellStyle name="Note 2 3 3 2" xfId="2875" xr:uid="{00000000-0005-0000-0000-000033410000}"/>
    <cellStyle name="Note 2 3 3 2 2" xfId="13422" xr:uid="{00000000-0005-0000-0000-000034410000}"/>
    <cellStyle name="Note 2 3 3 2 3" xfId="14773" xr:uid="{00000000-0005-0000-0000-000035410000}"/>
    <cellStyle name="Note 2 3 3 2 4" xfId="14525" xr:uid="{00000000-0005-0000-0000-000036410000}"/>
    <cellStyle name="Note 2 3 3 2 5" xfId="18062" xr:uid="{00000000-0005-0000-0000-000037410000}"/>
    <cellStyle name="Note 2 3 3 2 6" xfId="16156" xr:uid="{00000000-0005-0000-0000-000038410000}"/>
    <cellStyle name="Note 2 3 3 3" xfId="6696" xr:uid="{00000000-0005-0000-0000-000039410000}"/>
    <cellStyle name="Note 2 3 3 4" xfId="13042" xr:uid="{00000000-0005-0000-0000-00003A410000}"/>
    <cellStyle name="Note 2 3 3 5" xfId="14928" xr:uid="{00000000-0005-0000-0000-00003B410000}"/>
    <cellStyle name="Note 2 3 3 6" xfId="17175" xr:uid="{00000000-0005-0000-0000-00003C410000}"/>
    <cellStyle name="Note 2 3 3 7" xfId="15493" xr:uid="{00000000-0005-0000-0000-00003D410000}"/>
    <cellStyle name="Note 2 3 3 8" xfId="18403" xr:uid="{00000000-0005-0000-0000-00003E410000}"/>
    <cellStyle name="Note 2 3 4" xfId="2876" xr:uid="{00000000-0005-0000-0000-00003F410000}"/>
    <cellStyle name="Note 2 3 4 2" xfId="6697" xr:uid="{00000000-0005-0000-0000-000040410000}"/>
    <cellStyle name="Note 2 3 4 3" xfId="13423" xr:uid="{00000000-0005-0000-0000-000041410000}"/>
    <cellStyle name="Note 2 3 4 4" xfId="14722" xr:uid="{00000000-0005-0000-0000-000042410000}"/>
    <cellStyle name="Note 2 3 4 5" xfId="16359" xr:uid="{00000000-0005-0000-0000-000043410000}"/>
    <cellStyle name="Note 2 3 4 6" xfId="18063" xr:uid="{00000000-0005-0000-0000-000044410000}"/>
    <cellStyle name="Note 2 3 4 7" xfId="17902" xr:uid="{00000000-0005-0000-0000-000045410000}"/>
    <cellStyle name="Note 2 3 5" xfId="3493" xr:uid="{00000000-0005-0000-0000-000046410000}"/>
    <cellStyle name="Note 2 3 5 2" xfId="6698" xr:uid="{00000000-0005-0000-0000-000047410000}"/>
    <cellStyle name="Note 2 3 6" xfId="6699" xr:uid="{00000000-0005-0000-0000-000048410000}"/>
    <cellStyle name="Note 2 3 7" xfId="6700" xr:uid="{00000000-0005-0000-0000-000049410000}"/>
    <cellStyle name="Note 2 3 8" xfId="6701" xr:uid="{00000000-0005-0000-0000-00004A410000}"/>
    <cellStyle name="Note 2 3 9" xfId="6702" xr:uid="{00000000-0005-0000-0000-00004B410000}"/>
    <cellStyle name="Note 2 30" xfId="8791" xr:uid="{00000000-0005-0000-0000-00004C410000}"/>
    <cellStyle name="Note 2 31" xfId="8672" xr:uid="{00000000-0005-0000-0000-00004D410000}"/>
    <cellStyle name="Note 2 32" xfId="8719" xr:uid="{00000000-0005-0000-0000-00004E410000}"/>
    <cellStyle name="Note 2 33" xfId="9046" xr:uid="{00000000-0005-0000-0000-00004F410000}"/>
    <cellStyle name="Note 2 34" xfId="10933" xr:uid="{00000000-0005-0000-0000-000050410000}"/>
    <cellStyle name="Note 2 35" xfId="10730" xr:uid="{00000000-0005-0000-0000-000051410000}"/>
    <cellStyle name="Note 2 36" xfId="10940" xr:uid="{00000000-0005-0000-0000-000052410000}"/>
    <cellStyle name="Note 2 37" xfId="12212" xr:uid="{00000000-0005-0000-0000-000053410000}"/>
    <cellStyle name="Note 2 38" xfId="16586" xr:uid="{00000000-0005-0000-0000-000054410000}"/>
    <cellStyle name="Note 2 39" xfId="17700" xr:uid="{00000000-0005-0000-0000-000055410000}"/>
    <cellStyle name="Note 2 4" xfId="533" xr:uid="{00000000-0005-0000-0000-000056410000}"/>
    <cellStyle name="Note 2 4 10" xfId="6703" xr:uid="{00000000-0005-0000-0000-000057410000}"/>
    <cellStyle name="Note 2 4 11" xfId="8323" xr:uid="{00000000-0005-0000-0000-000058410000}"/>
    <cellStyle name="Note 2 4 12" xfId="9180" xr:uid="{00000000-0005-0000-0000-000059410000}"/>
    <cellStyle name="Note 2 4 13" xfId="9437" xr:uid="{00000000-0005-0000-0000-00005A410000}"/>
    <cellStyle name="Note 2 4 14" xfId="9864" xr:uid="{00000000-0005-0000-0000-00005B410000}"/>
    <cellStyle name="Note 2 4 15" xfId="10276" xr:uid="{00000000-0005-0000-0000-00005C410000}"/>
    <cellStyle name="Note 2 4 16" xfId="10695" xr:uid="{00000000-0005-0000-0000-00005D410000}"/>
    <cellStyle name="Note 2 4 17" xfId="11000" xr:uid="{00000000-0005-0000-0000-00005E410000}"/>
    <cellStyle name="Note 2 4 18" xfId="11387" xr:uid="{00000000-0005-0000-0000-00005F410000}"/>
    <cellStyle name="Note 2 4 19" xfId="11759" xr:uid="{00000000-0005-0000-0000-000060410000}"/>
    <cellStyle name="Note 2 4 2" xfId="748" xr:uid="{00000000-0005-0000-0000-000061410000}"/>
    <cellStyle name="Note 2 4 2 10" xfId="10794" xr:uid="{00000000-0005-0000-0000-000062410000}"/>
    <cellStyle name="Note 2 4 2 11" xfId="11209" xr:uid="{00000000-0005-0000-0000-000063410000}"/>
    <cellStyle name="Note 2 4 2 12" xfId="11594" xr:uid="{00000000-0005-0000-0000-000064410000}"/>
    <cellStyle name="Note 2 4 2 13" xfId="11965" xr:uid="{00000000-0005-0000-0000-000065410000}"/>
    <cellStyle name="Note 2 4 2 14" xfId="12478" xr:uid="{00000000-0005-0000-0000-000066410000}"/>
    <cellStyle name="Note 2 4 2 15" xfId="13891" xr:uid="{00000000-0005-0000-0000-000067410000}"/>
    <cellStyle name="Note 2 4 2 16" xfId="14865" xr:uid="{00000000-0005-0000-0000-000068410000}"/>
    <cellStyle name="Note 2 4 2 17" xfId="15965" xr:uid="{00000000-0005-0000-0000-000069410000}"/>
    <cellStyle name="Note 2 4 2 18" xfId="19430" xr:uid="{00000000-0005-0000-0000-00006A410000}"/>
    <cellStyle name="Note 2 4 2 2" xfId="979" xr:uid="{00000000-0005-0000-0000-00006B410000}"/>
    <cellStyle name="Note 2 4 2 2 2" xfId="12708" xr:uid="{00000000-0005-0000-0000-00006C410000}"/>
    <cellStyle name="Note 2 4 2 2 3" xfId="14458" xr:uid="{00000000-0005-0000-0000-00006D410000}"/>
    <cellStyle name="Note 2 4 2 2 4" xfId="17407" xr:uid="{00000000-0005-0000-0000-00006E410000}"/>
    <cellStyle name="Note 2 4 2 2 5" xfId="16998" xr:uid="{00000000-0005-0000-0000-00006F410000}"/>
    <cellStyle name="Note 2 4 2 2 6" xfId="13911" xr:uid="{00000000-0005-0000-0000-000070410000}"/>
    <cellStyle name="Note 2 4 2 3" xfId="3878" xr:uid="{00000000-0005-0000-0000-000071410000}"/>
    <cellStyle name="Note 2 4 2 4" xfId="6704" xr:uid="{00000000-0005-0000-0000-000072410000}"/>
    <cellStyle name="Note 2 4 2 5" xfId="8428" xr:uid="{00000000-0005-0000-0000-000073410000}"/>
    <cellStyle name="Note 2 4 2 6" xfId="8642" xr:uid="{00000000-0005-0000-0000-000074410000}"/>
    <cellStyle name="Note 2 4 2 7" xfId="9649" xr:uid="{00000000-0005-0000-0000-000075410000}"/>
    <cellStyle name="Note 2 4 2 8" xfId="10078" xr:uid="{00000000-0005-0000-0000-000076410000}"/>
    <cellStyle name="Note 2 4 2 9" xfId="10490" xr:uid="{00000000-0005-0000-0000-000077410000}"/>
    <cellStyle name="Note 2 4 20" xfId="12272" xr:uid="{00000000-0005-0000-0000-000078410000}"/>
    <cellStyle name="Note 2 4 21" xfId="13928" xr:uid="{00000000-0005-0000-0000-000079410000}"/>
    <cellStyle name="Note 2 4 22" xfId="13872" xr:uid="{00000000-0005-0000-0000-00007A410000}"/>
    <cellStyle name="Note 2 4 23" xfId="18347" xr:uid="{00000000-0005-0000-0000-00007B410000}"/>
    <cellStyle name="Note 2 4 24" xfId="14091" xr:uid="{00000000-0005-0000-0000-00007C410000}"/>
    <cellStyle name="Note 2 4 3" xfId="1086" xr:uid="{00000000-0005-0000-0000-00007D410000}"/>
    <cellStyle name="Note 2 4 3 2" xfId="6705" xr:uid="{00000000-0005-0000-0000-00007E410000}"/>
    <cellStyle name="Note 2 4 3 3" xfId="12815" xr:uid="{00000000-0005-0000-0000-00007F410000}"/>
    <cellStyle name="Note 2 4 3 4" xfId="15326" xr:uid="{00000000-0005-0000-0000-000080410000}"/>
    <cellStyle name="Note 2 4 3 5" xfId="17347" xr:uid="{00000000-0005-0000-0000-000081410000}"/>
    <cellStyle name="Note 2 4 3 6" xfId="17011" xr:uid="{00000000-0005-0000-0000-000082410000}"/>
    <cellStyle name="Note 2 4 3 7" xfId="19299" xr:uid="{00000000-0005-0000-0000-000083410000}"/>
    <cellStyle name="Note 2 4 4" xfId="3480" xr:uid="{00000000-0005-0000-0000-000084410000}"/>
    <cellStyle name="Note 2 4 4 2" xfId="6706" xr:uid="{00000000-0005-0000-0000-000085410000}"/>
    <cellStyle name="Note 2 4 5" xfId="6707" xr:uid="{00000000-0005-0000-0000-000086410000}"/>
    <cellStyle name="Note 2 4 6" xfId="6708" xr:uid="{00000000-0005-0000-0000-000087410000}"/>
    <cellStyle name="Note 2 4 7" xfId="6709" xr:uid="{00000000-0005-0000-0000-000088410000}"/>
    <cellStyle name="Note 2 4 8" xfId="6710" xr:uid="{00000000-0005-0000-0000-000089410000}"/>
    <cellStyle name="Note 2 4 9" xfId="6711" xr:uid="{00000000-0005-0000-0000-00008A410000}"/>
    <cellStyle name="Note 2 40" xfId="18744" xr:uid="{00000000-0005-0000-0000-00008B410000}"/>
    <cellStyle name="Note 2 41" xfId="19523" xr:uid="{00000000-0005-0000-0000-00008C410000}"/>
    <cellStyle name="Note 2 5" xfId="697" xr:uid="{00000000-0005-0000-0000-00008D410000}"/>
    <cellStyle name="Note 2 5 10" xfId="6712" xr:uid="{00000000-0005-0000-0000-00008E410000}"/>
    <cellStyle name="Note 2 5 11" xfId="8403" xr:uid="{00000000-0005-0000-0000-00008F410000}"/>
    <cellStyle name="Note 2 5 12" xfId="9162" xr:uid="{00000000-0005-0000-0000-000090410000}"/>
    <cellStyle name="Note 2 5 13" xfId="9600" xr:uid="{00000000-0005-0000-0000-000091410000}"/>
    <cellStyle name="Note 2 5 14" xfId="10027" xr:uid="{00000000-0005-0000-0000-000092410000}"/>
    <cellStyle name="Note 2 5 15" xfId="10439" xr:uid="{00000000-0005-0000-0000-000093410000}"/>
    <cellStyle name="Note 2 5 16" xfId="8987" xr:uid="{00000000-0005-0000-0000-000094410000}"/>
    <cellStyle name="Note 2 5 17" xfId="11163" xr:uid="{00000000-0005-0000-0000-000095410000}"/>
    <cellStyle name="Note 2 5 18" xfId="11550" xr:uid="{00000000-0005-0000-0000-000096410000}"/>
    <cellStyle name="Note 2 5 19" xfId="11922" xr:uid="{00000000-0005-0000-0000-000097410000}"/>
    <cellStyle name="Note 2 5 2" xfId="911" xr:uid="{00000000-0005-0000-0000-000098410000}"/>
    <cellStyle name="Note 2 5 2 2" xfId="6713" xr:uid="{00000000-0005-0000-0000-000099410000}"/>
    <cellStyle name="Note 2 5 2 3" xfId="12640" xr:uid="{00000000-0005-0000-0000-00009A410000}"/>
    <cellStyle name="Note 2 5 2 4" xfId="16118" xr:uid="{00000000-0005-0000-0000-00009B410000}"/>
    <cellStyle name="Note 2 5 2 5" xfId="15926" xr:uid="{00000000-0005-0000-0000-00009C410000}"/>
    <cellStyle name="Note 2 5 2 6" xfId="18517" xr:uid="{00000000-0005-0000-0000-00009D410000}"/>
    <cellStyle name="Note 2 5 2 7" xfId="16424" xr:uid="{00000000-0005-0000-0000-00009E410000}"/>
    <cellStyle name="Note 2 5 20" xfId="12435" xr:uid="{00000000-0005-0000-0000-00009F410000}"/>
    <cellStyle name="Note 2 5 21" xfId="15215" xr:uid="{00000000-0005-0000-0000-0000A0410000}"/>
    <cellStyle name="Note 2 5 22" xfId="17507" xr:uid="{00000000-0005-0000-0000-0000A1410000}"/>
    <cellStyle name="Note 2 5 23" xfId="17894" xr:uid="{00000000-0005-0000-0000-0000A2410000}"/>
    <cellStyle name="Note 2 5 24" xfId="19454" xr:uid="{00000000-0005-0000-0000-0000A3410000}"/>
    <cellStyle name="Note 2 5 3" xfId="3436" xr:uid="{00000000-0005-0000-0000-0000A4410000}"/>
    <cellStyle name="Note 2 5 3 2" xfId="6714" xr:uid="{00000000-0005-0000-0000-0000A5410000}"/>
    <cellStyle name="Note 2 5 4" xfId="6715" xr:uid="{00000000-0005-0000-0000-0000A6410000}"/>
    <cellStyle name="Note 2 5 5" xfId="6716" xr:uid="{00000000-0005-0000-0000-0000A7410000}"/>
    <cellStyle name="Note 2 5 6" xfId="6717" xr:uid="{00000000-0005-0000-0000-0000A8410000}"/>
    <cellStyle name="Note 2 5 7" xfId="6718" xr:uid="{00000000-0005-0000-0000-0000A9410000}"/>
    <cellStyle name="Note 2 5 8" xfId="6719" xr:uid="{00000000-0005-0000-0000-0000AA410000}"/>
    <cellStyle name="Note 2 5 9" xfId="6720" xr:uid="{00000000-0005-0000-0000-0000AB410000}"/>
    <cellStyle name="Note 2 6" xfId="1364" xr:uid="{00000000-0005-0000-0000-0000AC410000}"/>
    <cellStyle name="Note 2 6 10" xfId="13715" xr:uid="{00000000-0005-0000-0000-0000AD410000}"/>
    <cellStyle name="Note 2 6 11" xfId="19094" xr:uid="{00000000-0005-0000-0000-0000AE410000}"/>
    <cellStyle name="Note 2 6 2" xfId="6722" xr:uid="{00000000-0005-0000-0000-0000AF410000}"/>
    <cellStyle name="Note 2 6 3" xfId="6723" xr:uid="{00000000-0005-0000-0000-0000B0410000}"/>
    <cellStyle name="Note 2 6 4" xfId="6724" xr:uid="{00000000-0005-0000-0000-0000B1410000}"/>
    <cellStyle name="Note 2 6 5" xfId="6725" xr:uid="{00000000-0005-0000-0000-0000B2410000}"/>
    <cellStyle name="Note 2 6 6" xfId="6721" xr:uid="{00000000-0005-0000-0000-0000B3410000}"/>
    <cellStyle name="Note 2 6 7" xfId="13093" xr:uid="{00000000-0005-0000-0000-0000B4410000}"/>
    <cellStyle name="Note 2 6 8" xfId="14838" xr:uid="{00000000-0005-0000-0000-0000B5410000}"/>
    <cellStyle name="Note 2 6 9" xfId="15098" xr:uid="{00000000-0005-0000-0000-0000B6410000}"/>
    <cellStyle name="Note 2 7" xfId="2877" xr:uid="{00000000-0005-0000-0000-0000B7410000}"/>
    <cellStyle name="Note 2 7 10" xfId="18064" xr:uid="{00000000-0005-0000-0000-0000B8410000}"/>
    <cellStyle name="Note 2 7 11" xfId="16175" xr:uid="{00000000-0005-0000-0000-0000B9410000}"/>
    <cellStyle name="Note 2 7 2" xfId="6727" xr:uid="{00000000-0005-0000-0000-0000BA410000}"/>
    <cellStyle name="Note 2 7 3" xfId="6728" xr:uid="{00000000-0005-0000-0000-0000BB410000}"/>
    <cellStyle name="Note 2 7 4" xfId="6729" xr:uid="{00000000-0005-0000-0000-0000BC410000}"/>
    <cellStyle name="Note 2 7 5" xfId="6730" xr:uid="{00000000-0005-0000-0000-0000BD410000}"/>
    <cellStyle name="Note 2 7 6" xfId="6726" xr:uid="{00000000-0005-0000-0000-0000BE410000}"/>
    <cellStyle name="Note 2 7 7" xfId="13424" xr:uid="{00000000-0005-0000-0000-0000BF410000}"/>
    <cellStyle name="Note 2 7 8" xfId="14214" xr:uid="{00000000-0005-0000-0000-0000C0410000}"/>
    <cellStyle name="Note 2 7 9" xfId="13720" xr:uid="{00000000-0005-0000-0000-0000C1410000}"/>
    <cellStyle name="Note 2 8" xfId="2878" xr:uid="{00000000-0005-0000-0000-0000C2410000}"/>
    <cellStyle name="Note 2 8 10" xfId="18065" xr:uid="{00000000-0005-0000-0000-0000C3410000}"/>
    <cellStyle name="Note 2 8 11" xfId="16489" xr:uid="{00000000-0005-0000-0000-0000C4410000}"/>
    <cellStyle name="Note 2 8 2" xfId="6732" xr:uid="{00000000-0005-0000-0000-0000C5410000}"/>
    <cellStyle name="Note 2 8 3" xfId="6733" xr:uid="{00000000-0005-0000-0000-0000C6410000}"/>
    <cellStyle name="Note 2 8 4" xfId="6734" xr:uid="{00000000-0005-0000-0000-0000C7410000}"/>
    <cellStyle name="Note 2 8 5" xfId="6735" xr:uid="{00000000-0005-0000-0000-0000C8410000}"/>
    <cellStyle name="Note 2 8 6" xfId="6731" xr:uid="{00000000-0005-0000-0000-0000C9410000}"/>
    <cellStyle name="Note 2 8 7" xfId="13425" xr:uid="{00000000-0005-0000-0000-0000CA410000}"/>
    <cellStyle name="Note 2 8 8" xfId="14373" xr:uid="{00000000-0005-0000-0000-0000CB410000}"/>
    <cellStyle name="Note 2 8 9" xfId="13709" xr:uid="{00000000-0005-0000-0000-0000CC410000}"/>
    <cellStyle name="Note 2 9" xfId="3939" xr:uid="{00000000-0005-0000-0000-0000CD410000}"/>
    <cellStyle name="Note 2 9 2" xfId="6737" xr:uid="{00000000-0005-0000-0000-0000CE410000}"/>
    <cellStyle name="Note 2 9 3" xfId="6738" xr:uid="{00000000-0005-0000-0000-0000CF410000}"/>
    <cellStyle name="Note 2 9 4" xfId="6739" xr:uid="{00000000-0005-0000-0000-0000D0410000}"/>
    <cellStyle name="Note 2 9 5" xfId="6740" xr:uid="{00000000-0005-0000-0000-0000D1410000}"/>
    <cellStyle name="Note 2 9 6" xfId="6736" xr:uid="{00000000-0005-0000-0000-0000D2410000}"/>
    <cellStyle name="Note 20" xfId="6741" xr:uid="{00000000-0005-0000-0000-0000D3410000}"/>
    <cellStyle name="Note 21" xfId="6742" xr:uid="{00000000-0005-0000-0000-0000D4410000}"/>
    <cellStyle name="Note 22" xfId="6743" xr:uid="{00000000-0005-0000-0000-0000D5410000}"/>
    <cellStyle name="Note 23" xfId="6744" xr:uid="{00000000-0005-0000-0000-0000D6410000}"/>
    <cellStyle name="Note 24" xfId="6745" xr:uid="{00000000-0005-0000-0000-0000D7410000}"/>
    <cellStyle name="Note 25" xfId="6746" xr:uid="{00000000-0005-0000-0000-0000D8410000}"/>
    <cellStyle name="Note 26" xfId="6747" xr:uid="{00000000-0005-0000-0000-0000D9410000}"/>
    <cellStyle name="Note 27" xfId="6748" xr:uid="{00000000-0005-0000-0000-0000DA410000}"/>
    <cellStyle name="Note 28" xfId="6749" xr:uid="{00000000-0005-0000-0000-0000DB410000}"/>
    <cellStyle name="Note 29" xfId="6750" xr:uid="{00000000-0005-0000-0000-0000DC410000}"/>
    <cellStyle name="Note 3" xfId="249" xr:uid="{00000000-0005-0000-0000-0000DD410000}"/>
    <cellStyle name="Note 3 10" xfId="6752" xr:uid="{00000000-0005-0000-0000-0000DE410000}"/>
    <cellStyle name="Note 3 11" xfId="6753" xr:uid="{00000000-0005-0000-0000-0000DF410000}"/>
    <cellStyle name="Note 3 12" xfId="6754" xr:uid="{00000000-0005-0000-0000-0000E0410000}"/>
    <cellStyle name="Note 3 13" xfId="6755" xr:uid="{00000000-0005-0000-0000-0000E1410000}"/>
    <cellStyle name="Note 3 14" xfId="6756" xr:uid="{00000000-0005-0000-0000-0000E2410000}"/>
    <cellStyle name="Note 3 15" xfId="6757" xr:uid="{00000000-0005-0000-0000-0000E3410000}"/>
    <cellStyle name="Note 3 16" xfId="6758" xr:uid="{00000000-0005-0000-0000-0000E4410000}"/>
    <cellStyle name="Note 3 17" xfId="6759" xr:uid="{00000000-0005-0000-0000-0000E5410000}"/>
    <cellStyle name="Note 3 18" xfId="6760" xr:uid="{00000000-0005-0000-0000-0000E6410000}"/>
    <cellStyle name="Note 3 19" xfId="6761" xr:uid="{00000000-0005-0000-0000-0000E7410000}"/>
    <cellStyle name="Note 3 2" xfId="602" xr:uid="{00000000-0005-0000-0000-0000E8410000}"/>
    <cellStyle name="Note 3 2 10" xfId="10345" xr:uid="{00000000-0005-0000-0000-0000E9410000}"/>
    <cellStyle name="Note 3 2 11" xfId="8671" xr:uid="{00000000-0005-0000-0000-0000EA410000}"/>
    <cellStyle name="Note 3 2 12" xfId="11069" xr:uid="{00000000-0005-0000-0000-0000EB410000}"/>
    <cellStyle name="Note 3 2 13" xfId="11456" xr:uid="{00000000-0005-0000-0000-0000EC410000}"/>
    <cellStyle name="Note 3 2 14" xfId="11828" xr:uid="{00000000-0005-0000-0000-0000ED410000}"/>
    <cellStyle name="Note 3 2 15" xfId="12341" xr:uid="{00000000-0005-0000-0000-0000EE410000}"/>
    <cellStyle name="Note 3 2 16" xfId="15175" xr:uid="{00000000-0005-0000-0000-0000EF410000}"/>
    <cellStyle name="Note 3 2 17" xfId="15573" xr:uid="{00000000-0005-0000-0000-0000F0410000}"/>
    <cellStyle name="Note 3 2 18" xfId="15759" xr:uid="{00000000-0005-0000-0000-0000F1410000}"/>
    <cellStyle name="Note 3 2 19" xfId="18911" xr:uid="{00000000-0005-0000-0000-0000F2410000}"/>
    <cellStyle name="Note 3 2 2" xfId="817" xr:uid="{00000000-0005-0000-0000-0000F3410000}"/>
    <cellStyle name="Note 3 2 2 10" xfId="11278" xr:uid="{00000000-0005-0000-0000-0000F4410000}"/>
    <cellStyle name="Note 3 2 2 11" xfId="11663" xr:uid="{00000000-0005-0000-0000-0000F5410000}"/>
    <cellStyle name="Note 3 2 2 12" xfId="12034" xr:uid="{00000000-0005-0000-0000-0000F6410000}"/>
    <cellStyle name="Note 3 2 2 13" xfId="12547" xr:uid="{00000000-0005-0000-0000-0000F7410000}"/>
    <cellStyle name="Note 3 2 2 14" xfId="16116" xr:uid="{00000000-0005-0000-0000-0000F8410000}"/>
    <cellStyle name="Note 3 2 2 15" xfId="15923" xr:uid="{00000000-0005-0000-0000-0000F9410000}"/>
    <cellStyle name="Note 3 2 2 16" xfId="16481" xr:uid="{00000000-0005-0000-0000-0000FA410000}"/>
    <cellStyle name="Note 3 2 2 17" xfId="18582" xr:uid="{00000000-0005-0000-0000-0000FB410000}"/>
    <cellStyle name="Note 3 2 2 2" xfId="1118" xr:uid="{00000000-0005-0000-0000-0000FC410000}"/>
    <cellStyle name="Note 3 2 2 2 2" xfId="12847" xr:uid="{00000000-0005-0000-0000-0000FD410000}"/>
    <cellStyle name="Note 3 2 2 2 3" xfId="14275" xr:uid="{00000000-0005-0000-0000-0000FE410000}"/>
    <cellStyle name="Note 3 2 2 2 4" xfId="16219" xr:uid="{00000000-0005-0000-0000-0000FF410000}"/>
    <cellStyle name="Note 3 2 2 2 5" xfId="14142" xr:uid="{00000000-0005-0000-0000-000000420000}"/>
    <cellStyle name="Note 3 2 2 2 6" xfId="19274" xr:uid="{00000000-0005-0000-0000-000001420000}"/>
    <cellStyle name="Note 3 2 2 3" xfId="3856" xr:uid="{00000000-0005-0000-0000-000002420000}"/>
    <cellStyle name="Note 3 2 2 4" xfId="8467" xr:uid="{00000000-0005-0000-0000-000003420000}"/>
    <cellStyle name="Note 3 2 2 5" xfId="8894" xr:uid="{00000000-0005-0000-0000-000004420000}"/>
    <cellStyle name="Note 3 2 2 6" xfId="9718" xr:uid="{00000000-0005-0000-0000-000005420000}"/>
    <cellStyle name="Note 3 2 2 7" xfId="10147" xr:uid="{00000000-0005-0000-0000-000006420000}"/>
    <cellStyle name="Note 3 2 2 8" xfId="10559" xr:uid="{00000000-0005-0000-0000-000007420000}"/>
    <cellStyle name="Note 3 2 2 9" xfId="8892" xr:uid="{00000000-0005-0000-0000-000008420000}"/>
    <cellStyle name="Note 3 2 3" xfId="1150" xr:uid="{00000000-0005-0000-0000-000009420000}"/>
    <cellStyle name="Note 3 2 3 2" xfId="12879" xr:uid="{00000000-0005-0000-0000-00000A420000}"/>
    <cellStyle name="Note 3 2 3 3" xfId="14298" xr:uid="{00000000-0005-0000-0000-00000B420000}"/>
    <cellStyle name="Note 3 2 3 4" xfId="17297" xr:uid="{00000000-0005-0000-0000-00000C420000}"/>
    <cellStyle name="Note 3 2 3 5" xfId="16502" xr:uid="{00000000-0005-0000-0000-00000D420000}"/>
    <cellStyle name="Note 3 2 3 6" xfId="18757" xr:uid="{00000000-0005-0000-0000-00000E420000}"/>
    <cellStyle name="Note 3 2 4" xfId="4095" xr:uid="{00000000-0005-0000-0000-00000F420000}"/>
    <cellStyle name="Note 3 2 5" xfId="6762" xr:uid="{00000000-0005-0000-0000-000010420000}"/>
    <cellStyle name="Note 3 2 6" xfId="8358" xr:uid="{00000000-0005-0000-0000-000011420000}"/>
    <cellStyle name="Note 3 2 7" xfId="9043" xr:uid="{00000000-0005-0000-0000-000012420000}"/>
    <cellStyle name="Note 3 2 8" xfId="9506" xr:uid="{00000000-0005-0000-0000-000013420000}"/>
    <cellStyle name="Note 3 2 9" xfId="9933" xr:uid="{00000000-0005-0000-0000-000014420000}"/>
    <cellStyle name="Note 3 20" xfId="6763" xr:uid="{00000000-0005-0000-0000-000015420000}"/>
    <cellStyle name="Note 3 21" xfId="6751" xr:uid="{00000000-0005-0000-0000-000016420000}"/>
    <cellStyle name="Note 3 22" xfId="8295" xr:uid="{00000000-0005-0000-0000-000017420000}"/>
    <cellStyle name="Note 3 23" xfId="8945" xr:uid="{00000000-0005-0000-0000-000018420000}"/>
    <cellStyle name="Note 3 24" xfId="8690" xr:uid="{00000000-0005-0000-0000-000019420000}"/>
    <cellStyle name="Note 3 25" xfId="9029" xr:uid="{00000000-0005-0000-0000-00001A420000}"/>
    <cellStyle name="Note 3 26" xfId="9266" xr:uid="{00000000-0005-0000-0000-00001B420000}"/>
    <cellStyle name="Note 3 27" xfId="10896" xr:uid="{00000000-0005-0000-0000-00001C420000}"/>
    <cellStyle name="Note 3 28" xfId="10690" xr:uid="{00000000-0005-0000-0000-00001D420000}"/>
    <cellStyle name="Note 3 29" xfId="10883" xr:uid="{00000000-0005-0000-0000-00001E420000}"/>
    <cellStyle name="Note 3 3" xfId="568" xr:uid="{00000000-0005-0000-0000-00001F420000}"/>
    <cellStyle name="Note 3 3 10" xfId="10311" xr:uid="{00000000-0005-0000-0000-000020420000}"/>
    <cellStyle name="Note 3 3 11" xfId="8953" xr:uid="{00000000-0005-0000-0000-000021420000}"/>
    <cellStyle name="Note 3 3 12" xfId="11035" xr:uid="{00000000-0005-0000-0000-000022420000}"/>
    <cellStyle name="Note 3 3 13" xfId="11422" xr:uid="{00000000-0005-0000-0000-000023420000}"/>
    <cellStyle name="Note 3 3 14" xfId="11794" xr:uid="{00000000-0005-0000-0000-000024420000}"/>
    <cellStyle name="Note 3 3 15" xfId="12307" xr:uid="{00000000-0005-0000-0000-000025420000}"/>
    <cellStyle name="Note 3 3 16" xfId="15716" xr:uid="{00000000-0005-0000-0000-000026420000}"/>
    <cellStyle name="Note 3 3 17" xfId="17522" xr:uid="{00000000-0005-0000-0000-000027420000}"/>
    <cellStyle name="Note 3 3 18" xfId="18415" xr:uid="{00000000-0005-0000-0000-000028420000}"/>
    <cellStyle name="Note 3 3 19" xfId="18333" xr:uid="{00000000-0005-0000-0000-000029420000}"/>
    <cellStyle name="Note 3 3 2" xfId="783" xr:uid="{00000000-0005-0000-0000-00002A420000}"/>
    <cellStyle name="Note 3 3 2 10" xfId="11244" xr:uid="{00000000-0005-0000-0000-00002B420000}"/>
    <cellStyle name="Note 3 3 2 11" xfId="11629" xr:uid="{00000000-0005-0000-0000-00002C420000}"/>
    <cellStyle name="Note 3 3 2 12" xfId="12000" xr:uid="{00000000-0005-0000-0000-00002D420000}"/>
    <cellStyle name="Note 3 3 2 13" xfId="12513" xr:uid="{00000000-0005-0000-0000-00002E420000}"/>
    <cellStyle name="Note 3 3 2 14" xfId="16104" xr:uid="{00000000-0005-0000-0000-00002F420000}"/>
    <cellStyle name="Note 3 3 2 15" xfId="16073" xr:uid="{00000000-0005-0000-0000-000030420000}"/>
    <cellStyle name="Note 3 3 2 16" xfId="17054" xr:uid="{00000000-0005-0000-0000-000031420000}"/>
    <cellStyle name="Note 3 3 2 17" xfId="18441" xr:uid="{00000000-0005-0000-0000-000032420000}"/>
    <cellStyle name="Note 3 3 2 2" xfId="1105" xr:uid="{00000000-0005-0000-0000-000033420000}"/>
    <cellStyle name="Note 3 3 2 2 2" xfId="12834" xr:uid="{00000000-0005-0000-0000-000034420000}"/>
    <cellStyle name="Note 3 3 2 2 3" xfId="13966" xr:uid="{00000000-0005-0000-0000-000035420000}"/>
    <cellStyle name="Note 3 3 2 2 4" xfId="14472" xr:uid="{00000000-0005-0000-0000-000036420000}"/>
    <cellStyle name="Note 3 3 2 2 5" xfId="17073" xr:uid="{00000000-0005-0000-0000-000037420000}"/>
    <cellStyle name="Note 3 3 2 2 6" xfId="19284" xr:uid="{00000000-0005-0000-0000-000038420000}"/>
    <cellStyle name="Note 3 3 2 3" xfId="4136" xr:uid="{00000000-0005-0000-0000-000039420000}"/>
    <cellStyle name="Note 3 3 2 4" xfId="8449" xr:uid="{00000000-0005-0000-0000-00003A420000}"/>
    <cellStyle name="Note 3 3 2 5" xfId="8735" xr:uid="{00000000-0005-0000-0000-00003B420000}"/>
    <cellStyle name="Note 3 3 2 6" xfId="9684" xr:uid="{00000000-0005-0000-0000-00003C420000}"/>
    <cellStyle name="Note 3 3 2 7" xfId="10113" xr:uid="{00000000-0005-0000-0000-00003D420000}"/>
    <cellStyle name="Note 3 3 2 8" xfId="10525" xr:uid="{00000000-0005-0000-0000-00003E420000}"/>
    <cellStyle name="Note 3 3 2 9" xfId="10679" xr:uid="{00000000-0005-0000-0000-00003F420000}"/>
    <cellStyle name="Note 3 3 3" xfId="1308" xr:uid="{00000000-0005-0000-0000-000040420000}"/>
    <cellStyle name="Note 3 3 3 2" xfId="13037" xr:uid="{00000000-0005-0000-0000-000041420000}"/>
    <cellStyle name="Note 3 3 3 3" xfId="15629" xr:uid="{00000000-0005-0000-0000-000042420000}"/>
    <cellStyle name="Note 3 3 3 4" xfId="17177" xr:uid="{00000000-0005-0000-0000-000043420000}"/>
    <cellStyle name="Note 3 3 3 5" xfId="18146" xr:uid="{00000000-0005-0000-0000-000044420000}"/>
    <cellStyle name="Note 3 3 3 6" xfId="14255" xr:uid="{00000000-0005-0000-0000-000045420000}"/>
    <cellStyle name="Note 3 3 4" xfId="3321" xr:uid="{00000000-0005-0000-0000-000046420000}"/>
    <cellStyle name="Note 3 3 5" xfId="6764" xr:uid="{00000000-0005-0000-0000-000047420000}"/>
    <cellStyle name="Note 3 3 6" xfId="8339" xr:uid="{00000000-0005-0000-0000-000048420000}"/>
    <cellStyle name="Note 3 3 7" xfId="9288" xr:uid="{00000000-0005-0000-0000-000049420000}"/>
    <cellStyle name="Note 3 3 8" xfId="9472" xr:uid="{00000000-0005-0000-0000-00004A420000}"/>
    <cellStyle name="Note 3 3 9" xfId="9899" xr:uid="{00000000-0005-0000-0000-00004B420000}"/>
    <cellStyle name="Note 3 30" xfId="10910" xr:uid="{00000000-0005-0000-0000-00004C420000}"/>
    <cellStyle name="Note 3 31" xfId="12220" xr:uid="{00000000-0005-0000-0000-00004D420000}"/>
    <cellStyle name="Note 3 32" xfId="16538" xr:uid="{00000000-0005-0000-0000-00004E420000}"/>
    <cellStyle name="Note 3 33" xfId="17656" xr:uid="{00000000-0005-0000-0000-00004F420000}"/>
    <cellStyle name="Note 3 34" xfId="16032" xr:uid="{00000000-0005-0000-0000-000050420000}"/>
    <cellStyle name="Note 3 35" xfId="19515" xr:uid="{00000000-0005-0000-0000-000051420000}"/>
    <cellStyle name="Note 3 4" xfId="586" xr:uid="{00000000-0005-0000-0000-000052420000}"/>
    <cellStyle name="Note 3 4 10" xfId="10329" xr:uid="{00000000-0005-0000-0000-000053420000}"/>
    <cellStyle name="Note 3 4 11" xfId="10733" xr:uid="{00000000-0005-0000-0000-000054420000}"/>
    <cellStyle name="Note 3 4 12" xfId="11053" xr:uid="{00000000-0005-0000-0000-000055420000}"/>
    <cellStyle name="Note 3 4 13" xfId="11440" xr:uid="{00000000-0005-0000-0000-000056420000}"/>
    <cellStyle name="Note 3 4 14" xfId="11812" xr:uid="{00000000-0005-0000-0000-000057420000}"/>
    <cellStyle name="Note 3 4 15" xfId="12325" xr:uid="{00000000-0005-0000-0000-000058420000}"/>
    <cellStyle name="Note 3 4 16" xfId="14005" xr:uid="{00000000-0005-0000-0000-000059420000}"/>
    <cellStyle name="Note 3 4 17" xfId="16693" xr:uid="{00000000-0005-0000-0000-00005A420000}"/>
    <cellStyle name="Note 3 4 18" xfId="18574" xr:uid="{00000000-0005-0000-0000-00005B420000}"/>
    <cellStyle name="Note 3 4 19" xfId="17716" xr:uid="{00000000-0005-0000-0000-00005C420000}"/>
    <cellStyle name="Note 3 4 2" xfId="801" xr:uid="{00000000-0005-0000-0000-00005D420000}"/>
    <cellStyle name="Note 3 4 2 10" xfId="11262" xr:uid="{00000000-0005-0000-0000-00005E420000}"/>
    <cellStyle name="Note 3 4 2 11" xfId="11647" xr:uid="{00000000-0005-0000-0000-00005F420000}"/>
    <cellStyle name="Note 3 4 2 12" xfId="12018" xr:uid="{00000000-0005-0000-0000-000060420000}"/>
    <cellStyle name="Note 3 4 2 13" xfId="12531" xr:uid="{00000000-0005-0000-0000-000061420000}"/>
    <cellStyle name="Note 3 4 2 14" xfId="14358" xr:uid="{00000000-0005-0000-0000-000062420000}"/>
    <cellStyle name="Note 3 4 2 15" xfId="15773" xr:uid="{00000000-0005-0000-0000-000063420000}"/>
    <cellStyle name="Note 3 4 2 16" xfId="17657" xr:uid="{00000000-0005-0000-0000-000064420000}"/>
    <cellStyle name="Note 3 4 2 17" xfId="14921" xr:uid="{00000000-0005-0000-0000-000065420000}"/>
    <cellStyle name="Note 3 4 2 2" xfId="1092" xr:uid="{00000000-0005-0000-0000-000066420000}"/>
    <cellStyle name="Note 3 4 2 2 2" xfId="12821" xr:uid="{00000000-0005-0000-0000-000067420000}"/>
    <cellStyle name="Note 3 4 2 2 3" xfId="13768" xr:uid="{00000000-0005-0000-0000-000068420000}"/>
    <cellStyle name="Note 3 4 2 2 4" xfId="17342" xr:uid="{00000000-0005-0000-0000-000069420000}"/>
    <cellStyle name="Note 3 4 2 2 5" xfId="17016" xr:uid="{00000000-0005-0000-0000-00006A420000}"/>
    <cellStyle name="Note 3 4 2 2 6" xfId="19294" xr:uid="{00000000-0005-0000-0000-00006B420000}"/>
    <cellStyle name="Note 3 4 2 3" xfId="3729" xr:uid="{00000000-0005-0000-0000-00006C420000}"/>
    <cellStyle name="Note 3 4 2 4" xfId="8461" xr:uid="{00000000-0005-0000-0000-00006D420000}"/>
    <cellStyle name="Note 3 4 2 5" xfId="8768" xr:uid="{00000000-0005-0000-0000-00006E420000}"/>
    <cellStyle name="Note 3 4 2 6" xfId="9702" xr:uid="{00000000-0005-0000-0000-00006F420000}"/>
    <cellStyle name="Note 3 4 2 7" xfId="10131" xr:uid="{00000000-0005-0000-0000-000070420000}"/>
    <cellStyle name="Note 3 4 2 8" xfId="10543" xr:uid="{00000000-0005-0000-0000-000071420000}"/>
    <cellStyle name="Note 3 4 2 9" xfId="10686" xr:uid="{00000000-0005-0000-0000-000072420000}"/>
    <cellStyle name="Note 3 4 3" xfId="1093" xr:uid="{00000000-0005-0000-0000-000073420000}"/>
    <cellStyle name="Note 3 4 3 2" xfId="12822" xr:uid="{00000000-0005-0000-0000-000074420000}"/>
    <cellStyle name="Note 3 4 3 3" xfId="13769" xr:uid="{00000000-0005-0000-0000-000075420000}"/>
    <cellStyle name="Note 3 4 3 4" xfId="17341" xr:uid="{00000000-0005-0000-0000-000076420000}"/>
    <cellStyle name="Note 3 4 3 5" xfId="14504" xr:uid="{00000000-0005-0000-0000-000077420000}"/>
    <cellStyle name="Note 3 4 3 6" xfId="19293" xr:uid="{00000000-0005-0000-0000-000078420000}"/>
    <cellStyle name="Note 3 4 4" xfId="3846" xr:uid="{00000000-0005-0000-0000-000079420000}"/>
    <cellStyle name="Note 3 4 5" xfId="6765" xr:uid="{00000000-0005-0000-0000-00007A420000}"/>
    <cellStyle name="Note 3 4 6" xfId="8351" xr:uid="{00000000-0005-0000-0000-00007B420000}"/>
    <cellStyle name="Note 3 4 7" xfId="8999" xr:uid="{00000000-0005-0000-0000-00007C420000}"/>
    <cellStyle name="Note 3 4 8" xfId="9490" xr:uid="{00000000-0005-0000-0000-00007D420000}"/>
    <cellStyle name="Note 3 4 9" xfId="9917" xr:uid="{00000000-0005-0000-0000-00007E420000}"/>
    <cellStyle name="Note 3 5" xfId="703" xr:uid="{00000000-0005-0000-0000-00007F420000}"/>
    <cellStyle name="Note 3 5 10" xfId="9082" xr:uid="{00000000-0005-0000-0000-000080420000}"/>
    <cellStyle name="Note 3 5 11" xfId="11169" xr:uid="{00000000-0005-0000-0000-000081420000}"/>
    <cellStyle name="Note 3 5 12" xfId="11556" xr:uid="{00000000-0005-0000-0000-000082420000}"/>
    <cellStyle name="Note 3 5 13" xfId="11928" xr:uid="{00000000-0005-0000-0000-000083420000}"/>
    <cellStyle name="Note 3 5 14" xfId="12441" xr:uid="{00000000-0005-0000-0000-000084420000}"/>
    <cellStyle name="Note 3 5 15" xfId="15218" xr:uid="{00000000-0005-0000-0000-000085420000}"/>
    <cellStyle name="Note 3 5 16" xfId="15102" xr:uid="{00000000-0005-0000-0000-000086420000}"/>
    <cellStyle name="Note 3 5 17" xfId="14861" xr:uid="{00000000-0005-0000-0000-000087420000}"/>
    <cellStyle name="Note 3 5 18" xfId="19451" xr:uid="{00000000-0005-0000-0000-000088420000}"/>
    <cellStyle name="Note 3 5 2" xfId="1367" xr:uid="{00000000-0005-0000-0000-000089420000}"/>
    <cellStyle name="Note 3 5 2 2" xfId="13096" xr:uid="{00000000-0005-0000-0000-00008A420000}"/>
    <cellStyle name="Note 3 5 2 3" xfId="15426" xr:uid="{00000000-0005-0000-0000-00008B420000}"/>
    <cellStyle name="Note 3 5 2 4" xfId="17139" xr:uid="{00000000-0005-0000-0000-00008C420000}"/>
    <cellStyle name="Note 3 5 2 5" xfId="14025" xr:uid="{00000000-0005-0000-0000-00008D420000}"/>
    <cellStyle name="Note 3 5 2 6" xfId="19091" xr:uid="{00000000-0005-0000-0000-00008E420000}"/>
    <cellStyle name="Note 3 5 3" xfId="4190" xr:uid="{00000000-0005-0000-0000-00008F420000}"/>
    <cellStyle name="Note 3 5 4" xfId="6766" xr:uid="{00000000-0005-0000-0000-000090420000}"/>
    <cellStyle name="Note 3 5 5" xfId="8409" xr:uid="{00000000-0005-0000-0000-000091420000}"/>
    <cellStyle name="Note 3 5 6" xfId="9314" xr:uid="{00000000-0005-0000-0000-000092420000}"/>
    <cellStyle name="Note 3 5 7" xfId="9606" xr:uid="{00000000-0005-0000-0000-000093420000}"/>
    <cellStyle name="Note 3 5 8" xfId="10033" xr:uid="{00000000-0005-0000-0000-000094420000}"/>
    <cellStyle name="Note 3 5 9" xfId="10445" xr:uid="{00000000-0005-0000-0000-000095420000}"/>
    <cellStyle name="Note 3 6" xfId="934" xr:uid="{00000000-0005-0000-0000-000096420000}"/>
    <cellStyle name="Note 3 6 2" xfId="6767" xr:uid="{00000000-0005-0000-0000-000097420000}"/>
    <cellStyle name="Note 3 6 3" xfId="12663" xr:uid="{00000000-0005-0000-0000-000098420000}"/>
    <cellStyle name="Note 3 6 4" xfId="15253" xr:uid="{00000000-0005-0000-0000-000099420000}"/>
    <cellStyle name="Note 3 6 5" xfId="17445" xr:uid="{00000000-0005-0000-0000-00009A420000}"/>
    <cellStyle name="Note 3 6 6" xfId="16977" xr:uid="{00000000-0005-0000-0000-00009B420000}"/>
    <cellStyle name="Note 3 6 7" xfId="19397" xr:uid="{00000000-0005-0000-0000-00009C420000}"/>
    <cellStyle name="Note 3 7" xfId="4170" xr:uid="{00000000-0005-0000-0000-00009D420000}"/>
    <cellStyle name="Note 3 7 2" xfId="6768" xr:uid="{00000000-0005-0000-0000-00009E420000}"/>
    <cellStyle name="Note 3 8" xfId="6769" xr:uid="{00000000-0005-0000-0000-00009F420000}"/>
    <cellStyle name="Note 3 9" xfId="6770" xr:uid="{00000000-0005-0000-0000-0000A0420000}"/>
    <cellStyle name="Note 30" xfId="6771" xr:uid="{00000000-0005-0000-0000-0000A1420000}"/>
    <cellStyle name="Note 31" xfId="6772" xr:uid="{00000000-0005-0000-0000-0000A2420000}"/>
    <cellStyle name="Note 32" xfId="6773" xr:uid="{00000000-0005-0000-0000-0000A3420000}"/>
    <cellStyle name="Note 33" xfId="6774" xr:uid="{00000000-0005-0000-0000-0000A4420000}"/>
    <cellStyle name="Note 34" xfId="6775" xr:uid="{00000000-0005-0000-0000-0000A5420000}"/>
    <cellStyle name="Note 35" xfId="6776" xr:uid="{00000000-0005-0000-0000-0000A6420000}"/>
    <cellStyle name="Note 36" xfId="6777" xr:uid="{00000000-0005-0000-0000-0000A7420000}"/>
    <cellStyle name="Note 37" xfId="6778" xr:uid="{00000000-0005-0000-0000-0000A8420000}"/>
    <cellStyle name="Note 38" xfId="6779" xr:uid="{00000000-0005-0000-0000-0000A9420000}"/>
    <cellStyle name="Note 39" xfId="12162" xr:uid="{00000000-0005-0000-0000-0000AA420000}"/>
    <cellStyle name="Note 4" xfId="2879" xr:uid="{00000000-0005-0000-0000-0000AB420000}"/>
    <cellStyle name="Note 4 10" xfId="6781" xr:uid="{00000000-0005-0000-0000-0000AC420000}"/>
    <cellStyle name="Note 4 11" xfId="6782" xr:uid="{00000000-0005-0000-0000-0000AD420000}"/>
    <cellStyle name="Note 4 12" xfId="6783" xr:uid="{00000000-0005-0000-0000-0000AE420000}"/>
    <cellStyle name="Note 4 13" xfId="6784" xr:uid="{00000000-0005-0000-0000-0000AF420000}"/>
    <cellStyle name="Note 4 14" xfId="6785" xr:uid="{00000000-0005-0000-0000-0000B0420000}"/>
    <cellStyle name="Note 4 15" xfId="6786" xr:uid="{00000000-0005-0000-0000-0000B1420000}"/>
    <cellStyle name="Note 4 16" xfId="6787" xr:uid="{00000000-0005-0000-0000-0000B2420000}"/>
    <cellStyle name="Note 4 17" xfId="6788" xr:uid="{00000000-0005-0000-0000-0000B3420000}"/>
    <cellStyle name="Note 4 18" xfId="6789" xr:uid="{00000000-0005-0000-0000-0000B4420000}"/>
    <cellStyle name="Note 4 19" xfId="6790" xr:uid="{00000000-0005-0000-0000-0000B5420000}"/>
    <cellStyle name="Note 4 2" xfId="2880" xr:uid="{00000000-0005-0000-0000-0000B6420000}"/>
    <cellStyle name="Note 4 2 2" xfId="6791" xr:uid="{00000000-0005-0000-0000-0000B7420000}"/>
    <cellStyle name="Note 4 2 3" xfId="13427" xr:uid="{00000000-0005-0000-0000-0000B8420000}"/>
    <cellStyle name="Note 4 2 4" xfId="16044" xr:uid="{00000000-0005-0000-0000-0000B9420000}"/>
    <cellStyle name="Note 4 2 5" xfId="14545" xr:uid="{00000000-0005-0000-0000-0000BA420000}"/>
    <cellStyle name="Note 4 2 6" xfId="13794" xr:uid="{00000000-0005-0000-0000-0000BB420000}"/>
    <cellStyle name="Note 4 2 7" xfId="18066" xr:uid="{00000000-0005-0000-0000-0000BC420000}"/>
    <cellStyle name="Note 4 2 8" xfId="14123" xr:uid="{00000000-0005-0000-0000-0000BD420000}"/>
    <cellStyle name="Note 4 20" xfId="6792" xr:uid="{00000000-0005-0000-0000-0000BE420000}"/>
    <cellStyle name="Note 4 21" xfId="6780" xr:uid="{00000000-0005-0000-0000-0000BF420000}"/>
    <cellStyle name="Note 4 22" xfId="13426" xr:uid="{00000000-0005-0000-0000-0000C0420000}"/>
    <cellStyle name="Note 4 23" xfId="16043" xr:uid="{00000000-0005-0000-0000-0000C1420000}"/>
    <cellStyle name="Note 4 24" xfId="14782" xr:uid="{00000000-0005-0000-0000-0000C2420000}"/>
    <cellStyle name="Note 4 25" xfId="14407" xr:uid="{00000000-0005-0000-0000-0000C3420000}"/>
    <cellStyle name="Note 4 26" xfId="13836" xr:uid="{00000000-0005-0000-0000-0000C4420000}"/>
    <cellStyle name="Note 4 27" xfId="18731" xr:uid="{00000000-0005-0000-0000-0000C5420000}"/>
    <cellStyle name="Note 4 3" xfId="2881" xr:uid="{00000000-0005-0000-0000-0000C6420000}"/>
    <cellStyle name="Note 4 3 2" xfId="6793" xr:uid="{00000000-0005-0000-0000-0000C7420000}"/>
    <cellStyle name="Note 4 4" xfId="6794" xr:uid="{00000000-0005-0000-0000-0000C8420000}"/>
    <cellStyle name="Note 4 5" xfId="6795" xr:uid="{00000000-0005-0000-0000-0000C9420000}"/>
    <cellStyle name="Note 4 6" xfId="6796" xr:uid="{00000000-0005-0000-0000-0000CA420000}"/>
    <cellStyle name="Note 4 7" xfId="6797" xr:uid="{00000000-0005-0000-0000-0000CB420000}"/>
    <cellStyle name="Note 4 8" xfId="6798" xr:uid="{00000000-0005-0000-0000-0000CC420000}"/>
    <cellStyle name="Note 4 9" xfId="6799" xr:uid="{00000000-0005-0000-0000-0000CD420000}"/>
    <cellStyle name="Note 5" xfId="2882" xr:uid="{00000000-0005-0000-0000-0000CE420000}"/>
    <cellStyle name="Note 5 10" xfId="6801" xr:uid="{00000000-0005-0000-0000-0000CF420000}"/>
    <cellStyle name="Note 5 11" xfId="6802" xr:uid="{00000000-0005-0000-0000-0000D0420000}"/>
    <cellStyle name="Note 5 12" xfId="6803" xr:uid="{00000000-0005-0000-0000-0000D1420000}"/>
    <cellStyle name="Note 5 13" xfId="6804" xr:uid="{00000000-0005-0000-0000-0000D2420000}"/>
    <cellStyle name="Note 5 14" xfId="6805" xr:uid="{00000000-0005-0000-0000-0000D3420000}"/>
    <cellStyle name="Note 5 15" xfId="6806" xr:uid="{00000000-0005-0000-0000-0000D4420000}"/>
    <cellStyle name="Note 5 16" xfId="6807" xr:uid="{00000000-0005-0000-0000-0000D5420000}"/>
    <cellStyle name="Note 5 17" xfId="6808" xr:uid="{00000000-0005-0000-0000-0000D6420000}"/>
    <cellStyle name="Note 5 18" xfId="6809" xr:uid="{00000000-0005-0000-0000-0000D7420000}"/>
    <cellStyle name="Note 5 19" xfId="6810" xr:uid="{00000000-0005-0000-0000-0000D8420000}"/>
    <cellStyle name="Note 5 2" xfId="2883" xr:uid="{00000000-0005-0000-0000-0000D9420000}"/>
    <cellStyle name="Note 5 2 2" xfId="6811" xr:uid="{00000000-0005-0000-0000-0000DA420000}"/>
    <cellStyle name="Note 5 20" xfId="6812" xr:uid="{00000000-0005-0000-0000-0000DB420000}"/>
    <cellStyle name="Note 5 21" xfId="6800" xr:uid="{00000000-0005-0000-0000-0000DC420000}"/>
    <cellStyle name="Note 5 22" xfId="13428" xr:uid="{00000000-0005-0000-0000-0000DD420000}"/>
    <cellStyle name="Note 5 23" xfId="16046" xr:uid="{00000000-0005-0000-0000-0000DE420000}"/>
    <cellStyle name="Note 5 24" xfId="14220" xr:uid="{00000000-0005-0000-0000-0000DF420000}"/>
    <cellStyle name="Note 5 25" xfId="15176" xr:uid="{00000000-0005-0000-0000-0000E0420000}"/>
    <cellStyle name="Note 5 26" xfId="14277" xr:uid="{00000000-0005-0000-0000-0000E1420000}"/>
    <cellStyle name="Note 5 27" xfId="16795" xr:uid="{00000000-0005-0000-0000-0000E2420000}"/>
    <cellStyle name="Note 5 3" xfId="6813" xr:uid="{00000000-0005-0000-0000-0000E3420000}"/>
    <cellStyle name="Note 5 4" xfId="6814" xr:uid="{00000000-0005-0000-0000-0000E4420000}"/>
    <cellStyle name="Note 5 5" xfId="6815" xr:uid="{00000000-0005-0000-0000-0000E5420000}"/>
    <cellStyle name="Note 5 6" xfId="6816" xr:uid="{00000000-0005-0000-0000-0000E6420000}"/>
    <cellStyle name="Note 5 7" xfId="6817" xr:uid="{00000000-0005-0000-0000-0000E7420000}"/>
    <cellStyle name="Note 5 8" xfId="6818" xr:uid="{00000000-0005-0000-0000-0000E8420000}"/>
    <cellStyle name="Note 5 9" xfId="6819" xr:uid="{00000000-0005-0000-0000-0000E9420000}"/>
    <cellStyle name="Note 6" xfId="2884" xr:uid="{00000000-0005-0000-0000-0000EA420000}"/>
    <cellStyle name="Note 6 10" xfId="6821" xr:uid="{00000000-0005-0000-0000-0000EB420000}"/>
    <cellStyle name="Note 6 11" xfId="6822" xr:uid="{00000000-0005-0000-0000-0000EC420000}"/>
    <cellStyle name="Note 6 12" xfId="6823" xr:uid="{00000000-0005-0000-0000-0000ED420000}"/>
    <cellStyle name="Note 6 13" xfId="6824" xr:uid="{00000000-0005-0000-0000-0000EE420000}"/>
    <cellStyle name="Note 6 14" xfId="6825" xr:uid="{00000000-0005-0000-0000-0000EF420000}"/>
    <cellStyle name="Note 6 15" xfId="6826" xr:uid="{00000000-0005-0000-0000-0000F0420000}"/>
    <cellStyle name="Note 6 16" xfId="6827" xr:uid="{00000000-0005-0000-0000-0000F1420000}"/>
    <cellStyle name="Note 6 17" xfId="6828" xr:uid="{00000000-0005-0000-0000-0000F2420000}"/>
    <cellStyle name="Note 6 18" xfId="6829" xr:uid="{00000000-0005-0000-0000-0000F3420000}"/>
    <cellStyle name="Note 6 19" xfId="6830" xr:uid="{00000000-0005-0000-0000-0000F4420000}"/>
    <cellStyle name="Note 6 2" xfId="6831" xr:uid="{00000000-0005-0000-0000-0000F5420000}"/>
    <cellStyle name="Note 6 20" xfId="6820" xr:uid="{00000000-0005-0000-0000-0000F6420000}"/>
    <cellStyle name="Note 6 3" xfId="6832" xr:uid="{00000000-0005-0000-0000-0000F7420000}"/>
    <cellStyle name="Note 6 4" xfId="6833" xr:uid="{00000000-0005-0000-0000-0000F8420000}"/>
    <cellStyle name="Note 6 5" xfId="6834" xr:uid="{00000000-0005-0000-0000-0000F9420000}"/>
    <cellStyle name="Note 6 6" xfId="6835" xr:uid="{00000000-0005-0000-0000-0000FA420000}"/>
    <cellStyle name="Note 6 7" xfId="6836" xr:uid="{00000000-0005-0000-0000-0000FB420000}"/>
    <cellStyle name="Note 6 8" xfId="6837" xr:uid="{00000000-0005-0000-0000-0000FC420000}"/>
    <cellStyle name="Note 6 9" xfId="6838" xr:uid="{00000000-0005-0000-0000-0000FD420000}"/>
    <cellStyle name="Note 7" xfId="6839" xr:uid="{00000000-0005-0000-0000-0000FE420000}"/>
    <cellStyle name="Note 7 10" xfId="6840" xr:uid="{00000000-0005-0000-0000-0000FF420000}"/>
    <cellStyle name="Note 7 11" xfId="6841" xr:uid="{00000000-0005-0000-0000-000000430000}"/>
    <cellStyle name="Note 7 12" xfId="6842" xr:uid="{00000000-0005-0000-0000-000001430000}"/>
    <cellStyle name="Note 7 13" xfId="6843" xr:uid="{00000000-0005-0000-0000-000002430000}"/>
    <cellStyle name="Note 7 14" xfId="6844" xr:uid="{00000000-0005-0000-0000-000003430000}"/>
    <cellStyle name="Note 7 15" xfId="6845" xr:uid="{00000000-0005-0000-0000-000004430000}"/>
    <cellStyle name="Note 7 16" xfId="6846" xr:uid="{00000000-0005-0000-0000-000005430000}"/>
    <cellStyle name="Note 7 17" xfId="6847" xr:uid="{00000000-0005-0000-0000-000006430000}"/>
    <cellStyle name="Note 7 18" xfId="6848" xr:uid="{00000000-0005-0000-0000-000007430000}"/>
    <cellStyle name="Note 7 2" xfId="6849" xr:uid="{00000000-0005-0000-0000-000008430000}"/>
    <cellStyle name="Note 7 3" xfId="6850" xr:uid="{00000000-0005-0000-0000-000009430000}"/>
    <cellStyle name="Note 7 4" xfId="6851" xr:uid="{00000000-0005-0000-0000-00000A430000}"/>
    <cellStyle name="Note 7 5" xfId="6852" xr:uid="{00000000-0005-0000-0000-00000B430000}"/>
    <cellStyle name="Note 7 6" xfId="6853" xr:uid="{00000000-0005-0000-0000-00000C430000}"/>
    <cellStyle name="Note 7 7" xfId="6854" xr:uid="{00000000-0005-0000-0000-00000D430000}"/>
    <cellStyle name="Note 7 8" xfId="6855" xr:uid="{00000000-0005-0000-0000-00000E430000}"/>
    <cellStyle name="Note 7 9" xfId="6856" xr:uid="{00000000-0005-0000-0000-00000F430000}"/>
    <cellStyle name="Note 8" xfId="6857" xr:uid="{00000000-0005-0000-0000-000010430000}"/>
    <cellStyle name="Note 8 10" xfId="6858" xr:uid="{00000000-0005-0000-0000-000011430000}"/>
    <cellStyle name="Note 8 11" xfId="6859" xr:uid="{00000000-0005-0000-0000-000012430000}"/>
    <cellStyle name="Note 8 12" xfId="6860" xr:uid="{00000000-0005-0000-0000-000013430000}"/>
    <cellStyle name="Note 8 13" xfId="6861" xr:uid="{00000000-0005-0000-0000-000014430000}"/>
    <cellStyle name="Note 8 14" xfId="6862" xr:uid="{00000000-0005-0000-0000-000015430000}"/>
    <cellStyle name="Note 8 15" xfId="6863" xr:uid="{00000000-0005-0000-0000-000016430000}"/>
    <cellStyle name="Note 8 16" xfId="6864" xr:uid="{00000000-0005-0000-0000-000017430000}"/>
    <cellStyle name="Note 8 17" xfId="6865" xr:uid="{00000000-0005-0000-0000-000018430000}"/>
    <cellStyle name="Note 8 18" xfId="6866" xr:uid="{00000000-0005-0000-0000-000019430000}"/>
    <cellStyle name="Note 8 2" xfId="6867" xr:uid="{00000000-0005-0000-0000-00001A430000}"/>
    <cellStyle name="Note 8 3" xfId="6868" xr:uid="{00000000-0005-0000-0000-00001B430000}"/>
    <cellStyle name="Note 8 4" xfId="6869" xr:uid="{00000000-0005-0000-0000-00001C430000}"/>
    <cellStyle name="Note 8 5" xfId="6870" xr:uid="{00000000-0005-0000-0000-00001D430000}"/>
    <cellStyle name="Note 8 6" xfId="6871" xr:uid="{00000000-0005-0000-0000-00001E430000}"/>
    <cellStyle name="Note 8 7" xfId="6872" xr:uid="{00000000-0005-0000-0000-00001F430000}"/>
    <cellStyle name="Note 8 8" xfId="6873" xr:uid="{00000000-0005-0000-0000-000020430000}"/>
    <cellStyle name="Note 8 9" xfId="6874" xr:uid="{00000000-0005-0000-0000-000021430000}"/>
    <cellStyle name="Note 9" xfId="6875" xr:uid="{00000000-0005-0000-0000-000022430000}"/>
    <cellStyle name="Note 9 10" xfId="6876" xr:uid="{00000000-0005-0000-0000-000023430000}"/>
    <cellStyle name="Note 9 11" xfId="6877" xr:uid="{00000000-0005-0000-0000-000024430000}"/>
    <cellStyle name="Note 9 12" xfId="6878" xr:uid="{00000000-0005-0000-0000-000025430000}"/>
    <cellStyle name="Note 9 13" xfId="6879" xr:uid="{00000000-0005-0000-0000-000026430000}"/>
    <cellStyle name="Note 9 2" xfId="6880" xr:uid="{00000000-0005-0000-0000-000027430000}"/>
    <cellStyle name="Note 9 3" xfId="6881" xr:uid="{00000000-0005-0000-0000-000028430000}"/>
    <cellStyle name="Note 9 4" xfId="6882" xr:uid="{00000000-0005-0000-0000-000029430000}"/>
    <cellStyle name="Note 9 5" xfId="6883" xr:uid="{00000000-0005-0000-0000-00002A430000}"/>
    <cellStyle name="Note 9 6" xfId="6884" xr:uid="{00000000-0005-0000-0000-00002B430000}"/>
    <cellStyle name="Note 9 7" xfId="6885" xr:uid="{00000000-0005-0000-0000-00002C430000}"/>
    <cellStyle name="Note 9 8" xfId="6886" xr:uid="{00000000-0005-0000-0000-00002D430000}"/>
    <cellStyle name="Note 9 9" xfId="6887" xr:uid="{00000000-0005-0000-0000-00002E430000}"/>
    <cellStyle name="Notiz" xfId="185" xr:uid="{00000000-0005-0000-0000-00002F430000}"/>
    <cellStyle name="Notiz 10" xfId="9320" xr:uid="{00000000-0005-0000-0000-000030430000}"/>
    <cellStyle name="Notiz 11" xfId="8943" xr:uid="{00000000-0005-0000-0000-000031430000}"/>
    <cellStyle name="Notiz 12" xfId="8923" xr:uid="{00000000-0005-0000-0000-000032430000}"/>
    <cellStyle name="Notiz 13" xfId="10827" xr:uid="{00000000-0005-0000-0000-000033430000}"/>
    <cellStyle name="Notiz 14" xfId="10802" xr:uid="{00000000-0005-0000-0000-000034430000}"/>
    <cellStyle name="Notiz 15" xfId="10839" xr:uid="{00000000-0005-0000-0000-000035430000}"/>
    <cellStyle name="Notiz 16" xfId="9215" xr:uid="{00000000-0005-0000-0000-000036430000}"/>
    <cellStyle name="Notiz 17" xfId="12213" xr:uid="{00000000-0005-0000-0000-000037430000}"/>
    <cellStyle name="Notiz 18" xfId="16585" xr:uid="{00000000-0005-0000-0000-000038430000}"/>
    <cellStyle name="Notiz 19" xfId="17699" xr:uid="{00000000-0005-0000-0000-000039430000}"/>
    <cellStyle name="Notiz 2" xfId="575" xr:uid="{00000000-0005-0000-0000-00003A430000}"/>
    <cellStyle name="Notiz 2 10" xfId="10854" xr:uid="{00000000-0005-0000-0000-00003B430000}"/>
    <cellStyle name="Notiz 2 11" xfId="11042" xr:uid="{00000000-0005-0000-0000-00003C430000}"/>
    <cellStyle name="Notiz 2 12" xfId="11429" xr:uid="{00000000-0005-0000-0000-00003D430000}"/>
    <cellStyle name="Notiz 2 13" xfId="11801" xr:uid="{00000000-0005-0000-0000-00003E430000}"/>
    <cellStyle name="Notiz 2 14" xfId="12314" xr:uid="{00000000-0005-0000-0000-00003F430000}"/>
    <cellStyle name="Notiz 2 15" xfId="15200" xr:uid="{00000000-0005-0000-0000-000040430000}"/>
    <cellStyle name="Notiz 2 16" xfId="15924" xr:uid="{00000000-0005-0000-0000-000041430000}"/>
    <cellStyle name="Notiz 2 17" xfId="18217" xr:uid="{00000000-0005-0000-0000-000042430000}"/>
    <cellStyle name="Notiz 2 18" xfId="19469" xr:uid="{00000000-0005-0000-0000-000043430000}"/>
    <cellStyle name="Notiz 2 2" xfId="790" xr:uid="{00000000-0005-0000-0000-000044430000}"/>
    <cellStyle name="Notiz 2 2 10" xfId="11251" xr:uid="{00000000-0005-0000-0000-000045430000}"/>
    <cellStyle name="Notiz 2 2 11" xfId="11636" xr:uid="{00000000-0005-0000-0000-000046430000}"/>
    <cellStyle name="Notiz 2 2 12" xfId="12007" xr:uid="{00000000-0005-0000-0000-000047430000}"/>
    <cellStyle name="Notiz 2 2 13" xfId="12520" xr:uid="{00000000-0005-0000-0000-000048430000}"/>
    <cellStyle name="Notiz 2 2 14" xfId="14127" xr:uid="{00000000-0005-0000-0000-000049430000}"/>
    <cellStyle name="Notiz 2 2 15" xfId="14880" xr:uid="{00000000-0005-0000-0000-00004A430000}"/>
    <cellStyle name="Notiz 2 2 16" xfId="15165" xr:uid="{00000000-0005-0000-0000-00004B430000}"/>
    <cellStyle name="Notiz 2 2 17" xfId="18903" xr:uid="{00000000-0005-0000-0000-00004C430000}"/>
    <cellStyle name="Notiz 2 2 2" xfId="943" xr:uid="{00000000-0005-0000-0000-00004D430000}"/>
    <cellStyle name="Notiz 2 2 2 2" xfId="12672" xr:uid="{00000000-0005-0000-0000-00004E430000}"/>
    <cellStyle name="Notiz 2 2 2 3" xfId="15260" xr:uid="{00000000-0005-0000-0000-00004F430000}"/>
    <cellStyle name="Notiz 2 2 2 4" xfId="17437" xr:uid="{00000000-0005-0000-0000-000050430000}"/>
    <cellStyle name="Notiz 2 2 2 5" xfId="16982" xr:uid="{00000000-0005-0000-0000-000051430000}"/>
    <cellStyle name="Notiz 2 2 2 6" xfId="19389" xr:uid="{00000000-0005-0000-0000-000052430000}"/>
    <cellStyle name="Notiz 2 2 3" xfId="4102" xr:uid="{00000000-0005-0000-0000-000053430000}"/>
    <cellStyle name="Notiz 2 2 4" xfId="8454" xr:uid="{00000000-0005-0000-0000-000054430000}"/>
    <cellStyle name="Notiz 2 2 5" xfId="8631" xr:uid="{00000000-0005-0000-0000-000055430000}"/>
    <cellStyle name="Notiz 2 2 6" xfId="9691" xr:uid="{00000000-0005-0000-0000-000056430000}"/>
    <cellStyle name="Notiz 2 2 7" xfId="10120" xr:uid="{00000000-0005-0000-0000-000057430000}"/>
    <cellStyle name="Notiz 2 2 8" xfId="10532" xr:uid="{00000000-0005-0000-0000-000058430000}"/>
    <cellStyle name="Notiz 2 2 9" xfId="8845" xr:uid="{00000000-0005-0000-0000-000059430000}"/>
    <cellStyle name="Notiz 2 3" xfId="917" xr:uid="{00000000-0005-0000-0000-00005A430000}"/>
    <cellStyle name="Notiz 2 3 2" xfId="12646" xr:uid="{00000000-0005-0000-0000-00005B430000}"/>
    <cellStyle name="Notiz 2 3 3" xfId="13691" xr:uid="{00000000-0005-0000-0000-00005C430000}"/>
    <cellStyle name="Notiz 2 3 4" xfId="14108" xr:uid="{00000000-0005-0000-0000-00005D430000}"/>
    <cellStyle name="Notiz 2 3 5" xfId="13716" xr:uid="{00000000-0005-0000-0000-00005E430000}"/>
    <cellStyle name="Notiz 2 3 6" xfId="14520" xr:uid="{00000000-0005-0000-0000-00005F430000}"/>
    <cellStyle name="Notiz 2 4" xfId="3640" xr:uid="{00000000-0005-0000-0000-000060430000}"/>
    <cellStyle name="Notiz 2 5" xfId="8344" xr:uid="{00000000-0005-0000-0000-000061430000}"/>
    <cellStyle name="Notiz 2 6" xfId="8572" xr:uid="{00000000-0005-0000-0000-000062430000}"/>
    <cellStyle name="Notiz 2 7" xfId="9479" xr:uid="{00000000-0005-0000-0000-000063430000}"/>
    <cellStyle name="Notiz 2 8" xfId="9906" xr:uid="{00000000-0005-0000-0000-000064430000}"/>
    <cellStyle name="Notiz 2 9" xfId="10318" xr:uid="{00000000-0005-0000-0000-000065430000}"/>
    <cellStyle name="Notiz 20" xfId="18743" xr:uid="{00000000-0005-0000-0000-000066430000}"/>
    <cellStyle name="Notiz 21" xfId="19522" xr:uid="{00000000-0005-0000-0000-000067430000}"/>
    <cellStyle name="Notiz 3" xfId="637" xr:uid="{00000000-0005-0000-0000-000068430000}"/>
    <cellStyle name="Notiz 3 10" xfId="10238" xr:uid="{00000000-0005-0000-0000-000069430000}"/>
    <cellStyle name="Notiz 3 11" xfId="11104" xr:uid="{00000000-0005-0000-0000-00006A430000}"/>
    <cellStyle name="Notiz 3 12" xfId="11491" xr:uid="{00000000-0005-0000-0000-00006B430000}"/>
    <cellStyle name="Notiz 3 13" xfId="11863" xr:uid="{00000000-0005-0000-0000-00006C430000}"/>
    <cellStyle name="Notiz 3 14" xfId="12376" xr:uid="{00000000-0005-0000-0000-00006D430000}"/>
    <cellStyle name="Notiz 3 15" xfId="15736" xr:uid="{00000000-0005-0000-0000-00006E430000}"/>
    <cellStyle name="Notiz 3 16" xfId="16064" xr:uid="{00000000-0005-0000-0000-00006F430000}"/>
    <cellStyle name="Notiz 3 17" xfId="14129" xr:uid="{00000000-0005-0000-0000-000070430000}"/>
    <cellStyle name="Notiz 3 18" xfId="18716" xr:uid="{00000000-0005-0000-0000-000071430000}"/>
    <cellStyle name="Notiz 3 2" xfId="852" xr:uid="{00000000-0005-0000-0000-000072430000}"/>
    <cellStyle name="Notiz 3 2 10" xfId="11313" xr:uid="{00000000-0005-0000-0000-000073430000}"/>
    <cellStyle name="Notiz 3 2 11" xfId="11698" xr:uid="{00000000-0005-0000-0000-000074430000}"/>
    <cellStyle name="Notiz 3 2 12" xfId="12069" xr:uid="{00000000-0005-0000-0000-000075430000}"/>
    <cellStyle name="Notiz 3 2 13" xfId="12582" xr:uid="{00000000-0005-0000-0000-000076430000}"/>
    <cellStyle name="Notiz 3 2 14" xfId="14762" xr:uid="{00000000-0005-0000-0000-000077430000}"/>
    <cellStyle name="Notiz 3 2 15" xfId="15026" xr:uid="{00000000-0005-0000-0000-000078430000}"/>
    <cellStyle name="Notiz 3 2 16" xfId="18505" xr:uid="{00000000-0005-0000-0000-000079430000}"/>
    <cellStyle name="Notiz 3 2 17" xfId="16756" xr:uid="{00000000-0005-0000-0000-00007A430000}"/>
    <cellStyle name="Notiz 3 2 2" xfId="1326" xr:uid="{00000000-0005-0000-0000-00007B430000}"/>
    <cellStyle name="Notiz 3 2 2 2" xfId="13055" xr:uid="{00000000-0005-0000-0000-00007C430000}"/>
    <cellStyle name="Notiz 3 2 2 3" xfId="14615" xr:uid="{00000000-0005-0000-0000-00007D430000}"/>
    <cellStyle name="Notiz 3 2 2 4" xfId="17167" xr:uid="{00000000-0005-0000-0000-00007E430000}"/>
    <cellStyle name="Notiz 3 2 2 5" xfId="15442" xr:uid="{00000000-0005-0000-0000-00007F430000}"/>
    <cellStyle name="Notiz 3 2 2 6" xfId="19119" xr:uid="{00000000-0005-0000-0000-000080430000}"/>
    <cellStyle name="Notiz 3 2 3" xfId="3779" xr:uid="{00000000-0005-0000-0000-000081430000}"/>
    <cellStyle name="Notiz 3 2 4" xfId="8482" xr:uid="{00000000-0005-0000-0000-000082430000}"/>
    <cellStyle name="Notiz 3 2 5" xfId="9325" xr:uid="{00000000-0005-0000-0000-000083430000}"/>
    <cellStyle name="Notiz 3 2 6" xfId="9753" xr:uid="{00000000-0005-0000-0000-000084430000}"/>
    <cellStyle name="Notiz 3 2 7" xfId="10182" xr:uid="{00000000-0005-0000-0000-000085430000}"/>
    <cellStyle name="Notiz 3 2 8" xfId="10594" xr:uid="{00000000-0005-0000-0000-000086430000}"/>
    <cellStyle name="Notiz 3 2 9" xfId="10859" xr:uid="{00000000-0005-0000-0000-000087430000}"/>
    <cellStyle name="Notiz 3 3" xfId="987" xr:uid="{00000000-0005-0000-0000-000088430000}"/>
    <cellStyle name="Notiz 3 3 2" xfId="12716" xr:uid="{00000000-0005-0000-0000-000089430000}"/>
    <cellStyle name="Notiz 3 3 3" xfId="15285" xr:uid="{00000000-0005-0000-0000-00008A430000}"/>
    <cellStyle name="Notiz 3 3 4" xfId="17401" xr:uid="{00000000-0005-0000-0000-00008B430000}"/>
    <cellStyle name="Notiz 3 3 5" xfId="16999" xr:uid="{00000000-0005-0000-0000-00008C430000}"/>
    <cellStyle name="Notiz 3 3 6" xfId="19353" xr:uid="{00000000-0005-0000-0000-00008D430000}"/>
    <cellStyle name="Notiz 3 4" xfId="4039" xr:uid="{00000000-0005-0000-0000-00008E430000}"/>
    <cellStyle name="Notiz 3 5" xfId="8370" xr:uid="{00000000-0005-0000-0000-00008F430000}"/>
    <cellStyle name="Notiz 3 6" xfId="8560" xr:uid="{00000000-0005-0000-0000-000090430000}"/>
    <cellStyle name="Notiz 3 7" xfId="9541" xr:uid="{00000000-0005-0000-0000-000091430000}"/>
    <cellStyle name="Notiz 3 8" xfId="9968" xr:uid="{00000000-0005-0000-0000-000092430000}"/>
    <cellStyle name="Notiz 3 9" xfId="10380" xr:uid="{00000000-0005-0000-0000-000093430000}"/>
    <cellStyle name="Notiz 4" xfId="606" xr:uid="{00000000-0005-0000-0000-000094430000}"/>
    <cellStyle name="Notiz 4 10" xfId="10653" xr:uid="{00000000-0005-0000-0000-000095430000}"/>
    <cellStyle name="Notiz 4 11" xfId="11073" xr:uid="{00000000-0005-0000-0000-000096430000}"/>
    <cellStyle name="Notiz 4 12" xfId="11460" xr:uid="{00000000-0005-0000-0000-000097430000}"/>
    <cellStyle name="Notiz 4 13" xfId="11832" xr:uid="{00000000-0005-0000-0000-000098430000}"/>
    <cellStyle name="Notiz 4 14" xfId="12345" xr:uid="{00000000-0005-0000-0000-000099430000}"/>
    <cellStyle name="Notiz 4 15" xfId="15044" xr:uid="{00000000-0005-0000-0000-00009A430000}"/>
    <cellStyle name="Notiz 4 16" xfId="16252" xr:uid="{00000000-0005-0000-0000-00009B430000}"/>
    <cellStyle name="Notiz 4 17" xfId="16568" xr:uid="{00000000-0005-0000-0000-00009C430000}"/>
    <cellStyle name="Notiz 4 18" xfId="16094" xr:uid="{00000000-0005-0000-0000-00009D430000}"/>
    <cellStyle name="Notiz 4 2" xfId="821" xr:uid="{00000000-0005-0000-0000-00009E430000}"/>
    <cellStyle name="Notiz 4 2 10" xfId="11282" xr:uid="{00000000-0005-0000-0000-00009F430000}"/>
    <cellStyle name="Notiz 4 2 11" xfId="11667" xr:uid="{00000000-0005-0000-0000-0000A0430000}"/>
    <cellStyle name="Notiz 4 2 12" xfId="12038" xr:uid="{00000000-0005-0000-0000-0000A1430000}"/>
    <cellStyle name="Notiz 4 2 13" xfId="12551" xr:uid="{00000000-0005-0000-0000-0000A2430000}"/>
    <cellStyle name="Notiz 4 2 14" xfId="16130" xr:uid="{00000000-0005-0000-0000-0000A3430000}"/>
    <cellStyle name="Notiz 4 2 15" xfId="14577" xr:uid="{00000000-0005-0000-0000-0000A4430000}"/>
    <cellStyle name="Notiz 4 2 16" xfId="17051" xr:uid="{00000000-0005-0000-0000-0000A5430000}"/>
    <cellStyle name="Notiz 4 2 17" xfId="18300" xr:uid="{00000000-0005-0000-0000-0000A6430000}"/>
    <cellStyle name="Notiz 4 2 2" xfId="1193" xr:uid="{00000000-0005-0000-0000-0000A7430000}"/>
    <cellStyle name="Notiz 4 2 2 2" xfId="12922" xr:uid="{00000000-0005-0000-0000-0000A8430000}"/>
    <cellStyle name="Notiz 4 2 2 3" xfId="14532" xr:uid="{00000000-0005-0000-0000-0000A9430000}"/>
    <cellStyle name="Notiz 4 2 2 4" xfId="15221" xr:uid="{00000000-0005-0000-0000-0000AA430000}"/>
    <cellStyle name="Notiz 4 2 2 5" xfId="16760" xr:uid="{00000000-0005-0000-0000-0000AB430000}"/>
    <cellStyle name="Notiz 4 2 2 6" xfId="15860" xr:uid="{00000000-0005-0000-0000-0000AC430000}"/>
    <cellStyle name="Notiz 4 2 3" xfId="3941" xr:uid="{00000000-0005-0000-0000-0000AD430000}"/>
    <cellStyle name="Notiz 4 2 4" xfId="8470" xr:uid="{00000000-0005-0000-0000-0000AE430000}"/>
    <cellStyle name="Notiz 4 2 5" xfId="8543" xr:uid="{00000000-0005-0000-0000-0000AF430000}"/>
    <cellStyle name="Notiz 4 2 6" xfId="9722" xr:uid="{00000000-0005-0000-0000-0000B0430000}"/>
    <cellStyle name="Notiz 4 2 7" xfId="10151" xr:uid="{00000000-0005-0000-0000-0000B1430000}"/>
    <cellStyle name="Notiz 4 2 8" xfId="10563" xr:uid="{00000000-0005-0000-0000-0000B2430000}"/>
    <cellStyle name="Notiz 4 2 9" xfId="9834" xr:uid="{00000000-0005-0000-0000-0000B3430000}"/>
    <cellStyle name="Notiz 4 3" xfId="1144" xr:uid="{00000000-0005-0000-0000-0000B4430000}"/>
    <cellStyle name="Notiz 4 3 2" xfId="12873" xr:uid="{00000000-0005-0000-0000-0000B5430000}"/>
    <cellStyle name="Notiz 4 3 3" xfId="15330" xr:uid="{00000000-0005-0000-0000-0000B6430000}"/>
    <cellStyle name="Notiz 4 3 4" xfId="17302" xr:uid="{00000000-0005-0000-0000-0000B7430000}"/>
    <cellStyle name="Notiz 4 3 5" xfId="17860" xr:uid="{00000000-0005-0000-0000-0000B8430000}"/>
    <cellStyle name="Notiz 4 3 6" xfId="19254" xr:uid="{00000000-0005-0000-0000-0000B9430000}"/>
    <cellStyle name="Notiz 4 4" xfId="3786" xr:uid="{00000000-0005-0000-0000-0000BA430000}"/>
    <cellStyle name="Notiz 4 5" xfId="8361" xr:uid="{00000000-0005-0000-0000-0000BB430000}"/>
    <cellStyle name="Notiz 4 6" xfId="9074" xr:uid="{00000000-0005-0000-0000-0000BC430000}"/>
    <cellStyle name="Notiz 4 7" xfId="9510" xr:uid="{00000000-0005-0000-0000-0000BD430000}"/>
    <cellStyle name="Notiz 4 8" xfId="9937" xr:uid="{00000000-0005-0000-0000-0000BE430000}"/>
    <cellStyle name="Notiz 4 9" xfId="10349" xr:uid="{00000000-0005-0000-0000-0000BF430000}"/>
    <cellStyle name="Notiz 5" xfId="698" xr:uid="{00000000-0005-0000-0000-0000C0430000}"/>
    <cellStyle name="Notiz 5 10" xfId="11164" xr:uid="{00000000-0005-0000-0000-0000C1430000}"/>
    <cellStyle name="Notiz 5 11" xfId="11551" xr:uid="{00000000-0005-0000-0000-0000C2430000}"/>
    <cellStyle name="Notiz 5 12" xfId="11923" xr:uid="{00000000-0005-0000-0000-0000C3430000}"/>
    <cellStyle name="Notiz 5 13" xfId="12436" xr:uid="{00000000-0005-0000-0000-0000C4430000}"/>
    <cellStyle name="Notiz 5 14" xfId="16099" xr:uid="{00000000-0005-0000-0000-0000C5430000}"/>
    <cellStyle name="Notiz 5 15" xfId="17506" xr:uid="{00000000-0005-0000-0000-0000C6430000}"/>
    <cellStyle name="Notiz 5 16" xfId="16557" xr:uid="{00000000-0005-0000-0000-0000C7430000}"/>
    <cellStyle name="Notiz 5 17" xfId="17675" xr:uid="{00000000-0005-0000-0000-0000C8430000}"/>
    <cellStyle name="Notiz 5 2" xfId="1079" xr:uid="{00000000-0005-0000-0000-0000C9430000}"/>
    <cellStyle name="Notiz 5 2 2" xfId="12808" xr:uid="{00000000-0005-0000-0000-0000CA430000}"/>
    <cellStyle name="Notiz 5 2 3" xfId="13924" xr:uid="{00000000-0005-0000-0000-0000CB430000}"/>
    <cellStyle name="Notiz 5 2 4" xfId="17352" xr:uid="{00000000-0005-0000-0000-0000CC430000}"/>
    <cellStyle name="Notiz 5 2 5" xfId="17566" xr:uid="{00000000-0005-0000-0000-0000CD430000}"/>
    <cellStyle name="Notiz 5 2 6" xfId="15721" xr:uid="{00000000-0005-0000-0000-0000CE430000}"/>
    <cellStyle name="Notiz 5 3" xfId="3465" xr:uid="{00000000-0005-0000-0000-0000CF430000}"/>
    <cellStyle name="Notiz 5 4" xfId="8404" xr:uid="{00000000-0005-0000-0000-0000D0430000}"/>
    <cellStyle name="Notiz 5 5" xfId="9194" xr:uid="{00000000-0005-0000-0000-0000D1430000}"/>
    <cellStyle name="Notiz 5 6" xfId="9601" xr:uid="{00000000-0005-0000-0000-0000D2430000}"/>
    <cellStyle name="Notiz 5 7" xfId="10028" xr:uid="{00000000-0005-0000-0000-0000D3430000}"/>
    <cellStyle name="Notiz 5 8" xfId="10440" xr:uid="{00000000-0005-0000-0000-0000D4430000}"/>
    <cellStyle name="Notiz 5 9" xfId="8917" xr:uid="{00000000-0005-0000-0000-0000D5430000}"/>
    <cellStyle name="Notiz 6" xfId="1069" xr:uid="{00000000-0005-0000-0000-0000D6430000}"/>
    <cellStyle name="Notiz 6 2" xfId="12798" xr:uid="{00000000-0005-0000-0000-0000D7430000}"/>
    <cellStyle name="Notiz 6 3" xfId="14647" xr:uid="{00000000-0005-0000-0000-0000D8430000}"/>
    <cellStyle name="Notiz 6 4" xfId="17360" xr:uid="{00000000-0005-0000-0000-0000D9430000}"/>
    <cellStyle name="Notiz 6 5" xfId="15100" xr:uid="{00000000-0005-0000-0000-0000DA430000}"/>
    <cellStyle name="Notiz 6 6" xfId="14007" xr:uid="{00000000-0005-0000-0000-0000DB430000}"/>
    <cellStyle name="Notiz 7" xfId="4048" xr:uid="{00000000-0005-0000-0000-0000DC430000}"/>
    <cellStyle name="Notiz 8" xfId="8286" xr:uid="{00000000-0005-0000-0000-0000DD430000}"/>
    <cellStyle name="Notiz 9" xfId="8974" xr:uid="{00000000-0005-0000-0000-0000DE430000}"/>
    <cellStyle name="nplosion_borders" xfId="6888" xr:uid="{00000000-0005-0000-0000-0000DF430000}"/>
    <cellStyle name="Output 10" xfId="6889" xr:uid="{00000000-0005-0000-0000-0000E0430000}"/>
    <cellStyle name="Output 11" xfId="6890" xr:uid="{00000000-0005-0000-0000-0000E1430000}"/>
    <cellStyle name="Output 12" xfId="6891" xr:uid="{00000000-0005-0000-0000-0000E2430000}"/>
    <cellStyle name="Output 13" xfId="6892" xr:uid="{00000000-0005-0000-0000-0000E3430000}"/>
    <cellStyle name="Output 14" xfId="6893" xr:uid="{00000000-0005-0000-0000-0000E4430000}"/>
    <cellStyle name="Output 15" xfId="6894" xr:uid="{00000000-0005-0000-0000-0000E5430000}"/>
    <cellStyle name="Output 16" xfId="6895" xr:uid="{00000000-0005-0000-0000-0000E6430000}"/>
    <cellStyle name="Output 17" xfId="6896" xr:uid="{00000000-0005-0000-0000-0000E7430000}"/>
    <cellStyle name="Output 18" xfId="6897" xr:uid="{00000000-0005-0000-0000-0000E8430000}"/>
    <cellStyle name="Output 19" xfId="6898" xr:uid="{00000000-0005-0000-0000-0000E9430000}"/>
    <cellStyle name="Output 2" xfId="186" xr:uid="{00000000-0005-0000-0000-0000EA430000}"/>
    <cellStyle name="Output 2 10" xfId="6900" xr:uid="{00000000-0005-0000-0000-0000EB430000}"/>
    <cellStyle name="Output 2 11" xfId="6901" xr:uid="{00000000-0005-0000-0000-0000EC430000}"/>
    <cellStyle name="Output 2 12" xfId="6902" xr:uid="{00000000-0005-0000-0000-0000ED430000}"/>
    <cellStyle name="Output 2 13" xfId="6903" xr:uid="{00000000-0005-0000-0000-0000EE430000}"/>
    <cellStyle name="Output 2 14" xfId="6904" xr:uid="{00000000-0005-0000-0000-0000EF430000}"/>
    <cellStyle name="Output 2 15" xfId="6905" xr:uid="{00000000-0005-0000-0000-0000F0430000}"/>
    <cellStyle name="Output 2 16" xfId="6906" xr:uid="{00000000-0005-0000-0000-0000F1430000}"/>
    <cellStyle name="Output 2 17" xfId="6907" xr:uid="{00000000-0005-0000-0000-0000F2430000}"/>
    <cellStyle name="Output 2 18" xfId="6908" xr:uid="{00000000-0005-0000-0000-0000F3430000}"/>
    <cellStyle name="Output 2 19" xfId="6899" xr:uid="{00000000-0005-0000-0000-0000F4430000}"/>
    <cellStyle name="Output 2 2" xfId="576" xr:uid="{00000000-0005-0000-0000-0000F5430000}"/>
    <cellStyle name="Output 2 2 10" xfId="9907" xr:uid="{00000000-0005-0000-0000-0000F6430000}"/>
    <cellStyle name="Output 2 2 11" xfId="10319" xr:uid="{00000000-0005-0000-0000-0000F7430000}"/>
    <cellStyle name="Output 2 2 12" xfId="8965" xr:uid="{00000000-0005-0000-0000-0000F8430000}"/>
    <cellStyle name="Output 2 2 13" xfId="11043" xr:uid="{00000000-0005-0000-0000-0000F9430000}"/>
    <cellStyle name="Output 2 2 14" xfId="11430" xr:uid="{00000000-0005-0000-0000-0000FA430000}"/>
    <cellStyle name="Output 2 2 15" xfId="11802" xr:uid="{00000000-0005-0000-0000-0000FB430000}"/>
    <cellStyle name="Output 2 2 16" xfId="12315" xr:uid="{00000000-0005-0000-0000-0000FC430000}"/>
    <cellStyle name="Output 2 2 17" xfId="15201" xr:uid="{00000000-0005-0000-0000-0000FD430000}"/>
    <cellStyle name="Output 2 2 18" xfId="17521" xr:uid="{00000000-0005-0000-0000-0000FE430000}"/>
    <cellStyle name="Output 2 2 19" xfId="17501" xr:uid="{00000000-0005-0000-0000-0000FF430000}"/>
    <cellStyle name="Output 2 2 2" xfId="791" xr:uid="{00000000-0005-0000-0000-000000440000}"/>
    <cellStyle name="Output 2 2 2 10" xfId="10533" xr:uid="{00000000-0005-0000-0000-000001440000}"/>
    <cellStyle name="Output 2 2 2 11" xfId="10659" xr:uid="{00000000-0005-0000-0000-000002440000}"/>
    <cellStyle name="Output 2 2 2 12" xfId="11252" xr:uid="{00000000-0005-0000-0000-000003440000}"/>
    <cellStyle name="Output 2 2 2 13" xfId="11637" xr:uid="{00000000-0005-0000-0000-000004440000}"/>
    <cellStyle name="Output 2 2 2 14" xfId="12008" xr:uid="{00000000-0005-0000-0000-000005440000}"/>
    <cellStyle name="Output 2 2 2 15" xfId="12521" xr:uid="{00000000-0005-0000-0000-000006440000}"/>
    <cellStyle name="Output 2 2 2 16" xfId="14790" xr:uid="{00000000-0005-0000-0000-000007440000}"/>
    <cellStyle name="Output 2 2 2 17" xfId="15972" xr:uid="{00000000-0005-0000-0000-000008440000}"/>
    <cellStyle name="Output 2 2 2 18" xfId="14549" xr:uid="{00000000-0005-0000-0000-000009440000}"/>
    <cellStyle name="Output 2 2 2 19" xfId="19426" xr:uid="{00000000-0005-0000-0000-00000A440000}"/>
    <cellStyle name="Output 2 2 2 2" xfId="1176" xr:uid="{00000000-0005-0000-0000-00000B440000}"/>
    <cellStyle name="Output 2 2 2 2 2" xfId="12905" xr:uid="{00000000-0005-0000-0000-00000C440000}"/>
    <cellStyle name="Output 2 2 2 2 3" xfId="15348" xr:uid="{00000000-0005-0000-0000-00000D440000}"/>
    <cellStyle name="Output 2 2 2 2 4" xfId="16694" xr:uid="{00000000-0005-0000-0000-00000E440000}"/>
    <cellStyle name="Output 2 2 2 2 5" xfId="15480" xr:uid="{00000000-0005-0000-0000-00000F440000}"/>
    <cellStyle name="Output 2 2 2 2 6" xfId="19229" xr:uid="{00000000-0005-0000-0000-000010440000}"/>
    <cellStyle name="Output 2 2 2 3" xfId="1797" xr:uid="{00000000-0005-0000-0000-000011440000}"/>
    <cellStyle name="Output 2 2 2 3 2" xfId="13187" xr:uid="{00000000-0005-0000-0000-000012440000}"/>
    <cellStyle name="Output 2 2 2 3 3" xfId="14476" xr:uid="{00000000-0005-0000-0000-000013440000}"/>
    <cellStyle name="Output 2 2 2 3 4" xfId="17043" xr:uid="{00000000-0005-0000-0000-000014440000}"/>
    <cellStyle name="Output 2 2 2 3 5" xfId="14621" xr:uid="{00000000-0005-0000-0000-000015440000}"/>
    <cellStyle name="Output 2 2 2 3 6" xfId="19048" xr:uid="{00000000-0005-0000-0000-000016440000}"/>
    <cellStyle name="Output 2 2 2 4" xfId="3987" xr:uid="{00000000-0005-0000-0000-000017440000}"/>
    <cellStyle name="Output 2 2 2 5" xfId="6910" xr:uid="{00000000-0005-0000-0000-000018440000}"/>
    <cellStyle name="Output 2 2 2 6" xfId="8455" xr:uid="{00000000-0005-0000-0000-000019440000}"/>
    <cellStyle name="Output 2 2 2 7" xfId="8731" xr:uid="{00000000-0005-0000-0000-00001A440000}"/>
    <cellStyle name="Output 2 2 2 8" xfId="9692" xr:uid="{00000000-0005-0000-0000-00001B440000}"/>
    <cellStyle name="Output 2 2 2 9" xfId="10121" xr:uid="{00000000-0005-0000-0000-00001C440000}"/>
    <cellStyle name="Output 2 2 20" xfId="19468" xr:uid="{00000000-0005-0000-0000-00001D440000}"/>
    <cellStyle name="Output 2 2 3" xfId="997" xr:uid="{00000000-0005-0000-0000-00001E440000}"/>
    <cellStyle name="Output 2 2 3 2" xfId="6911" xr:uid="{00000000-0005-0000-0000-00001F440000}"/>
    <cellStyle name="Output 2 2 3 3" xfId="12726" xr:uid="{00000000-0005-0000-0000-000020440000}"/>
    <cellStyle name="Output 2 2 3 4" xfId="13854" xr:uid="{00000000-0005-0000-0000-000021440000}"/>
    <cellStyle name="Output 2 2 3 5" xfId="14988" xr:uid="{00000000-0005-0000-0000-000022440000}"/>
    <cellStyle name="Output 2 2 3 6" xfId="17001" xr:uid="{00000000-0005-0000-0000-000023440000}"/>
    <cellStyle name="Output 2 2 3 7" xfId="19346" xr:uid="{00000000-0005-0000-0000-000024440000}"/>
    <cellStyle name="Output 2 2 4" xfId="4206" xr:uid="{00000000-0005-0000-0000-000025440000}"/>
    <cellStyle name="Output 2 2 4 2" xfId="6912" xr:uid="{00000000-0005-0000-0000-000026440000}"/>
    <cellStyle name="Output 2 2 5" xfId="6913" xr:uid="{00000000-0005-0000-0000-000027440000}"/>
    <cellStyle name="Output 2 2 6" xfId="6909" xr:uid="{00000000-0005-0000-0000-000028440000}"/>
    <cellStyle name="Output 2 2 7" xfId="8345" xr:uid="{00000000-0005-0000-0000-000029440000}"/>
    <cellStyle name="Output 2 2 8" xfId="8906" xr:uid="{00000000-0005-0000-0000-00002A440000}"/>
    <cellStyle name="Output 2 2 9" xfId="9480" xr:uid="{00000000-0005-0000-0000-00002B440000}"/>
    <cellStyle name="Output 2 20" xfId="8287" xr:uid="{00000000-0005-0000-0000-00002C440000}"/>
    <cellStyle name="Output 2 21" xfId="8840" xr:uid="{00000000-0005-0000-0000-00002D440000}"/>
    <cellStyle name="Output 2 22" xfId="9189" xr:uid="{00000000-0005-0000-0000-00002E440000}"/>
    <cellStyle name="Output 2 23" xfId="8610" xr:uid="{00000000-0005-0000-0000-00002F440000}"/>
    <cellStyle name="Output 2 24" xfId="10693" xr:uid="{00000000-0005-0000-0000-000030440000}"/>
    <cellStyle name="Output 2 25" xfId="10754" xr:uid="{00000000-0005-0000-0000-000031440000}"/>
    <cellStyle name="Output 2 26" xfId="12214" xr:uid="{00000000-0005-0000-0000-000032440000}"/>
    <cellStyle name="Output 2 27" xfId="16584" xr:uid="{00000000-0005-0000-0000-000033440000}"/>
    <cellStyle name="Output 2 28" xfId="17698" xr:uid="{00000000-0005-0000-0000-000034440000}"/>
    <cellStyle name="Output 2 29" xfId="18742" xr:uid="{00000000-0005-0000-0000-000035440000}"/>
    <cellStyle name="Output 2 3" xfId="672" xr:uid="{00000000-0005-0000-0000-000036440000}"/>
    <cellStyle name="Output 2 3 10" xfId="10415" xr:uid="{00000000-0005-0000-0000-000037440000}"/>
    <cellStyle name="Output 2 3 11" xfId="10813" xr:uid="{00000000-0005-0000-0000-000038440000}"/>
    <cellStyle name="Output 2 3 12" xfId="11139" xr:uid="{00000000-0005-0000-0000-000039440000}"/>
    <cellStyle name="Output 2 3 13" xfId="11526" xr:uid="{00000000-0005-0000-0000-00003A440000}"/>
    <cellStyle name="Output 2 3 14" xfId="11898" xr:uid="{00000000-0005-0000-0000-00003B440000}"/>
    <cellStyle name="Output 2 3 15" xfId="12411" xr:uid="{00000000-0005-0000-0000-00003C440000}"/>
    <cellStyle name="Output 2 3 16" xfId="14756" xr:uid="{00000000-0005-0000-0000-00003D440000}"/>
    <cellStyle name="Output 2 3 17" xfId="13724" xr:uid="{00000000-0005-0000-0000-00003E440000}"/>
    <cellStyle name="Output 2 3 18" xfId="15162" xr:uid="{00000000-0005-0000-0000-00003F440000}"/>
    <cellStyle name="Output 2 3 19" xfId="14128" xr:uid="{00000000-0005-0000-0000-000040440000}"/>
    <cellStyle name="Output 2 3 2" xfId="887" xr:uid="{00000000-0005-0000-0000-000041440000}"/>
    <cellStyle name="Output 2 3 2 10" xfId="11348" xr:uid="{00000000-0005-0000-0000-000042440000}"/>
    <cellStyle name="Output 2 3 2 11" xfId="11733" xr:uid="{00000000-0005-0000-0000-000043440000}"/>
    <cellStyle name="Output 2 3 2 12" xfId="12104" xr:uid="{00000000-0005-0000-0000-000044440000}"/>
    <cellStyle name="Output 2 3 2 13" xfId="12617" xr:uid="{00000000-0005-0000-0000-000045440000}"/>
    <cellStyle name="Output 2 3 2 14" xfId="15248" xr:uid="{00000000-0005-0000-0000-000046440000}"/>
    <cellStyle name="Output 2 3 2 15" xfId="17455" xr:uid="{00000000-0005-0000-0000-000047440000}"/>
    <cellStyle name="Output 2 3 2 16" xfId="16973" xr:uid="{00000000-0005-0000-0000-000048440000}"/>
    <cellStyle name="Output 2 3 2 17" xfId="19407" xr:uid="{00000000-0005-0000-0000-000049440000}"/>
    <cellStyle name="Output 2 3 2 2" xfId="1389" xr:uid="{00000000-0005-0000-0000-00004A440000}"/>
    <cellStyle name="Output 2 3 2 2 2" xfId="13118" xr:uid="{00000000-0005-0000-0000-00004B440000}"/>
    <cellStyle name="Output 2 3 2 2 3" xfId="13783" xr:uid="{00000000-0005-0000-0000-00004C440000}"/>
    <cellStyle name="Output 2 3 2 2 4" xfId="17119" xr:uid="{00000000-0005-0000-0000-00004D440000}"/>
    <cellStyle name="Output 2 3 2 2 5" xfId="15838" xr:uid="{00000000-0005-0000-0000-00004E440000}"/>
    <cellStyle name="Output 2 3 2 2 6" xfId="19071" xr:uid="{00000000-0005-0000-0000-00004F440000}"/>
    <cellStyle name="Output 2 3 2 3" xfId="4241" xr:uid="{00000000-0005-0000-0000-000050440000}"/>
    <cellStyle name="Output 2 3 2 4" xfId="8499" xr:uid="{00000000-0005-0000-0000-000051440000}"/>
    <cellStyle name="Output 2 3 2 5" xfId="9360" xr:uid="{00000000-0005-0000-0000-000052440000}"/>
    <cellStyle name="Output 2 3 2 6" xfId="9788" xr:uid="{00000000-0005-0000-0000-000053440000}"/>
    <cellStyle name="Output 2 3 2 7" xfId="10217" xr:uid="{00000000-0005-0000-0000-000054440000}"/>
    <cellStyle name="Output 2 3 2 8" xfId="10629" xr:uid="{00000000-0005-0000-0000-000055440000}"/>
    <cellStyle name="Output 2 3 2 9" xfId="10959" xr:uid="{00000000-0005-0000-0000-000056440000}"/>
    <cellStyle name="Output 2 3 3" xfId="1243" xr:uid="{00000000-0005-0000-0000-000057440000}"/>
    <cellStyle name="Output 2 3 3 2" xfId="12972" xr:uid="{00000000-0005-0000-0000-000058440000}"/>
    <cellStyle name="Output 2 3 3 3" xfId="15387" xr:uid="{00000000-0005-0000-0000-000059440000}"/>
    <cellStyle name="Output 2 3 3 4" xfId="17226" xr:uid="{00000000-0005-0000-0000-00005A440000}"/>
    <cellStyle name="Output 2 3 3 5" xfId="16205" xr:uid="{00000000-0005-0000-0000-00005B440000}"/>
    <cellStyle name="Output 2 3 3 6" xfId="19178" xr:uid="{00000000-0005-0000-0000-00005C440000}"/>
    <cellStyle name="Output 2 3 4" xfId="3437" xr:uid="{00000000-0005-0000-0000-00005D440000}"/>
    <cellStyle name="Output 2 3 5" xfId="6914" xr:uid="{00000000-0005-0000-0000-00005E440000}"/>
    <cellStyle name="Output 2 3 6" xfId="8388" xr:uid="{00000000-0005-0000-0000-00005F440000}"/>
    <cellStyle name="Output 2 3 7" xfId="9193" xr:uid="{00000000-0005-0000-0000-000060440000}"/>
    <cellStyle name="Output 2 3 8" xfId="9576" xr:uid="{00000000-0005-0000-0000-000061440000}"/>
    <cellStyle name="Output 2 3 9" xfId="10003" xr:uid="{00000000-0005-0000-0000-000062440000}"/>
    <cellStyle name="Output 2 30" xfId="19521" xr:uid="{00000000-0005-0000-0000-000063440000}"/>
    <cellStyle name="Output 2 4" xfId="699" xr:uid="{00000000-0005-0000-0000-000064440000}"/>
    <cellStyle name="Output 2 4 10" xfId="10887" xr:uid="{00000000-0005-0000-0000-000065440000}"/>
    <cellStyle name="Output 2 4 11" xfId="11165" xr:uid="{00000000-0005-0000-0000-000066440000}"/>
    <cellStyle name="Output 2 4 12" xfId="11552" xr:uid="{00000000-0005-0000-0000-000067440000}"/>
    <cellStyle name="Output 2 4 13" xfId="11924" xr:uid="{00000000-0005-0000-0000-000068440000}"/>
    <cellStyle name="Output 2 4 14" xfId="12437" xr:uid="{00000000-0005-0000-0000-000069440000}"/>
    <cellStyle name="Output 2 4 15" xfId="15216" xr:uid="{00000000-0005-0000-0000-00006A440000}"/>
    <cellStyle name="Output 2 4 16" xfId="13982" xr:uid="{00000000-0005-0000-0000-00006B440000}"/>
    <cellStyle name="Output 2 4 17" xfId="17893" xr:uid="{00000000-0005-0000-0000-00006C440000}"/>
    <cellStyle name="Output 2 4 18" xfId="19453" xr:uid="{00000000-0005-0000-0000-00006D440000}"/>
    <cellStyle name="Output 2 4 2" xfId="981" xr:uid="{00000000-0005-0000-0000-00006E440000}"/>
    <cellStyle name="Output 2 4 2 2" xfId="12710" xr:uid="{00000000-0005-0000-0000-00006F440000}"/>
    <cellStyle name="Output 2 4 2 3" xfId="14804" xr:uid="{00000000-0005-0000-0000-000070440000}"/>
    <cellStyle name="Output 2 4 2 4" xfId="17406" xr:uid="{00000000-0005-0000-0000-000071440000}"/>
    <cellStyle name="Output 2 4 2 5" xfId="16800" xr:uid="{00000000-0005-0000-0000-000072440000}"/>
    <cellStyle name="Output 2 4 2 6" xfId="19358" xr:uid="{00000000-0005-0000-0000-000073440000}"/>
    <cellStyle name="Output 2 4 3" xfId="4054" xr:uid="{00000000-0005-0000-0000-000074440000}"/>
    <cellStyle name="Output 2 4 4" xfId="6915" xr:uid="{00000000-0005-0000-0000-000075440000}"/>
    <cellStyle name="Output 2 4 5" xfId="8405" xr:uid="{00000000-0005-0000-0000-000076440000}"/>
    <cellStyle name="Output 2 4 6" xfId="9003" xr:uid="{00000000-0005-0000-0000-000077440000}"/>
    <cellStyle name="Output 2 4 7" xfId="9602" xr:uid="{00000000-0005-0000-0000-000078440000}"/>
    <cellStyle name="Output 2 4 8" xfId="10029" xr:uid="{00000000-0005-0000-0000-000079440000}"/>
    <cellStyle name="Output 2 4 9" xfId="10441" xr:uid="{00000000-0005-0000-0000-00007A440000}"/>
    <cellStyle name="Output 2 5" xfId="2885" xr:uid="{00000000-0005-0000-0000-00007B440000}"/>
    <cellStyle name="Output 2 5 2" xfId="6916" xr:uid="{00000000-0005-0000-0000-00007C440000}"/>
    <cellStyle name="Output 2 5 3" xfId="13429" xr:uid="{00000000-0005-0000-0000-00007D440000}"/>
    <cellStyle name="Output 2 5 4" xfId="15693" xr:uid="{00000000-0005-0000-0000-00007E440000}"/>
    <cellStyle name="Output 2 5 5" xfId="15921" xr:uid="{00000000-0005-0000-0000-00007F440000}"/>
    <cellStyle name="Output 2 5 6" xfId="18051" xr:uid="{00000000-0005-0000-0000-000080440000}"/>
    <cellStyle name="Output 2 5 7" xfId="18381" xr:uid="{00000000-0005-0000-0000-000081440000}"/>
    <cellStyle name="Output 2 6" xfId="6917" xr:uid="{00000000-0005-0000-0000-000082440000}"/>
    <cellStyle name="Output 2 7" xfId="6918" xr:uid="{00000000-0005-0000-0000-000083440000}"/>
    <cellStyle name="Output 2 8" xfId="6919" xr:uid="{00000000-0005-0000-0000-000084440000}"/>
    <cellStyle name="Output 2 9" xfId="6920" xr:uid="{00000000-0005-0000-0000-000085440000}"/>
    <cellStyle name="Output 20" xfId="6921" xr:uid="{00000000-0005-0000-0000-000086440000}"/>
    <cellStyle name="Output 21" xfId="6922" xr:uid="{00000000-0005-0000-0000-000087440000}"/>
    <cellStyle name="Output 22" xfId="6923" xr:uid="{00000000-0005-0000-0000-000088440000}"/>
    <cellStyle name="Output 23" xfId="6924" xr:uid="{00000000-0005-0000-0000-000089440000}"/>
    <cellStyle name="Output 24" xfId="6925" xr:uid="{00000000-0005-0000-0000-00008A440000}"/>
    <cellStyle name="Output 25" xfId="12163" xr:uid="{00000000-0005-0000-0000-00008B440000}"/>
    <cellStyle name="Output 3" xfId="250" xr:uid="{00000000-0005-0000-0000-00008C440000}"/>
    <cellStyle name="Output 3 10" xfId="8296" xr:uid="{00000000-0005-0000-0000-00008D440000}"/>
    <cellStyle name="Output 3 11" xfId="8918" xr:uid="{00000000-0005-0000-0000-00008E440000}"/>
    <cellStyle name="Output 3 12" xfId="8752" xr:uid="{00000000-0005-0000-0000-00008F440000}"/>
    <cellStyle name="Output 3 13" xfId="9042" xr:uid="{00000000-0005-0000-0000-000090440000}"/>
    <cellStyle name="Output 3 14" xfId="9139" xr:uid="{00000000-0005-0000-0000-000091440000}"/>
    <cellStyle name="Output 3 15" xfId="8674" xr:uid="{00000000-0005-0000-0000-000092440000}"/>
    <cellStyle name="Output 3 16" xfId="12221" xr:uid="{00000000-0005-0000-0000-000093440000}"/>
    <cellStyle name="Output 3 17" xfId="16537" xr:uid="{00000000-0005-0000-0000-000094440000}"/>
    <cellStyle name="Output 3 18" xfId="17655" xr:uid="{00000000-0005-0000-0000-000095440000}"/>
    <cellStyle name="Output 3 19" xfId="17673" xr:uid="{00000000-0005-0000-0000-000096440000}"/>
    <cellStyle name="Output 3 2" xfId="603" xr:uid="{00000000-0005-0000-0000-000097440000}"/>
    <cellStyle name="Output 3 2 10" xfId="10346" xr:uid="{00000000-0005-0000-0000-000098440000}"/>
    <cellStyle name="Output 3 2 11" xfId="10785" xr:uid="{00000000-0005-0000-0000-000099440000}"/>
    <cellStyle name="Output 3 2 12" xfId="11070" xr:uid="{00000000-0005-0000-0000-00009A440000}"/>
    <cellStyle name="Output 3 2 13" xfId="11457" xr:uid="{00000000-0005-0000-0000-00009B440000}"/>
    <cellStyle name="Output 3 2 14" xfId="11829" xr:uid="{00000000-0005-0000-0000-00009C440000}"/>
    <cellStyle name="Output 3 2 15" xfId="12342" xr:uid="{00000000-0005-0000-0000-00009D440000}"/>
    <cellStyle name="Output 3 2 16" xfId="16687" xr:uid="{00000000-0005-0000-0000-00009E440000}"/>
    <cellStyle name="Output 3 2 17" xfId="14054" xr:uid="{00000000-0005-0000-0000-00009F440000}"/>
    <cellStyle name="Output 3 2 18" xfId="14605" xr:uid="{00000000-0005-0000-0000-0000A0440000}"/>
    <cellStyle name="Output 3 2 19" xfId="19600" xr:uid="{00000000-0005-0000-0000-0000A1440000}"/>
    <cellStyle name="Output 3 2 2" xfId="818" xr:uid="{00000000-0005-0000-0000-0000A2440000}"/>
    <cellStyle name="Output 3 2 2 10" xfId="11279" xr:uid="{00000000-0005-0000-0000-0000A3440000}"/>
    <cellStyle name="Output 3 2 2 11" xfId="11664" xr:uid="{00000000-0005-0000-0000-0000A4440000}"/>
    <cellStyle name="Output 3 2 2 12" xfId="12035" xr:uid="{00000000-0005-0000-0000-0000A5440000}"/>
    <cellStyle name="Output 3 2 2 13" xfId="12548" xr:uid="{00000000-0005-0000-0000-0000A6440000}"/>
    <cellStyle name="Output 3 2 2 14" xfId="14155" xr:uid="{00000000-0005-0000-0000-0000A7440000}"/>
    <cellStyle name="Output 3 2 2 15" xfId="14676" xr:uid="{00000000-0005-0000-0000-0000A8440000}"/>
    <cellStyle name="Output 3 2 2 16" xfId="18481" xr:uid="{00000000-0005-0000-0000-0000A9440000}"/>
    <cellStyle name="Output 3 2 2 17" xfId="18451" xr:uid="{00000000-0005-0000-0000-0000AA440000}"/>
    <cellStyle name="Output 3 2 2 2" xfId="946" xr:uid="{00000000-0005-0000-0000-0000AB440000}"/>
    <cellStyle name="Output 3 2 2 2 2" xfId="12675" xr:uid="{00000000-0005-0000-0000-0000AC440000}"/>
    <cellStyle name="Output 3 2 2 2 3" xfId="15262" xr:uid="{00000000-0005-0000-0000-0000AD440000}"/>
    <cellStyle name="Output 3 2 2 2 4" xfId="17435" xr:uid="{00000000-0005-0000-0000-0000AE440000}"/>
    <cellStyle name="Output 3 2 2 2 5" xfId="15737" xr:uid="{00000000-0005-0000-0000-0000AF440000}"/>
    <cellStyle name="Output 3 2 2 2 6" xfId="19387" xr:uid="{00000000-0005-0000-0000-0000B0440000}"/>
    <cellStyle name="Output 3 2 2 3" xfId="3557" xr:uid="{00000000-0005-0000-0000-0000B1440000}"/>
    <cellStyle name="Output 3 2 2 4" xfId="8468" xr:uid="{00000000-0005-0000-0000-0000B2440000}"/>
    <cellStyle name="Output 3 2 2 5" xfId="8628" xr:uid="{00000000-0005-0000-0000-0000B3440000}"/>
    <cellStyle name="Output 3 2 2 6" xfId="9719" xr:uid="{00000000-0005-0000-0000-0000B4440000}"/>
    <cellStyle name="Output 3 2 2 7" xfId="10148" xr:uid="{00000000-0005-0000-0000-0000B5440000}"/>
    <cellStyle name="Output 3 2 2 8" xfId="10560" xr:uid="{00000000-0005-0000-0000-0000B6440000}"/>
    <cellStyle name="Output 3 2 2 9" xfId="10701" xr:uid="{00000000-0005-0000-0000-0000B7440000}"/>
    <cellStyle name="Output 3 2 3" xfId="1006" xr:uid="{00000000-0005-0000-0000-0000B8440000}"/>
    <cellStyle name="Output 3 2 3 2" xfId="12735" xr:uid="{00000000-0005-0000-0000-0000B9440000}"/>
    <cellStyle name="Output 3 2 3 3" xfId="14761" xr:uid="{00000000-0005-0000-0000-0000BA440000}"/>
    <cellStyle name="Output 3 2 3 4" xfId="17391" xr:uid="{00000000-0005-0000-0000-0000BB440000}"/>
    <cellStyle name="Output 3 2 3 5" xfId="17003" xr:uid="{00000000-0005-0000-0000-0000BC440000}"/>
    <cellStyle name="Output 3 2 3 6" xfId="17642" xr:uid="{00000000-0005-0000-0000-0000BD440000}"/>
    <cellStyle name="Output 3 2 4" xfId="3802" xr:uid="{00000000-0005-0000-0000-0000BE440000}"/>
    <cellStyle name="Output 3 2 5" xfId="6927" xr:uid="{00000000-0005-0000-0000-0000BF440000}"/>
    <cellStyle name="Output 3 2 6" xfId="8359" xr:uid="{00000000-0005-0000-0000-0000C0440000}"/>
    <cellStyle name="Output 3 2 7" xfId="9211" xr:uid="{00000000-0005-0000-0000-0000C1440000}"/>
    <cellStyle name="Output 3 2 8" xfId="9507" xr:uid="{00000000-0005-0000-0000-0000C2440000}"/>
    <cellStyle name="Output 3 2 9" xfId="9934" xr:uid="{00000000-0005-0000-0000-0000C3440000}"/>
    <cellStyle name="Output 3 20" xfId="19514" xr:uid="{00000000-0005-0000-0000-0000C4440000}"/>
    <cellStyle name="Output 3 3" xfId="654" xr:uid="{00000000-0005-0000-0000-0000C5440000}"/>
    <cellStyle name="Output 3 3 10" xfId="10397" xr:uid="{00000000-0005-0000-0000-0000C6440000}"/>
    <cellStyle name="Output 3 3 11" xfId="9610" xr:uid="{00000000-0005-0000-0000-0000C7440000}"/>
    <cellStyle name="Output 3 3 12" xfId="11121" xr:uid="{00000000-0005-0000-0000-0000C8440000}"/>
    <cellStyle name="Output 3 3 13" xfId="11508" xr:uid="{00000000-0005-0000-0000-0000C9440000}"/>
    <cellStyle name="Output 3 3 14" xfId="11880" xr:uid="{00000000-0005-0000-0000-0000CA440000}"/>
    <cellStyle name="Output 3 3 15" xfId="12393" xr:uid="{00000000-0005-0000-0000-0000CB440000}"/>
    <cellStyle name="Output 3 3 16" xfId="14041" xr:uid="{00000000-0005-0000-0000-0000CC440000}"/>
    <cellStyle name="Output 3 3 17" xfId="15036" xr:uid="{00000000-0005-0000-0000-0000CD440000}"/>
    <cellStyle name="Output 3 3 18" xfId="14219" xr:uid="{00000000-0005-0000-0000-0000CE440000}"/>
    <cellStyle name="Output 3 3 19" xfId="14199" xr:uid="{00000000-0005-0000-0000-0000CF440000}"/>
    <cellStyle name="Output 3 3 2" xfId="869" xr:uid="{00000000-0005-0000-0000-0000D0440000}"/>
    <cellStyle name="Output 3 3 2 10" xfId="11330" xr:uid="{00000000-0005-0000-0000-0000D1440000}"/>
    <cellStyle name="Output 3 3 2 11" xfId="11715" xr:uid="{00000000-0005-0000-0000-0000D2440000}"/>
    <cellStyle name="Output 3 3 2 12" xfId="12086" xr:uid="{00000000-0005-0000-0000-0000D3440000}"/>
    <cellStyle name="Output 3 3 2 13" xfId="12599" xr:uid="{00000000-0005-0000-0000-0000D4440000}"/>
    <cellStyle name="Output 3 3 2 14" xfId="14503" xr:uid="{00000000-0005-0000-0000-0000D5440000}"/>
    <cellStyle name="Output 3 3 2 15" xfId="17464" xr:uid="{00000000-0005-0000-0000-0000D6440000}"/>
    <cellStyle name="Output 3 3 2 16" xfId="16357" xr:uid="{00000000-0005-0000-0000-0000D7440000}"/>
    <cellStyle name="Output 3 3 2 17" xfId="18725" xr:uid="{00000000-0005-0000-0000-0000D8440000}"/>
    <cellStyle name="Output 3 3 2 2" xfId="1015" xr:uid="{00000000-0005-0000-0000-0000D9440000}"/>
    <cellStyle name="Output 3 3 2 2 2" xfId="12744" xr:uid="{00000000-0005-0000-0000-0000DA440000}"/>
    <cellStyle name="Output 3 3 2 2 3" xfId="14372" xr:uid="{00000000-0005-0000-0000-0000DB440000}"/>
    <cellStyle name="Output 3 3 2 2 4" xfId="17388" xr:uid="{00000000-0005-0000-0000-0000DC440000}"/>
    <cellStyle name="Output 3 3 2 2 5" xfId="15679" xr:uid="{00000000-0005-0000-0000-0000DD440000}"/>
    <cellStyle name="Output 3 3 2 2 6" xfId="17531" xr:uid="{00000000-0005-0000-0000-0000DE440000}"/>
    <cellStyle name="Output 3 3 2 3" xfId="3414" xr:uid="{00000000-0005-0000-0000-0000DF440000}"/>
    <cellStyle name="Output 3 3 2 4" xfId="8490" xr:uid="{00000000-0005-0000-0000-0000E0440000}"/>
    <cellStyle name="Output 3 3 2 5" xfId="9342" xr:uid="{00000000-0005-0000-0000-0000E1440000}"/>
    <cellStyle name="Output 3 3 2 6" xfId="9770" xr:uid="{00000000-0005-0000-0000-0000E2440000}"/>
    <cellStyle name="Output 3 3 2 7" xfId="10199" xr:uid="{00000000-0005-0000-0000-0000E3440000}"/>
    <cellStyle name="Output 3 3 2 8" xfId="10611" xr:uid="{00000000-0005-0000-0000-0000E4440000}"/>
    <cellStyle name="Output 3 3 2 9" xfId="9112" xr:uid="{00000000-0005-0000-0000-0000E5440000}"/>
    <cellStyle name="Output 3 3 3" xfId="1174" xr:uid="{00000000-0005-0000-0000-0000E6440000}"/>
    <cellStyle name="Output 3 3 3 2" xfId="12903" xr:uid="{00000000-0005-0000-0000-0000E7440000}"/>
    <cellStyle name="Output 3 3 3 3" xfId="15347" xr:uid="{00000000-0005-0000-0000-0000E8440000}"/>
    <cellStyle name="Output 3 3 3 4" xfId="17278" xr:uid="{00000000-0005-0000-0000-0000E9440000}"/>
    <cellStyle name="Output 3 3 3 5" xfId="14530" xr:uid="{00000000-0005-0000-0000-0000EA440000}"/>
    <cellStyle name="Output 3 3 3 6" xfId="19230" xr:uid="{00000000-0005-0000-0000-0000EB440000}"/>
    <cellStyle name="Output 3 3 4" xfId="4204" xr:uid="{00000000-0005-0000-0000-0000EC440000}"/>
    <cellStyle name="Output 3 3 5" xfId="6928" xr:uid="{00000000-0005-0000-0000-0000ED440000}"/>
    <cellStyle name="Output 3 3 6" xfId="8380" xr:uid="{00000000-0005-0000-0000-0000EE440000}"/>
    <cellStyle name="Output 3 3 7" xfId="9257" xr:uid="{00000000-0005-0000-0000-0000EF440000}"/>
    <cellStyle name="Output 3 3 8" xfId="9558" xr:uid="{00000000-0005-0000-0000-0000F0440000}"/>
    <cellStyle name="Output 3 3 9" xfId="9985" xr:uid="{00000000-0005-0000-0000-0000F1440000}"/>
    <cellStyle name="Output 3 4" xfId="704" xr:uid="{00000000-0005-0000-0000-0000F2440000}"/>
    <cellStyle name="Output 3 4 10" xfId="8698" xr:uid="{00000000-0005-0000-0000-0000F3440000}"/>
    <cellStyle name="Output 3 4 11" xfId="11170" xr:uid="{00000000-0005-0000-0000-0000F4440000}"/>
    <cellStyle name="Output 3 4 12" xfId="11557" xr:uid="{00000000-0005-0000-0000-0000F5440000}"/>
    <cellStyle name="Output 3 4 13" xfId="11929" xr:uid="{00000000-0005-0000-0000-0000F6440000}"/>
    <cellStyle name="Output 3 4 14" xfId="12442" xr:uid="{00000000-0005-0000-0000-0000F7440000}"/>
    <cellStyle name="Output 3 4 15" xfId="14715" xr:uid="{00000000-0005-0000-0000-0000F8440000}"/>
    <cellStyle name="Output 3 4 16" xfId="17503" xr:uid="{00000000-0005-0000-0000-0000F9440000}"/>
    <cellStyle name="Output 3 4 17" xfId="17571" xr:uid="{00000000-0005-0000-0000-0000FA440000}"/>
    <cellStyle name="Output 3 4 18" xfId="15465" xr:uid="{00000000-0005-0000-0000-0000FB440000}"/>
    <cellStyle name="Output 3 4 2" xfId="1328" xr:uid="{00000000-0005-0000-0000-0000FC440000}"/>
    <cellStyle name="Output 3 4 2 2" xfId="13057" xr:uid="{00000000-0005-0000-0000-0000FD440000}"/>
    <cellStyle name="Output 3 4 2 3" xfId="14149" xr:uid="{00000000-0005-0000-0000-0000FE440000}"/>
    <cellStyle name="Output 3 4 2 4" xfId="17165" xr:uid="{00000000-0005-0000-0000-0000FF440000}"/>
    <cellStyle name="Output 3 4 2 5" xfId="15849" xr:uid="{00000000-0005-0000-0000-000000450000}"/>
    <cellStyle name="Output 3 4 2 6" xfId="19117" xr:uid="{00000000-0005-0000-0000-000001450000}"/>
    <cellStyle name="Output 3 4 3" xfId="3489" xr:uid="{00000000-0005-0000-0000-000002450000}"/>
    <cellStyle name="Output 3 4 4" xfId="6929" xr:uid="{00000000-0005-0000-0000-000003450000}"/>
    <cellStyle name="Output 3 4 5" xfId="8410" xr:uid="{00000000-0005-0000-0000-000004450000}"/>
    <cellStyle name="Output 3 4 6" xfId="9128" xr:uid="{00000000-0005-0000-0000-000005450000}"/>
    <cellStyle name="Output 3 4 7" xfId="9607" xr:uid="{00000000-0005-0000-0000-000006450000}"/>
    <cellStyle name="Output 3 4 8" xfId="10034" xr:uid="{00000000-0005-0000-0000-000007450000}"/>
    <cellStyle name="Output 3 4 9" xfId="10446" xr:uid="{00000000-0005-0000-0000-000008450000}"/>
    <cellStyle name="Output 3 5" xfId="6930" xr:uid="{00000000-0005-0000-0000-000009450000}"/>
    <cellStyle name="Output 3 6" xfId="6931" xr:uid="{00000000-0005-0000-0000-00000A450000}"/>
    <cellStyle name="Output 3 7" xfId="6932" xr:uid="{00000000-0005-0000-0000-00000B450000}"/>
    <cellStyle name="Output 3 8" xfId="6933" xr:uid="{00000000-0005-0000-0000-00000C450000}"/>
    <cellStyle name="Output 3 9" xfId="6926" xr:uid="{00000000-0005-0000-0000-00000D450000}"/>
    <cellStyle name="Output 4" xfId="6934" xr:uid="{00000000-0005-0000-0000-00000E450000}"/>
    <cellStyle name="Output 4 2" xfId="6935" xr:uid="{00000000-0005-0000-0000-00000F450000}"/>
    <cellStyle name="Output 4 3" xfId="6936" xr:uid="{00000000-0005-0000-0000-000010450000}"/>
    <cellStyle name="Output 4 4" xfId="6937" xr:uid="{00000000-0005-0000-0000-000011450000}"/>
    <cellStyle name="Output 5" xfId="6938" xr:uid="{00000000-0005-0000-0000-000012450000}"/>
    <cellStyle name="Output 5 2" xfId="6939" xr:uid="{00000000-0005-0000-0000-000013450000}"/>
    <cellStyle name="Output 5 3" xfId="6940" xr:uid="{00000000-0005-0000-0000-000014450000}"/>
    <cellStyle name="Output 5 4" xfId="6941" xr:uid="{00000000-0005-0000-0000-000015450000}"/>
    <cellStyle name="Output 6" xfId="6942" xr:uid="{00000000-0005-0000-0000-000016450000}"/>
    <cellStyle name="Output 6 2" xfId="6943" xr:uid="{00000000-0005-0000-0000-000017450000}"/>
    <cellStyle name="Output 6 3" xfId="6944" xr:uid="{00000000-0005-0000-0000-000018450000}"/>
    <cellStyle name="Output 7" xfId="6945" xr:uid="{00000000-0005-0000-0000-000019450000}"/>
    <cellStyle name="Output 7 2" xfId="6946" xr:uid="{00000000-0005-0000-0000-00001A450000}"/>
    <cellStyle name="Output 8" xfId="6947" xr:uid="{00000000-0005-0000-0000-00001B450000}"/>
    <cellStyle name="Output 8 2" xfId="6948" xr:uid="{00000000-0005-0000-0000-00001C450000}"/>
    <cellStyle name="Output 9" xfId="6949" xr:uid="{00000000-0005-0000-0000-00001D450000}"/>
    <cellStyle name="Pattern" xfId="187" xr:uid="{00000000-0005-0000-0000-00001E450000}"/>
    <cellStyle name="Pattern 2" xfId="447" xr:uid="{00000000-0005-0000-0000-00001F450000}"/>
    <cellStyle name="Pattern 2 2" xfId="590" xr:uid="{00000000-0005-0000-0000-000020450000}"/>
    <cellStyle name="Pattern 2 2 10" xfId="11057" xr:uid="{00000000-0005-0000-0000-000021450000}"/>
    <cellStyle name="Pattern 2 2 11" xfId="11444" xr:uid="{00000000-0005-0000-0000-000022450000}"/>
    <cellStyle name="Pattern 2 2 12" xfId="11816" xr:uid="{00000000-0005-0000-0000-000023450000}"/>
    <cellStyle name="Pattern 2 2 13" xfId="12329" xr:uid="{00000000-0005-0000-0000-000024450000}"/>
    <cellStyle name="Pattern 2 2 14" xfId="15204" xr:uid="{00000000-0005-0000-0000-000025450000}"/>
    <cellStyle name="Pattern 2 2 15" xfId="16579" xr:uid="{00000000-0005-0000-0000-000026450000}"/>
    <cellStyle name="Pattern 2 2 16" xfId="16962" xr:uid="{00000000-0005-0000-0000-000027450000}"/>
    <cellStyle name="Pattern 2 2 17" xfId="19465" xr:uid="{00000000-0005-0000-0000-000028450000}"/>
    <cellStyle name="Pattern 2 2 2" xfId="805" xr:uid="{00000000-0005-0000-0000-000029450000}"/>
    <cellStyle name="Pattern 2 2 2 10" xfId="11651" xr:uid="{00000000-0005-0000-0000-00002A450000}"/>
    <cellStyle name="Pattern 2 2 2 11" xfId="12022" xr:uid="{00000000-0005-0000-0000-00002B450000}"/>
    <cellStyle name="Pattern 2 2 2 12" xfId="12535" xr:uid="{00000000-0005-0000-0000-00002C450000}"/>
    <cellStyle name="Pattern 2 2 2 13" xfId="14716" xr:uid="{00000000-0005-0000-0000-00002D450000}"/>
    <cellStyle name="Pattern 2 2 2 14" xfId="17467" xr:uid="{00000000-0005-0000-0000-00002E450000}"/>
    <cellStyle name="Pattern 2 2 2 15" xfId="15015" xr:uid="{00000000-0005-0000-0000-00002F450000}"/>
    <cellStyle name="Pattern 2 2 2 16" xfId="17088" xr:uid="{00000000-0005-0000-0000-000030450000}"/>
    <cellStyle name="Pattern 2 2 2 2" xfId="1381" xr:uid="{00000000-0005-0000-0000-000031450000}"/>
    <cellStyle name="Pattern 2 2 2 2 2" xfId="13110" xr:uid="{00000000-0005-0000-0000-000032450000}"/>
    <cellStyle name="Pattern 2 2 2 2 3" xfId="13782" xr:uid="{00000000-0005-0000-0000-000033450000}"/>
    <cellStyle name="Pattern 2 2 2 2 4" xfId="17127" xr:uid="{00000000-0005-0000-0000-000034450000}"/>
    <cellStyle name="Pattern 2 2 2 2 5" xfId="14079" xr:uid="{00000000-0005-0000-0000-000035450000}"/>
    <cellStyle name="Pattern 2 2 2 2 6" xfId="19079" xr:uid="{00000000-0005-0000-0000-000036450000}"/>
    <cellStyle name="Pattern 2 2 2 3" xfId="3617" xr:uid="{00000000-0005-0000-0000-000037450000}"/>
    <cellStyle name="Pattern 2 2 2 4" xfId="8766" xr:uid="{00000000-0005-0000-0000-000038450000}"/>
    <cellStyle name="Pattern 2 2 2 5" xfId="9706" xr:uid="{00000000-0005-0000-0000-000039450000}"/>
    <cellStyle name="Pattern 2 2 2 6" xfId="10135" xr:uid="{00000000-0005-0000-0000-00003A450000}"/>
    <cellStyle name="Pattern 2 2 2 7" xfId="10547" xr:uid="{00000000-0005-0000-0000-00003B450000}"/>
    <cellStyle name="Pattern 2 2 2 8" xfId="10240" xr:uid="{00000000-0005-0000-0000-00003C450000}"/>
    <cellStyle name="Pattern 2 2 2 9" xfId="11266" xr:uid="{00000000-0005-0000-0000-00003D450000}"/>
    <cellStyle name="Pattern 2 2 3" xfId="1377" xr:uid="{00000000-0005-0000-0000-00003E450000}"/>
    <cellStyle name="Pattern 2 2 3 2" xfId="13106" xr:uid="{00000000-0005-0000-0000-00003F450000}"/>
    <cellStyle name="Pattern 2 2 3 3" xfId="15428" xr:uid="{00000000-0005-0000-0000-000040450000}"/>
    <cellStyle name="Pattern 2 2 3 4" xfId="17131" xr:uid="{00000000-0005-0000-0000-000041450000}"/>
    <cellStyle name="Pattern 2 2 3 5" xfId="17552" xr:uid="{00000000-0005-0000-0000-000042450000}"/>
    <cellStyle name="Pattern 2 2 3 6" xfId="19083" xr:uid="{00000000-0005-0000-0000-000043450000}"/>
    <cellStyle name="Pattern 2 2 4" xfId="4201" xr:uid="{00000000-0005-0000-0000-000044450000}"/>
    <cellStyle name="Pattern 2 2 5" xfId="8618" xr:uid="{00000000-0005-0000-0000-000045450000}"/>
    <cellStyle name="Pattern 2 2 6" xfId="9494" xr:uid="{00000000-0005-0000-0000-000046450000}"/>
    <cellStyle name="Pattern 2 2 7" xfId="9921" xr:uid="{00000000-0005-0000-0000-000047450000}"/>
    <cellStyle name="Pattern 2 2 8" xfId="10333" xr:uid="{00000000-0005-0000-0000-000048450000}"/>
    <cellStyle name="Pattern 2 2 9" xfId="8996" xr:uid="{00000000-0005-0000-0000-000049450000}"/>
    <cellStyle name="Pattern 2 3" xfId="736" xr:uid="{00000000-0005-0000-0000-00004A450000}"/>
    <cellStyle name="Pattern 2 3 10" xfId="11582" xr:uid="{00000000-0005-0000-0000-00004B450000}"/>
    <cellStyle name="Pattern 2 3 11" xfId="11953" xr:uid="{00000000-0005-0000-0000-00004C450000}"/>
    <cellStyle name="Pattern 2 3 12" xfId="12466" xr:uid="{00000000-0005-0000-0000-00004D450000}"/>
    <cellStyle name="Pattern 2 3 13" xfId="13888" xr:uid="{00000000-0005-0000-0000-00004E450000}"/>
    <cellStyle name="Pattern 2 3 14" xfId="16457" xr:uid="{00000000-0005-0000-0000-00004F450000}"/>
    <cellStyle name="Pattern 2 3 15" xfId="17041" xr:uid="{00000000-0005-0000-0000-000050450000}"/>
    <cellStyle name="Pattern 2 3 16" xfId="19436" xr:uid="{00000000-0005-0000-0000-000051450000}"/>
    <cellStyle name="Pattern 2 3 2" xfId="986" xr:uid="{00000000-0005-0000-0000-000052450000}"/>
    <cellStyle name="Pattern 2 3 2 2" xfId="12715" xr:uid="{00000000-0005-0000-0000-000053450000}"/>
    <cellStyle name="Pattern 2 3 2 3" xfId="15284" xr:uid="{00000000-0005-0000-0000-000054450000}"/>
    <cellStyle name="Pattern 2 3 2 4" xfId="14869" xr:uid="{00000000-0005-0000-0000-000055450000}"/>
    <cellStyle name="Pattern 2 3 2 5" xfId="15848" xr:uid="{00000000-0005-0000-0000-000056450000}"/>
    <cellStyle name="Pattern 2 3 2 6" xfId="19354" xr:uid="{00000000-0005-0000-0000-000057450000}"/>
    <cellStyle name="Pattern 2 3 3" xfId="4005" xr:uid="{00000000-0005-0000-0000-000058450000}"/>
    <cellStyle name="Pattern 2 3 4" xfId="8853" xr:uid="{00000000-0005-0000-0000-000059450000}"/>
    <cellStyle name="Pattern 2 3 5" xfId="9637" xr:uid="{00000000-0005-0000-0000-00005A450000}"/>
    <cellStyle name="Pattern 2 3 6" xfId="10066" xr:uid="{00000000-0005-0000-0000-00005B450000}"/>
    <cellStyle name="Pattern 2 3 7" xfId="10478" xr:uid="{00000000-0005-0000-0000-00005C450000}"/>
    <cellStyle name="Pattern 2 3 8" xfId="8942" xr:uid="{00000000-0005-0000-0000-00005D450000}"/>
    <cellStyle name="Pattern 2 3 9" xfId="11197" xr:uid="{00000000-0005-0000-0000-00005E450000}"/>
    <cellStyle name="Pattern 3" xfId="296" xr:uid="{00000000-0005-0000-0000-00005F450000}"/>
    <cellStyle name="Pattern 3 10" xfId="9387" xr:uid="{00000000-0005-0000-0000-000060450000}"/>
    <cellStyle name="Pattern 3 11" xfId="10694" xr:uid="{00000000-0005-0000-0000-000061450000}"/>
    <cellStyle name="Pattern 3 12" xfId="10762" xr:uid="{00000000-0005-0000-0000-000062450000}"/>
    <cellStyle name="Pattern 3 13" xfId="9066" xr:uid="{00000000-0005-0000-0000-000063450000}"/>
    <cellStyle name="Pattern 3 14" xfId="9852" xr:uid="{00000000-0005-0000-0000-000064450000}"/>
    <cellStyle name="Pattern 3 15" xfId="12244" xr:uid="{00000000-0005-0000-0000-000065450000}"/>
    <cellStyle name="Pattern 3 16" xfId="16499" xr:uid="{00000000-0005-0000-0000-000066450000}"/>
    <cellStyle name="Pattern 3 17" xfId="17613" xr:uid="{00000000-0005-0000-0000-000067450000}"/>
    <cellStyle name="Pattern 3 18" xfId="16947" xr:uid="{00000000-0005-0000-0000-000068450000}"/>
    <cellStyle name="Pattern 3 19" xfId="19491" xr:uid="{00000000-0005-0000-0000-000069450000}"/>
    <cellStyle name="Pattern 3 2" xfId="633" xr:uid="{00000000-0005-0000-0000-00006A450000}"/>
    <cellStyle name="Pattern 3 2 10" xfId="11100" xr:uid="{00000000-0005-0000-0000-00006B450000}"/>
    <cellStyle name="Pattern 3 2 11" xfId="11487" xr:uid="{00000000-0005-0000-0000-00006C450000}"/>
    <cellStyle name="Pattern 3 2 12" xfId="11859" xr:uid="{00000000-0005-0000-0000-00006D450000}"/>
    <cellStyle name="Pattern 3 2 13" xfId="12372" xr:uid="{00000000-0005-0000-0000-00006E450000}"/>
    <cellStyle name="Pattern 3 2 14" xfId="15769" xr:uid="{00000000-0005-0000-0000-00006F450000}"/>
    <cellStyle name="Pattern 3 2 15" xfId="15918" xr:uid="{00000000-0005-0000-0000-000070450000}"/>
    <cellStyle name="Pattern 3 2 16" xfId="14963" xr:uid="{00000000-0005-0000-0000-000071450000}"/>
    <cellStyle name="Pattern 3 2 17" xfId="18235" xr:uid="{00000000-0005-0000-0000-000072450000}"/>
    <cellStyle name="Pattern 3 2 2" xfId="848" xr:uid="{00000000-0005-0000-0000-000073450000}"/>
    <cellStyle name="Pattern 3 2 2 10" xfId="11694" xr:uid="{00000000-0005-0000-0000-000074450000}"/>
    <cellStyle name="Pattern 3 2 2 11" xfId="12065" xr:uid="{00000000-0005-0000-0000-000075450000}"/>
    <cellStyle name="Pattern 3 2 2 12" xfId="12578" xr:uid="{00000000-0005-0000-0000-000076450000}"/>
    <cellStyle name="Pattern 3 2 2 13" xfId="15125" xr:uid="{00000000-0005-0000-0000-000077450000}"/>
    <cellStyle name="Pattern 3 2 2 14" xfId="15981" xr:uid="{00000000-0005-0000-0000-000078450000}"/>
    <cellStyle name="Pattern 3 2 2 15" xfId="18487" xr:uid="{00000000-0005-0000-0000-000079450000}"/>
    <cellStyle name="Pattern 3 2 2 16" xfId="18059" xr:uid="{00000000-0005-0000-0000-00007A450000}"/>
    <cellStyle name="Pattern 3 2 2 2" xfId="1357" xr:uid="{00000000-0005-0000-0000-00007B450000}"/>
    <cellStyle name="Pattern 3 2 2 2 2" xfId="13086" xr:uid="{00000000-0005-0000-0000-00007C450000}"/>
    <cellStyle name="Pattern 3 2 2 2 3" xfId="13902" xr:uid="{00000000-0005-0000-0000-00007D450000}"/>
    <cellStyle name="Pattern 3 2 2 2 4" xfId="17148" xr:uid="{00000000-0005-0000-0000-00007E450000}"/>
    <cellStyle name="Pattern 3 2 2 2 5" xfId="17694" xr:uid="{00000000-0005-0000-0000-00007F450000}"/>
    <cellStyle name="Pattern 3 2 2 2 6" xfId="19100" xr:uid="{00000000-0005-0000-0000-000080450000}"/>
    <cellStyle name="Pattern 3 2 2 3" xfId="4128" xr:uid="{00000000-0005-0000-0000-000081450000}"/>
    <cellStyle name="Pattern 3 2 2 4" xfId="9321" xr:uid="{00000000-0005-0000-0000-000082450000}"/>
    <cellStyle name="Pattern 3 2 2 5" xfId="9749" xr:uid="{00000000-0005-0000-0000-000083450000}"/>
    <cellStyle name="Pattern 3 2 2 6" xfId="10178" xr:uid="{00000000-0005-0000-0000-000084450000}"/>
    <cellStyle name="Pattern 3 2 2 7" xfId="10590" xr:uid="{00000000-0005-0000-0000-000085450000}"/>
    <cellStyle name="Pattern 3 2 2 8" xfId="10929" xr:uid="{00000000-0005-0000-0000-000086450000}"/>
    <cellStyle name="Pattern 3 2 2 9" xfId="11309" xr:uid="{00000000-0005-0000-0000-000087450000}"/>
    <cellStyle name="Pattern 3 2 3" xfId="1348" xr:uid="{00000000-0005-0000-0000-000088450000}"/>
    <cellStyle name="Pattern 3 2 3 2" xfId="13077" xr:uid="{00000000-0005-0000-0000-000089450000}"/>
    <cellStyle name="Pattern 3 2 3 3" xfId="15636" xr:uid="{00000000-0005-0000-0000-00008A450000}"/>
    <cellStyle name="Pattern 3 2 3 4" xfId="17153" xr:uid="{00000000-0005-0000-0000-00008B450000}"/>
    <cellStyle name="Pattern 3 2 3 5" xfId="18153" xr:uid="{00000000-0005-0000-0000-00008C450000}"/>
    <cellStyle name="Pattern 3 2 3 6" xfId="18587" xr:uid="{00000000-0005-0000-0000-00008D450000}"/>
    <cellStyle name="Pattern 3 2 4" xfId="4164" xr:uid="{00000000-0005-0000-0000-00008E450000}"/>
    <cellStyle name="Pattern 3 2 5" xfId="9107" xr:uid="{00000000-0005-0000-0000-00008F450000}"/>
    <cellStyle name="Pattern 3 2 6" xfId="9537" xr:uid="{00000000-0005-0000-0000-000090450000}"/>
    <cellStyle name="Pattern 3 2 7" xfId="9964" xr:uid="{00000000-0005-0000-0000-000091450000}"/>
    <cellStyle name="Pattern 3 2 8" xfId="10376" xr:uid="{00000000-0005-0000-0000-000092450000}"/>
    <cellStyle name="Pattern 3 2 9" xfId="10753" xr:uid="{00000000-0005-0000-0000-000093450000}"/>
    <cellStyle name="Pattern 3 3" xfId="532" xr:uid="{00000000-0005-0000-0000-000094450000}"/>
    <cellStyle name="Pattern 3 3 10" xfId="10999" xr:uid="{00000000-0005-0000-0000-000095450000}"/>
    <cellStyle name="Pattern 3 3 11" xfId="11386" xr:uid="{00000000-0005-0000-0000-000096450000}"/>
    <cellStyle name="Pattern 3 3 12" xfId="11758" xr:uid="{00000000-0005-0000-0000-000097450000}"/>
    <cellStyle name="Pattern 3 3 13" xfId="12271" xr:uid="{00000000-0005-0000-0000-000098450000}"/>
    <cellStyle name="Pattern 3 3 14" xfId="15009" xr:uid="{00000000-0005-0000-0000-000099450000}"/>
    <cellStyle name="Pattern 3 3 15" xfId="14986" xr:uid="{00000000-0005-0000-0000-00009A450000}"/>
    <cellStyle name="Pattern 3 3 16" xfId="15899" xr:uid="{00000000-0005-0000-0000-00009B450000}"/>
    <cellStyle name="Pattern 3 3 17" xfId="17912" xr:uid="{00000000-0005-0000-0000-00009C450000}"/>
    <cellStyle name="Pattern 3 3 2" xfId="747" xr:uid="{00000000-0005-0000-0000-00009D450000}"/>
    <cellStyle name="Pattern 3 3 2 10" xfId="11593" xr:uid="{00000000-0005-0000-0000-00009E450000}"/>
    <cellStyle name="Pattern 3 3 2 11" xfId="11964" xr:uid="{00000000-0005-0000-0000-00009F450000}"/>
    <cellStyle name="Pattern 3 3 2 12" xfId="12477" xr:uid="{00000000-0005-0000-0000-0000A0450000}"/>
    <cellStyle name="Pattern 3 3 2 13" xfId="15622" xr:uid="{00000000-0005-0000-0000-0000A1450000}"/>
    <cellStyle name="Pattern 3 3 2 14" xfId="17478" xr:uid="{00000000-0005-0000-0000-0000A2450000}"/>
    <cellStyle name="Pattern 3 3 2 15" xfId="16771" xr:uid="{00000000-0005-0000-0000-0000A3450000}"/>
    <cellStyle name="Pattern 3 3 2 16" xfId="13933" xr:uid="{00000000-0005-0000-0000-0000A4450000}"/>
    <cellStyle name="Pattern 3 3 2 2" xfId="1099" xr:uid="{00000000-0005-0000-0000-0000A5450000}"/>
    <cellStyle name="Pattern 3 3 2 2 2" xfId="12828" xr:uid="{00000000-0005-0000-0000-0000A6450000}"/>
    <cellStyle name="Pattern 3 3 2 2 3" xfId="14484" xr:uid="{00000000-0005-0000-0000-0000A7450000}"/>
    <cellStyle name="Pattern 3 3 2 2 4" xfId="17336" xr:uid="{00000000-0005-0000-0000-0000A8450000}"/>
    <cellStyle name="Pattern 3 3 2 2 5" xfId="17702" xr:uid="{00000000-0005-0000-0000-0000A9450000}"/>
    <cellStyle name="Pattern 3 3 2 2 6" xfId="19288" xr:uid="{00000000-0005-0000-0000-0000AA450000}"/>
    <cellStyle name="Pattern 3 3 2 3" xfId="3771" xr:uid="{00000000-0005-0000-0000-0000AB450000}"/>
    <cellStyle name="Pattern 3 3 2 4" xfId="8740" xr:uid="{00000000-0005-0000-0000-0000AC450000}"/>
    <cellStyle name="Pattern 3 3 2 5" xfId="9648" xr:uid="{00000000-0005-0000-0000-0000AD450000}"/>
    <cellStyle name="Pattern 3 3 2 6" xfId="10077" xr:uid="{00000000-0005-0000-0000-0000AE450000}"/>
    <cellStyle name="Pattern 3 3 2 7" xfId="10489" xr:uid="{00000000-0005-0000-0000-0000AF450000}"/>
    <cellStyle name="Pattern 3 3 2 8" xfId="8814" xr:uid="{00000000-0005-0000-0000-0000B0450000}"/>
    <cellStyle name="Pattern 3 3 2 9" xfId="11208" xr:uid="{00000000-0005-0000-0000-0000B1450000}"/>
    <cellStyle name="Pattern 3 3 3" xfId="1047" xr:uid="{00000000-0005-0000-0000-0000B2450000}"/>
    <cellStyle name="Pattern 3 3 3 2" xfId="12776" xr:uid="{00000000-0005-0000-0000-0000B3450000}"/>
    <cellStyle name="Pattern 3 3 3 3" xfId="16244" xr:uid="{00000000-0005-0000-0000-0000B4450000}"/>
    <cellStyle name="Pattern 3 3 3 4" xfId="16223" xr:uid="{00000000-0005-0000-0000-0000B5450000}"/>
    <cellStyle name="Pattern 3 3 3 5" xfId="16798" xr:uid="{00000000-0005-0000-0000-0000B6450000}"/>
    <cellStyle name="Pattern 3 3 3 6" xfId="18119" xr:uid="{00000000-0005-0000-0000-0000B7450000}"/>
    <cellStyle name="Pattern 3 3 4" xfId="4018" xr:uid="{00000000-0005-0000-0000-0000B8450000}"/>
    <cellStyle name="Pattern 3 3 5" xfId="9039" xr:uid="{00000000-0005-0000-0000-0000B9450000}"/>
    <cellStyle name="Pattern 3 3 6" xfId="9436" xr:uid="{00000000-0005-0000-0000-0000BA450000}"/>
    <cellStyle name="Pattern 3 3 7" xfId="9863" xr:uid="{00000000-0005-0000-0000-0000BB450000}"/>
    <cellStyle name="Pattern 3 3 8" xfId="10275" xr:uid="{00000000-0005-0000-0000-0000BC450000}"/>
    <cellStyle name="Pattern 3 3 9" xfId="8893" xr:uid="{00000000-0005-0000-0000-0000BD450000}"/>
    <cellStyle name="Pattern 3 4" xfId="646" xr:uid="{00000000-0005-0000-0000-0000BE450000}"/>
    <cellStyle name="Pattern 3 4 10" xfId="11113" xr:uid="{00000000-0005-0000-0000-0000BF450000}"/>
    <cellStyle name="Pattern 3 4 11" xfId="11500" xr:uid="{00000000-0005-0000-0000-0000C0450000}"/>
    <cellStyle name="Pattern 3 4 12" xfId="11872" xr:uid="{00000000-0005-0000-0000-0000C1450000}"/>
    <cellStyle name="Pattern 3 4 13" xfId="12385" xr:uid="{00000000-0005-0000-0000-0000C2450000}"/>
    <cellStyle name="Pattern 3 4 14" xfId="14707" xr:uid="{00000000-0005-0000-0000-0000C3450000}"/>
    <cellStyle name="Pattern 3 4 15" xfId="14562" xr:uid="{00000000-0005-0000-0000-0000C4450000}"/>
    <cellStyle name="Pattern 3 4 16" xfId="18580" xr:uid="{00000000-0005-0000-0000-0000C5450000}"/>
    <cellStyle name="Pattern 3 4 17" xfId="18534" xr:uid="{00000000-0005-0000-0000-0000C6450000}"/>
    <cellStyle name="Pattern 3 4 2" xfId="861" xr:uid="{00000000-0005-0000-0000-0000C7450000}"/>
    <cellStyle name="Pattern 3 4 2 10" xfId="11707" xr:uid="{00000000-0005-0000-0000-0000C8450000}"/>
    <cellStyle name="Pattern 3 4 2 11" xfId="12078" xr:uid="{00000000-0005-0000-0000-0000C9450000}"/>
    <cellStyle name="Pattern 3 4 2 12" xfId="12591" xr:uid="{00000000-0005-0000-0000-0000CA450000}"/>
    <cellStyle name="Pattern 3 4 2 13" xfId="16128" xr:uid="{00000000-0005-0000-0000-0000CB450000}"/>
    <cellStyle name="Pattern 3 4 2 14" xfId="15956" xr:uid="{00000000-0005-0000-0000-0000CC450000}"/>
    <cellStyle name="Pattern 3 4 2 15" xfId="18520" xr:uid="{00000000-0005-0000-0000-0000CD450000}"/>
    <cellStyle name="Pattern 3 4 2 16" xfId="18083" xr:uid="{00000000-0005-0000-0000-0000CE450000}"/>
    <cellStyle name="Pattern 3 4 2 2" xfId="1288" xr:uid="{00000000-0005-0000-0000-0000CF450000}"/>
    <cellStyle name="Pattern 3 4 2 2 2" xfId="13017" xr:uid="{00000000-0005-0000-0000-0000D0450000}"/>
    <cellStyle name="Pattern 3 4 2 2 3" xfId="14836" xr:uid="{00000000-0005-0000-0000-0000D1450000}"/>
    <cellStyle name="Pattern 3 4 2 2 4" xfId="17193" xr:uid="{00000000-0005-0000-0000-0000D2450000}"/>
    <cellStyle name="Pattern 3 4 2 2 5" xfId="18143" xr:uid="{00000000-0005-0000-0000-0000D3450000}"/>
    <cellStyle name="Pattern 3 4 2 2 6" xfId="19145" xr:uid="{00000000-0005-0000-0000-0000D4450000}"/>
    <cellStyle name="Pattern 3 4 2 3" xfId="3634" xr:uid="{00000000-0005-0000-0000-0000D5450000}"/>
    <cellStyle name="Pattern 3 4 2 4" xfId="9334" xr:uid="{00000000-0005-0000-0000-0000D6450000}"/>
    <cellStyle name="Pattern 3 4 2 5" xfId="9762" xr:uid="{00000000-0005-0000-0000-0000D7450000}"/>
    <cellStyle name="Pattern 3 4 2 6" xfId="10191" xr:uid="{00000000-0005-0000-0000-0000D8450000}"/>
    <cellStyle name="Pattern 3 4 2 7" xfId="10603" xr:uid="{00000000-0005-0000-0000-0000D9450000}"/>
    <cellStyle name="Pattern 3 4 2 8" xfId="9392" xr:uid="{00000000-0005-0000-0000-0000DA450000}"/>
    <cellStyle name="Pattern 3 4 2 9" xfId="11322" xr:uid="{00000000-0005-0000-0000-0000DB450000}"/>
    <cellStyle name="Pattern 3 4 3" xfId="1214" xr:uid="{00000000-0005-0000-0000-0000DC450000}"/>
    <cellStyle name="Pattern 3 4 3 2" xfId="12943" xr:uid="{00000000-0005-0000-0000-0000DD450000}"/>
    <cellStyle name="Pattern 3 4 3 3" xfId="15372" xr:uid="{00000000-0005-0000-0000-0000DE450000}"/>
    <cellStyle name="Pattern 3 4 3 4" xfId="17246" xr:uid="{00000000-0005-0000-0000-0000DF450000}"/>
    <cellStyle name="Pattern 3 4 3 5" xfId="13907" xr:uid="{00000000-0005-0000-0000-0000E0450000}"/>
    <cellStyle name="Pattern 3 4 3 6" xfId="19198" xr:uid="{00000000-0005-0000-0000-0000E1450000}"/>
    <cellStyle name="Pattern 3 4 4" xfId="4225" xr:uid="{00000000-0005-0000-0000-0000E2450000}"/>
    <cellStyle name="Pattern 3 4 5" xfId="9166" xr:uid="{00000000-0005-0000-0000-0000E3450000}"/>
    <cellStyle name="Pattern 3 4 6" xfId="9550" xr:uid="{00000000-0005-0000-0000-0000E4450000}"/>
    <cellStyle name="Pattern 3 4 7" xfId="9977" xr:uid="{00000000-0005-0000-0000-0000E5450000}"/>
    <cellStyle name="Pattern 3 4 8" xfId="10389" xr:uid="{00000000-0005-0000-0000-0000E6450000}"/>
    <cellStyle name="Pattern 3 4 9" xfId="10947" xr:uid="{00000000-0005-0000-0000-0000E7450000}"/>
    <cellStyle name="Pattern 3 5" xfId="1140" xr:uid="{00000000-0005-0000-0000-0000E8450000}"/>
    <cellStyle name="Pattern 3 5 2" xfId="12869" xr:uid="{00000000-0005-0000-0000-0000E9450000}"/>
    <cellStyle name="Pattern 3 5 3" xfId="14814" xr:uid="{00000000-0005-0000-0000-0000EA450000}"/>
    <cellStyle name="Pattern 3 5 4" xfId="17305" xr:uid="{00000000-0005-0000-0000-0000EB450000}"/>
    <cellStyle name="Pattern 3 5 5" xfId="13827" xr:uid="{00000000-0005-0000-0000-0000EC450000}"/>
    <cellStyle name="Pattern 3 5 6" xfId="19257" xr:uid="{00000000-0005-0000-0000-0000ED450000}"/>
    <cellStyle name="Pattern 3 6" xfId="3679" xr:uid="{00000000-0005-0000-0000-0000EE450000}"/>
    <cellStyle name="Pattern 3 7" xfId="8569" xr:uid="{00000000-0005-0000-0000-0000EF450000}"/>
    <cellStyle name="Pattern 3 8" xfId="8998" xr:uid="{00000000-0005-0000-0000-0000F0450000}"/>
    <cellStyle name="Pattern 3 9" xfId="9208" xr:uid="{00000000-0005-0000-0000-0000F1450000}"/>
    <cellStyle name="Percent" xfId="1" builtinId="5"/>
    <cellStyle name="Percent [2]" xfId="2886" xr:uid="{00000000-0005-0000-0000-0000F3450000}"/>
    <cellStyle name="Percent [2] U" xfId="2887" xr:uid="{00000000-0005-0000-0000-0000F4450000}"/>
    <cellStyle name="Percent [2]_EY Board Report Nov 10 Template" xfId="2888" xr:uid="{00000000-0005-0000-0000-0000F5450000}"/>
    <cellStyle name="Percent 10" xfId="1798" xr:uid="{00000000-0005-0000-0000-0000F6450000}"/>
    <cellStyle name="Percent 10 2" xfId="1799" xr:uid="{00000000-0005-0000-0000-0000F7450000}"/>
    <cellStyle name="Percent 10 2 2" xfId="1800" xr:uid="{00000000-0005-0000-0000-0000F8450000}"/>
    <cellStyle name="Percent 10 2 2 2" xfId="1801" xr:uid="{00000000-0005-0000-0000-0000F9450000}"/>
    <cellStyle name="Percent 10 2 3" xfId="1802" xr:uid="{00000000-0005-0000-0000-0000FA450000}"/>
    <cellStyle name="Percent 10 2 4" xfId="1803" xr:uid="{00000000-0005-0000-0000-0000FB450000}"/>
    <cellStyle name="Percent 10 3" xfId="1804" xr:uid="{00000000-0005-0000-0000-0000FC450000}"/>
    <cellStyle name="Percent 10 3 2" xfId="1805" xr:uid="{00000000-0005-0000-0000-0000FD450000}"/>
    <cellStyle name="Percent 10 3 2 2" xfId="1806" xr:uid="{00000000-0005-0000-0000-0000FE450000}"/>
    <cellStyle name="Percent 10 3 3" xfId="1807" xr:uid="{00000000-0005-0000-0000-0000FF450000}"/>
    <cellStyle name="Percent 10 3 4" xfId="1808" xr:uid="{00000000-0005-0000-0000-000000460000}"/>
    <cellStyle name="Percent 10 4" xfId="2889" xr:uid="{00000000-0005-0000-0000-000001460000}"/>
    <cellStyle name="Percent 10 5" xfId="2890" xr:uid="{00000000-0005-0000-0000-000002460000}"/>
    <cellStyle name="Percent 11" xfId="1809" xr:uid="{00000000-0005-0000-0000-000003460000}"/>
    <cellStyle name="Percent 11 2" xfId="1810" xr:uid="{00000000-0005-0000-0000-000004460000}"/>
    <cellStyle name="Percent 11 3" xfId="2891" xr:uid="{00000000-0005-0000-0000-000005460000}"/>
    <cellStyle name="Percent 12" xfId="1811" xr:uid="{00000000-0005-0000-0000-000006460000}"/>
    <cellStyle name="Percent 12 2" xfId="2892" xr:uid="{00000000-0005-0000-0000-000007460000}"/>
    <cellStyle name="Percent 13" xfId="1812" xr:uid="{00000000-0005-0000-0000-000008460000}"/>
    <cellStyle name="Percent 13 2" xfId="2893" xr:uid="{00000000-0005-0000-0000-000009460000}"/>
    <cellStyle name="Percent 14" xfId="1813" xr:uid="{00000000-0005-0000-0000-00000A460000}"/>
    <cellStyle name="Percent 14 2" xfId="2894" xr:uid="{00000000-0005-0000-0000-00000B460000}"/>
    <cellStyle name="Percent 15" xfId="1814" xr:uid="{00000000-0005-0000-0000-00000C460000}"/>
    <cellStyle name="Percent 15 2" xfId="2895" xr:uid="{00000000-0005-0000-0000-00000D460000}"/>
    <cellStyle name="Percent 16" xfId="1815" xr:uid="{00000000-0005-0000-0000-00000E460000}"/>
    <cellStyle name="Percent 16 2" xfId="2896" xr:uid="{00000000-0005-0000-0000-00000F460000}"/>
    <cellStyle name="Percent 17" xfId="1409" xr:uid="{00000000-0005-0000-0000-000010460000}"/>
    <cellStyle name="Percent 18" xfId="2897" xr:uid="{00000000-0005-0000-0000-000011460000}"/>
    <cellStyle name="Percent 19" xfId="2898" xr:uid="{00000000-0005-0000-0000-000012460000}"/>
    <cellStyle name="Percent 2" xfId="188" xr:uid="{00000000-0005-0000-0000-000013460000}"/>
    <cellStyle name="Percent 2 2" xfId="448" xr:uid="{00000000-0005-0000-0000-000014460000}"/>
    <cellStyle name="Percent 2 2 2" xfId="1816" xr:uid="{00000000-0005-0000-0000-000015460000}"/>
    <cellStyle name="Percent 2 2 3" xfId="2899" xr:uid="{00000000-0005-0000-0000-000016460000}"/>
    <cellStyle name="Percent 2 2 4" xfId="2900" xr:uid="{00000000-0005-0000-0000-000017460000}"/>
    <cellStyle name="Percent 2 2 5" xfId="2901" xr:uid="{00000000-0005-0000-0000-000018460000}"/>
    <cellStyle name="Percent 2 3" xfId="1817" xr:uid="{00000000-0005-0000-0000-000019460000}"/>
    <cellStyle name="Percent 2 3 2" xfId="1818" xr:uid="{00000000-0005-0000-0000-00001A460000}"/>
    <cellStyle name="Percent 2 4" xfId="1819" xr:uid="{00000000-0005-0000-0000-00001B460000}"/>
    <cellStyle name="Percent 2 4 2" xfId="1820" xr:uid="{00000000-0005-0000-0000-00001C460000}"/>
    <cellStyle name="Percent 2 5" xfId="1821" xr:uid="{00000000-0005-0000-0000-00001D460000}"/>
    <cellStyle name="Percent 2 6" xfId="1822" xr:uid="{00000000-0005-0000-0000-00001E460000}"/>
    <cellStyle name="Percent 2 7" xfId="1823" xr:uid="{00000000-0005-0000-0000-00001F460000}"/>
    <cellStyle name="Percent 2 7 2" xfId="6950" xr:uid="{00000000-0005-0000-0000-000020460000}"/>
    <cellStyle name="Percent 20" xfId="2902" xr:uid="{00000000-0005-0000-0000-000021460000}"/>
    <cellStyle name="Percent 21" xfId="7524" xr:uid="{00000000-0005-0000-0000-000022460000}"/>
    <cellStyle name="Percent 22" xfId="8240" xr:uid="{00000000-0005-0000-0000-000023460000}"/>
    <cellStyle name="Percent 23" xfId="8233" xr:uid="{00000000-0005-0000-0000-000024460000}"/>
    <cellStyle name="Percent 24" xfId="8238" xr:uid="{00000000-0005-0000-0000-000025460000}"/>
    <cellStyle name="Percent 25" xfId="8235" xr:uid="{00000000-0005-0000-0000-000026460000}"/>
    <cellStyle name="Percent 26" xfId="8241" xr:uid="{00000000-0005-0000-0000-000027460000}"/>
    <cellStyle name="Percent 3" xfId="1408" xr:uid="{00000000-0005-0000-0000-000028460000}"/>
    <cellStyle name="Percent 3 2" xfId="1824" xr:uid="{00000000-0005-0000-0000-000029460000}"/>
    <cellStyle name="Percent 3 2 2" xfId="2903" xr:uid="{00000000-0005-0000-0000-00002A460000}"/>
    <cellStyle name="Percent 3 2 3" xfId="2904" xr:uid="{00000000-0005-0000-0000-00002B460000}"/>
    <cellStyle name="Percent 3 2 4" xfId="2905" xr:uid="{00000000-0005-0000-0000-00002C460000}"/>
    <cellStyle name="Percent 3 3" xfId="1825" xr:uid="{00000000-0005-0000-0000-00002D460000}"/>
    <cellStyle name="Percent 3 4" xfId="1826" xr:uid="{00000000-0005-0000-0000-00002E460000}"/>
    <cellStyle name="Percent 3 4 2" xfId="6951" xr:uid="{00000000-0005-0000-0000-00002F460000}"/>
    <cellStyle name="Percent 3 5" xfId="2906" xr:uid="{00000000-0005-0000-0000-000030460000}"/>
    <cellStyle name="Percent 3 5 2" xfId="6952" xr:uid="{00000000-0005-0000-0000-000031460000}"/>
    <cellStyle name="Percent 3 6" xfId="2907" xr:uid="{00000000-0005-0000-0000-000032460000}"/>
    <cellStyle name="Percent 3 6 2" xfId="6953" xr:uid="{00000000-0005-0000-0000-000033460000}"/>
    <cellStyle name="Percent 3 7" xfId="6954" xr:uid="{00000000-0005-0000-0000-000034460000}"/>
    <cellStyle name="Percent 4" xfId="1827" xr:uid="{00000000-0005-0000-0000-000035460000}"/>
    <cellStyle name="Percent 4 2" xfId="2908" xr:uid="{00000000-0005-0000-0000-000036460000}"/>
    <cellStyle name="Percent 4 2 2" xfId="2909" xr:uid="{00000000-0005-0000-0000-000037460000}"/>
    <cellStyle name="Percent 4 2 3" xfId="2910" xr:uid="{00000000-0005-0000-0000-000038460000}"/>
    <cellStyle name="Percent 4 3" xfId="2911" xr:uid="{00000000-0005-0000-0000-000039460000}"/>
    <cellStyle name="Percent 4 3 2" xfId="2912" xr:uid="{00000000-0005-0000-0000-00003A460000}"/>
    <cellStyle name="Percent 4 3 3" xfId="2913" xr:uid="{00000000-0005-0000-0000-00003B460000}"/>
    <cellStyle name="Percent 4 4" xfId="2914" xr:uid="{00000000-0005-0000-0000-00003C460000}"/>
    <cellStyle name="Percent 4 5" xfId="2915" xr:uid="{00000000-0005-0000-0000-00003D460000}"/>
    <cellStyle name="Percent 4 6" xfId="2916" xr:uid="{00000000-0005-0000-0000-00003E460000}"/>
    <cellStyle name="Percent 5" xfId="1828" xr:uid="{00000000-0005-0000-0000-00003F460000}"/>
    <cellStyle name="Percent 5 2" xfId="1829" xr:uid="{00000000-0005-0000-0000-000040460000}"/>
    <cellStyle name="Percent 5 2 2" xfId="2917" xr:uid="{00000000-0005-0000-0000-000041460000}"/>
    <cellStyle name="Percent 5 2 3" xfId="2918" xr:uid="{00000000-0005-0000-0000-000042460000}"/>
    <cellStyle name="Percent 5 2 4" xfId="2919" xr:uid="{00000000-0005-0000-0000-000043460000}"/>
    <cellStyle name="Percent 5 2 5" xfId="2920" xr:uid="{00000000-0005-0000-0000-000044460000}"/>
    <cellStyle name="Percent 5 3" xfId="1830" xr:uid="{00000000-0005-0000-0000-000045460000}"/>
    <cellStyle name="Percent 5 3 2" xfId="2921" xr:uid="{00000000-0005-0000-0000-000046460000}"/>
    <cellStyle name="Percent 5 4" xfId="1831" xr:uid="{00000000-0005-0000-0000-000047460000}"/>
    <cellStyle name="Percent 5 4 2" xfId="2922" xr:uid="{00000000-0005-0000-0000-000048460000}"/>
    <cellStyle name="Percent 5 5" xfId="2923" xr:uid="{00000000-0005-0000-0000-000049460000}"/>
    <cellStyle name="Percent 5 6" xfId="2924" xr:uid="{00000000-0005-0000-0000-00004A460000}"/>
    <cellStyle name="Percent 5 7" xfId="2925" xr:uid="{00000000-0005-0000-0000-00004B460000}"/>
    <cellStyle name="Percent 5 8" xfId="6955" xr:uid="{00000000-0005-0000-0000-00004C460000}"/>
    <cellStyle name="Percent 6" xfId="1832" xr:uid="{00000000-0005-0000-0000-00004D460000}"/>
    <cellStyle name="Percent 6 2" xfId="1833" xr:uid="{00000000-0005-0000-0000-00004E460000}"/>
    <cellStyle name="Percent 6 2 2" xfId="2926" xr:uid="{00000000-0005-0000-0000-00004F460000}"/>
    <cellStyle name="Percent 6 2 2 2" xfId="2927" xr:uid="{00000000-0005-0000-0000-000050460000}"/>
    <cellStyle name="Percent 6 2 2 3" xfId="2928" xr:uid="{00000000-0005-0000-0000-000051460000}"/>
    <cellStyle name="Percent 6 2 3" xfId="2929" xr:uid="{00000000-0005-0000-0000-000052460000}"/>
    <cellStyle name="Percent 6 2 3 2" xfId="2930" xr:uid="{00000000-0005-0000-0000-000053460000}"/>
    <cellStyle name="Percent 6 2 3 3" xfId="2931" xr:uid="{00000000-0005-0000-0000-000054460000}"/>
    <cellStyle name="Percent 6 2 4" xfId="2932" xr:uid="{00000000-0005-0000-0000-000055460000}"/>
    <cellStyle name="Percent 6 2 5" xfId="2933" xr:uid="{00000000-0005-0000-0000-000056460000}"/>
    <cellStyle name="Percent 6 3" xfId="1834" xr:uid="{00000000-0005-0000-0000-000057460000}"/>
    <cellStyle name="Percent 6 3 2" xfId="2934" xr:uid="{00000000-0005-0000-0000-000058460000}"/>
    <cellStyle name="Percent 6 3 3" xfId="2935" xr:uid="{00000000-0005-0000-0000-000059460000}"/>
    <cellStyle name="Percent 6 3 4" xfId="2936" xr:uid="{00000000-0005-0000-0000-00005A460000}"/>
    <cellStyle name="Percent 6 4" xfId="2937" xr:uid="{00000000-0005-0000-0000-00005B460000}"/>
    <cellStyle name="Percent 6 4 2" xfId="2938" xr:uid="{00000000-0005-0000-0000-00005C460000}"/>
    <cellStyle name="Percent 6 4 3" xfId="2939" xr:uid="{00000000-0005-0000-0000-00005D460000}"/>
    <cellStyle name="Percent 6 5" xfId="2940" xr:uid="{00000000-0005-0000-0000-00005E460000}"/>
    <cellStyle name="Percent 6 6" xfId="2941" xr:uid="{00000000-0005-0000-0000-00005F460000}"/>
    <cellStyle name="Percent 6 7" xfId="2942" xr:uid="{00000000-0005-0000-0000-000060460000}"/>
    <cellStyle name="Percent 6 8" xfId="6956" xr:uid="{00000000-0005-0000-0000-000061460000}"/>
    <cellStyle name="Percent 7" xfId="1835" xr:uid="{00000000-0005-0000-0000-000062460000}"/>
    <cellStyle name="Percent 7 2" xfId="2943" xr:uid="{00000000-0005-0000-0000-000063460000}"/>
    <cellStyle name="Percent 7 2 2" xfId="2944" xr:uid="{00000000-0005-0000-0000-000064460000}"/>
    <cellStyle name="Percent 7 2 3" xfId="2945" xr:uid="{00000000-0005-0000-0000-000065460000}"/>
    <cellStyle name="Percent 7 2 4" xfId="2946" xr:uid="{00000000-0005-0000-0000-000066460000}"/>
    <cellStyle name="Percent 7 3" xfId="2947" xr:uid="{00000000-0005-0000-0000-000067460000}"/>
    <cellStyle name="Percent 7 3 2" xfId="2948" xr:uid="{00000000-0005-0000-0000-000068460000}"/>
    <cellStyle name="Percent 7 3 3" xfId="2949" xr:uid="{00000000-0005-0000-0000-000069460000}"/>
    <cellStyle name="Percent 7 4" xfId="2950" xr:uid="{00000000-0005-0000-0000-00006A460000}"/>
    <cellStyle name="Percent 7 5" xfId="2951" xr:uid="{00000000-0005-0000-0000-00006B460000}"/>
    <cellStyle name="Percent 7 6" xfId="2952" xr:uid="{00000000-0005-0000-0000-00006C460000}"/>
    <cellStyle name="Percent 8" xfId="1836" xr:uid="{00000000-0005-0000-0000-00006D460000}"/>
    <cellStyle name="Percent 8 2" xfId="2953" xr:uid="{00000000-0005-0000-0000-00006E460000}"/>
    <cellStyle name="Percent 8 2 2" xfId="2954" xr:uid="{00000000-0005-0000-0000-00006F460000}"/>
    <cellStyle name="Percent 8 2 3" xfId="2955" xr:uid="{00000000-0005-0000-0000-000070460000}"/>
    <cellStyle name="Percent 8 2 4" xfId="2956" xr:uid="{00000000-0005-0000-0000-000071460000}"/>
    <cellStyle name="Percent 8 3" xfId="2957" xr:uid="{00000000-0005-0000-0000-000072460000}"/>
    <cellStyle name="Percent 8 4" xfId="2958" xr:uid="{00000000-0005-0000-0000-000073460000}"/>
    <cellStyle name="Percent 8 5" xfId="2959" xr:uid="{00000000-0005-0000-0000-000074460000}"/>
    <cellStyle name="Percent 8 6" xfId="2960" xr:uid="{00000000-0005-0000-0000-000075460000}"/>
    <cellStyle name="Percent 8 7" xfId="2961" xr:uid="{00000000-0005-0000-0000-000076460000}"/>
    <cellStyle name="Percent 8 8" xfId="6957" xr:uid="{00000000-0005-0000-0000-000077460000}"/>
    <cellStyle name="Percent 9" xfId="1837" xr:uid="{00000000-0005-0000-0000-000078460000}"/>
    <cellStyle name="Percent 9 2" xfId="2962" xr:uid="{00000000-0005-0000-0000-000079460000}"/>
    <cellStyle name="Percent 9 3" xfId="2963" xr:uid="{00000000-0005-0000-0000-00007A460000}"/>
    <cellStyle name="Percent 9 4" xfId="2964" xr:uid="{00000000-0005-0000-0000-00007B460000}"/>
    <cellStyle name="Percent2" xfId="1838" xr:uid="{00000000-0005-0000-0000-00007C460000}"/>
    <cellStyle name="PSChar" xfId="2965" xr:uid="{00000000-0005-0000-0000-00007D460000}"/>
    <cellStyle name="PSChar 10" xfId="6958" xr:uid="{00000000-0005-0000-0000-00007E460000}"/>
    <cellStyle name="PSChar 11" xfId="6959" xr:uid="{00000000-0005-0000-0000-00007F460000}"/>
    <cellStyle name="PSChar 2" xfId="2966" xr:uid="{00000000-0005-0000-0000-000080460000}"/>
    <cellStyle name="PSChar 2 2" xfId="2967" xr:uid="{00000000-0005-0000-0000-000081460000}"/>
    <cellStyle name="PSChar 2 2 2" xfId="6961" xr:uid="{00000000-0005-0000-0000-000082460000}"/>
    <cellStyle name="PSChar 2 3" xfId="6962" xr:uid="{00000000-0005-0000-0000-000083460000}"/>
    <cellStyle name="PSChar 2 4" xfId="6963" xr:uid="{00000000-0005-0000-0000-000084460000}"/>
    <cellStyle name="PSChar 2 5" xfId="6964" xr:uid="{00000000-0005-0000-0000-000085460000}"/>
    <cellStyle name="PSChar 2 6" xfId="6965" xr:uid="{00000000-0005-0000-0000-000086460000}"/>
    <cellStyle name="PSChar 2 7" xfId="6960" xr:uid="{00000000-0005-0000-0000-000087460000}"/>
    <cellStyle name="PSChar 3" xfId="6966" xr:uid="{00000000-0005-0000-0000-000088460000}"/>
    <cellStyle name="PSChar 3 2" xfId="6967" xr:uid="{00000000-0005-0000-0000-000089460000}"/>
    <cellStyle name="PSChar 3 3" xfId="6968" xr:uid="{00000000-0005-0000-0000-00008A460000}"/>
    <cellStyle name="PSChar 3 4" xfId="6969" xr:uid="{00000000-0005-0000-0000-00008B460000}"/>
    <cellStyle name="PSChar 3 5" xfId="6970" xr:uid="{00000000-0005-0000-0000-00008C460000}"/>
    <cellStyle name="PSChar 4" xfId="6971" xr:uid="{00000000-0005-0000-0000-00008D460000}"/>
    <cellStyle name="PSChar 5" xfId="6972" xr:uid="{00000000-0005-0000-0000-00008E460000}"/>
    <cellStyle name="PSChar 6" xfId="6973" xr:uid="{00000000-0005-0000-0000-00008F460000}"/>
    <cellStyle name="PSChar 7" xfId="6974" xr:uid="{00000000-0005-0000-0000-000090460000}"/>
    <cellStyle name="PSChar 8" xfId="6975" xr:uid="{00000000-0005-0000-0000-000091460000}"/>
    <cellStyle name="PSChar 9" xfId="6976" xr:uid="{00000000-0005-0000-0000-000092460000}"/>
    <cellStyle name="PSChar_Attrition Rate Scorecard - October 2008" xfId="6977" xr:uid="{00000000-0005-0000-0000-000093460000}"/>
    <cellStyle name="PSDate" xfId="2968" xr:uid="{00000000-0005-0000-0000-000094460000}"/>
    <cellStyle name="PSDate 10" xfId="6978" xr:uid="{00000000-0005-0000-0000-000095460000}"/>
    <cellStyle name="PSDate 2" xfId="6979" xr:uid="{00000000-0005-0000-0000-000096460000}"/>
    <cellStyle name="PSDate 2 2" xfId="6980" xr:uid="{00000000-0005-0000-0000-000097460000}"/>
    <cellStyle name="PSDate 2 3" xfId="6981" xr:uid="{00000000-0005-0000-0000-000098460000}"/>
    <cellStyle name="PSDate 2 4" xfId="6982" xr:uid="{00000000-0005-0000-0000-000099460000}"/>
    <cellStyle name="PSDate 2 5" xfId="6983" xr:uid="{00000000-0005-0000-0000-00009A460000}"/>
    <cellStyle name="PSDate 2 6" xfId="6984" xr:uid="{00000000-0005-0000-0000-00009B460000}"/>
    <cellStyle name="PSDate 3" xfId="6985" xr:uid="{00000000-0005-0000-0000-00009C460000}"/>
    <cellStyle name="PSDate 3 2" xfId="6986" xr:uid="{00000000-0005-0000-0000-00009D460000}"/>
    <cellStyle name="PSDate 3 3" xfId="6987" xr:uid="{00000000-0005-0000-0000-00009E460000}"/>
    <cellStyle name="PSDate 3 4" xfId="6988" xr:uid="{00000000-0005-0000-0000-00009F460000}"/>
    <cellStyle name="PSDate 3 5" xfId="6989" xr:uid="{00000000-0005-0000-0000-0000A0460000}"/>
    <cellStyle name="PSDate 4" xfId="6990" xr:uid="{00000000-0005-0000-0000-0000A1460000}"/>
    <cellStyle name="PSDate 5" xfId="6991" xr:uid="{00000000-0005-0000-0000-0000A2460000}"/>
    <cellStyle name="PSDate 6" xfId="6992" xr:uid="{00000000-0005-0000-0000-0000A3460000}"/>
    <cellStyle name="PSDate 7" xfId="6993" xr:uid="{00000000-0005-0000-0000-0000A4460000}"/>
    <cellStyle name="PSDate 8" xfId="6994" xr:uid="{00000000-0005-0000-0000-0000A5460000}"/>
    <cellStyle name="PSDate 9" xfId="6995" xr:uid="{00000000-0005-0000-0000-0000A6460000}"/>
    <cellStyle name="PSDate_Attrition Rate Scorecard - October 2008" xfId="6996" xr:uid="{00000000-0005-0000-0000-0000A7460000}"/>
    <cellStyle name="PSDec" xfId="2969" xr:uid="{00000000-0005-0000-0000-0000A8460000}"/>
    <cellStyle name="PSDec 10" xfId="6997" xr:uid="{00000000-0005-0000-0000-0000A9460000}"/>
    <cellStyle name="PSDec 2" xfId="6998" xr:uid="{00000000-0005-0000-0000-0000AA460000}"/>
    <cellStyle name="PSDec 2 2" xfId="6999" xr:uid="{00000000-0005-0000-0000-0000AB460000}"/>
    <cellStyle name="PSDec 2 3" xfId="7000" xr:uid="{00000000-0005-0000-0000-0000AC460000}"/>
    <cellStyle name="PSDec 2 4" xfId="7001" xr:uid="{00000000-0005-0000-0000-0000AD460000}"/>
    <cellStyle name="PSDec 2 5" xfId="7002" xr:uid="{00000000-0005-0000-0000-0000AE460000}"/>
    <cellStyle name="PSDec 2 6" xfId="7003" xr:uid="{00000000-0005-0000-0000-0000AF460000}"/>
    <cellStyle name="PSDec 3" xfId="7004" xr:uid="{00000000-0005-0000-0000-0000B0460000}"/>
    <cellStyle name="PSDec 3 2" xfId="7005" xr:uid="{00000000-0005-0000-0000-0000B1460000}"/>
    <cellStyle name="PSDec 3 3" xfId="7006" xr:uid="{00000000-0005-0000-0000-0000B2460000}"/>
    <cellStyle name="PSDec 3 4" xfId="7007" xr:uid="{00000000-0005-0000-0000-0000B3460000}"/>
    <cellStyle name="PSDec 3 5" xfId="7008" xr:uid="{00000000-0005-0000-0000-0000B4460000}"/>
    <cellStyle name="PSDec 4" xfId="7009" xr:uid="{00000000-0005-0000-0000-0000B5460000}"/>
    <cellStyle name="PSDec 5" xfId="7010" xr:uid="{00000000-0005-0000-0000-0000B6460000}"/>
    <cellStyle name="PSDec 6" xfId="7011" xr:uid="{00000000-0005-0000-0000-0000B7460000}"/>
    <cellStyle name="PSDec 7" xfId="7012" xr:uid="{00000000-0005-0000-0000-0000B8460000}"/>
    <cellStyle name="PSDec 8" xfId="7013" xr:uid="{00000000-0005-0000-0000-0000B9460000}"/>
    <cellStyle name="PSDec 9" xfId="7014" xr:uid="{00000000-0005-0000-0000-0000BA460000}"/>
    <cellStyle name="PSDec_Attrition Rate Scorecard - October 2008" xfId="7015" xr:uid="{00000000-0005-0000-0000-0000BB460000}"/>
    <cellStyle name="PSHeading" xfId="2970" xr:uid="{00000000-0005-0000-0000-0000BC460000}"/>
    <cellStyle name="PSHeading 10" xfId="7016" xr:uid="{00000000-0005-0000-0000-0000BD460000}"/>
    <cellStyle name="PSHeading 11" xfId="7017" xr:uid="{00000000-0005-0000-0000-0000BE460000}"/>
    <cellStyle name="PSHeading 2" xfId="2971" xr:uid="{00000000-0005-0000-0000-0000BF460000}"/>
    <cellStyle name="PSHeading 2 2" xfId="2972" xr:uid="{00000000-0005-0000-0000-0000C0460000}"/>
    <cellStyle name="PSHeading 2 2 2" xfId="7020" xr:uid="{00000000-0005-0000-0000-0000C1460000}"/>
    <cellStyle name="PSHeading 2 2 3" xfId="7019" xr:uid="{00000000-0005-0000-0000-0000C2460000}"/>
    <cellStyle name="PSHeading 2 3" xfId="7021" xr:uid="{00000000-0005-0000-0000-0000C3460000}"/>
    <cellStyle name="PSHeading 2 3 2" xfId="7022" xr:uid="{00000000-0005-0000-0000-0000C4460000}"/>
    <cellStyle name="PSHeading 2 4" xfId="7023" xr:uid="{00000000-0005-0000-0000-0000C5460000}"/>
    <cellStyle name="PSHeading 2 5" xfId="7024" xr:uid="{00000000-0005-0000-0000-0000C6460000}"/>
    <cellStyle name="PSHeading 2 6" xfId="7025" xr:uid="{00000000-0005-0000-0000-0000C7460000}"/>
    <cellStyle name="PSHeading 2 7" xfId="7018" xr:uid="{00000000-0005-0000-0000-0000C8460000}"/>
    <cellStyle name="PSHeading 2_Sheet2" xfId="7026" xr:uid="{00000000-0005-0000-0000-0000C9460000}"/>
    <cellStyle name="PSHeading 3" xfId="7027" xr:uid="{00000000-0005-0000-0000-0000CA460000}"/>
    <cellStyle name="PSHeading 3 2" xfId="7028" xr:uid="{00000000-0005-0000-0000-0000CB460000}"/>
    <cellStyle name="PSHeading 3 3" xfId="7029" xr:uid="{00000000-0005-0000-0000-0000CC460000}"/>
    <cellStyle name="PSHeading 3 4" xfId="7030" xr:uid="{00000000-0005-0000-0000-0000CD460000}"/>
    <cellStyle name="PSHeading 3 5" xfId="7031" xr:uid="{00000000-0005-0000-0000-0000CE460000}"/>
    <cellStyle name="PSHeading 4" xfId="7032" xr:uid="{00000000-0005-0000-0000-0000CF460000}"/>
    <cellStyle name="PSHeading 5" xfId="7033" xr:uid="{00000000-0005-0000-0000-0000D0460000}"/>
    <cellStyle name="PSHeading 6" xfId="7034" xr:uid="{00000000-0005-0000-0000-0000D1460000}"/>
    <cellStyle name="PSHeading 7" xfId="7035" xr:uid="{00000000-0005-0000-0000-0000D2460000}"/>
    <cellStyle name="PSHeading 8" xfId="7036" xr:uid="{00000000-0005-0000-0000-0000D3460000}"/>
    <cellStyle name="PSHeading 9" xfId="7037" xr:uid="{00000000-0005-0000-0000-0000D4460000}"/>
    <cellStyle name="PSHeading_Attrition Rate Scorecard - October 2008" xfId="7038" xr:uid="{00000000-0005-0000-0000-0000D5460000}"/>
    <cellStyle name="PSInt" xfId="2973" xr:uid="{00000000-0005-0000-0000-0000D6460000}"/>
    <cellStyle name="PSInt 10" xfId="7039" xr:uid="{00000000-0005-0000-0000-0000D7460000}"/>
    <cellStyle name="PSInt 2" xfId="7040" xr:uid="{00000000-0005-0000-0000-0000D8460000}"/>
    <cellStyle name="PSInt 2 2" xfId="7041" xr:uid="{00000000-0005-0000-0000-0000D9460000}"/>
    <cellStyle name="PSInt 2 3" xfId="7042" xr:uid="{00000000-0005-0000-0000-0000DA460000}"/>
    <cellStyle name="PSInt 2 4" xfId="7043" xr:uid="{00000000-0005-0000-0000-0000DB460000}"/>
    <cellStyle name="PSInt 2 5" xfId="7044" xr:uid="{00000000-0005-0000-0000-0000DC460000}"/>
    <cellStyle name="PSInt 2 6" xfId="7045" xr:uid="{00000000-0005-0000-0000-0000DD460000}"/>
    <cellStyle name="PSInt 3" xfId="7046" xr:uid="{00000000-0005-0000-0000-0000DE460000}"/>
    <cellStyle name="PSInt 3 2" xfId="7047" xr:uid="{00000000-0005-0000-0000-0000DF460000}"/>
    <cellStyle name="PSInt 3 3" xfId="7048" xr:uid="{00000000-0005-0000-0000-0000E0460000}"/>
    <cellStyle name="PSInt 3 4" xfId="7049" xr:uid="{00000000-0005-0000-0000-0000E1460000}"/>
    <cellStyle name="PSInt 3 5" xfId="7050" xr:uid="{00000000-0005-0000-0000-0000E2460000}"/>
    <cellStyle name="PSInt 4" xfId="7051" xr:uid="{00000000-0005-0000-0000-0000E3460000}"/>
    <cellStyle name="PSInt 5" xfId="7052" xr:uid="{00000000-0005-0000-0000-0000E4460000}"/>
    <cellStyle name="PSInt 6" xfId="7053" xr:uid="{00000000-0005-0000-0000-0000E5460000}"/>
    <cellStyle name="PSInt 7" xfId="7054" xr:uid="{00000000-0005-0000-0000-0000E6460000}"/>
    <cellStyle name="PSInt 8" xfId="7055" xr:uid="{00000000-0005-0000-0000-0000E7460000}"/>
    <cellStyle name="PSInt 9" xfId="7056" xr:uid="{00000000-0005-0000-0000-0000E8460000}"/>
    <cellStyle name="PSInt_Attrition Rate Scorecard - October 2008" xfId="7057" xr:uid="{00000000-0005-0000-0000-0000E9460000}"/>
    <cellStyle name="PSSpacer" xfId="2974" xr:uid="{00000000-0005-0000-0000-0000EA460000}"/>
    <cellStyle name="PSSpacer 10" xfId="7058" xr:uid="{00000000-0005-0000-0000-0000EB460000}"/>
    <cellStyle name="PSSpacer 11" xfId="7059" xr:uid="{00000000-0005-0000-0000-0000EC460000}"/>
    <cellStyle name="PSSpacer 2" xfId="2975" xr:uid="{00000000-0005-0000-0000-0000ED460000}"/>
    <cellStyle name="PSSpacer 2 2" xfId="2976" xr:uid="{00000000-0005-0000-0000-0000EE460000}"/>
    <cellStyle name="PSSpacer 2 2 2" xfId="7061" xr:uid="{00000000-0005-0000-0000-0000EF460000}"/>
    <cellStyle name="PSSpacer 2 3" xfId="7062" xr:uid="{00000000-0005-0000-0000-0000F0460000}"/>
    <cellStyle name="PSSpacer 2 4" xfId="7063" xr:uid="{00000000-0005-0000-0000-0000F1460000}"/>
    <cellStyle name="PSSpacer 2 5" xfId="7064" xr:uid="{00000000-0005-0000-0000-0000F2460000}"/>
    <cellStyle name="PSSpacer 2 6" xfId="7065" xr:uid="{00000000-0005-0000-0000-0000F3460000}"/>
    <cellStyle name="PSSpacer 2 7" xfId="7060" xr:uid="{00000000-0005-0000-0000-0000F4460000}"/>
    <cellStyle name="PSSpacer 3" xfId="7066" xr:uid="{00000000-0005-0000-0000-0000F5460000}"/>
    <cellStyle name="PSSpacer 3 2" xfId="7067" xr:uid="{00000000-0005-0000-0000-0000F6460000}"/>
    <cellStyle name="PSSpacer 3 3" xfId="7068" xr:uid="{00000000-0005-0000-0000-0000F7460000}"/>
    <cellStyle name="PSSpacer 3 4" xfId="7069" xr:uid="{00000000-0005-0000-0000-0000F8460000}"/>
    <cellStyle name="PSSpacer 3 5" xfId="7070" xr:uid="{00000000-0005-0000-0000-0000F9460000}"/>
    <cellStyle name="PSSpacer 4" xfId="7071" xr:uid="{00000000-0005-0000-0000-0000FA460000}"/>
    <cellStyle name="PSSpacer 5" xfId="7072" xr:uid="{00000000-0005-0000-0000-0000FB460000}"/>
    <cellStyle name="PSSpacer 6" xfId="7073" xr:uid="{00000000-0005-0000-0000-0000FC460000}"/>
    <cellStyle name="PSSpacer 7" xfId="7074" xr:uid="{00000000-0005-0000-0000-0000FD460000}"/>
    <cellStyle name="PSSpacer 8" xfId="7075" xr:uid="{00000000-0005-0000-0000-0000FE460000}"/>
    <cellStyle name="PSSpacer 9" xfId="7076" xr:uid="{00000000-0005-0000-0000-0000FF460000}"/>
    <cellStyle name="PSSpacer_Attrition Rate Scorecard - October 2008" xfId="7077" xr:uid="{00000000-0005-0000-0000-000000470000}"/>
    <cellStyle name="Publication_style" xfId="1839" xr:uid="{00000000-0005-0000-0000-000001470000}"/>
    <cellStyle name="PwC Normal" xfId="2977" xr:uid="{00000000-0005-0000-0000-000002470000}"/>
    <cellStyle name="PwC Normal 2" xfId="2978" xr:uid="{00000000-0005-0000-0000-000003470000}"/>
    <cellStyle name="Refdb standard" xfId="1840" xr:uid="{00000000-0005-0000-0000-000004470000}"/>
    <cellStyle name="Refdb standard 2" xfId="1841" xr:uid="{00000000-0005-0000-0000-000005470000}"/>
    <cellStyle name="RowLevel_1 2" xfId="91" xr:uid="{00000000-0005-0000-0000-000006470000}"/>
    <cellStyle name="s_HeaderLine" xfId="2979" xr:uid="{00000000-0005-0000-0000-000007470000}"/>
    <cellStyle name="s_HeaderLine 2" xfId="2980" xr:uid="{00000000-0005-0000-0000-000008470000}"/>
    <cellStyle name="s_HeaderLine 2 2" xfId="2981" xr:uid="{00000000-0005-0000-0000-000009470000}"/>
    <cellStyle name="s_HeaderLine_2010 MEL Parent Tax Bal Sheet" xfId="7078" xr:uid="{00000000-0005-0000-0000-00000A470000}"/>
    <cellStyle name="s_HeaderLine_Attrition Rate Scorecard - October 2008" xfId="7079" xr:uid="{00000000-0005-0000-0000-00000B470000}"/>
    <cellStyle name="s_HeaderLine_Attrition Rate Scorecard - October 2008 2" xfId="7080" xr:uid="{00000000-0005-0000-0000-00000C470000}"/>
    <cellStyle name="s_HeaderLine_Attrition Rate Scorecard - October 2008 3" xfId="7081" xr:uid="{00000000-0005-0000-0000-00000D470000}"/>
    <cellStyle name="s_HeaderLine_Attrition Rate Scorecard - October 2008_Sheet2" xfId="7082" xr:uid="{00000000-0005-0000-0000-00000E470000}"/>
    <cellStyle name="s_HeaderLine_Attrition Rate Scorecard - September 2008" xfId="7083" xr:uid="{00000000-0005-0000-0000-00000F470000}"/>
    <cellStyle name="s_HeaderLine_Attrition Rate Scorecard - September 2008 2" xfId="7084" xr:uid="{00000000-0005-0000-0000-000010470000}"/>
    <cellStyle name="s_HeaderLine_Attrition Rate Scorecard - September 2008 3" xfId="7085" xr:uid="{00000000-0005-0000-0000-000011470000}"/>
    <cellStyle name="s_HeaderLine_Attrition Rate Scorecard - September 2008_Sheet2" xfId="7086" xr:uid="{00000000-0005-0000-0000-000012470000}"/>
    <cellStyle name="s_HeaderLine_B3-December 08 Board View (Half Yr Adj)" xfId="7087" xr:uid="{00000000-0005-0000-0000-000013470000}"/>
    <cellStyle name="s_HeaderLine_CONGL029" xfId="7088" xr:uid="{00000000-0005-0000-0000-000014470000}"/>
    <cellStyle name="s_HeaderLine_CONGL029 2" xfId="7089" xr:uid="{00000000-0005-0000-0000-000015470000}"/>
    <cellStyle name="s_HeaderLine_CONGL029 3" xfId="7090" xr:uid="{00000000-0005-0000-0000-000016470000}"/>
    <cellStyle name="s_HeaderLine_CONGL029_Sheet2" xfId="7091" xr:uid="{00000000-0005-0000-0000-000017470000}"/>
    <cellStyle name="s_HeaderLine_Consolidation Schedule December 2008" xfId="7092" xr:uid="{00000000-0005-0000-0000-000018470000}"/>
    <cellStyle name="s_HeaderLine_Consolidation Schedule December 2008 no ARC Impairment-FINAL" xfId="7093" xr:uid="{00000000-0005-0000-0000-000019470000}"/>
    <cellStyle name="s_HeaderLine_Consolidation Schedule December 2008 no ARC Impairment-FINAL 2" xfId="7094" xr:uid="{00000000-0005-0000-0000-00001A470000}"/>
    <cellStyle name="s_HeaderLine_Consolidation Schedule December 2008 no ARC Impairment-FINAL 3" xfId="7095" xr:uid="{00000000-0005-0000-0000-00001B470000}"/>
    <cellStyle name="s_HeaderLine_Consolidation Schedule December 2008 no ARC Impairment-FINAL_Sheet2" xfId="7096" xr:uid="{00000000-0005-0000-0000-00001C470000}"/>
    <cellStyle name="s_HeaderLine_Copy of Attrition Rate FTE's Aug 2008" xfId="7097" xr:uid="{00000000-0005-0000-0000-00001D470000}"/>
    <cellStyle name="s_HeaderLine_Copy of Attrition Rate FTE's Aug 2008 2" xfId="7098" xr:uid="{00000000-0005-0000-0000-00001E470000}"/>
    <cellStyle name="s_HeaderLine_Copy of Attrition Rate FTE's Aug 2008 3" xfId="7099" xr:uid="{00000000-0005-0000-0000-00001F470000}"/>
    <cellStyle name="s_HeaderLine_Copy of Attrition Rate FTE's Aug 2008_Book2" xfId="7100" xr:uid="{00000000-0005-0000-0000-000020470000}"/>
    <cellStyle name="s_HeaderLine_Copy of Attrition Rate FTE's Aug 2008_Book2 2" xfId="7101" xr:uid="{00000000-0005-0000-0000-000021470000}"/>
    <cellStyle name="s_HeaderLine_Copy of Attrition Rate FTE's Aug 2008_Book2 3" xfId="7102" xr:uid="{00000000-0005-0000-0000-000022470000}"/>
    <cellStyle name="s_HeaderLine_Copy of Attrition Rate FTE's Aug 2008_Book2_Sheet2" xfId="7103" xr:uid="{00000000-0005-0000-0000-000023470000}"/>
    <cellStyle name="s_HeaderLine_Copy of Attrition Rate FTE's Aug 2008_Retail Scorecard September 2008a" xfId="7104" xr:uid="{00000000-0005-0000-0000-000024470000}"/>
    <cellStyle name="s_HeaderLine_Copy of Attrition Rate FTE's Aug 2008_Retail Scorecard September 2008b" xfId="7105" xr:uid="{00000000-0005-0000-0000-000025470000}"/>
    <cellStyle name="s_HeaderLine_Copy of Attrition Rate FTE's Aug 2008_Sheet2" xfId="7106" xr:uid="{00000000-0005-0000-0000-000026470000}"/>
    <cellStyle name="s_HeaderLine_Generation and NER Stats" xfId="7107" xr:uid="{00000000-0005-0000-0000-000027470000}"/>
    <cellStyle name="s_HeaderLine_Group Consolidated Scorecard Dec08 - KM" xfId="7108" xr:uid="{00000000-0005-0000-0000-000028470000}"/>
    <cellStyle name="s_HeaderLine_Group TB CONGL029" xfId="7109" xr:uid="{00000000-0005-0000-0000-000029470000}"/>
    <cellStyle name="s_HeaderLine_HS&amp;W 2008-23-09" xfId="7110" xr:uid="{00000000-0005-0000-0000-00002A470000}"/>
    <cellStyle name="s_HeaderLine_HS&amp;W 2008-23-09 2" xfId="7111" xr:uid="{00000000-0005-0000-0000-00002B470000}"/>
    <cellStyle name="s_HeaderLine_HS&amp;W 2008-23-09 3" xfId="7112" xr:uid="{00000000-0005-0000-0000-00002C470000}"/>
    <cellStyle name="s_HeaderLine_HS&amp;W 2008-23-09_Book2" xfId="7113" xr:uid="{00000000-0005-0000-0000-00002D470000}"/>
    <cellStyle name="s_HeaderLine_HS&amp;W 2008-23-09_Book2 2" xfId="7114" xr:uid="{00000000-0005-0000-0000-00002E470000}"/>
    <cellStyle name="s_HeaderLine_HS&amp;W 2008-23-09_Book2 3" xfId="7115" xr:uid="{00000000-0005-0000-0000-00002F470000}"/>
    <cellStyle name="s_HeaderLine_HS&amp;W 2008-23-09_Book2_Sheet2" xfId="7116" xr:uid="{00000000-0005-0000-0000-000030470000}"/>
    <cellStyle name="s_HeaderLine_HS&amp;W 2008-23-09_Retail Scorecard September 2008a" xfId="7117" xr:uid="{00000000-0005-0000-0000-000031470000}"/>
    <cellStyle name="s_HeaderLine_HS&amp;W 2008-23-09_Retail Scorecard September 2008b" xfId="7118" xr:uid="{00000000-0005-0000-0000-000032470000}"/>
    <cellStyle name="s_HeaderLine_HS&amp;W 2008-23-09_Sheet2" xfId="7119" xr:uid="{00000000-0005-0000-0000-000033470000}"/>
    <cellStyle name="s_HeaderLine_June 10 Board View V1 19-07-10" xfId="7120" xr:uid="{00000000-0005-0000-0000-000034470000}"/>
    <cellStyle name="s_HeaderLine_June 10 congl029" xfId="7121" xr:uid="{00000000-0005-0000-0000-000035470000}"/>
    <cellStyle name="s_HeaderLine_MaPQuarterlyStats as at 31 December" xfId="7122" xr:uid="{00000000-0005-0000-0000-000036470000}"/>
    <cellStyle name="s_HeaderLine_March 09 Board View" xfId="7123" xr:uid="{00000000-0005-0000-0000-000037470000}"/>
    <cellStyle name="s_HeaderLine_Net Debt to Equity Ratio 31 12 08" xfId="7124" xr:uid="{00000000-0005-0000-0000-000038470000}"/>
    <cellStyle name="s_HeaderLine_Network Feb 11" xfId="2982" xr:uid="{00000000-0005-0000-0000-000039470000}"/>
    <cellStyle name="s_HeaderLine_Network Feb 11 2" xfId="2983" xr:uid="{00000000-0005-0000-0000-00003A470000}"/>
    <cellStyle name="s_HeaderLine_Network Feb 11 2 2" xfId="2984" xr:uid="{00000000-0005-0000-0000-00003B470000}"/>
    <cellStyle name="s_HeaderLine_September 08 Board View" xfId="7125" xr:uid="{00000000-0005-0000-0000-00003C470000}"/>
    <cellStyle name="s_HeaderLine_September 08 Mgmt View" xfId="7126" xr:uid="{00000000-0005-0000-0000-00003D470000}"/>
    <cellStyle name="s_HeaderLine_TB Dec 2009 PowerTax mapping" xfId="7127" xr:uid="{00000000-0005-0000-0000-00003E470000}"/>
    <cellStyle name="s_HeaderLine_Template Scorecard 2008" xfId="7128" xr:uid="{00000000-0005-0000-0000-00003F470000}"/>
    <cellStyle name="s_HeaderLine_Template Scorecard 2008 2" xfId="7129" xr:uid="{00000000-0005-0000-0000-000040470000}"/>
    <cellStyle name="s_HeaderLine_Template Scorecard 2008 3" xfId="7130" xr:uid="{00000000-0005-0000-0000-000041470000}"/>
    <cellStyle name="s_HeaderLine_Template Scorecard 2008_Book2" xfId="7131" xr:uid="{00000000-0005-0000-0000-000042470000}"/>
    <cellStyle name="s_HeaderLine_Template Scorecard 2008_Book2 2" xfId="7132" xr:uid="{00000000-0005-0000-0000-000043470000}"/>
    <cellStyle name="s_HeaderLine_Template Scorecard 2008_Book2 3" xfId="7133" xr:uid="{00000000-0005-0000-0000-000044470000}"/>
    <cellStyle name="s_HeaderLine_Template Scorecard 2008_Book2_Sheet2" xfId="7134" xr:uid="{00000000-0005-0000-0000-000045470000}"/>
    <cellStyle name="s_HeaderLine_Template Scorecard 2008_Retail Scorecard September 2008a" xfId="7135" xr:uid="{00000000-0005-0000-0000-000046470000}"/>
    <cellStyle name="s_HeaderLine_Template Scorecard 2008_Retail Scorecard September 2008b" xfId="7136" xr:uid="{00000000-0005-0000-0000-000047470000}"/>
    <cellStyle name="s_HeaderLine_Template Scorecard 2008_Sheet2" xfId="7137" xr:uid="{00000000-0005-0000-0000-000048470000}"/>
    <cellStyle name="s_HeaderLine_Template Scorecard 20081" xfId="7138" xr:uid="{00000000-0005-0000-0000-000049470000}"/>
    <cellStyle name="s_HeaderLine_Template Scorecard 20081 2" xfId="7139" xr:uid="{00000000-0005-0000-0000-00004A470000}"/>
    <cellStyle name="s_HeaderLine_Template Scorecard 20081 3" xfId="7140" xr:uid="{00000000-0005-0000-0000-00004B470000}"/>
    <cellStyle name="s_HeaderLine_Template Scorecard 20081_Book2" xfId="7141" xr:uid="{00000000-0005-0000-0000-00004C470000}"/>
    <cellStyle name="s_HeaderLine_Template Scorecard 20081_Book2 2" xfId="7142" xr:uid="{00000000-0005-0000-0000-00004D470000}"/>
    <cellStyle name="s_HeaderLine_Template Scorecard 20081_Book2 3" xfId="7143" xr:uid="{00000000-0005-0000-0000-00004E470000}"/>
    <cellStyle name="s_HeaderLine_Template Scorecard 20081_Book2_Sheet2" xfId="7144" xr:uid="{00000000-0005-0000-0000-00004F470000}"/>
    <cellStyle name="s_HeaderLine_Template Scorecard 20081_Retail Scorecard September 2008a" xfId="7145" xr:uid="{00000000-0005-0000-0000-000050470000}"/>
    <cellStyle name="s_HeaderLine_Template Scorecard 20081_Retail Scorecard September 2008b" xfId="7146" xr:uid="{00000000-0005-0000-0000-000051470000}"/>
    <cellStyle name="s_HeaderLine_Template Scorecard 20081_Sheet2" xfId="7147" xr:uid="{00000000-0005-0000-0000-000052470000}"/>
    <cellStyle name="s_PurpleHeader" xfId="2985" xr:uid="{00000000-0005-0000-0000-000053470000}"/>
    <cellStyle name="s_PurpleHeader 2" xfId="2986" xr:uid="{00000000-0005-0000-0000-000054470000}"/>
    <cellStyle name="s_PurpleHeader 2 2" xfId="2987" xr:uid="{00000000-0005-0000-0000-000055470000}"/>
    <cellStyle name="s_PurpleHeader 3" xfId="7148" xr:uid="{00000000-0005-0000-0000-000056470000}"/>
    <cellStyle name="s_PurpleHeader_1.50.0" xfId="2988" xr:uid="{00000000-0005-0000-0000-000057470000}"/>
    <cellStyle name="s_PurpleHeader_1.50.0 2" xfId="2989" xr:uid="{00000000-0005-0000-0000-000058470000}"/>
    <cellStyle name="s_PurpleHeader_1.50.0 2 2" xfId="2990" xr:uid="{00000000-0005-0000-0000-000059470000}"/>
    <cellStyle name="s_PurpleHeader_1.50.1" xfId="2991" xr:uid="{00000000-0005-0000-0000-00005A470000}"/>
    <cellStyle name="s_PurpleHeader_1.50.1 2" xfId="2992" xr:uid="{00000000-0005-0000-0000-00005B470000}"/>
    <cellStyle name="s_PurpleHeader_1.50.1 2 2" xfId="2993" xr:uid="{00000000-0005-0000-0000-00005C470000}"/>
    <cellStyle name="s_PurpleHeader_1.51.1" xfId="2994" xr:uid="{00000000-0005-0000-0000-00005D470000}"/>
    <cellStyle name="s_PurpleHeader_1.51.1 2" xfId="2995" xr:uid="{00000000-0005-0000-0000-00005E470000}"/>
    <cellStyle name="s_PurpleHeader_1.51.1 2 2" xfId="2996" xr:uid="{00000000-0005-0000-0000-00005F470000}"/>
    <cellStyle name="s_PurpleHeader_1.51.2" xfId="2997" xr:uid="{00000000-0005-0000-0000-000060470000}"/>
    <cellStyle name="s_PurpleHeader_1.51.2 2" xfId="2998" xr:uid="{00000000-0005-0000-0000-000061470000}"/>
    <cellStyle name="s_PurpleHeader_1.51.2 2 2" xfId="2999" xr:uid="{00000000-0005-0000-0000-000062470000}"/>
    <cellStyle name="s_PurpleHeader_1.51.3" xfId="3000" xr:uid="{00000000-0005-0000-0000-000063470000}"/>
    <cellStyle name="s_PurpleHeader_1.51.3 2" xfId="3001" xr:uid="{00000000-0005-0000-0000-000064470000}"/>
    <cellStyle name="s_PurpleHeader_1.51.3 2 2" xfId="3002" xr:uid="{00000000-0005-0000-0000-000065470000}"/>
    <cellStyle name="s_PurpleHeader_1.52.0" xfId="3003" xr:uid="{00000000-0005-0000-0000-000066470000}"/>
    <cellStyle name="s_PurpleHeader_1.52.0 2" xfId="3004" xr:uid="{00000000-0005-0000-0000-000067470000}"/>
    <cellStyle name="s_PurpleHeader_1.52.0 2 2" xfId="3005" xr:uid="{00000000-0005-0000-0000-000068470000}"/>
    <cellStyle name="s_PurpleHeader_1.56.0" xfId="3006" xr:uid="{00000000-0005-0000-0000-000069470000}"/>
    <cellStyle name="s_PurpleHeader_1.56.0 2" xfId="3007" xr:uid="{00000000-0005-0000-0000-00006A470000}"/>
    <cellStyle name="s_PurpleHeader_1.56.0 2 2" xfId="3008" xr:uid="{00000000-0005-0000-0000-00006B470000}"/>
    <cellStyle name="s_PurpleHeader_2010 MEL Parent Tax Bal Sheet" xfId="7149" xr:uid="{00000000-0005-0000-0000-00006C470000}"/>
    <cellStyle name="s_PurpleHeader_Annual Report- Assets" xfId="3009" xr:uid="{00000000-0005-0000-0000-00006D470000}"/>
    <cellStyle name="s_PurpleHeader_Annual Report- Assets 2" xfId="3010" xr:uid="{00000000-0005-0000-0000-00006E470000}"/>
    <cellStyle name="s_PurpleHeader_Annual Report- Assets 2 2" xfId="3011" xr:uid="{00000000-0005-0000-0000-00006F470000}"/>
    <cellStyle name="s_PurpleHeader_Apr 2009 actuals working document" xfId="3012" xr:uid="{00000000-0005-0000-0000-000070470000}"/>
    <cellStyle name="s_PurpleHeader_Apr 2009 actuals working document 2" xfId="3013" xr:uid="{00000000-0005-0000-0000-000071470000}"/>
    <cellStyle name="s_PurpleHeader_Apr 2009 actuals working document 2 2" xfId="3014" xr:uid="{00000000-0005-0000-0000-000072470000}"/>
    <cellStyle name="s_PurpleHeader_Apr 2009 actuals working document v2" xfId="3015" xr:uid="{00000000-0005-0000-0000-000073470000}"/>
    <cellStyle name="s_PurpleHeader_Apr 2009 actuals working document v2 2" xfId="3016" xr:uid="{00000000-0005-0000-0000-000074470000}"/>
    <cellStyle name="s_PurpleHeader_Apr 2009 actuals working document v2 2 2" xfId="3017" xr:uid="{00000000-0005-0000-0000-000075470000}"/>
    <cellStyle name="s_PurpleHeader_APRIL Finance Workpaper" xfId="3018" xr:uid="{00000000-0005-0000-0000-000076470000}"/>
    <cellStyle name="s_PurpleHeader_APRIL Finance Workpaper 2" xfId="3019" xr:uid="{00000000-0005-0000-0000-000077470000}"/>
    <cellStyle name="s_PurpleHeader_APRIL Finance Workpaper 2 2" xfId="3020" xr:uid="{00000000-0005-0000-0000-000078470000}"/>
    <cellStyle name="s_PurpleHeader_April Finance Workpaper v2" xfId="3021" xr:uid="{00000000-0005-0000-0000-000079470000}"/>
    <cellStyle name="s_PurpleHeader_April Finance Workpaper v2 2" xfId="3022" xr:uid="{00000000-0005-0000-0000-00007A470000}"/>
    <cellStyle name="s_PurpleHeader_April Finance Workpaper v2 2 2" xfId="3023" xr:uid="{00000000-0005-0000-0000-00007B470000}"/>
    <cellStyle name="s_PurpleHeader_Attrition Rate Scorecard - October 2008" xfId="7150" xr:uid="{00000000-0005-0000-0000-00007C470000}"/>
    <cellStyle name="s_PurpleHeader_Attrition Rate Scorecard - September 2008" xfId="7151" xr:uid="{00000000-0005-0000-0000-00007D470000}"/>
    <cellStyle name="s_PurpleHeader_AUG Finance Workpaper v2" xfId="3024" xr:uid="{00000000-0005-0000-0000-00007E470000}"/>
    <cellStyle name="s_PurpleHeader_AUG Finance Workpaper v2 2" xfId="3025" xr:uid="{00000000-0005-0000-0000-00007F470000}"/>
    <cellStyle name="s_PurpleHeader_AUG Finance Workpaper v2 2 2" xfId="3026" xr:uid="{00000000-0005-0000-0000-000080470000}"/>
    <cellStyle name="s_PurpleHeader_August Finance Workpaper v2" xfId="3027" xr:uid="{00000000-0005-0000-0000-000081470000}"/>
    <cellStyle name="s_PurpleHeader_August Finance Workpaper v2 2" xfId="3028" xr:uid="{00000000-0005-0000-0000-000082470000}"/>
    <cellStyle name="s_PurpleHeader_August Finance Workpaper v2 2 2" xfId="3029" xr:uid="{00000000-0005-0000-0000-000083470000}"/>
    <cellStyle name="s_PurpleHeader_B3-December 08 Board View (Half Yr Adj)" xfId="7152" xr:uid="{00000000-0005-0000-0000-000084470000}"/>
    <cellStyle name="s_PurpleHeader_CFIS DataLoad Actual June 07 IFRS" xfId="7153" xr:uid="{00000000-0005-0000-0000-000085470000}"/>
    <cellStyle name="s_PurpleHeader_CFIS DataLoad Actual June 07 IFRS_Attrition Rate Scorecard - October 2008" xfId="7154" xr:uid="{00000000-0005-0000-0000-000086470000}"/>
    <cellStyle name="s_PurpleHeader_CFIS DataLoad Actual June 07 IFRS_Attrition Rate Scorecard - September 2008" xfId="7155" xr:uid="{00000000-0005-0000-0000-000087470000}"/>
    <cellStyle name="s_PurpleHeader_CFIS DataLoad Actual June 07 IFRS_CCMAU December 08-Half Yr Adj" xfId="7156" xr:uid="{00000000-0005-0000-0000-000088470000}"/>
    <cellStyle name="s_PurpleHeader_CFIS DataLoad Actual June 07 IFRS_CCMAU Financials March 09" xfId="7157" xr:uid="{00000000-0005-0000-0000-000089470000}"/>
    <cellStyle name="s_PurpleHeader_CFIS DataLoad Actual June 07 IFRS_Copy of Attrition Rate FTE's Aug 2008" xfId="7158" xr:uid="{00000000-0005-0000-0000-00008A470000}"/>
    <cellStyle name="s_PurpleHeader_CFIS DataLoad Actual June 07 IFRS_Copy of Attrition Rate FTE's Aug 2008_Book2" xfId="7159" xr:uid="{00000000-0005-0000-0000-00008B470000}"/>
    <cellStyle name="s_PurpleHeader_CFIS DataLoad Actual June 07 IFRS_Copy of Attrition Rate FTE's Aug 2008_Retail Scorecard September 2008a" xfId="7160" xr:uid="{00000000-0005-0000-0000-00008C470000}"/>
    <cellStyle name="s_PurpleHeader_CFIS DataLoad Actual June 07 IFRS_Copy of Attrition Rate FTE's Aug 2008_Retail Scorecard September 2008a 2" xfId="7161" xr:uid="{00000000-0005-0000-0000-00008D470000}"/>
    <cellStyle name="s_PurpleHeader_CFIS DataLoad Actual June 07 IFRS_Copy of Attrition Rate FTE's Aug 2008_Retail Scorecard September 2008a 3" xfId="7162" xr:uid="{00000000-0005-0000-0000-00008E470000}"/>
    <cellStyle name="s_PurpleHeader_CFIS DataLoad Actual June 07 IFRS_Copy of Attrition Rate FTE's Aug 2008_Retail Scorecard September 2008a_Sheet2" xfId="7163" xr:uid="{00000000-0005-0000-0000-00008F470000}"/>
    <cellStyle name="s_PurpleHeader_CFIS DataLoad Actual June 07 IFRS_Copy of Attrition Rate FTE's Aug 2008_Retail Scorecard September 2008b" xfId="7164" xr:uid="{00000000-0005-0000-0000-000090470000}"/>
    <cellStyle name="s_PurpleHeader_CFIS DataLoad Actual June 07 IFRS_Copy of Attrition Rate FTE's Aug 2008_Retail Scorecard September 2008b 2" xfId="7165" xr:uid="{00000000-0005-0000-0000-000091470000}"/>
    <cellStyle name="s_PurpleHeader_CFIS DataLoad Actual June 07 IFRS_Copy of Attrition Rate FTE's Aug 2008_Retail Scorecard September 2008b 3" xfId="7166" xr:uid="{00000000-0005-0000-0000-000092470000}"/>
    <cellStyle name="s_PurpleHeader_CFIS DataLoad Actual June 07 IFRS_Copy of Attrition Rate FTE's Aug 2008_Retail Scorecard September 2008b_Sheet2" xfId="7167" xr:uid="{00000000-0005-0000-0000-000093470000}"/>
    <cellStyle name="s_PurpleHeader_CFIS DataLoad Actual June 07 IFRS_HS&amp;W 2008-23-09" xfId="7168" xr:uid="{00000000-0005-0000-0000-000094470000}"/>
    <cellStyle name="s_PurpleHeader_CFIS DataLoad Actual June 07 IFRS_HS&amp;W 2008-23-09_Book2" xfId="7169" xr:uid="{00000000-0005-0000-0000-000095470000}"/>
    <cellStyle name="s_PurpleHeader_CFIS DataLoad Actual June 07 IFRS_HS&amp;W 2008-23-09_Retail Scorecard September 2008a" xfId="7170" xr:uid="{00000000-0005-0000-0000-000096470000}"/>
    <cellStyle name="s_PurpleHeader_CFIS DataLoad Actual June 07 IFRS_HS&amp;W 2008-23-09_Retail Scorecard September 2008a 2" xfId="7171" xr:uid="{00000000-0005-0000-0000-000097470000}"/>
    <cellStyle name="s_PurpleHeader_CFIS DataLoad Actual June 07 IFRS_HS&amp;W 2008-23-09_Retail Scorecard September 2008a 3" xfId="7172" xr:uid="{00000000-0005-0000-0000-000098470000}"/>
    <cellStyle name="s_PurpleHeader_CFIS DataLoad Actual June 07 IFRS_HS&amp;W 2008-23-09_Retail Scorecard September 2008a_Sheet2" xfId="7173" xr:uid="{00000000-0005-0000-0000-000099470000}"/>
    <cellStyle name="s_PurpleHeader_CFIS DataLoad Actual June 07 IFRS_HS&amp;W 2008-23-09_Retail Scorecard September 2008b" xfId="7174" xr:uid="{00000000-0005-0000-0000-00009A470000}"/>
    <cellStyle name="s_PurpleHeader_CFIS DataLoad Actual June 07 IFRS_HS&amp;W 2008-23-09_Retail Scorecard September 2008b 2" xfId="7175" xr:uid="{00000000-0005-0000-0000-00009B470000}"/>
    <cellStyle name="s_PurpleHeader_CFIS DataLoad Actual June 07 IFRS_HS&amp;W 2008-23-09_Retail Scorecard September 2008b 3" xfId="7176" xr:uid="{00000000-0005-0000-0000-00009C470000}"/>
    <cellStyle name="s_PurpleHeader_CFIS DataLoad Actual June 07 IFRS_HS&amp;W 2008-23-09_Retail Scorecard September 2008b_Sheet2" xfId="7177" xr:uid="{00000000-0005-0000-0000-00009D470000}"/>
    <cellStyle name="s_PurpleHeader_CFIS DataLoad Actual June 07 IFRS_MaPQuarterlyStats as at 31 December" xfId="7178" xr:uid="{00000000-0005-0000-0000-00009E470000}"/>
    <cellStyle name="s_PurpleHeader_CFIS DataLoad Actual June 07 IFRS_September 08 Board View" xfId="7179" xr:uid="{00000000-0005-0000-0000-00009F470000}"/>
    <cellStyle name="s_PurpleHeader_CFIS DataLoad Actual June 07 IFRS_September 08 Mgmt View" xfId="7180" xr:uid="{00000000-0005-0000-0000-0000A0470000}"/>
    <cellStyle name="s_PurpleHeader_CFIS DataLoad Actual June 07 IFRS_Template Scorecard 2008" xfId="7181" xr:uid="{00000000-0005-0000-0000-0000A1470000}"/>
    <cellStyle name="s_PurpleHeader_CFIS DataLoad Actual June 07 IFRS_Template Scorecard 2008_Book2" xfId="7182" xr:uid="{00000000-0005-0000-0000-0000A2470000}"/>
    <cellStyle name="s_PurpleHeader_CFIS DataLoad Actual June 07 IFRS_Template Scorecard 2008_Retail Scorecard September 2008a" xfId="7183" xr:uid="{00000000-0005-0000-0000-0000A3470000}"/>
    <cellStyle name="s_PurpleHeader_CFIS DataLoad Actual June 07 IFRS_Template Scorecard 2008_Retail Scorecard September 2008a 2" xfId="7184" xr:uid="{00000000-0005-0000-0000-0000A4470000}"/>
    <cellStyle name="s_PurpleHeader_CFIS DataLoad Actual June 07 IFRS_Template Scorecard 2008_Retail Scorecard September 2008a 3" xfId="7185" xr:uid="{00000000-0005-0000-0000-0000A5470000}"/>
    <cellStyle name="s_PurpleHeader_CFIS DataLoad Actual June 07 IFRS_Template Scorecard 2008_Retail Scorecard September 2008a_Sheet2" xfId="7186" xr:uid="{00000000-0005-0000-0000-0000A6470000}"/>
    <cellStyle name="s_PurpleHeader_CFIS DataLoad Actual June 07 IFRS_Template Scorecard 2008_Retail Scorecard September 2008b" xfId="7187" xr:uid="{00000000-0005-0000-0000-0000A7470000}"/>
    <cellStyle name="s_PurpleHeader_CFIS DataLoad Actual June 07 IFRS_Template Scorecard 2008_Retail Scorecard September 2008b 2" xfId="7188" xr:uid="{00000000-0005-0000-0000-0000A8470000}"/>
    <cellStyle name="s_PurpleHeader_CFIS DataLoad Actual June 07 IFRS_Template Scorecard 2008_Retail Scorecard September 2008b 3" xfId="7189" xr:uid="{00000000-0005-0000-0000-0000A9470000}"/>
    <cellStyle name="s_PurpleHeader_CFIS DataLoad Actual June 07 IFRS_Template Scorecard 2008_Retail Scorecard September 2008b_Sheet2" xfId="7190" xr:uid="{00000000-0005-0000-0000-0000AA470000}"/>
    <cellStyle name="s_PurpleHeader_CFIS DataLoad Actual June 07 IFRS_Template Scorecard 20081" xfId="7191" xr:uid="{00000000-0005-0000-0000-0000AB470000}"/>
    <cellStyle name="s_PurpleHeader_CFIS DataLoad Actual June 07 IFRS_Template Scorecard 20081_Book2" xfId="7192" xr:uid="{00000000-0005-0000-0000-0000AC470000}"/>
    <cellStyle name="s_PurpleHeader_CFIS DataLoad Actual June 07 IFRS_Template Scorecard 20081_Retail Scorecard September 2008a" xfId="7193" xr:uid="{00000000-0005-0000-0000-0000AD470000}"/>
    <cellStyle name="s_PurpleHeader_CFIS DataLoad Actual June 07 IFRS_Template Scorecard 20081_Retail Scorecard September 2008a 2" xfId="7194" xr:uid="{00000000-0005-0000-0000-0000AE470000}"/>
    <cellStyle name="s_PurpleHeader_CFIS DataLoad Actual June 07 IFRS_Template Scorecard 20081_Retail Scorecard September 2008a 3" xfId="7195" xr:uid="{00000000-0005-0000-0000-0000AF470000}"/>
    <cellStyle name="s_PurpleHeader_CFIS DataLoad Actual June 07 IFRS_Template Scorecard 20081_Retail Scorecard September 2008a_Sheet2" xfId="7196" xr:uid="{00000000-0005-0000-0000-0000B0470000}"/>
    <cellStyle name="s_PurpleHeader_CFIS DataLoad Actual June 07 IFRS_Template Scorecard 20081_Retail Scorecard September 2008b" xfId="7197" xr:uid="{00000000-0005-0000-0000-0000B1470000}"/>
    <cellStyle name="s_PurpleHeader_CFIS DataLoad Actual June 07 IFRS_Template Scorecard 20081_Retail Scorecard September 2008b 2" xfId="7198" xr:uid="{00000000-0005-0000-0000-0000B2470000}"/>
    <cellStyle name="s_PurpleHeader_CFIS DataLoad Actual June 07 IFRS_Template Scorecard 20081_Retail Scorecard September 2008b 3" xfId="7199" xr:uid="{00000000-0005-0000-0000-0000B3470000}"/>
    <cellStyle name="s_PurpleHeader_CFIS DataLoad Actual June 07 IFRS_Template Scorecard 20081_Retail Scorecard September 2008b_Sheet2" xfId="7200" xr:uid="{00000000-0005-0000-0000-0000B4470000}"/>
    <cellStyle name="s_PurpleHeader_CFIS Net NZIFRS Dataload Sep 06" xfId="7201" xr:uid="{00000000-0005-0000-0000-0000B5470000}"/>
    <cellStyle name="s_PurpleHeader_CFIS Net NZIFRS Dataload Sep 06_2010 MEL Parent Tax Bal Sheet" xfId="7202" xr:uid="{00000000-0005-0000-0000-0000B6470000}"/>
    <cellStyle name="s_PurpleHeader_CFIS Net NZIFRS Dataload Sep 06_Attrition Rate Scorecard - October 2008" xfId="7203" xr:uid="{00000000-0005-0000-0000-0000B7470000}"/>
    <cellStyle name="s_PurpleHeader_CFIS Net NZIFRS Dataload Sep 06_Attrition Rate Scorecard - September 2008" xfId="7204" xr:uid="{00000000-0005-0000-0000-0000B8470000}"/>
    <cellStyle name="s_PurpleHeader_CFIS Net NZIFRS Dataload Sep 06_B3-December 08 Board View (Half Yr Adj)" xfId="7205" xr:uid="{00000000-0005-0000-0000-0000B9470000}"/>
    <cellStyle name="s_PurpleHeader_CFIS Net NZIFRS Dataload Sep 06_CONGL029" xfId="7206" xr:uid="{00000000-0005-0000-0000-0000BA470000}"/>
    <cellStyle name="s_PurpleHeader_CFIS Net NZIFRS Dataload Sep 06_Consolidation Schedule December 2008" xfId="7207" xr:uid="{00000000-0005-0000-0000-0000BB470000}"/>
    <cellStyle name="s_PurpleHeader_CFIS Net NZIFRS Dataload Sep 06_Consolidation Schedule December 2008 no ARC Impairment-FINAL" xfId="7208" xr:uid="{00000000-0005-0000-0000-0000BC470000}"/>
    <cellStyle name="s_PurpleHeader_CFIS Net NZIFRS Dataload Sep 06_Copy of Attrition Rate FTE's Aug 2008" xfId="7209" xr:uid="{00000000-0005-0000-0000-0000BD470000}"/>
    <cellStyle name="s_PurpleHeader_CFIS Net NZIFRS Dataload Sep 06_Copy of Attrition Rate FTE's Aug 2008_Book2" xfId="7210" xr:uid="{00000000-0005-0000-0000-0000BE470000}"/>
    <cellStyle name="s_PurpleHeader_CFIS Net NZIFRS Dataload Sep 06_Copy of Attrition Rate FTE's Aug 2008_Retail Scorecard September 2008a" xfId="7211" xr:uid="{00000000-0005-0000-0000-0000BF470000}"/>
    <cellStyle name="s_PurpleHeader_CFIS Net NZIFRS Dataload Sep 06_Copy of Attrition Rate FTE's Aug 2008_Retail Scorecard September 2008a 2" xfId="7212" xr:uid="{00000000-0005-0000-0000-0000C0470000}"/>
    <cellStyle name="s_PurpleHeader_CFIS Net NZIFRS Dataload Sep 06_Copy of Attrition Rate FTE's Aug 2008_Retail Scorecard September 2008a 3" xfId="7213" xr:uid="{00000000-0005-0000-0000-0000C1470000}"/>
    <cellStyle name="s_PurpleHeader_CFIS Net NZIFRS Dataload Sep 06_Copy of Attrition Rate FTE's Aug 2008_Retail Scorecard September 2008a_Sheet2" xfId="7214" xr:uid="{00000000-0005-0000-0000-0000C2470000}"/>
    <cellStyle name="s_PurpleHeader_CFIS Net NZIFRS Dataload Sep 06_Copy of Attrition Rate FTE's Aug 2008_Retail Scorecard September 2008b" xfId="7215" xr:uid="{00000000-0005-0000-0000-0000C3470000}"/>
    <cellStyle name="s_PurpleHeader_CFIS Net NZIFRS Dataload Sep 06_Copy of Attrition Rate FTE's Aug 2008_Retail Scorecard September 2008b 2" xfId="7216" xr:uid="{00000000-0005-0000-0000-0000C4470000}"/>
    <cellStyle name="s_PurpleHeader_CFIS Net NZIFRS Dataload Sep 06_Copy of Attrition Rate FTE's Aug 2008_Retail Scorecard September 2008b 3" xfId="7217" xr:uid="{00000000-0005-0000-0000-0000C5470000}"/>
    <cellStyle name="s_PurpleHeader_CFIS Net NZIFRS Dataload Sep 06_Copy of Attrition Rate FTE's Aug 2008_Retail Scorecard September 2008b_Sheet2" xfId="7218" xr:uid="{00000000-0005-0000-0000-0000C6470000}"/>
    <cellStyle name="s_PurpleHeader_CFIS Net NZIFRS Dataload Sep 06_Generation and NER Stats" xfId="7219" xr:uid="{00000000-0005-0000-0000-0000C7470000}"/>
    <cellStyle name="s_PurpleHeader_CFIS Net NZIFRS Dataload Sep 06_Group Consolidated Scorecard Dec08 - KM" xfId="7220" xr:uid="{00000000-0005-0000-0000-0000C8470000}"/>
    <cellStyle name="s_PurpleHeader_CFIS Net NZIFRS Dataload Sep 06_Group TB CONGL029" xfId="7221" xr:uid="{00000000-0005-0000-0000-0000C9470000}"/>
    <cellStyle name="s_PurpleHeader_CFIS Net NZIFRS Dataload Sep 06_HS&amp;W 2008-23-09" xfId="7222" xr:uid="{00000000-0005-0000-0000-0000CA470000}"/>
    <cellStyle name="s_PurpleHeader_CFIS Net NZIFRS Dataload Sep 06_HS&amp;W 2008-23-09_Book2" xfId="7223" xr:uid="{00000000-0005-0000-0000-0000CB470000}"/>
    <cellStyle name="s_PurpleHeader_CFIS Net NZIFRS Dataload Sep 06_HS&amp;W 2008-23-09_Retail Scorecard September 2008a" xfId="7224" xr:uid="{00000000-0005-0000-0000-0000CC470000}"/>
    <cellStyle name="s_PurpleHeader_CFIS Net NZIFRS Dataload Sep 06_HS&amp;W 2008-23-09_Retail Scorecard September 2008a 2" xfId="7225" xr:uid="{00000000-0005-0000-0000-0000CD470000}"/>
    <cellStyle name="s_PurpleHeader_CFIS Net NZIFRS Dataload Sep 06_HS&amp;W 2008-23-09_Retail Scorecard September 2008a 3" xfId="7226" xr:uid="{00000000-0005-0000-0000-0000CE470000}"/>
    <cellStyle name="s_PurpleHeader_CFIS Net NZIFRS Dataload Sep 06_HS&amp;W 2008-23-09_Retail Scorecard September 2008a_Sheet2" xfId="7227" xr:uid="{00000000-0005-0000-0000-0000CF470000}"/>
    <cellStyle name="s_PurpleHeader_CFIS Net NZIFRS Dataload Sep 06_HS&amp;W 2008-23-09_Retail Scorecard September 2008b" xfId="7228" xr:uid="{00000000-0005-0000-0000-0000D0470000}"/>
    <cellStyle name="s_PurpleHeader_CFIS Net NZIFRS Dataload Sep 06_HS&amp;W 2008-23-09_Retail Scorecard September 2008b 2" xfId="7229" xr:uid="{00000000-0005-0000-0000-0000D1470000}"/>
    <cellStyle name="s_PurpleHeader_CFIS Net NZIFRS Dataload Sep 06_HS&amp;W 2008-23-09_Retail Scorecard September 2008b 3" xfId="7230" xr:uid="{00000000-0005-0000-0000-0000D2470000}"/>
    <cellStyle name="s_PurpleHeader_CFIS Net NZIFRS Dataload Sep 06_HS&amp;W 2008-23-09_Retail Scorecard September 2008b_Sheet2" xfId="7231" xr:uid="{00000000-0005-0000-0000-0000D3470000}"/>
    <cellStyle name="s_PurpleHeader_CFIS Net NZIFRS Dataload Sep 06_June 10 Board View V1 19-07-10" xfId="7232" xr:uid="{00000000-0005-0000-0000-0000D4470000}"/>
    <cellStyle name="s_PurpleHeader_CFIS Net NZIFRS Dataload Sep 06_June 10 congl029" xfId="7233" xr:uid="{00000000-0005-0000-0000-0000D5470000}"/>
    <cellStyle name="s_PurpleHeader_CFIS Net NZIFRS Dataload Sep 06_MaPQuarterlyStats as at 31 December" xfId="7234" xr:uid="{00000000-0005-0000-0000-0000D6470000}"/>
    <cellStyle name="s_PurpleHeader_CFIS Net NZIFRS Dataload Sep 06_March 09 Board View" xfId="7235" xr:uid="{00000000-0005-0000-0000-0000D7470000}"/>
    <cellStyle name="s_PurpleHeader_CFIS Net NZIFRS Dataload Sep 06_Net Debt to Equity Ratio 31 12 08" xfId="7236" xr:uid="{00000000-0005-0000-0000-0000D8470000}"/>
    <cellStyle name="s_PurpleHeader_CFIS Net NZIFRS Dataload Sep 06_September 08 Board View" xfId="7237" xr:uid="{00000000-0005-0000-0000-0000D9470000}"/>
    <cellStyle name="s_PurpleHeader_CFIS Net NZIFRS Dataload Sep 06_September 08 Mgmt View" xfId="7238" xr:uid="{00000000-0005-0000-0000-0000DA470000}"/>
    <cellStyle name="s_PurpleHeader_CFIS Net NZIFRS Dataload Sep 06_TB Dec 2009 PowerTax mapping" xfId="7239" xr:uid="{00000000-0005-0000-0000-0000DB470000}"/>
    <cellStyle name="s_PurpleHeader_CFIS Net NZIFRS Dataload Sep 06_Template Scorecard 2008" xfId="7240" xr:uid="{00000000-0005-0000-0000-0000DC470000}"/>
    <cellStyle name="s_PurpleHeader_CFIS Net NZIFRS Dataload Sep 06_Template Scorecard 2008_Book2" xfId="7241" xr:uid="{00000000-0005-0000-0000-0000DD470000}"/>
    <cellStyle name="s_PurpleHeader_CFIS Net NZIFRS Dataload Sep 06_Template Scorecard 2008_Retail Scorecard September 2008a" xfId="7242" xr:uid="{00000000-0005-0000-0000-0000DE470000}"/>
    <cellStyle name="s_PurpleHeader_CFIS Net NZIFRS Dataload Sep 06_Template Scorecard 2008_Retail Scorecard September 2008a 2" xfId="7243" xr:uid="{00000000-0005-0000-0000-0000DF470000}"/>
    <cellStyle name="s_PurpleHeader_CFIS Net NZIFRS Dataload Sep 06_Template Scorecard 2008_Retail Scorecard September 2008a 3" xfId="7244" xr:uid="{00000000-0005-0000-0000-0000E0470000}"/>
    <cellStyle name="s_PurpleHeader_CFIS Net NZIFRS Dataload Sep 06_Template Scorecard 2008_Retail Scorecard September 2008a_Sheet2" xfId="7245" xr:uid="{00000000-0005-0000-0000-0000E1470000}"/>
    <cellStyle name="s_PurpleHeader_CFIS Net NZIFRS Dataload Sep 06_Template Scorecard 2008_Retail Scorecard September 2008b" xfId="7246" xr:uid="{00000000-0005-0000-0000-0000E2470000}"/>
    <cellStyle name="s_PurpleHeader_CFIS Net NZIFRS Dataload Sep 06_Template Scorecard 2008_Retail Scorecard September 2008b 2" xfId="7247" xr:uid="{00000000-0005-0000-0000-0000E3470000}"/>
    <cellStyle name="s_PurpleHeader_CFIS Net NZIFRS Dataload Sep 06_Template Scorecard 2008_Retail Scorecard September 2008b 3" xfId="7248" xr:uid="{00000000-0005-0000-0000-0000E4470000}"/>
    <cellStyle name="s_PurpleHeader_CFIS Net NZIFRS Dataload Sep 06_Template Scorecard 2008_Retail Scorecard September 2008b_Sheet2" xfId="7249" xr:uid="{00000000-0005-0000-0000-0000E5470000}"/>
    <cellStyle name="s_PurpleHeader_CFIS Net NZIFRS Dataload Sep 06_Template Scorecard 20081" xfId="7250" xr:uid="{00000000-0005-0000-0000-0000E6470000}"/>
    <cellStyle name="s_PurpleHeader_CFIS Net NZIFRS Dataload Sep 06_Template Scorecard 20081_Book2" xfId="7251" xr:uid="{00000000-0005-0000-0000-0000E7470000}"/>
    <cellStyle name="s_PurpleHeader_CFIS Net NZIFRS Dataload Sep 06_Template Scorecard 20081_Retail Scorecard September 2008a" xfId="7252" xr:uid="{00000000-0005-0000-0000-0000E8470000}"/>
    <cellStyle name="s_PurpleHeader_CFIS Net NZIFRS Dataload Sep 06_Template Scorecard 20081_Retail Scorecard September 2008a 2" xfId="7253" xr:uid="{00000000-0005-0000-0000-0000E9470000}"/>
    <cellStyle name="s_PurpleHeader_CFIS Net NZIFRS Dataload Sep 06_Template Scorecard 20081_Retail Scorecard September 2008a 3" xfId="7254" xr:uid="{00000000-0005-0000-0000-0000EA470000}"/>
    <cellStyle name="s_PurpleHeader_CFIS Net NZIFRS Dataload Sep 06_Template Scorecard 20081_Retail Scorecard September 2008a_Sheet2" xfId="7255" xr:uid="{00000000-0005-0000-0000-0000EB470000}"/>
    <cellStyle name="s_PurpleHeader_CFIS Net NZIFRS Dataload Sep 06_Template Scorecard 20081_Retail Scorecard September 2008b" xfId="7256" xr:uid="{00000000-0005-0000-0000-0000EC470000}"/>
    <cellStyle name="s_PurpleHeader_CFIS Net NZIFRS Dataload Sep 06_Template Scorecard 20081_Retail Scorecard September 2008b 2" xfId="7257" xr:uid="{00000000-0005-0000-0000-0000ED470000}"/>
    <cellStyle name="s_PurpleHeader_CFIS Net NZIFRS Dataload Sep 06_Template Scorecard 20081_Retail Scorecard September 2008b 3" xfId="7258" xr:uid="{00000000-0005-0000-0000-0000EE470000}"/>
    <cellStyle name="s_PurpleHeader_CFIS Net NZIFRS Dataload Sep 06_Template Scorecard 20081_Retail Scorecard September 2008b_Sheet2" xfId="7259" xr:uid="{00000000-0005-0000-0000-0000EF470000}"/>
    <cellStyle name="s_PurpleHeader_CONGL029" xfId="7260" xr:uid="{00000000-0005-0000-0000-0000F0470000}"/>
    <cellStyle name="s_PurpleHeader_Consolidation Schedule December 2008" xfId="7261" xr:uid="{00000000-0005-0000-0000-0000F1470000}"/>
    <cellStyle name="s_PurpleHeader_Consolidation Schedule December 2008 no ARC Impairment-FINAL" xfId="7262" xr:uid="{00000000-0005-0000-0000-0000F2470000}"/>
    <cellStyle name="s_PurpleHeader_Copy of Attrition Rate FTE's Aug 2008" xfId="7263" xr:uid="{00000000-0005-0000-0000-0000F3470000}"/>
    <cellStyle name="s_PurpleHeader_Copy of Attrition Rate FTE's Aug 2008_Book2" xfId="7264" xr:uid="{00000000-0005-0000-0000-0000F4470000}"/>
    <cellStyle name="s_PurpleHeader_Copy of Attrition Rate FTE's Aug 2008_Retail Scorecard September 2008a" xfId="7265" xr:uid="{00000000-0005-0000-0000-0000F5470000}"/>
    <cellStyle name="s_PurpleHeader_Copy of Attrition Rate FTE's Aug 2008_Retail Scorecard September 2008a 2" xfId="7266" xr:uid="{00000000-0005-0000-0000-0000F6470000}"/>
    <cellStyle name="s_PurpleHeader_Copy of Attrition Rate FTE's Aug 2008_Retail Scorecard September 2008a 3" xfId="7267" xr:uid="{00000000-0005-0000-0000-0000F7470000}"/>
    <cellStyle name="s_PurpleHeader_Copy of Attrition Rate FTE's Aug 2008_Retail Scorecard September 2008a_Sheet2" xfId="7268" xr:uid="{00000000-0005-0000-0000-0000F8470000}"/>
    <cellStyle name="s_PurpleHeader_Copy of Attrition Rate FTE's Aug 2008_Retail Scorecard September 2008b" xfId="7269" xr:uid="{00000000-0005-0000-0000-0000F9470000}"/>
    <cellStyle name="s_PurpleHeader_Copy of Attrition Rate FTE's Aug 2008_Retail Scorecard September 2008b 2" xfId="7270" xr:uid="{00000000-0005-0000-0000-0000FA470000}"/>
    <cellStyle name="s_PurpleHeader_Copy of Attrition Rate FTE's Aug 2008_Retail Scorecard September 2008b 3" xfId="7271" xr:uid="{00000000-0005-0000-0000-0000FB470000}"/>
    <cellStyle name="s_PurpleHeader_Copy of Attrition Rate FTE's Aug 2008_Retail Scorecard September 2008b_Sheet2" xfId="7272" xr:uid="{00000000-0005-0000-0000-0000FC470000}"/>
    <cellStyle name="s_PurpleHeader_Copy of Copy of JUNE 2008 ANNUAL ACCOUNTS 12092008 cfis" xfId="3030" xr:uid="{00000000-0005-0000-0000-0000FD470000}"/>
    <cellStyle name="s_PurpleHeader_Copy of Copy of JUNE 2008 ANNUAL ACCOUNTS 12092008 cfis 2" xfId="3031" xr:uid="{00000000-0005-0000-0000-0000FE470000}"/>
    <cellStyle name="s_PurpleHeader_Copy of Copy of JUNE 2008 ANNUAL ACCOUNTS 12092008 cfis 2 2" xfId="3032" xr:uid="{00000000-0005-0000-0000-0000FF470000}"/>
    <cellStyle name="s_PurpleHeader_Copy of Copy of JUNE 2008 ANNUAL ACCOUNTS 17092008 cfis" xfId="3033" xr:uid="{00000000-0005-0000-0000-000000480000}"/>
    <cellStyle name="s_PurpleHeader_Copy of Copy of JUNE 2008 ANNUAL ACCOUNTS 17092008 cfis 2" xfId="3034" xr:uid="{00000000-0005-0000-0000-000001480000}"/>
    <cellStyle name="s_PurpleHeader_Copy of Copy of JUNE 2008 ANNUAL ACCOUNTS 17092008 cfis 2 2" xfId="3035" xr:uid="{00000000-0005-0000-0000-000002480000}"/>
    <cellStyle name="s_PurpleHeader_Copy of JUNE_2008_ANNUAL_ACCOUNTS_19082008_cfis_rtn_2" xfId="3036" xr:uid="{00000000-0005-0000-0000-000003480000}"/>
    <cellStyle name="s_PurpleHeader_Copy of JUNE_2008_ANNUAL_ACCOUNTS_19082008_cfis_rtn_2 2" xfId="3037" xr:uid="{00000000-0005-0000-0000-000004480000}"/>
    <cellStyle name="s_PurpleHeader_Copy of JUNE_2008_ANNUAL_ACCOUNTS_19082008_cfis_rtn_2 2 2" xfId="3038" xr:uid="{00000000-0005-0000-0000-000005480000}"/>
    <cellStyle name="s_PurpleHeader_DataLoad_206" xfId="7273" xr:uid="{00000000-0005-0000-0000-000006480000}"/>
    <cellStyle name="s_PurpleHeader_DataLoad_210(1)" xfId="3039" xr:uid="{00000000-0005-0000-0000-000007480000}"/>
    <cellStyle name="s_PurpleHeader_DataLoad_210(1) 2" xfId="3040" xr:uid="{00000000-0005-0000-0000-000008480000}"/>
    <cellStyle name="s_PurpleHeader_DataLoad_210(1) 2 2" xfId="3041" xr:uid="{00000000-0005-0000-0000-000009480000}"/>
    <cellStyle name="s_PurpleHeader_Dec 2008 actuals" xfId="3042" xr:uid="{00000000-0005-0000-0000-00000A480000}"/>
    <cellStyle name="s_PurpleHeader_Dec 2008 actuals (copy only)" xfId="3043" xr:uid="{00000000-0005-0000-0000-00000B480000}"/>
    <cellStyle name="s_PurpleHeader_Dec 2008 actuals (copy only) 2" xfId="3044" xr:uid="{00000000-0005-0000-0000-00000C480000}"/>
    <cellStyle name="s_PurpleHeader_Dec 2008 actuals (copy only) 2 2" xfId="3045" xr:uid="{00000000-0005-0000-0000-00000D480000}"/>
    <cellStyle name="s_PurpleHeader_Dec 2008 actuals 10" xfId="3046" xr:uid="{00000000-0005-0000-0000-00000E480000}"/>
    <cellStyle name="s_PurpleHeader_Dec 2008 actuals 11" xfId="3047" xr:uid="{00000000-0005-0000-0000-00000F480000}"/>
    <cellStyle name="s_PurpleHeader_Dec 2008 actuals 12" xfId="3048" xr:uid="{00000000-0005-0000-0000-000010480000}"/>
    <cellStyle name="s_PurpleHeader_Dec 2008 actuals 13" xfId="3049" xr:uid="{00000000-0005-0000-0000-000011480000}"/>
    <cellStyle name="s_PurpleHeader_Dec 2008 actuals 14" xfId="3050" xr:uid="{00000000-0005-0000-0000-000012480000}"/>
    <cellStyle name="s_PurpleHeader_Dec 2008 actuals 15" xfId="3051" xr:uid="{00000000-0005-0000-0000-000013480000}"/>
    <cellStyle name="s_PurpleHeader_Dec 2008 actuals 16" xfId="3052" xr:uid="{00000000-0005-0000-0000-000014480000}"/>
    <cellStyle name="s_PurpleHeader_Dec 2008 actuals 17" xfId="3053" xr:uid="{00000000-0005-0000-0000-000015480000}"/>
    <cellStyle name="s_PurpleHeader_Dec 2008 actuals 18" xfId="3054" xr:uid="{00000000-0005-0000-0000-000016480000}"/>
    <cellStyle name="s_PurpleHeader_Dec 2008 actuals 2" xfId="3055" xr:uid="{00000000-0005-0000-0000-000017480000}"/>
    <cellStyle name="s_PurpleHeader_Dec 2008 actuals 2 2" xfId="3056" xr:uid="{00000000-0005-0000-0000-000018480000}"/>
    <cellStyle name="s_PurpleHeader_Dec 2008 actuals 3" xfId="3057" xr:uid="{00000000-0005-0000-0000-000019480000}"/>
    <cellStyle name="s_PurpleHeader_Dec 2008 actuals 3 2" xfId="3058" xr:uid="{00000000-0005-0000-0000-00001A480000}"/>
    <cellStyle name="s_PurpleHeader_Dec 2008 actuals 4" xfId="3059" xr:uid="{00000000-0005-0000-0000-00001B480000}"/>
    <cellStyle name="s_PurpleHeader_Dec 2008 actuals 5" xfId="3060" xr:uid="{00000000-0005-0000-0000-00001C480000}"/>
    <cellStyle name="s_PurpleHeader_Dec 2008 actuals 6" xfId="3061" xr:uid="{00000000-0005-0000-0000-00001D480000}"/>
    <cellStyle name="s_PurpleHeader_Dec 2008 actuals 7" xfId="3062" xr:uid="{00000000-0005-0000-0000-00001E480000}"/>
    <cellStyle name="s_PurpleHeader_Dec 2008 actuals 8" xfId="3063" xr:uid="{00000000-0005-0000-0000-00001F480000}"/>
    <cellStyle name="s_PurpleHeader_Dec 2008 actuals 9" xfId="3064" xr:uid="{00000000-0005-0000-0000-000020480000}"/>
    <cellStyle name="s_PurpleHeader_FORECAST TRACK Period 3_4 2009" xfId="3065" xr:uid="{00000000-0005-0000-0000-000021480000}"/>
    <cellStyle name="s_PurpleHeader_FORECAST TRACK Period 3_4 2009 2" xfId="3066" xr:uid="{00000000-0005-0000-0000-000022480000}"/>
    <cellStyle name="s_PurpleHeader_FORECAST TRACK Period 3_4 2009 2 2" xfId="3067" xr:uid="{00000000-0005-0000-0000-000023480000}"/>
    <cellStyle name="s_PurpleHeader_Generation and NER Stats" xfId="7274" xr:uid="{00000000-0005-0000-0000-000024480000}"/>
    <cellStyle name="s_PurpleHeader_Group Consolidated Scorecard Dec08 - KM" xfId="7275" xr:uid="{00000000-0005-0000-0000-000025480000}"/>
    <cellStyle name="s_PurpleHeader_Group TB CONGL029" xfId="7276" xr:uid="{00000000-0005-0000-0000-000026480000}"/>
    <cellStyle name="s_PurpleHeader_GST Dec Balance Sheet Rec's" xfId="3068" xr:uid="{00000000-0005-0000-0000-000027480000}"/>
    <cellStyle name="s_PurpleHeader_GST Dec Balance Sheet Rec's 2" xfId="3069" xr:uid="{00000000-0005-0000-0000-000028480000}"/>
    <cellStyle name="s_PurpleHeader_GST Dec Balance Sheet Rec's 2 2" xfId="3070" xr:uid="{00000000-0005-0000-0000-000029480000}"/>
    <cellStyle name="s_PurpleHeader_HS&amp;W 2008-23-09" xfId="7277" xr:uid="{00000000-0005-0000-0000-00002A480000}"/>
    <cellStyle name="s_PurpleHeader_HS&amp;W 2008-23-09_Book2" xfId="7278" xr:uid="{00000000-0005-0000-0000-00002B480000}"/>
    <cellStyle name="s_PurpleHeader_HS&amp;W 2008-23-09_Retail Scorecard September 2008a" xfId="7279" xr:uid="{00000000-0005-0000-0000-00002C480000}"/>
    <cellStyle name="s_PurpleHeader_HS&amp;W 2008-23-09_Retail Scorecard September 2008a 2" xfId="7280" xr:uid="{00000000-0005-0000-0000-00002D480000}"/>
    <cellStyle name="s_PurpleHeader_HS&amp;W 2008-23-09_Retail Scorecard September 2008a 3" xfId="7281" xr:uid="{00000000-0005-0000-0000-00002E480000}"/>
    <cellStyle name="s_PurpleHeader_HS&amp;W 2008-23-09_Retail Scorecard September 2008a_Sheet2" xfId="7282" xr:uid="{00000000-0005-0000-0000-00002F480000}"/>
    <cellStyle name="s_PurpleHeader_HS&amp;W 2008-23-09_Retail Scorecard September 2008b" xfId="7283" xr:uid="{00000000-0005-0000-0000-000030480000}"/>
    <cellStyle name="s_PurpleHeader_HS&amp;W 2008-23-09_Retail Scorecard September 2008b 2" xfId="7284" xr:uid="{00000000-0005-0000-0000-000031480000}"/>
    <cellStyle name="s_PurpleHeader_HS&amp;W 2008-23-09_Retail Scorecard September 2008b 3" xfId="7285" xr:uid="{00000000-0005-0000-0000-000032480000}"/>
    <cellStyle name="s_PurpleHeader_HS&amp;W 2008-23-09_Retail Scorecard September 2008b_Sheet2" xfId="7286" xr:uid="{00000000-0005-0000-0000-000033480000}"/>
    <cellStyle name="s_PurpleHeader_July Finance Workpaper" xfId="3071" xr:uid="{00000000-0005-0000-0000-000034480000}"/>
    <cellStyle name="s_PurpleHeader_July Finance Workpaper 2" xfId="3072" xr:uid="{00000000-0005-0000-0000-000035480000}"/>
    <cellStyle name="s_PurpleHeader_July Finance Workpaper 2 2" xfId="3073" xr:uid="{00000000-0005-0000-0000-000036480000}"/>
    <cellStyle name="s_PurpleHeader_June 10 Board View V1 19-07-10" xfId="7287" xr:uid="{00000000-0005-0000-0000-000037480000}"/>
    <cellStyle name="s_PurpleHeader_June 10 congl029" xfId="7288" xr:uid="{00000000-0005-0000-0000-000038480000}"/>
    <cellStyle name="s_PurpleHeader_JUNE 2008 ANNUAL ACCOUNTS (Audit copy) 22092008" xfId="3074" xr:uid="{00000000-0005-0000-0000-000039480000}"/>
    <cellStyle name="s_PurpleHeader_JUNE 2008 ANNUAL ACCOUNTS (Audit copy) 22092008 2" xfId="3075" xr:uid="{00000000-0005-0000-0000-00003A480000}"/>
    <cellStyle name="s_PurpleHeader_JUNE 2008 ANNUAL ACCOUNTS (Audit copy) 22092008 2 2" xfId="3076" xr:uid="{00000000-0005-0000-0000-00003B480000}"/>
    <cellStyle name="s_PurpleHeader_JUNE 2008 ANNUAL ACCOUNTS (Auditv2) 26092008" xfId="3077" xr:uid="{00000000-0005-0000-0000-00003C480000}"/>
    <cellStyle name="s_PurpleHeader_JUNE 2008 ANNUAL ACCOUNTS (Auditv2) 26092008 2" xfId="3078" xr:uid="{00000000-0005-0000-0000-00003D480000}"/>
    <cellStyle name="s_PurpleHeader_JUNE 2008 ANNUAL ACCOUNTS (Auditv2) 26092008 2 2" xfId="3079" xr:uid="{00000000-0005-0000-0000-00003E480000}"/>
    <cellStyle name="s_PurpleHeader_JUNE 2008 ANNUAL ACCOUNTS (Auditv2) 26092008 i" xfId="3080" xr:uid="{00000000-0005-0000-0000-00003F480000}"/>
    <cellStyle name="s_PurpleHeader_JUNE 2008 ANNUAL ACCOUNTS (Auditv2) 26092008 i 2" xfId="3081" xr:uid="{00000000-0005-0000-0000-000040480000}"/>
    <cellStyle name="s_PurpleHeader_JUNE 2008 ANNUAL ACCOUNTS (Auditv2) 26092008 i 2 2" xfId="3082" xr:uid="{00000000-0005-0000-0000-000041480000}"/>
    <cellStyle name="s_PurpleHeader_JUNE 2008 ANNUAL ACCOUNTS 1108008ls" xfId="3083" xr:uid="{00000000-0005-0000-0000-000042480000}"/>
    <cellStyle name="s_PurpleHeader_JUNE 2008 ANNUAL ACCOUNTS 1108008ls 2" xfId="3084" xr:uid="{00000000-0005-0000-0000-000043480000}"/>
    <cellStyle name="s_PurpleHeader_JUNE 2008 ANNUAL ACCOUNTS 1108008ls 2 2" xfId="3085" xr:uid="{00000000-0005-0000-0000-000044480000}"/>
    <cellStyle name="s_PurpleHeader_JUNE 2008 ANNUAL ACCOUNTS 260808 cfis" xfId="3086" xr:uid="{00000000-0005-0000-0000-000045480000}"/>
    <cellStyle name="s_PurpleHeader_JUNE 2008 ANNUAL ACCOUNTS 260808 cfis 2" xfId="3087" xr:uid="{00000000-0005-0000-0000-000046480000}"/>
    <cellStyle name="s_PurpleHeader_JUNE 2008 ANNUAL ACCOUNTS 260808 cfis 2 2" xfId="3088" xr:uid="{00000000-0005-0000-0000-000047480000}"/>
    <cellStyle name="s_PurpleHeader_JUNE 2008 ANNUAL ACCOUNTS change from the Management Accounts 180808" xfId="3089" xr:uid="{00000000-0005-0000-0000-000048480000}"/>
    <cellStyle name="s_PurpleHeader_JUNE 2008 ANNUAL ACCOUNTS change from the Management Accounts 180808 2" xfId="3090" xr:uid="{00000000-0005-0000-0000-000049480000}"/>
    <cellStyle name="s_PurpleHeader_JUNE 2008 ANNUAL ACCOUNTS change from the Management Accounts 180808 2 2" xfId="3091" xr:uid="{00000000-0005-0000-0000-00004A480000}"/>
    <cellStyle name="s_PurpleHeader_June Finance Workpaper" xfId="3092" xr:uid="{00000000-0005-0000-0000-00004B480000}"/>
    <cellStyle name="s_PurpleHeader_June Finance Workpaper 10" xfId="3093" xr:uid="{00000000-0005-0000-0000-00004C480000}"/>
    <cellStyle name="s_PurpleHeader_JUNE Finance Workpaper 130709" xfId="3094" xr:uid="{00000000-0005-0000-0000-00004D480000}"/>
    <cellStyle name="s_PurpleHeader_JUNE Finance Workpaper 130709 2" xfId="3095" xr:uid="{00000000-0005-0000-0000-00004E480000}"/>
    <cellStyle name="s_PurpleHeader_JUNE Finance Workpaper 130709 2 2" xfId="3096" xr:uid="{00000000-0005-0000-0000-00004F480000}"/>
    <cellStyle name="s_PurpleHeader_June Finance Workpaper 2" xfId="3097" xr:uid="{00000000-0005-0000-0000-000050480000}"/>
    <cellStyle name="s_PurpleHeader_June Finance Workpaper 2 2" xfId="3098" xr:uid="{00000000-0005-0000-0000-000051480000}"/>
    <cellStyle name="s_PurpleHeader_June Finance Workpaper 3" xfId="3099" xr:uid="{00000000-0005-0000-0000-000052480000}"/>
    <cellStyle name="s_PurpleHeader_June Finance Workpaper 3 2" xfId="3100" xr:uid="{00000000-0005-0000-0000-000053480000}"/>
    <cellStyle name="s_PurpleHeader_June Finance Workpaper 4" xfId="3101" xr:uid="{00000000-0005-0000-0000-000054480000}"/>
    <cellStyle name="s_PurpleHeader_June Finance Workpaper 5" xfId="3102" xr:uid="{00000000-0005-0000-0000-000055480000}"/>
    <cellStyle name="s_PurpleHeader_June Finance Workpaper 6" xfId="3103" xr:uid="{00000000-0005-0000-0000-000056480000}"/>
    <cellStyle name="s_PurpleHeader_June Finance Workpaper 7" xfId="3104" xr:uid="{00000000-0005-0000-0000-000057480000}"/>
    <cellStyle name="s_PurpleHeader_June Finance Workpaper 8" xfId="3105" xr:uid="{00000000-0005-0000-0000-000058480000}"/>
    <cellStyle name="s_PurpleHeader_June Finance Workpaper 9" xfId="3106" xr:uid="{00000000-0005-0000-0000-000059480000}"/>
    <cellStyle name="s_PurpleHeader_JUNE Finance Workpaper v2" xfId="3107" xr:uid="{00000000-0005-0000-0000-00005A480000}"/>
    <cellStyle name="s_PurpleHeader_JUNE Finance Workpaper v2 2" xfId="3108" xr:uid="{00000000-0005-0000-0000-00005B480000}"/>
    <cellStyle name="s_PurpleHeader_JUNE Finance Workpaper v2 2 2" xfId="3109" xr:uid="{00000000-0005-0000-0000-00005C480000}"/>
    <cellStyle name="s_PurpleHeader_June Finance Workpaperv1" xfId="3110" xr:uid="{00000000-0005-0000-0000-00005D480000}"/>
    <cellStyle name="s_PurpleHeader_June Finance Workpaperv1 2" xfId="3111" xr:uid="{00000000-0005-0000-0000-00005E480000}"/>
    <cellStyle name="s_PurpleHeader_June Finance Workpaperv1 2 2" xfId="3112" xr:uid="{00000000-0005-0000-0000-00005F480000}"/>
    <cellStyle name="s_PurpleHeader_June_Actuals" xfId="3113" xr:uid="{00000000-0005-0000-0000-000060480000}"/>
    <cellStyle name="s_PurpleHeader_June_Actuals 2" xfId="3114" xr:uid="{00000000-0005-0000-0000-000061480000}"/>
    <cellStyle name="s_PurpleHeader_June_Actuals 2 2" xfId="3115" xr:uid="{00000000-0005-0000-0000-000062480000}"/>
    <cellStyle name="s_PurpleHeader_MaPQuarterlyStats as at 31 December" xfId="7289" xr:uid="{00000000-0005-0000-0000-000063480000}"/>
    <cellStyle name="s_PurpleHeader_March 09 Board View" xfId="7290" xr:uid="{00000000-0005-0000-0000-000064480000}"/>
    <cellStyle name="s_PurpleHeader_MAY Finance Workpaper FINAL" xfId="3116" xr:uid="{00000000-0005-0000-0000-000065480000}"/>
    <cellStyle name="s_PurpleHeader_MAY Finance Workpaper FINAL 2" xfId="3117" xr:uid="{00000000-0005-0000-0000-000066480000}"/>
    <cellStyle name="s_PurpleHeader_MAY Finance Workpaper FINAL 2 2" xfId="3118" xr:uid="{00000000-0005-0000-0000-000067480000}"/>
    <cellStyle name="s_PurpleHeader_Net Debt to Equity Ratio 31 12 08" xfId="7291" xr:uid="{00000000-0005-0000-0000-000068480000}"/>
    <cellStyle name="s_PurpleHeader_November Finance Workpaper" xfId="3119" xr:uid="{00000000-0005-0000-0000-000069480000}"/>
    <cellStyle name="s_PurpleHeader_November Finance Workpaper 2" xfId="3120" xr:uid="{00000000-0005-0000-0000-00006A480000}"/>
    <cellStyle name="s_PurpleHeader_November Finance Workpaper 2 2" xfId="3121" xr:uid="{00000000-0005-0000-0000-00006B480000}"/>
    <cellStyle name="s_PurpleHeader_Oct Finance Workpaper v5" xfId="3122" xr:uid="{00000000-0005-0000-0000-00006C480000}"/>
    <cellStyle name="s_PurpleHeader_Oct Finance Workpaper v5 2" xfId="3123" xr:uid="{00000000-0005-0000-0000-00006D480000}"/>
    <cellStyle name="s_PurpleHeader_Oct Finance Workpaper v5 2 2" xfId="3124" xr:uid="{00000000-0005-0000-0000-00006E480000}"/>
    <cellStyle name="s_PurpleHeader_ONTRACK proformas - June 2008 v050908" xfId="3125" xr:uid="{00000000-0005-0000-0000-00006F480000}"/>
    <cellStyle name="s_PurpleHeader_ONTRACK proformas - June 2008 v050908 2" xfId="3126" xr:uid="{00000000-0005-0000-0000-000070480000}"/>
    <cellStyle name="s_PurpleHeader_ONTRACK proformas - June 2008 v050908 2 2" xfId="3127" xr:uid="{00000000-0005-0000-0000-000071480000}"/>
    <cellStyle name="s_PurpleHeader_SEPT Finance Workpaper v 071009" xfId="3128" xr:uid="{00000000-0005-0000-0000-000072480000}"/>
    <cellStyle name="s_PurpleHeader_SEPT Finance Workpaper v 071009 2" xfId="3129" xr:uid="{00000000-0005-0000-0000-000073480000}"/>
    <cellStyle name="s_PurpleHeader_SEPT Finance Workpaper v 071009 2 2" xfId="3130" xr:uid="{00000000-0005-0000-0000-000074480000}"/>
    <cellStyle name="s_PurpleHeader_September 08 Board View" xfId="7292" xr:uid="{00000000-0005-0000-0000-000075480000}"/>
    <cellStyle name="s_PurpleHeader_September 08 Mgmt View" xfId="7293" xr:uid="{00000000-0005-0000-0000-000076480000}"/>
    <cellStyle name="s_PurpleHeader_September Finance Workpaper v2" xfId="3131" xr:uid="{00000000-0005-0000-0000-000077480000}"/>
    <cellStyle name="s_PurpleHeader_September Finance Workpaper v2 2" xfId="3132" xr:uid="{00000000-0005-0000-0000-000078480000}"/>
    <cellStyle name="s_PurpleHeader_September Finance Workpaper v2 2 2" xfId="3133" xr:uid="{00000000-0005-0000-0000-000079480000}"/>
    <cellStyle name="s_PurpleHeader_TB Dec 2009 PowerTax mapping" xfId="7294" xr:uid="{00000000-0005-0000-0000-00007A480000}"/>
    <cellStyle name="s_PurpleHeader_Template Scorecard 2008" xfId="7295" xr:uid="{00000000-0005-0000-0000-00007B480000}"/>
    <cellStyle name="s_PurpleHeader_Template Scorecard 2008_Book2" xfId="7296" xr:uid="{00000000-0005-0000-0000-00007C480000}"/>
    <cellStyle name="s_PurpleHeader_Template Scorecard 2008_Retail Scorecard September 2008a" xfId="7297" xr:uid="{00000000-0005-0000-0000-00007D480000}"/>
    <cellStyle name="s_PurpleHeader_Template Scorecard 2008_Retail Scorecard September 2008a 2" xfId="7298" xr:uid="{00000000-0005-0000-0000-00007E480000}"/>
    <cellStyle name="s_PurpleHeader_Template Scorecard 2008_Retail Scorecard September 2008a 3" xfId="7299" xr:uid="{00000000-0005-0000-0000-00007F480000}"/>
    <cellStyle name="s_PurpleHeader_Template Scorecard 2008_Retail Scorecard September 2008a_Sheet2" xfId="7300" xr:uid="{00000000-0005-0000-0000-000080480000}"/>
    <cellStyle name="s_PurpleHeader_Template Scorecard 2008_Retail Scorecard September 2008b" xfId="7301" xr:uid="{00000000-0005-0000-0000-000081480000}"/>
    <cellStyle name="s_PurpleHeader_Template Scorecard 2008_Retail Scorecard September 2008b 2" xfId="7302" xr:uid="{00000000-0005-0000-0000-000082480000}"/>
    <cellStyle name="s_PurpleHeader_Template Scorecard 2008_Retail Scorecard September 2008b 3" xfId="7303" xr:uid="{00000000-0005-0000-0000-000083480000}"/>
    <cellStyle name="s_PurpleHeader_Template Scorecard 2008_Retail Scorecard September 2008b_Sheet2" xfId="7304" xr:uid="{00000000-0005-0000-0000-000084480000}"/>
    <cellStyle name="s_PurpleHeader_Template Scorecard 20081" xfId="7305" xr:uid="{00000000-0005-0000-0000-000085480000}"/>
    <cellStyle name="s_PurpleHeader_Template Scorecard 20081_Book2" xfId="7306" xr:uid="{00000000-0005-0000-0000-000086480000}"/>
    <cellStyle name="s_PurpleHeader_Template Scorecard 20081_Retail Scorecard September 2008a" xfId="7307" xr:uid="{00000000-0005-0000-0000-000087480000}"/>
    <cellStyle name="s_PurpleHeader_Template Scorecard 20081_Retail Scorecard September 2008a 2" xfId="7308" xr:uid="{00000000-0005-0000-0000-000088480000}"/>
    <cellStyle name="s_PurpleHeader_Template Scorecard 20081_Retail Scorecard September 2008a 3" xfId="7309" xr:uid="{00000000-0005-0000-0000-000089480000}"/>
    <cellStyle name="s_PurpleHeader_Template Scorecard 20081_Retail Scorecard September 2008a_Sheet2" xfId="7310" xr:uid="{00000000-0005-0000-0000-00008A480000}"/>
    <cellStyle name="s_PurpleHeader_Template Scorecard 20081_Retail Scorecard September 2008b" xfId="7311" xr:uid="{00000000-0005-0000-0000-00008B480000}"/>
    <cellStyle name="s_PurpleHeader_Template Scorecard 20081_Retail Scorecard September 2008b 2" xfId="7312" xr:uid="{00000000-0005-0000-0000-00008C480000}"/>
    <cellStyle name="s_PurpleHeader_Template Scorecard 20081_Retail Scorecard September 2008b 3" xfId="7313" xr:uid="{00000000-0005-0000-0000-00008D480000}"/>
    <cellStyle name="s_PurpleHeader_Template Scorecard 20081_Retail Scorecard September 2008b_Sheet2" xfId="7314" xr:uid="{00000000-0005-0000-0000-00008E480000}"/>
    <cellStyle name="s_TotalBackground" xfId="3134" xr:uid="{00000000-0005-0000-0000-00008F480000}"/>
    <cellStyle name="s_TotalBackground 2" xfId="3135" xr:uid="{00000000-0005-0000-0000-000090480000}"/>
    <cellStyle name="s_TotalBackground 2 2" xfId="3136" xr:uid="{00000000-0005-0000-0000-000091480000}"/>
    <cellStyle name="s_TotalBackground 3" xfId="7315" xr:uid="{00000000-0005-0000-0000-000092480000}"/>
    <cellStyle name="s_TotalBackground_2010 MEL Parent Tax Bal Sheet" xfId="7316" xr:uid="{00000000-0005-0000-0000-000093480000}"/>
    <cellStyle name="s_TotalBackground_Attrition Rate Scorecard - October 2008" xfId="7317" xr:uid="{00000000-0005-0000-0000-000094480000}"/>
    <cellStyle name="s_TotalBackground_Attrition Rate Scorecard - October 2008 2" xfId="7318" xr:uid="{00000000-0005-0000-0000-000095480000}"/>
    <cellStyle name="s_TotalBackground_Attrition Rate Scorecard - October 2008 3" xfId="7319" xr:uid="{00000000-0005-0000-0000-000096480000}"/>
    <cellStyle name="s_TotalBackground_Attrition Rate Scorecard - September 2008" xfId="7320" xr:uid="{00000000-0005-0000-0000-000097480000}"/>
    <cellStyle name="s_TotalBackground_Attrition Rate Scorecard - September 2008 2" xfId="7321" xr:uid="{00000000-0005-0000-0000-000098480000}"/>
    <cellStyle name="s_TotalBackground_Attrition Rate Scorecard - September 2008 3" xfId="7322" xr:uid="{00000000-0005-0000-0000-000099480000}"/>
    <cellStyle name="s_TotalBackground_B3-December 08 Board View (Half Yr Adj)" xfId="7323" xr:uid="{00000000-0005-0000-0000-00009A480000}"/>
    <cellStyle name="s_TotalBackground_CONGL029" xfId="7324" xr:uid="{00000000-0005-0000-0000-00009B480000}"/>
    <cellStyle name="s_TotalBackground_CONGL029 2" xfId="7325" xr:uid="{00000000-0005-0000-0000-00009C480000}"/>
    <cellStyle name="s_TotalBackground_CONGL029 3" xfId="7326" xr:uid="{00000000-0005-0000-0000-00009D480000}"/>
    <cellStyle name="s_TotalBackground_Consolidation Schedule December 2008" xfId="7327" xr:uid="{00000000-0005-0000-0000-00009E480000}"/>
    <cellStyle name="s_TotalBackground_Consolidation Schedule December 2008 no ARC Impairment-FINAL" xfId="7328" xr:uid="{00000000-0005-0000-0000-00009F480000}"/>
    <cellStyle name="s_TotalBackground_Consolidation Schedule December 2008 no ARC Impairment-FINAL 2" xfId="7329" xr:uid="{00000000-0005-0000-0000-0000A0480000}"/>
    <cellStyle name="s_TotalBackground_Consolidation Schedule December 2008 no ARC Impairment-FINAL 3" xfId="7330" xr:uid="{00000000-0005-0000-0000-0000A1480000}"/>
    <cellStyle name="s_TotalBackground_Copy of Attrition Rate FTE's Aug 2008" xfId="7331" xr:uid="{00000000-0005-0000-0000-0000A2480000}"/>
    <cellStyle name="s_TotalBackground_Copy of Attrition Rate FTE's Aug 2008 2" xfId="7332" xr:uid="{00000000-0005-0000-0000-0000A3480000}"/>
    <cellStyle name="s_TotalBackground_Copy of Attrition Rate FTE's Aug 2008 3" xfId="7333" xr:uid="{00000000-0005-0000-0000-0000A4480000}"/>
    <cellStyle name="s_TotalBackground_Generation and NER Stats" xfId="7334" xr:uid="{00000000-0005-0000-0000-0000A5480000}"/>
    <cellStyle name="s_TotalBackground_Group Consolidated Scorecard Dec08 - KM" xfId="7335" xr:uid="{00000000-0005-0000-0000-0000A6480000}"/>
    <cellStyle name="s_TotalBackground_Group TB CONGL029" xfId="7336" xr:uid="{00000000-0005-0000-0000-0000A7480000}"/>
    <cellStyle name="s_TotalBackground_HS&amp;W 2008-23-09" xfId="7337" xr:uid="{00000000-0005-0000-0000-0000A8480000}"/>
    <cellStyle name="s_TotalBackground_HS&amp;W 2008-23-09 2" xfId="7338" xr:uid="{00000000-0005-0000-0000-0000A9480000}"/>
    <cellStyle name="s_TotalBackground_HS&amp;W 2008-23-09 3" xfId="7339" xr:uid="{00000000-0005-0000-0000-0000AA480000}"/>
    <cellStyle name="s_TotalBackground_June 10 Board View V1 19-07-10" xfId="7340" xr:uid="{00000000-0005-0000-0000-0000AB480000}"/>
    <cellStyle name="s_TotalBackground_June 10 congl029" xfId="7341" xr:uid="{00000000-0005-0000-0000-0000AC480000}"/>
    <cellStyle name="s_TotalBackground_MaPQuarterlyStats as at 31 December" xfId="7342" xr:uid="{00000000-0005-0000-0000-0000AD480000}"/>
    <cellStyle name="s_TotalBackground_March 09 Board View" xfId="7343" xr:uid="{00000000-0005-0000-0000-0000AE480000}"/>
    <cellStyle name="s_TotalBackground_Net Debt to Equity Ratio 31 12 08" xfId="7344" xr:uid="{00000000-0005-0000-0000-0000AF480000}"/>
    <cellStyle name="s_TotalBackground_September 08 Board View" xfId="7345" xr:uid="{00000000-0005-0000-0000-0000B0480000}"/>
    <cellStyle name="s_TotalBackground_September 08 Mgmt View" xfId="7346" xr:uid="{00000000-0005-0000-0000-0000B1480000}"/>
    <cellStyle name="s_TotalBackground_TB Dec 2009 PowerTax mapping" xfId="7347" xr:uid="{00000000-0005-0000-0000-0000B2480000}"/>
    <cellStyle name="s_TotalBackground_Template Scorecard 2008" xfId="7348" xr:uid="{00000000-0005-0000-0000-0000B3480000}"/>
    <cellStyle name="s_TotalBackground_Template Scorecard 2008 2" xfId="7349" xr:uid="{00000000-0005-0000-0000-0000B4480000}"/>
    <cellStyle name="s_TotalBackground_Template Scorecard 2008 3" xfId="7350" xr:uid="{00000000-0005-0000-0000-0000B5480000}"/>
    <cellStyle name="s_TotalBackground_Template Scorecard 20081" xfId="7351" xr:uid="{00000000-0005-0000-0000-0000B6480000}"/>
    <cellStyle name="s_TotalBackground_Template Scorecard 20081 2" xfId="7352" xr:uid="{00000000-0005-0000-0000-0000B7480000}"/>
    <cellStyle name="s_TotalBackground_Template Scorecard 20081 3" xfId="7353" xr:uid="{00000000-0005-0000-0000-0000B8480000}"/>
    <cellStyle name="Schlecht" xfId="189" xr:uid="{00000000-0005-0000-0000-0000B9480000}"/>
    <cellStyle name="secondary" xfId="3137" xr:uid="{00000000-0005-0000-0000-0000BA480000}"/>
    <cellStyle name="secondary 2" xfId="16251" xr:uid="{00000000-0005-0000-0000-0000BB480000}"/>
    <cellStyle name="secondary 3" xfId="17897" xr:uid="{00000000-0005-0000-0000-0000BC480000}"/>
    <cellStyle name="secondary 4" xfId="18896" xr:uid="{00000000-0005-0000-0000-0000BD480000}"/>
    <cellStyle name="secondary 5" xfId="19648" xr:uid="{00000000-0005-0000-0000-0000BE480000}"/>
    <cellStyle name="Selection" xfId="12164" xr:uid="{00000000-0005-0000-0000-0000BF480000}"/>
    <cellStyle name="Shade" xfId="33" xr:uid="{00000000-0005-0000-0000-0000C0480000}"/>
    <cellStyle name="Shade 2" xfId="190" xr:uid="{00000000-0005-0000-0000-0000C1480000}"/>
    <cellStyle name="Shade 2 2" xfId="450" xr:uid="{00000000-0005-0000-0000-0000C2480000}"/>
    <cellStyle name="Shade 2 2 2" xfId="535" xr:uid="{00000000-0005-0000-0000-0000C3480000}"/>
    <cellStyle name="Shade 2 2 2 10" xfId="11002" xr:uid="{00000000-0005-0000-0000-0000C4480000}"/>
    <cellStyle name="Shade 2 2 2 11" xfId="11389" xr:uid="{00000000-0005-0000-0000-0000C5480000}"/>
    <cellStyle name="Shade 2 2 2 12" xfId="11761" xr:uid="{00000000-0005-0000-0000-0000C6480000}"/>
    <cellStyle name="Shade 2 2 2 13" xfId="12274" xr:uid="{00000000-0005-0000-0000-0000C7480000}"/>
    <cellStyle name="Shade 2 2 2 14" xfId="15047" xr:uid="{00000000-0005-0000-0000-0000C8480000}"/>
    <cellStyle name="Shade 2 2 2 15" xfId="14538" xr:uid="{00000000-0005-0000-0000-0000C9480000}"/>
    <cellStyle name="Shade 2 2 2 16" xfId="16160" xr:uid="{00000000-0005-0000-0000-0000CA480000}"/>
    <cellStyle name="Shade 2 2 2 17" xfId="14595" xr:uid="{00000000-0005-0000-0000-0000CB480000}"/>
    <cellStyle name="Shade 2 2 2 2" xfId="750" xr:uid="{00000000-0005-0000-0000-0000CC480000}"/>
    <cellStyle name="Shade 2 2 2 2 10" xfId="11596" xr:uid="{00000000-0005-0000-0000-0000CD480000}"/>
    <cellStyle name="Shade 2 2 2 2 11" xfId="11967" xr:uid="{00000000-0005-0000-0000-0000CE480000}"/>
    <cellStyle name="Shade 2 2 2 2 12" xfId="12480" xr:uid="{00000000-0005-0000-0000-0000CF480000}"/>
    <cellStyle name="Shade 2 2 2 2 13" xfId="13989" xr:uid="{00000000-0005-0000-0000-0000D0480000}"/>
    <cellStyle name="Shade 2 2 2 2 14" xfId="14740" xr:uid="{00000000-0005-0000-0000-0000D1480000}"/>
    <cellStyle name="Shade 2 2 2 2 15" xfId="14326" xr:uid="{00000000-0005-0000-0000-0000D2480000}"/>
    <cellStyle name="Shade 2 2 2 2 16" xfId="19429" xr:uid="{00000000-0005-0000-0000-0000D3480000}"/>
    <cellStyle name="Shade 2 2 2 2 2" xfId="1259" xr:uid="{00000000-0005-0000-0000-0000D4480000}"/>
    <cellStyle name="Shade 2 2 2 2 2 2" xfId="12988" xr:uid="{00000000-0005-0000-0000-0000D5480000}"/>
    <cellStyle name="Shade 2 2 2 2 2 3" xfId="15394" xr:uid="{00000000-0005-0000-0000-0000D6480000}"/>
    <cellStyle name="Shade 2 2 2 2 2 4" xfId="17214" xr:uid="{00000000-0005-0000-0000-0000D7480000}"/>
    <cellStyle name="Shade 2 2 2 2 2 5" xfId="15450" xr:uid="{00000000-0005-0000-0000-0000D8480000}"/>
    <cellStyle name="Shade 2 2 2 2 2 6" xfId="19166" xr:uid="{00000000-0005-0000-0000-0000D9480000}"/>
    <cellStyle name="Shade 2 2 2 2 3" xfId="3864" xr:uid="{00000000-0005-0000-0000-0000DA480000}"/>
    <cellStyle name="Shade 2 2 2 2 4" xfId="8641" xr:uid="{00000000-0005-0000-0000-0000DB480000}"/>
    <cellStyle name="Shade 2 2 2 2 5" xfId="9651" xr:uid="{00000000-0005-0000-0000-0000DC480000}"/>
    <cellStyle name="Shade 2 2 2 2 6" xfId="10080" xr:uid="{00000000-0005-0000-0000-0000DD480000}"/>
    <cellStyle name="Shade 2 2 2 2 7" xfId="10492" xr:uid="{00000000-0005-0000-0000-0000DE480000}"/>
    <cellStyle name="Shade 2 2 2 2 8" xfId="9242" xr:uid="{00000000-0005-0000-0000-0000DF480000}"/>
    <cellStyle name="Shade 2 2 2 2 9" xfId="11211" xr:uid="{00000000-0005-0000-0000-0000E0480000}"/>
    <cellStyle name="Shade 2 2 2 3" xfId="1277" xr:uid="{00000000-0005-0000-0000-0000E1480000}"/>
    <cellStyle name="Shade 2 2 2 3 2" xfId="13006" xr:uid="{00000000-0005-0000-0000-0000E2480000}"/>
    <cellStyle name="Shade 2 2 2 3 3" xfId="15626" xr:uid="{00000000-0005-0000-0000-0000E3480000}"/>
    <cellStyle name="Shade 2 2 2 3 4" xfId="17202" xr:uid="{00000000-0005-0000-0000-0000E4480000}"/>
    <cellStyle name="Shade 2 2 2 3 5" xfId="17905" xr:uid="{00000000-0005-0000-0000-0000E5480000}"/>
    <cellStyle name="Shade 2 2 2 3 6" xfId="15866" xr:uid="{00000000-0005-0000-0000-0000E6480000}"/>
    <cellStyle name="Shade 2 2 2 4" xfId="4056" xr:uid="{00000000-0005-0000-0000-0000E7480000}"/>
    <cellStyle name="Shade 2 2 2 5" xfId="9294" xr:uid="{00000000-0005-0000-0000-0000E8480000}"/>
    <cellStyle name="Shade 2 2 2 6" xfId="9439" xr:uid="{00000000-0005-0000-0000-0000E9480000}"/>
    <cellStyle name="Shade 2 2 2 7" xfId="9866" xr:uid="{00000000-0005-0000-0000-0000EA480000}"/>
    <cellStyle name="Shade 2 2 2 8" xfId="10278" xr:uid="{00000000-0005-0000-0000-0000EB480000}"/>
    <cellStyle name="Shade 2 2 2 9" xfId="10767" xr:uid="{00000000-0005-0000-0000-0000EC480000}"/>
    <cellStyle name="Shade 2 2 3" xfId="738" xr:uid="{00000000-0005-0000-0000-0000ED480000}"/>
    <cellStyle name="Shade 2 2 3 10" xfId="11584" xr:uid="{00000000-0005-0000-0000-0000EE480000}"/>
    <cellStyle name="Shade 2 2 3 11" xfId="11955" xr:uid="{00000000-0005-0000-0000-0000EF480000}"/>
    <cellStyle name="Shade 2 2 3 12" xfId="12468" xr:uid="{00000000-0005-0000-0000-0000F0480000}"/>
    <cellStyle name="Shade 2 2 3 13" xfId="13986" xr:uid="{00000000-0005-0000-0000-0000F1480000}"/>
    <cellStyle name="Shade 2 2 3 14" xfId="16592" xr:uid="{00000000-0005-0000-0000-0000F2480000}"/>
    <cellStyle name="Shade 2 2 3 15" xfId="14015" xr:uid="{00000000-0005-0000-0000-0000F3480000}"/>
    <cellStyle name="Shade 2 2 3 16" xfId="19435" xr:uid="{00000000-0005-0000-0000-0000F4480000}"/>
    <cellStyle name="Shade 2 2 3 2" xfId="1112" xr:uid="{00000000-0005-0000-0000-0000F5480000}"/>
    <cellStyle name="Shade 2 2 3 2 2" xfId="12841" xr:uid="{00000000-0005-0000-0000-0000F6480000}"/>
    <cellStyle name="Shade 2 2 3 2 3" xfId="14189" xr:uid="{00000000-0005-0000-0000-0000F7480000}"/>
    <cellStyle name="Shade 2 2 3 2 4" xfId="17327" xr:uid="{00000000-0005-0000-0000-0000F8480000}"/>
    <cellStyle name="Shade 2 2 3 2 5" xfId="17535" xr:uid="{00000000-0005-0000-0000-0000F9480000}"/>
    <cellStyle name="Shade 2 2 3 2 6" xfId="19279" xr:uid="{00000000-0005-0000-0000-0000FA480000}"/>
    <cellStyle name="Shade 2 2 3 3" xfId="3835" xr:uid="{00000000-0005-0000-0000-0000FB480000}"/>
    <cellStyle name="Shade 2 2 3 4" xfId="8646" xr:uid="{00000000-0005-0000-0000-0000FC480000}"/>
    <cellStyle name="Shade 2 2 3 5" xfId="9639" xr:uid="{00000000-0005-0000-0000-0000FD480000}"/>
    <cellStyle name="Shade 2 2 3 6" xfId="10068" xr:uid="{00000000-0005-0000-0000-0000FE480000}"/>
    <cellStyle name="Shade 2 2 3 7" xfId="10480" xr:uid="{00000000-0005-0000-0000-0000FF480000}"/>
    <cellStyle name="Shade 2 2 3 8" xfId="10781" xr:uid="{00000000-0005-0000-0000-000000490000}"/>
    <cellStyle name="Shade 2 2 3 9" xfId="11199" xr:uid="{00000000-0005-0000-0000-000001490000}"/>
    <cellStyle name="Shade 2 3" xfId="298" xr:uid="{00000000-0005-0000-0000-000002490000}"/>
    <cellStyle name="Shade 2 3 10" xfId="8562" xr:uid="{00000000-0005-0000-0000-000003490000}"/>
    <cellStyle name="Shade 2 3 11" xfId="10925" xr:uid="{00000000-0005-0000-0000-000004490000}"/>
    <cellStyle name="Shade 2 3 12" xfId="9403" xr:uid="{00000000-0005-0000-0000-000005490000}"/>
    <cellStyle name="Shade 2 3 13" xfId="8929" xr:uid="{00000000-0005-0000-0000-000006490000}"/>
    <cellStyle name="Shade 2 3 14" xfId="10893" xr:uid="{00000000-0005-0000-0000-000007490000}"/>
    <cellStyle name="Shade 2 3 15" xfId="12246" xr:uid="{00000000-0005-0000-0000-000008490000}"/>
    <cellStyle name="Shade 2 3 16" xfId="16497" xr:uid="{00000000-0005-0000-0000-000009490000}"/>
    <cellStyle name="Shade 2 3 17" xfId="17611" xr:uid="{00000000-0005-0000-0000-00000A490000}"/>
    <cellStyle name="Shade 2 3 18" xfId="14996" xr:uid="{00000000-0005-0000-0000-00000B490000}"/>
    <cellStyle name="Shade 2 3 19" xfId="19489" xr:uid="{00000000-0005-0000-0000-00000C490000}"/>
    <cellStyle name="Shade 2 3 2" xfId="635" xr:uid="{00000000-0005-0000-0000-00000D490000}"/>
    <cellStyle name="Shade 2 3 2 10" xfId="11102" xr:uid="{00000000-0005-0000-0000-00000E490000}"/>
    <cellStyle name="Shade 2 3 2 11" xfId="11489" xr:uid="{00000000-0005-0000-0000-00000F490000}"/>
    <cellStyle name="Shade 2 3 2 12" xfId="11861" xr:uid="{00000000-0005-0000-0000-000010490000}"/>
    <cellStyle name="Shade 2 3 2 13" xfId="12374" xr:uid="{00000000-0005-0000-0000-000011490000}"/>
    <cellStyle name="Shade 2 3 2 14" xfId="13919" xr:uid="{00000000-0005-0000-0000-000012490000}"/>
    <cellStyle name="Shade 2 3 2 15" xfId="14353" xr:uid="{00000000-0005-0000-0000-000013490000}"/>
    <cellStyle name="Shade 2 3 2 16" xfId="18206" xr:uid="{00000000-0005-0000-0000-000014490000}"/>
    <cellStyle name="Shade 2 3 2 17" xfId="13692" xr:uid="{00000000-0005-0000-0000-000015490000}"/>
    <cellStyle name="Shade 2 3 2 2" xfId="850" xr:uid="{00000000-0005-0000-0000-000016490000}"/>
    <cellStyle name="Shade 2 3 2 2 10" xfId="11696" xr:uid="{00000000-0005-0000-0000-000017490000}"/>
    <cellStyle name="Shade 2 3 2 2 11" xfId="12067" xr:uid="{00000000-0005-0000-0000-000018490000}"/>
    <cellStyle name="Shade 2 3 2 2 12" xfId="12580" xr:uid="{00000000-0005-0000-0000-000019490000}"/>
    <cellStyle name="Shade 2 3 2 2 13" xfId="16115" xr:uid="{00000000-0005-0000-0000-00001A490000}"/>
    <cellStyle name="Shade 2 3 2 2 14" xfId="13722" xr:uid="{00000000-0005-0000-0000-00001B490000}"/>
    <cellStyle name="Shade 2 3 2 2 15" xfId="15888" xr:uid="{00000000-0005-0000-0000-00001C490000}"/>
    <cellStyle name="Shade 2 3 2 2 16" xfId="18379" xr:uid="{00000000-0005-0000-0000-00001D490000}"/>
    <cellStyle name="Shade 2 3 2 2 2" xfId="1318" xr:uid="{00000000-0005-0000-0000-00001E490000}"/>
    <cellStyle name="Shade 2 3 2 2 2 2" xfId="13047" xr:uid="{00000000-0005-0000-0000-00001F490000}"/>
    <cellStyle name="Shade 2 3 2 2 2 3" xfId="13778" xr:uid="{00000000-0005-0000-0000-000020490000}"/>
    <cellStyle name="Shade 2 3 2 2 2 4" xfId="17172" xr:uid="{00000000-0005-0000-0000-000021490000}"/>
    <cellStyle name="Shade 2 3 2 2 2 5" xfId="17543" xr:uid="{00000000-0005-0000-0000-000022490000}"/>
    <cellStyle name="Shade 2 3 2 2 2 6" xfId="19124" xr:uid="{00000000-0005-0000-0000-000023490000}"/>
    <cellStyle name="Shade 2 3 2 2 3" xfId="3781" xr:uid="{00000000-0005-0000-0000-000024490000}"/>
    <cellStyle name="Shade 2 3 2 2 4" xfId="9323" xr:uid="{00000000-0005-0000-0000-000025490000}"/>
    <cellStyle name="Shade 2 3 2 2 5" xfId="9751" xr:uid="{00000000-0005-0000-0000-000026490000}"/>
    <cellStyle name="Shade 2 3 2 2 6" xfId="10180" xr:uid="{00000000-0005-0000-0000-000027490000}"/>
    <cellStyle name="Shade 2 3 2 2 7" xfId="10592" xr:uid="{00000000-0005-0000-0000-000028490000}"/>
    <cellStyle name="Shade 2 3 2 2 8" xfId="10881" xr:uid="{00000000-0005-0000-0000-000029490000}"/>
    <cellStyle name="Shade 2 3 2 2 9" xfId="11311" xr:uid="{00000000-0005-0000-0000-00002A490000}"/>
    <cellStyle name="Shade 2 3 2 3" xfId="1249" xr:uid="{00000000-0005-0000-0000-00002B490000}"/>
    <cellStyle name="Shade 2 3 2 3 2" xfId="12978" xr:uid="{00000000-0005-0000-0000-00002C490000}"/>
    <cellStyle name="Shade 2 3 2 3 3" xfId="13842" xr:uid="{00000000-0005-0000-0000-00002D490000}"/>
    <cellStyle name="Shade 2 3 2 3 4" xfId="14955" xr:uid="{00000000-0005-0000-0000-00002E490000}"/>
    <cellStyle name="Shade 2 3 2 3 5" xfId="13955" xr:uid="{00000000-0005-0000-0000-00002F490000}"/>
    <cellStyle name="Shade 2 3 2 3 6" xfId="18917" xr:uid="{00000000-0005-0000-0000-000030490000}"/>
    <cellStyle name="Shade 2 3 2 4" xfId="3430" xr:uid="{00000000-0005-0000-0000-000031490000}"/>
    <cellStyle name="Shade 2 3 2 5" xfId="8656" xr:uid="{00000000-0005-0000-0000-000032490000}"/>
    <cellStyle name="Shade 2 3 2 6" xfId="9539" xr:uid="{00000000-0005-0000-0000-000033490000}"/>
    <cellStyle name="Shade 2 3 2 7" xfId="9966" xr:uid="{00000000-0005-0000-0000-000034490000}"/>
    <cellStyle name="Shade 2 3 2 8" xfId="10378" xr:uid="{00000000-0005-0000-0000-000035490000}"/>
    <cellStyle name="Shade 2 3 2 9" xfId="10242" xr:uid="{00000000-0005-0000-0000-000036490000}"/>
    <cellStyle name="Shade 2 3 3" xfId="664" xr:uid="{00000000-0005-0000-0000-000037490000}"/>
    <cellStyle name="Shade 2 3 3 10" xfId="11131" xr:uid="{00000000-0005-0000-0000-000038490000}"/>
    <cellStyle name="Shade 2 3 3 11" xfId="11518" xr:uid="{00000000-0005-0000-0000-000039490000}"/>
    <cellStyle name="Shade 2 3 3 12" xfId="11890" xr:uid="{00000000-0005-0000-0000-00003A490000}"/>
    <cellStyle name="Shade 2 3 3 13" xfId="12403" xr:uid="{00000000-0005-0000-0000-00003B490000}"/>
    <cellStyle name="Shade 2 3 3 14" xfId="15980" xr:uid="{00000000-0005-0000-0000-00003C490000}"/>
    <cellStyle name="Shade 2 3 3 15" xfId="15001" xr:uid="{00000000-0005-0000-0000-00003D490000}"/>
    <cellStyle name="Shade 2 3 3 16" xfId="18462" xr:uid="{00000000-0005-0000-0000-00003E490000}"/>
    <cellStyle name="Shade 2 3 3 17" xfId="18733" xr:uid="{00000000-0005-0000-0000-00003F490000}"/>
    <cellStyle name="Shade 2 3 3 2" xfId="879" xr:uid="{00000000-0005-0000-0000-000040490000}"/>
    <cellStyle name="Shade 2 3 3 2 10" xfId="11725" xr:uid="{00000000-0005-0000-0000-000041490000}"/>
    <cellStyle name="Shade 2 3 3 2 11" xfId="12096" xr:uid="{00000000-0005-0000-0000-000042490000}"/>
    <cellStyle name="Shade 2 3 3 2 12" xfId="12609" xr:uid="{00000000-0005-0000-0000-000043490000}"/>
    <cellStyle name="Shade 2 3 3 2 13" xfId="14736" xr:uid="{00000000-0005-0000-0000-000044490000}"/>
    <cellStyle name="Shade 2 3 3 2 14" xfId="17459" xr:uid="{00000000-0005-0000-0000-000045490000}"/>
    <cellStyle name="Shade 2 3 3 2 15" xfId="16188" xr:uid="{00000000-0005-0000-0000-000046490000}"/>
    <cellStyle name="Shade 2 3 3 2 16" xfId="18456" xr:uid="{00000000-0005-0000-0000-000047490000}"/>
    <cellStyle name="Shade 2 3 3 2 2" xfId="1016" xr:uid="{00000000-0005-0000-0000-000048490000}"/>
    <cellStyle name="Shade 2 3 3 2 2 2" xfId="12745" xr:uid="{00000000-0005-0000-0000-000049490000}"/>
    <cellStyle name="Shade 2 3 3 2 2 3" xfId="15297" xr:uid="{00000000-0005-0000-0000-00004A490000}"/>
    <cellStyle name="Shade 2 3 3 2 2 4" xfId="14283" xr:uid="{00000000-0005-0000-0000-00004B490000}"/>
    <cellStyle name="Shade 2 3 3 2 2 5" xfId="16063" xr:uid="{00000000-0005-0000-0000-00004C490000}"/>
    <cellStyle name="Shade 2 3 3 2 2 6" xfId="19340" xr:uid="{00000000-0005-0000-0000-00004D490000}"/>
    <cellStyle name="Shade 2 3 3 2 3" xfId="3690" xr:uid="{00000000-0005-0000-0000-00004E490000}"/>
    <cellStyle name="Shade 2 3 3 2 4" xfId="9352" xr:uid="{00000000-0005-0000-0000-00004F490000}"/>
    <cellStyle name="Shade 2 3 3 2 5" xfId="9780" xr:uid="{00000000-0005-0000-0000-000050490000}"/>
    <cellStyle name="Shade 2 3 3 2 6" xfId="10209" xr:uid="{00000000-0005-0000-0000-000051490000}"/>
    <cellStyle name="Shade 2 3 3 2 7" xfId="10621" xr:uid="{00000000-0005-0000-0000-000052490000}"/>
    <cellStyle name="Shade 2 3 3 2 8" xfId="10251" xr:uid="{00000000-0005-0000-0000-000053490000}"/>
    <cellStyle name="Shade 2 3 3 2 9" xfId="11340" xr:uid="{00000000-0005-0000-0000-000054490000}"/>
    <cellStyle name="Shade 2 3 3 3" xfId="1154" xr:uid="{00000000-0005-0000-0000-000055490000}"/>
    <cellStyle name="Shade 2 3 3 3 2" xfId="12883" xr:uid="{00000000-0005-0000-0000-000056490000}"/>
    <cellStyle name="Shade 2 3 3 3 3" xfId="14501" xr:uid="{00000000-0005-0000-0000-000057490000}"/>
    <cellStyle name="Shade 2 3 3 3 4" xfId="17294" xr:uid="{00000000-0005-0000-0000-000058490000}"/>
    <cellStyle name="Shade 2 3 3 3 5" xfId="15903" xr:uid="{00000000-0005-0000-0000-000059490000}"/>
    <cellStyle name="Shade 2 3 3 3 6" xfId="17057" xr:uid="{00000000-0005-0000-0000-00005A490000}"/>
    <cellStyle name="Shade 2 3 3 4" xfId="3422" xr:uid="{00000000-0005-0000-0000-00005B490000}"/>
    <cellStyle name="Shade 2 3 3 5" xfId="9309" xr:uid="{00000000-0005-0000-0000-00005C490000}"/>
    <cellStyle name="Shade 2 3 3 6" xfId="9568" xr:uid="{00000000-0005-0000-0000-00005D490000}"/>
    <cellStyle name="Shade 2 3 3 7" xfId="9995" xr:uid="{00000000-0005-0000-0000-00005E490000}"/>
    <cellStyle name="Shade 2 3 3 8" xfId="10407" xr:uid="{00000000-0005-0000-0000-00005F490000}"/>
    <cellStyle name="Shade 2 3 3 9" xfId="9081" xr:uid="{00000000-0005-0000-0000-000060490000}"/>
    <cellStyle name="Shade 2 3 4" xfId="578" xr:uid="{00000000-0005-0000-0000-000061490000}"/>
    <cellStyle name="Shade 2 3 4 10" xfId="11045" xr:uid="{00000000-0005-0000-0000-000062490000}"/>
    <cellStyle name="Shade 2 3 4 11" xfId="11432" xr:uid="{00000000-0005-0000-0000-000063490000}"/>
    <cellStyle name="Shade 2 3 4 12" xfId="11804" xr:uid="{00000000-0005-0000-0000-000064490000}"/>
    <cellStyle name="Shade 2 3 4 13" xfId="12317" xr:uid="{00000000-0005-0000-0000-000065490000}"/>
    <cellStyle name="Shade 2 3 4 14" xfId="15778" xr:uid="{00000000-0005-0000-0000-000066490000}"/>
    <cellStyle name="Shade 2 3 4 15" xfId="14679" xr:uid="{00000000-0005-0000-0000-000067490000}"/>
    <cellStyle name="Shade 2 3 4 16" xfId="16593" xr:uid="{00000000-0005-0000-0000-000068490000}"/>
    <cellStyle name="Shade 2 3 4 17" xfId="18734" xr:uid="{00000000-0005-0000-0000-000069490000}"/>
    <cellStyle name="Shade 2 3 4 2" xfId="793" xr:uid="{00000000-0005-0000-0000-00006A490000}"/>
    <cellStyle name="Shade 2 3 4 2 10" xfId="11639" xr:uid="{00000000-0005-0000-0000-00006B490000}"/>
    <cellStyle name="Shade 2 3 4 2 11" xfId="12010" xr:uid="{00000000-0005-0000-0000-00006C490000}"/>
    <cellStyle name="Shade 2 3 4 2 12" xfId="12523" xr:uid="{00000000-0005-0000-0000-00006D490000}"/>
    <cellStyle name="Shade 2 3 4 2 13" xfId="14791" xr:uid="{00000000-0005-0000-0000-00006E490000}"/>
    <cellStyle name="Shade 2 3 4 2 14" xfId="16591" xr:uid="{00000000-0005-0000-0000-00006F490000}"/>
    <cellStyle name="Shade 2 3 4 2 15" xfId="14663" xr:uid="{00000000-0005-0000-0000-000070490000}"/>
    <cellStyle name="Shade 2 3 4 2 16" xfId="19425" xr:uid="{00000000-0005-0000-0000-000071490000}"/>
    <cellStyle name="Shade 2 3 4 2 2" xfId="1107" xr:uid="{00000000-0005-0000-0000-000072490000}"/>
    <cellStyle name="Shade 2 3 4 2 2 2" xfId="12836" xr:uid="{00000000-0005-0000-0000-000073490000}"/>
    <cellStyle name="Shade 2 3 4 2 2 3" xfId="14187" xr:uid="{00000000-0005-0000-0000-000074490000}"/>
    <cellStyle name="Shade 2 3 4 2 2 4" xfId="16596" xr:uid="{00000000-0005-0000-0000-000075490000}"/>
    <cellStyle name="Shade 2 3 4 2 2 5" xfId="17596" xr:uid="{00000000-0005-0000-0000-000076490000}"/>
    <cellStyle name="Shade 2 3 4 2 2 6" xfId="19283" xr:uid="{00000000-0005-0000-0000-000077490000}"/>
    <cellStyle name="Shade 2 3 4 2 3" xfId="3948" xr:uid="{00000000-0005-0000-0000-000078490000}"/>
    <cellStyle name="Shade 2 3 4 2 4" xfId="8730" xr:uid="{00000000-0005-0000-0000-000079490000}"/>
    <cellStyle name="Shade 2 3 4 2 5" xfId="9694" xr:uid="{00000000-0005-0000-0000-00007A490000}"/>
    <cellStyle name="Shade 2 3 4 2 6" xfId="10123" xr:uid="{00000000-0005-0000-0000-00007B490000}"/>
    <cellStyle name="Shade 2 3 4 2 7" xfId="10535" xr:uid="{00000000-0005-0000-0000-00007C490000}"/>
    <cellStyle name="Shade 2 3 4 2 8" xfId="8689" xr:uid="{00000000-0005-0000-0000-00007D490000}"/>
    <cellStyle name="Shade 2 3 4 2 9" xfId="11254" xr:uid="{00000000-0005-0000-0000-00007E490000}"/>
    <cellStyle name="Shade 2 3 4 3" xfId="1141" xr:uid="{00000000-0005-0000-0000-00007F490000}"/>
    <cellStyle name="Shade 2 3 4 3 2" xfId="12870" xr:uid="{00000000-0005-0000-0000-000080490000}"/>
    <cellStyle name="Shade 2 3 4 3 3" xfId="14815" xr:uid="{00000000-0005-0000-0000-000081490000}"/>
    <cellStyle name="Shade 2 3 4 3 4" xfId="17304" xr:uid="{00000000-0005-0000-0000-000082490000}"/>
    <cellStyle name="Shade 2 3 4 3 5" xfId="14148" xr:uid="{00000000-0005-0000-0000-000083490000}"/>
    <cellStyle name="Shade 2 3 4 3 6" xfId="19256" xr:uid="{00000000-0005-0000-0000-000084490000}"/>
    <cellStyle name="Shade 2 3 4 4" xfId="4027" xr:uid="{00000000-0005-0000-0000-000085490000}"/>
    <cellStyle name="Shade 2 3 4 5" xfId="9227" xr:uid="{00000000-0005-0000-0000-000086490000}"/>
    <cellStyle name="Shade 2 3 4 6" xfId="9482" xr:uid="{00000000-0005-0000-0000-000087490000}"/>
    <cellStyle name="Shade 2 3 4 7" xfId="9909" xr:uid="{00000000-0005-0000-0000-000088490000}"/>
    <cellStyle name="Shade 2 3 4 8" xfId="10321" xr:uid="{00000000-0005-0000-0000-000089490000}"/>
    <cellStyle name="Shade 2 3 4 9" xfId="9808" xr:uid="{00000000-0005-0000-0000-00008A490000}"/>
    <cellStyle name="Shade 2 3 5" xfId="1021" xr:uid="{00000000-0005-0000-0000-00008B490000}"/>
    <cellStyle name="Shade 2 3 5 2" xfId="12750" xr:uid="{00000000-0005-0000-0000-00008C490000}"/>
    <cellStyle name="Shade 2 3 5 3" xfId="14763" xr:uid="{00000000-0005-0000-0000-00008D490000}"/>
    <cellStyle name="Shade 2 3 5 4" xfId="16569" xr:uid="{00000000-0005-0000-0000-00008E490000}"/>
    <cellStyle name="Shade 2 3 5 5" xfId="15827" xr:uid="{00000000-0005-0000-0000-00008F490000}"/>
    <cellStyle name="Shade 2 3 5 6" xfId="17534" xr:uid="{00000000-0005-0000-0000-000090490000}"/>
    <cellStyle name="Shade 2 3 6" xfId="3642" xr:uid="{00000000-0005-0000-0000-000091490000}"/>
    <cellStyle name="Shade 2 3 7" xfId="8565" xr:uid="{00000000-0005-0000-0000-000092490000}"/>
    <cellStyle name="Shade 2 3 8" xfId="9232" xr:uid="{00000000-0005-0000-0000-000093490000}"/>
    <cellStyle name="Shade 2 3 9" xfId="8846" xr:uid="{00000000-0005-0000-0000-000094490000}"/>
    <cellStyle name="Shade 3" xfId="449" xr:uid="{00000000-0005-0000-0000-000095490000}"/>
    <cellStyle name="Shade 3 2" xfId="589" xr:uid="{00000000-0005-0000-0000-000096490000}"/>
    <cellStyle name="Shade 3 2 10" xfId="11056" xr:uid="{00000000-0005-0000-0000-000097490000}"/>
    <cellStyle name="Shade 3 2 11" xfId="11443" xr:uid="{00000000-0005-0000-0000-000098490000}"/>
    <cellStyle name="Shade 3 2 12" xfId="11815" xr:uid="{00000000-0005-0000-0000-000099490000}"/>
    <cellStyle name="Shade 3 2 13" xfId="12328" xr:uid="{00000000-0005-0000-0000-00009A490000}"/>
    <cellStyle name="Shade 3 2 14" xfId="14231" xr:uid="{00000000-0005-0000-0000-00009B490000}"/>
    <cellStyle name="Shade 3 2 15" xfId="14913" xr:uid="{00000000-0005-0000-0000-00009C490000}"/>
    <cellStyle name="Shade 3 2 16" xfId="16961" xr:uid="{00000000-0005-0000-0000-00009D490000}"/>
    <cellStyle name="Shade 3 2 17" xfId="18906" xr:uid="{00000000-0005-0000-0000-00009E490000}"/>
    <cellStyle name="Shade 3 2 2" xfId="804" xr:uid="{00000000-0005-0000-0000-00009F490000}"/>
    <cellStyle name="Shade 3 2 2 10" xfId="11650" xr:uid="{00000000-0005-0000-0000-0000A0490000}"/>
    <cellStyle name="Shade 3 2 2 11" xfId="12021" xr:uid="{00000000-0005-0000-0000-0000A1490000}"/>
    <cellStyle name="Shade 3 2 2 12" xfId="12534" xr:uid="{00000000-0005-0000-0000-0000A2490000}"/>
    <cellStyle name="Shade 3 2 2 13" xfId="15236" xr:uid="{00000000-0005-0000-0000-0000A3490000}"/>
    <cellStyle name="Shade 3 2 2 14" xfId="15063" xr:uid="{00000000-0005-0000-0000-0000A4490000}"/>
    <cellStyle name="Shade 3 2 2 15" xfId="14401" xr:uid="{00000000-0005-0000-0000-0000A5490000}"/>
    <cellStyle name="Shade 3 2 2 16" xfId="19420" xr:uid="{00000000-0005-0000-0000-0000A6490000}"/>
    <cellStyle name="Shade 3 2 2 2" xfId="913" xr:uid="{00000000-0005-0000-0000-0000A7490000}"/>
    <cellStyle name="Shade 3 2 2 2 2" xfId="12642" xr:uid="{00000000-0005-0000-0000-0000A8490000}"/>
    <cellStyle name="Shade 3 2 2 2 3" xfId="16141" xr:uid="{00000000-0005-0000-0000-0000A9490000}"/>
    <cellStyle name="Shade 3 2 2 2 4" xfId="14622" xr:uid="{00000000-0005-0000-0000-0000AA490000}"/>
    <cellStyle name="Shade 3 2 2 2 5" xfId="18430" xr:uid="{00000000-0005-0000-0000-0000AB490000}"/>
    <cellStyle name="Shade 3 2 2 2 6" xfId="18583" xr:uid="{00000000-0005-0000-0000-0000AC490000}"/>
    <cellStyle name="Shade 3 2 2 3" xfId="4097" xr:uid="{00000000-0005-0000-0000-0000AD490000}"/>
    <cellStyle name="Shade 3 2 2 4" xfId="8877" xr:uid="{00000000-0005-0000-0000-0000AE490000}"/>
    <cellStyle name="Shade 3 2 2 5" xfId="9705" xr:uid="{00000000-0005-0000-0000-0000AF490000}"/>
    <cellStyle name="Shade 3 2 2 6" xfId="10134" xr:uid="{00000000-0005-0000-0000-0000B0490000}"/>
    <cellStyle name="Shade 3 2 2 7" xfId="10546" xr:uid="{00000000-0005-0000-0000-0000B1490000}"/>
    <cellStyle name="Shade 3 2 2 8" xfId="10841" xr:uid="{00000000-0005-0000-0000-0000B2490000}"/>
    <cellStyle name="Shade 3 2 2 9" xfId="11265" xr:uid="{00000000-0005-0000-0000-0000B3490000}"/>
    <cellStyle name="Shade 3 2 3" xfId="1223" xr:uid="{00000000-0005-0000-0000-0000B4490000}"/>
    <cellStyle name="Shade 3 2 3 2" xfId="12952" xr:uid="{00000000-0005-0000-0000-0000B5490000}"/>
    <cellStyle name="Shade 3 2 3 3" xfId="14592" xr:uid="{00000000-0005-0000-0000-0000B6490000}"/>
    <cellStyle name="Shade 3 2 3 4" xfId="17238" xr:uid="{00000000-0005-0000-0000-0000B7490000}"/>
    <cellStyle name="Shade 3 2 3 5" xfId="15690" xr:uid="{00000000-0005-0000-0000-0000B8490000}"/>
    <cellStyle name="Shade 3 2 3 6" xfId="16581" xr:uid="{00000000-0005-0000-0000-0000B9490000}"/>
    <cellStyle name="Shade 3 2 4" xfId="3736" xr:uid="{00000000-0005-0000-0000-0000BA490000}"/>
    <cellStyle name="Shade 3 2 5" xfId="8551" xr:uid="{00000000-0005-0000-0000-0000BB490000}"/>
    <cellStyle name="Shade 3 2 6" xfId="9493" xr:uid="{00000000-0005-0000-0000-0000BC490000}"/>
    <cellStyle name="Shade 3 2 7" xfId="9920" xr:uid="{00000000-0005-0000-0000-0000BD490000}"/>
    <cellStyle name="Shade 3 2 8" xfId="10332" xr:uid="{00000000-0005-0000-0000-0000BE490000}"/>
    <cellStyle name="Shade 3 2 9" xfId="10824" xr:uid="{00000000-0005-0000-0000-0000BF490000}"/>
    <cellStyle name="Shade 3 3" xfId="737" xr:uid="{00000000-0005-0000-0000-0000C0490000}"/>
    <cellStyle name="Shade 3 3 10" xfId="11583" xr:uid="{00000000-0005-0000-0000-0000C1490000}"/>
    <cellStyle name="Shade 3 3 11" xfId="11954" xr:uid="{00000000-0005-0000-0000-0000C2490000}"/>
    <cellStyle name="Shade 3 3 12" xfId="12467" xr:uid="{00000000-0005-0000-0000-0000C3490000}"/>
    <cellStyle name="Shade 3 3 13" xfId="15617" xr:uid="{00000000-0005-0000-0000-0000C4490000}"/>
    <cellStyle name="Shade 3 3 14" xfId="17483" xr:uid="{00000000-0005-0000-0000-0000C5490000}"/>
    <cellStyle name="Shade 3 3 15" xfId="16803" xr:uid="{00000000-0005-0000-0000-0000C6490000}"/>
    <cellStyle name="Shade 3 3 16" xfId="17084" xr:uid="{00000000-0005-0000-0000-0000C7490000}"/>
    <cellStyle name="Shade 3 3 2" xfId="910" xr:uid="{00000000-0005-0000-0000-0000C8490000}"/>
    <cellStyle name="Shade 3 3 2 2" xfId="12639" xr:uid="{00000000-0005-0000-0000-0000C9490000}"/>
    <cellStyle name="Shade 3 3 2 3" xfId="14343" xr:uid="{00000000-0005-0000-0000-0000CA490000}"/>
    <cellStyle name="Shade 3 3 2 4" xfId="13918" xr:uid="{00000000-0005-0000-0000-0000CB490000}"/>
    <cellStyle name="Shade 3 3 2 5" xfId="18507" xr:uid="{00000000-0005-0000-0000-0000CC490000}"/>
    <cellStyle name="Shade 3 3 2 6" xfId="18181" xr:uid="{00000000-0005-0000-0000-0000CD490000}"/>
    <cellStyle name="Shade 3 3 3" xfId="3763" xr:uid="{00000000-0005-0000-0000-0000CE490000}"/>
    <cellStyle name="Shade 3 3 4" xfId="8744" xr:uid="{00000000-0005-0000-0000-0000CF490000}"/>
    <cellStyle name="Shade 3 3 5" xfId="9638" xr:uid="{00000000-0005-0000-0000-0000D0490000}"/>
    <cellStyle name="Shade 3 3 6" xfId="10067" xr:uid="{00000000-0005-0000-0000-0000D1490000}"/>
    <cellStyle name="Shade 3 3 7" xfId="10479" xr:uid="{00000000-0005-0000-0000-0000D2490000}"/>
    <cellStyle name="Shade 3 3 8" xfId="10696" xr:uid="{00000000-0005-0000-0000-0000D3490000}"/>
    <cellStyle name="Shade 3 3 9" xfId="11198" xr:uid="{00000000-0005-0000-0000-0000D4490000}"/>
    <cellStyle name="Shade 4" xfId="297" xr:uid="{00000000-0005-0000-0000-0000D5490000}"/>
    <cellStyle name="Shade 4 10" xfId="8800" xr:uid="{00000000-0005-0000-0000-0000D6490000}"/>
    <cellStyle name="Shade 4 11" xfId="10784" xr:uid="{00000000-0005-0000-0000-0000D7490000}"/>
    <cellStyle name="Shade 4 12" xfId="10720" xr:uid="{00000000-0005-0000-0000-0000D8490000}"/>
    <cellStyle name="Shade 4 13" xfId="10890" xr:uid="{00000000-0005-0000-0000-0000D9490000}"/>
    <cellStyle name="Shade 4 14" xfId="9055" xr:uid="{00000000-0005-0000-0000-0000DA490000}"/>
    <cellStyle name="Shade 4 15" xfId="12245" xr:uid="{00000000-0005-0000-0000-0000DB490000}"/>
    <cellStyle name="Shade 4 16" xfId="16498" xr:uid="{00000000-0005-0000-0000-0000DC490000}"/>
    <cellStyle name="Shade 4 17" xfId="17612" xr:uid="{00000000-0005-0000-0000-0000DD490000}"/>
    <cellStyle name="Shade 4 18" xfId="16948" xr:uid="{00000000-0005-0000-0000-0000DE490000}"/>
    <cellStyle name="Shade 4 19" xfId="19490" xr:uid="{00000000-0005-0000-0000-0000DF490000}"/>
    <cellStyle name="Shade 4 2" xfId="54" xr:uid="{00000000-0005-0000-0000-0000E0490000}"/>
    <cellStyle name="Shade 4 2 2" xfId="634" xr:uid="{00000000-0005-0000-0000-0000E1490000}"/>
    <cellStyle name="Shade 4 2 2 10" xfId="11488" xr:uid="{00000000-0005-0000-0000-0000E2490000}"/>
    <cellStyle name="Shade 4 2 2 11" xfId="11860" xr:uid="{00000000-0005-0000-0000-0000E3490000}"/>
    <cellStyle name="Shade 4 2 2 12" xfId="12373" xr:uid="{00000000-0005-0000-0000-0000E4490000}"/>
    <cellStyle name="Shade 4 2 2 13" xfId="14066" xr:uid="{00000000-0005-0000-0000-0000E5490000}"/>
    <cellStyle name="Shade 4 2 2 14" xfId="15920" xr:uid="{00000000-0005-0000-0000-0000E6490000}"/>
    <cellStyle name="Shade 4 2 2 15" xfId="18283" xr:uid="{00000000-0005-0000-0000-0000E7490000}"/>
    <cellStyle name="Shade 4 2 2 16" xfId="15458" xr:uid="{00000000-0005-0000-0000-0000E8490000}"/>
    <cellStyle name="Shade 4 2 2 2" xfId="1225" xr:uid="{00000000-0005-0000-0000-0000E9490000}"/>
    <cellStyle name="Shade 4 2 2 2 2" xfId="12954" xr:uid="{00000000-0005-0000-0000-0000EA490000}"/>
    <cellStyle name="Shade 4 2 2 2 3" xfId="14828" xr:uid="{00000000-0005-0000-0000-0000EB490000}"/>
    <cellStyle name="Shade 4 2 2 2 4" xfId="17237" xr:uid="{00000000-0005-0000-0000-0000EC490000}"/>
    <cellStyle name="Shade 4 2 2 2 5" xfId="18132" xr:uid="{00000000-0005-0000-0000-0000ED490000}"/>
    <cellStyle name="Shade 4 2 2 2 6" xfId="19189" xr:uid="{00000000-0005-0000-0000-0000EE490000}"/>
    <cellStyle name="Shade 4 2 2 3" xfId="4112" xr:uid="{00000000-0005-0000-0000-0000EF490000}"/>
    <cellStyle name="Shade 4 2 2 4" xfId="8903" xr:uid="{00000000-0005-0000-0000-0000F0490000}"/>
    <cellStyle name="Shade 4 2 2 5" xfId="9538" xr:uid="{00000000-0005-0000-0000-0000F1490000}"/>
    <cellStyle name="Shade 4 2 2 6" xfId="9965" xr:uid="{00000000-0005-0000-0000-0000F2490000}"/>
    <cellStyle name="Shade 4 2 2 7" xfId="10377" xr:uid="{00000000-0005-0000-0000-0000F3490000}"/>
    <cellStyle name="Shade 4 2 2 8" xfId="10927" xr:uid="{00000000-0005-0000-0000-0000F4490000}"/>
    <cellStyle name="Shade 4 2 2 9" xfId="11101" xr:uid="{00000000-0005-0000-0000-0000F5490000}"/>
    <cellStyle name="Shade 4 2 3" xfId="849" xr:uid="{00000000-0005-0000-0000-0000F6490000}"/>
    <cellStyle name="Shade 4 2 3 10" xfId="11695" xr:uid="{00000000-0005-0000-0000-0000F7490000}"/>
    <cellStyle name="Shade 4 2 3 11" xfId="12066" xr:uid="{00000000-0005-0000-0000-0000F8490000}"/>
    <cellStyle name="Shade 4 2 3 12" xfId="12579" xr:uid="{00000000-0005-0000-0000-0000F9490000}"/>
    <cellStyle name="Shade 4 2 3 13" xfId="14766" xr:uid="{00000000-0005-0000-0000-0000FA490000}"/>
    <cellStyle name="Shade 4 2 3 14" xfId="14400" xr:uid="{00000000-0005-0000-0000-0000FB490000}"/>
    <cellStyle name="Shade 4 2 3 15" xfId="14386" xr:uid="{00000000-0005-0000-0000-0000FC490000}"/>
    <cellStyle name="Shade 4 2 3 16" xfId="18238" xr:uid="{00000000-0005-0000-0000-0000FD490000}"/>
    <cellStyle name="Shade 4 2 3 2" xfId="931" xr:uid="{00000000-0005-0000-0000-0000FE490000}"/>
    <cellStyle name="Shade 4 2 3 2 2" xfId="12660" xr:uid="{00000000-0005-0000-0000-0000FF490000}"/>
    <cellStyle name="Shade 4 2 3 2 3" xfId="16145" xr:uid="{00000000-0005-0000-0000-0000004A0000}"/>
    <cellStyle name="Shade 4 2 3 2 4" xfId="15454" xr:uid="{00000000-0005-0000-0000-0000014A0000}"/>
    <cellStyle name="Shade 4 2 3 2 5" xfId="15513" xr:uid="{00000000-0005-0000-0000-0000024A0000}"/>
    <cellStyle name="Shade 4 2 3 2 6" xfId="18089" xr:uid="{00000000-0005-0000-0000-0000034A0000}"/>
    <cellStyle name="Shade 4 2 3 3" xfId="3697" xr:uid="{00000000-0005-0000-0000-0000044A0000}"/>
    <cellStyle name="Shade 4 2 3 4" xfId="9322" xr:uid="{00000000-0005-0000-0000-0000054A0000}"/>
    <cellStyle name="Shade 4 2 3 5" xfId="9750" xr:uid="{00000000-0005-0000-0000-0000064A0000}"/>
    <cellStyle name="Shade 4 2 3 6" xfId="10179" xr:uid="{00000000-0005-0000-0000-0000074A0000}"/>
    <cellStyle name="Shade 4 2 3 7" xfId="10591" xr:uid="{00000000-0005-0000-0000-0000084A0000}"/>
    <cellStyle name="Shade 4 2 3 8" xfId="10806" xr:uid="{00000000-0005-0000-0000-0000094A0000}"/>
    <cellStyle name="Shade 4 2 3 9" xfId="11310" xr:uid="{00000000-0005-0000-0000-00000A4A0000}"/>
    <cellStyle name="Shade 4 3" xfId="663" xr:uid="{00000000-0005-0000-0000-00000B4A0000}"/>
    <cellStyle name="Shade 4 3 10" xfId="11130" xr:uid="{00000000-0005-0000-0000-00000C4A0000}"/>
    <cellStyle name="Shade 4 3 11" xfId="11517" xr:uid="{00000000-0005-0000-0000-00000D4A0000}"/>
    <cellStyle name="Shade 4 3 12" xfId="11889" xr:uid="{00000000-0005-0000-0000-00000E4A0000}"/>
    <cellStyle name="Shade 4 3 13" xfId="12402" xr:uid="{00000000-0005-0000-0000-00000F4A0000}"/>
    <cellStyle name="Shade 4 3 14" xfId="15839" xr:uid="{00000000-0005-0000-0000-0000104A0000}"/>
    <cellStyle name="Shade 4 3 15" xfId="14603" xr:uid="{00000000-0005-0000-0000-0000114A0000}"/>
    <cellStyle name="Shade 4 3 16" xfId="14999" xr:uid="{00000000-0005-0000-0000-0000124A0000}"/>
    <cellStyle name="Shade 4 3 17" xfId="17087" xr:uid="{00000000-0005-0000-0000-0000134A0000}"/>
    <cellStyle name="Shade 4 3 2" xfId="878" xr:uid="{00000000-0005-0000-0000-0000144A0000}"/>
    <cellStyle name="Shade 4 3 2 10" xfId="11724" xr:uid="{00000000-0005-0000-0000-0000154A0000}"/>
    <cellStyle name="Shade 4 3 2 11" xfId="12095" xr:uid="{00000000-0005-0000-0000-0000164A0000}"/>
    <cellStyle name="Shade 4 3 2 12" xfId="12608" xr:uid="{00000000-0005-0000-0000-0000174A0000}"/>
    <cellStyle name="Shade 4 3 2 13" xfId="13851" xr:uid="{00000000-0005-0000-0000-0000184A0000}"/>
    <cellStyle name="Shade 4 3 2 14" xfId="13787" xr:uid="{00000000-0005-0000-0000-0000194A0000}"/>
    <cellStyle name="Shade 4 3 2 15" xfId="15084" xr:uid="{00000000-0005-0000-0000-00001A4A0000}"/>
    <cellStyle name="Shade 4 3 2 16" xfId="19412" xr:uid="{00000000-0005-0000-0000-00001B4A0000}"/>
    <cellStyle name="Shade 4 3 2 2" xfId="1184" xr:uid="{00000000-0005-0000-0000-00001C4A0000}"/>
    <cellStyle name="Shade 4 3 2 2 2" xfId="12913" xr:uid="{00000000-0005-0000-0000-00001D4A0000}"/>
    <cellStyle name="Shade 4 3 2 2 3" xfId="14126" xr:uid="{00000000-0005-0000-0000-00001E4A0000}"/>
    <cellStyle name="Shade 4 3 2 2 4" xfId="17269" xr:uid="{00000000-0005-0000-0000-00001F4A0000}"/>
    <cellStyle name="Shade 4 3 2 2 5" xfId="17026" xr:uid="{00000000-0005-0000-0000-0000204A0000}"/>
    <cellStyle name="Shade 4 3 2 2 6" xfId="18569" xr:uid="{00000000-0005-0000-0000-0000214A0000}"/>
    <cellStyle name="Shade 4 3 2 3" xfId="3633" xr:uid="{00000000-0005-0000-0000-0000224A0000}"/>
    <cellStyle name="Shade 4 3 2 4" xfId="9351" xr:uid="{00000000-0005-0000-0000-0000234A0000}"/>
    <cellStyle name="Shade 4 3 2 5" xfId="9779" xr:uid="{00000000-0005-0000-0000-0000244A0000}"/>
    <cellStyle name="Shade 4 3 2 6" xfId="10208" xr:uid="{00000000-0005-0000-0000-0000254A0000}"/>
    <cellStyle name="Shade 4 3 2 7" xfId="10620" xr:uid="{00000000-0005-0000-0000-0000264A0000}"/>
    <cellStyle name="Shade 4 3 2 8" xfId="10833" xr:uid="{00000000-0005-0000-0000-0000274A0000}"/>
    <cellStyle name="Shade 4 3 2 9" xfId="11339" xr:uid="{00000000-0005-0000-0000-0000284A0000}"/>
    <cellStyle name="Shade 4 3 3" xfId="1067" xr:uid="{00000000-0005-0000-0000-0000294A0000}"/>
    <cellStyle name="Shade 4 3 3 2" xfId="12796" xr:uid="{00000000-0005-0000-0000-00002A4A0000}"/>
    <cellStyle name="Shade 4 3 3 3" xfId="14812" xr:uid="{00000000-0005-0000-0000-00002B4A0000}"/>
    <cellStyle name="Shade 4 3 3 4" xfId="17362" xr:uid="{00000000-0005-0000-0000-00002C4A0000}"/>
    <cellStyle name="Shade 4 3 3 5" xfId="14286" xr:uid="{00000000-0005-0000-0000-00002D4A0000}"/>
    <cellStyle name="Shade 4 3 3 6" xfId="19314" xr:uid="{00000000-0005-0000-0000-00002E4A0000}"/>
    <cellStyle name="Shade 4 3 4" xfId="3674" xr:uid="{00000000-0005-0000-0000-00002F4A0000}"/>
    <cellStyle name="Shade 4 3 5" xfId="8615" xr:uid="{00000000-0005-0000-0000-0000304A0000}"/>
    <cellStyle name="Shade 4 3 6" xfId="9567" xr:uid="{00000000-0005-0000-0000-0000314A0000}"/>
    <cellStyle name="Shade 4 3 7" xfId="9994" xr:uid="{00000000-0005-0000-0000-0000324A0000}"/>
    <cellStyle name="Shade 4 3 8" xfId="10406" xr:uid="{00000000-0005-0000-0000-0000334A0000}"/>
    <cellStyle name="Shade 4 3 9" xfId="10835" xr:uid="{00000000-0005-0000-0000-0000344A0000}"/>
    <cellStyle name="Shade 4 4" xfId="525" xr:uid="{00000000-0005-0000-0000-0000354A0000}"/>
    <cellStyle name="Shade 4 4 10" xfId="10992" xr:uid="{00000000-0005-0000-0000-0000364A0000}"/>
    <cellStyle name="Shade 4 4 11" xfId="11379" xr:uid="{00000000-0005-0000-0000-0000374A0000}"/>
    <cellStyle name="Shade 4 4 12" xfId="11751" xr:uid="{00000000-0005-0000-0000-0000384A0000}"/>
    <cellStyle name="Shade 4 4 13" xfId="12264" xr:uid="{00000000-0005-0000-0000-0000394A0000}"/>
    <cellStyle name="Shade 4 4 14" xfId="13976" xr:uid="{00000000-0005-0000-0000-00003A4A0000}"/>
    <cellStyle name="Shade 4 4 15" xfId="13790" xr:uid="{00000000-0005-0000-0000-00003B4A0000}"/>
    <cellStyle name="Shade 4 4 16" xfId="18572" xr:uid="{00000000-0005-0000-0000-00003C4A0000}"/>
    <cellStyle name="Shade 4 4 17" xfId="18308" xr:uid="{00000000-0005-0000-0000-00003D4A0000}"/>
    <cellStyle name="Shade 4 4 2" xfId="740" xr:uid="{00000000-0005-0000-0000-00003E4A0000}"/>
    <cellStyle name="Shade 4 4 2 10" xfId="11586" xr:uid="{00000000-0005-0000-0000-00003F4A0000}"/>
    <cellStyle name="Shade 4 4 2 11" xfId="11957" xr:uid="{00000000-0005-0000-0000-0000404A0000}"/>
    <cellStyle name="Shade 4 4 2 12" xfId="12470" xr:uid="{00000000-0005-0000-0000-0000414A0000}"/>
    <cellStyle name="Shade 4 4 2 13" xfId="13889" xr:uid="{00000000-0005-0000-0000-0000424A0000}"/>
    <cellStyle name="Shade 4 4 2 14" xfId="15653" xr:uid="{00000000-0005-0000-0000-0000434A0000}"/>
    <cellStyle name="Shade 4 4 2 15" xfId="17042" xr:uid="{00000000-0005-0000-0000-0000444A0000}"/>
    <cellStyle name="Shade 4 4 2 16" xfId="19434" xr:uid="{00000000-0005-0000-0000-0000454A0000}"/>
    <cellStyle name="Shade 4 4 2 2" xfId="1240" xr:uid="{00000000-0005-0000-0000-0000464A0000}"/>
    <cellStyle name="Shade 4 4 2 2 2" xfId="12969" xr:uid="{00000000-0005-0000-0000-0000474A0000}"/>
    <cellStyle name="Shade 4 4 2 2 3" xfId="15385" xr:uid="{00000000-0005-0000-0000-0000484A0000}"/>
    <cellStyle name="Shade 4 4 2 2 4" xfId="14083" xr:uid="{00000000-0005-0000-0000-0000494A0000}"/>
    <cellStyle name="Shade 4 4 2 2 5" xfId="17034" xr:uid="{00000000-0005-0000-0000-00004A4A0000}"/>
    <cellStyle name="Shade 4 4 2 2 6" xfId="19180" xr:uid="{00000000-0005-0000-0000-00004B4A0000}"/>
    <cellStyle name="Shade 4 4 2 3" xfId="3415" xr:uid="{00000000-0005-0000-0000-00004C4A0000}"/>
    <cellStyle name="Shade 4 4 2 4" xfId="8743" xr:uid="{00000000-0005-0000-0000-00004D4A0000}"/>
    <cellStyle name="Shade 4 4 2 5" xfId="9641" xr:uid="{00000000-0005-0000-0000-00004E4A0000}"/>
    <cellStyle name="Shade 4 4 2 6" xfId="10070" xr:uid="{00000000-0005-0000-0000-00004F4A0000}"/>
    <cellStyle name="Shade 4 4 2 7" xfId="10482" xr:uid="{00000000-0005-0000-0000-0000504A0000}"/>
    <cellStyle name="Shade 4 4 2 8" xfId="10907" xr:uid="{00000000-0005-0000-0000-0000514A0000}"/>
    <cellStyle name="Shade 4 4 2 9" xfId="11201" xr:uid="{00000000-0005-0000-0000-0000524A0000}"/>
    <cellStyle name="Shade 4 4 3" xfId="1003" xr:uid="{00000000-0005-0000-0000-0000534A0000}"/>
    <cellStyle name="Shade 4 4 3 2" xfId="12732" xr:uid="{00000000-0005-0000-0000-0000544A0000}"/>
    <cellStyle name="Shade 4 4 3 3" xfId="14287" xr:uid="{00000000-0005-0000-0000-0000554A0000}"/>
    <cellStyle name="Shade 4 4 3 4" xfId="16452" xr:uid="{00000000-0005-0000-0000-0000564A0000}"/>
    <cellStyle name="Shade 4 4 3 5" xfId="17002" xr:uid="{00000000-0005-0000-0000-0000574A0000}"/>
    <cellStyle name="Shade 4 4 3 6" xfId="18232" xr:uid="{00000000-0005-0000-0000-0000584A0000}"/>
    <cellStyle name="Shade 4 4 4" xfId="3732" xr:uid="{00000000-0005-0000-0000-0000594A0000}"/>
    <cellStyle name="Shade 4 4 5" xfId="9210" xr:uid="{00000000-0005-0000-0000-00005A4A0000}"/>
    <cellStyle name="Shade 4 4 6" xfId="9429" xr:uid="{00000000-0005-0000-0000-00005B4A0000}"/>
    <cellStyle name="Shade 4 4 7" xfId="9856" xr:uid="{00000000-0005-0000-0000-00005C4A0000}"/>
    <cellStyle name="Shade 4 4 8" xfId="10268" xr:uid="{00000000-0005-0000-0000-00005D4A0000}"/>
    <cellStyle name="Shade 4 4 9" xfId="10918" xr:uid="{00000000-0005-0000-0000-00005E4A0000}"/>
    <cellStyle name="Shade 4 5" xfId="57" xr:uid="{00000000-0005-0000-0000-00005F4A0000}"/>
    <cellStyle name="Shade 4 5 2" xfId="12180" xr:uid="{00000000-0005-0000-0000-0000604A0000}"/>
    <cellStyle name="Shade 4 5 3" xfId="15045" xr:uid="{00000000-0005-0000-0000-0000614A0000}"/>
    <cellStyle name="Shade 4 5 4" xfId="14132" xr:uid="{00000000-0005-0000-0000-0000624A0000}"/>
    <cellStyle name="Shade 4 5 5" xfId="16047" xr:uid="{00000000-0005-0000-0000-0000634A0000}"/>
    <cellStyle name="Shade 4 5 6" xfId="18467" xr:uid="{00000000-0005-0000-0000-0000644A0000}"/>
    <cellStyle name="Shade 4 6" xfId="3961" xr:uid="{00000000-0005-0000-0000-0000654A0000}"/>
    <cellStyle name="Shade 4 7" xfId="8684" xr:uid="{00000000-0005-0000-0000-0000664A0000}"/>
    <cellStyle name="Shade 4 8" xfId="8708" xr:uid="{00000000-0005-0000-0000-0000674A0000}"/>
    <cellStyle name="Shade 4 9" xfId="8890" xr:uid="{00000000-0005-0000-0000-0000684A0000}"/>
    <cellStyle name="Shade 5" xfId="88" xr:uid="{00000000-0005-0000-0000-0000694A0000}"/>
    <cellStyle name="Shade 5 2" xfId="3257" xr:uid="{00000000-0005-0000-0000-00006A4A0000}"/>
    <cellStyle name="Shade 5 2 2" xfId="13521" xr:uid="{00000000-0005-0000-0000-00006B4A0000}"/>
    <cellStyle name="Shade 5 2 3" xfId="16890" xr:uid="{00000000-0005-0000-0000-00006C4A0000}"/>
    <cellStyle name="Shade 5 2 4" xfId="18001" xr:uid="{00000000-0005-0000-0000-00006D4A0000}"/>
    <cellStyle name="Shade 5 2 5" xfId="18998" xr:uid="{00000000-0005-0000-0000-00006E4A0000}"/>
    <cellStyle name="Shade 5 2 6" xfId="19739" xr:uid="{00000000-0005-0000-0000-00006F4A0000}"/>
    <cellStyle name="Shade 5 3" xfId="9841" xr:uid="{00000000-0005-0000-0000-0000704A0000}"/>
    <cellStyle name="Shade 5 4" xfId="13758" xr:uid="{00000000-0005-0000-0000-0000714A0000}"/>
    <cellStyle name="Shade_B_border2" xfId="191" xr:uid="{00000000-0005-0000-0000-0000724A0000}"/>
    <cellStyle name="Source" xfId="1842" xr:uid="{00000000-0005-0000-0000-0000734A0000}"/>
    <cellStyle name="Source Hed" xfId="1843" xr:uid="{00000000-0005-0000-0000-0000744A0000}"/>
    <cellStyle name="Source Text" xfId="1844" xr:uid="{00000000-0005-0000-0000-0000754A0000}"/>
    <cellStyle name="Standaard_Balance sheet" xfId="3138" xr:uid="{00000000-0005-0000-0000-0000764A0000}"/>
    <cellStyle name="Standard 2" xfId="53" xr:uid="{00000000-0005-0000-0000-0000774A0000}"/>
    <cellStyle name="Standard 2 2" xfId="410" xr:uid="{00000000-0005-0000-0000-0000784A0000}"/>
    <cellStyle name="Standard 2 2 2" xfId="520" xr:uid="{00000000-0005-0000-0000-0000794A0000}"/>
    <cellStyle name="Standard 2 3" xfId="519" xr:uid="{00000000-0005-0000-0000-00007A4A0000}"/>
    <cellStyle name="Standard_E00seit45" xfId="1845" xr:uid="{00000000-0005-0000-0000-00007B4A0000}"/>
    <cellStyle name="Style 1" xfId="1846" xr:uid="{00000000-0005-0000-0000-00007C4A0000}"/>
    <cellStyle name="Style 1 2" xfId="1847" xr:uid="{00000000-0005-0000-0000-00007D4A0000}"/>
    <cellStyle name="Style 1 2 2" xfId="3139" xr:uid="{00000000-0005-0000-0000-00007E4A0000}"/>
    <cellStyle name="Style 1 2 3" xfId="3140" xr:uid="{00000000-0005-0000-0000-00007F4A0000}"/>
    <cellStyle name="Style 1 2 3 2" xfId="13433" xr:uid="{00000000-0005-0000-0000-0000804A0000}"/>
    <cellStyle name="Style 1 2 4" xfId="7354" xr:uid="{00000000-0005-0000-0000-0000814A0000}"/>
    <cellStyle name="Style 1 2 5" xfId="13190" xr:uid="{00000000-0005-0000-0000-0000824A0000}"/>
    <cellStyle name="Style 1 3" xfId="3141" xr:uid="{00000000-0005-0000-0000-0000834A0000}"/>
    <cellStyle name="Style 1 4" xfId="3546" xr:uid="{00000000-0005-0000-0000-0000844A0000}"/>
    <cellStyle name="Style 21" xfId="1848" xr:uid="{00000000-0005-0000-0000-0000854A0000}"/>
    <cellStyle name="Style 21 2" xfId="1849" xr:uid="{00000000-0005-0000-0000-0000864A0000}"/>
    <cellStyle name="Style 22" xfId="1850" xr:uid="{00000000-0005-0000-0000-0000874A0000}"/>
    <cellStyle name="Style 22 2" xfId="1851" xr:uid="{00000000-0005-0000-0000-0000884A0000}"/>
    <cellStyle name="Style 23" xfId="1852" xr:uid="{00000000-0005-0000-0000-0000894A0000}"/>
    <cellStyle name="Style 23 2" xfId="1853" xr:uid="{00000000-0005-0000-0000-00008A4A0000}"/>
    <cellStyle name="Style 24" xfId="1854" xr:uid="{00000000-0005-0000-0000-00008B4A0000}"/>
    <cellStyle name="Style 24 2" xfId="1855" xr:uid="{00000000-0005-0000-0000-00008C4A0000}"/>
    <cellStyle name="Style 29" xfId="1856" xr:uid="{00000000-0005-0000-0000-00008D4A0000}"/>
    <cellStyle name="Style 29 2" xfId="1857" xr:uid="{00000000-0005-0000-0000-00008E4A0000}"/>
    <cellStyle name="Style 30" xfId="1858" xr:uid="{00000000-0005-0000-0000-00008F4A0000}"/>
    <cellStyle name="Style 30 2" xfId="1859" xr:uid="{00000000-0005-0000-0000-0000904A0000}"/>
    <cellStyle name="Style 31" xfId="1860" xr:uid="{00000000-0005-0000-0000-0000914A0000}"/>
    <cellStyle name="Style 31 2" xfId="1861" xr:uid="{00000000-0005-0000-0000-0000924A0000}"/>
    <cellStyle name="Style 32" xfId="1862" xr:uid="{00000000-0005-0000-0000-0000934A0000}"/>
    <cellStyle name="Style 32 2" xfId="1863" xr:uid="{00000000-0005-0000-0000-0000944A0000}"/>
    <cellStyle name="Sub Total" xfId="1864" xr:uid="{00000000-0005-0000-0000-0000954A0000}"/>
    <cellStyle name="Sub Total 2" xfId="1877" xr:uid="{00000000-0005-0000-0000-0000964A0000}"/>
    <cellStyle name="Sub Total 2 2" xfId="13206" xr:uid="{00000000-0005-0000-0000-0000974A0000}"/>
    <cellStyle name="Sub Total 2 3" xfId="15179" xr:uid="{00000000-0005-0000-0000-0000984A0000}"/>
    <cellStyle name="Sub Total 2 4" xfId="15767" xr:uid="{00000000-0005-0000-0000-0000994A0000}"/>
    <cellStyle name="Sub Total 2 5" xfId="13953" xr:uid="{00000000-0005-0000-0000-00009A4A0000}"/>
    <cellStyle name="Sub Total 2 6" xfId="18385" xr:uid="{00000000-0005-0000-0000-00009B4A0000}"/>
    <cellStyle name="Sub Total 2 7" xfId="17080" xr:uid="{00000000-0005-0000-0000-00009C4A0000}"/>
    <cellStyle name="Sub Total 3" xfId="13205" xr:uid="{00000000-0005-0000-0000-00009D4A0000}"/>
    <cellStyle name="Sub Total 4" xfId="15170" xr:uid="{00000000-0005-0000-0000-00009E4A0000}"/>
    <cellStyle name="Sub Total 5" xfId="15067" xr:uid="{00000000-0005-0000-0000-00009F4A0000}"/>
    <cellStyle name="Sub Total 6" xfId="13848" xr:uid="{00000000-0005-0000-0000-0000A04A0000}"/>
    <cellStyle name="Sub Total 7" xfId="13710" xr:uid="{00000000-0005-0000-0000-0000A14A0000}"/>
    <cellStyle name="Sub Total 8" xfId="14271" xr:uid="{00000000-0005-0000-0000-0000A24A0000}"/>
    <cellStyle name="SUBMINOR ROW HEADING" xfId="3142" xr:uid="{00000000-0005-0000-0000-0000A34A0000}"/>
    <cellStyle name="SUBMINOR ROW HEADING 2" xfId="3143" xr:uid="{00000000-0005-0000-0000-0000A44A0000}"/>
    <cellStyle name="SUBMINOR ROW HEADING 2 2" xfId="3144" xr:uid="{00000000-0005-0000-0000-0000A54A0000}"/>
    <cellStyle name="SummaryHdgs" xfId="3145" xr:uid="{00000000-0005-0000-0000-0000A64A0000}"/>
    <cellStyle name="SummaryHdgs 2" xfId="3146" xr:uid="{00000000-0005-0000-0000-0000A74A0000}"/>
    <cellStyle name="SummaryHdgs 2 2" xfId="3147" xr:uid="{00000000-0005-0000-0000-0000A84A0000}"/>
    <cellStyle name="Switch" xfId="3148" xr:uid="{00000000-0005-0000-0000-0000A94A0000}"/>
    <cellStyle name="Switch 2" xfId="13435" xr:uid="{00000000-0005-0000-0000-0000AA4A0000}"/>
    <cellStyle name="Table Heading" xfId="1865" xr:uid="{00000000-0005-0000-0000-0000AB4A0000}"/>
    <cellStyle name="Table Heading 2" xfId="1878" xr:uid="{00000000-0005-0000-0000-0000AC4A0000}"/>
    <cellStyle name="Table Heading 2 2" xfId="3149" xr:uid="{00000000-0005-0000-0000-0000AD4A0000}"/>
    <cellStyle name="Table Heading 2 3" xfId="18416" xr:uid="{00000000-0005-0000-0000-0000AE4A0000}"/>
    <cellStyle name="Table Heading 2 4" xfId="18268" xr:uid="{00000000-0005-0000-0000-0000AF4A0000}"/>
    <cellStyle name="Table Heading 3" xfId="3150" xr:uid="{00000000-0005-0000-0000-0000B04A0000}"/>
    <cellStyle name="Table Heading 3 2" xfId="13436" xr:uid="{00000000-0005-0000-0000-0000B14A0000}"/>
    <cellStyle name="Table Heading 3 3" xfId="16262" xr:uid="{00000000-0005-0000-0000-0000B24A0000}"/>
    <cellStyle name="Table Heading 3 4" xfId="17904" xr:uid="{00000000-0005-0000-0000-0000B34A0000}"/>
    <cellStyle name="Table Heading 3 5" xfId="18905" xr:uid="{00000000-0005-0000-0000-0000B44A0000}"/>
    <cellStyle name="Table Heading 3 6" xfId="19652" xr:uid="{00000000-0005-0000-0000-0000B54A0000}"/>
    <cellStyle name="Table Heading 4" xfId="15171" xr:uid="{00000000-0005-0000-0000-0000B64A0000}"/>
    <cellStyle name="Table Heading 5" xfId="13879" xr:uid="{00000000-0005-0000-0000-0000B74A0000}"/>
    <cellStyle name="Table Heading 6" xfId="18313" xr:uid="{00000000-0005-0000-0000-0000B84A0000}"/>
    <cellStyle name="Table Heading 7" xfId="13972" xr:uid="{00000000-0005-0000-0000-0000B94A0000}"/>
    <cellStyle name="Title" xfId="12121" builtinId="15" customBuiltin="1"/>
    <cellStyle name="Title 10" xfId="7355" xr:uid="{00000000-0005-0000-0000-0000BB4A0000}"/>
    <cellStyle name="Title 11" xfId="7356" xr:uid="{00000000-0005-0000-0000-0000BC4A0000}"/>
    <cellStyle name="Title 12" xfId="7357" xr:uid="{00000000-0005-0000-0000-0000BD4A0000}"/>
    <cellStyle name="Title 13" xfId="7358" xr:uid="{00000000-0005-0000-0000-0000BE4A0000}"/>
    <cellStyle name="Title 14" xfId="7359" xr:uid="{00000000-0005-0000-0000-0000BF4A0000}"/>
    <cellStyle name="Title 15" xfId="7360" xr:uid="{00000000-0005-0000-0000-0000C04A0000}"/>
    <cellStyle name="Title 16" xfId="7361" xr:uid="{00000000-0005-0000-0000-0000C14A0000}"/>
    <cellStyle name="Title 17" xfId="7362" xr:uid="{00000000-0005-0000-0000-0000C24A0000}"/>
    <cellStyle name="Title 18" xfId="7363" xr:uid="{00000000-0005-0000-0000-0000C34A0000}"/>
    <cellStyle name="Title 19" xfId="7364" xr:uid="{00000000-0005-0000-0000-0000C44A0000}"/>
    <cellStyle name="Title 2" xfId="192" xr:uid="{00000000-0005-0000-0000-0000C54A0000}"/>
    <cellStyle name="Title 2 10" xfId="7366" xr:uid="{00000000-0005-0000-0000-0000C64A0000}"/>
    <cellStyle name="Title 2 11" xfId="7367" xr:uid="{00000000-0005-0000-0000-0000C74A0000}"/>
    <cellStyle name="Title 2 12" xfId="7368" xr:uid="{00000000-0005-0000-0000-0000C84A0000}"/>
    <cellStyle name="Title 2 13" xfId="7369" xr:uid="{00000000-0005-0000-0000-0000C94A0000}"/>
    <cellStyle name="Title 2 14" xfId="7370" xr:uid="{00000000-0005-0000-0000-0000CA4A0000}"/>
    <cellStyle name="Title 2 15" xfId="7371" xr:uid="{00000000-0005-0000-0000-0000CB4A0000}"/>
    <cellStyle name="Title 2 16" xfId="7372" xr:uid="{00000000-0005-0000-0000-0000CC4A0000}"/>
    <cellStyle name="Title 2 17" xfId="7365" xr:uid="{00000000-0005-0000-0000-0000CD4A0000}"/>
    <cellStyle name="Title 2 2" xfId="7373" xr:uid="{00000000-0005-0000-0000-0000CE4A0000}"/>
    <cellStyle name="Title 2 2 2" xfId="7374" xr:uid="{00000000-0005-0000-0000-0000CF4A0000}"/>
    <cellStyle name="Title 2 2 3" xfId="7375" xr:uid="{00000000-0005-0000-0000-0000D04A0000}"/>
    <cellStyle name="Title 2 2 4" xfId="7376" xr:uid="{00000000-0005-0000-0000-0000D14A0000}"/>
    <cellStyle name="Title 2 2 5" xfId="7377" xr:uid="{00000000-0005-0000-0000-0000D24A0000}"/>
    <cellStyle name="Title 2 3" xfId="7378" xr:uid="{00000000-0005-0000-0000-0000D34A0000}"/>
    <cellStyle name="Title 2 4" xfId="7379" xr:uid="{00000000-0005-0000-0000-0000D44A0000}"/>
    <cellStyle name="Title 2 5" xfId="7380" xr:uid="{00000000-0005-0000-0000-0000D54A0000}"/>
    <cellStyle name="Title 2 6" xfId="7381" xr:uid="{00000000-0005-0000-0000-0000D64A0000}"/>
    <cellStyle name="Title 2 7" xfId="7382" xr:uid="{00000000-0005-0000-0000-0000D74A0000}"/>
    <cellStyle name="Title 2 8" xfId="7383" xr:uid="{00000000-0005-0000-0000-0000D84A0000}"/>
    <cellStyle name="Title 2 9" xfId="7384" xr:uid="{00000000-0005-0000-0000-0000D94A0000}"/>
    <cellStyle name="Title 20" xfId="7385" xr:uid="{00000000-0005-0000-0000-0000DA4A0000}"/>
    <cellStyle name="Title 21" xfId="7386" xr:uid="{00000000-0005-0000-0000-0000DB4A0000}"/>
    <cellStyle name="Title 22" xfId="7387" xr:uid="{00000000-0005-0000-0000-0000DC4A0000}"/>
    <cellStyle name="Title 3" xfId="251" xr:uid="{00000000-0005-0000-0000-0000DD4A0000}"/>
    <cellStyle name="Title 3 2" xfId="7389" xr:uid="{00000000-0005-0000-0000-0000DE4A0000}"/>
    <cellStyle name="Title 3 3" xfId="7390" xr:uid="{00000000-0005-0000-0000-0000DF4A0000}"/>
    <cellStyle name="Title 3 4" xfId="7391" xr:uid="{00000000-0005-0000-0000-0000E04A0000}"/>
    <cellStyle name="Title 3 5" xfId="7392" xr:uid="{00000000-0005-0000-0000-0000E14A0000}"/>
    <cellStyle name="Title 3 6" xfId="7393" xr:uid="{00000000-0005-0000-0000-0000E24A0000}"/>
    <cellStyle name="Title 3 7" xfId="7388" xr:uid="{00000000-0005-0000-0000-0000E34A0000}"/>
    <cellStyle name="Title 4" xfId="1880" xr:uid="{00000000-0005-0000-0000-0000E44A0000}"/>
    <cellStyle name="Title 4 2" xfId="7395" xr:uid="{00000000-0005-0000-0000-0000E54A0000}"/>
    <cellStyle name="Title 4 3" xfId="7394" xr:uid="{00000000-0005-0000-0000-0000E64A0000}"/>
    <cellStyle name="Title 5" xfId="7396" xr:uid="{00000000-0005-0000-0000-0000E74A0000}"/>
    <cellStyle name="Title 5 2" xfId="7397" xr:uid="{00000000-0005-0000-0000-0000E84A0000}"/>
    <cellStyle name="Title 6" xfId="7398" xr:uid="{00000000-0005-0000-0000-0000E94A0000}"/>
    <cellStyle name="Title 7" xfId="7399" xr:uid="{00000000-0005-0000-0000-0000EA4A0000}"/>
    <cellStyle name="Title 8" xfId="7400" xr:uid="{00000000-0005-0000-0000-0000EB4A0000}"/>
    <cellStyle name="Title 9" xfId="7401" xr:uid="{00000000-0005-0000-0000-0000EC4A0000}"/>
    <cellStyle name="Title-1" xfId="1866" xr:uid="{00000000-0005-0000-0000-0000ED4A0000}"/>
    <cellStyle name="Title-2" xfId="1867" xr:uid="{00000000-0005-0000-0000-0000EE4A0000}"/>
    <cellStyle name="TitleBars" xfId="3151" xr:uid="{00000000-0005-0000-0000-0000EF4A0000}"/>
    <cellStyle name="TitleBars 2" xfId="3152" xr:uid="{00000000-0005-0000-0000-0000F04A0000}"/>
    <cellStyle name="TitleBars 2 2" xfId="3153" xr:uid="{00000000-0005-0000-0000-0000F14A0000}"/>
    <cellStyle name="Titre ligne" xfId="1868" xr:uid="{00000000-0005-0000-0000-0000F24A0000}"/>
    <cellStyle name="To_Financials" xfId="7402" xr:uid="{00000000-0005-0000-0000-0000F34A0000}"/>
    <cellStyle name="Total 1" xfId="3154" xr:uid="{00000000-0005-0000-0000-0000F44A0000}"/>
    <cellStyle name="Total 1 2" xfId="13437" xr:uid="{00000000-0005-0000-0000-0000F54A0000}"/>
    <cellStyle name="Total 1 3" xfId="13573" xr:uid="{00000000-0005-0000-0000-0000F64A0000}"/>
    <cellStyle name="Total 1 4" xfId="16266" xr:uid="{00000000-0005-0000-0000-0000F74A0000}"/>
    <cellStyle name="Total 1 5" xfId="17907" xr:uid="{00000000-0005-0000-0000-0000F84A0000}"/>
    <cellStyle name="Total 1 6" xfId="18908" xr:uid="{00000000-0005-0000-0000-0000F94A0000}"/>
    <cellStyle name="Total 1 7" xfId="19653" xr:uid="{00000000-0005-0000-0000-0000FA4A0000}"/>
    <cellStyle name="Total 10" xfId="7403" xr:uid="{00000000-0005-0000-0000-0000FB4A0000}"/>
    <cellStyle name="Total 11" xfId="7404" xr:uid="{00000000-0005-0000-0000-0000FC4A0000}"/>
    <cellStyle name="Total 12" xfId="7405" xr:uid="{00000000-0005-0000-0000-0000FD4A0000}"/>
    <cellStyle name="Total 13" xfId="7406" xr:uid="{00000000-0005-0000-0000-0000FE4A0000}"/>
    <cellStyle name="Total 14" xfId="7407" xr:uid="{00000000-0005-0000-0000-0000FF4A0000}"/>
    <cellStyle name="Total 15" xfId="7408" xr:uid="{00000000-0005-0000-0000-0000004B0000}"/>
    <cellStyle name="Total 16" xfId="7409" xr:uid="{00000000-0005-0000-0000-0000014B0000}"/>
    <cellStyle name="Total 17" xfId="7410" xr:uid="{00000000-0005-0000-0000-0000024B0000}"/>
    <cellStyle name="Total 18" xfId="7411" xr:uid="{00000000-0005-0000-0000-0000034B0000}"/>
    <cellStyle name="Total 19" xfId="7412" xr:uid="{00000000-0005-0000-0000-0000044B0000}"/>
    <cellStyle name="Total 2" xfId="193" xr:uid="{00000000-0005-0000-0000-0000054B0000}"/>
    <cellStyle name="Total 2 10" xfId="7414" xr:uid="{00000000-0005-0000-0000-0000064B0000}"/>
    <cellStyle name="Total 2 11" xfId="7415" xr:uid="{00000000-0005-0000-0000-0000074B0000}"/>
    <cellStyle name="Total 2 12" xfId="7416" xr:uid="{00000000-0005-0000-0000-0000084B0000}"/>
    <cellStyle name="Total 2 13" xfId="7417" xr:uid="{00000000-0005-0000-0000-0000094B0000}"/>
    <cellStyle name="Total 2 14" xfId="7418" xr:uid="{00000000-0005-0000-0000-00000A4B0000}"/>
    <cellStyle name="Total 2 15" xfId="7419" xr:uid="{00000000-0005-0000-0000-00000B4B0000}"/>
    <cellStyle name="Total 2 16" xfId="7420" xr:uid="{00000000-0005-0000-0000-00000C4B0000}"/>
    <cellStyle name="Total 2 17" xfId="7421" xr:uid="{00000000-0005-0000-0000-00000D4B0000}"/>
    <cellStyle name="Total 2 18" xfId="7422" xr:uid="{00000000-0005-0000-0000-00000E4B0000}"/>
    <cellStyle name="Total 2 19" xfId="7413" xr:uid="{00000000-0005-0000-0000-00000F4B0000}"/>
    <cellStyle name="Total 2 2" xfId="580" xr:uid="{00000000-0005-0000-0000-0000104B0000}"/>
    <cellStyle name="Total 2 2 10" xfId="9911" xr:uid="{00000000-0005-0000-0000-0000114B0000}"/>
    <cellStyle name="Total 2 2 11" xfId="10323" xr:uid="{00000000-0005-0000-0000-0000124B0000}"/>
    <cellStyle name="Total 2 2 12" xfId="10850" xr:uid="{00000000-0005-0000-0000-0000134B0000}"/>
    <cellStyle name="Total 2 2 13" xfId="11047" xr:uid="{00000000-0005-0000-0000-0000144B0000}"/>
    <cellStyle name="Total 2 2 14" xfId="11434" xr:uid="{00000000-0005-0000-0000-0000154B0000}"/>
    <cellStyle name="Total 2 2 15" xfId="11806" xr:uid="{00000000-0005-0000-0000-0000164B0000}"/>
    <cellStyle name="Total 2 2 16" xfId="12319" xr:uid="{00000000-0005-0000-0000-0000174B0000}"/>
    <cellStyle name="Total 2 2 17" xfId="14389" xr:uid="{00000000-0005-0000-0000-0000184B0000}"/>
    <cellStyle name="Total 2 2 18" xfId="13840" xr:uid="{00000000-0005-0000-0000-0000194B0000}"/>
    <cellStyle name="Total 2 2 19" xfId="16959" xr:uid="{00000000-0005-0000-0000-00001A4B0000}"/>
    <cellStyle name="Total 2 2 2" xfId="795" xr:uid="{00000000-0005-0000-0000-00001B4B0000}"/>
    <cellStyle name="Total 2 2 2 10" xfId="9086" xr:uid="{00000000-0005-0000-0000-00001C4B0000}"/>
    <cellStyle name="Total 2 2 2 11" xfId="11256" xr:uid="{00000000-0005-0000-0000-00001D4B0000}"/>
    <cellStyle name="Total 2 2 2 12" xfId="11641" xr:uid="{00000000-0005-0000-0000-00001E4B0000}"/>
    <cellStyle name="Total 2 2 2 13" xfId="12012" xr:uid="{00000000-0005-0000-0000-00001F4B0000}"/>
    <cellStyle name="Total 2 2 2 14" xfId="12525" xr:uid="{00000000-0005-0000-0000-0000204B0000}"/>
    <cellStyle name="Total 2 2 2 15" xfId="14792" xr:uid="{00000000-0005-0000-0000-0000214B0000}"/>
    <cellStyle name="Total 2 2 2 16" xfId="16083" xr:uid="{00000000-0005-0000-0000-0000224B0000}"/>
    <cellStyle name="Total 2 2 2 17" xfId="17892" xr:uid="{00000000-0005-0000-0000-0000234B0000}"/>
    <cellStyle name="Total 2 2 2 18" xfId="19424" xr:uid="{00000000-0005-0000-0000-0000244B0000}"/>
    <cellStyle name="Total 2 2 2 2" xfId="1178" xr:uid="{00000000-0005-0000-0000-0000254B0000}"/>
    <cellStyle name="Total 2 2 2 2 2" xfId="12907" xr:uid="{00000000-0005-0000-0000-0000264B0000}"/>
    <cellStyle name="Total 2 2 2 2 3" xfId="15350" xr:uid="{00000000-0005-0000-0000-0000274B0000}"/>
    <cellStyle name="Total 2 2 2 2 4" xfId="17275" xr:uid="{00000000-0005-0000-0000-0000284B0000}"/>
    <cellStyle name="Total 2 2 2 2 5" xfId="14082" xr:uid="{00000000-0005-0000-0000-0000294B0000}"/>
    <cellStyle name="Total 2 2 2 2 6" xfId="19227" xr:uid="{00000000-0005-0000-0000-00002A4B0000}"/>
    <cellStyle name="Total 2 2 2 3" xfId="3891" xr:uid="{00000000-0005-0000-0000-00002B4B0000}"/>
    <cellStyle name="Total 2 2 2 4" xfId="7424" xr:uid="{00000000-0005-0000-0000-00002C4B0000}"/>
    <cellStyle name="Total 2 2 2 5" xfId="8457" xr:uid="{00000000-0005-0000-0000-00002D4B0000}"/>
    <cellStyle name="Total 2 2 2 6" xfId="8771" xr:uid="{00000000-0005-0000-0000-00002E4B0000}"/>
    <cellStyle name="Total 2 2 2 7" xfId="9696" xr:uid="{00000000-0005-0000-0000-00002F4B0000}"/>
    <cellStyle name="Total 2 2 2 8" xfId="10125" xr:uid="{00000000-0005-0000-0000-0000304B0000}"/>
    <cellStyle name="Total 2 2 2 9" xfId="10537" xr:uid="{00000000-0005-0000-0000-0000314B0000}"/>
    <cellStyle name="Total 2 2 20" xfId="18058" xr:uid="{00000000-0005-0000-0000-0000324B0000}"/>
    <cellStyle name="Total 2 2 3" xfId="1010" xr:uid="{00000000-0005-0000-0000-0000334B0000}"/>
    <cellStyle name="Total 2 2 3 2" xfId="7425" xr:uid="{00000000-0005-0000-0000-0000344B0000}"/>
    <cellStyle name="Total 2 2 3 3" xfId="12739" xr:uid="{00000000-0005-0000-0000-0000354B0000}"/>
    <cellStyle name="Total 2 2 3 4" xfId="14626" xr:uid="{00000000-0005-0000-0000-0000364B0000}"/>
    <cellStyle name="Total 2 2 3 5" xfId="15593" xr:uid="{00000000-0005-0000-0000-0000374B0000}"/>
    <cellStyle name="Total 2 2 3 6" xfId="14163" xr:uid="{00000000-0005-0000-0000-0000384B0000}"/>
    <cellStyle name="Total 2 2 3 7" xfId="14543" xr:uid="{00000000-0005-0000-0000-0000394B0000}"/>
    <cellStyle name="Total 2 2 4" xfId="3648" xr:uid="{00000000-0005-0000-0000-00003A4B0000}"/>
    <cellStyle name="Total 2 2 4 2" xfId="7426" xr:uid="{00000000-0005-0000-0000-00003B4B0000}"/>
    <cellStyle name="Total 2 2 5" xfId="7427" xr:uid="{00000000-0005-0000-0000-00003C4B0000}"/>
    <cellStyle name="Total 2 2 6" xfId="7423" xr:uid="{00000000-0005-0000-0000-00003D4B0000}"/>
    <cellStyle name="Total 2 2 7" xfId="8347" xr:uid="{00000000-0005-0000-0000-00003E4B0000}"/>
    <cellStyle name="Total 2 2 8" xfId="9240" xr:uid="{00000000-0005-0000-0000-00003F4B0000}"/>
    <cellStyle name="Total 2 2 9" xfId="9484" xr:uid="{00000000-0005-0000-0000-0000404B0000}"/>
    <cellStyle name="Total 2 20" xfId="8289" xr:uid="{00000000-0005-0000-0000-0000414B0000}"/>
    <cellStyle name="Total 2 21" xfId="8564" xr:uid="{00000000-0005-0000-0000-0000424B0000}"/>
    <cellStyle name="Total 2 22" xfId="9115" xr:uid="{00000000-0005-0000-0000-0000434B0000}"/>
    <cellStyle name="Total 2 23" xfId="9611" xr:uid="{00000000-0005-0000-0000-0000444B0000}"/>
    <cellStyle name="Total 2 24" xfId="10935" xr:uid="{00000000-0005-0000-0000-0000454B0000}"/>
    <cellStyle name="Total 2 25" xfId="10692" xr:uid="{00000000-0005-0000-0000-0000464B0000}"/>
    <cellStyle name="Total 2 26" xfId="10790" xr:uid="{00000000-0005-0000-0000-0000474B0000}"/>
    <cellStyle name="Total 2 27" xfId="12215" xr:uid="{00000000-0005-0000-0000-0000484B0000}"/>
    <cellStyle name="Total 2 28" xfId="16580" xr:uid="{00000000-0005-0000-0000-0000494B0000}"/>
    <cellStyle name="Total 2 29" xfId="17692" xr:uid="{00000000-0005-0000-0000-00004A4B0000}"/>
    <cellStyle name="Total 2 3" xfId="641" xr:uid="{00000000-0005-0000-0000-00004B4B0000}"/>
    <cellStyle name="Total 2 3 10" xfId="10384" xr:uid="{00000000-0005-0000-0000-00004C4B0000}"/>
    <cellStyle name="Total 2 3 11" xfId="8797" xr:uid="{00000000-0005-0000-0000-00004D4B0000}"/>
    <cellStyle name="Total 2 3 12" xfId="11108" xr:uid="{00000000-0005-0000-0000-00004E4B0000}"/>
    <cellStyle name="Total 2 3 13" xfId="11495" xr:uid="{00000000-0005-0000-0000-00004F4B0000}"/>
    <cellStyle name="Total 2 3 14" xfId="11867" xr:uid="{00000000-0005-0000-0000-0000504B0000}"/>
    <cellStyle name="Total 2 3 15" xfId="12380" xr:uid="{00000000-0005-0000-0000-0000514B0000}"/>
    <cellStyle name="Total 2 3 16" xfId="15704" xr:uid="{00000000-0005-0000-0000-0000524B0000}"/>
    <cellStyle name="Total 2 3 17" xfId="15642" xr:uid="{00000000-0005-0000-0000-0000534B0000}"/>
    <cellStyle name="Total 2 3 18" xfId="18207" xr:uid="{00000000-0005-0000-0000-0000544B0000}"/>
    <cellStyle name="Total 2 3 19" xfId="18270" xr:uid="{00000000-0005-0000-0000-0000554B0000}"/>
    <cellStyle name="Total 2 3 2" xfId="856" xr:uid="{00000000-0005-0000-0000-0000564B0000}"/>
    <cellStyle name="Total 2 3 2 10" xfId="11317" xr:uid="{00000000-0005-0000-0000-0000574B0000}"/>
    <cellStyle name="Total 2 3 2 11" xfId="11702" xr:uid="{00000000-0005-0000-0000-0000584B0000}"/>
    <cellStyle name="Total 2 3 2 12" xfId="12073" xr:uid="{00000000-0005-0000-0000-0000594B0000}"/>
    <cellStyle name="Total 2 3 2 13" xfId="12586" xr:uid="{00000000-0005-0000-0000-00005A4B0000}"/>
    <cellStyle name="Total 2 3 2 14" xfId="14441" xr:uid="{00000000-0005-0000-0000-00005B4B0000}"/>
    <cellStyle name="Total 2 3 2 15" xfId="14146" xr:uid="{00000000-0005-0000-0000-00005C4B0000}"/>
    <cellStyle name="Total 2 3 2 16" xfId="18429" xr:uid="{00000000-0005-0000-0000-00005D4B0000}"/>
    <cellStyle name="Total 2 3 2 17" xfId="15884" xr:uid="{00000000-0005-0000-0000-00005E4B0000}"/>
    <cellStyle name="Total 2 3 2 2" xfId="1197" xr:uid="{00000000-0005-0000-0000-00005F4B0000}"/>
    <cellStyle name="Total 2 3 2 2 2" xfId="12926" xr:uid="{00000000-0005-0000-0000-0000604B0000}"/>
    <cellStyle name="Total 2 3 2 2 3" xfId="14823" xr:uid="{00000000-0005-0000-0000-0000614B0000}"/>
    <cellStyle name="Total 2 3 2 2 4" xfId="15994" xr:uid="{00000000-0005-0000-0000-0000624B0000}"/>
    <cellStyle name="Total 2 3 2 2 5" xfId="14279" xr:uid="{00000000-0005-0000-0000-0000634B0000}"/>
    <cellStyle name="Total 2 3 2 2 6" xfId="19212" xr:uid="{00000000-0005-0000-0000-0000644B0000}"/>
    <cellStyle name="Total 2 3 2 3" xfId="3945" xr:uid="{00000000-0005-0000-0000-0000654B0000}"/>
    <cellStyle name="Total 2 3 2 4" xfId="8485" xr:uid="{00000000-0005-0000-0000-0000664B0000}"/>
    <cellStyle name="Total 2 3 2 5" xfId="9329" xr:uid="{00000000-0005-0000-0000-0000674B0000}"/>
    <cellStyle name="Total 2 3 2 6" xfId="9757" xr:uid="{00000000-0005-0000-0000-0000684B0000}"/>
    <cellStyle name="Total 2 3 2 7" xfId="10186" xr:uid="{00000000-0005-0000-0000-0000694B0000}"/>
    <cellStyle name="Total 2 3 2 8" xfId="10598" xr:uid="{00000000-0005-0000-0000-00006A4B0000}"/>
    <cellStyle name="Total 2 3 2 9" xfId="8979" xr:uid="{00000000-0005-0000-0000-00006B4B0000}"/>
    <cellStyle name="Total 2 3 3" xfId="1077" xr:uid="{00000000-0005-0000-0000-00006C4B0000}"/>
    <cellStyle name="Total 2 3 3 2" xfId="12806" xr:uid="{00000000-0005-0000-0000-00006D4B0000}"/>
    <cellStyle name="Total 2 3 3 3" xfId="15320" xr:uid="{00000000-0005-0000-0000-00006E4B0000}"/>
    <cellStyle name="Total 2 3 3 4" xfId="17354" xr:uid="{00000000-0005-0000-0000-00006F4B0000}"/>
    <cellStyle name="Total 2 3 3 5" xfId="14059" xr:uid="{00000000-0005-0000-0000-0000704B0000}"/>
    <cellStyle name="Total 2 3 3 6" xfId="19306" xr:uid="{00000000-0005-0000-0000-0000714B0000}"/>
    <cellStyle name="Total 2 3 4" xfId="3708" xr:uid="{00000000-0005-0000-0000-0000724B0000}"/>
    <cellStyle name="Total 2 3 5" xfId="7428" xr:uid="{00000000-0005-0000-0000-0000734B0000}"/>
    <cellStyle name="Total 2 3 6" xfId="8373" xr:uid="{00000000-0005-0000-0000-0000744B0000}"/>
    <cellStyle name="Total 2 3 7" xfId="9246" xr:uid="{00000000-0005-0000-0000-0000754B0000}"/>
    <cellStyle name="Total 2 3 8" xfId="9545" xr:uid="{00000000-0005-0000-0000-0000764B0000}"/>
    <cellStyle name="Total 2 3 9" xfId="9972" xr:uid="{00000000-0005-0000-0000-0000774B0000}"/>
    <cellStyle name="Total 2 30" xfId="18739" xr:uid="{00000000-0005-0000-0000-0000784B0000}"/>
    <cellStyle name="Total 2 31" xfId="19520" xr:uid="{00000000-0005-0000-0000-0000794B0000}"/>
    <cellStyle name="Total 2 4" xfId="529" xr:uid="{00000000-0005-0000-0000-00007A4B0000}"/>
    <cellStyle name="Total 2 4 10" xfId="10272" xr:uid="{00000000-0005-0000-0000-00007B4B0000}"/>
    <cellStyle name="Total 2 4 11" xfId="10729" xr:uid="{00000000-0005-0000-0000-00007C4B0000}"/>
    <cellStyle name="Total 2 4 12" xfId="10996" xr:uid="{00000000-0005-0000-0000-00007D4B0000}"/>
    <cellStyle name="Total 2 4 13" xfId="11383" xr:uid="{00000000-0005-0000-0000-00007E4B0000}"/>
    <cellStyle name="Total 2 4 14" xfId="11755" xr:uid="{00000000-0005-0000-0000-00007F4B0000}"/>
    <cellStyle name="Total 2 4 15" xfId="12268" xr:uid="{00000000-0005-0000-0000-0000804B0000}"/>
    <cellStyle name="Total 2 4 16" xfId="15885" xr:uid="{00000000-0005-0000-0000-0000814B0000}"/>
    <cellStyle name="Total 2 4 17" xfId="13791" xr:uid="{00000000-0005-0000-0000-0000824B0000}"/>
    <cellStyle name="Total 2 4 18" xfId="17549" xr:uid="{00000000-0005-0000-0000-0000834B0000}"/>
    <cellStyle name="Total 2 4 19" xfId="18546" xr:uid="{00000000-0005-0000-0000-0000844B0000}"/>
    <cellStyle name="Total 2 4 2" xfId="744" xr:uid="{00000000-0005-0000-0000-0000854B0000}"/>
    <cellStyle name="Total 2 4 2 10" xfId="11205" xr:uid="{00000000-0005-0000-0000-0000864B0000}"/>
    <cellStyle name="Total 2 4 2 11" xfId="11590" xr:uid="{00000000-0005-0000-0000-0000874B0000}"/>
    <cellStyle name="Total 2 4 2 12" xfId="11961" xr:uid="{00000000-0005-0000-0000-0000884B0000}"/>
    <cellStyle name="Total 2 4 2 13" xfId="12474" xr:uid="{00000000-0005-0000-0000-0000894B0000}"/>
    <cellStyle name="Total 2 4 2 14" xfId="13890" xr:uid="{00000000-0005-0000-0000-00008A4B0000}"/>
    <cellStyle name="Total 2 4 2 15" xfId="15438" xr:uid="{00000000-0005-0000-0000-00008B4B0000}"/>
    <cellStyle name="Total 2 4 2 16" xfId="14733" xr:uid="{00000000-0005-0000-0000-00008C4B0000}"/>
    <cellStyle name="Total 2 4 2 17" xfId="19432" xr:uid="{00000000-0005-0000-0000-00008D4B0000}"/>
    <cellStyle name="Total 2 4 2 2" xfId="1040" xr:uid="{00000000-0005-0000-0000-00008E4B0000}"/>
    <cellStyle name="Total 2 4 2 2 2" xfId="12769" xr:uid="{00000000-0005-0000-0000-00008F4B0000}"/>
    <cellStyle name="Total 2 4 2 2 3" xfId="14308" xr:uid="{00000000-0005-0000-0000-0000904B0000}"/>
    <cellStyle name="Total 2 4 2 2 4" xfId="17378" xr:uid="{00000000-0005-0000-0000-0000914B0000}"/>
    <cellStyle name="Total 2 4 2 2 5" xfId="13956" xr:uid="{00000000-0005-0000-0000-0000924B0000}"/>
    <cellStyle name="Total 2 4 2 2 6" xfId="17643" xr:uid="{00000000-0005-0000-0000-0000934B0000}"/>
    <cellStyle name="Total 2 4 2 3" xfId="4173" xr:uid="{00000000-0005-0000-0000-0000944B0000}"/>
    <cellStyle name="Total 2 4 2 4" xfId="8426" xr:uid="{00000000-0005-0000-0000-0000954B0000}"/>
    <cellStyle name="Total 2 4 2 5" xfId="8644" xr:uid="{00000000-0005-0000-0000-0000964B0000}"/>
    <cellStyle name="Total 2 4 2 6" xfId="9645" xr:uid="{00000000-0005-0000-0000-0000974B0000}"/>
    <cellStyle name="Total 2 4 2 7" xfId="10074" xr:uid="{00000000-0005-0000-0000-0000984B0000}"/>
    <cellStyle name="Total 2 4 2 8" xfId="10486" xr:uid="{00000000-0005-0000-0000-0000994B0000}"/>
    <cellStyle name="Total 2 4 2 9" xfId="10851" xr:uid="{00000000-0005-0000-0000-00009A4B0000}"/>
    <cellStyle name="Total 2 4 3" xfId="980" xr:uid="{00000000-0005-0000-0000-00009B4B0000}"/>
    <cellStyle name="Total 2 4 3 2" xfId="12709" xr:uid="{00000000-0005-0000-0000-00009C4B0000}"/>
    <cellStyle name="Total 2 4 3 3" xfId="14803" xr:uid="{00000000-0005-0000-0000-00009D4B0000}"/>
    <cellStyle name="Total 2 4 3 4" xfId="14684" xr:uid="{00000000-0005-0000-0000-00009E4B0000}"/>
    <cellStyle name="Total 2 4 3 5" xfId="17889" xr:uid="{00000000-0005-0000-0000-00009F4B0000}"/>
    <cellStyle name="Total 2 4 3 6" xfId="19359" xr:uid="{00000000-0005-0000-0000-0000A04B0000}"/>
    <cellStyle name="Total 2 4 4" xfId="4106" xr:uid="{00000000-0005-0000-0000-0000A14B0000}"/>
    <cellStyle name="Total 2 4 5" xfId="7429" xr:uid="{00000000-0005-0000-0000-0000A24B0000}"/>
    <cellStyle name="Total 2 4 6" xfId="8321" xr:uid="{00000000-0005-0000-0000-0000A34B0000}"/>
    <cellStyle name="Total 2 4 7" xfId="8789" xr:uid="{00000000-0005-0000-0000-0000A44B0000}"/>
    <cellStyle name="Total 2 4 8" xfId="9433" xr:uid="{00000000-0005-0000-0000-0000A54B0000}"/>
    <cellStyle name="Total 2 4 9" xfId="9860" xr:uid="{00000000-0005-0000-0000-0000A64B0000}"/>
    <cellStyle name="Total 2 5" xfId="700" xr:uid="{00000000-0005-0000-0000-0000A74B0000}"/>
    <cellStyle name="Total 2 5 10" xfId="8955" xr:uid="{00000000-0005-0000-0000-0000A84B0000}"/>
    <cellStyle name="Total 2 5 11" xfId="11166" xr:uid="{00000000-0005-0000-0000-0000A94B0000}"/>
    <cellStyle name="Total 2 5 12" xfId="11553" xr:uid="{00000000-0005-0000-0000-0000AA4B0000}"/>
    <cellStyle name="Total 2 5 13" xfId="11925" xr:uid="{00000000-0005-0000-0000-0000AB4B0000}"/>
    <cellStyle name="Total 2 5 14" xfId="12438" xr:uid="{00000000-0005-0000-0000-0000AC4B0000}"/>
    <cellStyle name="Total 2 5 15" xfId="14150" xr:uid="{00000000-0005-0000-0000-0000AD4B0000}"/>
    <cellStyle name="Total 2 5 16" xfId="17505" xr:uid="{00000000-0005-0000-0000-0000AE4B0000}"/>
    <cellStyle name="Total 2 5 17" xfId="14382" xr:uid="{00000000-0005-0000-0000-0000AF4B0000}"/>
    <cellStyle name="Total 2 5 18" xfId="17593" xr:uid="{00000000-0005-0000-0000-0000B04B0000}"/>
    <cellStyle name="Total 2 5 2" xfId="1100" xr:uid="{00000000-0005-0000-0000-0000B14B0000}"/>
    <cellStyle name="Total 2 5 2 2" xfId="12829" xr:uid="{00000000-0005-0000-0000-0000B24B0000}"/>
    <cellStyle name="Total 2 5 2 3" xfId="14739" xr:uid="{00000000-0005-0000-0000-0000B34B0000}"/>
    <cellStyle name="Total 2 5 2 4" xfId="17335" xr:uid="{00000000-0005-0000-0000-0000B44B0000}"/>
    <cellStyle name="Total 2 5 2 5" xfId="15914" xr:uid="{00000000-0005-0000-0000-0000B54B0000}"/>
    <cellStyle name="Total 2 5 2 6" xfId="18565" xr:uid="{00000000-0005-0000-0000-0000B64B0000}"/>
    <cellStyle name="Total 2 5 3" xfId="3821" xr:uid="{00000000-0005-0000-0000-0000B74B0000}"/>
    <cellStyle name="Total 2 5 4" xfId="7430" xr:uid="{00000000-0005-0000-0000-0000B84B0000}"/>
    <cellStyle name="Total 2 5 5" xfId="8406" xr:uid="{00000000-0005-0000-0000-0000B94B0000}"/>
    <cellStyle name="Total 2 5 6" xfId="8896" xr:uid="{00000000-0005-0000-0000-0000BA4B0000}"/>
    <cellStyle name="Total 2 5 7" xfId="9603" xr:uid="{00000000-0005-0000-0000-0000BB4B0000}"/>
    <cellStyle name="Total 2 5 8" xfId="10030" xr:uid="{00000000-0005-0000-0000-0000BC4B0000}"/>
    <cellStyle name="Total 2 5 9" xfId="10442" xr:uid="{00000000-0005-0000-0000-0000BD4B0000}"/>
    <cellStyle name="Total 2 6" xfId="1169" xr:uid="{00000000-0005-0000-0000-0000BE4B0000}"/>
    <cellStyle name="Total 2 6 2" xfId="7431" xr:uid="{00000000-0005-0000-0000-0000BF4B0000}"/>
    <cellStyle name="Total 2 6 3" xfId="12898" xr:uid="{00000000-0005-0000-0000-0000C04B0000}"/>
    <cellStyle name="Total 2 6 4" xfId="14819" xr:uid="{00000000-0005-0000-0000-0000C14B0000}"/>
    <cellStyle name="Total 2 6 5" xfId="17282" xr:uid="{00000000-0005-0000-0000-0000C24B0000}"/>
    <cellStyle name="Total 2 6 6" xfId="15823" xr:uid="{00000000-0005-0000-0000-0000C34B0000}"/>
    <cellStyle name="Total 2 6 7" xfId="19234" xr:uid="{00000000-0005-0000-0000-0000C44B0000}"/>
    <cellStyle name="Total 2 7" xfId="4087" xr:uid="{00000000-0005-0000-0000-0000C54B0000}"/>
    <cellStyle name="Total 2 7 2" xfId="7432" xr:uid="{00000000-0005-0000-0000-0000C64B0000}"/>
    <cellStyle name="Total 2 8" xfId="7433" xr:uid="{00000000-0005-0000-0000-0000C74B0000}"/>
    <cellStyle name="Total 2 9" xfId="7434" xr:uid="{00000000-0005-0000-0000-0000C84B0000}"/>
    <cellStyle name="Total 20" xfId="7435" xr:uid="{00000000-0005-0000-0000-0000C94B0000}"/>
    <cellStyle name="Total 21" xfId="7436" xr:uid="{00000000-0005-0000-0000-0000CA4B0000}"/>
    <cellStyle name="Total 22" xfId="7437" xr:uid="{00000000-0005-0000-0000-0000CB4B0000}"/>
    <cellStyle name="Total 23" xfId="7438" xr:uid="{00000000-0005-0000-0000-0000CC4B0000}"/>
    <cellStyle name="Total 24" xfId="7439" xr:uid="{00000000-0005-0000-0000-0000CD4B0000}"/>
    <cellStyle name="Total 3" xfId="252" xr:uid="{00000000-0005-0000-0000-0000CE4B0000}"/>
    <cellStyle name="Total 3 10" xfId="8796" xr:uid="{00000000-0005-0000-0000-0000CF4B0000}"/>
    <cellStyle name="Total 3 11" xfId="8691" xr:uid="{00000000-0005-0000-0000-0000D04B0000}"/>
    <cellStyle name="Total 3 12" xfId="9221" xr:uid="{00000000-0005-0000-0000-0000D14B0000}"/>
    <cellStyle name="Total 3 13" xfId="10782" xr:uid="{00000000-0005-0000-0000-0000D24B0000}"/>
    <cellStyle name="Total 3 14" xfId="8697" xr:uid="{00000000-0005-0000-0000-0000D34B0000}"/>
    <cellStyle name="Total 3 15" xfId="9411" xr:uid="{00000000-0005-0000-0000-0000D44B0000}"/>
    <cellStyle name="Total 3 16" xfId="12222" xr:uid="{00000000-0005-0000-0000-0000D54B0000}"/>
    <cellStyle name="Total 3 17" xfId="16535" xr:uid="{00000000-0005-0000-0000-0000D64B0000}"/>
    <cellStyle name="Total 3 18" xfId="17653" xr:uid="{00000000-0005-0000-0000-0000D74B0000}"/>
    <cellStyle name="Total 3 19" xfId="15854" xr:uid="{00000000-0005-0000-0000-0000D84B0000}"/>
    <cellStyle name="Total 3 2" xfId="604" xr:uid="{00000000-0005-0000-0000-0000D94B0000}"/>
    <cellStyle name="Total 3 2 10" xfId="10347" xr:uid="{00000000-0005-0000-0000-0000DA4B0000}"/>
    <cellStyle name="Total 3 2 11" xfId="8556" xr:uid="{00000000-0005-0000-0000-0000DB4B0000}"/>
    <cellStyle name="Total 3 2 12" xfId="11071" xr:uid="{00000000-0005-0000-0000-0000DC4B0000}"/>
    <cellStyle name="Total 3 2 13" xfId="11458" xr:uid="{00000000-0005-0000-0000-0000DD4B0000}"/>
    <cellStyle name="Total 3 2 14" xfId="11830" xr:uid="{00000000-0005-0000-0000-0000DE4B0000}"/>
    <cellStyle name="Total 3 2 15" xfId="12343" xr:uid="{00000000-0005-0000-0000-0000DF4B0000}"/>
    <cellStyle name="Total 3 2 16" xfId="16257" xr:uid="{00000000-0005-0000-0000-0000E04B0000}"/>
    <cellStyle name="Total 3 2 17" xfId="17799" xr:uid="{00000000-0005-0000-0000-0000E14B0000}"/>
    <cellStyle name="Total 3 2 18" xfId="18343" xr:uid="{00000000-0005-0000-0000-0000E24B0000}"/>
    <cellStyle name="Total 3 2 19" xfId="18740" xr:uid="{00000000-0005-0000-0000-0000E34B0000}"/>
    <cellStyle name="Total 3 2 2" xfId="819" xr:uid="{00000000-0005-0000-0000-0000E44B0000}"/>
    <cellStyle name="Total 3 2 2 10" xfId="11280" xr:uid="{00000000-0005-0000-0000-0000E54B0000}"/>
    <cellStyle name="Total 3 2 2 11" xfId="11665" xr:uid="{00000000-0005-0000-0000-0000E64B0000}"/>
    <cellStyle name="Total 3 2 2 12" xfId="12036" xr:uid="{00000000-0005-0000-0000-0000E74B0000}"/>
    <cellStyle name="Total 3 2 2 13" xfId="12549" xr:uid="{00000000-0005-0000-0000-0000E84B0000}"/>
    <cellStyle name="Total 3 2 2 14" xfId="13882" xr:uid="{00000000-0005-0000-0000-0000E94B0000}"/>
    <cellStyle name="Total 3 2 2 15" xfId="15770" xr:uid="{00000000-0005-0000-0000-0000EA4B0000}"/>
    <cellStyle name="Total 3 2 2 16" xfId="18506" xr:uid="{00000000-0005-0000-0000-0000EB4B0000}"/>
    <cellStyle name="Total 3 2 2 17" xfId="18535" xr:uid="{00000000-0005-0000-0000-0000EC4B0000}"/>
    <cellStyle name="Total 3 2 2 2" xfId="1196" xr:uid="{00000000-0005-0000-0000-0000ED4B0000}"/>
    <cellStyle name="Total 3 2 2 2 2" xfId="12925" xr:uid="{00000000-0005-0000-0000-0000EE4B0000}"/>
    <cellStyle name="Total 3 2 2 2 3" xfId="14522" xr:uid="{00000000-0005-0000-0000-0000EF4B0000}"/>
    <cellStyle name="Total 3 2 2 2 4" xfId="17260" xr:uid="{00000000-0005-0000-0000-0000F04B0000}"/>
    <cellStyle name="Total 3 2 2 2 5" xfId="15477" xr:uid="{00000000-0005-0000-0000-0000F14B0000}"/>
    <cellStyle name="Total 3 2 2 2 6" xfId="16274" xr:uid="{00000000-0005-0000-0000-0000F24B0000}"/>
    <cellStyle name="Total 3 2 2 3" xfId="4024" xr:uid="{00000000-0005-0000-0000-0000F34B0000}"/>
    <cellStyle name="Total 3 2 2 4" xfId="8469" xr:uid="{00000000-0005-0000-0000-0000F44B0000}"/>
    <cellStyle name="Total 3 2 2 5" xfId="8627" xr:uid="{00000000-0005-0000-0000-0000F54B0000}"/>
    <cellStyle name="Total 3 2 2 6" xfId="9720" xr:uid="{00000000-0005-0000-0000-0000F64B0000}"/>
    <cellStyle name="Total 3 2 2 7" xfId="10149" xr:uid="{00000000-0005-0000-0000-0000F74B0000}"/>
    <cellStyle name="Total 3 2 2 8" xfId="10561" xr:uid="{00000000-0005-0000-0000-0000F84B0000}"/>
    <cellStyle name="Total 3 2 2 9" xfId="10681" xr:uid="{00000000-0005-0000-0000-0000F94B0000}"/>
    <cellStyle name="Total 3 2 3" xfId="991" xr:uid="{00000000-0005-0000-0000-0000FA4B0000}"/>
    <cellStyle name="Total 3 2 3 2" xfId="12720" xr:uid="{00000000-0005-0000-0000-0000FB4B0000}"/>
    <cellStyle name="Total 3 2 3 3" xfId="15288" xr:uid="{00000000-0005-0000-0000-0000FC4B0000}"/>
    <cellStyle name="Total 3 2 3 4" xfId="15441" xr:uid="{00000000-0005-0000-0000-0000FD4B0000}"/>
    <cellStyle name="Total 3 2 3 5" xfId="14967" xr:uid="{00000000-0005-0000-0000-0000FE4B0000}"/>
    <cellStyle name="Total 3 2 3 6" xfId="19350" xr:uid="{00000000-0005-0000-0000-0000FF4B0000}"/>
    <cellStyle name="Total 3 2 4" xfId="3755" xr:uid="{00000000-0005-0000-0000-0000004C0000}"/>
    <cellStyle name="Total 3 2 5" xfId="7441" xr:uid="{00000000-0005-0000-0000-0000014C0000}"/>
    <cellStyle name="Total 3 2 6" xfId="8360" xr:uid="{00000000-0005-0000-0000-0000024C0000}"/>
    <cellStyle name="Total 3 2 7" xfId="9021" xr:uid="{00000000-0005-0000-0000-0000034C0000}"/>
    <cellStyle name="Total 3 2 8" xfId="9508" xr:uid="{00000000-0005-0000-0000-0000044C0000}"/>
    <cellStyle name="Total 3 2 9" xfId="9935" xr:uid="{00000000-0005-0000-0000-0000054C0000}"/>
    <cellStyle name="Total 3 20" xfId="19513" xr:uid="{00000000-0005-0000-0000-0000064C0000}"/>
    <cellStyle name="Total 3 3" xfId="567" xr:uid="{00000000-0005-0000-0000-0000074C0000}"/>
    <cellStyle name="Total 3 3 10" xfId="10310" xr:uid="{00000000-0005-0000-0000-0000084C0000}"/>
    <cellStyle name="Total 3 3 11" xfId="8553" xr:uid="{00000000-0005-0000-0000-0000094C0000}"/>
    <cellStyle name="Total 3 3 12" xfId="11034" xr:uid="{00000000-0005-0000-0000-00000A4C0000}"/>
    <cellStyle name="Total 3 3 13" xfId="11421" xr:uid="{00000000-0005-0000-0000-00000B4C0000}"/>
    <cellStyle name="Total 3 3 14" xfId="11793" xr:uid="{00000000-0005-0000-0000-00000C4C0000}"/>
    <cellStyle name="Total 3 3 15" xfId="12306" xr:uid="{00000000-0005-0000-0000-00000D4C0000}"/>
    <cellStyle name="Total 3 3 16" xfId="15199" xr:uid="{00000000-0005-0000-0000-00000E4C0000}"/>
    <cellStyle name="Total 3 3 17" xfId="17523" xr:uid="{00000000-0005-0000-0000-00000F4C0000}"/>
    <cellStyle name="Total 3 3 18" xfId="16530" xr:uid="{00000000-0005-0000-0000-0000104C0000}"/>
    <cellStyle name="Total 3 3 19" xfId="19470" xr:uid="{00000000-0005-0000-0000-0000114C0000}"/>
    <cellStyle name="Total 3 3 2" xfId="782" xr:uid="{00000000-0005-0000-0000-0000124C0000}"/>
    <cellStyle name="Total 3 3 2 10" xfId="11243" xr:uid="{00000000-0005-0000-0000-0000134C0000}"/>
    <cellStyle name="Total 3 3 2 11" xfId="11628" xr:uid="{00000000-0005-0000-0000-0000144C0000}"/>
    <cellStyle name="Total 3 3 2 12" xfId="11999" xr:uid="{00000000-0005-0000-0000-0000154C0000}"/>
    <cellStyle name="Total 3 3 2 13" xfId="12512" xr:uid="{00000000-0005-0000-0000-0000164C0000}"/>
    <cellStyle name="Total 3 3 2 14" xfId="14598" xr:uid="{00000000-0005-0000-0000-0000174C0000}"/>
    <cellStyle name="Total 3 3 2 15" xfId="13819" xr:uid="{00000000-0005-0000-0000-0000184C0000}"/>
    <cellStyle name="Total 3 3 2 16" xfId="15074" xr:uid="{00000000-0005-0000-0000-0000194C0000}"/>
    <cellStyle name="Total 3 3 2 17" xfId="18242" xr:uid="{00000000-0005-0000-0000-00001A4C0000}"/>
    <cellStyle name="Total 3 3 2 2" xfId="923" xr:uid="{00000000-0005-0000-0000-00001B4C0000}"/>
    <cellStyle name="Total 3 3 2 2 2" xfId="12652" xr:uid="{00000000-0005-0000-0000-00001C4C0000}"/>
    <cellStyle name="Total 3 3 2 2 3" xfId="15113" xr:uid="{00000000-0005-0000-0000-00001D4C0000}"/>
    <cellStyle name="Total 3 3 2 2 4" xfId="14685" xr:uid="{00000000-0005-0000-0000-00001E4C0000}"/>
    <cellStyle name="Total 3 3 2 2 5" xfId="18494" xr:uid="{00000000-0005-0000-0000-00001F4C0000}"/>
    <cellStyle name="Total 3 3 2 2 6" xfId="18319" xr:uid="{00000000-0005-0000-0000-0000204C0000}"/>
    <cellStyle name="Total 3 3 2 3" xfId="4082" xr:uid="{00000000-0005-0000-0000-0000214C0000}"/>
    <cellStyle name="Total 3 3 2 4" xfId="8448" xr:uid="{00000000-0005-0000-0000-0000224C0000}"/>
    <cellStyle name="Total 3 3 2 5" xfId="8546" xr:uid="{00000000-0005-0000-0000-0000234C0000}"/>
    <cellStyle name="Total 3 3 2 6" xfId="9683" xr:uid="{00000000-0005-0000-0000-0000244C0000}"/>
    <cellStyle name="Total 3 3 2 7" xfId="10112" xr:uid="{00000000-0005-0000-0000-0000254C0000}"/>
    <cellStyle name="Total 3 3 2 8" xfId="10524" xr:uid="{00000000-0005-0000-0000-0000264C0000}"/>
    <cellStyle name="Total 3 3 2 9" xfId="9609" xr:uid="{00000000-0005-0000-0000-0000274C0000}"/>
    <cellStyle name="Total 3 3 3" xfId="1054" xr:uid="{00000000-0005-0000-0000-0000284C0000}"/>
    <cellStyle name="Total 3 3 3 2" xfId="12783" xr:uid="{00000000-0005-0000-0000-0000294C0000}"/>
    <cellStyle name="Total 3 3 3 3" xfId="14502" xr:uid="{00000000-0005-0000-0000-00002A4C0000}"/>
    <cellStyle name="Total 3 3 3 4" xfId="17372" xr:uid="{00000000-0005-0000-0000-00002B4C0000}"/>
    <cellStyle name="Total 3 3 3 5" xfId="15485" xr:uid="{00000000-0005-0000-0000-00002C4C0000}"/>
    <cellStyle name="Total 3 3 3 6" xfId="18764" xr:uid="{00000000-0005-0000-0000-00002D4C0000}"/>
    <cellStyle name="Total 3 3 4" xfId="3429" xr:uid="{00000000-0005-0000-0000-00002E4C0000}"/>
    <cellStyle name="Total 3 3 5" xfId="7442" xr:uid="{00000000-0005-0000-0000-00002F4C0000}"/>
    <cellStyle name="Total 3 3 6" xfId="8338" xr:uid="{00000000-0005-0000-0000-0000304C0000}"/>
    <cellStyle name="Total 3 3 7" xfId="9122" xr:uid="{00000000-0005-0000-0000-0000314C0000}"/>
    <cellStyle name="Total 3 3 8" xfId="9471" xr:uid="{00000000-0005-0000-0000-0000324C0000}"/>
    <cellStyle name="Total 3 3 9" xfId="9898" xr:uid="{00000000-0005-0000-0000-0000334C0000}"/>
    <cellStyle name="Total 3 4" xfId="608" xr:uid="{00000000-0005-0000-0000-0000344C0000}"/>
    <cellStyle name="Total 3 4 10" xfId="10351" xr:uid="{00000000-0005-0000-0000-0000354C0000}"/>
    <cellStyle name="Total 3 4 11" xfId="9138" xr:uid="{00000000-0005-0000-0000-0000364C0000}"/>
    <cellStyle name="Total 3 4 12" xfId="11075" xr:uid="{00000000-0005-0000-0000-0000374C0000}"/>
    <cellStyle name="Total 3 4 13" xfId="11462" xr:uid="{00000000-0005-0000-0000-0000384C0000}"/>
    <cellStyle name="Total 3 4 14" xfId="11834" xr:uid="{00000000-0005-0000-0000-0000394C0000}"/>
    <cellStyle name="Total 3 4 15" xfId="12347" xr:uid="{00000000-0005-0000-0000-00003A4C0000}"/>
    <cellStyle name="Total 3 4 16" xfId="15987" xr:uid="{00000000-0005-0000-0000-00003B4C0000}"/>
    <cellStyle name="Total 3 4 17" xfId="15951" xr:uid="{00000000-0005-0000-0000-00003C4C0000}"/>
    <cellStyle name="Total 3 4 18" xfId="18272" xr:uid="{00000000-0005-0000-0000-00003D4C0000}"/>
    <cellStyle name="Total 3 4 19" xfId="14933" xr:uid="{00000000-0005-0000-0000-00003E4C0000}"/>
    <cellStyle name="Total 3 4 2" xfId="823" xr:uid="{00000000-0005-0000-0000-00003F4C0000}"/>
    <cellStyle name="Total 3 4 2 10" xfId="11284" xr:uid="{00000000-0005-0000-0000-0000404C0000}"/>
    <cellStyle name="Total 3 4 2 11" xfId="11669" xr:uid="{00000000-0005-0000-0000-0000414C0000}"/>
    <cellStyle name="Total 3 4 2 12" xfId="12040" xr:uid="{00000000-0005-0000-0000-0000424C0000}"/>
    <cellStyle name="Total 3 4 2 13" xfId="12553" xr:uid="{00000000-0005-0000-0000-0000434C0000}"/>
    <cellStyle name="Total 3 4 2 14" xfId="14316" xr:uid="{00000000-0005-0000-0000-0000444C0000}"/>
    <cellStyle name="Total 3 4 2 15" xfId="15785" xr:uid="{00000000-0005-0000-0000-0000454C0000}"/>
    <cellStyle name="Total 3 4 2 16" xfId="14900" xr:uid="{00000000-0005-0000-0000-0000464C0000}"/>
    <cellStyle name="Total 3 4 2 17" xfId="18350" xr:uid="{00000000-0005-0000-0000-0000474C0000}"/>
    <cellStyle name="Total 3 4 2 2" xfId="1102" xr:uid="{00000000-0005-0000-0000-0000484C0000}"/>
    <cellStyle name="Total 3 4 2 2 2" xfId="12831" xr:uid="{00000000-0005-0000-0000-0000494C0000}"/>
    <cellStyle name="Total 3 4 2 2 3" xfId="14245" xr:uid="{00000000-0005-0000-0000-00004A4C0000}"/>
    <cellStyle name="Total 3 4 2 2 4" xfId="17334" xr:uid="{00000000-0005-0000-0000-00004B4C0000}"/>
    <cellStyle name="Total 3 4 2 2 5" xfId="14321" xr:uid="{00000000-0005-0000-0000-00004C4C0000}"/>
    <cellStyle name="Total 3 4 2 2 6" xfId="19286" xr:uid="{00000000-0005-0000-0000-00004D4C0000}"/>
    <cellStyle name="Total 3 4 2 3" xfId="3467" xr:uid="{00000000-0005-0000-0000-00004E4C0000}"/>
    <cellStyle name="Total 3 4 2 4" xfId="8471" xr:uid="{00000000-0005-0000-0000-00004F4C0000}"/>
    <cellStyle name="Total 3 4 2 5" xfId="8625" xr:uid="{00000000-0005-0000-0000-0000504C0000}"/>
    <cellStyle name="Total 3 4 2 6" xfId="9724" xr:uid="{00000000-0005-0000-0000-0000514C0000}"/>
    <cellStyle name="Total 3 4 2 7" xfId="10153" xr:uid="{00000000-0005-0000-0000-0000524C0000}"/>
    <cellStyle name="Total 3 4 2 8" xfId="10565" xr:uid="{00000000-0005-0000-0000-0000534C0000}"/>
    <cellStyle name="Total 3 4 2 9" xfId="10682" xr:uid="{00000000-0005-0000-0000-0000544C0000}"/>
    <cellStyle name="Total 3 4 3" xfId="1171" xr:uid="{00000000-0005-0000-0000-0000554C0000}"/>
    <cellStyle name="Total 3 4 3 2" xfId="12900" xr:uid="{00000000-0005-0000-0000-0000564C0000}"/>
    <cellStyle name="Total 3 4 3 3" xfId="14820" xr:uid="{00000000-0005-0000-0000-0000574C0000}"/>
    <cellStyle name="Total 3 4 3 4" xfId="16605" xr:uid="{00000000-0005-0000-0000-0000584C0000}"/>
    <cellStyle name="Total 3 4 3 5" xfId="17831" xr:uid="{00000000-0005-0000-0000-0000594C0000}"/>
    <cellStyle name="Total 3 4 3 6" xfId="19233" xr:uid="{00000000-0005-0000-0000-00005A4C0000}"/>
    <cellStyle name="Total 3 4 4" xfId="3752" xr:uid="{00000000-0005-0000-0000-00005B4C0000}"/>
    <cellStyle name="Total 3 4 5" xfId="7443" xr:uid="{00000000-0005-0000-0000-00005C4C0000}"/>
    <cellStyle name="Total 3 4 6" xfId="8362" xr:uid="{00000000-0005-0000-0000-00005D4C0000}"/>
    <cellStyle name="Total 3 4 7" xfId="8905" xr:uid="{00000000-0005-0000-0000-00005E4C0000}"/>
    <cellStyle name="Total 3 4 8" xfId="9512" xr:uid="{00000000-0005-0000-0000-00005F4C0000}"/>
    <cellStyle name="Total 3 4 9" xfId="9939" xr:uid="{00000000-0005-0000-0000-0000604C0000}"/>
    <cellStyle name="Total 3 5" xfId="705" xr:uid="{00000000-0005-0000-0000-0000614C0000}"/>
    <cellStyle name="Total 3 5 10" xfId="8954" xr:uid="{00000000-0005-0000-0000-0000624C0000}"/>
    <cellStyle name="Total 3 5 11" xfId="11171" xr:uid="{00000000-0005-0000-0000-0000634C0000}"/>
    <cellStyle name="Total 3 5 12" xfId="11558" xr:uid="{00000000-0005-0000-0000-0000644C0000}"/>
    <cellStyle name="Total 3 5 13" xfId="11930" xr:uid="{00000000-0005-0000-0000-0000654C0000}"/>
    <cellStyle name="Total 3 5 14" xfId="12443" xr:uid="{00000000-0005-0000-0000-0000664C0000}"/>
    <cellStyle name="Total 3 5 15" xfId="15219" xr:uid="{00000000-0005-0000-0000-0000674C0000}"/>
    <cellStyle name="Total 3 5 16" xfId="16556" xr:uid="{00000000-0005-0000-0000-0000684C0000}"/>
    <cellStyle name="Total 3 5 17" xfId="14397" xr:uid="{00000000-0005-0000-0000-0000694C0000}"/>
    <cellStyle name="Total 3 5 18" xfId="19450" xr:uid="{00000000-0005-0000-0000-00006A4C0000}"/>
    <cellStyle name="Total 3 5 2" xfId="985" xr:uid="{00000000-0005-0000-0000-00006B4C0000}"/>
    <cellStyle name="Total 3 5 2 2" xfId="12714" xr:uid="{00000000-0005-0000-0000-00006C4C0000}"/>
    <cellStyle name="Total 3 5 2 3" xfId="14099" xr:uid="{00000000-0005-0000-0000-00006D4C0000}"/>
    <cellStyle name="Total 3 5 2 4" xfId="17402" xr:uid="{00000000-0005-0000-0000-00006E4C0000}"/>
    <cellStyle name="Total 3 5 2 5" xfId="17105" xr:uid="{00000000-0005-0000-0000-00006F4C0000}"/>
    <cellStyle name="Total 3 5 2 6" xfId="18723" xr:uid="{00000000-0005-0000-0000-0000704C0000}"/>
    <cellStyle name="Total 3 5 3" xfId="3630" xr:uid="{00000000-0005-0000-0000-0000714C0000}"/>
    <cellStyle name="Total 3 5 4" xfId="7444" xr:uid="{00000000-0005-0000-0000-0000724C0000}"/>
    <cellStyle name="Total 3 5 5" xfId="8411" xr:uid="{00000000-0005-0000-0000-0000734C0000}"/>
    <cellStyle name="Total 3 5 6" xfId="9253" xr:uid="{00000000-0005-0000-0000-0000744C0000}"/>
    <cellStyle name="Total 3 5 7" xfId="9608" xr:uid="{00000000-0005-0000-0000-0000754C0000}"/>
    <cellStyle name="Total 3 5 8" xfId="10035" xr:uid="{00000000-0005-0000-0000-0000764C0000}"/>
    <cellStyle name="Total 3 5 9" xfId="10447" xr:uid="{00000000-0005-0000-0000-0000774C0000}"/>
    <cellStyle name="Total 3 6" xfId="919" xr:uid="{00000000-0005-0000-0000-0000784C0000}"/>
    <cellStyle name="Total 3 6 2" xfId="7445" xr:uid="{00000000-0005-0000-0000-0000794C0000}"/>
    <cellStyle name="Total 3 6 3" xfId="12648" xr:uid="{00000000-0005-0000-0000-00007A4C0000}"/>
    <cellStyle name="Total 3 6 4" xfId="16051" xr:uid="{00000000-0005-0000-0000-00007B4C0000}"/>
    <cellStyle name="Total 3 6 5" xfId="14201" xr:uid="{00000000-0005-0000-0000-00007C4C0000}"/>
    <cellStyle name="Total 3 6 6" xfId="18492" xr:uid="{00000000-0005-0000-0000-00007D4C0000}"/>
    <cellStyle name="Total 3 6 7" xfId="18422" xr:uid="{00000000-0005-0000-0000-00007E4C0000}"/>
    <cellStyle name="Total 3 7" xfId="3589" xr:uid="{00000000-0005-0000-0000-00007F4C0000}"/>
    <cellStyle name="Total 3 7 2" xfId="7446" xr:uid="{00000000-0005-0000-0000-0000804C0000}"/>
    <cellStyle name="Total 3 8" xfId="7440" xr:uid="{00000000-0005-0000-0000-0000814C0000}"/>
    <cellStyle name="Total 3 9" xfId="8297" xr:uid="{00000000-0005-0000-0000-0000824C0000}"/>
    <cellStyle name="Total 4" xfId="3155" xr:uid="{00000000-0005-0000-0000-0000834C0000}"/>
    <cellStyle name="Total 4 10" xfId="19654" xr:uid="{00000000-0005-0000-0000-0000844C0000}"/>
    <cellStyle name="Total 4 11" xfId="19789" xr:uid="{00000000-0005-0000-0000-0000854C0000}"/>
    <cellStyle name="Total 4 2" xfId="7448" xr:uid="{00000000-0005-0000-0000-0000864C0000}"/>
    <cellStyle name="Total 4 3" xfId="7447" xr:uid="{00000000-0005-0000-0000-0000874C0000}"/>
    <cellStyle name="Total 4 4" xfId="13438" xr:uid="{00000000-0005-0000-0000-0000884C0000}"/>
    <cellStyle name="Total 4 5" xfId="13574" xr:uid="{00000000-0005-0000-0000-0000894C0000}"/>
    <cellStyle name="Total 4 6" xfId="16267" xr:uid="{00000000-0005-0000-0000-00008A4C0000}"/>
    <cellStyle name="Total 4 7" xfId="16600" xr:uid="{00000000-0005-0000-0000-00008B4C0000}"/>
    <cellStyle name="Total 4 8" xfId="17908" xr:uid="{00000000-0005-0000-0000-00008C4C0000}"/>
    <cellStyle name="Total 4 9" xfId="18909" xr:uid="{00000000-0005-0000-0000-00008D4C0000}"/>
    <cellStyle name="Total 5" xfId="7449" xr:uid="{00000000-0005-0000-0000-00008E4C0000}"/>
    <cellStyle name="Total 5 2" xfId="7450" xr:uid="{00000000-0005-0000-0000-00008F4C0000}"/>
    <cellStyle name="Total 6" xfId="7451" xr:uid="{00000000-0005-0000-0000-0000904C0000}"/>
    <cellStyle name="Total 7" xfId="7452" xr:uid="{00000000-0005-0000-0000-0000914C0000}"/>
    <cellStyle name="Total 8" xfId="7453" xr:uid="{00000000-0005-0000-0000-0000924C0000}"/>
    <cellStyle name="Total 9" xfId="7454" xr:uid="{00000000-0005-0000-0000-0000934C0000}"/>
    <cellStyle name="Total intermediaire" xfId="1869" xr:uid="{00000000-0005-0000-0000-0000944C0000}"/>
    <cellStyle name="Tusenskille [0]_rob4-mon.xls Diagram 1" xfId="1870" xr:uid="{00000000-0005-0000-0000-0000954C0000}"/>
    <cellStyle name="Tusenskille_rob4-mon.xls Diagram 1" xfId="1871" xr:uid="{00000000-0005-0000-0000-0000964C0000}"/>
    <cellStyle name="Tusental (0)_pldt" xfId="3156" xr:uid="{00000000-0005-0000-0000-0000974C0000}"/>
    <cellStyle name="Tusental_pldt" xfId="3157" xr:uid="{00000000-0005-0000-0000-0000984C0000}"/>
    <cellStyle name="Überschrift" xfId="194" xr:uid="{00000000-0005-0000-0000-0000994C0000}"/>
    <cellStyle name="Überschrift 1" xfId="195" xr:uid="{00000000-0005-0000-0000-00009A4C0000}"/>
    <cellStyle name="Überschrift 2" xfId="196" xr:uid="{00000000-0005-0000-0000-00009B4C0000}"/>
    <cellStyle name="Überschrift 3" xfId="197" xr:uid="{00000000-0005-0000-0000-00009C4C0000}"/>
    <cellStyle name="Überschrift 4" xfId="198" xr:uid="{00000000-0005-0000-0000-00009D4C0000}"/>
    <cellStyle name="unique" xfId="3158" xr:uid="{00000000-0005-0000-0000-00009E4C0000}"/>
    <cellStyle name="unique 2" xfId="16268" xr:uid="{00000000-0005-0000-0000-00009F4C0000}"/>
    <cellStyle name="unique 3" xfId="17910" xr:uid="{00000000-0005-0000-0000-0000A04C0000}"/>
    <cellStyle name="unique 4" xfId="18910" xr:uid="{00000000-0005-0000-0000-0000A14C0000}"/>
    <cellStyle name="unique 5" xfId="19655" xr:uid="{00000000-0005-0000-0000-0000A24C0000}"/>
    <cellStyle name="Unlocked" xfId="3159" xr:uid="{00000000-0005-0000-0000-0000A34C0000}"/>
    <cellStyle name="Unlocked 2" xfId="3160" xr:uid="{00000000-0005-0000-0000-0000A44C0000}"/>
    <cellStyle name="Unlocked 2 2" xfId="3161" xr:uid="{00000000-0005-0000-0000-0000A54C0000}"/>
    <cellStyle name="Usual" xfId="3162" xr:uid="{00000000-0005-0000-0000-0000A64C0000}"/>
    <cellStyle name="Usual 2" xfId="16271" xr:uid="{00000000-0005-0000-0000-0000A74C0000}"/>
    <cellStyle name="Usual 3" xfId="17911" xr:uid="{00000000-0005-0000-0000-0000A84C0000}"/>
    <cellStyle name="Usual 4" xfId="18912" xr:uid="{00000000-0005-0000-0000-0000A94C0000}"/>
    <cellStyle name="Usual 5" xfId="19656" xr:uid="{00000000-0005-0000-0000-0000AA4C0000}"/>
    <cellStyle name="Valuta (0)_pldt" xfId="3163" xr:uid="{00000000-0005-0000-0000-0000AB4C0000}"/>
    <cellStyle name="Valuta [0]_Blad1" xfId="3164" xr:uid="{00000000-0005-0000-0000-0000AC4C0000}"/>
    <cellStyle name="Valuta_Blad1" xfId="3165" xr:uid="{00000000-0005-0000-0000-0000AD4C0000}"/>
    <cellStyle name="Verknüpfte Zelle" xfId="199" xr:uid="{00000000-0005-0000-0000-0000AE4C0000}"/>
    <cellStyle name="Währung [0]_Excel2" xfId="1872" xr:uid="{00000000-0005-0000-0000-0000AF4C0000}"/>
    <cellStyle name="Währung_Excel2" xfId="1873" xr:uid="{00000000-0005-0000-0000-0000B04C0000}"/>
    <cellStyle name="Warnender Text" xfId="1168" hidden="1" xr:uid="{00000000-0005-0000-0000-0000514D0000}"/>
    <cellStyle name="Warnender Text" xfId="12897" hidden="1" xr:uid="{00000000-0005-0000-0000-00004C4D0000}"/>
    <cellStyle name="Warnender Text" xfId="18962" hidden="1" xr:uid="{00000000-0005-0000-0000-0000EA4C0000}"/>
    <cellStyle name="Warnender Text" xfId="17063" hidden="1" xr:uid="{00000000-0005-0000-0000-0000D24C0000}"/>
    <cellStyle name="Warnender Text" xfId="19571" hidden="1" xr:uid="{00000000-0005-0000-0000-0000F44C0000}"/>
    <cellStyle name="Warnender Text" xfId="1258" hidden="1" xr:uid="{00000000-0005-0000-0000-0000504D0000}"/>
    <cellStyle name="Warnender Text" xfId="12684" hidden="1" xr:uid="{00000000-0005-0000-0000-00004B4D0000}"/>
    <cellStyle name="Warnender Text" xfId="19703" hidden="1" xr:uid="{00000000-0005-0000-0000-0000FE4C0000}"/>
    <cellStyle name="Warnender Text" xfId="17283" hidden="1" xr:uid="{00000000-0005-0000-0000-0000C84C0000}"/>
    <cellStyle name="Warnender Text" xfId="17215" hidden="1" xr:uid="{00000000-0005-0000-0000-0000C94C0000}"/>
    <cellStyle name="Warnender Text" xfId="17158" hidden="1" xr:uid="{00000000-0005-0000-0000-0000CA4C0000}"/>
    <cellStyle name="Warnender Text" xfId="17925" hidden="1" xr:uid="{00000000-0005-0000-0000-0000CB4C0000}"/>
    <cellStyle name="Warnender Text" xfId="3594" hidden="1" xr:uid="{00000000-0005-0000-0000-00000A4D0000}"/>
    <cellStyle name="Warnender Text" xfId="17550" hidden="1" xr:uid="{00000000-0005-0000-0000-0000044D0000}"/>
    <cellStyle name="Warnender Text" xfId="10699" hidden="1" xr:uid="{00000000-0005-0000-0000-0000054D0000}"/>
    <cellStyle name="Warnender Text" xfId="14445" hidden="1" xr:uid="{00000000-0005-0000-0000-0000264D0000}"/>
    <cellStyle name="Warnender Text" xfId="14800" hidden="1" xr:uid="{00000000-0005-0000-0000-0000274D0000}"/>
    <cellStyle name="Warnender Text" xfId="14818" hidden="1" xr:uid="{00000000-0005-0000-0000-0000284D0000}"/>
    <cellStyle name="Warnender Text" xfId="14832" hidden="1" xr:uid="{00000000-0005-0000-0000-0000294D0000}"/>
    <cellStyle name="Warnender Text" xfId="13805" hidden="1" xr:uid="{00000000-0005-0000-0000-00002A4D0000}"/>
    <cellStyle name="Warnender Text" xfId="15080" hidden="1" xr:uid="{00000000-0005-0000-0000-0000F14C0000}"/>
    <cellStyle name="Warnender Text" xfId="15805" hidden="1" xr:uid="{00000000-0005-0000-0000-0000F24C0000}"/>
    <cellStyle name="Warnender Text" xfId="19531" hidden="1" xr:uid="{00000000-0005-0000-0000-0000F34C0000}"/>
    <cellStyle name="Warnender Text" xfId="19793" hidden="1" xr:uid="{00000000-0005-0000-0000-0000B34C0000}"/>
    <cellStyle name="Warnender Text" xfId="19579" hidden="1" xr:uid="{00000000-0005-0000-0000-0000F54C0000}"/>
    <cellStyle name="Warnender Text" xfId="19630" hidden="1" xr:uid="{00000000-0005-0000-0000-0000F64C0000}"/>
    <cellStyle name="Warnender Text" xfId="19610" hidden="1" xr:uid="{00000000-0005-0000-0000-0000F74C0000}"/>
    <cellStyle name="Warnender Text" xfId="8582" hidden="1" xr:uid="{00000000-0005-0000-0000-0000364D0000}"/>
    <cellStyle name="Warnender Text" xfId="14412" hidden="1" xr:uid="{00000000-0005-0000-0000-0000134D0000}"/>
    <cellStyle name="Warnender Text" xfId="8522" hidden="1" xr:uid="{00000000-0005-0000-0000-0000344D0000}"/>
    <cellStyle name="Warnender Text" xfId="17730" hidden="1" xr:uid="{00000000-0005-0000-0000-0000C14C0000}"/>
    <cellStyle name="Warnender Text" xfId="17770" hidden="1" xr:uid="{00000000-0005-0000-0000-0000C24C0000}"/>
    <cellStyle name="Warnender Text" xfId="17778" hidden="1" xr:uid="{00000000-0005-0000-0000-0000C34C0000}"/>
    <cellStyle name="Warnender Text" xfId="19841" hidden="1" xr:uid="{00000000-0005-0000-0000-0000B54C0000}"/>
    <cellStyle name="Warnender Text" xfId="17813" hidden="1" xr:uid="{00000000-0005-0000-0000-0000C54C0000}"/>
    <cellStyle name="Warnender Text" xfId="15039" hidden="1" xr:uid="{00000000-0005-0000-0000-0000C64C0000}"/>
    <cellStyle name="Warnender Text" xfId="15440" hidden="1" xr:uid="{00000000-0005-0000-0000-0000C74C0000}"/>
    <cellStyle name="Warnender Text" xfId="10913" hidden="1" xr:uid="{00000000-0005-0000-0000-0000064D0000}"/>
    <cellStyle name="Warnender Text" xfId="15062" hidden="1" xr:uid="{00000000-0005-0000-0000-00001D4D0000}"/>
    <cellStyle name="Warnender Text" xfId="3362" hidden="1" xr:uid="{00000000-0005-0000-0000-00003E4D0000}"/>
    <cellStyle name="Warnender Text" xfId="13070" hidden="1" xr:uid="{00000000-0005-0000-0000-00003F4D0000}"/>
    <cellStyle name="Warnender Text" xfId="13445" hidden="1" xr:uid="{00000000-0005-0000-0000-0000404D0000}"/>
    <cellStyle name="Warnender Text" xfId="13485" hidden="1" xr:uid="{00000000-0005-0000-0000-0000414D0000}"/>
    <cellStyle name="Warnender Text" xfId="13493" hidden="1" xr:uid="{00000000-0005-0000-0000-0000424D0000}"/>
    <cellStyle name="Warnender Text" xfId="18011" hidden="1" xr:uid="{00000000-0005-0000-0000-0000CF4C0000}"/>
    <cellStyle name="Warnender Text" xfId="17833" hidden="1" xr:uid="{00000000-0005-0000-0000-0000D04C0000}"/>
    <cellStyle name="Warnender Text" xfId="16722" hidden="1" xr:uid="{00000000-0005-0000-0000-0000D14C0000}"/>
    <cellStyle name="Warnender Text" xfId="16862" hidden="1" xr:uid="{00000000-0005-0000-0000-0000B94C0000}"/>
    <cellStyle name="Warnender Text" xfId="15671" hidden="1" xr:uid="{00000000-0005-0000-0000-0000D34C0000}"/>
    <cellStyle name="Warnender Text" xfId="14776" hidden="1" xr:uid="{00000000-0005-0000-0000-0000D44C0000}"/>
    <cellStyle name="Warnender Text" xfId="18600" hidden="1" xr:uid="{00000000-0005-0000-0000-0000D54C0000}"/>
    <cellStyle name="Warnender Text" xfId="14591" hidden="1" xr:uid="{00000000-0005-0000-0000-0000144D0000}"/>
    <cellStyle name="Warnender Text" xfId="16814" hidden="1" xr:uid="{00000000-0005-0000-0000-00002B4D0000}"/>
    <cellStyle name="Warnender Text" xfId="13730" hidden="1" xr:uid="{00000000-0005-0000-0000-0000124D0000}"/>
    <cellStyle name="Warnender Text" xfId="18679" hidden="1" xr:uid="{00000000-0005-0000-0000-0000D94C0000}"/>
    <cellStyle name="Warnender Text" xfId="16060" hidden="1" xr:uid="{00000000-0005-0000-0000-0000DA4C0000}"/>
    <cellStyle name="Warnender Text" xfId="18372" hidden="1" xr:uid="{00000000-0005-0000-0000-0000DB4C0000}"/>
    <cellStyle name="Warnender Text" xfId="19833" hidden="1" xr:uid="{00000000-0005-0000-0000-0000B44C0000}"/>
    <cellStyle name="Warnender Text" xfId="18237" hidden="1" xr:uid="{00000000-0005-0000-0000-0000DD4C0000}"/>
    <cellStyle name="Warnender Text" xfId="18204" hidden="1" xr:uid="{00000000-0005-0000-0000-0000DE4C0000}"/>
    <cellStyle name="Warnender Text" xfId="18770" hidden="1" xr:uid="{00000000-0005-0000-0000-0000DF4C0000}"/>
    <cellStyle name="Warnender Text" xfId="15013" hidden="1" xr:uid="{00000000-0005-0000-0000-00001E4D0000}"/>
    <cellStyle name="Warnender Text" xfId="8429" hidden="1" xr:uid="{00000000-0005-0000-0000-0000354D0000}"/>
    <cellStyle name="Warnender Text" xfId="14338" hidden="1" xr:uid="{00000000-0005-0000-0000-00001C4D0000}"/>
    <cellStyle name="Warnender Text" xfId="19772" hidden="1" xr:uid="{00000000-0005-0000-0000-0000004D0000}"/>
    <cellStyle name="Warnender Text" xfId="19749" hidden="1" xr:uid="{00000000-0005-0000-0000-0000014D0000}"/>
    <cellStyle name="Warnender Text" xfId="18738" hidden="1" xr:uid="{00000000-0005-0000-0000-0000024D0000}"/>
    <cellStyle name="Warnender Text" xfId="16765" hidden="1" xr:uid="{00000000-0005-0000-0000-0000034D0000}"/>
    <cellStyle name="Warnender Text" xfId="17872" hidden="1" xr:uid="{00000000-0005-0000-0000-0000E74C0000}"/>
    <cellStyle name="Warnender Text" xfId="17072" hidden="1" xr:uid="{00000000-0005-0000-0000-0000E84C0000}"/>
    <cellStyle name="Warnender Text" xfId="18922" hidden="1" xr:uid="{00000000-0005-0000-0000-0000E94C0000}"/>
    <cellStyle name="Warnender Text" xfId="13202" hidden="1" xr:uid="{00000000-0005-0000-0000-0000454D0000}"/>
    <cellStyle name="Warnender Text" xfId="18970" hidden="1" xr:uid="{00000000-0005-0000-0000-0000EB4C0000}"/>
    <cellStyle name="Warnender Text" xfId="19031" hidden="1" xr:uid="{00000000-0005-0000-0000-0000EC4C0000}"/>
    <cellStyle name="Warnender Text" xfId="19008" hidden="1" xr:uid="{00000000-0005-0000-0000-0000ED4C0000}"/>
    <cellStyle name="Warnender Text" xfId="12250" hidden="1" xr:uid="{00000000-0005-0000-0000-00002C4D0000}"/>
    <cellStyle name="Warnender Text" xfId="13554" hidden="1" xr:uid="{00000000-0005-0000-0000-0000434D0000}"/>
    <cellStyle name="Warnender Text" xfId="13531" hidden="1" xr:uid="{00000000-0005-0000-0000-0000444D0000}"/>
    <cellStyle name="Warnender Text" xfId="10266" hidden="1" xr:uid="{00000000-0005-0000-0000-00000E4D0000}"/>
    <cellStyle name="Warnender Text" xfId="9025" hidden="1" xr:uid="{00000000-0005-0000-0000-00000F4D0000}"/>
    <cellStyle name="Warnender Text" xfId="10262" hidden="1" xr:uid="{00000000-0005-0000-0000-0000104D0000}"/>
    <cellStyle name="Warnender Text" xfId="9296" hidden="1" xr:uid="{00000000-0005-0000-0000-0000114D0000}"/>
    <cellStyle name="Warnender Text" xfId="15224" hidden="1" xr:uid="{00000000-0005-0000-0000-0000DC4C0000}"/>
    <cellStyle name="Warnender Text" xfId="12183" hidden="1" xr:uid="{00000000-0005-0000-0000-00004A4D0000}"/>
    <cellStyle name="Warnender Text" xfId="18648" hidden="1" xr:uid="{00000000-0005-0000-0000-0000D74C0000}"/>
    <cellStyle name="Warnender Text" xfId="16955" hidden="1" xr:uid="{00000000-0005-0000-0000-0000F84C0000}"/>
    <cellStyle name="Warnender Text" xfId="19380" hidden="1" xr:uid="{00000000-0005-0000-0000-0000F94C0000}"/>
    <cellStyle name="Warnender Text" xfId="19235" hidden="1" xr:uid="{00000000-0005-0000-0000-0000FA4C0000}"/>
    <cellStyle name="Warnender Text" xfId="19167" hidden="1" xr:uid="{00000000-0005-0000-0000-0000FB4C0000}"/>
    <cellStyle name="Warnender Text" xfId="18842" hidden="1" xr:uid="{00000000-0005-0000-0000-0000FC4C0000}"/>
    <cellStyle name="Warnender Text" xfId="9096" hidden="1" xr:uid="{00000000-0005-0000-0000-0000374D0000}"/>
    <cellStyle name="Warnender Text" xfId="8989" hidden="1" xr:uid="{00000000-0005-0000-0000-0000384D0000}"/>
    <cellStyle name="Warnender Text" xfId="3181" hidden="1" xr:uid="{00000000-0005-0000-0000-0000394D0000}"/>
    <cellStyle name="Warnender Text" xfId="12987" hidden="1" xr:uid="{00000000-0005-0000-0000-00004D4D0000}"/>
    <cellStyle name="Warnender Text" xfId="3229" hidden="1" xr:uid="{00000000-0005-0000-0000-00003B4D0000}"/>
    <cellStyle name="Warnender Text" xfId="3290" hidden="1" xr:uid="{00000000-0005-0000-0000-00003C4D0000}"/>
    <cellStyle name="Warnender Text" xfId="3267" hidden="1" xr:uid="{00000000-0005-0000-0000-00003D4D0000}"/>
    <cellStyle name="Warnender Text" xfId="18034" hidden="1" xr:uid="{00000000-0005-0000-0000-0000CE4C0000}"/>
    <cellStyle name="Warnender Text" xfId="17723" hidden="1" xr:uid="{00000000-0005-0000-0000-0000E54C0000}"/>
    <cellStyle name="Warnender Text" xfId="17965" hidden="1" xr:uid="{00000000-0005-0000-0000-0000CC4C0000}"/>
    <cellStyle name="Warnender Text" xfId="3909" hidden="1" xr:uid="{00000000-0005-0000-0000-0000074D0000}"/>
    <cellStyle name="Warnender Text" xfId="3703" hidden="1" xr:uid="{00000000-0005-0000-0000-0000084D0000}"/>
    <cellStyle name="Warnender Text" xfId="4192" hidden="1" xr:uid="{00000000-0005-0000-0000-0000094D0000}"/>
    <cellStyle name="Warnender Text" xfId="955" hidden="1" xr:uid="{00000000-0005-0000-0000-00004F4D0000}"/>
    <cellStyle name="Warnender Text" xfId="8251" hidden="1" xr:uid="{00000000-0005-0000-0000-00000B4D0000}"/>
    <cellStyle name="Warnender Text" xfId="10831" hidden="1" xr:uid="{00000000-0005-0000-0000-00000C4D0000}"/>
    <cellStyle name="Warnender Text" xfId="10823" hidden="1" xr:uid="{00000000-0005-0000-0000-00000D4D0000}"/>
    <cellStyle name="Warnender Text" xfId="18699" hidden="1" xr:uid="{00000000-0005-0000-0000-0000D84C0000}"/>
    <cellStyle name="Warnender Text" xfId="18581" hidden="1" xr:uid="{00000000-0005-0000-0000-0000EF4C0000}"/>
    <cellStyle name="Warnender Text" xfId="18640" hidden="1" xr:uid="{00000000-0005-0000-0000-0000D64C0000}"/>
    <cellStyle name="Warnender Text" xfId="16923" hidden="1" xr:uid="{00000000-0005-0000-0000-0000BA4C0000}"/>
    <cellStyle name="Warnender Text" xfId="16900" hidden="1" xr:uid="{00000000-0005-0000-0000-0000BB4C0000}"/>
    <cellStyle name="Warnender Text" xfId="16787" hidden="1" xr:uid="{00000000-0005-0000-0000-0000BC4C0000}"/>
    <cellStyle name="Warnender Text" xfId="16193" hidden="1" xr:uid="{00000000-0005-0000-0000-0000BD4C0000}"/>
    <cellStyle name="Warnender Text" xfId="14664" hidden="1" xr:uid="{00000000-0005-0000-0000-0000154D0000}"/>
    <cellStyle name="Warnender Text" xfId="14730" hidden="1" xr:uid="{00000000-0005-0000-0000-0000164D0000}"/>
    <cellStyle name="Warnender Text" xfId="16288" hidden="1" xr:uid="{00000000-0005-0000-0000-0000174D0000}"/>
    <cellStyle name="Warnender Text" xfId="19711" hidden="1" xr:uid="{00000000-0005-0000-0000-0000FF4C0000}"/>
    <cellStyle name="Warnender Text" xfId="16336" hidden="1" xr:uid="{00000000-0005-0000-0000-0000194D0000}"/>
    <cellStyle name="Warnender Text" xfId="16396" hidden="1" xr:uid="{00000000-0005-0000-0000-00001A4D0000}"/>
    <cellStyle name="Warnender Text" xfId="16374" hidden="1" xr:uid="{00000000-0005-0000-0000-00001B4D0000}"/>
    <cellStyle name="Warnender Text" xfId="14515" hidden="1" xr:uid="{00000000-0005-0000-0000-0000E64C0000}"/>
    <cellStyle name="Warnender Text" xfId="19663" hidden="1" xr:uid="{00000000-0005-0000-0000-0000FD4C0000}"/>
    <cellStyle name="Warnender Text" xfId="18274" hidden="1" xr:uid="{00000000-0005-0000-0000-0000E44C0000}"/>
    <cellStyle name="Warnender Text" xfId="15783" hidden="1" xr:uid="{00000000-0005-0000-0000-00001F4D0000}"/>
    <cellStyle name="Warnender Text" xfId="15734" hidden="1" xr:uid="{00000000-0005-0000-0000-0000204D0000}"/>
    <cellStyle name="Warnender Text" xfId="16618" hidden="1" xr:uid="{00000000-0005-0000-0000-0000214D0000}"/>
    <cellStyle name="Warnender Text" xfId="1341" hidden="1" xr:uid="{00000000-0005-0000-0000-00004E4D0000}"/>
    <cellStyle name="Warnender Text" xfId="16666" hidden="1" xr:uid="{00000000-0005-0000-0000-0000234D0000}"/>
    <cellStyle name="Warnender Text" xfId="16726" hidden="1" xr:uid="{00000000-0005-0000-0000-0000244D0000}"/>
    <cellStyle name="Warnender Text" xfId="16704" hidden="1" xr:uid="{00000000-0005-0000-0000-0000254D0000}"/>
    <cellStyle name="Warnender Text" xfId="17608" hidden="1" xr:uid="{00000000-0005-0000-0000-0000F04C0000}"/>
    <cellStyle name="Warnender Text" xfId="17973" hidden="1" xr:uid="{00000000-0005-0000-0000-0000CD4C0000}"/>
    <cellStyle name="Warnender Text" xfId="15830" hidden="1" xr:uid="{00000000-0005-0000-0000-0000EE4C0000}"/>
    <cellStyle name="Warnender Text" xfId="13418" hidden="1" xr:uid="{00000000-0005-0000-0000-0000464D0000}"/>
    <cellStyle name="Warnender Text" xfId="13386" hidden="1" xr:uid="{00000000-0005-0000-0000-0000474D0000}"/>
    <cellStyle name="Warnender Text" xfId="13378" hidden="1" xr:uid="{00000000-0005-0000-0000-0000484D0000}"/>
    <cellStyle name="Warnender Text" xfId="60" hidden="1" xr:uid="{00000000-0005-0000-0000-0000494D0000}"/>
    <cellStyle name="Warnender Text" xfId="13578" hidden="1" xr:uid="{00000000-0005-0000-0000-00002D4D0000}"/>
    <cellStyle name="Warnender Text" xfId="13618" hidden="1" xr:uid="{00000000-0005-0000-0000-00002E4D0000}"/>
    <cellStyle name="Warnender Text" xfId="13626" hidden="1" xr:uid="{00000000-0005-0000-0000-00002F4D0000}"/>
    <cellStyle name="Warnender Text" xfId="15801" hidden="1" xr:uid="{00000000-0005-0000-0000-0000C04C0000}"/>
    <cellStyle name="Warnender Text" xfId="13654" hidden="1" xr:uid="{00000000-0005-0000-0000-0000314D0000}"/>
    <cellStyle name="Warnender Text" xfId="8439" hidden="1" xr:uid="{00000000-0005-0000-0000-0000324D0000}"/>
    <cellStyle name="Warnender Text" xfId="8385" hidden="1" xr:uid="{00000000-0005-0000-0000-0000334D0000}"/>
    <cellStyle name="Warnender Text" xfId="17836" hidden="1" xr:uid="{00000000-0005-0000-0000-0000C44C0000}"/>
    <cellStyle name="Warnender Text" xfId="15799" hidden="1" xr:uid="{00000000-0005-0000-0000-0000BE4C0000}"/>
    <cellStyle name="Warnender Text" xfId="15967" hidden="1" xr:uid="{00000000-0005-0000-0000-0000BF4C0000}"/>
    <cellStyle name="Warnender Text" xfId="18810" hidden="1" xr:uid="{00000000-0005-0000-0000-0000E04C0000}"/>
    <cellStyle name="Warnender Text" xfId="18818" hidden="1" xr:uid="{00000000-0005-0000-0000-0000E14C0000}"/>
    <cellStyle name="Warnender Text" xfId="18873" hidden="1" xr:uid="{00000000-0005-0000-0000-0000E24C0000}"/>
    <cellStyle name="Warnender Text" xfId="18853" hidden="1" xr:uid="{00000000-0005-0000-0000-0000E34C0000}"/>
    <cellStyle name="Warnender Text" xfId="16658" hidden="1" xr:uid="{00000000-0005-0000-0000-0000224D0000}"/>
    <cellStyle name="Warnender Text" xfId="19888" hidden="1" xr:uid="{00000000-0005-0000-0000-0000B64C0000}"/>
    <cellStyle name="Warnender Text" xfId="18296" hidden="1" xr:uid="{00000000-0005-0000-0000-0000B14C0000}"/>
    <cellStyle name="Warnender Text" xfId="16854" hidden="1" xr:uid="{00000000-0005-0000-0000-0000B84C0000}"/>
    <cellStyle name="Warnender Text" xfId="13673" hidden="1" xr:uid="{00000000-0005-0000-0000-0000304D0000}"/>
    <cellStyle name="Warnender Text" xfId="16328" hidden="1" xr:uid="{00000000-0005-0000-0000-0000184D0000}"/>
    <cellStyle name="Warnender Text" xfId="3221" hidden="1" xr:uid="{00000000-0005-0000-0000-00003A4D0000}"/>
    <cellStyle name="Warnender Text" xfId="15911" hidden="1" xr:uid="{00000000-0005-0000-0000-0000B24C0000}"/>
    <cellStyle name="Warnender Text" xfId="19869" hidden="1" xr:uid="{00000000-0005-0000-0000-0000B74C0000}"/>
    <cellStyle name="Warnender Text 2" xfId="409" xr:uid="{00000000-0005-0000-0000-0000524D0000}"/>
    <cellStyle name="Warnender Text 3" xfId="300" xr:uid="{00000000-0005-0000-0000-0000534D0000}"/>
    <cellStyle name="Warning" xfId="3166" xr:uid="{00000000-0005-0000-0000-0000544D0000}"/>
    <cellStyle name="Warning 2" xfId="3167" xr:uid="{00000000-0005-0000-0000-0000554D0000}"/>
    <cellStyle name="Warning 2 2" xfId="3168" xr:uid="{00000000-0005-0000-0000-0000564D0000}"/>
    <cellStyle name="Warning Text 10" xfId="7455" xr:uid="{00000000-0005-0000-0000-0000574D0000}"/>
    <cellStyle name="Warning Text 11" xfId="7456" xr:uid="{00000000-0005-0000-0000-0000584D0000}"/>
    <cellStyle name="Warning Text 12" xfId="7457" xr:uid="{00000000-0005-0000-0000-0000594D0000}"/>
    <cellStyle name="Warning Text 13" xfId="7458" xr:uid="{00000000-0005-0000-0000-00005A4D0000}"/>
    <cellStyle name="Warning Text 14" xfId="12166" xr:uid="{00000000-0005-0000-0000-00005B4D0000}"/>
    <cellStyle name="Warning Text 2" xfId="200" xr:uid="{00000000-0005-0000-0000-00005C4D0000}"/>
    <cellStyle name="Warning Text 2 10" xfId="7460" xr:uid="{00000000-0005-0000-0000-00005D4D0000}"/>
    <cellStyle name="Warning Text 2 11" xfId="7461" xr:uid="{00000000-0005-0000-0000-00005E4D0000}"/>
    <cellStyle name="Warning Text 2 12" xfId="7462" xr:uid="{00000000-0005-0000-0000-00005F4D0000}"/>
    <cellStyle name="Warning Text 2 13" xfId="7463" xr:uid="{00000000-0005-0000-0000-0000604D0000}"/>
    <cellStyle name="Warning Text 2 14" xfId="7464" xr:uid="{00000000-0005-0000-0000-0000614D0000}"/>
    <cellStyle name="Warning Text 2 15" xfId="7465" xr:uid="{00000000-0005-0000-0000-0000624D0000}"/>
    <cellStyle name="Warning Text 2 16" xfId="7466" xr:uid="{00000000-0005-0000-0000-0000634D0000}"/>
    <cellStyle name="Warning Text 2 17" xfId="7459" xr:uid="{00000000-0005-0000-0000-0000644D0000}"/>
    <cellStyle name="Warning Text 2 2" xfId="3169" xr:uid="{00000000-0005-0000-0000-0000654D0000}"/>
    <cellStyle name="Warning Text 2 2 2" xfId="7468" xr:uid="{00000000-0005-0000-0000-0000664D0000}"/>
    <cellStyle name="Warning Text 2 2 3" xfId="7469" xr:uid="{00000000-0005-0000-0000-0000674D0000}"/>
    <cellStyle name="Warning Text 2 2 4" xfId="7470" xr:uid="{00000000-0005-0000-0000-0000684D0000}"/>
    <cellStyle name="Warning Text 2 2 5" xfId="7471" xr:uid="{00000000-0005-0000-0000-0000694D0000}"/>
    <cellStyle name="Warning Text 2 2 6" xfId="7467" xr:uid="{00000000-0005-0000-0000-00006A4D0000}"/>
    <cellStyle name="Warning Text 2 3" xfId="3170" xr:uid="{00000000-0005-0000-0000-00006B4D0000}"/>
    <cellStyle name="Warning Text 2 3 2" xfId="7472" xr:uid="{00000000-0005-0000-0000-00006C4D0000}"/>
    <cellStyle name="Warning Text 2 4" xfId="7473" xr:uid="{00000000-0005-0000-0000-00006D4D0000}"/>
    <cellStyle name="Warning Text 2 5" xfId="7474" xr:uid="{00000000-0005-0000-0000-00006E4D0000}"/>
    <cellStyle name="Warning Text 2 6" xfId="7475" xr:uid="{00000000-0005-0000-0000-00006F4D0000}"/>
    <cellStyle name="Warning Text 2 7" xfId="7476" xr:uid="{00000000-0005-0000-0000-0000704D0000}"/>
    <cellStyle name="Warning Text 2 8" xfId="7477" xr:uid="{00000000-0005-0000-0000-0000714D0000}"/>
    <cellStyle name="Warning Text 2 9" xfId="7478" xr:uid="{00000000-0005-0000-0000-0000724D0000}"/>
    <cellStyle name="Warning Text 3" xfId="253" xr:uid="{00000000-0005-0000-0000-0000734D0000}"/>
    <cellStyle name="Warning Text 3 10" xfId="7480" xr:uid="{00000000-0005-0000-0000-0000744D0000}"/>
    <cellStyle name="Warning Text 3 11" xfId="7479" xr:uid="{00000000-0005-0000-0000-0000754D0000}"/>
    <cellStyle name="Warning Text 3 2" xfId="7481" xr:uid="{00000000-0005-0000-0000-0000764D0000}"/>
    <cellStyle name="Warning Text 3 2 2" xfId="7482" xr:uid="{00000000-0005-0000-0000-0000774D0000}"/>
    <cellStyle name="Warning Text 3 2 3" xfId="7483" xr:uid="{00000000-0005-0000-0000-0000784D0000}"/>
    <cellStyle name="Warning Text 3 2 4" xfId="7484" xr:uid="{00000000-0005-0000-0000-0000794D0000}"/>
    <cellStyle name="Warning Text 3 2 5" xfId="7485" xr:uid="{00000000-0005-0000-0000-00007A4D0000}"/>
    <cellStyle name="Warning Text 3 3" xfId="7486" xr:uid="{00000000-0005-0000-0000-00007B4D0000}"/>
    <cellStyle name="Warning Text 3 4" xfId="7487" xr:uid="{00000000-0005-0000-0000-00007C4D0000}"/>
    <cellStyle name="Warning Text 3 5" xfId="7488" xr:uid="{00000000-0005-0000-0000-00007D4D0000}"/>
    <cellStyle name="Warning Text 3 6" xfId="7489" xr:uid="{00000000-0005-0000-0000-00007E4D0000}"/>
    <cellStyle name="Warning Text 3 7" xfId="7490" xr:uid="{00000000-0005-0000-0000-00007F4D0000}"/>
    <cellStyle name="Warning Text 3 8" xfId="7491" xr:uid="{00000000-0005-0000-0000-0000804D0000}"/>
    <cellStyle name="Warning Text 3 9" xfId="7492" xr:uid="{00000000-0005-0000-0000-0000814D0000}"/>
    <cellStyle name="Warning Text 4" xfId="7493" xr:uid="{00000000-0005-0000-0000-0000824D0000}"/>
    <cellStyle name="Warning Text 4 2" xfId="7494" xr:uid="{00000000-0005-0000-0000-0000834D0000}"/>
    <cellStyle name="Warning Text 4 3" xfId="7495" xr:uid="{00000000-0005-0000-0000-0000844D0000}"/>
    <cellStyle name="Warning Text 4 4" xfId="7496" xr:uid="{00000000-0005-0000-0000-0000854D0000}"/>
    <cellStyle name="Warning Text 4 5" xfId="7497" xr:uid="{00000000-0005-0000-0000-0000864D0000}"/>
    <cellStyle name="Warning Text 4 6" xfId="7498" xr:uid="{00000000-0005-0000-0000-0000874D0000}"/>
    <cellStyle name="Warning Text 4 7" xfId="7499" xr:uid="{00000000-0005-0000-0000-0000884D0000}"/>
    <cellStyle name="Warning Text 5" xfId="7500" xr:uid="{00000000-0005-0000-0000-0000894D0000}"/>
    <cellStyle name="Warning Text 5 2" xfId="7501" xr:uid="{00000000-0005-0000-0000-00008A4D0000}"/>
    <cellStyle name="Warning Text 6" xfId="7502" xr:uid="{00000000-0005-0000-0000-00008B4D0000}"/>
    <cellStyle name="Warning Text 7" xfId="7503" xr:uid="{00000000-0005-0000-0000-00008C4D0000}"/>
    <cellStyle name="Warning Text 8" xfId="7504" xr:uid="{00000000-0005-0000-0000-00008D4D0000}"/>
    <cellStyle name="Warning Text 9" xfId="7505" xr:uid="{00000000-0005-0000-0000-00008E4D0000}"/>
    <cellStyle name="xHeading" xfId="3171" xr:uid="{00000000-0005-0000-0000-00008F4D0000}"/>
    <cellStyle name="xHeading 10" xfId="19657" xr:uid="{00000000-0005-0000-0000-0000904D0000}"/>
    <cellStyle name="xHeading 2" xfId="7507" xr:uid="{00000000-0005-0000-0000-0000914D0000}"/>
    <cellStyle name="xHeading 3" xfId="7508" xr:uid="{00000000-0005-0000-0000-0000924D0000}"/>
    <cellStyle name="xHeading 4" xfId="7506" xr:uid="{00000000-0005-0000-0000-0000934D0000}"/>
    <cellStyle name="xHeading 5" xfId="13439" xr:uid="{00000000-0005-0000-0000-0000944D0000}"/>
    <cellStyle name="xHeading 6" xfId="16279" xr:uid="{00000000-0005-0000-0000-0000954D0000}"/>
    <cellStyle name="xHeading 7" xfId="16806" xr:uid="{00000000-0005-0000-0000-0000964D0000}"/>
    <cellStyle name="xHeading 8" xfId="17917" xr:uid="{00000000-0005-0000-0000-0000974D0000}"/>
    <cellStyle name="xHeading 9" xfId="18914" xr:uid="{00000000-0005-0000-0000-0000984D0000}"/>
    <cellStyle name="xHeadingCen" xfId="3172" xr:uid="{00000000-0005-0000-0000-0000994D0000}"/>
    <cellStyle name="xHeadingCen 10" xfId="19658" xr:uid="{00000000-0005-0000-0000-00009A4D0000}"/>
    <cellStyle name="xHeadingCen 2" xfId="7510" xr:uid="{00000000-0005-0000-0000-00009B4D0000}"/>
    <cellStyle name="xHeadingCen 3" xfId="7511" xr:uid="{00000000-0005-0000-0000-00009C4D0000}"/>
    <cellStyle name="xHeadingCen 4" xfId="7509" xr:uid="{00000000-0005-0000-0000-00009D4D0000}"/>
    <cellStyle name="xHeadingCen 5" xfId="13440" xr:uid="{00000000-0005-0000-0000-00009E4D0000}"/>
    <cellStyle name="xHeadingCen 6" xfId="16280" xr:uid="{00000000-0005-0000-0000-00009F4D0000}"/>
    <cellStyle name="xHeadingCen 7" xfId="16807" xr:uid="{00000000-0005-0000-0000-0000A04D0000}"/>
    <cellStyle name="xHeadingCen 8" xfId="17918" xr:uid="{00000000-0005-0000-0000-0000A14D0000}"/>
    <cellStyle name="xHeadingCen 9" xfId="18915" xr:uid="{00000000-0005-0000-0000-0000A24D0000}"/>
    <cellStyle name="xHeadingVer" xfId="3173" xr:uid="{00000000-0005-0000-0000-0000A34D0000}"/>
    <cellStyle name="xHeadingVer 10" xfId="19659" xr:uid="{00000000-0005-0000-0000-0000A44D0000}"/>
    <cellStyle name="xHeadingVer 2" xfId="7513" xr:uid="{00000000-0005-0000-0000-0000A54D0000}"/>
    <cellStyle name="xHeadingVer 3" xfId="7514" xr:uid="{00000000-0005-0000-0000-0000A64D0000}"/>
    <cellStyle name="xHeadingVer 4" xfId="7512" xr:uid="{00000000-0005-0000-0000-0000A74D0000}"/>
    <cellStyle name="xHeadingVer 5" xfId="13441" xr:uid="{00000000-0005-0000-0000-0000A84D0000}"/>
    <cellStyle name="xHeadingVer 6" xfId="16281" xr:uid="{00000000-0005-0000-0000-0000A94D0000}"/>
    <cellStyle name="xHeadingVer 7" xfId="16808" xr:uid="{00000000-0005-0000-0000-0000AA4D0000}"/>
    <cellStyle name="xHeadingVer 8" xfId="17919" xr:uid="{00000000-0005-0000-0000-0000AB4D0000}"/>
    <cellStyle name="xHeadingVer 9" xfId="18916" xr:uid="{00000000-0005-0000-0000-0000AC4D0000}"/>
    <cellStyle name="xRangeName" xfId="3174" xr:uid="{00000000-0005-0000-0000-0000AD4D0000}"/>
    <cellStyle name="xTitle" xfId="3175" xr:uid="{00000000-0005-0000-0000-0000AE4D0000}"/>
    <cellStyle name="xTitle 2" xfId="7516" xr:uid="{00000000-0005-0000-0000-0000AF4D0000}"/>
    <cellStyle name="xTitle B&amp;W" xfId="3176" xr:uid="{00000000-0005-0000-0000-0000B04D0000}"/>
    <cellStyle name="xTitle B&amp;W 2" xfId="7517" xr:uid="{00000000-0005-0000-0000-0000B14D0000}"/>
    <cellStyle name="xTitle Colour" xfId="3177" xr:uid="{00000000-0005-0000-0000-0000B24D0000}"/>
    <cellStyle name="xTitle Colour 2" xfId="7518" xr:uid="{00000000-0005-0000-0000-0000B34D0000}"/>
    <cellStyle name="xTitle_Attrition Rate Scorecard - October 2008" xfId="7519" xr:uid="{00000000-0005-0000-0000-0000B44D0000}"/>
    <cellStyle name="Year" xfId="1874" xr:uid="{00000000-0005-0000-0000-0000B54D0000}"/>
    <cellStyle name="Year 2" xfId="1875" xr:uid="{00000000-0005-0000-0000-0000B64D0000}"/>
    <cellStyle name="Year 2 2" xfId="7521" xr:uid="{00000000-0005-0000-0000-0000B74D0000}"/>
    <cellStyle name="Year 3" xfId="7522" xr:uid="{00000000-0005-0000-0000-0000B84D0000}"/>
    <cellStyle name="Year 4" xfId="7520" xr:uid="{00000000-0005-0000-0000-0000B94D0000}"/>
    <cellStyle name="Zelle überprüfen" xfId="201" xr:uid="{00000000-0005-0000-0000-0000BA4D0000}"/>
    <cellStyle name="Гиперссылка" xfId="202" xr:uid="{00000000-0005-0000-0000-0000BB4D0000}"/>
    <cellStyle name="Гиперссылка 2" xfId="203" xr:uid="{00000000-0005-0000-0000-0000BC4D0000}"/>
    <cellStyle name="Гиперссылка 3" xfId="211" xr:uid="{00000000-0005-0000-0000-0000BD4D0000}"/>
    <cellStyle name="Гиперссылка 4" xfId="383" xr:uid="{00000000-0005-0000-0000-0000BE4D0000}"/>
    <cellStyle name="Обычный_2++" xfId="42" xr:uid="{00000000-0005-0000-0000-0000BF4D0000}"/>
    <cellStyle name="Обычный_CRF2002 (1)" xfId="21" xr:uid="{00000000-0005-0000-0000-0000C04D0000}"/>
  </cellStyles>
  <dxfs count="85">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6FC7B7"/>
      <color rgb="FFB4F0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19</xdr:row>
      <xdr:rowOff>409575</xdr:rowOff>
    </xdr:from>
    <xdr:to>
      <xdr:col>8</xdr:col>
      <xdr:colOff>361950</xdr:colOff>
      <xdr:row>19</xdr:row>
      <xdr:rowOff>4381500</xdr:rowOff>
    </xdr:to>
    <xdr:pic>
      <xdr:nvPicPr>
        <xdr:cNvPr id="2" name="Picture 1">
          <a:extLst>
            <a:ext uri="{FF2B5EF4-FFF2-40B4-BE49-F238E27FC236}">
              <a16:creationId xmlns:a16="http://schemas.microsoft.com/office/drawing/2014/main" id="{9AF4FB90-EAF2-4927-95FD-2BA0C671C25A}"/>
            </a:ext>
          </a:extLst>
        </xdr:cNvPr>
        <xdr:cNvPicPr>
          <a:picLocks noChangeAspect="1"/>
        </xdr:cNvPicPr>
      </xdr:nvPicPr>
      <xdr:blipFill>
        <a:blip xmlns:r="http://schemas.openxmlformats.org/officeDocument/2006/relationships" r:embed="rId1"/>
        <a:stretch>
          <a:fillRect/>
        </a:stretch>
      </xdr:blipFill>
      <xdr:spPr>
        <a:xfrm>
          <a:off x="247650" y="5314950"/>
          <a:ext cx="5895975" cy="3971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381000</xdr:colOff>
      <xdr:row>299</xdr:row>
      <xdr:rowOff>514350</xdr:rowOff>
    </xdr:from>
    <xdr:to>
      <xdr:col>16</xdr:col>
      <xdr:colOff>419100</xdr:colOff>
      <xdr:row>305</xdr:row>
      <xdr:rowOff>66675</xdr:rowOff>
    </xdr:to>
    <xdr:sp macro="" textlink="">
      <xdr:nvSpPr>
        <xdr:cNvPr id="2" name="TextBox 1">
          <a:extLst>
            <a:ext uri="{FF2B5EF4-FFF2-40B4-BE49-F238E27FC236}">
              <a16:creationId xmlns:a16="http://schemas.microsoft.com/office/drawing/2014/main" id="{CFFF3F40-95DB-42A1-8BE9-1856F161C345}"/>
            </a:ext>
          </a:extLst>
        </xdr:cNvPr>
        <xdr:cNvSpPr txBox="1"/>
      </xdr:nvSpPr>
      <xdr:spPr>
        <a:xfrm>
          <a:off x="17868900" y="34318575"/>
          <a:ext cx="3238500" cy="1647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t>notes from original</a:t>
          </a:r>
          <a:r>
            <a:rPr lang="en-NZ" sz="1100" baseline="0"/>
            <a:t> data " Would be good to provide a sense of the uncertainties or range in the data (currently data to 3sf creates a sense of accuracy I think realistically isn't there)"</a:t>
          </a:r>
        </a:p>
        <a:p>
          <a:endParaRPr lang="en-NZ" sz="1100"/>
        </a:p>
      </xdr:txBody>
    </xdr:sp>
    <xdr:clientData/>
  </xdr:twoCellAnchor>
  <xdr:twoCellAnchor>
    <xdr:from>
      <xdr:col>11</xdr:col>
      <xdr:colOff>1914260</xdr:colOff>
      <xdr:row>215</xdr:row>
      <xdr:rowOff>68262</xdr:rowOff>
    </xdr:from>
    <xdr:to>
      <xdr:col>11</xdr:col>
      <xdr:colOff>5515238</xdr:colOff>
      <xdr:row>246</xdr:row>
      <xdr:rowOff>141551</xdr:rowOff>
    </xdr:to>
    <xdr:sp macro="" textlink="">
      <xdr:nvSpPr>
        <xdr:cNvPr id="4" name="TextBox 2">
          <a:extLst>
            <a:ext uri="{FF2B5EF4-FFF2-40B4-BE49-F238E27FC236}">
              <a16:creationId xmlns:a16="http://schemas.microsoft.com/office/drawing/2014/main" id="{C7AC38A0-2350-4EC0-909D-D39141D9C349}"/>
            </a:ext>
          </a:extLst>
        </xdr:cNvPr>
        <xdr:cNvSpPr txBox="1"/>
      </xdr:nvSpPr>
      <xdr:spPr>
        <a:xfrm>
          <a:off x="12998979" y="13605668"/>
          <a:ext cx="3600978" cy="65741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400" b="1" u="sng"/>
            <a:t>Sophia's notes</a:t>
          </a:r>
        </a:p>
        <a:p>
          <a:r>
            <a:rPr lang="en-NZ" sz="1400"/>
            <a:t>The</a:t>
          </a:r>
          <a:r>
            <a:rPr lang="en-NZ" sz="1400" baseline="0"/>
            <a:t> calorific value data was provided by MBIE. </a:t>
          </a:r>
        </a:p>
        <a:p>
          <a:r>
            <a:rPr lang="en-NZ" sz="1400" baseline="0"/>
            <a:t>Following the same methodology as the previous guidance I was able to calculate the emission factors  (column M onwards) I then compared these to the 2016 guidance  (column Q onwards).  The data I calculated matched the emission factors provided by MBIW (row 137 and below).</a:t>
          </a:r>
        </a:p>
        <a:p>
          <a:endParaRPr lang="en-NZ" sz="1400" baseline="0"/>
        </a:p>
        <a:p>
          <a:endParaRPr lang="en-NZ" sz="1400" baseline="0"/>
        </a:p>
        <a:p>
          <a:r>
            <a:rPr lang="en-NZ" sz="1400" baseline="0"/>
            <a:t>We are also looking to develop EFs for Jet fuels and biofuels. Michael was able to speak with me ove r the phone to provide data, I then confirmed this information in email format with him. That data is between row 104 and 134. I have tried to calculate emission factors in the sections  "calculated for  guidance". As you can see, the units are inconsistent with that previously sent through and so on the 25th October I emailed Michael asking for information in the  units provided for the rest of the fuels. </a:t>
          </a:r>
        </a:p>
      </xdr:txBody>
    </xdr:sp>
    <xdr:clientData/>
  </xdr:twoCellAnchor>
  <xdr:twoCellAnchor editAs="oneCell">
    <xdr:from>
      <xdr:col>11</xdr:col>
      <xdr:colOff>0</xdr:colOff>
      <xdr:row>62</xdr:row>
      <xdr:rowOff>0</xdr:rowOff>
    </xdr:from>
    <xdr:to>
      <xdr:col>13</xdr:col>
      <xdr:colOff>504125</xdr:colOff>
      <xdr:row>68</xdr:row>
      <xdr:rowOff>161762</xdr:rowOff>
    </xdr:to>
    <xdr:pic>
      <xdr:nvPicPr>
        <xdr:cNvPr id="3" name="Picture 2">
          <a:extLst>
            <a:ext uri="{FF2B5EF4-FFF2-40B4-BE49-F238E27FC236}">
              <a16:creationId xmlns:a16="http://schemas.microsoft.com/office/drawing/2014/main" id="{E9006D58-A7B5-4E8D-8613-42E6F457C55B}"/>
            </a:ext>
          </a:extLst>
        </xdr:cNvPr>
        <xdr:cNvPicPr>
          <a:picLocks noChangeAspect="1"/>
        </xdr:cNvPicPr>
      </xdr:nvPicPr>
      <xdr:blipFill>
        <a:blip xmlns:r="http://schemas.openxmlformats.org/officeDocument/2006/relationships" r:embed="rId1"/>
        <a:stretch>
          <a:fillRect/>
        </a:stretch>
      </xdr:blipFill>
      <xdr:spPr>
        <a:xfrm>
          <a:off x="17454563" y="13156406"/>
          <a:ext cx="5600000" cy="1304762"/>
        </a:xfrm>
        <a:prstGeom prst="rect">
          <a:avLst/>
        </a:prstGeom>
      </xdr:spPr>
    </xdr:pic>
    <xdr:clientData/>
  </xdr:twoCellAnchor>
  <xdr:twoCellAnchor editAs="oneCell">
    <xdr:from>
      <xdr:col>0</xdr:col>
      <xdr:colOff>511969</xdr:colOff>
      <xdr:row>179</xdr:row>
      <xdr:rowOff>71438</xdr:rowOff>
    </xdr:from>
    <xdr:to>
      <xdr:col>2</xdr:col>
      <xdr:colOff>1642390</xdr:colOff>
      <xdr:row>183</xdr:row>
      <xdr:rowOff>157057</xdr:rowOff>
    </xdr:to>
    <xdr:pic>
      <xdr:nvPicPr>
        <xdr:cNvPr id="7" name="Picture 6">
          <a:extLst>
            <a:ext uri="{FF2B5EF4-FFF2-40B4-BE49-F238E27FC236}">
              <a16:creationId xmlns:a16="http://schemas.microsoft.com/office/drawing/2014/main" id="{C95BFB44-A21B-472E-A159-3E1F3AF9AE90}"/>
            </a:ext>
          </a:extLst>
        </xdr:cNvPr>
        <xdr:cNvPicPr>
          <a:picLocks noChangeAspect="1"/>
        </xdr:cNvPicPr>
      </xdr:nvPicPr>
      <xdr:blipFill>
        <a:blip xmlns:r="http://schemas.openxmlformats.org/officeDocument/2006/relationships" r:embed="rId2"/>
        <a:stretch>
          <a:fillRect/>
        </a:stretch>
      </xdr:blipFill>
      <xdr:spPr>
        <a:xfrm>
          <a:off x="511969" y="35516344"/>
          <a:ext cx="5380952" cy="8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171450</xdr:colOff>
      <xdr:row>159</xdr:row>
      <xdr:rowOff>95250</xdr:rowOff>
    </xdr:from>
    <xdr:to>
      <xdr:col>11</xdr:col>
      <xdr:colOff>114300</xdr:colOff>
      <xdr:row>176</xdr:row>
      <xdr:rowOff>0</xdr:rowOff>
    </xdr:to>
    <xdr:pic>
      <xdr:nvPicPr>
        <xdr:cNvPr id="30" name="Picture 2">
          <a:extLst>
            <a:ext uri="{FF2B5EF4-FFF2-40B4-BE49-F238E27FC236}">
              <a16:creationId xmlns:a16="http://schemas.microsoft.com/office/drawing/2014/main" id="{71F68C64-66E5-458A-BA9A-DDBE9A3C7E40}"/>
            </a:ext>
          </a:extLst>
        </xdr:cNvPr>
        <xdr:cNvPicPr>
          <a:picLocks noChangeAspect="1"/>
        </xdr:cNvPicPr>
      </xdr:nvPicPr>
      <xdr:blipFill>
        <a:blip xmlns:r="http://schemas.openxmlformats.org/officeDocument/2006/relationships" r:embed="rId1"/>
        <a:stretch>
          <a:fillRect/>
        </a:stretch>
      </xdr:blipFill>
      <xdr:spPr>
        <a:xfrm>
          <a:off x="7572375" y="29222700"/>
          <a:ext cx="7896225" cy="3143250"/>
        </a:xfrm>
        <a:prstGeom prst="rect">
          <a:avLst/>
        </a:prstGeom>
      </xdr:spPr>
    </xdr:pic>
    <xdr:clientData/>
  </xdr:twoCellAnchor>
  <xdr:twoCellAnchor editAs="oneCell">
    <xdr:from>
      <xdr:col>6</xdr:col>
      <xdr:colOff>819150</xdr:colOff>
      <xdr:row>117</xdr:row>
      <xdr:rowOff>9525</xdr:rowOff>
    </xdr:from>
    <xdr:to>
      <xdr:col>12</xdr:col>
      <xdr:colOff>276225</xdr:colOff>
      <xdr:row>149</xdr:row>
      <xdr:rowOff>76200</xdr:rowOff>
    </xdr:to>
    <xdr:pic>
      <xdr:nvPicPr>
        <xdr:cNvPr id="23" name="Picture 4">
          <a:extLst>
            <a:ext uri="{FF2B5EF4-FFF2-40B4-BE49-F238E27FC236}">
              <a16:creationId xmlns:a16="http://schemas.microsoft.com/office/drawing/2014/main" id="{BE448592-C479-4FD8-889C-AC667F0B4D97}"/>
            </a:ext>
            <a:ext uri="{147F2762-F138-4A5C-976F-8EAC2B608ADB}">
              <a16:predDERef xmlns:a16="http://schemas.microsoft.com/office/drawing/2014/main" pred="{71F68C64-66E5-458A-BA9A-DDBE9A3C7E40}"/>
            </a:ext>
          </a:extLst>
        </xdr:cNvPr>
        <xdr:cNvPicPr>
          <a:picLocks noChangeAspect="1"/>
        </xdr:cNvPicPr>
      </xdr:nvPicPr>
      <xdr:blipFill>
        <a:blip xmlns:r="http://schemas.openxmlformats.org/officeDocument/2006/relationships" r:embed="rId2"/>
        <a:stretch>
          <a:fillRect/>
        </a:stretch>
      </xdr:blipFill>
      <xdr:spPr>
        <a:xfrm>
          <a:off x="8010525" y="21745575"/>
          <a:ext cx="8020050" cy="6315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296333</xdr:colOff>
      <xdr:row>226</xdr:row>
      <xdr:rowOff>116416</xdr:rowOff>
    </xdr:from>
    <xdr:to>
      <xdr:col>16</xdr:col>
      <xdr:colOff>793047</xdr:colOff>
      <xdr:row>252</xdr:row>
      <xdr:rowOff>9238</xdr:rowOff>
    </xdr:to>
    <xdr:pic>
      <xdr:nvPicPr>
        <xdr:cNvPr id="2" name="Picture 1">
          <a:extLst>
            <a:ext uri="{FF2B5EF4-FFF2-40B4-BE49-F238E27FC236}">
              <a16:creationId xmlns:a16="http://schemas.microsoft.com/office/drawing/2014/main" id="{F7D32C5B-9DA6-454A-A7E2-83510888AF8C}"/>
            </a:ext>
          </a:extLst>
        </xdr:cNvPr>
        <xdr:cNvPicPr>
          <a:picLocks noChangeAspect="1"/>
        </xdr:cNvPicPr>
      </xdr:nvPicPr>
      <xdr:blipFill>
        <a:blip xmlns:r="http://schemas.openxmlformats.org/officeDocument/2006/relationships" r:embed="rId1"/>
        <a:stretch>
          <a:fillRect/>
        </a:stretch>
      </xdr:blipFill>
      <xdr:spPr>
        <a:xfrm>
          <a:off x="27569583" y="39518166"/>
          <a:ext cx="5619048" cy="2295238"/>
        </a:xfrm>
        <a:prstGeom prst="rect">
          <a:avLst/>
        </a:prstGeom>
      </xdr:spPr>
    </xdr:pic>
    <xdr:clientData/>
  </xdr:twoCellAnchor>
  <xdr:twoCellAnchor editAs="oneCell">
    <xdr:from>
      <xdr:col>16</xdr:col>
      <xdr:colOff>867832</xdr:colOff>
      <xdr:row>226</xdr:row>
      <xdr:rowOff>116417</xdr:rowOff>
    </xdr:from>
    <xdr:to>
      <xdr:col>21</xdr:col>
      <xdr:colOff>938035</xdr:colOff>
      <xdr:row>251</xdr:row>
      <xdr:rowOff>28310</xdr:rowOff>
    </xdr:to>
    <xdr:pic>
      <xdr:nvPicPr>
        <xdr:cNvPr id="3" name="Picture 2">
          <a:extLst>
            <a:ext uri="{FF2B5EF4-FFF2-40B4-BE49-F238E27FC236}">
              <a16:creationId xmlns:a16="http://schemas.microsoft.com/office/drawing/2014/main" id="{A8CB1046-ADB8-451E-BAE7-A7B0EB36AF6B}"/>
            </a:ext>
          </a:extLst>
        </xdr:cNvPr>
        <xdr:cNvPicPr>
          <a:picLocks noChangeAspect="1"/>
        </xdr:cNvPicPr>
      </xdr:nvPicPr>
      <xdr:blipFill>
        <a:blip xmlns:r="http://schemas.openxmlformats.org/officeDocument/2006/relationships" r:embed="rId2"/>
        <a:stretch>
          <a:fillRect/>
        </a:stretch>
      </xdr:blipFill>
      <xdr:spPr>
        <a:xfrm>
          <a:off x="33263415" y="39518167"/>
          <a:ext cx="5647619" cy="2123810"/>
        </a:xfrm>
        <a:prstGeom prst="rect">
          <a:avLst/>
        </a:prstGeom>
      </xdr:spPr>
    </xdr:pic>
    <xdr:clientData/>
  </xdr:twoCellAnchor>
  <xdr:twoCellAnchor editAs="oneCell">
    <xdr:from>
      <xdr:col>13</xdr:col>
      <xdr:colOff>296333</xdr:colOff>
      <xdr:row>226</xdr:row>
      <xdr:rowOff>116416</xdr:rowOff>
    </xdr:from>
    <xdr:to>
      <xdr:col>16</xdr:col>
      <xdr:colOff>793048</xdr:colOff>
      <xdr:row>252</xdr:row>
      <xdr:rowOff>11619</xdr:rowOff>
    </xdr:to>
    <xdr:pic>
      <xdr:nvPicPr>
        <xdr:cNvPr id="4" name="Picture 3">
          <a:extLst>
            <a:ext uri="{FF2B5EF4-FFF2-40B4-BE49-F238E27FC236}">
              <a16:creationId xmlns:a16="http://schemas.microsoft.com/office/drawing/2014/main" id="{C52A640D-62DC-401B-A7B2-6E1B2442F1C3}"/>
            </a:ext>
          </a:extLst>
        </xdr:cNvPr>
        <xdr:cNvPicPr>
          <a:picLocks noChangeAspect="1"/>
        </xdr:cNvPicPr>
      </xdr:nvPicPr>
      <xdr:blipFill>
        <a:blip xmlns:r="http://schemas.openxmlformats.org/officeDocument/2006/relationships" r:embed="rId1"/>
        <a:stretch>
          <a:fillRect/>
        </a:stretch>
      </xdr:blipFill>
      <xdr:spPr>
        <a:xfrm>
          <a:off x="28099808" y="43386375"/>
          <a:ext cx="5611641" cy="2301852"/>
        </a:xfrm>
        <a:prstGeom prst="rect">
          <a:avLst/>
        </a:prstGeom>
      </xdr:spPr>
    </xdr:pic>
    <xdr:clientData/>
  </xdr:twoCellAnchor>
  <xdr:twoCellAnchor editAs="oneCell">
    <xdr:from>
      <xdr:col>16</xdr:col>
      <xdr:colOff>867832</xdr:colOff>
      <xdr:row>226</xdr:row>
      <xdr:rowOff>116417</xdr:rowOff>
    </xdr:from>
    <xdr:to>
      <xdr:col>21</xdr:col>
      <xdr:colOff>938035</xdr:colOff>
      <xdr:row>251</xdr:row>
      <xdr:rowOff>30691</xdr:rowOff>
    </xdr:to>
    <xdr:pic>
      <xdr:nvPicPr>
        <xdr:cNvPr id="5" name="Picture 4">
          <a:extLst>
            <a:ext uri="{FF2B5EF4-FFF2-40B4-BE49-F238E27FC236}">
              <a16:creationId xmlns:a16="http://schemas.microsoft.com/office/drawing/2014/main" id="{825DCF26-3841-426F-BE57-CF81E2AEC2A6}"/>
            </a:ext>
          </a:extLst>
        </xdr:cNvPr>
        <xdr:cNvPicPr>
          <a:picLocks noChangeAspect="1"/>
        </xdr:cNvPicPr>
      </xdr:nvPicPr>
      <xdr:blipFill>
        <a:blip xmlns:r="http://schemas.openxmlformats.org/officeDocument/2006/relationships" r:embed="rId2"/>
        <a:stretch>
          <a:fillRect/>
        </a:stretch>
      </xdr:blipFill>
      <xdr:spPr>
        <a:xfrm>
          <a:off x="33786232" y="43386375"/>
          <a:ext cx="5632802" cy="2130424"/>
        </a:xfrm>
        <a:prstGeom prst="rect">
          <a:avLst/>
        </a:prstGeom>
      </xdr:spPr>
    </xdr:pic>
    <xdr:clientData/>
  </xdr:twoCellAnchor>
  <xdr:twoCellAnchor editAs="oneCell">
    <xdr:from>
      <xdr:col>13</xdr:col>
      <xdr:colOff>296333</xdr:colOff>
      <xdr:row>226</xdr:row>
      <xdr:rowOff>116416</xdr:rowOff>
    </xdr:from>
    <xdr:to>
      <xdr:col>16</xdr:col>
      <xdr:colOff>797810</xdr:colOff>
      <xdr:row>252</xdr:row>
      <xdr:rowOff>16381</xdr:rowOff>
    </xdr:to>
    <xdr:pic>
      <xdr:nvPicPr>
        <xdr:cNvPr id="6" name="Picture 5">
          <a:extLst>
            <a:ext uri="{FF2B5EF4-FFF2-40B4-BE49-F238E27FC236}">
              <a16:creationId xmlns:a16="http://schemas.microsoft.com/office/drawing/2014/main" id="{E607BC05-BE95-420C-A502-06D5409C433F}"/>
            </a:ext>
          </a:extLst>
        </xdr:cNvPr>
        <xdr:cNvPicPr>
          <a:picLocks noChangeAspect="1"/>
        </xdr:cNvPicPr>
      </xdr:nvPicPr>
      <xdr:blipFill>
        <a:blip xmlns:r="http://schemas.openxmlformats.org/officeDocument/2006/relationships" r:embed="rId1"/>
        <a:stretch>
          <a:fillRect/>
        </a:stretch>
      </xdr:blipFill>
      <xdr:spPr>
        <a:xfrm>
          <a:off x="28099808" y="43386375"/>
          <a:ext cx="5616403" cy="2306614"/>
        </a:xfrm>
        <a:prstGeom prst="rect">
          <a:avLst/>
        </a:prstGeom>
      </xdr:spPr>
    </xdr:pic>
    <xdr:clientData/>
  </xdr:twoCellAnchor>
  <xdr:twoCellAnchor editAs="oneCell">
    <xdr:from>
      <xdr:col>16</xdr:col>
      <xdr:colOff>867832</xdr:colOff>
      <xdr:row>226</xdr:row>
      <xdr:rowOff>116417</xdr:rowOff>
    </xdr:from>
    <xdr:to>
      <xdr:col>21</xdr:col>
      <xdr:colOff>942797</xdr:colOff>
      <xdr:row>251</xdr:row>
      <xdr:rowOff>35453</xdr:rowOff>
    </xdr:to>
    <xdr:pic>
      <xdr:nvPicPr>
        <xdr:cNvPr id="7" name="Picture 6">
          <a:extLst>
            <a:ext uri="{FF2B5EF4-FFF2-40B4-BE49-F238E27FC236}">
              <a16:creationId xmlns:a16="http://schemas.microsoft.com/office/drawing/2014/main" id="{1D4A09A4-7DF3-4D8B-9E0E-B724D2F492A1}"/>
            </a:ext>
          </a:extLst>
        </xdr:cNvPr>
        <xdr:cNvPicPr>
          <a:picLocks noChangeAspect="1"/>
        </xdr:cNvPicPr>
      </xdr:nvPicPr>
      <xdr:blipFill>
        <a:blip xmlns:r="http://schemas.openxmlformats.org/officeDocument/2006/relationships" r:embed="rId2"/>
        <a:stretch>
          <a:fillRect/>
        </a:stretch>
      </xdr:blipFill>
      <xdr:spPr>
        <a:xfrm>
          <a:off x="33786232" y="43386375"/>
          <a:ext cx="5637564" cy="21351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846002</xdr:colOff>
      <xdr:row>312</xdr:row>
      <xdr:rowOff>62131</xdr:rowOff>
    </xdr:from>
    <xdr:to>
      <xdr:col>13</xdr:col>
      <xdr:colOff>800607</xdr:colOff>
      <xdr:row>325</xdr:row>
      <xdr:rowOff>129867</xdr:rowOff>
    </xdr:to>
    <xdr:pic>
      <xdr:nvPicPr>
        <xdr:cNvPr id="2" name="Picture 1">
          <a:extLst>
            <a:ext uri="{FF2B5EF4-FFF2-40B4-BE49-F238E27FC236}">
              <a16:creationId xmlns:a16="http://schemas.microsoft.com/office/drawing/2014/main" id="{7AEF170D-6146-4CBC-B3E0-84F42786F72C}"/>
            </a:ext>
          </a:extLst>
        </xdr:cNvPr>
        <xdr:cNvPicPr>
          <a:picLocks noChangeAspect="1"/>
        </xdr:cNvPicPr>
      </xdr:nvPicPr>
      <xdr:blipFill>
        <a:blip xmlns:r="http://schemas.openxmlformats.org/officeDocument/2006/relationships" r:embed="rId1"/>
        <a:stretch>
          <a:fillRect/>
        </a:stretch>
      </xdr:blipFill>
      <xdr:spPr>
        <a:xfrm>
          <a:off x="13273326" y="52819425"/>
          <a:ext cx="4470576" cy="2577852"/>
        </a:xfrm>
        <a:prstGeom prst="rect">
          <a:avLst/>
        </a:prstGeom>
      </xdr:spPr>
    </xdr:pic>
    <xdr:clientData/>
  </xdr:twoCellAnchor>
  <xdr:twoCellAnchor>
    <xdr:from>
      <xdr:col>3</xdr:col>
      <xdr:colOff>485775</xdr:colOff>
      <xdr:row>381</xdr:row>
      <xdr:rowOff>76200</xdr:rowOff>
    </xdr:from>
    <xdr:to>
      <xdr:col>7</xdr:col>
      <xdr:colOff>533400</xdr:colOff>
      <xdr:row>384</xdr:row>
      <xdr:rowOff>133350</xdr:rowOff>
    </xdr:to>
    <xdr:sp macro="" textlink="">
      <xdr:nvSpPr>
        <xdr:cNvPr id="50" name="TextBox 3">
          <a:extLst>
            <a:ext uri="{FF2B5EF4-FFF2-40B4-BE49-F238E27FC236}">
              <a16:creationId xmlns:a16="http://schemas.microsoft.com/office/drawing/2014/main" id="{F652265C-2CFE-4746-9EED-475A777743B5}"/>
            </a:ext>
          </a:extLst>
        </xdr:cNvPr>
        <xdr:cNvSpPr txBox="1"/>
      </xdr:nvSpPr>
      <xdr:spPr>
        <a:xfrm>
          <a:off x="6591300" y="48463200"/>
          <a:ext cx="35909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t>WAITING FOR UPDATES ON ELECTRICITY AND FUEL (Micheal</a:t>
          </a:r>
          <a:r>
            <a:rPr lang="en-NZ" sz="1100" baseline="0"/>
            <a:t> is providing these on 18 FEB 2022)</a:t>
          </a:r>
          <a:endParaRPr lang="en-NZ" sz="1100"/>
        </a:p>
      </xdr:txBody>
    </xdr:sp>
    <xdr:clientData/>
  </xdr:twoCellAnchor>
  <xdr:twoCellAnchor>
    <xdr:from>
      <xdr:col>5</xdr:col>
      <xdr:colOff>222250</xdr:colOff>
      <xdr:row>321</xdr:row>
      <xdr:rowOff>142875</xdr:rowOff>
    </xdr:from>
    <xdr:to>
      <xdr:col>8</xdr:col>
      <xdr:colOff>669925</xdr:colOff>
      <xdr:row>324</xdr:row>
      <xdr:rowOff>95250</xdr:rowOff>
    </xdr:to>
    <xdr:sp macro="" textlink="">
      <xdr:nvSpPr>
        <xdr:cNvPr id="3" name="TextBox 2">
          <a:extLst>
            <a:ext uri="{FF2B5EF4-FFF2-40B4-BE49-F238E27FC236}">
              <a16:creationId xmlns:a16="http://schemas.microsoft.com/office/drawing/2014/main" id="{ABC8FADF-6BCE-44D6-9CF1-A3671B595D71}"/>
            </a:ext>
          </a:extLst>
        </xdr:cNvPr>
        <xdr:cNvSpPr txBox="1"/>
      </xdr:nvSpPr>
      <xdr:spPr>
        <a:xfrm>
          <a:off x="9906000" y="33787292"/>
          <a:ext cx="3188758"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solidFill>
                <a:srgbClr val="FF0000"/>
              </a:solidFill>
            </a:rPr>
            <a:t>USE THE FUEL</a:t>
          </a:r>
          <a:r>
            <a:rPr lang="en-NZ" sz="1100" baseline="0">
              <a:solidFill>
                <a:srgbClr val="FF0000"/>
              </a:solidFill>
            </a:rPr>
            <a:t> NAMED CELLS</a:t>
          </a:r>
          <a:endParaRPr lang="en-NZ" sz="1100">
            <a:solidFill>
              <a:srgbClr val="FF0000"/>
            </a:solidFill>
          </a:endParaRPr>
        </a:p>
      </xdr:txBody>
    </xdr:sp>
    <xdr:clientData/>
  </xdr:twoCellAnchor>
  <xdr:twoCellAnchor editAs="oneCell">
    <xdr:from>
      <xdr:col>6</xdr:col>
      <xdr:colOff>44823</xdr:colOff>
      <xdr:row>187</xdr:row>
      <xdr:rowOff>78441</xdr:rowOff>
    </xdr:from>
    <xdr:to>
      <xdr:col>12</xdr:col>
      <xdr:colOff>231813</xdr:colOff>
      <xdr:row>198</xdr:row>
      <xdr:rowOff>135322</xdr:rowOff>
    </xdr:to>
    <xdr:pic>
      <xdr:nvPicPr>
        <xdr:cNvPr id="6" name="Picture 5">
          <a:extLst>
            <a:ext uri="{FF2B5EF4-FFF2-40B4-BE49-F238E27FC236}">
              <a16:creationId xmlns:a16="http://schemas.microsoft.com/office/drawing/2014/main" id="{2270FFF1-5149-47F6-9152-A1CC6E043AC0}"/>
            </a:ext>
          </a:extLst>
        </xdr:cNvPr>
        <xdr:cNvPicPr>
          <a:picLocks noChangeAspect="1"/>
        </xdr:cNvPicPr>
      </xdr:nvPicPr>
      <xdr:blipFill>
        <a:blip xmlns:r="http://schemas.openxmlformats.org/officeDocument/2006/relationships" r:embed="rId2"/>
        <a:stretch>
          <a:fillRect/>
        </a:stretch>
      </xdr:blipFill>
      <xdr:spPr>
        <a:xfrm>
          <a:off x="11060205" y="37102676"/>
          <a:ext cx="5666667" cy="215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455295</xdr:colOff>
      <xdr:row>184</xdr:row>
      <xdr:rowOff>19050</xdr:rowOff>
    </xdr:from>
    <xdr:to>
      <xdr:col>17</xdr:col>
      <xdr:colOff>274320</xdr:colOff>
      <xdr:row>191</xdr:row>
      <xdr:rowOff>142875</xdr:rowOff>
    </xdr:to>
    <xdr:sp macro="" textlink="">
      <xdr:nvSpPr>
        <xdr:cNvPr id="2" name="TextBox 1">
          <a:extLst>
            <a:ext uri="{FF2B5EF4-FFF2-40B4-BE49-F238E27FC236}">
              <a16:creationId xmlns:a16="http://schemas.microsoft.com/office/drawing/2014/main" id="{6A5C8372-6921-48A5-92A0-126A72AE0B9A}"/>
            </a:ext>
          </a:extLst>
        </xdr:cNvPr>
        <xdr:cNvSpPr txBox="1"/>
      </xdr:nvSpPr>
      <xdr:spPr>
        <a:xfrm>
          <a:off x="15723870" y="37899975"/>
          <a:ext cx="4695825" cy="145732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NZ" sz="1100">
              <a:solidFill>
                <a:schemeClr val="dk1"/>
              </a:solidFill>
              <a:effectLst/>
              <a:latin typeface="+mn-lt"/>
              <a:ea typeface="+mn-ea"/>
              <a:cs typeface="+mn-cs"/>
            </a:rPr>
            <a:t>Source</a:t>
          </a:r>
          <a:r>
            <a:rPr lang="en-NZ" sz="1100" baseline="0">
              <a:solidFill>
                <a:schemeClr val="dk1"/>
              </a:solidFill>
              <a:effectLst/>
              <a:latin typeface="+mn-lt"/>
              <a:ea typeface="+mn-ea"/>
              <a:cs typeface="+mn-cs"/>
            </a:rPr>
            <a:t> (including calculations for volumes of water &amp; energy):</a:t>
          </a:r>
        </a:p>
        <a:p>
          <a:pPr marL="0" marR="0" lvl="0" indent="0" defTabSz="914400" eaLnBrk="1" fontAlgn="auto" latinLnBrk="0" hangingPunct="1">
            <a:lnSpc>
              <a:spcPct val="100000"/>
            </a:lnSpc>
            <a:spcBef>
              <a:spcPts val="0"/>
            </a:spcBef>
            <a:spcAft>
              <a:spcPts val="0"/>
            </a:spcAft>
            <a:buClrTx/>
            <a:buSzTx/>
            <a:buFontTx/>
            <a:buNone/>
            <a:tabLst/>
            <a:defRPr/>
          </a:pPr>
          <a:r>
            <a:rPr lang="en-NZ" sz="1100" b="0" i="0" u="sng" strike="noStrike">
              <a:solidFill>
                <a:schemeClr val="dk1"/>
              </a:solidFill>
              <a:effectLst/>
              <a:latin typeface="+mn-lt"/>
              <a:ea typeface="+mn-ea"/>
              <a:cs typeface="+mn-cs"/>
              <a:hlinkClick xmlns:r="http://schemas.openxmlformats.org/officeDocument/2006/relationships" r:id=""/>
            </a:rPr>
            <a:t>https://tepuna.mfe.govt.nz/otcs/cs.dll?func=ll&amp;objaction=overview&amp;objid=11051696</a:t>
          </a:r>
          <a:r>
            <a:rPr lang="en-NZ"/>
            <a:t> </a:t>
          </a:r>
        </a:p>
        <a:p>
          <a:pPr marL="0" marR="0" lvl="0" indent="0" defTabSz="914400" eaLnBrk="1" fontAlgn="auto" latinLnBrk="0" hangingPunct="1">
            <a:lnSpc>
              <a:spcPct val="100000"/>
            </a:lnSpc>
            <a:spcBef>
              <a:spcPts val="0"/>
            </a:spcBef>
            <a:spcAft>
              <a:spcPts val="0"/>
            </a:spcAft>
            <a:buClrTx/>
            <a:buSzTx/>
            <a:buFontTx/>
            <a:buNone/>
            <a:tabLst/>
            <a:defRPr/>
          </a:pPr>
          <a:endParaRPr lang="en-NZ"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NZ"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NZ" sz="1100">
              <a:solidFill>
                <a:schemeClr val="dk1"/>
              </a:solidFill>
              <a:effectLst/>
              <a:latin typeface="+mn-lt"/>
              <a:ea typeface="+mn-ea"/>
              <a:cs typeface="+mn-cs"/>
            </a:rPr>
            <a:t>Also see </a:t>
          </a:r>
          <a:r>
            <a:rPr lang="en-NZ" sz="1100" b="0" i="0" u="none" strike="noStrike">
              <a:solidFill>
                <a:schemeClr val="dk1"/>
              </a:solidFill>
              <a:effectLst/>
              <a:latin typeface="+mn-lt"/>
              <a:ea typeface="+mn-ea"/>
              <a:cs typeface="+mn-cs"/>
            </a:rPr>
            <a:t>WaterNZ report https://www.waternz.org.nz/Attachment?Action=Download&amp;Attachment_id=3142</a:t>
          </a:r>
          <a:r>
            <a:rPr lang="en-NZ"/>
            <a:t> </a:t>
          </a:r>
          <a:endParaRPr lang="en-NZ" sz="1100">
            <a:solidFill>
              <a:schemeClr val="dk1"/>
            </a:solidFill>
            <a:effectLst/>
            <a:latin typeface="+mn-lt"/>
            <a:ea typeface="+mn-ea"/>
            <a:cs typeface="+mn-cs"/>
          </a:endParaRPr>
        </a:p>
      </xdr:txBody>
    </xdr:sp>
    <xdr:clientData/>
  </xdr:twoCellAnchor>
  <xdr:twoCellAnchor>
    <xdr:from>
      <xdr:col>9</xdr:col>
      <xdr:colOff>455295</xdr:colOff>
      <xdr:row>205</xdr:row>
      <xdr:rowOff>19050</xdr:rowOff>
    </xdr:from>
    <xdr:to>
      <xdr:col>17</xdr:col>
      <xdr:colOff>274320</xdr:colOff>
      <xdr:row>212</xdr:row>
      <xdr:rowOff>142875</xdr:rowOff>
    </xdr:to>
    <xdr:sp macro="" textlink="">
      <xdr:nvSpPr>
        <xdr:cNvPr id="3" name="TextBox 2">
          <a:extLst>
            <a:ext uri="{FF2B5EF4-FFF2-40B4-BE49-F238E27FC236}">
              <a16:creationId xmlns:a16="http://schemas.microsoft.com/office/drawing/2014/main" id="{ECAF76D1-C407-48AA-910C-068C67984370}"/>
            </a:ext>
          </a:extLst>
        </xdr:cNvPr>
        <xdr:cNvSpPr txBox="1"/>
      </xdr:nvSpPr>
      <xdr:spPr>
        <a:xfrm>
          <a:off x="15723870" y="41900475"/>
          <a:ext cx="4695825" cy="145732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NZ" sz="1100">
              <a:solidFill>
                <a:schemeClr val="dk1"/>
              </a:solidFill>
              <a:effectLst/>
              <a:latin typeface="+mn-lt"/>
              <a:ea typeface="+mn-ea"/>
              <a:cs typeface="+mn-cs"/>
            </a:rPr>
            <a:t>Source</a:t>
          </a:r>
          <a:r>
            <a:rPr lang="en-NZ" sz="1100" baseline="0">
              <a:solidFill>
                <a:schemeClr val="dk1"/>
              </a:solidFill>
              <a:effectLst/>
              <a:latin typeface="+mn-lt"/>
              <a:ea typeface="+mn-ea"/>
              <a:cs typeface="+mn-cs"/>
            </a:rPr>
            <a:t> (including calculations for volumes of water &amp; energy):</a:t>
          </a:r>
        </a:p>
        <a:p>
          <a:pPr marL="0" marR="0" lvl="0" indent="0" defTabSz="914400" eaLnBrk="1" fontAlgn="auto" latinLnBrk="0" hangingPunct="1">
            <a:lnSpc>
              <a:spcPct val="100000"/>
            </a:lnSpc>
            <a:spcBef>
              <a:spcPts val="0"/>
            </a:spcBef>
            <a:spcAft>
              <a:spcPts val="0"/>
            </a:spcAft>
            <a:buClrTx/>
            <a:buSzTx/>
            <a:buFontTx/>
            <a:buNone/>
            <a:tabLst/>
            <a:defRPr/>
          </a:pPr>
          <a:r>
            <a:rPr lang="en-NZ" sz="1100" b="0" i="0" u="sng" strike="noStrike">
              <a:solidFill>
                <a:schemeClr val="dk1"/>
              </a:solidFill>
              <a:effectLst/>
              <a:latin typeface="+mn-lt"/>
              <a:ea typeface="+mn-ea"/>
              <a:cs typeface="+mn-cs"/>
              <a:hlinkClick xmlns:r="http://schemas.openxmlformats.org/officeDocument/2006/relationships" r:id=""/>
            </a:rPr>
            <a:t>https://tepuna.mfe.govt.nz/otcs/cs.dll?func=ll&amp;objaction=overview&amp;objid=11051696</a:t>
          </a:r>
          <a:r>
            <a:rPr lang="en-NZ"/>
            <a:t> </a:t>
          </a:r>
        </a:p>
        <a:p>
          <a:pPr marL="0" marR="0" lvl="0" indent="0" defTabSz="914400" eaLnBrk="1" fontAlgn="auto" latinLnBrk="0" hangingPunct="1">
            <a:lnSpc>
              <a:spcPct val="100000"/>
            </a:lnSpc>
            <a:spcBef>
              <a:spcPts val="0"/>
            </a:spcBef>
            <a:spcAft>
              <a:spcPts val="0"/>
            </a:spcAft>
            <a:buClrTx/>
            <a:buSzTx/>
            <a:buFontTx/>
            <a:buNone/>
            <a:tabLst/>
            <a:defRPr/>
          </a:pPr>
          <a:endParaRPr lang="en-NZ"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NZ"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NZ" sz="1100">
              <a:solidFill>
                <a:schemeClr val="dk1"/>
              </a:solidFill>
              <a:effectLst/>
              <a:latin typeface="+mn-lt"/>
              <a:ea typeface="+mn-ea"/>
              <a:cs typeface="+mn-cs"/>
            </a:rPr>
            <a:t>Also see </a:t>
          </a:r>
          <a:r>
            <a:rPr lang="en-NZ" sz="1100" b="0" i="0" u="none" strike="noStrike">
              <a:solidFill>
                <a:schemeClr val="dk1"/>
              </a:solidFill>
              <a:effectLst/>
              <a:latin typeface="+mn-lt"/>
              <a:ea typeface="+mn-ea"/>
              <a:cs typeface="+mn-cs"/>
            </a:rPr>
            <a:t>WaterNZ report https://www.waternz.org.nz/Attachment?Action=Download&amp;Attachment_id=3142</a:t>
          </a:r>
          <a:r>
            <a:rPr lang="en-NZ"/>
            <a:t> </a:t>
          </a:r>
          <a:endParaRPr lang="en-NZ" sz="1100">
            <a:solidFill>
              <a:schemeClr val="dk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738188</xdr:colOff>
      <xdr:row>186</xdr:row>
      <xdr:rowOff>47623</xdr:rowOff>
    </xdr:from>
    <xdr:to>
      <xdr:col>5</xdr:col>
      <xdr:colOff>1214438</xdr:colOff>
      <xdr:row>284</xdr:row>
      <xdr:rowOff>166687</xdr:rowOff>
    </xdr:to>
    <xdr:sp macro="" textlink="">
      <xdr:nvSpPr>
        <xdr:cNvPr id="2" name="TextBox 1">
          <a:extLst>
            <a:ext uri="{FF2B5EF4-FFF2-40B4-BE49-F238E27FC236}">
              <a16:creationId xmlns:a16="http://schemas.microsoft.com/office/drawing/2014/main" id="{F77E7301-3305-4CBE-B5BB-F2112A13D72A}"/>
            </a:ext>
          </a:extLst>
        </xdr:cNvPr>
        <xdr:cNvSpPr txBox="1"/>
      </xdr:nvSpPr>
      <xdr:spPr>
        <a:xfrm>
          <a:off x="738188" y="30013273"/>
          <a:ext cx="8248650" cy="188547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solidFill>
                <a:schemeClr val="dk1"/>
              </a:solidFill>
              <a:effectLst/>
              <a:latin typeface="+mn-lt"/>
              <a:ea typeface="+mn-ea"/>
              <a:cs typeface="+mn-cs"/>
            </a:rPr>
            <a:t>LULUCF guidance for sub-national greenhouse gas inventories </a:t>
          </a:r>
          <a:endParaRPr lang="en-NZ" sz="1100">
            <a:solidFill>
              <a:schemeClr val="dk1"/>
            </a:solidFill>
            <a:effectLst/>
            <a:latin typeface="+mn-lt"/>
            <a:ea typeface="+mn-ea"/>
            <a:cs typeface="+mn-cs"/>
          </a:endParaRPr>
        </a:p>
        <a:p>
          <a:r>
            <a:rPr lang="en-NZ" sz="1100" b="1">
              <a:solidFill>
                <a:schemeClr val="dk1"/>
              </a:solidFill>
              <a:effectLst/>
              <a:latin typeface="+mn-lt"/>
              <a:ea typeface="+mn-ea"/>
              <a:cs typeface="+mn-cs"/>
            </a:rPr>
            <a:t> </a:t>
          </a:r>
          <a:endParaRPr lang="en-NZ" sz="1100">
            <a:solidFill>
              <a:schemeClr val="dk1"/>
            </a:solidFill>
            <a:effectLst/>
            <a:latin typeface="+mn-lt"/>
            <a:ea typeface="+mn-ea"/>
            <a:cs typeface="+mn-cs"/>
          </a:endParaRPr>
        </a:p>
        <a:p>
          <a:r>
            <a:rPr lang="en-NZ" sz="1100" b="1">
              <a:solidFill>
                <a:schemeClr val="dk1"/>
              </a:solidFill>
              <a:effectLst/>
              <a:latin typeface="+mn-lt"/>
              <a:ea typeface="+mn-ea"/>
              <a:cs typeface="+mn-cs"/>
            </a:rPr>
            <a:t>General concepts/thoughts</a:t>
          </a:r>
          <a:endParaRPr lang="en-NZ" sz="1100">
            <a:solidFill>
              <a:schemeClr val="dk1"/>
            </a:solidFill>
            <a:effectLst/>
            <a:latin typeface="+mn-lt"/>
            <a:ea typeface="+mn-ea"/>
            <a:cs typeface="+mn-cs"/>
          </a:endParaRPr>
        </a:p>
        <a:p>
          <a:r>
            <a:rPr lang="en-NZ" sz="1100">
              <a:solidFill>
                <a:schemeClr val="dk1"/>
              </a:solidFill>
              <a:effectLst/>
              <a:latin typeface="+mn-lt"/>
              <a:ea typeface="+mn-ea"/>
              <a:cs typeface="+mn-cs"/>
            </a:rPr>
            <a:t>There are both emissions and removals of CO</a:t>
          </a:r>
          <a:r>
            <a:rPr lang="en-NZ" sz="1100" baseline="-25000">
              <a:solidFill>
                <a:schemeClr val="dk1"/>
              </a:solidFill>
              <a:effectLst/>
              <a:latin typeface="+mn-lt"/>
              <a:ea typeface="+mn-ea"/>
              <a:cs typeface="+mn-cs"/>
            </a:rPr>
            <a:t>2</a:t>
          </a:r>
          <a:r>
            <a:rPr lang="en-NZ" sz="1100">
              <a:solidFill>
                <a:schemeClr val="dk1"/>
              </a:solidFill>
              <a:effectLst/>
              <a:latin typeface="+mn-lt"/>
              <a:ea typeface="+mn-ea"/>
              <a:cs typeface="+mn-cs"/>
            </a:rPr>
            <a:t> from this sector.</a:t>
          </a:r>
        </a:p>
        <a:p>
          <a:pPr lvl="0"/>
          <a:r>
            <a:rPr lang="en-NZ" sz="1100">
              <a:solidFill>
                <a:schemeClr val="dk1"/>
              </a:solidFill>
              <a:effectLst/>
              <a:latin typeface="+mn-lt"/>
              <a:ea typeface="+mn-ea"/>
              <a:cs typeface="+mn-cs"/>
            </a:rPr>
            <a:t>+ve sign - CO</a:t>
          </a:r>
          <a:r>
            <a:rPr lang="en-NZ" sz="1100" baseline="-25000">
              <a:solidFill>
                <a:schemeClr val="dk1"/>
              </a:solidFill>
              <a:effectLst/>
              <a:latin typeface="+mn-lt"/>
              <a:ea typeface="+mn-ea"/>
              <a:cs typeface="+mn-cs"/>
            </a:rPr>
            <a:t>2</a:t>
          </a:r>
          <a:r>
            <a:rPr lang="en-NZ" sz="1100">
              <a:solidFill>
                <a:schemeClr val="dk1"/>
              </a:solidFill>
              <a:effectLst/>
              <a:latin typeface="+mn-lt"/>
              <a:ea typeface="+mn-ea"/>
              <a:cs typeface="+mn-cs"/>
            </a:rPr>
            <a:t> is emitted to atmosphere</a:t>
          </a:r>
        </a:p>
        <a:p>
          <a:pPr lvl="0"/>
          <a:r>
            <a:rPr lang="en-NZ" sz="1100">
              <a:solidFill>
                <a:schemeClr val="dk1"/>
              </a:solidFill>
              <a:effectLst/>
              <a:latin typeface="+mn-lt"/>
              <a:ea typeface="+mn-ea"/>
              <a:cs typeface="+mn-cs"/>
            </a:rPr>
            <a:t>-ve sign - CO</a:t>
          </a:r>
          <a:r>
            <a:rPr lang="en-NZ" sz="1100" baseline="-25000">
              <a:solidFill>
                <a:schemeClr val="dk1"/>
              </a:solidFill>
              <a:effectLst/>
              <a:latin typeface="+mn-lt"/>
              <a:ea typeface="+mn-ea"/>
              <a:cs typeface="+mn-cs"/>
            </a:rPr>
            <a:t>2</a:t>
          </a:r>
          <a:r>
            <a:rPr lang="en-NZ" sz="1100">
              <a:solidFill>
                <a:schemeClr val="dk1"/>
              </a:solidFill>
              <a:effectLst/>
              <a:latin typeface="+mn-lt"/>
              <a:ea typeface="+mn-ea"/>
              <a:cs typeface="+mn-cs"/>
            </a:rPr>
            <a:t> is removed from atmosphere</a:t>
          </a:r>
        </a:p>
        <a:p>
          <a:r>
            <a:rPr lang="en-NZ" sz="1100">
              <a:solidFill>
                <a:schemeClr val="dk1"/>
              </a:solidFill>
              <a:effectLst/>
              <a:latin typeface="+mn-lt"/>
              <a:ea typeface="+mn-ea"/>
              <a:cs typeface="+mn-cs"/>
            </a:rPr>
            <a:t> </a:t>
          </a:r>
        </a:p>
        <a:p>
          <a:r>
            <a:rPr lang="en-NZ" sz="1100">
              <a:solidFill>
                <a:schemeClr val="dk1"/>
              </a:solidFill>
              <a:effectLst/>
              <a:latin typeface="+mn-lt"/>
              <a:ea typeface="+mn-ea"/>
              <a:cs typeface="+mn-cs"/>
            </a:rPr>
            <a:t>Land use classes:</a:t>
          </a:r>
        </a:p>
        <a:p>
          <a:r>
            <a:rPr lang="en-NZ" sz="1100">
              <a:solidFill>
                <a:schemeClr val="dk1"/>
              </a:solidFill>
              <a:effectLst/>
              <a:latin typeface="+mn-lt"/>
              <a:ea typeface="+mn-ea"/>
              <a:cs typeface="+mn-cs"/>
            </a:rPr>
            <a:t>Three woody land use classes and biomass pools only provided at this stage. These are NZ specific emission factors, and are national averages.</a:t>
          </a:r>
        </a:p>
        <a:p>
          <a:r>
            <a:rPr lang="en-NZ" sz="1100" i="1">
              <a:solidFill>
                <a:schemeClr val="dk1"/>
              </a:solidFill>
              <a:effectLst/>
              <a:latin typeface="+mn-lt"/>
              <a:ea typeface="+mn-ea"/>
              <a:cs typeface="+mn-cs"/>
            </a:rPr>
            <a:t> </a:t>
          </a:r>
          <a:endParaRPr lang="en-NZ" sz="1100">
            <a:solidFill>
              <a:schemeClr val="dk1"/>
            </a:solidFill>
            <a:effectLst/>
            <a:latin typeface="+mn-lt"/>
            <a:ea typeface="+mn-ea"/>
            <a:cs typeface="+mn-cs"/>
          </a:endParaRPr>
        </a:p>
        <a:p>
          <a:r>
            <a:rPr lang="en-NZ" sz="1100" i="1" u="sng">
              <a:solidFill>
                <a:schemeClr val="dk1"/>
              </a:solidFill>
              <a:effectLst/>
              <a:latin typeface="+mn-lt"/>
              <a:ea typeface="+mn-ea"/>
              <a:cs typeface="+mn-cs"/>
            </a:rPr>
            <a:t>Could include IPCC defaults for other land uses? But for a single year inventory these would be set at 0 (i.e. no change) anyway.</a:t>
          </a:r>
          <a:r>
            <a:rPr lang="en-NZ" sz="1100">
              <a:solidFill>
                <a:schemeClr val="dk1"/>
              </a:solidFill>
              <a:effectLst/>
              <a:latin typeface="+mn-lt"/>
              <a:ea typeface="+mn-ea"/>
              <a:cs typeface="+mn-cs"/>
            </a:rPr>
            <a:t> </a:t>
          </a:r>
        </a:p>
        <a:p>
          <a:r>
            <a:rPr lang="en-NZ" sz="1100">
              <a:solidFill>
                <a:schemeClr val="dk1"/>
              </a:solidFill>
              <a:effectLst/>
              <a:latin typeface="+mn-lt"/>
              <a:ea typeface="+mn-ea"/>
              <a:cs typeface="+mn-cs"/>
            </a:rPr>
            <a:t> </a:t>
          </a:r>
        </a:p>
        <a:p>
          <a:r>
            <a:rPr lang="en-NZ" sz="1100" i="1">
              <a:solidFill>
                <a:schemeClr val="dk1"/>
              </a:solidFill>
              <a:effectLst/>
              <a:latin typeface="+mn-lt"/>
              <a:ea typeface="+mn-ea"/>
              <a:cs typeface="+mn-cs"/>
            </a:rPr>
            <a:t>Soil Organic Matter: Suggest the mineral soil organic carbon pool is excluded, as to report change requires land use change for the previous 20 years and change between all land-use categories currently recognized in the national GHG inventory. This would be difficult for users to apply. Different methods are applied to estimate emissions from organic soil carbon, but as organic soils occupy &lt;1% of NZ, these emissions are relatively small. </a:t>
          </a:r>
          <a:r>
            <a:rPr lang="en-NZ" sz="1100" i="1" u="sng">
              <a:solidFill>
                <a:schemeClr val="dk1"/>
              </a:solidFill>
              <a:effectLst/>
              <a:latin typeface="+mn-lt"/>
              <a:ea typeface="+mn-ea"/>
              <a:cs typeface="+mn-cs"/>
            </a:rPr>
            <a:t>You would need to use a soil map to identify if relevant. Perhaps look at soil carbon guidance in future?</a:t>
          </a:r>
          <a:r>
            <a:rPr lang="en-NZ" sz="1100">
              <a:solidFill>
                <a:schemeClr val="dk1"/>
              </a:solidFill>
              <a:effectLst/>
              <a:latin typeface="+mn-lt"/>
              <a:ea typeface="+mn-ea"/>
              <a:cs typeface="+mn-cs"/>
            </a:rPr>
            <a:t>  </a:t>
          </a:r>
        </a:p>
        <a:p>
          <a:r>
            <a:rPr lang="en-NZ" sz="1100">
              <a:solidFill>
                <a:schemeClr val="dk1"/>
              </a:solidFill>
              <a:effectLst/>
              <a:latin typeface="+mn-lt"/>
              <a:ea typeface="+mn-ea"/>
              <a:cs typeface="+mn-cs"/>
            </a:rPr>
            <a:t>  </a:t>
          </a:r>
        </a:p>
        <a:p>
          <a:r>
            <a:rPr lang="en-NZ" sz="1100" b="1">
              <a:solidFill>
                <a:schemeClr val="dk1"/>
              </a:solidFill>
              <a:effectLst/>
              <a:latin typeface="+mn-lt"/>
              <a:ea typeface="+mn-ea"/>
              <a:cs typeface="+mn-cs"/>
            </a:rPr>
            <a:t>Methodology:</a:t>
          </a:r>
          <a:endParaRPr lang="en-NZ" sz="1100">
            <a:solidFill>
              <a:schemeClr val="dk1"/>
            </a:solidFill>
            <a:effectLst/>
            <a:latin typeface="+mn-lt"/>
            <a:ea typeface="+mn-ea"/>
            <a:cs typeface="+mn-cs"/>
          </a:endParaRPr>
        </a:p>
        <a:p>
          <a:r>
            <a:rPr lang="en-NZ" sz="1100">
              <a:solidFill>
                <a:schemeClr val="dk1"/>
              </a:solidFill>
              <a:effectLst/>
              <a:latin typeface="+mn-lt"/>
              <a:ea typeface="+mn-ea"/>
              <a:cs typeface="+mn-cs"/>
            </a:rPr>
            <a:t>AD – Land use (hectares)</a:t>
          </a:r>
        </a:p>
        <a:p>
          <a:r>
            <a:rPr lang="en-NZ" sz="1100">
              <a:solidFill>
                <a:schemeClr val="dk1"/>
              </a:solidFill>
              <a:effectLst/>
              <a:latin typeface="+mn-lt"/>
              <a:ea typeface="+mn-ea"/>
              <a:cs typeface="+mn-cs"/>
            </a:rPr>
            <a:t>EF – biomass tonnes carbon / hectare </a:t>
          </a:r>
        </a:p>
        <a:p>
          <a:r>
            <a:rPr lang="en-NZ" sz="1100">
              <a:solidFill>
                <a:schemeClr val="dk1"/>
              </a:solidFill>
              <a:effectLst/>
              <a:latin typeface="+mn-lt"/>
              <a:ea typeface="+mn-ea"/>
              <a:cs typeface="+mn-cs"/>
            </a:rPr>
            <a:t>Equation: AD (ha) * EF (t C/ha) = emissions tonnes carbon </a:t>
          </a:r>
        </a:p>
        <a:p>
          <a:r>
            <a:rPr lang="en-NZ" sz="1100">
              <a:solidFill>
                <a:schemeClr val="dk1"/>
              </a:solidFill>
              <a:effectLst/>
              <a:latin typeface="+mn-lt"/>
              <a:ea typeface="+mn-ea"/>
              <a:cs typeface="+mn-cs"/>
            </a:rPr>
            <a:t>Tonnes carbon *44/12 to convert to CO</a:t>
          </a:r>
          <a:r>
            <a:rPr lang="en-NZ" sz="1100" baseline="-25000">
              <a:solidFill>
                <a:schemeClr val="dk1"/>
              </a:solidFill>
              <a:effectLst/>
              <a:latin typeface="+mn-lt"/>
              <a:ea typeface="+mn-ea"/>
              <a:cs typeface="+mn-cs"/>
            </a:rPr>
            <a:t>2</a:t>
          </a:r>
          <a:endParaRPr lang="en-NZ" sz="1100">
            <a:solidFill>
              <a:schemeClr val="dk1"/>
            </a:solidFill>
            <a:effectLst/>
            <a:latin typeface="+mn-lt"/>
            <a:ea typeface="+mn-ea"/>
            <a:cs typeface="+mn-cs"/>
          </a:endParaRPr>
        </a:p>
        <a:p>
          <a:r>
            <a:rPr lang="en-NZ" sz="1100">
              <a:solidFill>
                <a:schemeClr val="dk1"/>
              </a:solidFill>
              <a:effectLst/>
              <a:latin typeface="+mn-lt"/>
              <a:ea typeface="+mn-ea"/>
              <a:cs typeface="+mn-cs"/>
            </a:rPr>
            <a:t> </a:t>
          </a:r>
        </a:p>
        <a:p>
          <a:r>
            <a:rPr lang="en-NZ" sz="1100" i="1" u="sng">
              <a:solidFill>
                <a:schemeClr val="dk1"/>
              </a:solidFill>
              <a:effectLst/>
              <a:latin typeface="+mn-lt"/>
              <a:ea typeface="+mn-ea"/>
              <a:cs typeface="+mn-cs"/>
            </a:rPr>
            <a:t>Additional information? </a:t>
          </a:r>
          <a:r>
            <a:rPr lang="en-NZ" sz="1100">
              <a:solidFill>
                <a:schemeClr val="dk1"/>
              </a:solidFill>
              <a:effectLst/>
              <a:latin typeface="+mn-lt"/>
              <a:ea typeface="+mn-ea"/>
              <a:cs typeface="+mn-cs"/>
            </a:rPr>
            <a:t>  </a:t>
          </a:r>
        </a:p>
        <a:p>
          <a:r>
            <a:rPr lang="en-NZ" sz="1100">
              <a:solidFill>
                <a:schemeClr val="dk1"/>
              </a:solidFill>
              <a:effectLst/>
              <a:latin typeface="+mn-lt"/>
              <a:ea typeface="+mn-ea"/>
              <a:cs typeface="+mn-cs"/>
            </a:rPr>
            <a:t>C, CO</a:t>
          </a:r>
          <a:r>
            <a:rPr lang="en-NZ" sz="1100" baseline="-25000">
              <a:solidFill>
                <a:schemeClr val="dk1"/>
              </a:solidFill>
              <a:effectLst/>
              <a:latin typeface="+mn-lt"/>
              <a:ea typeface="+mn-ea"/>
              <a:cs typeface="+mn-cs"/>
            </a:rPr>
            <a:t>2</a:t>
          </a:r>
          <a:r>
            <a:rPr lang="en-NZ" sz="1100">
              <a:solidFill>
                <a:schemeClr val="dk1"/>
              </a:solidFill>
              <a:effectLst/>
              <a:latin typeface="+mn-lt"/>
              <a:ea typeface="+mn-ea"/>
              <a:cs typeface="+mn-cs"/>
            </a:rPr>
            <a:t>, CO</a:t>
          </a:r>
          <a:r>
            <a:rPr lang="en-NZ" sz="1100" baseline="-25000">
              <a:solidFill>
                <a:schemeClr val="dk1"/>
              </a:solidFill>
              <a:effectLst/>
              <a:latin typeface="+mn-lt"/>
              <a:ea typeface="+mn-ea"/>
              <a:cs typeface="+mn-cs"/>
            </a:rPr>
            <a:t>2</a:t>
          </a:r>
          <a:r>
            <a:rPr lang="en-NZ" sz="1100">
              <a:solidFill>
                <a:schemeClr val="dk1"/>
              </a:solidFill>
              <a:effectLst/>
              <a:latin typeface="+mn-lt"/>
              <a:ea typeface="+mn-ea"/>
              <a:cs typeface="+mn-cs"/>
            </a:rPr>
            <a:t>e:</a:t>
          </a:r>
        </a:p>
        <a:p>
          <a:r>
            <a:rPr lang="en-NZ" sz="1100">
              <a:solidFill>
                <a:schemeClr val="dk1"/>
              </a:solidFill>
              <a:effectLst/>
              <a:latin typeface="+mn-lt"/>
              <a:ea typeface="+mn-ea"/>
              <a:cs typeface="+mn-cs"/>
            </a:rPr>
            <a:t>e.g. Quantities of carbon can be expressed in different ways: carbon (C), carbon dioxide (CO</a:t>
          </a:r>
          <a:r>
            <a:rPr lang="en-NZ" sz="1100" baseline="-25000">
              <a:solidFill>
                <a:schemeClr val="dk1"/>
              </a:solidFill>
              <a:effectLst/>
              <a:latin typeface="+mn-lt"/>
              <a:ea typeface="+mn-ea"/>
              <a:cs typeface="+mn-cs"/>
            </a:rPr>
            <a:t>2</a:t>
          </a:r>
          <a:r>
            <a:rPr lang="en-NZ" sz="1100">
              <a:solidFill>
                <a:schemeClr val="dk1"/>
              </a:solidFill>
              <a:effectLst/>
              <a:latin typeface="+mn-lt"/>
              <a:ea typeface="+mn-ea"/>
              <a:cs typeface="+mn-cs"/>
            </a:rPr>
            <a:t>) and carbon dioxide equivalents (CO</a:t>
          </a:r>
          <a:r>
            <a:rPr lang="en-NZ" sz="1100" baseline="-25000">
              <a:solidFill>
                <a:schemeClr val="dk1"/>
              </a:solidFill>
              <a:effectLst/>
              <a:latin typeface="+mn-lt"/>
              <a:ea typeface="+mn-ea"/>
              <a:cs typeface="+mn-cs"/>
            </a:rPr>
            <a:t>2</a:t>
          </a:r>
          <a:r>
            <a:rPr lang="en-NZ" sz="1100">
              <a:solidFill>
                <a:schemeClr val="dk1"/>
              </a:solidFill>
              <a:effectLst/>
              <a:latin typeface="+mn-lt"/>
              <a:ea typeface="+mn-ea"/>
              <a:cs typeface="+mn-cs"/>
            </a:rPr>
            <a:t>e).</a:t>
          </a:r>
        </a:p>
        <a:p>
          <a:pPr lvl="0"/>
          <a:r>
            <a:rPr lang="en-NZ">
              <a:effectLst/>
            </a:rPr>
            <a:t>To convert C to CO</a:t>
          </a:r>
          <a:r>
            <a:rPr lang="en-NZ" baseline="-25000">
              <a:effectLst/>
            </a:rPr>
            <a:t>2</a:t>
          </a:r>
          <a:r>
            <a:rPr lang="en-NZ">
              <a:effectLst/>
            </a:rPr>
            <a:t>, multiply by 44/12.</a:t>
          </a:r>
        </a:p>
        <a:p>
          <a:pPr lvl="0"/>
          <a:r>
            <a:rPr lang="en-NZ">
              <a:effectLst/>
            </a:rPr>
            <a:t>CO</a:t>
          </a:r>
          <a:r>
            <a:rPr lang="en-NZ" baseline="-25000">
              <a:effectLst/>
            </a:rPr>
            <a:t>2</a:t>
          </a:r>
          <a:r>
            <a:rPr lang="en-NZ">
              <a:effectLst/>
            </a:rPr>
            <a:t>e expresses other greenhouse gases (e.g. methane) as the amount of CO</a:t>
          </a:r>
          <a:r>
            <a:rPr lang="en-NZ" baseline="-25000">
              <a:effectLst/>
            </a:rPr>
            <a:t>2</a:t>
          </a:r>
          <a:r>
            <a:rPr lang="en-NZ">
              <a:effectLst/>
            </a:rPr>
            <a:t> that has the equivalent global warming impact. </a:t>
          </a:r>
          <a:r>
            <a:rPr lang="en-NZ" i="1">
              <a:effectLst/>
            </a:rPr>
            <a:t>GWP’s currently used in national GHG inventories are from the IPCC AR4, and based on the 100 yr GWP.</a:t>
          </a:r>
          <a:r>
            <a:rPr lang="en-NZ">
              <a:effectLst/>
            </a:rPr>
            <a:t> </a:t>
          </a:r>
        </a:p>
        <a:p>
          <a:r>
            <a:rPr lang="en-NZ" sz="1100" b="1">
              <a:solidFill>
                <a:schemeClr val="dk1"/>
              </a:solidFill>
              <a:effectLst/>
              <a:latin typeface="+mn-lt"/>
              <a:ea typeface="+mn-ea"/>
              <a:cs typeface="+mn-cs"/>
            </a:rPr>
            <a:t> </a:t>
          </a:r>
          <a:endParaRPr lang="en-NZ" sz="1100">
            <a:solidFill>
              <a:schemeClr val="dk1"/>
            </a:solidFill>
            <a:effectLst/>
            <a:latin typeface="+mn-lt"/>
            <a:ea typeface="+mn-ea"/>
            <a:cs typeface="+mn-cs"/>
          </a:endParaRPr>
        </a:p>
        <a:p>
          <a:r>
            <a:rPr lang="en-NZ" sz="1100" b="1">
              <a:solidFill>
                <a:schemeClr val="dk1"/>
              </a:solidFill>
              <a:effectLst/>
              <a:latin typeface="+mn-lt"/>
              <a:ea typeface="+mn-ea"/>
              <a:cs typeface="+mn-cs"/>
            </a:rPr>
            <a:t>Uncertainties:</a:t>
          </a:r>
          <a:endParaRPr lang="en-NZ" sz="1100">
            <a:solidFill>
              <a:schemeClr val="dk1"/>
            </a:solidFill>
            <a:effectLst/>
            <a:latin typeface="+mn-lt"/>
            <a:ea typeface="+mn-ea"/>
            <a:cs typeface="+mn-cs"/>
          </a:endParaRPr>
        </a:p>
        <a:p>
          <a:r>
            <a:rPr lang="en-NZ" sz="1100">
              <a:solidFill>
                <a:schemeClr val="dk1"/>
              </a:solidFill>
              <a:effectLst/>
              <a:latin typeface="+mn-lt"/>
              <a:ea typeface="+mn-ea"/>
              <a:cs typeface="+mn-cs"/>
            </a:rPr>
            <a:t> </a:t>
          </a:r>
        </a:p>
        <a:p>
          <a:r>
            <a:rPr lang="en-NZ" sz="1100">
              <a:solidFill>
                <a:schemeClr val="dk1"/>
              </a:solidFill>
              <a:effectLst/>
              <a:latin typeface="+mn-lt"/>
              <a:ea typeface="+mn-ea"/>
              <a:cs typeface="+mn-cs"/>
            </a:rPr>
            <a:t>Perhaps apply a tiered approach e.g. H,M,L as used by Auckland Council (http://www.knowledgeauckland.org.nz/assets/publications/TR2017-026-Aucklands-greenhouse-gas-inventory-to-2015.pdf)</a:t>
          </a:r>
        </a:p>
        <a:p>
          <a:r>
            <a:rPr lang="en-NZ" sz="1100" b="1">
              <a:solidFill>
                <a:schemeClr val="dk1"/>
              </a:solidFill>
              <a:effectLst/>
              <a:latin typeface="+mn-lt"/>
              <a:ea typeface="+mn-ea"/>
              <a:cs typeface="+mn-cs"/>
            </a:rPr>
            <a:t> </a:t>
          </a:r>
          <a:endParaRPr lang="en-NZ" sz="1100">
            <a:solidFill>
              <a:schemeClr val="dk1"/>
            </a:solidFill>
            <a:effectLst/>
            <a:latin typeface="+mn-lt"/>
            <a:ea typeface="+mn-ea"/>
            <a:cs typeface="+mn-cs"/>
          </a:endParaRPr>
        </a:p>
        <a:p>
          <a:r>
            <a:rPr lang="en-NZ" sz="1100" b="1">
              <a:solidFill>
                <a:schemeClr val="dk1"/>
              </a:solidFill>
              <a:effectLst/>
              <a:latin typeface="+mn-lt"/>
              <a:ea typeface="+mn-ea"/>
              <a:cs typeface="+mn-cs"/>
            </a:rPr>
            <a:t>Activity data:</a:t>
          </a:r>
          <a:endParaRPr lang="en-NZ" sz="1100">
            <a:solidFill>
              <a:schemeClr val="dk1"/>
            </a:solidFill>
            <a:effectLst/>
            <a:latin typeface="+mn-lt"/>
            <a:ea typeface="+mn-ea"/>
            <a:cs typeface="+mn-cs"/>
          </a:endParaRPr>
        </a:p>
        <a:p>
          <a:r>
            <a:rPr lang="en-NZ" sz="1100">
              <a:solidFill>
                <a:schemeClr val="dk1"/>
              </a:solidFill>
              <a:effectLst/>
              <a:latin typeface="+mn-lt"/>
              <a:ea typeface="+mn-ea"/>
              <a:cs typeface="+mn-cs"/>
            </a:rPr>
            <a:t>The activity data sources are listed in order from what would be required at the simplest level through to the most complex. The simplest approach would apply at the local scale e.g. an individual land owner/farmer for example, and the most complex would apply to a regional council. </a:t>
          </a:r>
        </a:p>
        <a:p>
          <a:r>
            <a:rPr lang="en-NZ" sz="1100" b="1">
              <a:solidFill>
                <a:schemeClr val="dk1"/>
              </a:solidFill>
              <a:effectLst/>
              <a:latin typeface="+mn-lt"/>
              <a:ea typeface="+mn-ea"/>
              <a:cs typeface="+mn-cs"/>
            </a:rPr>
            <a:t> </a:t>
          </a:r>
          <a:endParaRPr lang="en-NZ" sz="1100">
            <a:solidFill>
              <a:schemeClr val="dk1"/>
            </a:solidFill>
            <a:effectLst/>
            <a:latin typeface="+mn-lt"/>
            <a:ea typeface="+mn-ea"/>
            <a:cs typeface="+mn-cs"/>
          </a:endParaRPr>
        </a:p>
        <a:p>
          <a:pPr lvl="0"/>
          <a:r>
            <a:rPr lang="en-NZ" sz="1100">
              <a:solidFill>
                <a:schemeClr val="dk1"/>
              </a:solidFill>
              <a:effectLst/>
              <a:latin typeface="+mn-lt"/>
              <a:ea typeface="+mn-ea"/>
              <a:cs typeface="+mn-cs"/>
            </a:rPr>
            <a:t>Corporate or farm records for enterprises and organisations. </a:t>
          </a:r>
        </a:p>
        <a:p>
          <a:pPr lvl="0"/>
          <a:r>
            <a:rPr lang="en-NZ" sz="1100">
              <a:solidFill>
                <a:schemeClr val="dk1"/>
              </a:solidFill>
              <a:effectLst/>
              <a:latin typeface="+mn-lt"/>
              <a:ea typeface="+mn-ea"/>
              <a:cs typeface="+mn-cs"/>
            </a:rPr>
            <a:t>Geospatial analysis of the property/s or region.</a:t>
          </a:r>
        </a:p>
        <a:p>
          <a:pPr lvl="0"/>
          <a:r>
            <a:rPr lang="en-NZ" sz="1100">
              <a:solidFill>
                <a:schemeClr val="dk1"/>
              </a:solidFill>
              <a:effectLst/>
              <a:latin typeface="+mn-lt"/>
              <a:ea typeface="+mn-ea"/>
              <a:cs typeface="+mn-cs"/>
            </a:rPr>
            <a:t>The LUCAS Land Use Map can provide area by vegetation type at 1990, 2008, 2012 and 2016 (requires geospatial expertise to analyse and extract the data by region) (</a:t>
          </a:r>
          <a:r>
            <a:rPr lang="en-NZ" sz="1100" u="sng">
              <a:solidFill>
                <a:schemeClr val="dk1"/>
              </a:solidFill>
              <a:effectLst/>
              <a:latin typeface="+mn-lt"/>
              <a:ea typeface="+mn-ea"/>
              <a:cs typeface="+mn-cs"/>
              <a:hlinkClick xmlns:r="http://schemas.openxmlformats.org/officeDocument/2006/relationships" r:id=""/>
            </a:rPr>
            <a:t>https://data.mfe.govt.nz/</a:t>
          </a:r>
          <a:r>
            <a:rPr lang="en-NZ" sz="1100">
              <a:solidFill>
                <a:schemeClr val="dk1"/>
              </a:solidFill>
              <a:effectLst/>
              <a:latin typeface="+mn-lt"/>
              <a:ea typeface="+mn-ea"/>
              <a:cs typeface="+mn-cs"/>
            </a:rPr>
            <a:t>).</a:t>
          </a:r>
        </a:p>
        <a:p>
          <a:pPr lvl="0"/>
          <a:r>
            <a:rPr lang="en-NZ" sz="1100">
              <a:solidFill>
                <a:schemeClr val="dk1"/>
              </a:solidFill>
              <a:effectLst/>
              <a:latin typeface="+mn-lt"/>
              <a:ea typeface="+mn-ea"/>
              <a:cs typeface="+mn-cs"/>
            </a:rPr>
            <a:t>LCDB provides multi-temporal land cover. It requires geospatial expertise to analyse and extract the data for sub-national analysis (</a:t>
          </a:r>
          <a:r>
            <a:rPr lang="en-NZ" sz="1100" u="sng">
              <a:solidFill>
                <a:schemeClr val="dk1"/>
              </a:solidFill>
              <a:effectLst/>
              <a:latin typeface="+mn-lt"/>
              <a:ea typeface="+mn-ea"/>
              <a:cs typeface="+mn-cs"/>
            </a:rPr>
            <a:t>https://lris.scinfo.org.nz/layer/48423-lcdb-v41-land-cover-database-version-41-mainland-new-zealand/).</a:t>
          </a:r>
          <a:r>
            <a:rPr lang="en-NZ" sz="1100">
              <a:solidFill>
                <a:schemeClr val="dk1"/>
              </a:solidFill>
              <a:effectLst/>
              <a:latin typeface="+mn-lt"/>
              <a:ea typeface="+mn-ea"/>
              <a:cs typeface="+mn-cs"/>
            </a:rPr>
            <a:t> </a:t>
          </a:r>
        </a:p>
        <a:p>
          <a:r>
            <a:rPr lang="en-NZ" sz="1100" b="1">
              <a:solidFill>
                <a:schemeClr val="dk1"/>
              </a:solidFill>
              <a:effectLst/>
              <a:latin typeface="+mn-lt"/>
              <a:ea typeface="+mn-ea"/>
              <a:cs typeface="+mn-cs"/>
            </a:rPr>
            <a:t> </a:t>
          </a:r>
          <a:endParaRPr lang="en-NZ" sz="1100">
            <a:solidFill>
              <a:schemeClr val="dk1"/>
            </a:solidFill>
            <a:effectLst/>
            <a:latin typeface="+mn-lt"/>
            <a:ea typeface="+mn-ea"/>
            <a:cs typeface="+mn-cs"/>
          </a:endParaRPr>
        </a:p>
        <a:p>
          <a:r>
            <a:rPr lang="en-NZ" sz="1100" b="1">
              <a:solidFill>
                <a:schemeClr val="dk1"/>
              </a:solidFill>
              <a:effectLst/>
              <a:latin typeface="+mn-lt"/>
              <a:ea typeface="+mn-ea"/>
              <a:cs typeface="+mn-cs"/>
            </a:rPr>
            <a:t>Emission factors</a:t>
          </a:r>
          <a:endParaRPr lang="en-NZ" sz="1100">
            <a:solidFill>
              <a:schemeClr val="dk1"/>
            </a:solidFill>
            <a:effectLst/>
            <a:latin typeface="+mn-lt"/>
            <a:ea typeface="+mn-ea"/>
            <a:cs typeface="+mn-cs"/>
          </a:endParaRPr>
        </a:p>
        <a:p>
          <a:r>
            <a:rPr lang="en-NZ" sz="1100" b="1">
              <a:solidFill>
                <a:schemeClr val="dk1"/>
              </a:solidFill>
              <a:effectLst/>
              <a:latin typeface="+mn-lt"/>
              <a:ea typeface="+mn-ea"/>
              <a:cs typeface="+mn-cs"/>
            </a:rPr>
            <a:t> </a:t>
          </a:r>
          <a:endParaRPr lang="en-NZ" sz="1100">
            <a:solidFill>
              <a:schemeClr val="dk1"/>
            </a:solidFill>
            <a:effectLst/>
            <a:latin typeface="+mn-lt"/>
            <a:ea typeface="+mn-ea"/>
            <a:cs typeface="+mn-cs"/>
          </a:endParaRPr>
        </a:p>
        <a:p>
          <a:r>
            <a:rPr lang="en-NZ" sz="1100" b="1">
              <a:solidFill>
                <a:schemeClr val="dk1"/>
              </a:solidFill>
              <a:effectLst/>
              <a:latin typeface="+mn-lt"/>
              <a:ea typeface="+mn-ea"/>
              <a:cs typeface="+mn-cs"/>
            </a:rPr>
            <a:t>Planted forests:</a:t>
          </a:r>
          <a:endParaRPr lang="en-NZ" sz="1100">
            <a:solidFill>
              <a:schemeClr val="dk1"/>
            </a:solidFill>
            <a:effectLst/>
            <a:latin typeface="+mn-lt"/>
            <a:ea typeface="+mn-ea"/>
            <a:cs typeface="+mn-cs"/>
          </a:endParaRPr>
        </a:p>
        <a:p>
          <a:pPr lvl="0"/>
          <a:r>
            <a:rPr lang="en-NZ" sz="1100">
              <a:solidFill>
                <a:schemeClr val="dk1"/>
              </a:solidFill>
              <a:effectLst/>
              <a:latin typeface="+mn-lt"/>
              <a:ea typeface="+mn-ea"/>
              <a:cs typeface="+mn-cs"/>
            </a:rPr>
            <a:t>A single emission factor for forest growth. This could be based on averaged pre-1990 and post-1989 forest yield tables, and will be the average annual increment over 28 years. This emission factor would be applied to the total planted forest area, minus the area harvested, in the reporting year. </a:t>
          </a:r>
        </a:p>
        <a:p>
          <a:r>
            <a:rPr lang="en-NZ" sz="1100" u="sng">
              <a:solidFill>
                <a:schemeClr val="dk1"/>
              </a:solidFill>
              <a:effectLst/>
              <a:latin typeface="+mn-lt"/>
              <a:ea typeface="+mn-ea"/>
              <a:cs typeface="+mn-cs"/>
            </a:rPr>
            <a:t>9.2 t C/ha/yr (33.4 t CO</a:t>
          </a:r>
          <a:r>
            <a:rPr lang="en-NZ" sz="1100" u="sng" baseline="-25000">
              <a:solidFill>
                <a:schemeClr val="dk1"/>
              </a:solidFill>
              <a:effectLst/>
              <a:latin typeface="+mn-lt"/>
              <a:ea typeface="+mn-ea"/>
              <a:cs typeface="+mn-cs"/>
            </a:rPr>
            <a:t>2</a:t>
          </a:r>
          <a:r>
            <a:rPr lang="en-NZ" sz="1100" u="sng">
              <a:solidFill>
                <a:schemeClr val="dk1"/>
              </a:solidFill>
              <a:effectLst/>
              <a:latin typeface="+mn-lt"/>
              <a:ea typeface="+mn-ea"/>
              <a:cs typeface="+mn-cs"/>
            </a:rPr>
            <a:t>/ha/yr)</a:t>
          </a:r>
          <a:r>
            <a:rPr lang="en-NZ" sz="1100">
              <a:solidFill>
                <a:schemeClr val="dk1"/>
              </a:solidFill>
              <a:effectLst/>
              <a:latin typeface="+mn-lt"/>
              <a:ea typeface="+mn-ea"/>
              <a:cs typeface="+mn-cs"/>
            </a:rPr>
            <a:t>  </a:t>
          </a:r>
        </a:p>
        <a:p>
          <a:r>
            <a:rPr lang="en-NZ" sz="1100">
              <a:solidFill>
                <a:schemeClr val="dk1"/>
              </a:solidFill>
              <a:effectLst/>
              <a:latin typeface="+mn-lt"/>
              <a:ea typeface="+mn-ea"/>
              <a:cs typeface="+mn-cs"/>
            </a:rPr>
            <a:t> </a:t>
          </a:r>
        </a:p>
        <a:p>
          <a:pPr lvl="0"/>
          <a:r>
            <a:rPr lang="en-NZ" sz="1100">
              <a:solidFill>
                <a:schemeClr val="dk1"/>
              </a:solidFill>
              <a:effectLst/>
              <a:latin typeface="+mn-lt"/>
              <a:ea typeface="+mn-ea"/>
              <a:cs typeface="+mn-cs"/>
            </a:rPr>
            <a:t>A single emission factor for forest harvest and deforestation. This could be based on planted forest yield tables and will be the carbon stock at 28 years. This emission factor would be applied to the area of planted forest area harvested or deforested in the reporting year. </a:t>
          </a:r>
        </a:p>
        <a:p>
          <a:r>
            <a:rPr lang="en-NZ" sz="1100">
              <a:solidFill>
                <a:schemeClr val="dk1"/>
              </a:solidFill>
              <a:effectLst/>
              <a:latin typeface="+mn-lt"/>
              <a:ea typeface="+mn-ea"/>
              <a:cs typeface="+mn-cs"/>
            </a:rPr>
            <a:t>258.2 t C/ha (946.6 t CO</a:t>
          </a:r>
          <a:r>
            <a:rPr lang="en-NZ" sz="1100" baseline="-25000">
              <a:solidFill>
                <a:schemeClr val="dk1"/>
              </a:solidFill>
              <a:effectLst/>
              <a:latin typeface="+mn-lt"/>
              <a:ea typeface="+mn-ea"/>
              <a:cs typeface="+mn-cs"/>
            </a:rPr>
            <a:t>2</a:t>
          </a:r>
          <a:r>
            <a:rPr lang="en-NZ" sz="1100">
              <a:solidFill>
                <a:schemeClr val="dk1"/>
              </a:solidFill>
              <a:effectLst/>
              <a:latin typeface="+mn-lt"/>
              <a:ea typeface="+mn-ea"/>
              <a:cs typeface="+mn-cs"/>
            </a:rPr>
            <a:t>/ha)</a:t>
          </a:r>
        </a:p>
        <a:p>
          <a:r>
            <a:rPr lang="en-NZ" sz="1100">
              <a:solidFill>
                <a:schemeClr val="dk1"/>
              </a:solidFill>
              <a:effectLst/>
              <a:latin typeface="+mn-lt"/>
              <a:ea typeface="+mn-ea"/>
              <a:cs typeface="+mn-cs"/>
            </a:rPr>
            <a:t> </a:t>
          </a:r>
        </a:p>
        <a:p>
          <a:r>
            <a:rPr lang="en-NZ" sz="1100" b="1">
              <a:solidFill>
                <a:schemeClr val="dk1"/>
              </a:solidFill>
              <a:effectLst/>
              <a:latin typeface="+mn-lt"/>
              <a:ea typeface="+mn-ea"/>
              <a:cs typeface="+mn-cs"/>
            </a:rPr>
            <a:t>Natural forests: </a:t>
          </a:r>
          <a:endParaRPr lang="en-NZ" sz="1100">
            <a:solidFill>
              <a:schemeClr val="dk1"/>
            </a:solidFill>
            <a:effectLst/>
            <a:latin typeface="+mn-lt"/>
            <a:ea typeface="+mn-ea"/>
            <a:cs typeface="+mn-cs"/>
          </a:endParaRPr>
        </a:p>
        <a:p>
          <a:r>
            <a:rPr lang="en-NZ" sz="1100">
              <a:solidFill>
                <a:schemeClr val="dk1"/>
              </a:solidFill>
              <a:effectLst/>
              <a:latin typeface="+mn-lt"/>
              <a:ea typeface="+mn-ea"/>
              <a:cs typeface="+mn-cs"/>
            </a:rPr>
            <a:t> </a:t>
          </a:r>
        </a:p>
        <a:p>
          <a:pPr lvl="0"/>
          <a:r>
            <a:rPr lang="en-NZ" sz="1100">
              <a:solidFill>
                <a:schemeClr val="dk1"/>
              </a:solidFill>
              <a:effectLst/>
              <a:latin typeface="+mn-lt"/>
              <a:ea typeface="+mn-ea"/>
              <a:cs typeface="+mn-cs"/>
            </a:rPr>
            <a:t>Regenerating natural forests: A single emission factor for forest growth based on the LUCAS national sample.</a:t>
          </a:r>
        </a:p>
        <a:p>
          <a:r>
            <a:rPr lang="en-NZ" sz="1100" u="sng">
              <a:solidFill>
                <a:schemeClr val="dk1"/>
              </a:solidFill>
              <a:effectLst/>
              <a:latin typeface="+mn-lt"/>
              <a:ea typeface="+mn-ea"/>
              <a:cs typeface="+mn-cs"/>
            </a:rPr>
            <a:t>1.4 t C/ha/yr (5.1 t CO</a:t>
          </a:r>
          <a:r>
            <a:rPr lang="en-NZ" sz="1100" u="sng" baseline="-25000">
              <a:solidFill>
                <a:schemeClr val="dk1"/>
              </a:solidFill>
              <a:effectLst/>
              <a:latin typeface="+mn-lt"/>
              <a:ea typeface="+mn-ea"/>
              <a:cs typeface="+mn-cs"/>
            </a:rPr>
            <a:t>2</a:t>
          </a:r>
          <a:r>
            <a:rPr lang="en-NZ" sz="1100" u="sng">
              <a:solidFill>
                <a:schemeClr val="dk1"/>
              </a:solidFill>
              <a:effectLst/>
              <a:latin typeface="+mn-lt"/>
              <a:ea typeface="+mn-ea"/>
              <a:cs typeface="+mn-cs"/>
            </a:rPr>
            <a:t>/ha/yr) (</a:t>
          </a:r>
          <a:r>
            <a:rPr lang="en-NZ" sz="1100">
              <a:solidFill>
                <a:schemeClr val="dk1"/>
              </a:solidFill>
              <a:effectLst/>
              <a:latin typeface="+mn-lt"/>
              <a:ea typeface="+mn-ea"/>
              <a:cs typeface="+mn-cs"/>
            </a:rPr>
            <a:t>±40%)  </a:t>
          </a:r>
        </a:p>
        <a:p>
          <a:r>
            <a:rPr lang="en-NZ" sz="1100">
              <a:solidFill>
                <a:schemeClr val="dk1"/>
              </a:solidFill>
              <a:effectLst/>
              <a:latin typeface="+mn-lt"/>
              <a:ea typeface="+mn-ea"/>
              <a:cs typeface="+mn-cs"/>
            </a:rPr>
            <a:t> </a:t>
          </a:r>
        </a:p>
        <a:p>
          <a:pPr lvl="0"/>
          <a:r>
            <a:rPr lang="en-NZ" sz="1100">
              <a:solidFill>
                <a:schemeClr val="dk1"/>
              </a:solidFill>
              <a:effectLst/>
              <a:latin typeface="+mn-lt"/>
              <a:ea typeface="+mn-ea"/>
              <a:cs typeface="+mn-cs"/>
            </a:rPr>
            <a:t>Tall natural forests: Assumed to be at steady state based on the LUCAS national sample (e.g. zero growth).  </a:t>
          </a:r>
        </a:p>
        <a:p>
          <a:r>
            <a:rPr lang="en-NZ" sz="1100">
              <a:solidFill>
                <a:schemeClr val="dk1"/>
              </a:solidFill>
              <a:effectLst/>
              <a:latin typeface="+mn-lt"/>
              <a:ea typeface="+mn-ea"/>
              <a:cs typeface="+mn-cs"/>
            </a:rPr>
            <a:t>0</a:t>
          </a:r>
        </a:p>
        <a:p>
          <a:r>
            <a:rPr lang="en-NZ" sz="1100">
              <a:solidFill>
                <a:schemeClr val="dk1"/>
              </a:solidFill>
              <a:effectLst/>
              <a:latin typeface="+mn-lt"/>
              <a:ea typeface="+mn-ea"/>
              <a:cs typeface="+mn-cs"/>
            </a:rPr>
            <a:t> </a:t>
          </a:r>
        </a:p>
        <a:p>
          <a:pPr lvl="0"/>
          <a:r>
            <a:rPr lang="en-NZ" sz="1100">
              <a:solidFill>
                <a:schemeClr val="dk1"/>
              </a:solidFill>
              <a:effectLst/>
              <a:latin typeface="+mn-lt"/>
              <a:ea typeface="+mn-ea"/>
              <a:cs typeface="+mn-cs"/>
            </a:rPr>
            <a:t>If unable to distinguish regenerating from tall apply the national average </a:t>
          </a:r>
        </a:p>
        <a:p>
          <a:r>
            <a:rPr lang="en-NZ" sz="1100">
              <a:solidFill>
                <a:schemeClr val="dk1"/>
              </a:solidFill>
              <a:effectLst/>
              <a:latin typeface="+mn-lt"/>
              <a:ea typeface="+mn-ea"/>
              <a:cs typeface="+mn-cs"/>
            </a:rPr>
            <a:t>(16% regenerating: 84% tall) </a:t>
          </a:r>
        </a:p>
        <a:p>
          <a:r>
            <a:rPr lang="en-NZ" sz="1100">
              <a:solidFill>
                <a:schemeClr val="dk1"/>
              </a:solidFill>
              <a:effectLst/>
              <a:latin typeface="+mn-lt"/>
              <a:ea typeface="+mn-ea"/>
              <a:cs typeface="+mn-cs"/>
            </a:rPr>
            <a:t> </a:t>
          </a:r>
        </a:p>
        <a:p>
          <a:pPr lvl="0"/>
          <a:r>
            <a:rPr lang="en-NZ" sz="1100">
              <a:solidFill>
                <a:schemeClr val="dk1"/>
              </a:solidFill>
              <a:effectLst/>
              <a:latin typeface="+mn-lt"/>
              <a:ea typeface="+mn-ea"/>
              <a:cs typeface="+mn-cs"/>
            </a:rPr>
            <a:t>A single emission factor for natural forest deforestation. This is based on the average stock at the national level.</a:t>
          </a:r>
        </a:p>
        <a:p>
          <a:r>
            <a:rPr lang="en-NZ" sz="1100">
              <a:solidFill>
                <a:schemeClr val="dk1"/>
              </a:solidFill>
              <a:effectLst/>
              <a:latin typeface="+mn-lt"/>
              <a:ea typeface="+mn-ea"/>
              <a:cs typeface="+mn-cs"/>
            </a:rPr>
            <a:t>231.45	t C/ha (848.65 t CO</a:t>
          </a:r>
          <a:r>
            <a:rPr lang="en-NZ" sz="1100" baseline="-25000">
              <a:solidFill>
                <a:schemeClr val="dk1"/>
              </a:solidFill>
              <a:effectLst/>
              <a:latin typeface="+mn-lt"/>
              <a:ea typeface="+mn-ea"/>
              <a:cs typeface="+mn-cs"/>
            </a:rPr>
            <a:t>2</a:t>
          </a:r>
          <a:r>
            <a:rPr lang="en-NZ" sz="1100">
              <a:solidFill>
                <a:schemeClr val="dk1"/>
              </a:solidFill>
              <a:effectLst/>
              <a:latin typeface="+mn-lt"/>
              <a:ea typeface="+mn-ea"/>
              <a:cs typeface="+mn-cs"/>
            </a:rPr>
            <a:t>/ha) (±5%)</a:t>
          </a:r>
        </a:p>
        <a:p>
          <a:r>
            <a:rPr lang="en-NZ" sz="1100">
              <a:solidFill>
                <a:schemeClr val="dk1"/>
              </a:solidFill>
              <a:effectLst/>
              <a:latin typeface="+mn-lt"/>
              <a:ea typeface="+mn-ea"/>
              <a:cs typeface="+mn-cs"/>
            </a:rPr>
            <a:t> </a:t>
          </a:r>
        </a:p>
        <a:p>
          <a:r>
            <a:rPr lang="en-NZ" sz="1100" b="1">
              <a:solidFill>
                <a:schemeClr val="dk1"/>
              </a:solidFill>
              <a:effectLst/>
              <a:latin typeface="+mn-lt"/>
              <a:ea typeface="+mn-ea"/>
              <a:cs typeface="+mn-cs"/>
            </a:rPr>
            <a:t>Scrubland or riparian:</a:t>
          </a:r>
          <a:endParaRPr lang="en-NZ" sz="1100">
            <a:solidFill>
              <a:schemeClr val="dk1"/>
            </a:solidFill>
            <a:effectLst/>
            <a:latin typeface="+mn-lt"/>
            <a:ea typeface="+mn-ea"/>
            <a:cs typeface="+mn-cs"/>
          </a:endParaRPr>
        </a:p>
        <a:p>
          <a:r>
            <a:rPr lang="en-NZ" sz="1100" b="1">
              <a:solidFill>
                <a:schemeClr val="dk1"/>
              </a:solidFill>
              <a:effectLst/>
              <a:latin typeface="+mn-lt"/>
              <a:ea typeface="+mn-ea"/>
              <a:cs typeface="+mn-cs"/>
            </a:rPr>
            <a:t> </a:t>
          </a:r>
          <a:endParaRPr lang="en-NZ" sz="1100">
            <a:solidFill>
              <a:schemeClr val="dk1"/>
            </a:solidFill>
            <a:effectLst/>
            <a:latin typeface="+mn-lt"/>
            <a:ea typeface="+mn-ea"/>
            <a:cs typeface="+mn-cs"/>
          </a:endParaRPr>
        </a:p>
        <a:p>
          <a:pPr lvl="0"/>
          <a:r>
            <a:rPr lang="en-NZ" sz="1100">
              <a:solidFill>
                <a:schemeClr val="dk1"/>
              </a:solidFill>
              <a:effectLst/>
              <a:latin typeface="+mn-lt"/>
              <a:ea typeface="+mn-ea"/>
              <a:cs typeface="+mn-cs"/>
            </a:rPr>
            <a:t>A single emission factor for forest growth based on the LUCAS national sample for grassland with woody biomass. This emission factor would be applied to the scrubland or riparian area, and will be the average annual increment over 28 (or 30?) years. </a:t>
          </a:r>
          <a:r>
            <a:rPr lang="en-NZ" sz="1100" u="sng">
              <a:solidFill>
                <a:schemeClr val="dk1"/>
              </a:solidFill>
              <a:effectLst/>
              <a:latin typeface="+mn-lt"/>
              <a:ea typeface="+mn-ea"/>
              <a:cs typeface="+mn-cs"/>
            </a:rPr>
            <a:t>It is assumed that growth in this vegetation type reaches steady state at 28 (or 30?) years.</a:t>
          </a:r>
          <a:r>
            <a:rPr lang="en-NZ" sz="1100">
              <a:solidFill>
                <a:schemeClr val="dk1"/>
              </a:solidFill>
              <a:effectLst/>
              <a:latin typeface="+mn-lt"/>
              <a:ea typeface="+mn-ea"/>
              <a:cs typeface="+mn-cs"/>
            </a:rPr>
            <a:t>  </a:t>
          </a:r>
        </a:p>
        <a:p>
          <a:r>
            <a:rPr lang="en-NZ" sz="1100">
              <a:solidFill>
                <a:schemeClr val="dk1"/>
              </a:solidFill>
              <a:effectLst/>
              <a:latin typeface="+mn-lt"/>
              <a:ea typeface="+mn-ea"/>
              <a:cs typeface="+mn-cs"/>
            </a:rPr>
            <a:t>Vegetation growth 0.47 t C/ha/yr (1.72 t CO</a:t>
          </a:r>
          <a:r>
            <a:rPr lang="en-NZ" sz="1100" baseline="-25000">
              <a:solidFill>
                <a:schemeClr val="dk1"/>
              </a:solidFill>
              <a:effectLst/>
              <a:latin typeface="+mn-lt"/>
              <a:ea typeface="+mn-ea"/>
              <a:cs typeface="+mn-cs"/>
            </a:rPr>
            <a:t>2</a:t>
          </a:r>
          <a:r>
            <a:rPr lang="en-NZ" sz="1100">
              <a:solidFill>
                <a:schemeClr val="dk1"/>
              </a:solidFill>
              <a:effectLst/>
              <a:latin typeface="+mn-lt"/>
              <a:ea typeface="+mn-ea"/>
              <a:cs typeface="+mn-cs"/>
            </a:rPr>
            <a:t>/ha/yr) for 28 years (±75%)</a:t>
          </a:r>
          <a:r>
            <a:rPr lang="en-NZ" sz="1100" u="sng">
              <a:solidFill>
                <a:schemeClr val="dk1"/>
              </a:solidFill>
              <a:effectLst/>
              <a:latin typeface="+mn-lt"/>
              <a:ea typeface="+mn-ea"/>
              <a:cs typeface="+mn-cs"/>
            </a:rPr>
            <a:t> (need to know when vegetation is established as after 28 yrs steady state is reached)</a:t>
          </a:r>
          <a:r>
            <a:rPr lang="en-NZ" sz="1100">
              <a:solidFill>
                <a:schemeClr val="dk1"/>
              </a:solidFill>
              <a:effectLst/>
              <a:latin typeface="+mn-lt"/>
              <a:ea typeface="+mn-ea"/>
              <a:cs typeface="+mn-cs"/>
            </a:rPr>
            <a:t>  </a:t>
          </a:r>
        </a:p>
        <a:p>
          <a:r>
            <a:rPr lang="en-NZ" sz="1100">
              <a:solidFill>
                <a:schemeClr val="dk1"/>
              </a:solidFill>
              <a:effectLst/>
              <a:latin typeface="+mn-lt"/>
              <a:ea typeface="+mn-ea"/>
              <a:cs typeface="+mn-cs"/>
            </a:rPr>
            <a:t>Vegetation stock at maturity (use for c stock inventory and loss) 13.05 t C/ha (47.85 t CO</a:t>
          </a:r>
          <a:r>
            <a:rPr lang="en-NZ" sz="1100" baseline="-25000">
              <a:solidFill>
                <a:schemeClr val="dk1"/>
              </a:solidFill>
              <a:effectLst/>
              <a:latin typeface="+mn-lt"/>
              <a:ea typeface="+mn-ea"/>
              <a:cs typeface="+mn-cs"/>
            </a:rPr>
            <a:t>2</a:t>
          </a:r>
          <a:r>
            <a:rPr lang="en-NZ" sz="1100">
              <a:solidFill>
                <a:schemeClr val="dk1"/>
              </a:solidFill>
              <a:effectLst/>
              <a:latin typeface="+mn-lt"/>
              <a:ea typeface="+mn-ea"/>
              <a:cs typeface="+mn-cs"/>
            </a:rPr>
            <a:t>/ha) (±75%)</a:t>
          </a:r>
        </a:p>
        <a:p>
          <a:r>
            <a:rPr lang="en-NZ" sz="1100">
              <a:solidFill>
                <a:schemeClr val="dk1"/>
              </a:solidFill>
              <a:effectLst/>
              <a:latin typeface="+mn-lt"/>
              <a:ea typeface="+mn-ea"/>
              <a:cs typeface="+mn-cs"/>
            </a:rPr>
            <a:t> We won’t add them in this year.</a:t>
          </a:r>
        </a:p>
        <a:p>
          <a:r>
            <a:rPr lang="en-NZ" sz="1100">
              <a:solidFill>
                <a:schemeClr val="dk1"/>
              </a:solidFill>
              <a:effectLst/>
              <a:latin typeface="+mn-lt"/>
              <a:ea typeface="+mn-ea"/>
              <a:cs typeface="+mn-cs"/>
            </a:rPr>
            <a:t> This is something to consider in the future. Question – will organisations reporting soil organic matter have access to industry specific data? I am thinking along the lines of tools like OverSeer which are developing to include carbon emissions of farms. I think there would be no harm in having guidance on this but we will need to investigate added value of including soil for voluntary reporting.</a:t>
          </a:r>
        </a:p>
        <a:p>
          <a:r>
            <a:rPr lang="en-NZ" sz="1100">
              <a:solidFill>
                <a:schemeClr val="dk1"/>
              </a:solidFill>
              <a:effectLst/>
              <a:latin typeface="+mn-lt"/>
              <a:ea typeface="+mn-ea"/>
              <a:cs typeface="+mn-cs"/>
            </a:rPr>
            <a:t> I’m not sure what that might be, as it is the land-use change effects that are important and the need for land-use change activity data to estimate that effect that is needed. I think that data availability for sub-national reporting will be the limiting factor. </a:t>
          </a:r>
        </a:p>
        <a:p>
          <a:r>
            <a:rPr lang="en-NZ" sz="1100">
              <a:solidFill>
                <a:schemeClr val="dk1"/>
              </a:solidFill>
              <a:effectLst/>
              <a:latin typeface="+mn-lt"/>
              <a:ea typeface="+mn-ea"/>
              <a:cs typeface="+mn-cs"/>
            </a:rPr>
            <a:t> The reporting requirements for ISO 14064-1 and the GHG Protocol require  emission factors to calculate CO2, CH4 and N2O separately.Is CO2 the only GHG accounted for in this data set?</a:t>
          </a:r>
        </a:p>
        <a:p>
          <a:r>
            <a:rPr lang="en-NZ" sz="1100">
              <a:solidFill>
                <a:schemeClr val="dk1"/>
              </a:solidFill>
              <a:effectLst/>
              <a:latin typeface="+mn-lt"/>
              <a:ea typeface="+mn-ea"/>
              <a:cs typeface="+mn-cs"/>
            </a:rPr>
            <a:t> Yes, these just are for calculating CO2, non-CO2 emissions for the LULUCF sector are even smaller than the non-woody land use classes and soil carbon pool that we are going to exclude </a:t>
          </a:r>
        </a:p>
        <a:p>
          <a:r>
            <a:rPr lang="en-NZ" sz="1100">
              <a:solidFill>
                <a:schemeClr val="dk1"/>
              </a:solidFill>
              <a:effectLst/>
              <a:latin typeface="+mn-lt"/>
              <a:ea typeface="+mn-ea"/>
              <a:cs typeface="+mn-cs"/>
            </a:rPr>
            <a:t> Should this be a negative because a planted forest is a removal of CO2?</a:t>
          </a:r>
        </a:p>
        <a:p>
          <a:r>
            <a:rPr lang="en-NZ" sz="1100">
              <a:solidFill>
                <a:schemeClr val="dk1"/>
              </a:solidFill>
              <a:effectLst/>
              <a:latin typeface="+mn-lt"/>
              <a:ea typeface="+mn-ea"/>
              <a:cs typeface="+mn-cs"/>
            </a:rPr>
            <a:t> yes</a:t>
          </a:r>
        </a:p>
        <a:p>
          <a:r>
            <a:rPr lang="en-NZ" sz="1100">
              <a:solidFill>
                <a:schemeClr val="dk1"/>
              </a:solidFill>
              <a:effectLst/>
              <a:latin typeface="+mn-lt"/>
              <a:ea typeface="+mn-ea"/>
              <a:cs typeface="+mn-cs"/>
            </a:rPr>
            <a:t> Should this also be a GHG removal?</a:t>
          </a:r>
        </a:p>
        <a:p>
          <a:r>
            <a:rPr lang="en-NZ" sz="1100">
              <a:solidFill>
                <a:schemeClr val="dk1"/>
              </a:solidFill>
              <a:effectLst/>
              <a:latin typeface="+mn-lt"/>
              <a:ea typeface="+mn-ea"/>
              <a:cs typeface="+mn-cs"/>
            </a:rPr>
            <a:t> yes</a:t>
          </a:r>
        </a:p>
        <a:p>
          <a:r>
            <a:rPr lang="en-NZ" sz="1100">
              <a:solidFill>
                <a:schemeClr val="dk1"/>
              </a:solidFill>
              <a:effectLst/>
              <a:latin typeface="+mn-lt"/>
              <a:ea typeface="+mn-ea"/>
              <a:cs typeface="+mn-cs"/>
            </a:rPr>
            <a:t> Does this mean that at 28/30 years old the scrubland stops being a removal?</a:t>
          </a:r>
        </a:p>
        <a:p>
          <a:r>
            <a:rPr lang="en-NZ" sz="1100">
              <a:solidFill>
                <a:schemeClr val="dk1"/>
              </a:solidFill>
              <a:effectLst/>
              <a:latin typeface="+mn-lt"/>
              <a:ea typeface="+mn-ea"/>
              <a:cs typeface="+mn-cs"/>
            </a:rPr>
            <a:t> yes</a:t>
          </a:r>
        </a:p>
        <a:p>
          <a:r>
            <a:rPr lang="en-NZ" sz="1100">
              <a:solidFill>
                <a:schemeClr val="dk1"/>
              </a:solidFill>
              <a:effectLst/>
              <a:latin typeface="+mn-lt"/>
              <a:ea typeface="+mn-ea"/>
              <a:cs typeface="+mn-cs"/>
            </a:rPr>
            <a:t> Can have two factors (one for &lt;30 years and one for &gt;30 years old.</a:t>
          </a:r>
        </a:p>
        <a:p>
          <a:r>
            <a:rPr lang="en-NZ" sz="1100">
              <a:solidFill>
                <a:schemeClr val="dk1"/>
              </a:solidFill>
              <a:effectLst/>
              <a:latin typeface="+mn-lt"/>
              <a:ea typeface="+mn-ea"/>
              <a:cs typeface="+mn-cs"/>
            </a:rPr>
            <a:t> After 28 yrs vegetation is in steady state so factor will then be “0”</a:t>
          </a:r>
        </a:p>
        <a:p>
          <a:endParaRPr lang="en-NZ"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ministryforenvironment.sharepoint.com/sites/ECM-Pol-CAP/Shared%20Documents/05%20-%20Emission%20Reduction%20Measures_5121709/03%20-%20Guidance%20for%20voluntary%20corporate%20greenhouse%20gas%20reporting_6564844/03%20-%202022%20Measuring%20Emissions%20Guide/03%20-%20Development/Draft%20Guidance%20Documents/2022%20MEG%20Interactive%20Workbook%20-%20unlocked.xlsx?E1290B70" TargetMode="External"/><Relationship Id="rId1" Type="http://schemas.openxmlformats.org/officeDocument/2006/relationships/externalLinkPath" Target="file:///\\E1290B70\2022%20MEG%20Interactive%20Workbook%20-%20unlocked.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ministryforenvironment.sharepoint.com/sites/ECM-Pol-CAP/Shared%20Documents/05%20-%20Emission%20Reduction%20Measures_5121709/03%20-%20Guidance%20for%20voluntary%20corporate%20greenhouse%20gas%20reporting_6564844/03%20-%202022%20Measuring%20Emissions%20Guide/03%20-%20Development/09&amp;10%20-%20Wastewater,%20Materials%20&amp;%20Waste/Waste%20&amp;%20Wastewater%20EFs%20-%202022%20MEG%20update.xlsx?72CE9015" TargetMode="External"/><Relationship Id="rId1" Type="http://schemas.openxmlformats.org/officeDocument/2006/relationships/externalLinkPath" Target="file:///\\72CE9015\Waste%20&amp;%20Wastewater%20EFs%20-%202022%20MEG%20up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ummary Sheet"/>
      <sheetName val="Fuel 2022"/>
      <sheetName val="Fuel workbook 2022"/>
      <sheetName val="T&amp;D losses 2022"/>
      <sheetName val="T&amp;D Losses workbook 2022"/>
      <sheetName val="Purchased energy 2022"/>
      <sheetName val="Purchased Energy workbook 2022"/>
      <sheetName val="2022 Working from home"/>
      <sheetName val="2022 Working from home workbook"/>
      <sheetName val="Refrigerant &amp; Other 2022"/>
      <sheetName val="Refrigerant &amp; Oth workbook 2022"/>
      <sheetName val="Travel 2022"/>
      <sheetName val="Travel workbook 2022"/>
      <sheetName val="Freight 2022"/>
      <sheetName val="Freight workbook 2022"/>
      <sheetName val="Wastewater 2022"/>
      <sheetName val="Wastewater workbook 2022"/>
      <sheetName val="Waste 2022"/>
      <sheetName val="Waste workbook 2022"/>
      <sheetName val="Agriculture forestry other 2022"/>
      <sheetName val="Agri workbook 2020"/>
      <sheetName val="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0">
          <cell r="E10">
            <v>0.153</v>
          </cell>
          <cell r="F10">
            <v>1.25E-4</v>
          </cell>
          <cell r="G10">
            <v>2.1250000000000002E-3</v>
          </cell>
        </row>
        <row r="11">
          <cell r="E11">
            <v>1.2E-2</v>
          </cell>
          <cell r="F11">
            <v>4.0000000000000002E-4</v>
          </cell>
          <cell r="G11">
            <v>1.7164013692531599E-5</v>
          </cell>
        </row>
        <row r="12">
          <cell r="E12">
            <v>0.06</v>
          </cell>
          <cell r="F12">
            <v>5.0000000000000002E-5</v>
          </cell>
          <cell r="G12">
            <v>8.9999999999999998E-4</v>
          </cell>
        </row>
        <row r="13">
          <cell r="E13">
            <v>3.5999999999999997E-2</v>
          </cell>
          <cell r="F13">
            <v>1.25E-4</v>
          </cell>
          <cell r="G13">
            <v>1.25E-4</v>
          </cell>
        </row>
        <row r="14">
          <cell r="E14">
            <v>1.2999999999999999E-2</v>
          </cell>
          <cell r="F14">
            <v>1.0000000000000001E-5</v>
          </cell>
          <cell r="G14">
            <v>9.9999999999999995E-8</v>
          </cell>
        </row>
        <row r="15">
          <cell r="E15">
            <v>4.4999999999999998E-2</v>
          </cell>
          <cell r="F15">
            <v>5.9999999999999995E-4</v>
          </cell>
          <cell r="G15">
            <v>6.9999999999999999E-4</v>
          </cell>
        </row>
        <row r="16">
          <cell r="E16">
            <v>1.7999999999999999E-2</v>
          </cell>
          <cell r="F16">
            <v>5.0000000000000001E-4</v>
          </cell>
          <cell r="G16">
            <v>1E-4</v>
          </cell>
        </row>
        <row r="21">
          <cell r="E21">
            <v>0.19551624762383463</v>
          </cell>
          <cell r="F21">
            <v>2.3018878842771856E-3</v>
          </cell>
          <cell r="G21">
            <v>6.6517584437779534E-3</v>
          </cell>
          <cell r="I21">
            <v>0.17289796127988299</v>
          </cell>
          <cell r="J21">
            <v>2.0355941110945862E-3</v>
          </cell>
          <cell r="K21">
            <v>5.8822501343630228E-3</v>
          </cell>
          <cell r="M21">
            <v>0.16234002259667438</v>
          </cell>
          <cell r="N21">
            <v>1.9112914434995243E-3</v>
          </cell>
          <cell r="O21">
            <v>6.0000000000000001E-3</v>
          </cell>
        </row>
        <row r="22">
          <cell r="E22">
            <v>0.20234880466445254</v>
          </cell>
          <cell r="F22">
            <v>2.3823302028137547E-3</v>
          </cell>
          <cell r="G22">
            <v>6.8842123678884747E-3</v>
          </cell>
          <cell r="I22">
            <v>0.17894009433536273</v>
          </cell>
          <cell r="J22">
            <v>2.1067304644392885E-3</v>
          </cell>
          <cell r="K22">
            <v>6.0878126390585029E-3</v>
          </cell>
          <cell r="M22">
            <v>0.16801319542935392</v>
          </cell>
          <cell r="N22">
            <v>1.9780838864175191E-3</v>
          </cell>
          <cell r="O22">
            <v>6.0000000000000001E-3</v>
          </cell>
        </row>
        <row r="23">
          <cell r="E23">
            <v>0.22783949823906535</v>
          </cell>
          <cell r="F23">
            <v>2.6824419296617203E-3</v>
          </cell>
          <cell r="G23">
            <v>7.7514443155315658E-3</v>
          </cell>
          <cell r="I23">
            <v>0.20148189842696052</v>
          </cell>
          <cell r="J23">
            <v>2.3721237826868375E-3</v>
          </cell>
          <cell r="K23">
            <v>6.8547189065762681E-3</v>
          </cell>
          <cell r="M23">
            <v>0.18917849407435042</v>
          </cell>
          <cell r="N23">
            <v>2.2272710773038819E-3</v>
          </cell>
          <cell r="O23">
            <v>6.0000000000000001E-3</v>
          </cell>
        </row>
        <row r="24">
          <cell r="E24">
            <v>0.25306740115826976</v>
          </cell>
          <cell r="F24">
            <v>2.9794597211813567E-3</v>
          </cell>
          <cell r="G24">
            <v>8.6097357276319463E-3</v>
          </cell>
          <cell r="I24">
            <v>0.22379131278565498</v>
          </cell>
          <cell r="J24">
            <v>2.6347810873442019E-3</v>
          </cell>
          <cell r="K24">
            <v>7.6137189239134286E-3</v>
          </cell>
          <cell r="M24">
            <v>0.21012559376424389</v>
          </cell>
          <cell r="N24">
            <v>2.4738893280780135E-3</v>
          </cell>
          <cell r="O24">
            <v>7.0000000000000001E-3</v>
          </cell>
        </row>
        <row r="25">
          <cell r="E25">
            <v>0.30273483503045368</v>
          </cell>
          <cell r="F25">
            <v>3.5642134982356434E-3</v>
          </cell>
          <cell r="G25">
            <v>1.0299496945204576E-2</v>
          </cell>
          <cell r="I25">
            <v>0.26771297230433494</v>
          </cell>
          <cell r="J25">
            <v>3.1518876558883913E-3</v>
          </cell>
          <cell r="K25">
            <v>9.1080002080459709E-3</v>
          </cell>
          <cell r="M25">
            <v>0.25136519627872156</v>
          </cell>
          <cell r="N25">
            <v>2.9594190092895852E-3</v>
          </cell>
          <cell r="O25">
            <v>8.9999999999999993E-3</v>
          </cell>
        </row>
        <row r="26">
          <cell r="E26">
            <v>0.21184080412909945</v>
          </cell>
          <cell r="F26">
            <v>2.8311904341580857E-4</v>
          </cell>
          <cell r="G26">
            <v>3.3747789975164377E-3</v>
          </cell>
          <cell r="I26">
            <v>0.19429304959003507</v>
          </cell>
          <cell r="J26">
            <v>2.5966698232861746E-4</v>
          </cell>
          <cell r="K26">
            <v>3.0952304293571202E-3</v>
          </cell>
          <cell r="M26">
            <v>0.18452494321355059</v>
          </cell>
          <cell r="N26">
            <v>2.4661219364112376E-4</v>
          </cell>
          <cell r="O26">
            <v>3.0000000000000001E-3</v>
          </cell>
        </row>
        <row r="27">
          <cell r="E27">
            <v>0.20385732736687384</v>
          </cell>
          <cell r="F27">
            <v>2.7244936004982114E-4</v>
          </cell>
          <cell r="G27">
            <v>3.2475963717938676E-3</v>
          </cell>
          <cell r="I27">
            <v>0.18697088116813487</v>
          </cell>
          <cell r="J27">
            <v>2.4988111823194195E-4</v>
          </cell>
          <cell r="K27">
            <v>2.9785829293247478E-3</v>
          </cell>
          <cell r="M27">
            <v>0.17757089768746442</v>
          </cell>
          <cell r="N27">
            <v>2.3731831503586855E-4</v>
          </cell>
          <cell r="O27">
            <v>3.0000000000000001E-3</v>
          </cell>
        </row>
        <row r="28">
          <cell r="E28">
            <v>0.21606502108485043</v>
          </cell>
          <cell r="F28">
            <v>2.8876458591933974E-4</v>
          </cell>
          <cell r="G28">
            <v>3.4420738641585298E-3</v>
          </cell>
          <cell r="I28">
            <v>0.19816735509900874</v>
          </cell>
          <cell r="J28">
            <v>2.6484487841011442E-4</v>
          </cell>
          <cell r="K28">
            <v>3.1569509506485637E-3</v>
          </cell>
          <cell r="M28">
            <v>0.18820446754827999</v>
          </cell>
          <cell r="N28">
            <v>2.5152977037595764E-4</v>
          </cell>
          <cell r="O28">
            <v>3.0000000000000001E-3</v>
          </cell>
        </row>
        <row r="29">
          <cell r="E29">
            <v>0.26562533940604049</v>
          </cell>
          <cell r="F29">
            <v>3.5500050289559562E-4</v>
          </cell>
          <cell r="G29">
            <v>4.2316059945154997E-3</v>
          </cell>
          <cell r="I29">
            <v>0.24359813674670691</v>
          </cell>
          <cell r="J29">
            <v>3.2556179031293297E-4</v>
          </cell>
          <cell r="K29">
            <v>3.8806965405301609E-3</v>
          </cell>
          <cell r="M29">
            <v>0.23124590212315341</v>
          </cell>
          <cell r="N29">
            <v>3.0905338974749296E-4</v>
          </cell>
          <cell r="O29">
            <v>4.0000000000000001E-3</v>
          </cell>
        </row>
        <row r="30">
          <cell r="E30">
            <v>0.29464972486863095</v>
          </cell>
          <cell r="F30">
            <v>3.9379074579371306E-4</v>
          </cell>
          <cell r="G30">
            <v>4.6939856898610601E-3</v>
          </cell>
          <cell r="I30">
            <v>0.27021565085403948</v>
          </cell>
          <cell r="J30">
            <v>3.6113531998846363E-4</v>
          </cell>
          <cell r="K30">
            <v>4.304733014262486E-3</v>
          </cell>
          <cell r="M30">
            <v>0.25651371058930011</v>
          </cell>
          <cell r="N30">
            <v>3.4282307728035222E-4</v>
          </cell>
          <cell r="O30">
            <v>4.0000000000000001E-3</v>
          </cell>
        </row>
        <row r="31">
          <cell r="E31">
            <v>0.14877836899781749</v>
          </cell>
          <cell r="F31">
            <v>1.7516248864263043E-3</v>
          </cell>
          <cell r="G31">
            <v>5.0616651263518907E-3</v>
          </cell>
          <cell r="I31">
            <v>0.13510644241481334</v>
          </cell>
          <cell r="J31">
            <v>1.5906600431530545E-3</v>
          </cell>
          <cell r="K31">
            <v>4.5965255065174336E-3</v>
          </cell>
          <cell r="M31">
            <v>0.12257432444480243</v>
          </cell>
          <cell r="N31">
            <v>1.4431146044997822E-3</v>
          </cell>
          <cell r="O31">
            <v>4.0000000000000001E-3</v>
          </cell>
        </row>
        <row r="32">
          <cell r="E32">
            <v>0.15397761307569813</v>
          </cell>
          <cell r="F32">
            <v>1.8128375840702337E-3</v>
          </cell>
          <cell r="G32">
            <v>5.2385512732405302E-3</v>
          </cell>
          <cell r="I32">
            <v>0.13982790411210511</v>
          </cell>
          <cell r="J32">
            <v>1.6462476253062516E-3</v>
          </cell>
          <cell r="K32">
            <v>4.7571567742183086E-3</v>
          </cell>
          <cell r="M32">
            <v>0.1268578357829272</v>
          </cell>
          <cell r="N32">
            <v>1.4935460288505807E-3</v>
          </cell>
          <cell r="O32">
            <v>4.0000000000000001E-3</v>
          </cell>
        </row>
        <row r="33">
          <cell r="E33">
            <v>0.17337479290471478</v>
          </cell>
          <cell r="F33">
            <v>2.0412080329725892E-3</v>
          </cell>
          <cell r="G33">
            <v>5.8984726674020035E-3</v>
          </cell>
          <cell r="I33">
            <v>0.15744258813661718</v>
          </cell>
          <cell r="J33">
            <v>1.8536320664162616E-3</v>
          </cell>
          <cell r="K33">
            <v>5.3564349652562042E-3</v>
          </cell>
          <cell r="M33">
            <v>0.14283862808285441</v>
          </cell>
          <cell r="N33">
            <v>1.6816940350824073E-3</v>
          </cell>
          <cell r="O33">
            <v>5.0000000000000001E-3</v>
          </cell>
        </row>
        <row r="34">
          <cell r="E34">
            <v>0.19257200180765863</v>
          </cell>
          <cell r="F34">
            <v>2.2672241473501733E-3</v>
          </cell>
          <cell r="G34">
            <v>6.5515907482215918E-3</v>
          </cell>
          <cell r="I34">
            <v>0.17487567748046393</v>
          </cell>
          <cell r="J34">
            <v>2.0588785235972993E-3</v>
          </cell>
          <cell r="K34">
            <v>5.9495350306132877E-3</v>
          </cell>
          <cell r="M34">
            <v>0.15865466994669991</v>
          </cell>
          <cell r="N34">
            <v>1.8679023711468954E-3</v>
          </cell>
          <cell r="O34">
            <v>5.0000000000000001E-3</v>
          </cell>
        </row>
        <row r="35">
          <cell r="E35">
            <v>0.23036650683533022</v>
          </cell>
          <cell r="F35">
            <v>2.712193372531051E-3</v>
          </cell>
          <cell r="G35">
            <v>7.8374169698351842E-3</v>
          </cell>
          <cell r="I35">
            <v>0.20919707212616245</v>
          </cell>
          <cell r="J35">
            <v>2.4629574861724703E-3</v>
          </cell>
          <cell r="K35">
            <v>7.117200784285055E-3</v>
          </cell>
          <cell r="M35">
            <v>0.18979250236614564</v>
          </cell>
          <cell r="N35">
            <v>2.2345000327738561E-3</v>
          </cell>
          <cell r="O35">
            <v>6.0000000000000001E-3</v>
          </cell>
        </row>
        <row r="36">
          <cell r="I36">
            <v>0.17335832774762458</v>
          </cell>
          <cell r="J36">
            <v>2.3168833842870452E-4</v>
          </cell>
          <cell r="K36">
            <v>2.7617249940701579E-3</v>
          </cell>
          <cell r="M36">
            <v>0.16114880747076882</v>
          </cell>
          <cell r="N36">
            <v>2.1537067141662726E-4</v>
          </cell>
          <cell r="O36">
            <v>3.0000000000000001E-3</v>
          </cell>
        </row>
        <row r="37">
          <cell r="I37">
            <v>0.16682510962281025</v>
          </cell>
          <cell r="J37">
            <v>2.2295688334606124E-4</v>
          </cell>
          <cell r="K37">
            <v>2.6576460494850502E-3</v>
          </cell>
          <cell r="M37">
            <v>0.15507571987561747</v>
          </cell>
          <cell r="N37">
            <v>2.0725416733900952E-4</v>
          </cell>
          <cell r="O37">
            <v>2E-3</v>
          </cell>
        </row>
        <row r="38">
          <cell r="I38">
            <v>0.17681518390195594</v>
          </cell>
          <cell r="J38">
            <v>2.3630832564818234E-4</v>
          </cell>
          <cell r="K38">
            <v>2.8167952417263338E-3</v>
          </cell>
          <cell r="M38">
            <v>0.16436219937472998</v>
          </cell>
          <cell r="N38">
            <v>2.1966527578102136E-4</v>
          </cell>
          <cell r="O38">
            <v>3.0000000000000001E-3</v>
          </cell>
        </row>
        <row r="39">
          <cell r="I39">
            <v>0.21737249740972317</v>
          </cell>
          <cell r="J39">
            <v>2.905119898149613E-4</v>
          </cell>
          <cell r="K39">
            <v>3.4629029185943381E-3</v>
          </cell>
          <cell r="M39">
            <v>0.20206308626554911</v>
          </cell>
          <cell r="N39">
            <v>2.7005140925675858E-4</v>
          </cell>
          <cell r="O39">
            <v>3.0000000000000001E-3</v>
          </cell>
        </row>
        <row r="40">
          <cell r="I40">
            <v>0.24112438481584725</v>
          </cell>
          <cell r="J40">
            <v>3.2225569315571975E-4</v>
          </cell>
          <cell r="K40">
            <v>3.8412878624161789E-3</v>
          </cell>
          <cell r="M40">
            <v>0.22414214286702464</v>
          </cell>
          <cell r="N40">
            <v>2.9955942311759995E-4</v>
          </cell>
          <cell r="O40">
            <v>4.0000000000000001E-3</v>
          </cell>
        </row>
        <row r="41">
          <cell r="I41">
            <v>7.0705704863752286E-2</v>
          </cell>
          <cell r="J41">
            <v>8.3244542258343159E-4</v>
          </cell>
          <cell r="K41">
            <v>2.4055150150774558E-3</v>
          </cell>
          <cell r="M41">
            <v>6.4147229792779911E-2</v>
          </cell>
          <cell r="N41">
            <v>7.5522997635488556E-4</v>
          </cell>
          <cell r="O41">
            <v>2E-3</v>
          </cell>
        </row>
        <row r="42">
          <cell r="I42">
            <v>7.3176603152001668E-2</v>
          </cell>
          <cell r="J42">
            <v>8.6153625724360498E-4</v>
          </cell>
          <cell r="K42">
            <v>2.4895787118409144E-3</v>
          </cell>
          <cell r="M42">
            <v>6.6388934059731911E-2</v>
          </cell>
          <cell r="N42">
            <v>7.8162242176513729E-4</v>
          </cell>
          <cell r="O42">
            <v>2E-3</v>
          </cell>
        </row>
        <row r="43">
          <cell r="I43">
            <v>8.2394954458162986E-2</v>
          </cell>
          <cell r="J43">
            <v>9.7006744809117692E-4</v>
          </cell>
          <cell r="K43">
            <v>2.8032009651507467E-3</v>
          </cell>
          <cell r="M43">
            <v>7.4752215363360477E-2</v>
          </cell>
          <cell r="N43">
            <v>8.800865450264597E-4</v>
          </cell>
          <cell r="O43">
            <v>3.0000000000000001E-3</v>
          </cell>
        </row>
        <row r="44">
          <cell r="I44">
            <v>9.1518271214776223E-2</v>
          </cell>
          <cell r="J44">
            <v>1.0774797606825878E-3</v>
          </cell>
          <cell r="K44">
            <v>3.1135899993542902E-3</v>
          </cell>
          <cell r="M44">
            <v>8.3029277272106239E-2</v>
          </cell>
          <cell r="N44">
            <v>9.7753557423354144E-4</v>
          </cell>
          <cell r="O44">
            <v>3.0000000000000001E-3</v>
          </cell>
        </row>
        <row r="45">
          <cell r="I45">
            <v>0.1094798010793584</v>
          </cell>
          <cell r="J45">
            <v>1.2889477510969265E-3</v>
          </cell>
          <cell r="K45">
            <v>3.7246684104425133E-3</v>
          </cell>
          <cell r="M45">
            <v>9.9324742904949512E-2</v>
          </cell>
          <cell r="N45">
            <v>1.1693883504849843E-3</v>
          </cell>
          <cell r="O45">
            <v>3.0000000000000001E-3</v>
          </cell>
        </row>
        <row r="46">
          <cell r="I46">
            <v>9.0980013240088073E-3</v>
          </cell>
          <cell r="J46">
            <v>3.621417079348542E-4</v>
          </cell>
          <cell r="K46">
            <v>1.2998950094858524E-5</v>
          </cell>
          <cell r="M46">
            <v>8.723514743059475E-3</v>
          </cell>
          <cell r="N46">
            <v>3.4723544388916831E-4</v>
          </cell>
          <cell r="O46">
            <v>1.0000000000000001E-5</v>
          </cell>
        </row>
        <row r="47">
          <cell r="I47">
            <v>9.4159422304929859E-3</v>
          </cell>
          <cell r="J47">
            <v>3.7479719772827652E-4</v>
          </cell>
          <cell r="K47">
            <v>1.3453214479893903E-5</v>
          </cell>
          <cell r="M47">
            <v>9.0283687528975726E-3</v>
          </cell>
          <cell r="N47">
            <v>3.5937001585303695E-4</v>
          </cell>
          <cell r="O47">
            <v>1.0000000000000001E-5</v>
          </cell>
        </row>
        <row r="48">
          <cell r="I48">
            <v>1.0602106381607031E-2</v>
          </cell>
          <cell r="J48">
            <v>4.2201190964989032E-4</v>
          </cell>
          <cell r="K48">
            <v>1.5147970070218189E-5</v>
          </cell>
          <cell r="M48">
            <v>1.0165708712678174E-2</v>
          </cell>
          <cell r="N48">
            <v>4.0464130356439358E-4</v>
          </cell>
          <cell r="O48">
            <v>1.0000000000000001E-5</v>
          </cell>
        </row>
        <row r="49">
          <cell r="I49">
            <v>1.1776042036317838E-2</v>
          </cell>
          <cell r="J49">
            <v>4.6873987196406478E-4</v>
          </cell>
          <cell r="K49">
            <v>1.6825253953425731E-5</v>
          </cell>
          <cell r="M49">
            <v>1.1291323518234237E-2</v>
          </cell>
          <cell r="N49">
            <v>4.4944587696944761E-4</v>
          </cell>
          <cell r="O49">
            <v>2.0000000000000002E-5</v>
          </cell>
        </row>
        <row r="50">
          <cell r="I50">
            <v>1.4087227856529758E-2</v>
          </cell>
          <cell r="J50">
            <v>5.6073554777009657E-4</v>
          </cell>
          <cell r="K50">
            <v>2.0127406598490607E-5</v>
          </cell>
          <cell r="M50">
            <v>1.350737766667273E-2</v>
          </cell>
          <cell r="N50">
            <v>5.3765488086064748E-4</v>
          </cell>
          <cell r="O50">
            <v>2.0000000000000002E-5</v>
          </cell>
        </row>
        <row r="51">
          <cell r="I51">
            <v>9.0724191521256867E-2</v>
          </cell>
          <cell r="J51">
            <v>1.2125023044435535E-4</v>
          </cell>
          <cell r="K51">
            <v>1.4453027468967158E-3</v>
          </cell>
          <cell r="M51">
            <v>8.4334542576368993E-2</v>
          </cell>
          <cell r="N51">
            <v>1.1271065137470157E-4</v>
          </cell>
          <cell r="O51">
            <v>1E-3</v>
          </cell>
        </row>
        <row r="52">
          <cell r="I52">
            <v>8.7305140702603895E-2</v>
          </cell>
          <cell r="J52">
            <v>1.1668076895110521E-4</v>
          </cell>
          <cell r="K52">
            <v>1.3908347658971739E-3</v>
          </cell>
          <cell r="M52">
            <v>8.115629340157314E-2</v>
          </cell>
          <cell r="N52">
            <v>1.0846301424074831E-4</v>
          </cell>
          <cell r="O52">
            <v>1E-3</v>
          </cell>
        </row>
        <row r="53">
          <cell r="I53">
            <v>9.2533279575356953E-2</v>
          </cell>
          <cell r="J53">
            <v>1.2366802375588209E-4</v>
          </cell>
          <cell r="K53">
            <v>1.4741228431701145E-3</v>
          </cell>
          <cell r="M53">
            <v>8.6016217672775341E-2</v>
          </cell>
          <cell r="N53">
            <v>1.149581609920678E-4</v>
          </cell>
          <cell r="O53">
            <v>1E-3</v>
          </cell>
        </row>
        <row r="54">
          <cell r="I54">
            <v>0.11375827364442151</v>
          </cell>
          <cell r="J54">
            <v>1.5203460800316271E-4</v>
          </cell>
          <cell r="K54">
            <v>1.8122525273976992E-3</v>
          </cell>
          <cell r="M54">
            <v>0.10574634847897073</v>
          </cell>
          <cell r="N54">
            <v>1.4132690417770371E-4</v>
          </cell>
          <cell r="O54">
            <v>2E-3</v>
          </cell>
        </row>
        <row r="55">
          <cell r="I55">
            <v>0.12618842805362668</v>
          </cell>
          <cell r="J55">
            <v>1.6864714608482659E-4</v>
          </cell>
          <cell r="K55">
            <v>2.0102739813311326E-3</v>
          </cell>
          <cell r="M55">
            <v>0.11730105476707625</v>
          </cell>
          <cell r="N55">
            <v>1.5676943143154399E-4</v>
          </cell>
          <cell r="O55">
            <v>2E-3</v>
          </cell>
        </row>
        <row r="56">
          <cell r="I56">
            <v>9.9230579763352495E-3</v>
          </cell>
          <cell r="J56">
            <v>3.9498270394878516E-4</v>
          </cell>
          <cell r="K56">
            <v>1.4177766174025328E-5</v>
          </cell>
          <cell r="M56">
            <v>9.5146108985893398E-3</v>
          </cell>
          <cell r="N56">
            <v>3.7872465813540765E-4</v>
          </cell>
          <cell r="O56">
            <v>1.0000000000000001E-5</v>
          </cell>
        </row>
        <row r="57">
          <cell r="I57">
            <v>9.5307678117193834E-3</v>
          </cell>
          <cell r="J57">
            <v>3.7936777654213162E-4</v>
          </cell>
          <cell r="K57">
            <v>1.3617273809720135E-5</v>
          </cell>
          <cell r="M57">
            <v>9.1384679510660236E-3</v>
          </cell>
          <cell r="N57">
            <v>3.6375246318921881E-4</v>
          </cell>
          <cell r="O57">
            <v>1.0000000000000001E-5</v>
          </cell>
        </row>
        <row r="58">
          <cell r="I58">
            <v>1.0442769073472835E-2</v>
          </cell>
          <cell r="J58">
            <v>4.156695622649557E-4</v>
          </cell>
          <cell r="K58">
            <v>1.4920313726486986E-5</v>
          </cell>
          <cell r="M58">
            <v>1.0012929953132393E-2</v>
          </cell>
          <cell r="N58">
            <v>3.9856001615327019E-4</v>
          </cell>
          <cell r="O58">
            <v>1.0000000000000001E-5</v>
          </cell>
        </row>
        <row r="59">
          <cell r="I59">
            <v>1.1819697768477409E-2</v>
          </cell>
          <cell r="J59">
            <v>4.7047756806262365E-4</v>
          </cell>
          <cell r="K59">
            <v>1.6887627947832529E-5</v>
          </cell>
          <cell r="M59">
            <v>1.1333182318815851E-2</v>
          </cell>
          <cell r="N59">
            <v>4.5111204704294797E-4</v>
          </cell>
          <cell r="O59">
            <v>2.0000000000000002E-5</v>
          </cell>
        </row>
        <row r="60">
          <cell r="I60">
            <v>1.3979617088181255E-2</v>
          </cell>
          <cell r="J60">
            <v>5.5645215122463007E-4</v>
          </cell>
          <cell r="K60">
            <v>1.9973655575863232E-5</v>
          </cell>
          <cell r="M60">
            <v>1.3404196309496758E-2</v>
          </cell>
          <cell r="N60">
            <v>5.3354779496518428E-4</v>
          </cell>
          <cell r="O60">
            <v>2.0000000000000002E-5</v>
          </cell>
        </row>
        <row r="61">
          <cell r="I61">
            <v>1.9086716064354105E-2</v>
          </cell>
          <cell r="J61">
            <v>7.5973784881437796E-4</v>
          </cell>
          <cell r="K61">
            <v>2.7270524674528319E-5</v>
          </cell>
          <cell r="M61">
            <v>1.8301079880544344E-2</v>
          </cell>
          <cell r="N61">
            <v>7.2846596620105208E-4</v>
          </cell>
          <cell r="O61">
            <v>3.0000000000000001E-5</v>
          </cell>
        </row>
        <row r="62">
          <cell r="I62">
            <v>1.9753724959076163E-2</v>
          </cell>
          <cell r="J62">
            <v>7.8628782740197743E-4</v>
          </cell>
          <cell r="K62">
            <v>2.8223526880896253E-5</v>
          </cell>
          <cell r="M62">
            <v>1.8940633747337562E-2</v>
          </cell>
          <cell r="N62">
            <v>7.5392311018119629E-4</v>
          </cell>
          <cell r="O62">
            <v>3.0000000000000001E-5</v>
          </cell>
        </row>
        <row r="63">
          <cell r="I63">
            <v>2.2242181220154627E-2</v>
          </cell>
          <cell r="J63">
            <v>8.8533967059417618E-4</v>
          </cell>
          <cell r="K63">
            <v>3.177895818926895E-5</v>
          </cell>
          <cell r="M63">
            <v>2.1326661634989176E-2</v>
          </cell>
          <cell r="N63">
            <v>8.4889783964558086E-4</v>
          </cell>
          <cell r="O63">
            <v>3.0000000000000001E-5</v>
          </cell>
        </row>
        <row r="64">
          <cell r="I64">
            <v>2.4704983292974481E-2</v>
          </cell>
          <cell r="J64">
            <v>9.8337036076377228E-4</v>
          </cell>
          <cell r="K64">
            <v>3.5297735566627408E-5</v>
          </cell>
          <cell r="M64">
            <v>2.3688091296994892E-2</v>
          </cell>
          <cell r="N64">
            <v>9.4289344818765191E-4</v>
          </cell>
          <cell r="O64">
            <v>3.0000000000000001E-5</v>
          </cell>
        </row>
        <row r="65">
          <cell r="I65">
            <v>2.9553624873838655E-2</v>
          </cell>
          <cell r="J65">
            <v>1.1763682820351675E-3</v>
          </cell>
          <cell r="K65">
            <v>4.2225328528301971E-5</v>
          </cell>
          <cell r="M65">
            <v>2.8337155944068666E-2</v>
          </cell>
          <cell r="N65">
            <v>1.127947302504855E-3</v>
          </cell>
          <cell r="O65">
            <v>4.0000000000000003E-5</v>
          </cell>
        </row>
        <row r="66">
          <cell r="E66">
            <v>6.2835041832241076E-2</v>
          </cell>
          <cell r="F66">
            <v>7.3978108346251556E-4</v>
          </cell>
          <cell r="G66">
            <v>2.1377431551207727E-3</v>
          </cell>
          <cell r="I66">
            <v>5.7653055309607862E-2</v>
          </cell>
          <cell r="J66">
            <v>6.7877156564542492E-4</v>
          </cell>
          <cell r="K66">
            <v>1.961444136362052E-3</v>
          </cell>
          <cell r="M66">
            <v>5.4854324122148988E-2</v>
          </cell>
          <cell r="N66">
            <v>6.4582102833685737E-4</v>
          </cell>
          <cell r="O66">
            <v>2E-3</v>
          </cell>
        </row>
        <row r="67">
          <cell r="E67">
            <v>0.12567008366448215</v>
          </cell>
          <cell r="F67">
            <v>1.4795621669250311E-3</v>
          </cell>
          <cell r="G67">
            <v>4.2754863102415453E-3</v>
          </cell>
          <cell r="I67">
            <v>0.11530611061921572</v>
          </cell>
          <cell r="J67">
            <v>1.3575431312908498E-3</v>
          </cell>
          <cell r="K67">
            <v>3.922888272724104E-3</v>
          </cell>
          <cell r="M67">
            <v>0.10970864824429798</v>
          </cell>
          <cell r="N67">
            <v>1.2916420566737147E-3</v>
          </cell>
          <cell r="O67">
            <v>4.0000000000000001E-3</v>
          </cell>
        </row>
        <row r="68">
          <cell r="I68">
            <v>4.4714327566351278E-3</v>
          </cell>
          <cell r="J68">
            <v>1.7798329959905942E-4</v>
          </cell>
          <cell r="K68">
            <v>6.3886483619904387E-6</v>
          </cell>
          <cell r="M68">
            <v>4.4624576989242193E-3</v>
          </cell>
          <cell r="N68">
            <v>1.776260516044185E-4</v>
          </cell>
          <cell r="O68">
            <v>1.0000000000000001E-5</v>
          </cell>
        </row>
        <row r="69">
          <cell r="I69">
            <v>8.9428655132702557E-3</v>
          </cell>
          <cell r="J69">
            <v>3.5596659919811884E-4</v>
          </cell>
          <cell r="K69">
            <v>1.2777296723980877E-5</v>
          </cell>
          <cell r="M69">
            <v>8.9249153978484385E-3</v>
          </cell>
          <cell r="N69">
            <v>3.55252103208837E-4</v>
          </cell>
          <cell r="O69">
            <v>1.0000000000000001E-5</v>
          </cell>
        </row>
        <row r="73">
          <cell r="E73">
            <v>0.25306740115826976</v>
          </cell>
          <cell r="F73">
            <v>2.9794597211813567E-3</v>
          </cell>
          <cell r="G73">
            <v>8.6097357276319463E-3</v>
          </cell>
        </row>
        <row r="74">
          <cell r="E74">
            <v>0.26562533940604049</v>
          </cell>
          <cell r="F74">
            <v>3.5500050289559562E-4</v>
          </cell>
          <cell r="G74">
            <v>4.2316059945154997E-3</v>
          </cell>
        </row>
        <row r="75">
          <cell r="E75">
            <v>0.19257200180765863</v>
          </cell>
          <cell r="F75">
            <v>2.2672241473501733E-3</v>
          </cell>
          <cell r="G75">
            <v>6.5515907482215918E-3</v>
          </cell>
        </row>
        <row r="76">
          <cell r="E76">
            <v>0.23811414353898652</v>
          </cell>
          <cell r="F76">
            <v>3.1823259366712349E-4</v>
          </cell>
          <cell r="G76">
            <v>3.7933325165121112E-3</v>
          </cell>
        </row>
        <row r="77">
          <cell r="E77">
            <v>9.1518271214776223E-2</v>
          </cell>
          <cell r="F77">
            <v>1.0774797606825878E-3</v>
          </cell>
          <cell r="G77">
            <v>3.1135899993542902E-3</v>
          </cell>
        </row>
        <row r="78">
          <cell r="E78">
            <v>1.1776042036317838E-2</v>
          </cell>
          <cell r="F78">
            <v>4.6873987196406478E-4</v>
          </cell>
          <cell r="G78">
            <v>1.6825253953425731E-5</v>
          </cell>
        </row>
        <row r="79">
          <cell r="E79">
            <v>0.11375827364442151</v>
          </cell>
          <cell r="F79">
            <v>1.5203460800316271E-4</v>
          </cell>
          <cell r="G79">
            <v>1.8122525273976992E-3</v>
          </cell>
        </row>
        <row r="80">
          <cell r="E80">
            <v>1.1819697768477409E-2</v>
          </cell>
          <cell r="F80">
            <v>4.7047756806262365E-4</v>
          </cell>
          <cell r="G80">
            <v>1.6887627947832529E-5</v>
          </cell>
        </row>
        <row r="81">
          <cell r="E81">
            <v>2.4704983292974481E-2</v>
          </cell>
          <cell r="F81">
            <v>9.8337036076377228E-4</v>
          </cell>
          <cell r="G81">
            <v>3.5297735566627408E-5</v>
          </cell>
        </row>
        <row r="82">
          <cell r="E82">
            <v>0.20148189842696052</v>
          </cell>
          <cell r="F82">
            <v>2.3721237826868375E-3</v>
          </cell>
          <cell r="G82">
            <v>6.8547189065762681E-3</v>
          </cell>
        </row>
        <row r="83">
          <cell r="E83">
            <v>0.19816735509900874</v>
          </cell>
          <cell r="F83">
            <v>2.6484487841011442E-4</v>
          </cell>
          <cell r="G83">
            <v>3.1569509506485637E-3</v>
          </cell>
        </row>
        <row r="84">
          <cell r="E84">
            <v>0.15744258813661718</v>
          </cell>
          <cell r="F84">
            <v>1.8536320664162616E-3</v>
          </cell>
          <cell r="G84">
            <v>5.3564349652562042E-3</v>
          </cell>
        </row>
        <row r="85">
          <cell r="E85">
            <v>0.17681518390195594</v>
          </cell>
          <cell r="F85">
            <v>2.3630832564818234E-4</v>
          </cell>
          <cell r="G85">
            <v>2.8167952417263338E-3</v>
          </cell>
        </row>
        <row r="86">
          <cell r="E86">
            <v>8.2394954458162986E-2</v>
          </cell>
          <cell r="F86">
            <v>9.7006744809117692E-4</v>
          </cell>
          <cell r="G86">
            <v>2.8032009651507467E-3</v>
          </cell>
        </row>
        <row r="87">
          <cell r="E87">
            <v>1.0584874474475637E-2</v>
          </cell>
          <cell r="F87">
            <v>1.0165708712678174E-2</v>
          </cell>
          <cell r="G87">
            <v>4.0464130356439358E-4</v>
          </cell>
        </row>
        <row r="88">
          <cell r="E88">
            <v>9.2533279575356953E-2</v>
          </cell>
          <cell r="F88">
            <v>1.2366802375588209E-4</v>
          </cell>
          <cell r="G88">
            <v>1.4741228431701145E-3</v>
          </cell>
        </row>
        <row r="89">
          <cell r="E89">
            <v>1.0425796141831561E-2</v>
          </cell>
          <cell r="F89">
            <v>1.0012929953132393E-2</v>
          </cell>
          <cell r="G89">
            <v>3.9856001615327019E-4</v>
          </cell>
        </row>
        <row r="90">
          <cell r="E90">
            <v>2.2242181220154627E-2</v>
          </cell>
          <cell r="F90">
            <v>8.8533967059417618E-4</v>
          </cell>
          <cell r="G90">
            <v>3.177895818926895E-5</v>
          </cell>
        </row>
        <row r="91">
          <cell r="E91">
            <v>0.22088274592285784</v>
          </cell>
          <cell r="F91">
            <v>2.9520333436152367E-4</v>
          </cell>
          <cell r="G91">
            <v>3.5188237455893623E-3</v>
          </cell>
        </row>
        <row r="92">
          <cell r="E92">
            <v>6.9025858100893067E-2</v>
          </cell>
          <cell r="F92">
            <v>9.2251041987976147E-5</v>
          </cell>
          <cell r="G92">
            <v>1.0996324204966756E-3</v>
          </cell>
        </row>
        <row r="96">
          <cell r="E96">
            <v>0.55725069345310885</v>
          </cell>
          <cell r="F96">
            <v>7.4474926547717134E-4</v>
          </cell>
          <cell r="G96">
            <v>8.877411244487883E-3</v>
          </cell>
        </row>
        <row r="97">
          <cell r="E97">
            <v>0.77186004309909706</v>
          </cell>
          <cell r="F97">
            <v>1.0315683890622233E-3</v>
          </cell>
          <cell r="G97">
            <v>1.2296295197621702E-2</v>
          </cell>
        </row>
        <row r="98">
          <cell r="E98">
            <v>1.0697696726800907</v>
          </cell>
          <cell r="F98">
            <v>1.4297159022293665E-3</v>
          </cell>
          <cell r="G98">
            <v>1.7042213554574047E-2</v>
          </cell>
        </row>
        <row r="99">
          <cell r="E99">
            <v>0.39433751716839038</v>
          </cell>
          <cell r="F99">
            <v>5.2702056670650475E-4</v>
          </cell>
          <cell r="G99">
            <v>6.2820851551415365E-3</v>
          </cell>
        </row>
        <row r="100">
          <cell r="E100">
            <v>0.54620546295075556</v>
          </cell>
          <cell r="F100">
            <v>7.2998763772094525E-4</v>
          </cell>
          <cell r="G100">
            <v>8.7014526416336665E-3</v>
          </cell>
        </row>
        <row r="101">
          <cell r="E101">
            <v>0.75702071190371156</v>
          </cell>
          <cell r="F101">
            <v>1.0117360566169237E-3</v>
          </cell>
          <cell r="G101">
            <v>1.2059893794873731E-2</v>
          </cell>
        </row>
        <row r="102">
          <cell r="E102">
            <v>5.3035666166714901E-2</v>
          </cell>
          <cell r="F102">
            <v>2.1110600057171747E-3</v>
          </cell>
          <cell r="G102">
            <v>7.5775761422392624E-5</v>
          </cell>
        </row>
        <row r="103">
          <cell r="E103">
            <v>7.3460853533553416E-2</v>
          </cell>
          <cell r="F103">
            <v>2.9240750817203826E-3</v>
          </cell>
          <cell r="G103">
            <v>1.0495865355486815E-4</v>
          </cell>
        </row>
        <row r="104">
          <cell r="E104">
            <v>0.10181404510053139</v>
          </cell>
          <cell r="F104">
            <v>4.052660674731182E-3</v>
          </cell>
          <cell r="G104">
            <v>1.4546883915316096E-4</v>
          </cell>
        </row>
        <row r="109">
          <cell r="E109">
            <v>0.3</v>
          </cell>
          <cell r="F109">
            <v>1E-3</v>
          </cell>
          <cell r="G109">
            <v>4.0000000000000001E-3</v>
          </cell>
          <cell r="I109">
            <v>0.158</v>
          </cell>
          <cell r="J109">
            <v>1E-3</v>
          </cell>
          <cell r="K109">
            <v>4.0000000000000001E-3</v>
          </cell>
        </row>
        <row r="110">
          <cell r="E110">
            <v>0.16527500000000001</v>
          </cell>
          <cell r="F110">
            <v>7.3749999999999998E-4</v>
          </cell>
          <cell r="G110">
            <v>2.4250000000000001E-3</v>
          </cell>
          <cell r="I110">
            <v>8.7224999999999997E-2</v>
          </cell>
          <cell r="J110">
            <v>7.5000000000000002E-4</v>
          </cell>
          <cell r="K110">
            <v>2.4499999999999999E-3</v>
          </cell>
        </row>
        <row r="111">
          <cell r="E111">
            <v>0.21992801528878822</v>
          </cell>
          <cell r="F111">
            <v>9.3937004530011319E-4</v>
          </cell>
          <cell r="G111">
            <v>3.0151896942242355E-3</v>
          </cell>
          <cell r="I111">
            <v>0.1157999929218573</v>
          </cell>
          <cell r="J111">
            <v>9.515147225368063E-4</v>
          </cell>
          <cell r="K111">
            <v>3.2724377123442808E-3</v>
          </cell>
        </row>
        <row r="112">
          <cell r="E112">
            <v>0.64701963800904971</v>
          </cell>
          <cell r="F112">
            <v>5.4799095022624433E-3</v>
          </cell>
          <cell r="G112">
            <v>1.7179095022624435E-2</v>
          </cell>
          <cell r="I112">
            <v>0.34053665158371044</v>
          </cell>
          <cell r="J112">
            <v>2.8841628959276021E-3</v>
          </cell>
          <cell r="K112">
            <v>9.0416289592760192E-3</v>
          </cell>
        </row>
        <row r="116">
          <cell r="E116">
            <v>0.3</v>
          </cell>
          <cell r="F116">
            <v>1E-3</v>
          </cell>
          <cell r="G116">
            <v>4.0000000000000001E-3</v>
          </cell>
          <cell r="I116">
            <v>0.158</v>
          </cell>
          <cell r="J116">
            <v>1E-3</v>
          </cell>
          <cell r="K116">
            <v>4.0000000000000001E-3</v>
          </cell>
        </row>
        <row r="117">
          <cell r="E117">
            <v>0.16527500000000001</v>
          </cell>
          <cell r="F117">
            <v>7.3749999999999998E-4</v>
          </cell>
          <cell r="G117">
            <v>2.4250000000000001E-3</v>
          </cell>
          <cell r="I117">
            <v>8.6750000000000008E-2</v>
          </cell>
          <cell r="J117">
            <v>7.3925E-4</v>
          </cell>
          <cell r="K117">
            <v>2.4250000000000001E-3</v>
          </cell>
        </row>
        <row r="118">
          <cell r="E118">
            <v>0.21992801528878822</v>
          </cell>
          <cell r="F118">
            <v>9.3937004530011319E-4</v>
          </cell>
          <cell r="G118">
            <v>2.7319365798414495E-3</v>
          </cell>
          <cell r="I118">
            <v>0.11575000000000001</v>
          </cell>
          <cell r="J118">
            <v>9.3924263873159677E-4</v>
          </cell>
          <cell r="K118">
            <v>3.2466874292185728E-3</v>
          </cell>
        </row>
        <row r="119">
          <cell r="E119">
            <v>0.64701963800904971</v>
          </cell>
          <cell r="F119">
            <v>5.4799095022624433E-3</v>
          </cell>
          <cell r="G119">
            <v>1.7179095022624435E-2</v>
          </cell>
          <cell r="I119">
            <v>0.34053665158371044</v>
          </cell>
          <cell r="J119">
            <v>2.8841628959276021E-3</v>
          </cell>
          <cell r="K119">
            <v>9.0416289592760192E-3</v>
          </cell>
        </row>
        <row r="124">
          <cell r="E124">
            <v>0.15276000000000001</v>
          </cell>
          <cell r="F124">
            <v>1.0000000000000001E-5</v>
          </cell>
          <cell r="G124">
            <v>7.6000000000000004E-4</v>
          </cell>
          <cell r="I124">
            <v>8.0399999999999999E-2</v>
          </cell>
          <cell r="J124">
            <v>1.0000000000000001E-5</v>
          </cell>
          <cell r="K124">
            <v>7.6000000000000004E-4</v>
          </cell>
        </row>
        <row r="125">
          <cell r="E125">
            <v>0.15026</v>
          </cell>
          <cell r="F125">
            <v>1.0000000000000001E-5</v>
          </cell>
          <cell r="G125">
            <v>7.5000000000000002E-4</v>
          </cell>
          <cell r="I125">
            <v>7.9079999999999998E-2</v>
          </cell>
          <cell r="J125">
            <v>1.0000000000000001E-5</v>
          </cell>
          <cell r="K125">
            <v>7.5000000000000002E-4</v>
          </cell>
        </row>
        <row r="126">
          <cell r="E126">
            <v>0.22539000000000001</v>
          </cell>
          <cell r="F126">
            <v>1.0000000000000001E-5</v>
          </cell>
          <cell r="G126">
            <v>1.1199999999999999E-3</v>
          </cell>
          <cell r="I126">
            <v>0.11863</v>
          </cell>
          <cell r="J126">
            <v>1.0000000000000001E-5</v>
          </cell>
          <cell r="K126">
            <v>1.1199999999999999E-3</v>
          </cell>
        </row>
        <row r="127">
          <cell r="E127">
            <v>0.19212000000000001</v>
          </cell>
          <cell r="F127">
            <v>1.0000000000000001E-5</v>
          </cell>
          <cell r="G127">
            <v>9.6000000000000002E-4</v>
          </cell>
          <cell r="I127">
            <v>0.10111000000000001</v>
          </cell>
          <cell r="J127">
            <v>1.0000000000000001E-5</v>
          </cell>
          <cell r="K127">
            <v>9.6000000000000002E-4</v>
          </cell>
        </row>
        <row r="128">
          <cell r="E128">
            <v>0.14713000000000001</v>
          </cell>
          <cell r="F128">
            <v>1.0000000000000001E-5</v>
          </cell>
          <cell r="G128">
            <v>7.2999999999999996E-4</v>
          </cell>
          <cell r="I128">
            <v>7.7439999999999995E-2</v>
          </cell>
          <cell r="J128">
            <v>1.0000000000000001E-5</v>
          </cell>
          <cell r="K128">
            <v>7.2999999999999996E-4</v>
          </cell>
        </row>
        <row r="129">
          <cell r="E129">
            <v>0.23541000000000001</v>
          </cell>
          <cell r="F129">
            <v>1.0000000000000001E-5</v>
          </cell>
          <cell r="G129">
            <v>1.17E-3</v>
          </cell>
          <cell r="I129">
            <v>0.1239</v>
          </cell>
          <cell r="J129">
            <v>1.0000000000000001E-5</v>
          </cell>
          <cell r="K129">
            <v>1.17E-3</v>
          </cell>
        </row>
        <row r="130">
          <cell r="E130">
            <v>0.42668</v>
          </cell>
          <cell r="F130">
            <v>2.0000000000000002E-5</v>
          </cell>
          <cell r="G130">
            <v>2.1199999999999999E-3</v>
          </cell>
          <cell r="I130">
            <v>0.22456999999999999</v>
          </cell>
          <cell r="J130">
            <v>2.0000000000000002E-5</v>
          </cell>
          <cell r="K130">
            <v>2.1199999999999999E-3</v>
          </cell>
        </row>
        <row r="131">
          <cell r="E131">
            <v>0.58852000000000004</v>
          </cell>
          <cell r="F131">
            <v>2.0000000000000002E-5</v>
          </cell>
          <cell r="G131">
            <v>2.9299999999999999E-3</v>
          </cell>
          <cell r="I131">
            <v>0.30975000000000003</v>
          </cell>
          <cell r="J131">
            <v>2.0000000000000002E-5</v>
          </cell>
          <cell r="K131">
            <v>2.9299999999999999E-3</v>
          </cell>
        </row>
        <row r="145">
          <cell r="D145">
            <v>49.980050661788859</v>
          </cell>
        </row>
        <row r="146">
          <cell r="D146">
            <v>38.885240017592608</v>
          </cell>
        </row>
        <row r="147">
          <cell r="D147">
            <v>11.911349978799844</v>
          </cell>
        </row>
        <row r="148">
          <cell r="D148">
            <v>11.633557487642749</v>
          </cell>
        </row>
        <row r="149">
          <cell r="D149">
            <v>14.861407662646078</v>
          </cell>
        </row>
        <row r="150">
          <cell r="D150">
            <v>17.081716410876794</v>
          </cell>
        </row>
        <row r="151">
          <cell r="D151">
            <v>61.1</v>
          </cell>
        </row>
        <row r="152">
          <cell r="D152">
            <v>30.752964891373836</v>
          </cell>
        </row>
        <row r="153">
          <cell r="D153">
            <v>60.662485323895908</v>
          </cell>
        </row>
        <row r="154">
          <cell r="D154">
            <v>11.004321194863639</v>
          </cell>
        </row>
        <row r="155">
          <cell r="D155">
            <v>6.972258326300441</v>
          </cell>
        </row>
        <row r="156">
          <cell r="D156">
            <v>31.82365257545753</v>
          </cell>
        </row>
        <row r="157">
          <cell r="D157">
            <v>54.014559721547677</v>
          </cell>
        </row>
        <row r="159">
          <cell r="D159">
            <v>11.116304688562227</v>
          </cell>
        </row>
        <row r="160">
          <cell r="D160">
            <v>7.4892823564916107</v>
          </cell>
        </row>
        <row r="161">
          <cell r="D161">
            <v>73</v>
          </cell>
        </row>
        <row r="162">
          <cell r="D162">
            <v>18.18525064038116</v>
          </cell>
        </row>
        <row r="164">
          <cell r="D164">
            <v>66.150903951654072</v>
          </cell>
        </row>
        <row r="166">
          <cell r="D166">
            <v>66.022076075161323</v>
          </cell>
        </row>
        <row r="167">
          <cell r="D167">
            <v>88.245834055355076</v>
          </cell>
        </row>
        <row r="168">
          <cell r="D168">
            <v>23.900854902682038</v>
          </cell>
        </row>
        <row r="170">
          <cell r="D170">
            <v>23.943797467300648</v>
          </cell>
        </row>
        <row r="171">
          <cell r="D171">
            <v>54.652006702287672</v>
          </cell>
        </row>
        <row r="172">
          <cell r="D172">
            <v>64.546048879735139</v>
          </cell>
        </row>
        <row r="175">
          <cell r="D175">
            <v>80.313827506534892</v>
          </cell>
        </row>
        <row r="176">
          <cell r="D176">
            <v>176.52630002536574</v>
          </cell>
        </row>
        <row r="177">
          <cell r="D177">
            <v>27.013777081914462</v>
          </cell>
        </row>
        <row r="179">
          <cell r="D179">
            <v>21.230581603197567</v>
          </cell>
        </row>
        <row r="180">
          <cell r="D180">
            <v>9.358490203186772</v>
          </cell>
        </row>
        <row r="181">
          <cell r="D181">
            <v>117.31253704555476</v>
          </cell>
        </row>
        <row r="182">
          <cell r="D182">
            <v>23.733281916782381</v>
          </cell>
        </row>
        <row r="184">
          <cell r="D184">
            <v>62.853682505984374</v>
          </cell>
        </row>
        <row r="185">
          <cell r="D185">
            <v>35.844410439633521</v>
          </cell>
        </row>
        <row r="186">
          <cell r="D186">
            <v>27.238587135254129</v>
          </cell>
        </row>
        <row r="187">
          <cell r="D187">
            <v>104.8566886827771</v>
          </cell>
        </row>
        <row r="188">
          <cell r="D188">
            <v>25.531349236641667</v>
          </cell>
        </row>
        <row r="189">
          <cell r="D189">
            <v>30.930963944615726</v>
          </cell>
        </row>
        <row r="190">
          <cell r="D190">
            <v>112.45230476306301</v>
          </cell>
        </row>
        <row r="191">
          <cell r="D191">
            <v>28.507951473562013</v>
          </cell>
        </row>
        <row r="192">
          <cell r="D192">
            <v>56.601248264256355</v>
          </cell>
        </row>
        <row r="193">
          <cell r="D193">
            <v>56.450339614003362</v>
          </cell>
        </row>
        <row r="194">
          <cell r="D194">
            <v>16.326654105610899</v>
          </cell>
        </row>
        <row r="195">
          <cell r="D195">
            <v>7.4400787875338734</v>
          </cell>
        </row>
        <row r="196">
          <cell r="D196">
            <v>86.8</v>
          </cell>
        </row>
        <row r="197">
          <cell r="D197">
            <v>55.858769591981314</v>
          </cell>
        </row>
        <row r="198">
          <cell r="D198">
            <v>37.950626669706558</v>
          </cell>
        </row>
        <row r="199">
          <cell r="D199">
            <v>95.929038854263425</v>
          </cell>
        </row>
        <row r="200">
          <cell r="D200">
            <v>13.441188685418778</v>
          </cell>
        </row>
        <row r="201">
          <cell r="D201">
            <v>19.814584807450601</v>
          </cell>
        </row>
        <row r="202">
          <cell r="D202">
            <v>49.228647502928133</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GWP here"/>
      <sheetName val="Water supply &amp; wastewater 2022"/>
      <sheetName val="Solid waste 2022"/>
    </sheetNames>
    <sheetDataSet>
      <sheetData sheetId="0">
        <row r="12">
          <cell r="C12">
            <v>25</v>
          </cell>
        </row>
        <row r="13">
          <cell r="C13">
            <v>298</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Sophia White" id="{867482D6-BDC2-4CB8-8534-014AC2487217}" userId="Sophia White" providerId="None"/>
  <person displayName="Martin Barry" id="{2DA8AD96-FA62-41D8-80CC-2789F61CAFC9}" userId="S::BarryM@landcareresearch.co.nz::c0198857-85c1-45bc-8186-43474fa548ce" providerId="AD"/>
  <person displayName="Charissa Billings" id="{D8432C21-960D-412A-BFFF-2B8EA03BAFA0}" userId="S::Charissa.Billings@mfe.govt.nz::e2ea9508-50b4-4581-af3e-9940646fb8f6" providerId="AD"/>
  <person displayName="Martin  Fryer  - thinkstep-anz" id="{5CB53013-A8B7-48DD-89C8-489DF66273E8}" userId="S::martin.fryer@thinkstep-anz.com::0f41de1e-64f4-4a9e-b830-459755bd45b7" providerId="AD"/>
  <person displayName="Belinda Mathers" id="{AA7C0B75-38EC-4360-9CCB-6D8F79F3A580}" userId="S::MathersB@landcareresearch.co.nz::fc9edef8-4ab9-49ed-b102-9f8fa98e6ca3" providerId="AD"/>
  <person displayName="Kate Ellingham" id="{17755173-3119-490A-80D8-FE03AAC6EE1C}" userId="S::EllinghamK@landcareresearch.co.nz::e5e2f218-2ce3-42b6-b077-1dd2808c24ce" providerId="AD"/>
</personList>
</file>

<file path=xl/theme/theme1.xml><?xml version="1.0" encoding="utf-8"?>
<a:theme xmlns:a="http://schemas.openxmlformats.org/drawingml/2006/main" name="Office Theme">
  <a:themeElements>
    <a:clrScheme name="MfE">
      <a:dk1>
        <a:sysClr val="windowText" lastClr="000000"/>
      </a:dk1>
      <a:lt1>
        <a:sysClr val="window" lastClr="FFFFFF"/>
      </a:lt1>
      <a:dk2>
        <a:srgbClr val="1F497D"/>
      </a:dk2>
      <a:lt2>
        <a:srgbClr val="EEECE1"/>
      </a:lt2>
      <a:accent1>
        <a:srgbClr val="1C556C"/>
      </a:accent1>
      <a:accent2>
        <a:srgbClr val="0F7B7D"/>
      </a:accent2>
      <a:accent3>
        <a:srgbClr val="D2DDE2"/>
      </a:accent3>
      <a:accent4>
        <a:srgbClr val="2C9986"/>
      </a:accent4>
      <a:accent5>
        <a:srgbClr val="6FC7B7"/>
      </a:accent5>
      <a:accent6>
        <a:srgbClr val="DA6C28"/>
      </a:accent6>
      <a:hlink>
        <a:srgbClr val="32809C"/>
      </a:hlink>
      <a:folHlink>
        <a:srgbClr val="800080"/>
      </a:folHlink>
    </a:clrScheme>
    <a:fontScheme name="MfE">
      <a:majorFont>
        <a:latin typeface="Cambria"/>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V269" dT="2020-09-06T23:21:39.39" personId="{17755173-3119-490A-80D8-FE03AAC6EE1C}" id="{19501CE1-A37A-4AB3-A50B-D1AF1469EFA0}">
    <text>updated from 2019 values. Email from Ben 4/9/20</text>
  </threadedComment>
</ThreadedComments>
</file>

<file path=xl/threadedComments/threadedComment2.xml><?xml version="1.0" encoding="utf-8"?>
<ThreadedComments xmlns="http://schemas.microsoft.com/office/spreadsheetml/2018/threadedcomments" xmlns:x="http://schemas.openxmlformats.org/spreadsheetml/2006/main">
  <threadedComment ref="I134" dT="2020-08-05T01:40:23.61" personId="{867482D6-BDC2-4CB8-8534-014AC2487217}" id="{A0396725-C2E7-4789-8A22-42E9DD6E069F}">
    <text>Note "New methodology" is used from 2014 onwards</text>
  </threadedComment>
</ThreadedComments>
</file>

<file path=xl/threadedComments/threadedComment3.xml><?xml version="1.0" encoding="utf-8"?>
<ThreadedComments xmlns="http://schemas.microsoft.com/office/spreadsheetml/2018/threadedcomments" xmlns:x="http://schemas.openxmlformats.org/spreadsheetml/2006/main">
  <threadedComment ref="A89" dT="2022-08-08T23:30:44.41" personId="{D8432C21-960D-412A-BFFF-2B8EA03BAFA0}" id="{2DA1896E-CAAD-4B8A-BADA-6B44FDE53AF1}">
    <text>Taken from column B in 'Annual elec_gen_EF' tab in the 'elec_gen_EF_CB edit' spreadsheet</text>
  </threadedComment>
  <threadedComment ref="M101" dT="2022-03-03T02:00:24.02" personId="{5CB53013-A8B7-48DD-89C8-489DF66273E8}" id="{18124320-B55E-4071-A33F-501661165E87}">
    <text>8% are lost through transmission. The emissions associated with electrons travelling through the grid is a function of national generation therefore T&amp;D losses total 8% of the total generated emissions. There is no need to calculate a consumption emissions factor unless the consumer had a direct connection to a network and low emissions generation source that is not connected to the wider grid and wanted to claim lower Scope 2 and Scope 3 from T&amp;D losses?</text>
  </threadedComment>
  <threadedComment ref="D166" dT="2022-03-03T20:12:33.73" personId="{5CB53013-A8B7-48DD-89C8-489DF66273E8}" id="{E0993F21-FBFC-4298-B3CB-C042E04B595C}">
    <text>This figure is higher than CO2e??</text>
  </threadedComment>
</ThreadedComments>
</file>

<file path=xl/threadedComments/threadedComment4.xml><?xml version="1.0" encoding="utf-8"?>
<ThreadedComments xmlns="http://schemas.microsoft.com/office/spreadsheetml/2018/threadedcomments" xmlns:x="http://schemas.openxmlformats.org/spreadsheetml/2006/main">
  <threadedComment ref="A98" dT="2020-10-07T09:10:09.34" personId="{17755173-3119-490A-80D8-FE03AAC6EE1C}" id="{A2787475-16BE-4952-8DD1-2803B8117EA8}">
    <text>what size heat pump does this now correlate to?</text>
  </threadedComment>
</ThreadedComments>
</file>

<file path=xl/threadedComments/threadedComment5.xml><?xml version="1.0" encoding="utf-8"?>
<ThreadedComments xmlns="http://schemas.microsoft.com/office/spreadsheetml/2018/threadedcomments" xmlns:x="http://schemas.openxmlformats.org/spreadsheetml/2006/main">
  <threadedComment ref="D378" dT="2022-03-31T04:04:44.71" personId="{2DA8AD96-FA62-41D8-80CC-2789F61CAFC9}" id="{12A5ECA4-E624-4A14-99EF-B46BA3681F2E}">
    <text>Shouldn't this row 'Large aircraft' just be the same as the AirBus figures? i.e. is there a need to apply the % share of flights here?</text>
  </threadedComment>
  <threadedComment ref="C383" dT="2022-03-31T04:11:09.79" personId="{2DA8AD96-FA62-41D8-80CC-2789F61CAFC9}" id="{E79DAEE9-BE13-4354-B79A-C04925E0DD68}">
    <text>I suggest this is a better way of allocating the flights to estimate the national average of medium aircraft. i.e. only look at the relative contribution that each medium aircraft type makes to the total of all medium aircraft flights. Rather than taking the national average of all flights. Note the figures don't add up t 100% anyway, in B392.</text>
  </threadedComment>
  <threadedComment ref="C387" dT="2022-03-31T04:11:09.79" personId="{2DA8AD96-FA62-41D8-80CC-2789F61CAFC9}" id="{59EDA889-EFFA-4E6E-8ED4-BEF362727987}">
    <text>I suggest this is a better way of allocating the flights to estimate the national average of small aircraft. i.e. only look at the relative contribution that each small aircraft type makes to the total of all small aircraft flights. Rather than taking the national average of all flights. Note the figures don't add up t 100% anyway, in B392.</text>
  </threadedComment>
  <threadedComment ref="AS432" dT="2020-10-05T01:34:36.22" personId="{17755173-3119-490A-80D8-FE03AAC6EE1C}" id="{28E8C28E-810C-41F1-AC61-9D52A26BFC10}">
    <text>I think this is wrong detailed guide says based on 2010-2015 fleet?</text>
  </threadedComment>
  <threadedComment ref="F589" dT="2020-08-06T01:12:14.69" personId="{867482D6-BDC2-4CB8-8534-014AC2487217}" id="{93CED6FE-0DD6-40F4-ADDE-5AE93EBC93B2}">
    <text>expressed in kgCO2e</text>
  </threadedComment>
  <threadedComment ref="G589" dT="2020-08-06T01:12:25.06" personId="{867482D6-BDC2-4CB8-8534-014AC2487217}" id="{083B4043-A730-415F-98E4-D7A2AC07512A}">
    <text>expressed in kgCO2e</text>
  </threadedComment>
  <threadedComment ref="I593" dT="2020-09-04T02:07:42.90" personId="{AA7C0B75-38EC-4360-9CCB-6D8F79F3A580}" id="{245AC5D6-6295-44C7-9426-EA957C666633}">
    <text>does this mean 97% diesel 3% electric?</text>
  </threadedComment>
  <threadedComment ref="F595" dT="2020-08-06T01:12:14.69" personId="{867482D6-BDC2-4CB8-8534-014AC2487217}" id="{1ACC2A1B-2604-49AC-8B08-8EB759A315A8}">
    <text>expressed in kgCO2e</text>
  </threadedComment>
  <threadedComment ref="G595" dT="2020-08-06T01:12:25.06" personId="{867482D6-BDC2-4CB8-8534-014AC2487217}" id="{66CE6180-C492-45CD-94D0-6A27C5900681}">
    <text>expressed in kgCO2e</text>
  </threadedComment>
  <threadedComment ref="G610" dT="2020-08-05T23:41:29.62" personId="{867482D6-BDC2-4CB8-8534-014AC2487217}" id="{FCF0AD65-B70B-44C8-AF29-A021472E141D}">
    <text>I have assumed this is TJ which is what Ben assumed in his workings out</text>
  </threadedComment>
  <threadedComment ref="E650" dT="2020-08-06T01:19:51.32" personId="{867482D6-BDC2-4CB8-8534-014AC2487217}" id="{0311E3C5-EDB7-4149-986C-8C241F64BFE9}">
    <text>This is the only diesel line.</text>
  </threadedComment>
</ThreadedComments>
</file>

<file path=xl/threadedComments/threadedComment6.xml><?xml version="1.0" encoding="utf-8"?>
<ThreadedComments xmlns="http://schemas.microsoft.com/office/spreadsheetml/2018/threadedcomments" xmlns:x="http://schemas.openxmlformats.org/spreadsheetml/2006/main">
  <threadedComment ref="G210" dT="2022-02-07T21:42:20.93" personId="{D8432C21-960D-412A-BFFF-2B8EA03BAFA0}" id="{596C4427-39EB-4DB3-ADFF-5C29358BC322}">
    <text>AirNZ think this is over-estimation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H107" dT="2020-10-05T22:04:49.25" personId="{17755173-3119-490A-80D8-FE03AAC6EE1C}" id="{F6278904-1E68-44F7-9176-0FE416046AD5}">
    <text>Joel had this as 202.59. incorrect GWP for N2O being applied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ipcc.ch/site/assets/uploads/2018/02/WG1AR5_Chapter08_FINAL.pdf" TargetMode="External"/><Relationship Id="rId3" Type="http://schemas.openxmlformats.org/officeDocument/2006/relationships/hyperlink" Target="https://www.ipcc.ch/site/assets/uploads/2018/02/WG1AR5_Chapter08_FINAL.pdf" TargetMode="External"/><Relationship Id="rId7" Type="http://schemas.openxmlformats.org/officeDocument/2006/relationships/hyperlink" Target="https://www.ghgprotocol.org/sites/default/files/ghgp/Global-Warming-Potential-Values%20%28Feb%2016%202016%29_1.pdf" TargetMode="External"/><Relationship Id="rId2" Type="http://schemas.openxmlformats.org/officeDocument/2006/relationships/hyperlink" Target="https://www.ipcc.ch/site/assets/uploads/2018/02/WG1AR5_Chapter08_FINAL.pdf" TargetMode="External"/><Relationship Id="rId1" Type="http://schemas.openxmlformats.org/officeDocument/2006/relationships/hyperlink" Target="https://www.ipcc.ch/publications_and_data/ar4/wg1/en/ch2s2-10-2.html" TargetMode="External"/><Relationship Id="rId6" Type="http://schemas.openxmlformats.org/officeDocument/2006/relationships/hyperlink" Target="https://www.ipcc.ch/site/assets/uploads/2018/02/ar4-wg1-chapter2-1.pdf" TargetMode="External"/><Relationship Id="rId11" Type="http://schemas.openxmlformats.org/officeDocument/2006/relationships/comments" Target="../comments5.xml"/><Relationship Id="rId5" Type="http://schemas.openxmlformats.org/officeDocument/2006/relationships/hyperlink" Target="https://www.ipcc.ch/site/assets/uploads/2018/07/WGI_AR5.Chap_.8_SM.pdf" TargetMode="External"/><Relationship Id="rId10" Type="http://schemas.openxmlformats.org/officeDocument/2006/relationships/vmlDrawing" Target="../drawings/vmlDrawing5.vml"/><Relationship Id="rId4" Type="http://schemas.openxmlformats.org/officeDocument/2006/relationships/hyperlink" Target="https://www.ipcc.ch/site/assets/uploads/2018/02/WG1AR5_Chapter08_FINAL.pdf" TargetMode="Externa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bin"/><Relationship Id="rId1" Type="http://schemas.openxmlformats.org/officeDocument/2006/relationships/hyperlink" Target="https://tools.eeca.govt.nz/energy-end-use-database/" TargetMode="External"/><Relationship Id="rId6" Type="http://schemas.microsoft.com/office/2017/10/relationships/threadedComment" Target="../threadedComments/threadedComment5.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http://https/www.gov.uk/government/publications/greenhouse-gas-reporting-conversion-factors-2021" TargetMode="External"/><Relationship Id="rId7" Type="http://schemas.openxmlformats.org/officeDocument/2006/relationships/drawing" Target="../drawings/drawing5.xml"/><Relationship Id="rId2" Type="http://schemas.openxmlformats.org/officeDocument/2006/relationships/hyperlink" Target="http://https/www.gov.uk/government/publications/greenhouse-gas-reporting-conversion-factors-2021" TargetMode="External"/><Relationship Id="rId1" Type="http://schemas.openxmlformats.org/officeDocument/2006/relationships/hyperlink" Target="https://www.transport.govt.nz/assets/Import/Uploads/Research/Documents/TKC2019/Wang-H_Real-world-fuel-economy-of-heavy-trucks_TKC2019-web.pdf" TargetMode="External"/><Relationship Id="rId6" Type="http://schemas.openxmlformats.org/officeDocument/2006/relationships/printerSettings" Target="../printerSettings/printerSettings15.bin"/><Relationship Id="rId5" Type="http://schemas.openxmlformats.org/officeDocument/2006/relationships/hyperlink" Target="https://www.knowledgehub.transport.govt.nz/assets/TKH-Uploads/TKC-2019/Real-world-fuel-economy-of-heavy-trucks.pdf" TargetMode="External"/><Relationship Id="rId10" Type="http://schemas.microsoft.com/office/2017/10/relationships/threadedComment" Target="../threadedComments/threadedComment6.xml"/><Relationship Id="rId4" Type="http://schemas.openxmlformats.org/officeDocument/2006/relationships/hyperlink" Target="file:///C:\:x:\r\sites\ECM-Pol-CAP\_layouts\15\Doc.aspx%3fsourcedoc=%7b38A4E2DC-7F98-4B09-AC5B-FF5281B8C499%7d&amp;file=Fuel%20economy%20factors%20of%20heavy%20trucks%20(VFEM3%20fuel%20factors%202020%20update%20for%20MfE).xlsx&amp;action=default&amp;mobileredirect=true" TargetMode="External"/><Relationship Id="rId9"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hyperlink" Target="https://www.ipcc-nggip.iges.or.jp/public/2006gl/pdf/5_Volume5/V5_4_Ch4_Bio_Treat.pdf" TargetMode="External"/><Relationship Id="rId7" Type="http://schemas.openxmlformats.org/officeDocument/2006/relationships/vmlDrawing" Target="../drawings/vmlDrawing9.vml"/><Relationship Id="rId2" Type="http://schemas.openxmlformats.org/officeDocument/2006/relationships/hyperlink" Target="https://www.ipcc-nggip.iges.or.jp/public/2006gl/pdf/5_Volume5/V5_3_Ch3_SWDS.pdf" TargetMode="External"/><Relationship Id="rId1" Type="http://schemas.openxmlformats.org/officeDocument/2006/relationships/hyperlink" Target="https://www.ipcc-nggip.iges.or.jp/public/2006gl/pdf/5_Volume5/V5_3_Ch3_SWDS.pdf" TargetMode="External"/><Relationship Id="rId6" Type="http://schemas.openxmlformats.org/officeDocument/2006/relationships/drawing" Target="../drawings/drawing6.xml"/><Relationship Id="rId5" Type="http://schemas.openxmlformats.org/officeDocument/2006/relationships/printerSettings" Target="../printerSettings/printerSettings19.bin"/><Relationship Id="rId4" Type="http://schemas.openxmlformats.org/officeDocument/2006/relationships/hyperlink" Target="https://www.ipcc-nggip.iges.or.jp/public/2006gl/pdf/5_Volume5/V5_4_Ch4_Bio_Treat.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21.bin"/><Relationship Id="rId5" Type="http://schemas.microsoft.com/office/2017/10/relationships/threadedComment" Target="../threadedComments/threadedComment7.xml"/><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mbie.govt.nz/dmsdocument/16820-energy-in-new-zealand-2021"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hyperlink" Target="http://www.mbie.govt.nz/info-services/sectors-industries/energy/energy-data-modelling/statistics/electricity%20.%20%20(Observed%20consumption)" TargetMode="External"/><Relationship Id="rId7" Type="http://schemas.openxmlformats.org/officeDocument/2006/relationships/comments" Target="../comments2.xml"/><Relationship Id="rId2" Type="http://schemas.openxmlformats.org/officeDocument/2006/relationships/hyperlink" Target="http://www.mbie.govt.nz/info-services/sectors-industries/energy/energy-data-modelling/statistics/greenhouse-gas-emissions" TargetMode="External"/><Relationship Id="rId1" Type="http://schemas.openxmlformats.org/officeDocument/2006/relationships/hyperlink" Target="http://www.mbie.govt.nz/info-services/sectors-industries/energy/energy-data-modelling/statistics/greenhouse-gas-emissions" TargetMode="External"/><Relationship Id="rId6" Type="http://schemas.openxmlformats.org/officeDocument/2006/relationships/vmlDrawing" Target="../drawings/vmlDrawing2.vml"/><Relationship Id="rId5" Type="http://schemas.openxmlformats.org/officeDocument/2006/relationships/printerSettings" Target="../printerSettings/printerSettings5.bin"/><Relationship Id="rId4" Type="http://schemas.openxmlformats.org/officeDocument/2006/relationships/hyperlink" Target="http://www.mbie.govt.nz/info-services/sectors-industries/energy/energy-data-modelling/statistics/greenhouse-gas-emission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mbie.govt.nz/assets/Data-Files/Energy/7042baaf2c/emission-factors-electricity.csv" TargetMode="External"/><Relationship Id="rId1" Type="http://schemas.openxmlformats.org/officeDocument/2006/relationships/hyperlink" Target="https://www.mbie.govt.nz/building-and-energy/energy-and-natural-resources/energy-statistics-and-modelling/energy-statistics/electricity-statistics/"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microsoft.com/office/2017/10/relationships/threadedComment" Target="../threadedComments/threadedComment4.xml"/><Relationship Id="rId3" Type="http://schemas.openxmlformats.org/officeDocument/2006/relationships/hyperlink" Target="https://www.buildmagazine.org.nz/assets/PDF/Build-152-76-Research-The-Low-down-On-Heat-Pumps.pdf" TargetMode="External"/><Relationship Id="rId7" Type="http://schemas.openxmlformats.org/officeDocument/2006/relationships/comments" Target="../comments4.xml"/><Relationship Id="rId2" Type="http://schemas.openxmlformats.org/officeDocument/2006/relationships/hyperlink" Target="https://www.energynetworks.com.au/resources/fact-sheets/electricity-costs-working-from-home/" TargetMode="External"/><Relationship Id="rId1" Type="http://schemas.openxmlformats.org/officeDocument/2006/relationships/hyperlink" Target="https://www.stuff.co.nz/life-style/homed/houses/121037162/how-to-avoid-ramping-up-the-power-bill-while-working-from-home" TargetMode="External"/><Relationship Id="rId6" Type="http://schemas.openxmlformats.org/officeDocument/2006/relationships/vmlDrawing" Target="../drawings/vmlDrawing4.vml"/><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34"/>
  <sheetViews>
    <sheetView workbookViewId="0">
      <selection sqref="A1:O1"/>
    </sheetView>
  </sheetViews>
  <sheetFormatPr defaultRowHeight="15"/>
  <cols>
    <col min="1" max="1" width="33" customWidth="1"/>
    <col min="2" max="4" width="5.7109375" customWidth="1"/>
    <col min="13" max="14" width="9.140625" customWidth="1"/>
    <col min="15" max="15" width="30.85546875" customWidth="1"/>
  </cols>
  <sheetData>
    <row r="1" spans="1:15" ht="31.5">
      <c r="A1" s="1786" t="s">
        <v>0</v>
      </c>
      <c r="B1" s="1786"/>
      <c r="C1" s="1786"/>
      <c r="D1" s="1786"/>
      <c r="E1" s="1786"/>
      <c r="F1" s="1786"/>
      <c r="G1" s="1786"/>
      <c r="H1" s="1786"/>
      <c r="I1" s="1786"/>
      <c r="J1" s="1786"/>
      <c r="K1" s="1786"/>
      <c r="L1" s="1786"/>
      <c r="M1" s="1786"/>
      <c r="N1" s="1786"/>
      <c r="O1" s="1786"/>
    </row>
    <row r="2" spans="1:15" ht="15" customHeight="1">
      <c r="A2" s="65"/>
    </row>
    <row r="3" spans="1:15" ht="23.25">
      <c r="A3" s="65"/>
    </row>
    <row r="4" spans="1:15" ht="31.5">
      <c r="A4" s="64" t="s">
        <v>1</v>
      </c>
    </row>
    <row r="5" spans="1:15" ht="6.75" customHeight="1"/>
    <row r="6" spans="1:15">
      <c r="A6" s="1790" t="s">
        <v>2</v>
      </c>
      <c r="B6" s="1790"/>
      <c r="C6" s="1790"/>
      <c r="D6" s="1790"/>
      <c r="E6" s="1790"/>
      <c r="F6" s="1790"/>
      <c r="G6" s="1790"/>
      <c r="H6" s="1790"/>
      <c r="I6" s="1790"/>
      <c r="J6" s="1790"/>
      <c r="K6" s="1790"/>
      <c r="L6" s="1790"/>
      <c r="M6" s="1790"/>
      <c r="N6" s="1790"/>
      <c r="O6" s="1791"/>
    </row>
    <row r="7" spans="1:15" ht="36.75" customHeight="1">
      <c r="A7" s="1792" t="s">
        <v>3</v>
      </c>
      <c r="B7" s="1792"/>
      <c r="C7" s="1792"/>
      <c r="D7" s="1792"/>
      <c r="E7" s="1792"/>
      <c r="F7" s="1792"/>
      <c r="G7" s="1792"/>
      <c r="H7" s="1792"/>
      <c r="I7" s="1792"/>
      <c r="J7" s="1792"/>
      <c r="K7" s="1792"/>
      <c r="L7" s="1792"/>
      <c r="M7" s="1792"/>
      <c r="N7" s="1792"/>
      <c r="O7" s="1793"/>
    </row>
    <row r="8" spans="1:15" ht="14.25" customHeight="1" thickBot="1">
      <c r="A8" s="1794" t="s">
        <v>4</v>
      </c>
      <c r="B8" s="1794"/>
      <c r="C8" s="1794"/>
      <c r="D8" s="1794"/>
      <c r="E8" s="1794"/>
      <c r="F8" s="1794"/>
      <c r="G8" s="1794"/>
      <c r="H8" s="1794"/>
      <c r="I8" s="1794"/>
      <c r="J8" s="1794"/>
      <c r="K8" s="1794"/>
      <c r="L8" s="1794"/>
      <c r="M8" s="1794"/>
      <c r="N8" s="1794"/>
      <c r="O8" s="1795"/>
    </row>
    <row r="9" spans="1:15" ht="15.75" thickBot="1">
      <c r="A9" s="190"/>
      <c r="B9" s="1796" t="s">
        <v>5</v>
      </c>
      <c r="C9" s="1797"/>
      <c r="D9" s="1797"/>
      <c r="E9" s="1797"/>
      <c r="F9" s="1797"/>
      <c r="G9" s="1797"/>
      <c r="H9" s="1797"/>
      <c r="I9" s="1797"/>
      <c r="J9" s="1797"/>
      <c r="K9" s="1797"/>
      <c r="L9" s="1797"/>
      <c r="M9" s="1797"/>
      <c r="N9" s="1797"/>
      <c r="O9" s="1798"/>
    </row>
    <row r="10" spans="1:15">
      <c r="A10" s="138"/>
      <c r="B10" s="1799" t="s">
        <v>6</v>
      </c>
      <c r="C10" s="1797"/>
      <c r="D10" s="1797"/>
      <c r="E10" s="1797"/>
      <c r="F10" s="1797"/>
      <c r="G10" s="1797"/>
      <c r="H10" s="1797"/>
      <c r="I10" s="1797"/>
      <c r="J10" s="1797"/>
      <c r="K10" s="1797"/>
      <c r="L10" s="1797"/>
      <c r="M10" s="1797"/>
      <c r="N10" s="1797"/>
      <c r="O10" s="1798"/>
    </row>
    <row r="11" spans="1:15">
      <c r="A11" s="1790" t="s">
        <v>7</v>
      </c>
      <c r="B11" s="1790"/>
      <c r="C11" s="1790"/>
      <c r="D11" s="1790"/>
      <c r="E11" s="1790"/>
      <c r="F11" s="1790"/>
      <c r="G11" s="1790"/>
      <c r="H11" s="1790"/>
      <c r="I11" s="1790"/>
      <c r="J11" s="1790"/>
      <c r="K11" s="1790"/>
      <c r="L11" s="1790"/>
      <c r="M11" s="1790"/>
      <c r="N11" s="1790"/>
      <c r="O11" s="1800"/>
    </row>
    <row r="12" spans="1:15" ht="38.25" customHeight="1">
      <c r="A12" s="1801" t="s">
        <v>8</v>
      </c>
      <c r="B12" s="1802"/>
      <c r="C12" s="1802"/>
      <c r="D12" s="1802"/>
      <c r="E12" s="1802"/>
      <c r="F12" s="1802"/>
      <c r="G12" s="1802"/>
      <c r="H12" s="1802"/>
      <c r="I12" s="1802"/>
      <c r="J12" s="1802"/>
      <c r="K12" s="1802"/>
      <c r="L12" s="1802"/>
      <c r="M12" s="1802"/>
      <c r="N12" s="1802"/>
      <c r="O12" s="1803"/>
    </row>
    <row r="13" spans="1:15">
      <c r="A13" s="50"/>
      <c r="B13" s="50"/>
      <c r="C13" s="50"/>
      <c r="D13" s="50"/>
      <c r="E13" s="50"/>
      <c r="F13" s="50"/>
      <c r="G13" s="50"/>
      <c r="H13" s="50"/>
      <c r="I13" s="50"/>
      <c r="J13" s="50"/>
      <c r="K13" s="50"/>
      <c r="L13" s="50"/>
      <c r="M13" s="50"/>
      <c r="N13" s="50"/>
      <c r="O13" s="1249"/>
    </row>
    <row r="14" spans="1:15">
      <c r="A14" s="1790" t="s">
        <v>9</v>
      </c>
      <c r="B14" s="1790"/>
      <c r="C14" s="1790"/>
      <c r="D14" s="1790"/>
      <c r="E14" s="1790"/>
      <c r="F14" s="1790"/>
      <c r="G14" s="1790"/>
      <c r="H14" s="1790"/>
      <c r="I14" s="1790"/>
      <c r="J14" s="1790"/>
      <c r="K14" s="1790"/>
      <c r="L14" s="1790"/>
      <c r="M14" s="1790"/>
      <c r="N14" s="1790"/>
      <c r="O14" s="1800"/>
    </row>
    <row r="15" spans="1:15" ht="50.25" customHeight="1">
      <c r="A15" s="1801" t="s">
        <v>10</v>
      </c>
      <c r="B15" s="1802"/>
      <c r="C15" s="1802"/>
      <c r="D15" s="1802"/>
      <c r="E15" s="1802"/>
      <c r="F15" s="1802"/>
      <c r="G15" s="1802"/>
      <c r="H15" s="1802"/>
      <c r="I15" s="1802"/>
      <c r="J15" s="1802"/>
      <c r="K15" s="1802"/>
      <c r="L15" s="1802"/>
      <c r="M15" s="1802"/>
      <c r="N15" s="1802"/>
      <c r="O15" s="1803"/>
    </row>
    <row r="16" spans="1:15" ht="18">
      <c r="A16" s="66" t="s">
        <v>11</v>
      </c>
      <c r="B16" s="67" t="s">
        <v>12</v>
      </c>
      <c r="C16" s="67" t="s">
        <v>13</v>
      </c>
      <c r="D16" s="68" t="s">
        <v>14</v>
      </c>
      <c r="E16" s="50"/>
      <c r="F16" s="50"/>
      <c r="G16" s="50"/>
      <c r="H16" s="50"/>
      <c r="I16" s="50"/>
      <c r="J16" s="50"/>
      <c r="K16" s="50"/>
      <c r="L16" s="50"/>
      <c r="M16" s="50"/>
      <c r="N16" s="50"/>
      <c r="O16" s="50"/>
    </row>
    <row r="17" spans="1:18">
      <c r="A17" s="66" t="s">
        <v>15</v>
      </c>
      <c r="B17" s="67">
        <v>1</v>
      </c>
      <c r="C17" s="67">
        <v>25</v>
      </c>
      <c r="D17" s="67">
        <v>298</v>
      </c>
      <c r="E17" s="50"/>
      <c r="F17" s="50"/>
      <c r="G17" s="50"/>
      <c r="H17" s="50"/>
      <c r="I17" s="50"/>
      <c r="J17" s="50"/>
      <c r="K17" s="50"/>
      <c r="L17" s="50"/>
      <c r="M17" s="50"/>
      <c r="N17" s="50"/>
      <c r="O17" s="50"/>
    </row>
    <row r="18" spans="1:18">
      <c r="A18" s="66" t="s">
        <v>16</v>
      </c>
      <c r="B18" s="67">
        <v>1</v>
      </c>
      <c r="C18" s="67">
        <v>28</v>
      </c>
      <c r="D18" s="67">
        <v>265</v>
      </c>
      <c r="E18" s="50"/>
      <c r="F18" s="50"/>
      <c r="G18" s="50"/>
      <c r="H18" s="50"/>
      <c r="I18" s="50"/>
      <c r="J18" s="50"/>
      <c r="K18" s="50"/>
      <c r="L18" s="50"/>
      <c r="M18" s="50"/>
      <c r="N18" s="50"/>
      <c r="O18" s="50"/>
    </row>
    <row r="19" spans="1:18">
      <c r="A19" s="1250"/>
      <c r="B19" s="50"/>
      <c r="C19" s="50"/>
      <c r="D19" s="50"/>
      <c r="E19" s="50"/>
      <c r="F19" s="50"/>
      <c r="G19" s="50"/>
      <c r="H19" s="50"/>
      <c r="I19" s="50"/>
      <c r="J19" s="50"/>
      <c r="K19" s="50"/>
      <c r="L19" s="50"/>
      <c r="M19" s="50"/>
      <c r="N19" s="50"/>
      <c r="O19" s="50"/>
    </row>
    <row r="20" spans="1:18" ht="355.5" customHeight="1">
      <c r="A20" s="1804" t="s">
        <v>17</v>
      </c>
      <c r="B20" s="1802"/>
      <c r="C20" s="1802"/>
      <c r="D20" s="1802"/>
      <c r="E20" s="1802"/>
      <c r="F20" s="1802"/>
      <c r="G20" s="1802"/>
      <c r="H20" s="1802"/>
      <c r="I20" s="1802"/>
      <c r="J20" s="1802"/>
      <c r="K20" s="1802"/>
      <c r="L20" s="1802"/>
      <c r="M20" s="1802"/>
      <c r="N20" s="1802"/>
      <c r="O20" s="1803"/>
    </row>
    <row r="21" spans="1:18" ht="20.25" customHeight="1">
      <c r="A21" s="62"/>
      <c r="B21" s="62"/>
      <c r="C21" s="62"/>
      <c r="D21" s="62"/>
      <c r="E21" s="62"/>
      <c r="F21" s="62"/>
      <c r="G21" s="62"/>
      <c r="H21" s="62"/>
      <c r="I21" s="62"/>
      <c r="J21" s="62"/>
      <c r="K21" s="62"/>
      <c r="L21" s="62"/>
      <c r="M21" s="62"/>
      <c r="N21" s="62"/>
      <c r="O21" s="62"/>
    </row>
    <row r="22" spans="1:18">
      <c r="A22" s="1790" t="s">
        <v>18</v>
      </c>
      <c r="B22" s="1790"/>
      <c r="C22" s="1790"/>
      <c r="D22" s="1790"/>
      <c r="E22" s="1790"/>
      <c r="F22" s="1790"/>
      <c r="G22" s="1790"/>
      <c r="H22" s="1790"/>
      <c r="I22" s="1790"/>
      <c r="J22" s="1790"/>
      <c r="K22" s="1790"/>
      <c r="L22" s="1790"/>
      <c r="M22" s="1790"/>
      <c r="N22" s="1790"/>
      <c r="O22" s="1790"/>
    </row>
    <row r="23" spans="1:18">
      <c r="A23" s="1805" t="s">
        <v>19</v>
      </c>
      <c r="B23" s="1806"/>
      <c r="C23" s="1806"/>
      <c r="D23" s="1806"/>
      <c r="E23" s="1806"/>
      <c r="F23" s="1806"/>
      <c r="G23" s="1806"/>
      <c r="H23" s="1806"/>
      <c r="I23" s="1806"/>
      <c r="J23" s="1806"/>
      <c r="K23" s="1806"/>
      <c r="L23" s="1806"/>
      <c r="M23" s="1806"/>
      <c r="N23" s="1806"/>
      <c r="O23" s="1807"/>
      <c r="R23" s="1"/>
    </row>
    <row r="24" spans="1:18">
      <c r="A24" s="469"/>
      <c r="B24" s="1801" t="s">
        <v>20</v>
      </c>
      <c r="C24" s="1802"/>
      <c r="D24" s="1802"/>
      <c r="E24" s="1802"/>
      <c r="F24" s="1802"/>
      <c r="G24" s="1802"/>
      <c r="H24" s="1802"/>
      <c r="I24" s="1802"/>
      <c r="J24" s="1802"/>
      <c r="K24" s="1802"/>
      <c r="L24" s="1802"/>
      <c r="M24" s="1802"/>
      <c r="N24" s="1802"/>
      <c r="O24" s="1803"/>
    </row>
    <row r="25" spans="1:18">
      <c r="A25" s="469"/>
      <c r="B25" s="1801" t="s">
        <v>21</v>
      </c>
      <c r="C25" s="1802"/>
      <c r="D25" s="1802"/>
      <c r="E25" s="1802"/>
      <c r="F25" s="1802"/>
      <c r="G25" s="1802"/>
      <c r="H25" s="1802"/>
      <c r="I25" s="1802"/>
      <c r="J25" s="1802"/>
      <c r="K25" s="1802"/>
      <c r="L25" s="1802"/>
      <c r="M25" s="1802"/>
      <c r="N25" s="1802"/>
      <c r="O25" s="1803"/>
    </row>
    <row r="26" spans="1:18">
      <c r="A26" s="165"/>
      <c r="B26" s="1801" t="s">
        <v>22</v>
      </c>
      <c r="C26" s="1802"/>
      <c r="D26" s="1802"/>
      <c r="E26" s="1802"/>
      <c r="F26" s="1802"/>
      <c r="G26" s="1802"/>
      <c r="H26" s="1802"/>
      <c r="I26" s="1802"/>
      <c r="J26" s="1802"/>
      <c r="K26" s="1802"/>
      <c r="L26" s="1802"/>
      <c r="M26" s="1802"/>
      <c r="N26" s="1802"/>
      <c r="O26" s="1803"/>
    </row>
    <row r="27" spans="1:18">
      <c r="A27" s="469"/>
      <c r="B27" s="1801" t="s">
        <v>23</v>
      </c>
      <c r="C27" s="1802"/>
      <c r="D27" s="1802"/>
      <c r="E27" s="1802"/>
      <c r="F27" s="1802"/>
      <c r="G27" s="1802"/>
      <c r="H27" s="1802"/>
      <c r="I27" s="1802"/>
      <c r="J27" s="1802"/>
      <c r="K27" s="1802"/>
      <c r="L27" s="1802"/>
      <c r="M27" s="1802"/>
      <c r="N27" s="1802"/>
      <c r="O27" s="1803"/>
    </row>
    <row r="28" spans="1:18">
      <c r="A28" s="876"/>
      <c r="B28" s="1813" t="s">
        <v>24</v>
      </c>
      <c r="C28" s="1813"/>
      <c r="D28" s="1813"/>
      <c r="E28" s="1813"/>
      <c r="F28" s="1813"/>
      <c r="G28" s="1813"/>
      <c r="H28" s="1813"/>
      <c r="I28" s="1813"/>
      <c r="J28" s="1813"/>
      <c r="K28" s="1813"/>
      <c r="L28" s="1813"/>
      <c r="M28" s="1813"/>
      <c r="N28" s="1813"/>
      <c r="O28" s="1814"/>
    </row>
    <row r="29" spans="1:18">
      <c r="A29" s="876"/>
      <c r="B29" s="1812" t="s">
        <v>25</v>
      </c>
      <c r="C29" s="1813"/>
      <c r="D29" s="1813"/>
      <c r="E29" s="1813"/>
      <c r="F29" s="1813"/>
      <c r="G29" s="1813"/>
      <c r="H29" s="1813"/>
      <c r="I29" s="1813"/>
      <c r="J29" s="1813"/>
      <c r="K29" s="1813"/>
      <c r="L29" s="1813"/>
      <c r="M29" s="1813"/>
      <c r="N29" s="1813"/>
      <c r="O29" s="1814"/>
    </row>
    <row r="30" spans="1:18">
      <c r="A30" s="1630"/>
      <c r="B30" s="1815" t="s">
        <v>26</v>
      </c>
      <c r="C30" s="1816"/>
      <c r="D30" s="1816"/>
      <c r="E30" s="1816"/>
      <c r="F30" s="1816"/>
      <c r="G30" s="1816"/>
      <c r="H30" s="1816"/>
      <c r="I30" s="1816"/>
      <c r="J30" s="1816"/>
      <c r="K30" s="1816"/>
      <c r="L30" s="1816"/>
      <c r="M30" s="1816"/>
      <c r="N30" s="1816"/>
      <c r="O30" s="1817"/>
    </row>
    <row r="31" spans="1:18">
      <c r="A31" s="876"/>
      <c r="B31" s="1818" t="s">
        <v>27</v>
      </c>
      <c r="C31" s="1818"/>
      <c r="D31" s="1818"/>
      <c r="E31" s="1818"/>
      <c r="F31" s="1818"/>
      <c r="G31" s="1818"/>
      <c r="H31" s="1818"/>
      <c r="I31" s="1818"/>
      <c r="J31" s="1818"/>
      <c r="K31" s="1818"/>
      <c r="L31" s="1818"/>
      <c r="M31" s="1818"/>
      <c r="N31" s="1818"/>
      <c r="O31" s="1818"/>
    </row>
    <row r="32" spans="1:18">
      <c r="A32" s="1251" t="s">
        <v>28</v>
      </c>
      <c r="B32" s="1808"/>
      <c r="C32" s="1808"/>
      <c r="D32" s="1808"/>
      <c r="E32" s="1808"/>
      <c r="F32" s="1808"/>
      <c r="G32" s="1808"/>
      <c r="H32" s="1808"/>
      <c r="I32" s="1808"/>
      <c r="J32" s="1808"/>
      <c r="K32" s="1808"/>
      <c r="L32" s="1808"/>
      <c r="M32" s="1808"/>
      <c r="N32" s="1808"/>
      <c r="O32" s="1809"/>
    </row>
    <row r="33" spans="1:15" ht="15" customHeight="1">
      <c r="A33" s="1252"/>
      <c r="B33" s="1810" t="s">
        <v>29</v>
      </c>
      <c r="C33" s="1810"/>
      <c r="D33" s="1810"/>
      <c r="E33" s="1810"/>
      <c r="F33" s="1810"/>
      <c r="G33" s="1810"/>
      <c r="H33" s="1810"/>
      <c r="I33" s="1810"/>
      <c r="J33" s="1810"/>
      <c r="K33" s="1810"/>
      <c r="L33" s="1810"/>
      <c r="M33" s="1810"/>
      <c r="N33" s="1810"/>
      <c r="O33" s="1811"/>
    </row>
    <row r="34" spans="1:15">
      <c r="A34" s="490"/>
      <c r="B34" s="1787"/>
      <c r="C34" s="1788"/>
      <c r="D34" s="1788"/>
      <c r="E34" s="1788"/>
      <c r="F34" s="1788"/>
      <c r="G34" s="1788"/>
      <c r="H34" s="1788"/>
      <c r="I34" s="1788"/>
      <c r="J34" s="1788"/>
      <c r="K34" s="1788"/>
      <c r="L34" s="1788"/>
      <c r="M34" s="1788"/>
      <c r="N34" s="1788"/>
      <c r="O34" s="1789"/>
    </row>
  </sheetData>
  <sheetProtection sheet="1" objects="1" scenarios="1" selectLockedCells="1" selectUnlockedCells="1"/>
  <mergeCells count="24">
    <mergeCell ref="B24:O24"/>
    <mergeCell ref="B29:O29"/>
    <mergeCell ref="B30:O30"/>
    <mergeCell ref="B25:O25"/>
    <mergeCell ref="B31:O31"/>
    <mergeCell ref="B28:O28"/>
    <mergeCell ref="B26:O26"/>
    <mergeCell ref="B27:O27"/>
    <mergeCell ref="A1:O1"/>
    <mergeCell ref="B34:O34"/>
    <mergeCell ref="A22:O22"/>
    <mergeCell ref="A6:O6"/>
    <mergeCell ref="A7:O7"/>
    <mergeCell ref="A8:O8"/>
    <mergeCell ref="B9:O9"/>
    <mergeCell ref="B10:O10"/>
    <mergeCell ref="A14:O14"/>
    <mergeCell ref="A15:O15"/>
    <mergeCell ref="A11:O11"/>
    <mergeCell ref="A12:O12"/>
    <mergeCell ref="A20:O20"/>
    <mergeCell ref="A23:O23"/>
    <mergeCell ref="B32:O32"/>
    <mergeCell ref="B33:O3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7" tint="-0.249977111117893"/>
  </sheetPr>
  <dimension ref="A1:H15"/>
  <sheetViews>
    <sheetView workbookViewId="0">
      <selection activeCell="D11" sqref="D11"/>
    </sheetView>
  </sheetViews>
  <sheetFormatPr defaultColWidth="9.140625" defaultRowHeight="15"/>
  <cols>
    <col min="1" max="1" width="54.7109375" customWidth="1"/>
    <col min="2" max="2" width="18.5703125" customWidth="1"/>
    <col min="3" max="3" width="21.7109375" customWidth="1"/>
    <col min="4" max="4" width="31.42578125" customWidth="1"/>
    <col min="5" max="5" width="31.5703125" customWidth="1"/>
    <col min="6" max="6" width="32.42578125" customWidth="1"/>
    <col min="7" max="7" width="29.5703125" customWidth="1"/>
    <col min="8" max="8" width="30.28515625" customWidth="1"/>
    <col min="9" max="9" width="16.5703125" customWidth="1"/>
    <col min="10" max="10" width="49.85546875" customWidth="1"/>
  </cols>
  <sheetData>
    <row r="1" spans="1:8" ht="31.5">
      <c r="A1" s="64" t="s">
        <v>63</v>
      </c>
    </row>
    <row r="2" spans="1:8" ht="23.25">
      <c r="A2" s="65" t="s">
        <v>431</v>
      </c>
    </row>
    <row r="3" spans="1:8" ht="23.25">
      <c r="A3" s="65"/>
    </row>
    <row r="4" spans="1:8" ht="31.5">
      <c r="A4" s="64" t="s">
        <v>676</v>
      </c>
    </row>
    <row r="5" spans="1:8">
      <c r="A5" s="1961" t="s">
        <v>66</v>
      </c>
      <c r="B5" s="1961"/>
      <c r="C5" s="1961"/>
      <c r="D5" s="1961"/>
      <c r="E5" s="1961"/>
      <c r="F5" s="1961"/>
      <c r="G5" s="1961"/>
      <c r="H5" s="1961"/>
    </row>
    <row r="6" spans="1:8" ht="18.75" customHeight="1">
      <c r="A6" s="1802" t="s">
        <v>433</v>
      </c>
      <c r="B6" s="1802"/>
      <c r="C6" s="1802"/>
      <c r="D6" s="1802"/>
      <c r="E6" s="1802"/>
      <c r="F6" s="1802"/>
      <c r="G6" s="1802"/>
      <c r="H6" s="1803"/>
    </row>
    <row r="8" spans="1:8">
      <c r="A8" s="580" t="s">
        <v>677</v>
      </c>
      <c r="B8" s="580"/>
      <c r="C8" s="580"/>
      <c r="D8" s="580"/>
      <c r="E8" s="580"/>
      <c r="F8" s="580"/>
      <c r="G8" s="580"/>
      <c r="H8" s="580"/>
    </row>
    <row r="9" spans="1:8">
      <c r="A9" s="580"/>
      <c r="B9" s="580"/>
      <c r="C9" s="580"/>
      <c r="D9" s="1984" t="s">
        <v>423</v>
      </c>
      <c r="E9" s="1985"/>
      <c r="F9" s="1985"/>
      <c r="G9" s="1985"/>
      <c r="H9" s="1985"/>
    </row>
    <row r="10" spans="1:8" ht="18.75" thickBot="1">
      <c r="A10" s="1980" t="s">
        <v>69</v>
      </c>
      <c r="B10" s="1981"/>
      <c r="C10" s="1397" t="s">
        <v>70</v>
      </c>
      <c r="D10" s="1377" t="s">
        <v>424</v>
      </c>
      <c r="E10" s="1398" t="s">
        <v>59</v>
      </c>
      <c r="F10" s="1399" t="s">
        <v>425</v>
      </c>
      <c r="G10" s="1399" t="s">
        <v>426</v>
      </c>
      <c r="H10" s="1399" t="s">
        <v>427</v>
      </c>
    </row>
    <row r="11" spans="1:8" ht="16.5" customHeight="1" thickBot="1">
      <c r="A11" s="1982" t="s">
        <v>799</v>
      </c>
      <c r="B11" s="1719" t="s">
        <v>678</v>
      </c>
      <c r="C11" s="1719" t="s">
        <v>679</v>
      </c>
      <c r="D11" s="1383"/>
      <c r="E11" s="1400">
        <f>$D$11*'2022 Working from home'!C10</f>
        <v>0</v>
      </c>
      <c r="F11" s="1391">
        <f>$D$11*'2022 Working from home'!D10</f>
        <v>0</v>
      </c>
      <c r="G11" s="1391">
        <f>$D$11*'2022 Working from home'!E10</f>
        <v>0</v>
      </c>
      <c r="H11" s="1391">
        <f>$D$11*'2022 Working from home'!F10</f>
        <v>0</v>
      </c>
    </row>
    <row r="12" spans="1:8" ht="17.25" customHeight="1" thickBot="1">
      <c r="A12" s="1983"/>
      <c r="B12" s="1719" t="s">
        <v>682</v>
      </c>
      <c r="C12" s="1719" t="s">
        <v>679</v>
      </c>
      <c r="D12" s="1383"/>
      <c r="E12" s="1400">
        <f>D12*'2022 Working from home'!C11</f>
        <v>0</v>
      </c>
      <c r="F12" s="1391">
        <f>D12*'2022 Working from home'!D11</f>
        <v>0</v>
      </c>
      <c r="G12" s="1391">
        <f>D12*'2022 Working from home'!E11</f>
        <v>0</v>
      </c>
      <c r="H12" s="1391">
        <f>D12*'2022 Working from home'!F11</f>
        <v>0</v>
      </c>
    </row>
    <row r="13" spans="1:8" ht="15.75" thickBot="1">
      <c r="A13" s="1983"/>
      <c r="B13" s="1719" t="s">
        <v>683</v>
      </c>
      <c r="C13" s="1719" t="s">
        <v>679</v>
      </c>
      <c r="D13" s="1383"/>
      <c r="E13" s="1400">
        <f>D13*'2022 Working from home'!C12</f>
        <v>0</v>
      </c>
      <c r="F13" s="1391">
        <f>D13*'2022 Working from home'!D12</f>
        <v>0</v>
      </c>
      <c r="G13" s="1391">
        <f>D13*'2022 Working from home'!E12</f>
        <v>0</v>
      </c>
      <c r="H13" s="1391">
        <f>D13*'2022 Working from home'!F12</f>
        <v>0</v>
      </c>
    </row>
    <row r="14" spans="1:8">
      <c r="D14" s="1389" t="s">
        <v>247</v>
      </c>
      <c r="E14" s="1400">
        <f>SUM(E11:E11)</f>
        <v>0</v>
      </c>
      <c r="F14" s="1400">
        <f>SUM(F11:F11)</f>
        <v>0</v>
      </c>
      <c r="G14" s="1400">
        <f>SUM(G11:G11)</f>
        <v>0</v>
      </c>
      <c r="H14" s="1400">
        <f>SUM(H11:H11)</f>
        <v>0</v>
      </c>
    </row>
    <row r="15" spans="1:8" s="102" customFormat="1" ht="15.75" thickBot="1"/>
  </sheetData>
  <sheetProtection sheet="1" objects="1" scenarios="1" selectLockedCells="1"/>
  <mergeCells count="5">
    <mergeCell ref="A10:B10"/>
    <mergeCell ref="A5:H5"/>
    <mergeCell ref="A6:H6"/>
    <mergeCell ref="A11:A13"/>
    <mergeCell ref="D9:H9"/>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J141"/>
  <sheetViews>
    <sheetView workbookViewId="0">
      <selection activeCell="I124" sqref="I124"/>
    </sheetView>
  </sheetViews>
  <sheetFormatPr defaultColWidth="9.140625" defaultRowHeight="15"/>
  <cols>
    <col min="2" max="2" width="27.7109375" customWidth="1"/>
    <col min="3" max="3" width="23.5703125" customWidth="1"/>
    <col min="4" max="4" width="6.28515625" customWidth="1"/>
    <col min="5" max="5" width="21.140625" customWidth="1"/>
    <col min="6" max="6" width="23.140625" customWidth="1"/>
    <col min="7" max="7" width="15.5703125" customWidth="1"/>
    <col min="9" max="9" width="54.7109375" customWidth="1"/>
    <col min="11" max="11" width="16.140625" customWidth="1"/>
  </cols>
  <sheetData>
    <row r="1" spans="1:10" ht="31.5">
      <c r="A1" s="64" t="s">
        <v>63</v>
      </c>
      <c r="I1" s="228"/>
      <c r="J1" s="228"/>
    </row>
    <row r="2" spans="1:10" ht="23.25">
      <c r="A2" s="65" t="s">
        <v>431</v>
      </c>
    </row>
    <row r="4" spans="1:10" ht="31.5">
      <c r="A4" s="64" t="s">
        <v>800</v>
      </c>
    </row>
    <row r="5" spans="1:10">
      <c r="A5" s="1986" t="s">
        <v>801</v>
      </c>
      <c r="B5" s="1986"/>
      <c r="C5" s="1986"/>
      <c r="D5" s="1986"/>
      <c r="E5" s="1986"/>
      <c r="F5" s="1986"/>
      <c r="G5" s="1986"/>
      <c r="H5" s="1986"/>
      <c r="I5" s="1986"/>
    </row>
    <row r="6" spans="1:10">
      <c r="A6" s="581" t="s">
        <v>802</v>
      </c>
      <c r="B6" s="582" t="s">
        <v>803</v>
      </c>
      <c r="C6" s="581"/>
      <c r="D6" s="581"/>
      <c r="E6" s="581"/>
      <c r="F6" s="581"/>
      <c r="G6" s="581"/>
      <c r="H6" s="581"/>
      <c r="I6" s="581" t="s">
        <v>804</v>
      </c>
    </row>
    <row r="7" spans="1:10">
      <c r="A7" s="583" t="s">
        <v>805</v>
      </c>
      <c r="B7" s="582" t="s">
        <v>806</v>
      </c>
      <c r="C7" s="581"/>
      <c r="D7" s="581"/>
      <c r="E7" s="581"/>
      <c r="F7" s="581"/>
      <c r="G7" s="581"/>
      <c r="H7" s="581"/>
      <c r="I7" s="581"/>
    </row>
    <row r="8" spans="1:10">
      <c r="A8" s="581"/>
      <c r="B8" s="581"/>
      <c r="C8" s="581"/>
      <c r="D8" s="581"/>
      <c r="E8" s="581"/>
      <c r="F8" s="581"/>
      <c r="G8" s="581"/>
      <c r="H8" s="581"/>
      <c r="I8" s="581"/>
    </row>
    <row r="9" spans="1:10">
      <c r="A9" s="580" t="s">
        <v>807</v>
      </c>
      <c r="B9" s="586"/>
      <c r="C9" s="586"/>
      <c r="D9" s="586"/>
      <c r="E9" s="586"/>
      <c r="F9" s="586"/>
      <c r="G9" s="586"/>
      <c r="H9" s="586"/>
      <c r="I9" s="586"/>
    </row>
    <row r="10" spans="1:10" ht="16.5" customHeight="1">
      <c r="A10" s="1987" t="s">
        <v>808</v>
      </c>
      <c r="B10" s="1988"/>
      <c r="C10" s="1988"/>
      <c r="D10" s="1988"/>
      <c r="E10" s="1988"/>
      <c r="F10" s="1988"/>
      <c r="G10" s="1988"/>
      <c r="H10" s="1988"/>
      <c r="I10" s="1988"/>
    </row>
    <row r="11" spans="1:10">
      <c r="A11" s="1993" t="s">
        <v>809</v>
      </c>
      <c r="B11" s="1993"/>
      <c r="C11" s="1993"/>
      <c r="D11" s="1993"/>
      <c r="E11" s="1993"/>
      <c r="F11" s="1993"/>
      <c r="G11" s="1993"/>
      <c r="H11" s="1993"/>
      <c r="I11" s="1993"/>
    </row>
    <row r="12" spans="1:10">
      <c r="B12" s="1989" t="s">
        <v>810</v>
      </c>
      <c r="C12" s="1989"/>
      <c r="D12" s="1989"/>
      <c r="E12" s="1989"/>
    </row>
    <row r="13" spans="1:10" ht="18" customHeight="1">
      <c r="B13" s="1873" t="s">
        <v>34</v>
      </c>
      <c r="C13" s="1873"/>
      <c r="D13" s="1873" t="s">
        <v>70</v>
      </c>
      <c r="E13" s="1990" t="s">
        <v>811</v>
      </c>
      <c r="F13" s="1990" t="s">
        <v>812</v>
      </c>
    </row>
    <row r="14" spans="1:10" ht="39.75" customHeight="1">
      <c r="B14" s="900" t="s">
        <v>813</v>
      </c>
      <c r="C14" s="900" t="s">
        <v>814</v>
      </c>
      <c r="D14" s="1873"/>
      <c r="E14" s="1991"/>
      <c r="F14" s="1991"/>
    </row>
    <row r="15" spans="1:10" ht="18">
      <c r="B15" s="876" t="s">
        <v>815</v>
      </c>
      <c r="C15" s="876" t="s">
        <v>816</v>
      </c>
      <c r="D15" s="876" t="s">
        <v>83</v>
      </c>
      <c r="E15" s="896">
        <v>1</v>
      </c>
      <c r="F15" s="808">
        <v>1</v>
      </c>
      <c r="I15" s="188"/>
    </row>
    <row r="16" spans="1:10" ht="18">
      <c r="B16" s="876" t="s">
        <v>817</v>
      </c>
      <c r="C16" s="876" t="s">
        <v>818</v>
      </c>
      <c r="D16" s="876" t="s">
        <v>83</v>
      </c>
      <c r="E16" s="896">
        <v>25</v>
      </c>
      <c r="F16" s="808">
        <v>28</v>
      </c>
      <c r="I16" s="188"/>
    </row>
    <row r="17" spans="2:9" ht="18">
      <c r="B17" s="876" t="s">
        <v>819</v>
      </c>
      <c r="C17" s="876" t="s">
        <v>820</v>
      </c>
      <c r="D17" s="876" t="s">
        <v>83</v>
      </c>
      <c r="E17" s="896">
        <v>3.3</v>
      </c>
      <c r="F17" s="1737">
        <v>3</v>
      </c>
      <c r="G17" s="583" t="s">
        <v>821</v>
      </c>
      <c r="I17" s="188"/>
    </row>
    <row r="18" spans="2:9" ht="18">
      <c r="B18" s="876" t="s">
        <v>822</v>
      </c>
      <c r="C18" s="876" t="s">
        <v>823</v>
      </c>
      <c r="D18" s="876" t="s">
        <v>83</v>
      </c>
      <c r="E18" s="896">
        <v>298</v>
      </c>
      <c r="F18" s="808">
        <v>265</v>
      </c>
      <c r="I18" s="188"/>
    </row>
    <row r="19" spans="2:9" ht="18">
      <c r="B19" s="876" t="s">
        <v>824</v>
      </c>
      <c r="C19" s="876" t="s">
        <v>825</v>
      </c>
      <c r="D19" s="876" t="s">
        <v>83</v>
      </c>
      <c r="E19" s="896">
        <v>3</v>
      </c>
      <c r="F19" s="1737">
        <v>3</v>
      </c>
      <c r="G19" s="583" t="s">
        <v>821</v>
      </c>
      <c r="I19" s="188"/>
    </row>
    <row r="20" spans="2:9" ht="18" customHeight="1">
      <c r="B20" s="1854" t="s">
        <v>826</v>
      </c>
      <c r="C20" s="1854"/>
      <c r="D20" s="1854"/>
      <c r="E20" s="1854"/>
      <c r="F20" s="1738" t="s">
        <v>827</v>
      </c>
    </row>
    <row r="21" spans="2:9" ht="18">
      <c r="B21" s="876" t="s">
        <v>828</v>
      </c>
      <c r="C21" s="876" t="s">
        <v>829</v>
      </c>
      <c r="D21" s="876" t="s">
        <v>83</v>
      </c>
      <c r="E21" s="1739">
        <v>4750</v>
      </c>
      <c r="F21" s="1740">
        <v>4660</v>
      </c>
      <c r="I21" s="450"/>
    </row>
    <row r="22" spans="2:9" ht="18">
      <c r="B22" s="876" t="s">
        <v>830</v>
      </c>
      <c r="C22" s="876" t="s">
        <v>831</v>
      </c>
      <c r="D22" s="876" t="s">
        <v>83</v>
      </c>
      <c r="E22" s="1739">
        <v>10900</v>
      </c>
      <c r="F22" s="1740">
        <v>10200</v>
      </c>
      <c r="I22" s="450"/>
    </row>
    <row r="23" spans="2:9" ht="18">
      <c r="B23" s="876" t="s">
        <v>832</v>
      </c>
      <c r="C23" s="876" t="s">
        <v>833</v>
      </c>
      <c r="D23" s="876" t="s">
        <v>83</v>
      </c>
      <c r="E23" s="1739">
        <v>14400</v>
      </c>
      <c r="F23" s="1740">
        <v>13900</v>
      </c>
      <c r="I23" s="450"/>
    </row>
    <row r="24" spans="2:9" ht="18">
      <c r="B24" s="876" t="s">
        <v>834</v>
      </c>
      <c r="C24" s="876" t="s">
        <v>835</v>
      </c>
      <c r="D24" s="876" t="s">
        <v>83</v>
      </c>
      <c r="E24" s="1739">
        <v>6130</v>
      </c>
      <c r="F24" s="1740">
        <v>5820</v>
      </c>
      <c r="I24" s="450"/>
    </row>
    <row r="25" spans="2:9" ht="18">
      <c r="B25" s="876" t="s">
        <v>836</v>
      </c>
      <c r="C25" s="876" t="s">
        <v>837</v>
      </c>
      <c r="D25" s="876" t="s">
        <v>83</v>
      </c>
      <c r="E25" s="1739">
        <v>10000</v>
      </c>
      <c r="F25" s="1740">
        <v>8590</v>
      </c>
      <c r="I25" s="450"/>
    </row>
    <row r="26" spans="2:9" ht="18">
      <c r="B26" s="876" t="s">
        <v>838</v>
      </c>
      <c r="C26" s="876" t="s">
        <v>839</v>
      </c>
      <c r="D26" s="876" t="s">
        <v>83</v>
      </c>
      <c r="E26" s="1739">
        <v>7370</v>
      </c>
      <c r="F26" s="1740">
        <v>7670</v>
      </c>
      <c r="I26" s="450"/>
    </row>
    <row r="27" spans="2:9" ht="18">
      <c r="B27" s="876" t="s">
        <v>840</v>
      </c>
      <c r="C27" s="876" t="s">
        <v>841</v>
      </c>
      <c r="D27" s="876" t="s">
        <v>83</v>
      </c>
      <c r="E27" s="1739">
        <v>7140</v>
      </c>
      <c r="F27" s="1740">
        <v>6290</v>
      </c>
      <c r="I27" s="450"/>
    </row>
    <row r="28" spans="2:9" ht="18">
      <c r="B28" s="876" t="s">
        <v>842</v>
      </c>
      <c r="C28" s="876" t="s">
        <v>843</v>
      </c>
      <c r="D28" s="876" t="s">
        <v>83</v>
      </c>
      <c r="E28" s="1739">
        <v>1890</v>
      </c>
      <c r="F28" s="1740">
        <v>1750</v>
      </c>
      <c r="I28" s="450"/>
    </row>
    <row r="29" spans="2:9" ht="18">
      <c r="B29" s="876" t="s">
        <v>844</v>
      </c>
      <c r="C29" s="876" t="s">
        <v>845</v>
      </c>
      <c r="D29" s="876" t="s">
        <v>83</v>
      </c>
      <c r="E29" s="1739">
        <v>1640</v>
      </c>
      <c r="F29" s="1740">
        <v>1470</v>
      </c>
      <c r="I29" s="450"/>
    </row>
    <row r="30" spans="2:9" ht="15.75" customHeight="1">
      <c r="B30" s="876" t="s">
        <v>846</v>
      </c>
      <c r="C30" s="876" t="s">
        <v>847</v>
      </c>
      <c r="D30" s="876" t="s">
        <v>83</v>
      </c>
      <c r="E30" s="1739">
        <v>1400</v>
      </c>
      <c r="F30" s="1740">
        <v>1750</v>
      </c>
      <c r="I30" s="450"/>
    </row>
    <row r="31" spans="2:9" ht="18">
      <c r="B31" s="876" t="s">
        <v>848</v>
      </c>
      <c r="C31" s="876" t="s">
        <v>849</v>
      </c>
      <c r="D31" s="876" t="s">
        <v>83</v>
      </c>
      <c r="E31" s="1739">
        <v>5</v>
      </c>
      <c r="F31" s="808">
        <v>2</v>
      </c>
      <c r="I31" s="450"/>
    </row>
    <row r="32" spans="2:9" ht="18">
      <c r="B32" s="876" t="s">
        <v>850</v>
      </c>
      <c r="C32" s="876" t="s">
        <v>851</v>
      </c>
      <c r="D32" s="876" t="s">
        <v>83</v>
      </c>
      <c r="E32" s="1739">
        <v>146</v>
      </c>
      <c r="F32" s="808">
        <v>160</v>
      </c>
      <c r="I32" s="450"/>
    </row>
    <row r="33" spans="2:10" ht="18">
      <c r="B33" s="897" t="s">
        <v>852</v>
      </c>
      <c r="C33" s="897" t="s">
        <v>853</v>
      </c>
      <c r="D33" s="897" t="s">
        <v>83</v>
      </c>
      <c r="E33" s="1739" t="s">
        <v>48</v>
      </c>
      <c r="F33" s="808">
        <v>148</v>
      </c>
      <c r="I33" s="450"/>
    </row>
    <row r="34" spans="2:10" ht="18">
      <c r="B34" s="876" t="s">
        <v>854</v>
      </c>
      <c r="C34" s="876" t="s">
        <v>855</v>
      </c>
      <c r="D34" s="876" t="s">
        <v>83</v>
      </c>
      <c r="E34" s="1739">
        <v>1810</v>
      </c>
      <c r="F34" s="1740">
        <v>1760</v>
      </c>
      <c r="I34" s="585"/>
      <c r="J34" s="583"/>
    </row>
    <row r="35" spans="2:10" ht="18">
      <c r="B35" s="876" t="s">
        <v>856</v>
      </c>
      <c r="C35" s="876" t="s">
        <v>857</v>
      </c>
      <c r="D35" s="876" t="s">
        <v>83</v>
      </c>
      <c r="E35" s="1739">
        <v>77</v>
      </c>
      <c r="F35" s="808">
        <v>79</v>
      </c>
      <c r="I35" s="1221"/>
    </row>
    <row r="36" spans="2:10" ht="18">
      <c r="B36" s="876" t="s">
        <v>858</v>
      </c>
      <c r="C36" s="876" t="s">
        <v>859</v>
      </c>
      <c r="D36" s="876" t="s">
        <v>83</v>
      </c>
      <c r="E36" s="1739">
        <v>609</v>
      </c>
      <c r="F36" s="808">
        <v>527</v>
      </c>
      <c r="I36" s="450"/>
    </row>
    <row r="37" spans="2:10" ht="18">
      <c r="B37" s="876" t="s">
        <v>860</v>
      </c>
      <c r="C37" s="876" t="s">
        <v>861</v>
      </c>
      <c r="D37" s="876" t="s">
        <v>83</v>
      </c>
      <c r="E37" s="1739">
        <v>725</v>
      </c>
      <c r="F37" s="808">
        <v>782</v>
      </c>
      <c r="I37" s="450"/>
    </row>
    <row r="38" spans="2:10" ht="18">
      <c r="B38" s="876" t="s">
        <v>862</v>
      </c>
      <c r="C38" s="876" t="s">
        <v>863</v>
      </c>
      <c r="D38" s="876" t="s">
        <v>83</v>
      </c>
      <c r="E38" s="1739">
        <v>2310</v>
      </c>
      <c r="F38" s="1740">
        <v>1980</v>
      </c>
      <c r="I38" s="450"/>
    </row>
    <row r="39" spans="2:10" ht="18">
      <c r="B39" s="876" t="s">
        <v>864</v>
      </c>
      <c r="C39" s="876" t="s">
        <v>865</v>
      </c>
      <c r="D39" s="876" t="s">
        <v>83</v>
      </c>
      <c r="E39" s="1739">
        <v>122</v>
      </c>
      <c r="F39" s="808">
        <v>127</v>
      </c>
      <c r="I39" s="450"/>
    </row>
    <row r="40" spans="2:10" ht="18">
      <c r="B40" s="876" t="s">
        <v>866</v>
      </c>
      <c r="C40" s="876" t="s">
        <v>867</v>
      </c>
      <c r="D40" s="876" t="s">
        <v>83</v>
      </c>
      <c r="E40" s="1739">
        <v>595</v>
      </c>
      <c r="F40" s="808">
        <v>525</v>
      </c>
      <c r="I40" s="450"/>
    </row>
    <row r="41" spans="2:10">
      <c r="B41" s="1854" t="s">
        <v>868</v>
      </c>
      <c r="C41" s="1854"/>
      <c r="D41" s="1854"/>
      <c r="E41" s="1854"/>
      <c r="F41" s="1741"/>
    </row>
    <row r="42" spans="2:10" ht="18">
      <c r="B42" s="876" t="s">
        <v>869</v>
      </c>
      <c r="C42" s="876" t="s">
        <v>870</v>
      </c>
      <c r="D42" s="876" t="s">
        <v>83</v>
      </c>
      <c r="E42" s="1739">
        <v>14800</v>
      </c>
      <c r="F42" s="1740">
        <v>12400</v>
      </c>
      <c r="I42" s="450"/>
    </row>
    <row r="43" spans="2:10" ht="18">
      <c r="B43" s="876" t="s">
        <v>871</v>
      </c>
      <c r="C43" s="876" t="s">
        <v>872</v>
      </c>
      <c r="D43" s="876" t="s">
        <v>83</v>
      </c>
      <c r="E43" s="1739">
        <v>675</v>
      </c>
      <c r="F43" s="808">
        <v>677</v>
      </c>
      <c r="I43" s="585"/>
    </row>
    <row r="44" spans="2:10" ht="18">
      <c r="B44" s="897" t="s">
        <v>873</v>
      </c>
      <c r="C44" s="897" t="s">
        <v>874</v>
      </c>
      <c r="D44" s="897" t="s">
        <v>83</v>
      </c>
      <c r="E44" s="1742" t="s">
        <v>48</v>
      </c>
      <c r="F44" s="808">
        <v>116</v>
      </c>
      <c r="I44" s="585"/>
    </row>
    <row r="45" spans="2:10" ht="18">
      <c r="B45" s="876" t="s">
        <v>875</v>
      </c>
      <c r="C45" s="876" t="s">
        <v>876</v>
      </c>
      <c r="D45" s="876" t="s">
        <v>83</v>
      </c>
      <c r="E45" s="1739">
        <v>3500</v>
      </c>
      <c r="F45" s="1740">
        <v>3170</v>
      </c>
      <c r="I45" s="1221"/>
      <c r="J45" s="583"/>
    </row>
    <row r="46" spans="2:10" ht="18">
      <c r="B46" s="897" t="s">
        <v>877</v>
      </c>
      <c r="C46" s="897" t="s">
        <v>878</v>
      </c>
      <c r="D46" s="897" t="s">
        <v>83</v>
      </c>
      <c r="E46" s="1742" t="s">
        <v>48</v>
      </c>
      <c r="F46" s="1740">
        <v>1120</v>
      </c>
      <c r="I46" s="1221"/>
      <c r="J46" s="583"/>
    </row>
    <row r="47" spans="2:10" ht="18">
      <c r="B47" s="876" t="s">
        <v>879</v>
      </c>
      <c r="C47" s="876" t="s">
        <v>880</v>
      </c>
      <c r="D47" s="876" t="s">
        <v>83</v>
      </c>
      <c r="E47" s="1739">
        <v>1430</v>
      </c>
      <c r="F47" s="1740">
        <v>1300</v>
      </c>
      <c r="I47" s="1221"/>
      <c r="J47" s="584"/>
    </row>
    <row r="48" spans="2:10" ht="18">
      <c r="B48" s="897" t="s">
        <v>881</v>
      </c>
      <c r="C48" s="897" t="s">
        <v>882</v>
      </c>
      <c r="D48" s="897" t="s">
        <v>83</v>
      </c>
      <c r="E48" s="1742" t="s">
        <v>48</v>
      </c>
      <c r="F48" s="1740">
        <v>328</v>
      </c>
      <c r="I48" s="1221"/>
      <c r="J48" s="584"/>
    </row>
    <row r="49" spans="2:10" ht="18">
      <c r="B49" s="876" t="s">
        <v>883</v>
      </c>
      <c r="C49" s="876" t="s">
        <v>884</v>
      </c>
      <c r="D49" s="876" t="s">
        <v>83</v>
      </c>
      <c r="E49" s="1739">
        <v>4470</v>
      </c>
      <c r="F49" s="1740">
        <v>4800</v>
      </c>
      <c r="I49" s="1221"/>
      <c r="J49" s="583"/>
    </row>
    <row r="50" spans="2:10" ht="18">
      <c r="B50" s="897" t="s">
        <v>885</v>
      </c>
      <c r="C50" s="897" t="s">
        <v>886</v>
      </c>
      <c r="D50" s="897" t="s">
        <v>83</v>
      </c>
      <c r="E50" s="1742" t="s">
        <v>48</v>
      </c>
      <c r="F50" s="1740">
        <v>16</v>
      </c>
      <c r="I50" s="1221"/>
      <c r="J50" s="583"/>
    </row>
    <row r="51" spans="2:10" ht="18">
      <c r="B51" s="876" t="s">
        <v>887</v>
      </c>
      <c r="C51" s="876" t="s">
        <v>888</v>
      </c>
      <c r="D51" s="876" t="s">
        <v>83</v>
      </c>
      <c r="E51" s="1739">
        <v>124</v>
      </c>
      <c r="F51" s="808">
        <v>138</v>
      </c>
      <c r="I51" s="1221"/>
      <c r="J51" s="583"/>
    </row>
    <row r="52" spans="2:10" ht="18">
      <c r="B52" s="897" t="s">
        <v>889</v>
      </c>
      <c r="C52" s="897" t="s">
        <v>890</v>
      </c>
      <c r="D52" s="897" t="s">
        <v>83</v>
      </c>
      <c r="E52" s="1742" t="s">
        <v>48</v>
      </c>
      <c r="F52" s="808">
        <v>4</v>
      </c>
      <c r="I52" s="1221"/>
      <c r="J52" s="583"/>
    </row>
    <row r="53" spans="2:10" ht="18">
      <c r="B53" s="876" t="s">
        <v>891</v>
      </c>
      <c r="C53" s="876" t="s">
        <v>892</v>
      </c>
      <c r="D53" s="876" t="s">
        <v>83</v>
      </c>
      <c r="E53" s="1739">
        <v>3220</v>
      </c>
      <c r="F53" s="1740">
        <v>3350</v>
      </c>
      <c r="I53" s="1221"/>
      <c r="J53" s="583"/>
    </row>
    <row r="54" spans="2:10" ht="18">
      <c r="B54" s="897" t="s">
        <v>893</v>
      </c>
      <c r="C54" s="897" t="s">
        <v>894</v>
      </c>
      <c r="D54" s="897" t="s">
        <v>83</v>
      </c>
      <c r="E54" s="1742" t="s">
        <v>48</v>
      </c>
      <c r="F54" s="1740">
        <v>1210</v>
      </c>
      <c r="I54" s="1221"/>
      <c r="J54" s="583"/>
    </row>
    <row r="55" spans="2:10" ht="18">
      <c r="B55" s="897" t="s">
        <v>895</v>
      </c>
      <c r="C55" s="897" t="s">
        <v>896</v>
      </c>
      <c r="D55" s="897" t="s">
        <v>83</v>
      </c>
      <c r="E55" s="1742" t="s">
        <v>48</v>
      </c>
      <c r="F55" s="1740">
        <v>1330</v>
      </c>
      <c r="I55" s="1221"/>
      <c r="J55" s="583"/>
    </row>
    <row r="56" spans="2:10" ht="18">
      <c r="B56" s="876" t="s">
        <v>897</v>
      </c>
      <c r="C56" s="876" t="s">
        <v>898</v>
      </c>
      <c r="D56" s="876" t="s">
        <v>83</v>
      </c>
      <c r="E56" s="1739">
        <v>9810</v>
      </c>
      <c r="F56" s="1740">
        <v>8060</v>
      </c>
      <c r="I56" s="1221"/>
      <c r="J56" s="584"/>
    </row>
    <row r="57" spans="2:10" ht="18">
      <c r="B57" s="897" t="s">
        <v>899</v>
      </c>
      <c r="C57" s="897" t="s">
        <v>900</v>
      </c>
      <c r="D57" s="897" t="s">
        <v>83</v>
      </c>
      <c r="E57" s="1742" t="s">
        <v>48</v>
      </c>
      <c r="F57" s="1740">
        <v>716</v>
      </c>
      <c r="I57" s="1221"/>
      <c r="J57" s="584"/>
    </row>
    <row r="58" spans="2:10" ht="18">
      <c r="B58" s="876" t="s">
        <v>901</v>
      </c>
      <c r="C58" s="876" t="s">
        <v>902</v>
      </c>
      <c r="D58" s="876" t="s">
        <v>83</v>
      </c>
      <c r="E58" s="1739">
        <v>1030</v>
      </c>
      <c r="F58" s="808">
        <v>858</v>
      </c>
      <c r="I58" s="1221"/>
      <c r="J58" s="584"/>
    </row>
    <row r="59" spans="2:10" ht="18">
      <c r="B59" s="876" t="s">
        <v>903</v>
      </c>
      <c r="C59" s="876" t="s">
        <v>904</v>
      </c>
      <c r="D59" s="876" t="s">
        <v>83</v>
      </c>
      <c r="E59" s="1739">
        <v>794</v>
      </c>
      <c r="F59" s="808">
        <v>804</v>
      </c>
      <c r="I59" s="1221"/>
      <c r="J59" s="583"/>
    </row>
    <row r="60" spans="2:10" ht="18">
      <c r="B60" s="876" t="s">
        <v>905</v>
      </c>
      <c r="C60" s="876" t="s">
        <v>906</v>
      </c>
      <c r="D60" s="876" t="s">
        <v>83</v>
      </c>
      <c r="E60" s="1739">
        <v>1640</v>
      </c>
      <c r="F60" s="1740">
        <v>1650</v>
      </c>
      <c r="I60" s="585"/>
      <c r="J60" s="583"/>
    </row>
    <row r="61" spans="2:10">
      <c r="B61" s="1854" t="s">
        <v>907</v>
      </c>
      <c r="C61" s="1854"/>
      <c r="D61" s="1854"/>
      <c r="E61" s="1854"/>
      <c r="F61" s="1738" t="s">
        <v>908</v>
      </c>
      <c r="J61" s="583"/>
    </row>
    <row r="62" spans="2:10" ht="18">
      <c r="B62" s="876" t="s">
        <v>909</v>
      </c>
      <c r="C62" s="876" t="s">
        <v>910</v>
      </c>
      <c r="D62" s="876" t="s">
        <v>83</v>
      </c>
      <c r="E62" s="1743">
        <v>22800</v>
      </c>
      <c r="F62" s="1740">
        <v>23500</v>
      </c>
      <c r="I62" s="451"/>
      <c r="J62" s="583"/>
    </row>
    <row r="63" spans="2:10" ht="18">
      <c r="B63" s="876" t="s">
        <v>911</v>
      </c>
      <c r="C63" s="876" t="s">
        <v>912</v>
      </c>
      <c r="D63" s="876" t="s">
        <v>83</v>
      </c>
      <c r="E63" s="1743">
        <v>17200</v>
      </c>
      <c r="F63" s="1740">
        <v>16100</v>
      </c>
      <c r="I63" s="451"/>
      <c r="J63" s="583"/>
    </row>
    <row r="64" spans="2:10" ht="18">
      <c r="B64" s="876" t="s">
        <v>913</v>
      </c>
      <c r="C64" s="876" t="s">
        <v>914</v>
      </c>
      <c r="D64" s="876" t="s">
        <v>83</v>
      </c>
      <c r="E64" s="1743">
        <v>7390</v>
      </c>
      <c r="F64" s="1740">
        <v>6630</v>
      </c>
      <c r="I64" s="451"/>
      <c r="J64" s="583"/>
    </row>
    <row r="65" spans="2:10" ht="18">
      <c r="B65" s="876" t="s">
        <v>915</v>
      </c>
      <c r="C65" s="1719" t="s">
        <v>916</v>
      </c>
      <c r="D65" s="876" t="s">
        <v>83</v>
      </c>
      <c r="E65" s="1743">
        <v>12200</v>
      </c>
      <c r="F65" s="1740">
        <v>11100</v>
      </c>
      <c r="I65" s="451"/>
    </row>
    <row r="66" spans="2:10" ht="18">
      <c r="B66" s="876" t="s">
        <v>917</v>
      </c>
      <c r="C66" s="1719" t="s">
        <v>918</v>
      </c>
      <c r="D66" s="876" t="s">
        <v>83</v>
      </c>
      <c r="E66" s="1743">
        <v>8830</v>
      </c>
      <c r="F66" s="1740">
        <v>8900</v>
      </c>
      <c r="I66" s="451"/>
    </row>
    <row r="67" spans="2:10" ht="18">
      <c r="B67" s="876" t="s">
        <v>919</v>
      </c>
      <c r="C67" s="1719" t="s">
        <v>920</v>
      </c>
      <c r="D67" s="876" t="s">
        <v>83</v>
      </c>
      <c r="E67" s="1743">
        <v>10300</v>
      </c>
      <c r="F67" s="1740">
        <v>9540</v>
      </c>
      <c r="I67" s="451"/>
    </row>
    <row r="68" spans="2:10" ht="18">
      <c r="B68" s="876" t="s">
        <v>921</v>
      </c>
      <c r="C68" s="1719" t="s">
        <v>922</v>
      </c>
      <c r="D68" s="876" t="s">
        <v>83</v>
      </c>
      <c r="E68" s="1743">
        <v>8860</v>
      </c>
      <c r="F68" s="1740">
        <v>9200</v>
      </c>
      <c r="I68" s="451"/>
    </row>
    <row r="69" spans="2:10" ht="18">
      <c r="B69" s="876" t="s">
        <v>923</v>
      </c>
      <c r="C69" s="1719" t="s">
        <v>924</v>
      </c>
      <c r="D69" s="876" t="s">
        <v>83</v>
      </c>
      <c r="E69" s="1743">
        <v>9160</v>
      </c>
      <c r="F69" s="1740">
        <v>8550</v>
      </c>
      <c r="I69" s="451"/>
    </row>
    <row r="70" spans="2:10" ht="18">
      <c r="B70" s="876" t="s">
        <v>925</v>
      </c>
      <c r="C70" s="1719" t="s">
        <v>926</v>
      </c>
      <c r="D70" s="876" t="s">
        <v>83</v>
      </c>
      <c r="E70" s="1743">
        <v>9300</v>
      </c>
      <c r="F70" s="1740">
        <v>7910</v>
      </c>
      <c r="I70" s="451"/>
    </row>
    <row r="71" spans="2:10" ht="18">
      <c r="B71" s="876" t="s">
        <v>927</v>
      </c>
      <c r="C71" s="1719" t="s">
        <v>928</v>
      </c>
      <c r="D71" s="876" t="s">
        <v>83</v>
      </c>
      <c r="E71" s="1743">
        <v>7500</v>
      </c>
      <c r="F71" s="1740">
        <v>7190</v>
      </c>
    </row>
    <row r="72" spans="2:10" ht="32.25" customHeight="1">
      <c r="B72" s="876" t="s">
        <v>929</v>
      </c>
      <c r="C72" s="1719" t="s">
        <v>930</v>
      </c>
      <c r="D72" s="876" t="s">
        <v>83</v>
      </c>
      <c r="E72" s="1743">
        <v>17700</v>
      </c>
      <c r="F72" s="1740">
        <v>17400</v>
      </c>
      <c r="I72" s="1221"/>
      <c r="J72" s="583"/>
    </row>
    <row r="73" spans="2:10" ht="32.25" customHeight="1">
      <c r="B73" s="897" t="s">
        <v>931</v>
      </c>
      <c r="C73" s="897" t="s">
        <v>932</v>
      </c>
      <c r="D73" s="897" t="s">
        <v>83</v>
      </c>
      <c r="E73" s="1744" t="s">
        <v>48</v>
      </c>
      <c r="F73" s="1740">
        <v>9200</v>
      </c>
      <c r="I73" s="1221"/>
      <c r="J73" s="583"/>
    </row>
    <row r="74" spans="2:10">
      <c r="B74" s="1854" t="s">
        <v>933</v>
      </c>
      <c r="C74" s="1854"/>
      <c r="D74" s="1854"/>
      <c r="E74" s="1854"/>
      <c r="F74" s="1738" t="s">
        <v>934</v>
      </c>
    </row>
    <row r="75" spans="2:10" ht="18">
      <c r="B75" s="876" t="s">
        <v>935</v>
      </c>
      <c r="C75" s="897" t="s">
        <v>936</v>
      </c>
      <c r="D75" s="876" t="s">
        <v>83</v>
      </c>
      <c r="E75" s="1743">
        <v>14900</v>
      </c>
      <c r="F75" s="1740">
        <v>12400</v>
      </c>
      <c r="I75" s="451"/>
    </row>
    <row r="76" spans="2:10" ht="18">
      <c r="B76" s="876" t="s">
        <v>937</v>
      </c>
      <c r="C76" s="897" t="s">
        <v>938</v>
      </c>
      <c r="D76" s="876" t="s">
        <v>83</v>
      </c>
      <c r="E76" s="1743">
        <v>6320</v>
      </c>
      <c r="F76" s="1740">
        <v>5560</v>
      </c>
      <c r="I76" s="451"/>
    </row>
    <row r="77" spans="2:10" ht="18">
      <c r="B77" s="876" t="s">
        <v>939</v>
      </c>
      <c r="C77" s="897" t="s">
        <v>940</v>
      </c>
      <c r="D77" s="876" t="s">
        <v>83</v>
      </c>
      <c r="E77" s="896">
        <v>756</v>
      </c>
      <c r="F77" s="808">
        <v>523</v>
      </c>
    </row>
    <row r="78" spans="2:10">
      <c r="B78" s="897" t="s">
        <v>941</v>
      </c>
      <c r="C78" s="897" t="s">
        <v>942</v>
      </c>
      <c r="D78" s="897" t="s">
        <v>83</v>
      </c>
      <c r="E78" s="1745" t="s">
        <v>48</v>
      </c>
      <c r="F78" s="808">
        <v>6450</v>
      </c>
      <c r="I78" s="1221"/>
      <c r="J78" s="584"/>
    </row>
    <row r="79" spans="2:10" ht="18">
      <c r="B79" s="876" t="s">
        <v>943</v>
      </c>
      <c r="C79" s="897" t="s">
        <v>944</v>
      </c>
      <c r="D79" s="876" t="s">
        <v>83</v>
      </c>
      <c r="E79" s="896">
        <v>350</v>
      </c>
      <c r="F79" s="808">
        <v>491</v>
      </c>
    </row>
    <row r="80" spans="2:10">
      <c r="B80" s="897" t="s">
        <v>945</v>
      </c>
      <c r="C80" s="897" t="s">
        <v>946</v>
      </c>
      <c r="D80" s="897" t="s">
        <v>83</v>
      </c>
      <c r="E80" s="1745" t="s">
        <v>48</v>
      </c>
      <c r="F80" s="808">
        <v>1790</v>
      </c>
      <c r="I80" s="1221"/>
      <c r="J80" s="584"/>
    </row>
    <row r="81" spans="2:10">
      <c r="B81" s="897" t="s">
        <v>947</v>
      </c>
      <c r="C81" s="897" t="s">
        <v>948</v>
      </c>
      <c r="D81" s="897" t="s">
        <v>83</v>
      </c>
      <c r="E81" s="1745" t="s">
        <v>48</v>
      </c>
      <c r="F81" s="808">
        <v>979</v>
      </c>
      <c r="I81" s="1221"/>
      <c r="J81" s="584"/>
    </row>
    <row r="82" spans="2:10" ht="18">
      <c r="B82" s="876" t="s">
        <v>949</v>
      </c>
      <c r="C82" s="897" t="s">
        <v>950</v>
      </c>
      <c r="D82" s="876" t="s">
        <v>83</v>
      </c>
      <c r="E82" s="896">
        <v>708</v>
      </c>
      <c r="F82" s="808">
        <v>654</v>
      </c>
    </row>
    <row r="83" spans="2:10">
      <c r="B83" s="897" t="s">
        <v>951</v>
      </c>
      <c r="C83" s="897" t="s">
        <v>952</v>
      </c>
      <c r="D83" s="897" t="s">
        <v>83</v>
      </c>
      <c r="E83" s="1745" t="s">
        <v>48</v>
      </c>
      <c r="F83" s="808">
        <v>828</v>
      </c>
    </row>
    <row r="84" spans="2:10" ht="18">
      <c r="B84" s="876" t="s">
        <v>953</v>
      </c>
      <c r="C84" s="897" t="s">
        <v>954</v>
      </c>
      <c r="D84" s="876" t="s">
        <v>83</v>
      </c>
      <c r="E84" s="896">
        <v>659</v>
      </c>
      <c r="F84" s="808">
        <v>812</v>
      </c>
    </row>
    <row r="85" spans="2:10">
      <c r="B85" s="876" t="s">
        <v>955</v>
      </c>
      <c r="C85" s="897"/>
      <c r="D85" s="876" t="s">
        <v>83</v>
      </c>
      <c r="E85" s="896">
        <v>359</v>
      </c>
      <c r="F85" s="808">
        <v>359</v>
      </c>
      <c r="G85" s="583" t="s">
        <v>821</v>
      </c>
    </row>
    <row r="86" spans="2:10">
      <c r="B86" s="897" t="s">
        <v>956</v>
      </c>
      <c r="C86" s="897" t="s">
        <v>957</v>
      </c>
      <c r="D86" s="897" t="s">
        <v>83</v>
      </c>
      <c r="E86" s="1745" t="s">
        <v>48</v>
      </c>
      <c r="F86" s="808">
        <v>1</v>
      </c>
      <c r="G86" s="583"/>
      <c r="I86" s="1221"/>
      <c r="J86" s="583"/>
    </row>
    <row r="87" spans="2:10">
      <c r="B87" s="897" t="s">
        <v>958</v>
      </c>
      <c r="C87" s="897" t="s">
        <v>959</v>
      </c>
      <c r="D87" s="897" t="s">
        <v>83</v>
      </c>
      <c r="E87" s="1745" t="s">
        <v>48</v>
      </c>
      <c r="F87" s="808">
        <v>3070</v>
      </c>
      <c r="G87" s="583"/>
      <c r="I87" s="1221"/>
      <c r="J87" s="583"/>
    </row>
    <row r="88" spans="2:10">
      <c r="B88" s="897" t="s">
        <v>960</v>
      </c>
      <c r="C88" s="897" t="s">
        <v>961</v>
      </c>
      <c r="D88" s="897" t="s">
        <v>83</v>
      </c>
      <c r="E88" s="1745" t="s">
        <v>48</v>
      </c>
      <c r="F88" s="808">
        <v>929</v>
      </c>
      <c r="G88" s="583"/>
      <c r="I88" s="1221"/>
      <c r="J88" s="583"/>
    </row>
    <row r="89" spans="2:10" ht="18">
      <c r="B89" s="876" t="s">
        <v>962</v>
      </c>
      <c r="C89" s="897" t="s">
        <v>963</v>
      </c>
      <c r="D89" s="876" t="s">
        <v>83</v>
      </c>
      <c r="E89" s="896">
        <v>575</v>
      </c>
      <c r="F89" s="808">
        <v>530</v>
      </c>
    </row>
    <row r="90" spans="2:10">
      <c r="B90" s="897" t="s">
        <v>964</v>
      </c>
      <c r="C90" s="897" t="s">
        <v>965</v>
      </c>
      <c r="D90" s="897" t="s">
        <v>83</v>
      </c>
      <c r="E90" s="1745" t="s">
        <v>48</v>
      </c>
      <c r="F90" s="808">
        <v>854</v>
      </c>
    </row>
    <row r="91" spans="2:10" ht="18">
      <c r="B91" s="876" t="s">
        <v>966</v>
      </c>
      <c r="C91" s="897" t="s">
        <v>967</v>
      </c>
      <c r="D91" s="876" t="s">
        <v>83</v>
      </c>
      <c r="E91" s="896">
        <v>580</v>
      </c>
      <c r="F91" s="808">
        <v>889</v>
      </c>
    </row>
    <row r="92" spans="2:10">
      <c r="B92" s="897" t="s">
        <v>968</v>
      </c>
      <c r="C92" s="897" t="s">
        <v>969</v>
      </c>
      <c r="D92" s="897" t="s">
        <v>83</v>
      </c>
      <c r="E92" s="1745" t="s">
        <v>48</v>
      </c>
      <c r="F92" s="808">
        <v>387</v>
      </c>
    </row>
    <row r="93" spans="2:10" ht="18">
      <c r="B93" s="876" t="s">
        <v>970</v>
      </c>
      <c r="C93" s="897" t="s">
        <v>971</v>
      </c>
      <c r="D93" s="876" t="s">
        <v>83</v>
      </c>
      <c r="E93" s="896">
        <v>110</v>
      </c>
      <c r="F93" s="808">
        <v>413</v>
      </c>
    </row>
    <row r="94" spans="2:10">
      <c r="B94" s="897" t="s">
        <v>972</v>
      </c>
      <c r="C94" s="897" t="s">
        <v>973</v>
      </c>
      <c r="D94" s="897" t="s">
        <v>83</v>
      </c>
      <c r="E94" s="1745" t="s">
        <v>48</v>
      </c>
      <c r="F94" s="808">
        <v>719</v>
      </c>
    </row>
    <row r="95" spans="2:10">
      <c r="B95" s="897" t="s">
        <v>974</v>
      </c>
      <c r="C95" s="897" t="s">
        <v>975</v>
      </c>
      <c r="D95" s="897" t="s">
        <v>83</v>
      </c>
      <c r="E95" s="1745" t="s">
        <v>48</v>
      </c>
      <c r="F95" s="808">
        <v>446</v>
      </c>
    </row>
    <row r="96" spans="2:10">
      <c r="B96" s="897" t="s">
        <v>976</v>
      </c>
      <c r="C96" s="897" t="s">
        <v>977</v>
      </c>
      <c r="D96" s="897" t="s">
        <v>83</v>
      </c>
      <c r="E96" s="1745" t="s">
        <v>48</v>
      </c>
      <c r="F96" s="808">
        <v>1</v>
      </c>
    </row>
    <row r="97" spans="2:10">
      <c r="B97" s="897" t="s">
        <v>978</v>
      </c>
      <c r="C97" s="897" t="s">
        <v>979</v>
      </c>
      <c r="D97" s="897" t="s">
        <v>83</v>
      </c>
      <c r="E97" s="1745" t="s">
        <v>48</v>
      </c>
      <c r="F97" s="808">
        <v>627</v>
      </c>
    </row>
    <row r="98" spans="2:10" ht="18">
      <c r="B98" s="876" t="s">
        <v>980</v>
      </c>
      <c r="C98" s="897" t="s">
        <v>981</v>
      </c>
      <c r="D98" s="876" t="s">
        <v>83</v>
      </c>
      <c r="E98" s="896">
        <v>297</v>
      </c>
      <c r="F98" s="808">
        <v>421</v>
      </c>
    </row>
    <row r="99" spans="2:10" ht="18">
      <c r="B99" s="876" t="s">
        <v>982</v>
      </c>
      <c r="C99" s="897" t="s">
        <v>983</v>
      </c>
      <c r="D99" s="876" t="s">
        <v>83</v>
      </c>
      <c r="E99" s="896">
        <v>59</v>
      </c>
      <c r="F99" s="808">
        <v>57</v>
      </c>
    </row>
    <row r="100" spans="2:10" ht="30">
      <c r="B100" s="876" t="s">
        <v>984</v>
      </c>
      <c r="C100" s="897" t="s">
        <v>985</v>
      </c>
      <c r="D100" s="876" t="s">
        <v>83</v>
      </c>
      <c r="E100" s="1743">
        <v>1870</v>
      </c>
      <c r="F100" s="1740">
        <v>2820</v>
      </c>
    </row>
    <row r="101" spans="2:10" ht="18">
      <c r="B101" s="876" t="s">
        <v>986</v>
      </c>
      <c r="C101" s="897" t="s">
        <v>987</v>
      </c>
      <c r="D101" s="876" t="s">
        <v>83</v>
      </c>
      <c r="E101" s="1743">
        <v>2800</v>
      </c>
      <c r="F101" s="1740">
        <v>5350</v>
      </c>
    </row>
    <row r="102" spans="2:10" ht="18">
      <c r="B102" s="876" t="s">
        <v>988</v>
      </c>
      <c r="C102" s="897" t="s">
        <v>989</v>
      </c>
      <c r="D102" s="876" t="s">
        <v>83</v>
      </c>
      <c r="E102" s="1743">
        <v>1500</v>
      </c>
      <c r="F102" s="1740">
        <v>2910</v>
      </c>
    </row>
    <row r="103" spans="2:10">
      <c r="B103" s="1854" t="s">
        <v>990</v>
      </c>
      <c r="C103" s="1854"/>
      <c r="D103" s="1854"/>
      <c r="E103" s="1854"/>
      <c r="F103" s="1741"/>
      <c r="I103" s="585"/>
      <c r="J103" s="583"/>
    </row>
    <row r="104" spans="2:10" ht="30">
      <c r="B104" s="876" t="s">
        <v>991</v>
      </c>
      <c r="C104" s="897" t="s">
        <v>992</v>
      </c>
      <c r="D104" s="876" t="s">
        <v>83</v>
      </c>
      <c r="E104" s="1743">
        <v>10300</v>
      </c>
      <c r="F104" s="1740">
        <v>9710</v>
      </c>
      <c r="I104" s="585"/>
      <c r="J104" s="583"/>
    </row>
    <row r="105" spans="2:10" ht="15" customHeight="1">
      <c r="B105" s="1854" t="s">
        <v>993</v>
      </c>
      <c r="C105" s="1854"/>
      <c r="D105" s="1854"/>
      <c r="E105" s="1854"/>
      <c r="F105" s="1738" t="s">
        <v>994</v>
      </c>
      <c r="I105" s="585"/>
      <c r="J105" s="583"/>
    </row>
    <row r="106" spans="2:10" ht="15" customHeight="1">
      <c r="B106" s="897" t="s">
        <v>995</v>
      </c>
      <c r="C106" s="1746" t="s">
        <v>996</v>
      </c>
      <c r="D106" s="1746"/>
      <c r="E106" s="1746"/>
      <c r="F106" s="583">
        <v>16</v>
      </c>
      <c r="I106" s="585"/>
      <c r="J106" s="583"/>
    </row>
    <row r="107" spans="2:10">
      <c r="B107" s="876" t="s">
        <v>997</v>
      </c>
      <c r="C107" s="897"/>
      <c r="D107" s="876" t="s">
        <v>83</v>
      </c>
      <c r="E107" s="896">
        <v>1</v>
      </c>
      <c r="F107" s="808">
        <v>1</v>
      </c>
      <c r="G107" s="583" t="s">
        <v>821</v>
      </c>
      <c r="I107" s="585"/>
      <c r="J107" s="583"/>
    </row>
    <row r="108" spans="2:10" ht="18">
      <c r="B108" s="876" t="s">
        <v>998</v>
      </c>
      <c r="C108" s="897" t="s">
        <v>999</v>
      </c>
      <c r="D108" s="876" t="s">
        <v>83</v>
      </c>
      <c r="E108" s="896">
        <v>8.6999999999999993</v>
      </c>
      <c r="F108" s="808">
        <v>9</v>
      </c>
    </row>
    <row r="109" spans="2:10">
      <c r="B109" s="897" t="s">
        <v>1000</v>
      </c>
      <c r="C109" s="897" t="s">
        <v>1001</v>
      </c>
      <c r="D109" s="876"/>
      <c r="E109" s="896"/>
      <c r="F109" s="583">
        <v>376</v>
      </c>
      <c r="I109" s="897"/>
      <c r="J109" s="583"/>
    </row>
    <row r="110" spans="2:10" ht="18">
      <c r="B110" s="876" t="s">
        <v>1002</v>
      </c>
      <c r="C110" s="897" t="s">
        <v>1003</v>
      </c>
      <c r="D110" s="876" t="s">
        <v>83</v>
      </c>
      <c r="E110" s="896">
        <v>13</v>
      </c>
      <c r="F110" s="808">
        <v>12</v>
      </c>
    </row>
    <row r="111" spans="2:10" ht="15" customHeight="1">
      <c r="B111" s="1854" t="s">
        <v>1004</v>
      </c>
      <c r="C111" s="1854"/>
      <c r="D111" s="1854"/>
      <c r="E111" s="1854"/>
      <c r="F111" s="1741"/>
      <c r="I111" s="585"/>
      <c r="J111" s="583"/>
    </row>
    <row r="112" spans="2:10" ht="30">
      <c r="B112" s="1747" t="s">
        <v>1005</v>
      </c>
      <c r="C112" s="1748" t="s">
        <v>1006</v>
      </c>
      <c r="D112" s="1747" t="s">
        <v>83</v>
      </c>
      <c r="E112" s="1748" t="s">
        <v>1007</v>
      </c>
      <c r="F112" s="1749" t="s">
        <v>821</v>
      </c>
    </row>
    <row r="113" spans="2:9" ht="30">
      <c r="B113" s="876" t="s">
        <v>1008</v>
      </c>
      <c r="C113" s="876" t="s">
        <v>1009</v>
      </c>
      <c r="D113" s="876" t="s">
        <v>83</v>
      </c>
      <c r="E113" s="1750">
        <v>3921.6</v>
      </c>
      <c r="F113" s="1751">
        <v>3922</v>
      </c>
      <c r="G113" s="1205" t="s">
        <v>1010</v>
      </c>
      <c r="I113" s="452"/>
    </row>
    <row r="114" spans="2:9" ht="30">
      <c r="B114" s="876" t="s">
        <v>1011</v>
      </c>
      <c r="C114" s="876" t="s">
        <v>1012</v>
      </c>
      <c r="D114" s="876" t="s">
        <v>83</v>
      </c>
      <c r="E114" s="1750">
        <v>1942.72</v>
      </c>
      <c r="F114" s="1751">
        <v>1943</v>
      </c>
      <c r="G114" s="1205" t="s">
        <v>1013</v>
      </c>
      <c r="I114" s="452"/>
    </row>
    <row r="115" spans="2:9" ht="30">
      <c r="B115" s="876" t="s">
        <v>1014</v>
      </c>
      <c r="C115" s="876" t="s">
        <v>1015</v>
      </c>
      <c r="D115" s="876" t="s">
        <v>83</v>
      </c>
      <c r="E115" s="1750">
        <v>1773.85</v>
      </c>
      <c r="F115" s="1751">
        <v>1774</v>
      </c>
      <c r="G115" s="1205" t="s">
        <v>1010</v>
      </c>
      <c r="I115" s="452"/>
    </row>
    <row r="116" spans="2:9" ht="30">
      <c r="B116" s="876" t="s">
        <v>1016</v>
      </c>
      <c r="C116" s="876" t="s">
        <v>1017</v>
      </c>
      <c r="D116" s="876" t="s">
        <v>83</v>
      </c>
      <c r="E116" s="1750">
        <v>1824.5</v>
      </c>
      <c r="F116" s="1751">
        <v>1825</v>
      </c>
      <c r="G116" s="1205" t="s">
        <v>1010</v>
      </c>
      <c r="I116" s="452"/>
    </row>
    <row r="117" spans="2:9" ht="30">
      <c r="B117" s="876" t="s">
        <v>1018</v>
      </c>
      <c r="C117" s="876" t="s">
        <v>1019</v>
      </c>
      <c r="D117" s="876" t="s">
        <v>83</v>
      </c>
      <c r="E117" s="1750">
        <v>1375.84</v>
      </c>
      <c r="F117" s="1751">
        <v>3152</v>
      </c>
      <c r="G117" s="1205" t="s">
        <v>1010</v>
      </c>
      <c r="I117" s="452"/>
    </row>
    <row r="118" spans="2:9" ht="30">
      <c r="B118" s="876" t="s">
        <v>1020</v>
      </c>
      <c r="C118" s="876" t="s">
        <v>1021</v>
      </c>
      <c r="D118" s="876" t="s">
        <v>83</v>
      </c>
      <c r="E118" s="1750">
        <v>1584.75</v>
      </c>
      <c r="F118" s="1751">
        <v>1585</v>
      </c>
      <c r="G118" s="1205" t="s">
        <v>1013</v>
      </c>
    </row>
    <row r="119" spans="2:9" ht="30">
      <c r="B119" s="876" t="s">
        <v>1022</v>
      </c>
      <c r="C119" s="876" t="s">
        <v>1023</v>
      </c>
      <c r="D119" s="876" t="s">
        <v>83</v>
      </c>
      <c r="E119" s="1750">
        <v>1559.75</v>
      </c>
      <c r="F119" s="1752"/>
      <c r="G119" s="1205" t="s">
        <v>1024</v>
      </c>
      <c r="H119" s="587" t="s">
        <v>1025</v>
      </c>
      <c r="I119" s="452" t="s">
        <v>1026</v>
      </c>
    </row>
    <row r="120" spans="2:9" ht="30">
      <c r="B120" s="876" t="s">
        <v>1027</v>
      </c>
      <c r="C120" s="876" t="s">
        <v>1028</v>
      </c>
      <c r="D120" s="876" t="s">
        <v>83</v>
      </c>
      <c r="E120" s="1750">
        <v>2087.5</v>
      </c>
      <c r="F120" s="1751">
        <v>2088</v>
      </c>
      <c r="G120" s="1205" t="s">
        <v>1010</v>
      </c>
      <c r="I120" s="452"/>
    </row>
    <row r="121" spans="2:9" ht="30">
      <c r="B121" s="876" t="s">
        <v>1029</v>
      </c>
      <c r="C121" s="876" t="s">
        <v>1030</v>
      </c>
      <c r="D121" s="876" t="s">
        <v>83</v>
      </c>
      <c r="E121" s="1753">
        <v>3.15</v>
      </c>
      <c r="F121" s="1752"/>
      <c r="G121" s="1205" t="s">
        <v>1024</v>
      </c>
      <c r="H121" s="587" t="s">
        <v>1025</v>
      </c>
      <c r="I121" s="453" t="s">
        <v>1026</v>
      </c>
    </row>
    <row r="122" spans="2:9" ht="30">
      <c r="B122" s="876" t="s">
        <v>1031</v>
      </c>
      <c r="C122" s="876" t="s">
        <v>1032</v>
      </c>
      <c r="D122" s="876" t="s">
        <v>83</v>
      </c>
      <c r="E122" s="1753">
        <v>3.1559999999999997</v>
      </c>
      <c r="F122" s="1752"/>
      <c r="G122" s="1205" t="s">
        <v>1024</v>
      </c>
      <c r="H122" s="587" t="s">
        <v>1025</v>
      </c>
      <c r="I122" s="453"/>
    </row>
    <row r="123" spans="2:9" ht="30">
      <c r="B123" s="897">
        <v>502</v>
      </c>
      <c r="C123" s="876"/>
      <c r="D123" s="876"/>
      <c r="E123" s="1753"/>
      <c r="F123" s="200">
        <v>4657</v>
      </c>
      <c r="G123" s="587" t="s">
        <v>1013</v>
      </c>
      <c r="H123" s="1205"/>
      <c r="I123" s="453"/>
    </row>
    <row r="124" spans="2:9" ht="15" customHeight="1">
      <c r="B124" s="1854" t="s">
        <v>1033</v>
      </c>
      <c r="C124" s="1854"/>
      <c r="D124" s="1854"/>
      <c r="E124" s="1854"/>
      <c r="F124" s="1741"/>
    </row>
    <row r="125" spans="2:9" ht="30">
      <c r="B125" s="1747" t="s">
        <v>1005</v>
      </c>
      <c r="C125" s="1748" t="s">
        <v>1006</v>
      </c>
      <c r="D125" s="1747" t="s">
        <v>83</v>
      </c>
      <c r="E125" s="1748" t="s">
        <v>1007</v>
      </c>
      <c r="F125" s="1749"/>
    </row>
    <row r="126" spans="2:9" ht="30">
      <c r="B126" s="876" t="s">
        <v>1034</v>
      </c>
      <c r="C126" s="876" t="s">
        <v>1035</v>
      </c>
      <c r="D126" s="903" t="s">
        <v>83</v>
      </c>
      <c r="E126" s="1754">
        <v>3985</v>
      </c>
      <c r="F126" s="1751">
        <v>3985</v>
      </c>
      <c r="G126" s="1205" t="s">
        <v>1010</v>
      </c>
      <c r="I126" s="454"/>
    </row>
    <row r="127" spans="2:9">
      <c r="B127" s="1992" t="s">
        <v>1036</v>
      </c>
      <c r="C127" s="1992"/>
      <c r="D127" s="1992"/>
      <c r="E127" s="1992"/>
      <c r="F127" s="1741"/>
    </row>
    <row r="128" spans="2:9" ht="18">
      <c r="B128" s="904" t="s">
        <v>1037</v>
      </c>
      <c r="C128" s="904" t="s">
        <v>1038</v>
      </c>
      <c r="D128" s="904" t="s">
        <v>83</v>
      </c>
      <c r="E128" s="904">
        <v>216</v>
      </c>
      <c r="F128" s="1737">
        <v>216</v>
      </c>
    </row>
    <row r="129" spans="2:9" ht="18">
      <c r="B129" s="904" t="s">
        <v>1039</v>
      </c>
      <c r="C129" s="904" t="s">
        <v>1040</v>
      </c>
      <c r="D129" s="904" t="s">
        <v>83</v>
      </c>
      <c r="E129" s="904">
        <v>350</v>
      </c>
      <c r="F129" s="1737">
        <v>491</v>
      </c>
    </row>
    <row r="130" spans="2:9" ht="18">
      <c r="B130" s="904" t="s">
        <v>1041</v>
      </c>
      <c r="C130" s="904" t="s">
        <v>1042</v>
      </c>
      <c r="D130" s="904" t="s">
        <v>83</v>
      </c>
      <c r="E130" s="904">
        <v>1790</v>
      </c>
      <c r="F130" s="1751">
        <v>1790</v>
      </c>
    </row>
    <row r="131" spans="2:9">
      <c r="B131" s="1755" t="s">
        <v>1043</v>
      </c>
      <c r="C131" s="1748" t="s">
        <v>1006</v>
      </c>
      <c r="D131" s="1747" t="s">
        <v>83</v>
      </c>
      <c r="E131" s="1748" t="s">
        <v>1007</v>
      </c>
      <c r="F131" s="1749"/>
    </row>
    <row r="132" spans="2:9" ht="18">
      <c r="B132" s="904" t="s">
        <v>1044</v>
      </c>
      <c r="C132" s="904" t="s">
        <v>1045</v>
      </c>
      <c r="D132" s="904" t="s">
        <v>83</v>
      </c>
      <c r="E132" s="904">
        <v>173</v>
      </c>
      <c r="F132" s="1751">
        <v>173</v>
      </c>
      <c r="G132" s="1206" t="s">
        <v>1046</v>
      </c>
    </row>
    <row r="134" spans="2:9" s="226" customFormat="1">
      <c r="B134" s="423" t="s">
        <v>1047</v>
      </c>
    </row>
    <row r="135" spans="2:9">
      <c r="B135" s="422" t="s">
        <v>1048</v>
      </c>
    </row>
    <row r="136" spans="2:9">
      <c r="B136" s="421" t="s">
        <v>806</v>
      </c>
    </row>
    <row r="137" spans="2:9">
      <c r="B137" s="74"/>
    </row>
    <row r="138" spans="2:9" ht="90">
      <c r="B138" s="1756" t="s">
        <v>1049</v>
      </c>
      <c r="C138" s="1756" t="s">
        <v>454</v>
      </c>
      <c r="D138" s="1756" t="s">
        <v>1050</v>
      </c>
      <c r="E138" s="1756" t="s">
        <v>1051</v>
      </c>
      <c r="F138" s="1756" t="s">
        <v>1052</v>
      </c>
      <c r="G138" s="1756" t="s">
        <v>1053</v>
      </c>
    </row>
    <row r="139" spans="2:9" ht="45">
      <c r="B139" s="1757" t="s">
        <v>1054</v>
      </c>
      <c r="C139" s="1758" t="s">
        <v>1055</v>
      </c>
      <c r="D139" s="1757">
        <v>216</v>
      </c>
      <c r="E139" s="1759" t="s">
        <v>1056</v>
      </c>
      <c r="F139" s="1757">
        <v>1790</v>
      </c>
      <c r="G139" s="1760" t="s">
        <v>1057</v>
      </c>
      <c r="H139" s="420" t="s">
        <v>1058</v>
      </c>
      <c r="I139" s="6"/>
    </row>
    <row r="140" spans="2:9" ht="45">
      <c r="B140" s="1757" t="s">
        <v>1059</v>
      </c>
      <c r="C140" s="1758" t="s">
        <v>1060</v>
      </c>
      <c r="D140" s="1757">
        <v>262</v>
      </c>
      <c r="E140" s="1757">
        <v>595</v>
      </c>
      <c r="F140" s="1757">
        <v>2143</v>
      </c>
      <c r="G140" s="1760" t="s">
        <v>1061</v>
      </c>
    </row>
    <row r="141" spans="2:9">
      <c r="B141" s="1757" t="s">
        <v>1062</v>
      </c>
      <c r="C141" s="1758" t="s">
        <v>1063</v>
      </c>
      <c r="D141" s="1757" t="s">
        <v>48</v>
      </c>
      <c r="E141" s="1757">
        <v>350</v>
      </c>
      <c r="F141" s="1757" t="s">
        <v>48</v>
      </c>
      <c r="G141" s="1760">
        <f>ROUND(298*(44.01/(44.01+32)),0)</f>
        <v>173</v>
      </c>
    </row>
  </sheetData>
  <mergeCells count="17">
    <mergeCell ref="B127:E127"/>
    <mergeCell ref="A11:I11"/>
    <mergeCell ref="B111:E111"/>
    <mergeCell ref="B124:E124"/>
    <mergeCell ref="B20:E20"/>
    <mergeCell ref="B41:E41"/>
    <mergeCell ref="B61:E61"/>
    <mergeCell ref="B74:E74"/>
    <mergeCell ref="B103:E103"/>
    <mergeCell ref="B105:E105"/>
    <mergeCell ref="F13:F14"/>
    <mergeCell ref="A5:I5"/>
    <mergeCell ref="A10:I10"/>
    <mergeCell ref="B12:E12"/>
    <mergeCell ref="B13:C13"/>
    <mergeCell ref="D13:D14"/>
    <mergeCell ref="E13:E14"/>
  </mergeCells>
  <phoneticPr fontId="193" type="noConversion"/>
  <hyperlinks>
    <hyperlink ref="A10" r:id="rId1" display="https://www.ipcc.ch/publications_and_data/ar4/wg1/en/ch2s2-10-2.html " xr:uid="{00000000-0004-0000-0A00-000000000000}"/>
    <hyperlink ref="A11:I11" r:id="rId2" display="Medical gases https://www.ipcc.ch/site/assets/uploads/2018/02/WG1AR5_Chapter08_FINAL.pdf " xr:uid="{00000000-0004-0000-0A00-000001000000}"/>
    <hyperlink ref="B136" r:id="rId3" xr:uid="{00000000-0004-0000-0A00-000002000000}"/>
    <hyperlink ref="C139" r:id="rId4" display="https://www.ipcc.ch/site/assets/uploads/2018/02/WG1AR5_Chapter08_FINAL.pdf" xr:uid="{00000000-0004-0000-0A00-000003000000}"/>
    <hyperlink ref="C140" r:id="rId5" display="https://www.ipcc.ch/site/assets/uploads/2018/07/WGI_AR5.Chap_.8_SM.pdf" xr:uid="{00000000-0004-0000-0A00-000004000000}"/>
    <hyperlink ref="C141" r:id="rId6" display="https://www.ipcc.ch/site/assets/uploads/2018/02/ar4-wg1-chapter2-1.pdf" xr:uid="{00000000-0004-0000-0A00-000005000000}"/>
    <hyperlink ref="B6" r:id="rId7" xr:uid="{D7D3A288-EEBC-41D4-9A45-45CF90632264}"/>
    <hyperlink ref="B7" r:id="rId8" xr:uid="{518C05BC-5786-4D01-8E56-153F20B8F81F}"/>
  </hyperlinks>
  <pageMargins left="0.7" right="0.7" top="0.75" bottom="0.75" header="0.3" footer="0.3"/>
  <pageSetup paperSize="9" orientation="portrait" r:id="rId9"/>
  <legacyDrawing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499984740745262"/>
  </sheetPr>
  <dimension ref="A1:N129"/>
  <sheetViews>
    <sheetView topLeftCell="A100" workbookViewId="0">
      <selection activeCell="J123" sqref="J123"/>
    </sheetView>
  </sheetViews>
  <sheetFormatPr defaultColWidth="9.140625" defaultRowHeight="15"/>
  <cols>
    <col min="1" max="1" width="37.42578125" customWidth="1"/>
    <col min="2" max="2" width="21.140625" customWidth="1"/>
    <col min="3" max="3" width="6.28515625" customWidth="1"/>
    <col min="4" max="4" width="25.42578125" customWidth="1"/>
    <col min="5" max="5" width="25.85546875" customWidth="1"/>
    <col min="7" max="7" width="37.85546875" customWidth="1"/>
    <col min="8" max="8" width="30.42578125" customWidth="1"/>
    <col min="9" max="9" width="5.28515625" customWidth="1"/>
    <col min="10" max="10" width="27.28515625" customWidth="1"/>
    <col min="11" max="11" width="27.140625" customWidth="1"/>
    <col min="13" max="13" width="21.5703125" customWidth="1"/>
  </cols>
  <sheetData>
    <row r="1" spans="1:11" ht="31.5">
      <c r="A1" s="64" t="s">
        <v>63</v>
      </c>
    </row>
    <row r="2" spans="1:11" ht="23.25">
      <c r="A2" s="65" t="s">
        <v>420</v>
      </c>
    </row>
    <row r="3" spans="1:11" ht="18.75">
      <c r="A3" s="2"/>
    </row>
    <row r="4" spans="1:11">
      <c r="A4" t="s">
        <v>421</v>
      </c>
    </row>
    <row r="6" spans="1:11" ht="31.5">
      <c r="A6" s="64" t="s">
        <v>1064</v>
      </c>
    </row>
    <row r="7" spans="1:11">
      <c r="A7" s="1820" t="s">
        <v>66</v>
      </c>
      <c r="B7" s="1820"/>
      <c r="C7" s="1820"/>
      <c r="D7" s="1820"/>
      <c r="E7" s="1820"/>
      <c r="F7" s="1820"/>
      <c r="G7" s="1820"/>
      <c r="H7" s="1820"/>
      <c r="I7" s="1820"/>
      <c r="J7" s="1820"/>
      <c r="K7" s="1820"/>
    </row>
    <row r="8" spans="1:11" ht="17.25" customHeight="1">
      <c r="A8" s="1856" t="s">
        <v>433</v>
      </c>
      <c r="B8" s="1907"/>
      <c r="C8" s="1907"/>
      <c r="D8" s="1907"/>
      <c r="E8" s="1907"/>
      <c r="F8" s="1907"/>
      <c r="G8" s="1907"/>
      <c r="H8" s="1907"/>
      <c r="I8" s="1907"/>
      <c r="J8" s="1907"/>
      <c r="K8" s="1908"/>
    </row>
    <row r="9" spans="1:11" ht="12.75" customHeight="1">
      <c r="A9" s="499"/>
      <c r="B9" s="499"/>
      <c r="C9" s="499"/>
      <c r="D9" s="499"/>
      <c r="E9" s="499"/>
      <c r="F9" s="499"/>
      <c r="G9" s="499"/>
      <c r="H9" s="499"/>
    </row>
    <row r="11" spans="1:11" ht="18.75">
      <c r="A11" s="1996" t="s">
        <v>1065</v>
      </c>
      <c r="B11" s="1997"/>
      <c r="C11" s="1997"/>
      <c r="D11" s="1997"/>
      <c r="E11" s="1998"/>
      <c r="F11" s="2"/>
      <c r="G11" s="1996" t="s">
        <v>1066</v>
      </c>
      <c r="H11" s="1997"/>
      <c r="I11" s="1997"/>
      <c r="J11" s="1997"/>
      <c r="K11" s="1998"/>
    </row>
    <row r="12" spans="1:11">
      <c r="A12" s="1401"/>
      <c r="B12" s="1402"/>
      <c r="C12" s="1402"/>
      <c r="D12" s="1403"/>
      <c r="E12" s="1404" t="s">
        <v>423</v>
      </c>
      <c r="G12" s="1405"/>
      <c r="H12" s="1403"/>
      <c r="I12" s="1403"/>
      <c r="J12" s="1403"/>
      <c r="K12" s="1406" t="s">
        <v>423</v>
      </c>
    </row>
    <row r="13" spans="1:11" ht="15" customHeight="1">
      <c r="A13" s="1892" t="s">
        <v>34</v>
      </c>
      <c r="B13" s="1893"/>
      <c r="C13" s="1999" t="s">
        <v>70</v>
      </c>
      <c r="D13" s="2000" t="s">
        <v>424</v>
      </c>
      <c r="E13" s="1995" t="s">
        <v>35</v>
      </c>
      <c r="G13" s="2007" t="s">
        <v>34</v>
      </c>
      <c r="H13" s="2008"/>
      <c r="I13" s="2009" t="s">
        <v>70</v>
      </c>
      <c r="J13" s="2010" t="s">
        <v>424</v>
      </c>
      <c r="K13" s="1994" t="s">
        <v>35</v>
      </c>
    </row>
    <row r="14" spans="1:11" ht="15.75" customHeight="1" thickBot="1">
      <c r="A14" s="1407" t="s">
        <v>813</v>
      </c>
      <c r="B14" s="1408" t="s">
        <v>814</v>
      </c>
      <c r="C14" s="1999"/>
      <c r="D14" s="2001"/>
      <c r="E14" s="1995"/>
      <c r="G14" s="1409" t="s">
        <v>813</v>
      </c>
      <c r="H14" s="1408" t="s">
        <v>814</v>
      </c>
      <c r="I14" s="1999"/>
      <c r="J14" s="2001"/>
      <c r="K14" s="1995"/>
    </row>
    <row r="15" spans="1:11" ht="18" customHeight="1" thickBot="1">
      <c r="A15" s="1410" t="s">
        <v>1067</v>
      </c>
      <c r="B15" s="164" t="s">
        <v>1068</v>
      </c>
      <c r="C15" s="490" t="s">
        <v>83</v>
      </c>
      <c r="D15" s="524"/>
      <c r="E15" s="1412">
        <f>D15*'Refrigerant &amp; Other 2022'!E15</f>
        <v>0</v>
      </c>
      <c r="G15" s="1413" t="s">
        <v>1067</v>
      </c>
      <c r="H15" s="164" t="s">
        <v>1068</v>
      </c>
      <c r="I15" s="490" t="s">
        <v>83</v>
      </c>
      <c r="J15" s="524"/>
      <c r="K15" s="1412">
        <f>J15*'Refrigerant &amp; Other 2022'!F15</f>
        <v>0</v>
      </c>
    </row>
    <row r="16" spans="1:11" ht="16.5" customHeight="1" thickBot="1">
      <c r="A16" s="1410" t="s">
        <v>817</v>
      </c>
      <c r="B16" s="164" t="s">
        <v>1069</v>
      </c>
      <c r="C16" s="490" t="s">
        <v>83</v>
      </c>
      <c r="D16" s="524"/>
      <c r="E16" s="1412">
        <f>D16*GWP_CH4</f>
        <v>0</v>
      </c>
      <c r="G16" s="1413" t="s">
        <v>817</v>
      </c>
      <c r="H16" s="164" t="s">
        <v>1069</v>
      </c>
      <c r="I16" s="490" t="s">
        <v>83</v>
      </c>
      <c r="J16" s="524"/>
      <c r="K16" s="1412">
        <f>J16*'Refrigerant &amp; Other 2022'!F16</f>
        <v>0</v>
      </c>
    </row>
    <row r="17" spans="1:11">
      <c r="A17" s="1414" t="s">
        <v>1070</v>
      </c>
      <c r="B17" s="1415" t="s">
        <v>1071</v>
      </c>
      <c r="C17" s="165" t="s">
        <v>83</v>
      </c>
      <c r="D17" s="524"/>
      <c r="E17" s="1412">
        <f>D17*GWP_N2O</f>
        <v>0</v>
      </c>
      <c r="G17" s="1416" t="s">
        <v>1070</v>
      </c>
      <c r="H17" s="1415" t="s">
        <v>1071</v>
      </c>
      <c r="I17" s="165" t="s">
        <v>83</v>
      </c>
      <c r="J17" s="524"/>
      <c r="K17" s="1412">
        <f>J17*'Refrigerant &amp; Other 2022'!F18</f>
        <v>0</v>
      </c>
    </row>
    <row r="18" spans="1:11" ht="15.75" customHeight="1" thickBot="1">
      <c r="A18" s="2002" t="s">
        <v>826</v>
      </c>
      <c r="B18" s="2002"/>
      <c r="C18" s="2002"/>
      <c r="D18" s="2005"/>
      <c r="E18" s="2003"/>
      <c r="G18" s="2004" t="s">
        <v>826</v>
      </c>
      <c r="H18" s="2002"/>
      <c r="I18" s="2002"/>
      <c r="J18" s="2005"/>
      <c r="K18" s="2003"/>
    </row>
    <row r="19" spans="1:11" ht="15.75" thickBot="1">
      <c r="A19" s="1417" t="s">
        <v>1072</v>
      </c>
      <c r="B19" s="1418" t="s">
        <v>1073</v>
      </c>
      <c r="C19" s="1419" t="s">
        <v>83</v>
      </c>
      <c r="D19" s="524"/>
      <c r="E19" s="1420">
        <f>D19*'Refrigerant &amp; Other 2022'!E21</f>
        <v>0</v>
      </c>
      <c r="G19" s="1421" t="s">
        <v>1072</v>
      </c>
      <c r="H19" s="1418" t="s">
        <v>1073</v>
      </c>
      <c r="I19" s="1419" t="s">
        <v>83</v>
      </c>
      <c r="J19" s="524"/>
      <c r="K19" s="1420">
        <f>J19*'Refrigerant &amp; Other 2022'!F21</f>
        <v>0</v>
      </c>
    </row>
    <row r="20" spans="1:11" ht="15.75" thickBot="1">
      <c r="A20" s="1410" t="s">
        <v>1074</v>
      </c>
      <c r="B20" s="164" t="s">
        <v>1075</v>
      </c>
      <c r="C20" s="490" t="s">
        <v>83</v>
      </c>
      <c r="D20" s="524"/>
      <c r="E20" s="1420">
        <f>D20*'Refrigerant &amp; Other 2022'!E22</f>
        <v>0</v>
      </c>
      <c r="G20" s="1413" t="s">
        <v>1074</v>
      </c>
      <c r="H20" s="164" t="s">
        <v>1075</v>
      </c>
      <c r="I20" s="490" t="s">
        <v>83</v>
      </c>
      <c r="J20" s="524"/>
      <c r="K20" s="1420">
        <f>J20*'Refrigerant &amp; Other 2022'!F22</f>
        <v>0</v>
      </c>
    </row>
    <row r="21" spans="1:11" ht="15.75" thickBot="1">
      <c r="A21" s="1410" t="s">
        <v>1076</v>
      </c>
      <c r="B21" s="164" t="s">
        <v>1077</v>
      </c>
      <c r="C21" s="490" t="s">
        <v>83</v>
      </c>
      <c r="D21" s="524"/>
      <c r="E21" s="1420">
        <f>D21*'Refrigerant &amp; Other 2022'!E23</f>
        <v>0</v>
      </c>
      <c r="G21" s="1413" t="s">
        <v>1076</v>
      </c>
      <c r="H21" s="164" t="s">
        <v>1077</v>
      </c>
      <c r="I21" s="490" t="s">
        <v>83</v>
      </c>
      <c r="J21" s="524"/>
      <c r="K21" s="1420">
        <f>J21*'Refrigerant &amp; Other 2022'!F23</f>
        <v>0</v>
      </c>
    </row>
    <row r="22" spans="1:11" ht="15.75" thickBot="1">
      <c r="A22" s="1410" t="s">
        <v>1078</v>
      </c>
      <c r="B22" s="164" t="s">
        <v>1079</v>
      </c>
      <c r="C22" s="490" t="s">
        <v>83</v>
      </c>
      <c r="D22" s="524"/>
      <c r="E22" s="1420">
        <f>D22*'Refrigerant &amp; Other 2022'!E24</f>
        <v>0</v>
      </c>
      <c r="G22" s="1413" t="s">
        <v>1078</v>
      </c>
      <c r="H22" s="164" t="s">
        <v>1079</v>
      </c>
      <c r="I22" s="490" t="s">
        <v>83</v>
      </c>
      <c r="J22" s="524"/>
      <c r="K22" s="1420">
        <f>J22*'Refrigerant &amp; Other 2022'!F24</f>
        <v>0</v>
      </c>
    </row>
    <row r="23" spans="1:11" ht="15.75" thickBot="1">
      <c r="A23" s="1410" t="s">
        <v>1080</v>
      </c>
      <c r="B23" s="164" t="s">
        <v>1081</v>
      </c>
      <c r="C23" s="490" t="s">
        <v>83</v>
      </c>
      <c r="D23" s="524"/>
      <c r="E23" s="1420">
        <f>D23*'Refrigerant &amp; Other 2022'!E25</f>
        <v>0</v>
      </c>
      <c r="G23" s="1413" t="s">
        <v>1080</v>
      </c>
      <c r="H23" s="164" t="s">
        <v>1081</v>
      </c>
      <c r="I23" s="490" t="s">
        <v>83</v>
      </c>
      <c r="J23" s="524"/>
      <c r="K23" s="1420">
        <f>J23*'Refrigerant &amp; Other 2022'!F25</f>
        <v>0</v>
      </c>
    </row>
    <row r="24" spans="1:11" ht="15.75" thickBot="1">
      <c r="A24" s="1410" t="s">
        <v>1082</v>
      </c>
      <c r="B24" s="164" t="s">
        <v>1083</v>
      </c>
      <c r="C24" s="490" t="s">
        <v>83</v>
      </c>
      <c r="D24" s="524"/>
      <c r="E24" s="1420">
        <f>D24*'Refrigerant &amp; Other 2022'!E26</f>
        <v>0</v>
      </c>
      <c r="G24" s="1413" t="s">
        <v>1082</v>
      </c>
      <c r="H24" s="164" t="s">
        <v>1083</v>
      </c>
      <c r="I24" s="490" t="s">
        <v>83</v>
      </c>
      <c r="J24" s="524"/>
      <c r="K24" s="1420">
        <f>J24*'Refrigerant &amp; Other 2022'!F26</f>
        <v>0</v>
      </c>
    </row>
    <row r="25" spans="1:11" ht="15.75" thickBot="1">
      <c r="A25" s="1410" t="s">
        <v>1084</v>
      </c>
      <c r="B25" s="164" t="s">
        <v>1085</v>
      </c>
      <c r="C25" s="490" t="s">
        <v>83</v>
      </c>
      <c r="D25" s="524"/>
      <c r="E25" s="1420">
        <f>D25*'Refrigerant &amp; Other 2022'!E27</f>
        <v>0</v>
      </c>
      <c r="G25" s="1413" t="s">
        <v>1084</v>
      </c>
      <c r="H25" s="164" t="s">
        <v>1085</v>
      </c>
      <c r="I25" s="490" t="s">
        <v>83</v>
      </c>
      <c r="J25" s="524"/>
      <c r="K25" s="1420">
        <f>J25*'Refrigerant &amp; Other 2022'!F27</f>
        <v>0</v>
      </c>
    </row>
    <row r="26" spans="1:11" ht="15.75" thickBot="1">
      <c r="A26" s="1410" t="s">
        <v>1086</v>
      </c>
      <c r="B26" s="164" t="s">
        <v>1087</v>
      </c>
      <c r="C26" s="490" t="s">
        <v>83</v>
      </c>
      <c r="D26" s="524"/>
      <c r="E26" s="1420">
        <f>D26*'Refrigerant &amp; Other 2022'!E28</f>
        <v>0</v>
      </c>
      <c r="G26" s="1413" t="s">
        <v>1086</v>
      </c>
      <c r="H26" s="164" t="s">
        <v>1087</v>
      </c>
      <c r="I26" s="490" t="s">
        <v>83</v>
      </c>
      <c r="J26" s="524"/>
      <c r="K26" s="1420">
        <f>J26*'Refrigerant &amp; Other 2022'!F28</f>
        <v>0</v>
      </c>
    </row>
    <row r="27" spans="1:11" ht="15.75" thickBot="1">
      <c r="A27" s="1410" t="s">
        <v>1088</v>
      </c>
      <c r="B27" s="164" t="s">
        <v>1089</v>
      </c>
      <c r="C27" s="490" t="s">
        <v>83</v>
      </c>
      <c r="D27" s="524"/>
      <c r="E27" s="1420">
        <f>D27*'Refrigerant &amp; Other 2022'!E29</f>
        <v>0</v>
      </c>
      <c r="G27" s="1413" t="s">
        <v>1088</v>
      </c>
      <c r="H27" s="164" t="s">
        <v>1089</v>
      </c>
      <c r="I27" s="490" t="s">
        <v>83</v>
      </c>
      <c r="J27" s="524"/>
      <c r="K27" s="1420">
        <f>J27*'Refrigerant &amp; Other 2022'!F29</f>
        <v>0</v>
      </c>
    </row>
    <row r="28" spans="1:11" ht="15.75" thickBot="1">
      <c r="A28" s="1410" t="s">
        <v>1090</v>
      </c>
      <c r="B28" s="164" t="s">
        <v>1091</v>
      </c>
      <c r="C28" s="490" t="s">
        <v>83</v>
      </c>
      <c r="D28" s="524"/>
      <c r="E28" s="1420">
        <f>D28*'Refrigerant &amp; Other 2022'!E30</f>
        <v>0</v>
      </c>
      <c r="G28" s="1413" t="s">
        <v>1090</v>
      </c>
      <c r="H28" s="164" t="s">
        <v>1091</v>
      </c>
      <c r="I28" s="490" t="s">
        <v>83</v>
      </c>
      <c r="J28" s="524"/>
      <c r="K28" s="1420">
        <f>J28*'Refrigerant &amp; Other 2022'!F30</f>
        <v>0</v>
      </c>
    </row>
    <row r="29" spans="1:11" ht="15.75" thickBot="1">
      <c r="A29" s="1410" t="s">
        <v>848</v>
      </c>
      <c r="B29" s="164" t="s">
        <v>1092</v>
      </c>
      <c r="C29" s="490" t="s">
        <v>83</v>
      </c>
      <c r="D29" s="524"/>
      <c r="E29" s="1420">
        <f>D29*'Refrigerant &amp; Other 2022'!E31</f>
        <v>0</v>
      </c>
      <c r="G29" s="1413" t="s">
        <v>848</v>
      </c>
      <c r="H29" s="164" t="s">
        <v>1092</v>
      </c>
      <c r="I29" s="490" t="s">
        <v>83</v>
      </c>
      <c r="J29" s="524"/>
      <c r="K29" s="1420">
        <f>J29*'Refrigerant &amp; Other 2022'!F31</f>
        <v>0</v>
      </c>
    </row>
    <row r="30" spans="1:11" ht="15.75" thickBot="1">
      <c r="A30" s="1410" t="s">
        <v>850</v>
      </c>
      <c r="B30" s="164" t="s">
        <v>1093</v>
      </c>
      <c r="C30" s="490" t="s">
        <v>83</v>
      </c>
      <c r="D30" s="524"/>
      <c r="E30" s="1420">
        <f>D30*'Refrigerant &amp; Other 2022'!E32</f>
        <v>0</v>
      </c>
      <c r="G30" s="1413" t="s">
        <v>850</v>
      </c>
      <c r="H30" s="164" t="s">
        <v>1093</v>
      </c>
      <c r="I30" s="490" t="s">
        <v>83</v>
      </c>
      <c r="J30" s="524"/>
      <c r="K30" s="1420">
        <f>J30*'Refrigerant &amp; Other 2022'!F32</f>
        <v>0</v>
      </c>
    </row>
    <row r="31" spans="1:11" ht="16.5" customHeight="1" thickBot="1">
      <c r="A31" s="1410" t="s">
        <v>1094</v>
      </c>
      <c r="B31" s="164" t="s">
        <v>1095</v>
      </c>
      <c r="C31" s="490" t="s">
        <v>83</v>
      </c>
      <c r="D31" s="524"/>
      <c r="E31" s="1420">
        <f>D31*'Refrigerant &amp; Other 2022'!E34</f>
        <v>0</v>
      </c>
      <c r="G31" s="1422" t="s">
        <v>852</v>
      </c>
      <c r="H31" s="1423" t="s">
        <v>1096</v>
      </c>
      <c r="I31" s="1424" t="s">
        <v>83</v>
      </c>
      <c r="J31" s="524"/>
      <c r="K31" s="1420">
        <f>J31*'Refrigerant &amp; Other 2022'!F33</f>
        <v>0</v>
      </c>
    </row>
    <row r="32" spans="1:11" ht="15.75" thickBot="1">
      <c r="A32" s="1410" t="s">
        <v>1097</v>
      </c>
      <c r="B32" s="164" t="s">
        <v>1098</v>
      </c>
      <c r="C32" s="490" t="s">
        <v>83</v>
      </c>
      <c r="D32" s="524"/>
      <c r="E32" s="1420">
        <f>D32*'Refrigerant &amp; Other 2022'!E35</f>
        <v>0</v>
      </c>
      <c r="G32" s="1413" t="s">
        <v>1094</v>
      </c>
      <c r="H32" s="164" t="s">
        <v>1095</v>
      </c>
      <c r="I32" s="490" t="s">
        <v>83</v>
      </c>
      <c r="J32" s="524"/>
      <c r="K32" s="1420">
        <f>J32*'Refrigerant &amp; Other 2022'!F34</f>
        <v>0</v>
      </c>
    </row>
    <row r="33" spans="1:14" ht="15.75" thickBot="1">
      <c r="A33" s="1410" t="s">
        <v>1099</v>
      </c>
      <c r="B33" s="164" t="s">
        <v>1100</v>
      </c>
      <c r="C33" s="490" t="s">
        <v>83</v>
      </c>
      <c r="D33" s="524"/>
      <c r="E33" s="1420">
        <f>D33*'Refrigerant &amp; Other 2022'!E36</f>
        <v>0</v>
      </c>
      <c r="G33" s="1413" t="s">
        <v>1097</v>
      </c>
      <c r="H33" s="164" t="s">
        <v>1098</v>
      </c>
      <c r="I33" s="490" t="s">
        <v>83</v>
      </c>
      <c r="J33" s="524"/>
      <c r="K33" s="1420">
        <f>J33*'Refrigerant &amp; Other 2022'!F35</f>
        <v>0</v>
      </c>
    </row>
    <row r="34" spans="1:14" ht="15.75" thickBot="1">
      <c r="A34" s="1410" t="s">
        <v>1101</v>
      </c>
      <c r="B34" s="164" t="s">
        <v>1102</v>
      </c>
      <c r="C34" s="490" t="s">
        <v>83</v>
      </c>
      <c r="D34" s="524"/>
      <c r="E34" s="1420">
        <f>D34*'Refrigerant &amp; Other 2022'!E37</f>
        <v>0</v>
      </c>
      <c r="G34" s="1413" t="s">
        <v>1099</v>
      </c>
      <c r="H34" s="164" t="s">
        <v>1100</v>
      </c>
      <c r="I34" s="490" t="s">
        <v>83</v>
      </c>
      <c r="J34" s="524"/>
      <c r="K34" s="1420">
        <f>J34*'Refrigerant &amp; Other 2022'!F36</f>
        <v>0</v>
      </c>
    </row>
    <row r="35" spans="1:14" ht="15.75" thickBot="1">
      <c r="A35" s="1410" t="s">
        <v>1103</v>
      </c>
      <c r="B35" s="164" t="s">
        <v>1104</v>
      </c>
      <c r="C35" s="490" t="s">
        <v>83</v>
      </c>
      <c r="D35" s="524"/>
      <c r="E35" s="1420">
        <f>D35*'Refrigerant &amp; Other 2022'!E38</f>
        <v>0</v>
      </c>
      <c r="G35" s="1413" t="s">
        <v>1101</v>
      </c>
      <c r="H35" s="164" t="s">
        <v>1102</v>
      </c>
      <c r="I35" s="490" t="s">
        <v>83</v>
      </c>
      <c r="J35" s="524"/>
      <c r="K35" s="1420">
        <f>J35*'Refrigerant &amp; Other 2022'!F37</f>
        <v>0</v>
      </c>
    </row>
    <row r="36" spans="1:14" ht="15.75" thickBot="1">
      <c r="A36" s="1410" t="s">
        <v>1105</v>
      </c>
      <c r="B36" s="164" t="s">
        <v>1106</v>
      </c>
      <c r="C36" s="490" t="s">
        <v>83</v>
      </c>
      <c r="D36" s="524"/>
      <c r="E36" s="1420">
        <f>D36*'Refrigerant &amp; Other 2022'!E39</f>
        <v>0</v>
      </c>
      <c r="G36" s="1413" t="s">
        <v>1103</v>
      </c>
      <c r="H36" s="164" t="s">
        <v>1104</v>
      </c>
      <c r="I36" s="490" t="s">
        <v>83</v>
      </c>
      <c r="J36" s="524"/>
      <c r="K36" s="1420">
        <f>J36*'Refrigerant &amp; Other 2022'!F38</f>
        <v>0</v>
      </c>
    </row>
    <row r="37" spans="1:14" ht="15.75" thickBot="1">
      <c r="A37" s="1410" t="s">
        <v>1107</v>
      </c>
      <c r="B37" s="164" t="s">
        <v>1108</v>
      </c>
      <c r="C37" s="490" t="s">
        <v>83</v>
      </c>
      <c r="D37" s="524"/>
      <c r="E37" s="1420">
        <f>D37*'Refrigerant &amp; Other 2022'!E40</f>
        <v>0</v>
      </c>
      <c r="G37" s="1413" t="s">
        <v>1105</v>
      </c>
      <c r="H37" s="164" t="s">
        <v>1106</v>
      </c>
      <c r="I37" s="490" t="s">
        <v>83</v>
      </c>
      <c r="J37" s="524"/>
      <c r="K37" s="1420">
        <f>J37*'Refrigerant &amp; Other 2022'!F39</f>
        <v>0</v>
      </c>
    </row>
    <row r="38" spans="1:14" ht="15.75" thickBot="1">
      <c r="A38" s="2002" t="s">
        <v>868</v>
      </c>
      <c r="B38" s="2002"/>
      <c r="C38" s="2002"/>
      <c r="D38" s="2006"/>
      <c r="E38" s="2003"/>
      <c r="G38" s="1413" t="s">
        <v>1107</v>
      </c>
      <c r="H38" s="164" t="s">
        <v>1108</v>
      </c>
      <c r="I38" s="490" t="s">
        <v>83</v>
      </c>
      <c r="J38" s="524"/>
      <c r="K38" s="1420">
        <f>J38*'Refrigerant &amp; Other 2022'!F40</f>
        <v>0</v>
      </c>
    </row>
    <row r="39" spans="1:14" ht="15.75" thickBot="1">
      <c r="A39" s="1410" t="s">
        <v>1109</v>
      </c>
      <c r="B39" s="164" t="s">
        <v>1110</v>
      </c>
      <c r="C39" s="490" t="s">
        <v>83</v>
      </c>
      <c r="D39" s="524"/>
      <c r="E39" s="1425">
        <f>D39*'Refrigerant &amp; Other 2022'!E42</f>
        <v>0</v>
      </c>
      <c r="G39" s="1426" t="s">
        <v>868</v>
      </c>
      <c r="H39" s="1427"/>
      <c r="I39" s="1427"/>
      <c r="J39" s="1428"/>
      <c r="K39" s="1429"/>
    </row>
    <row r="40" spans="1:14" ht="15.75" thickBot="1">
      <c r="A40" s="1410" t="s">
        <v>1111</v>
      </c>
      <c r="B40" s="164" t="s">
        <v>1112</v>
      </c>
      <c r="C40" s="490" t="s">
        <v>83</v>
      </c>
      <c r="D40" s="524"/>
      <c r="E40" s="1425">
        <f>D40*'Refrigerant &amp; Other 2022'!E43</f>
        <v>0</v>
      </c>
      <c r="G40" s="1413" t="s">
        <v>1109</v>
      </c>
      <c r="H40" s="164" t="s">
        <v>1110</v>
      </c>
      <c r="I40" s="490" t="s">
        <v>83</v>
      </c>
      <c r="J40" s="524"/>
      <c r="K40" s="1425">
        <f>J40*'Refrigerant &amp; Other 2022'!F42</f>
        <v>0</v>
      </c>
      <c r="M40" s="62"/>
      <c r="N40" s="62"/>
    </row>
    <row r="41" spans="1:14" ht="15.75" thickBot="1">
      <c r="A41" s="1410" t="s">
        <v>1113</v>
      </c>
      <c r="B41" s="164" t="s">
        <v>1114</v>
      </c>
      <c r="C41" s="490" t="s">
        <v>83</v>
      </c>
      <c r="D41" s="524"/>
      <c r="E41" s="1425">
        <f>D41*'Refrigerant &amp; Other 2022'!E45</f>
        <v>0</v>
      </c>
      <c r="G41" s="1413" t="s">
        <v>1111</v>
      </c>
      <c r="H41" s="164" t="s">
        <v>1112</v>
      </c>
      <c r="I41" s="490" t="s">
        <v>83</v>
      </c>
      <c r="J41" s="524"/>
      <c r="K41" s="1425">
        <f>J41*'Refrigerant &amp; Other 2022'!F43</f>
        <v>0</v>
      </c>
      <c r="M41" s="62"/>
      <c r="N41" s="62"/>
    </row>
    <row r="42" spans="1:14" ht="16.5" customHeight="1" thickBot="1">
      <c r="A42" s="1410" t="s">
        <v>1115</v>
      </c>
      <c r="B42" s="164" t="s">
        <v>1116</v>
      </c>
      <c r="C42" s="490" t="s">
        <v>83</v>
      </c>
      <c r="D42" s="524"/>
      <c r="E42" s="1425">
        <f>D42*'Refrigerant &amp; Other 2022'!E47</f>
        <v>0</v>
      </c>
      <c r="G42" s="1413" t="s">
        <v>873</v>
      </c>
      <c r="H42" s="876" t="s">
        <v>1117</v>
      </c>
      <c r="I42" s="490" t="s">
        <v>83</v>
      </c>
      <c r="J42" s="524"/>
      <c r="K42" s="1425">
        <f>J42*'Refrigerant &amp; Other 2022'!F44</f>
        <v>0</v>
      </c>
    </row>
    <row r="43" spans="1:14" ht="15.75" customHeight="1" thickBot="1">
      <c r="A43" s="1410" t="s">
        <v>1118</v>
      </c>
      <c r="B43" s="164" t="s">
        <v>1119</v>
      </c>
      <c r="C43" s="490" t="s">
        <v>83</v>
      </c>
      <c r="D43" s="524"/>
      <c r="E43" s="1425">
        <f>D43*'Refrigerant &amp; Other 2022'!E49</f>
        <v>0</v>
      </c>
      <c r="G43" s="1413" t="s">
        <v>1113</v>
      </c>
      <c r="H43" s="164" t="s">
        <v>1114</v>
      </c>
      <c r="I43" s="490" t="s">
        <v>83</v>
      </c>
      <c r="J43" s="524"/>
      <c r="K43" s="1425">
        <f>J43*'Refrigerant &amp; Other 2022'!F45</f>
        <v>0</v>
      </c>
      <c r="M43" s="62"/>
      <c r="N43" s="62"/>
    </row>
    <row r="44" spans="1:14" ht="16.5" customHeight="1" thickBot="1">
      <c r="A44" s="1410" t="s">
        <v>1120</v>
      </c>
      <c r="B44" s="164" t="s">
        <v>1121</v>
      </c>
      <c r="C44" s="490" t="s">
        <v>83</v>
      </c>
      <c r="D44" s="524"/>
      <c r="E44" s="1425">
        <f>D44*'Refrigerant &amp; Other 2022'!E51</f>
        <v>0</v>
      </c>
      <c r="G44" s="1413" t="s">
        <v>877</v>
      </c>
      <c r="H44" s="876" t="s">
        <v>1122</v>
      </c>
      <c r="I44" s="490" t="s">
        <v>83</v>
      </c>
      <c r="J44" s="524"/>
      <c r="K44" s="1425">
        <f>J44*'Refrigerant &amp; Other 2022'!F46</f>
        <v>0</v>
      </c>
    </row>
    <row r="45" spans="1:14" ht="15.75" customHeight="1" thickBot="1">
      <c r="A45" s="1410" t="s">
        <v>1123</v>
      </c>
      <c r="B45" s="164" t="s">
        <v>1124</v>
      </c>
      <c r="C45" s="490" t="s">
        <v>83</v>
      </c>
      <c r="D45" s="524"/>
      <c r="E45" s="1425">
        <f>D45*'Refrigerant &amp; Other 2022'!E53</f>
        <v>0</v>
      </c>
      <c r="G45" s="1413" t="s">
        <v>1115</v>
      </c>
      <c r="H45" s="164" t="s">
        <v>1116</v>
      </c>
      <c r="I45" s="490" t="s">
        <v>83</v>
      </c>
      <c r="J45" s="524"/>
      <c r="K45" s="1425">
        <f>J45*'Refrigerant &amp; Other 2022'!F47</f>
        <v>0</v>
      </c>
      <c r="M45" s="62"/>
      <c r="N45" s="62"/>
    </row>
    <row r="46" spans="1:14" ht="17.25" customHeight="1" thickBot="1">
      <c r="A46" s="1410" t="s">
        <v>1125</v>
      </c>
      <c r="B46" s="164" t="s">
        <v>1126</v>
      </c>
      <c r="C46" s="490" t="s">
        <v>83</v>
      </c>
      <c r="D46" s="524"/>
      <c r="E46" s="1425">
        <f>D46*'Refrigerant &amp; Other 2022'!E56</f>
        <v>0</v>
      </c>
      <c r="G46" s="1413" t="s">
        <v>881</v>
      </c>
      <c r="H46" s="876" t="s">
        <v>1127</v>
      </c>
      <c r="I46" s="490" t="s">
        <v>83</v>
      </c>
      <c r="J46" s="524"/>
      <c r="K46" s="1425">
        <f>J46*'Refrigerant &amp; Other 2022'!F48</f>
        <v>0</v>
      </c>
    </row>
    <row r="47" spans="1:14" ht="15" customHeight="1" thickBot="1">
      <c r="A47" s="1410" t="s">
        <v>1128</v>
      </c>
      <c r="B47" s="164" t="s">
        <v>1129</v>
      </c>
      <c r="C47" s="490" t="s">
        <v>83</v>
      </c>
      <c r="D47" s="524"/>
      <c r="E47" s="1425">
        <f>D47*'Refrigerant &amp; Other 2022'!E58</f>
        <v>0</v>
      </c>
      <c r="G47" s="1413" t="s">
        <v>1118</v>
      </c>
      <c r="H47" s="164" t="s">
        <v>1119</v>
      </c>
      <c r="I47" s="490" t="s">
        <v>83</v>
      </c>
      <c r="J47" s="524"/>
      <c r="K47" s="1425">
        <f>J47*'Refrigerant &amp; Other 2022'!F49</f>
        <v>0</v>
      </c>
      <c r="M47" s="62"/>
      <c r="N47" s="62"/>
    </row>
    <row r="48" spans="1:14" ht="17.25" customHeight="1" thickBot="1">
      <c r="A48" s="1410" t="s">
        <v>1130</v>
      </c>
      <c r="B48" s="164" t="s">
        <v>1131</v>
      </c>
      <c r="C48" s="490" t="s">
        <v>83</v>
      </c>
      <c r="D48" s="524"/>
      <c r="E48" s="1425">
        <f>D48*'Refrigerant &amp; Other 2022'!E59</f>
        <v>0</v>
      </c>
      <c r="G48" s="1413" t="s">
        <v>885</v>
      </c>
      <c r="H48" s="876" t="s">
        <v>1132</v>
      </c>
      <c r="I48" s="490" t="s">
        <v>83</v>
      </c>
      <c r="J48" s="524"/>
      <c r="K48" s="1425">
        <f>J48*'Refrigerant &amp; Other 2022'!F50</f>
        <v>0</v>
      </c>
    </row>
    <row r="49" spans="1:14" ht="15" customHeight="1" thickBot="1">
      <c r="A49" s="1410" t="s">
        <v>905</v>
      </c>
      <c r="B49" s="164" t="s">
        <v>1133</v>
      </c>
      <c r="C49" s="490" t="s">
        <v>83</v>
      </c>
      <c r="D49" s="524"/>
      <c r="E49" s="1425">
        <f>D49*'Refrigerant &amp; Other 2022'!E60</f>
        <v>0</v>
      </c>
      <c r="G49" s="1413" t="s">
        <v>1120</v>
      </c>
      <c r="H49" s="164" t="s">
        <v>1121</v>
      </c>
      <c r="I49" s="490" t="s">
        <v>83</v>
      </c>
      <c r="J49" s="524"/>
      <c r="K49" s="1425">
        <f>J49*'Refrigerant &amp; Other 2022'!F51</f>
        <v>0</v>
      </c>
      <c r="M49" s="62"/>
      <c r="N49" s="62"/>
    </row>
    <row r="50" spans="1:14" ht="15.75" customHeight="1" thickBot="1">
      <c r="A50" s="2002" t="s">
        <v>907</v>
      </c>
      <c r="B50" s="2002"/>
      <c r="C50" s="2002"/>
      <c r="D50" s="2002"/>
      <c r="E50" s="2003"/>
      <c r="G50" s="1413" t="s">
        <v>889</v>
      </c>
      <c r="H50" s="876" t="s">
        <v>1134</v>
      </c>
      <c r="I50" s="490" t="s">
        <v>83</v>
      </c>
      <c r="J50" s="524"/>
      <c r="K50" s="1425">
        <f>J50*'Refrigerant &amp; Other 2022'!F52</f>
        <v>0</v>
      </c>
    </row>
    <row r="51" spans="1:14" ht="16.5" customHeight="1" thickBot="1">
      <c r="A51" s="1410" t="s">
        <v>909</v>
      </c>
      <c r="B51" s="164" t="s">
        <v>1135</v>
      </c>
      <c r="C51" s="490" t="s">
        <v>83</v>
      </c>
      <c r="D51" s="524"/>
      <c r="E51" s="1425">
        <f>D51*'Refrigerant &amp; Other 2022'!E62</f>
        <v>0</v>
      </c>
      <c r="G51" s="1413" t="s">
        <v>1123</v>
      </c>
      <c r="H51" s="164" t="s">
        <v>1124</v>
      </c>
      <c r="I51" s="490" t="s">
        <v>83</v>
      </c>
      <c r="J51" s="524"/>
      <c r="K51" s="1425">
        <f>J51*'Refrigerant &amp; Other 2022'!F53</f>
        <v>0</v>
      </c>
      <c r="M51" s="62"/>
      <c r="N51" s="62"/>
    </row>
    <row r="52" spans="1:14" ht="18" customHeight="1" thickBot="1">
      <c r="A52" s="1410" t="s">
        <v>911</v>
      </c>
      <c r="B52" s="164" t="s">
        <v>1136</v>
      </c>
      <c r="C52" s="490" t="s">
        <v>83</v>
      </c>
      <c r="D52" s="524"/>
      <c r="E52" s="1425">
        <f>D52*'Refrigerant &amp; Other 2022'!E63</f>
        <v>0</v>
      </c>
      <c r="G52" s="1413" t="s">
        <v>893</v>
      </c>
      <c r="H52" s="876" t="s">
        <v>1137</v>
      </c>
      <c r="I52" s="490" t="s">
        <v>83</v>
      </c>
      <c r="J52" s="524"/>
      <c r="K52" s="1425">
        <f>J52*'Refrigerant &amp; Other 2022'!F54</f>
        <v>0</v>
      </c>
    </row>
    <row r="53" spans="1:14" ht="18.75" thickBot="1">
      <c r="A53" s="1410" t="s">
        <v>913</v>
      </c>
      <c r="B53" s="164" t="s">
        <v>1138</v>
      </c>
      <c r="C53" s="490" t="s">
        <v>83</v>
      </c>
      <c r="D53" s="524"/>
      <c r="E53" s="1425">
        <f>D53*'Refrigerant &amp; Other 2022'!E64</f>
        <v>0</v>
      </c>
      <c r="G53" s="1413" t="s">
        <v>895</v>
      </c>
      <c r="H53" s="876" t="s">
        <v>1139</v>
      </c>
      <c r="I53" s="490" t="s">
        <v>83</v>
      </c>
      <c r="J53" s="524"/>
      <c r="K53" s="1425">
        <f>J53*'Refrigerant &amp; Other 2022'!F55</f>
        <v>0</v>
      </c>
    </row>
    <row r="54" spans="1:14" ht="15.75" thickBot="1">
      <c r="A54" s="1410" t="s">
        <v>915</v>
      </c>
      <c r="B54" s="164" t="s">
        <v>1140</v>
      </c>
      <c r="C54" s="490" t="s">
        <v>83</v>
      </c>
      <c r="D54" s="524"/>
      <c r="E54" s="1425">
        <f>D54*'Refrigerant &amp; Other 2022'!E65</f>
        <v>0</v>
      </c>
      <c r="G54" s="1413" t="s">
        <v>1125</v>
      </c>
      <c r="H54" s="164" t="s">
        <v>1126</v>
      </c>
      <c r="I54" s="490" t="s">
        <v>83</v>
      </c>
      <c r="J54" s="524"/>
      <c r="K54" s="1425">
        <f>J54*'Refrigerant &amp; Other 2022'!F56</f>
        <v>0</v>
      </c>
      <c r="M54" s="62"/>
      <c r="N54" s="62"/>
    </row>
    <row r="55" spans="1:14" ht="18.75" thickBot="1">
      <c r="A55" s="1410" t="s">
        <v>917</v>
      </c>
      <c r="B55" s="164"/>
      <c r="C55" s="490" t="s">
        <v>83</v>
      </c>
      <c r="D55" s="524"/>
      <c r="E55" s="1425">
        <f>D55*'Refrigerant &amp; Other 2022'!E66</f>
        <v>0</v>
      </c>
      <c r="G55" s="1413" t="s">
        <v>899</v>
      </c>
      <c r="H55" s="876" t="s">
        <v>1141</v>
      </c>
      <c r="J55" s="524"/>
      <c r="K55" s="1425">
        <f>J55*'Refrigerant &amp; Other 2022'!F57</f>
        <v>0</v>
      </c>
    </row>
    <row r="56" spans="1:14" ht="15.75" thickBot="1">
      <c r="A56" s="1410" t="s">
        <v>919</v>
      </c>
      <c r="B56" s="164"/>
      <c r="C56" s="490" t="s">
        <v>83</v>
      </c>
      <c r="D56" s="524"/>
      <c r="E56" s="1425">
        <f>D56*'Refrigerant &amp; Other 2022'!E67</f>
        <v>0</v>
      </c>
      <c r="G56" s="1413" t="s">
        <v>1128</v>
      </c>
      <c r="H56" s="164" t="s">
        <v>1129</v>
      </c>
      <c r="I56" s="490" t="s">
        <v>83</v>
      </c>
      <c r="J56" s="524"/>
      <c r="K56" s="1425">
        <f>J56*'Refrigerant &amp; Other 2022'!F58</f>
        <v>0</v>
      </c>
      <c r="M56" s="62"/>
      <c r="N56" s="62"/>
    </row>
    <row r="57" spans="1:14" ht="15.75" customHeight="1" thickBot="1">
      <c r="A57" s="1410" t="s">
        <v>1142</v>
      </c>
      <c r="B57" s="164"/>
      <c r="C57" s="490" t="s">
        <v>83</v>
      </c>
      <c r="D57" s="524"/>
      <c r="E57" s="1425">
        <f>D57*'Refrigerant &amp; Other 2022'!E68</f>
        <v>0</v>
      </c>
      <c r="G57" s="1413" t="s">
        <v>1130</v>
      </c>
      <c r="H57" s="164" t="s">
        <v>1131</v>
      </c>
      <c r="I57" s="490" t="s">
        <v>83</v>
      </c>
      <c r="J57" s="524"/>
      <c r="K57" s="1425">
        <f>J57*'Refrigerant &amp; Other 2022'!F59</f>
        <v>0</v>
      </c>
      <c r="M57" s="62"/>
      <c r="N57" s="62"/>
    </row>
    <row r="58" spans="1:14" ht="16.5" customHeight="1" thickBot="1">
      <c r="A58" s="1410" t="s">
        <v>1143</v>
      </c>
      <c r="B58" s="164"/>
      <c r="C58" s="490" t="s">
        <v>83</v>
      </c>
      <c r="D58" s="524"/>
      <c r="E58" s="1425">
        <f>D58*'Refrigerant &amp; Other 2022'!E69</f>
        <v>0</v>
      </c>
      <c r="G58" s="1413" t="s">
        <v>905</v>
      </c>
      <c r="H58" s="164" t="s">
        <v>1133</v>
      </c>
      <c r="I58" s="490" t="s">
        <v>83</v>
      </c>
      <c r="J58" s="524"/>
      <c r="K58" s="1425">
        <f>J58*'Refrigerant &amp; Other 2022'!F60</f>
        <v>0</v>
      </c>
      <c r="M58" s="62"/>
      <c r="N58" s="62"/>
    </row>
    <row r="59" spans="1:14" ht="15.75" customHeight="1" thickBot="1">
      <c r="A59" s="1410" t="s">
        <v>1144</v>
      </c>
      <c r="B59" s="164"/>
      <c r="C59" s="490" t="s">
        <v>83</v>
      </c>
      <c r="D59" s="524"/>
      <c r="E59" s="1425">
        <f>D59*'Refrigerant &amp; Other 2022'!E70</f>
        <v>0</v>
      </c>
      <c r="G59" s="1426" t="s">
        <v>907</v>
      </c>
      <c r="H59" s="1427"/>
      <c r="I59" s="1427"/>
      <c r="J59" s="1427"/>
      <c r="K59" s="1429"/>
    </row>
    <row r="60" spans="1:14" ht="16.5" customHeight="1" thickBot="1">
      <c r="A60" s="1410" t="s">
        <v>1145</v>
      </c>
      <c r="B60" s="164"/>
      <c r="C60" s="490" t="s">
        <v>83</v>
      </c>
      <c r="D60" s="524"/>
      <c r="E60" s="1425">
        <f>D60*'Refrigerant &amp; Other 2022'!E71</f>
        <v>0</v>
      </c>
      <c r="G60" s="1413" t="s">
        <v>909</v>
      </c>
      <c r="H60" s="164" t="s">
        <v>1135</v>
      </c>
      <c r="I60" s="490" t="s">
        <v>83</v>
      </c>
      <c r="J60" s="524"/>
      <c r="K60" s="1425">
        <f>J60*'Refrigerant &amp; Other 2022'!F62</f>
        <v>0</v>
      </c>
    </row>
    <row r="61" spans="1:14" ht="18" customHeight="1" thickBot="1">
      <c r="A61" s="1410" t="s">
        <v>929</v>
      </c>
      <c r="B61" s="164"/>
      <c r="C61" s="490" t="s">
        <v>83</v>
      </c>
      <c r="D61" s="524"/>
      <c r="E61" s="1425">
        <f>D61*'Refrigerant &amp; Other 2022'!E72</f>
        <v>0</v>
      </c>
      <c r="G61" s="1413" t="s">
        <v>911</v>
      </c>
      <c r="H61" s="164" t="s">
        <v>1136</v>
      </c>
      <c r="I61" s="490" t="s">
        <v>83</v>
      </c>
      <c r="J61" s="524"/>
      <c r="K61" s="1425">
        <f>J61*'Refrigerant &amp; Other 2022'!F63</f>
        <v>0</v>
      </c>
    </row>
    <row r="62" spans="1:14" ht="15.75" thickBot="1">
      <c r="A62" s="2002" t="s">
        <v>1146</v>
      </c>
      <c r="B62" s="2002"/>
      <c r="C62" s="2002"/>
      <c r="D62" s="2002"/>
      <c r="E62" s="2003"/>
      <c r="G62" s="1413" t="s">
        <v>913</v>
      </c>
      <c r="H62" s="164" t="s">
        <v>1138</v>
      </c>
      <c r="I62" s="490" t="s">
        <v>83</v>
      </c>
      <c r="J62" s="524"/>
      <c r="K62" s="1425">
        <f>J62*'Refrigerant &amp; Other 2022'!F64</f>
        <v>0</v>
      </c>
    </row>
    <row r="63" spans="1:14" ht="18.75" thickBot="1">
      <c r="A63" s="1410" t="s">
        <v>935</v>
      </c>
      <c r="B63" s="1719" t="s">
        <v>1147</v>
      </c>
      <c r="C63" s="490" t="s">
        <v>83</v>
      </c>
      <c r="D63" s="524"/>
      <c r="E63" s="1425">
        <f>D63*'Refrigerant &amp; Other 2022'!E75</f>
        <v>0</v>
      </c>
      <c r="G63" s="1413" t="s">
        <v>915</v>
      </c>
      <c r="H63" s="164" t="s">
        <v>1140</v>
      </c>
      <c r="I63" s="490" t="s">
        <v>83</v>
      </c>
      <c r="J63" s="524"/>
      <c r="K63" s="1425">
        <f>J63*'Refrigerant &amp; Other 2022'!F65</f>
        <v>0</v>
      </c>
    </row>
    <row r="64" spans="1:14" ht="18.75" thickBot="1">
      <c r="A64" s="1410" t="s">
        <v>937</v>
      </c>
      <c r="B64" s="1719" t="s">
        <v>1148</v>
      </c>
      <c r="C64" s="490" t="s">
        <v>83</v>
      </c>
      <c r="D64" s="524"/>
      <c r="E64" s="1425">
        <f>D64*'Refrigerant &amp; Other 2022'!E76</f>
        <v>0</v>
      </c>
      <c r="G64" s="1413" t="s">
        <v>917</v>
      </c>
      <c r="H64" s="164"/>
      <c r="I64" s="490" t="s">
        <v>83</v>
      </c>
      <c r="J64" s="524"/>
      <c r="K64" s="1425">
        <f>J64*'Refrigerant &amp; Other 2022'!F66</f>
        <v>0</v>
      </c>
    </row>
    <row r="65" spans="1:13" ht="15.75" customHeight="1" thickBot="1">
      <c r="A65" s="1410" t="s">
        <v>939</v>
      </c>
      <c r="B65" s="1719" t="s">
        <v>1149</v>
      </c>
      <c r="C65" s="490" t="s">
        <v>83</v>
      </c>
      <c r="D65" s="524"/>
      <c r="E65" s="1425">
        <f>D65*'Refrigerant &amp; Other 2022'!E77</f>
        <v>0</v>
      </c>
      <c r="G65" s="1413" t="s">
        <v>919</v>
      </c>
      <c r="H65" s="164"/>
      <c r="I65" s="490" t="s">
        <v>83</v>
      </c>
      <c r="J65" s="524"/>
      <c r="K65" s="1425">
        <f>J65*'Refrigerant &amp; Other 2022'!F67</f>
        <v>0</v>
      </c>
    </row>
    <row r="66" spans="1:13" ht="17.25" customHeight="1" thickBot="1">
      <c r="A66" s="1410" t="s">
        <v>943</v>
      </c>
      <c r="B66" s="1719" t="s">
        <v>1150</v>
      </c>
      <c r="C66" s="490" t="s">
        <v>83</v>
      </c>
      <c r="D66" s="524"/>
      <c r="E66" s="1425">
        <f>D66*'Refrigerant &amp; Other 2022'!E79</f>
        <v>0</v>
      </c>
      <c r="G66" s="1413" t="s">
        <v>1142</v>
      </c>
      <c r="H66" s="164"/>
      <c r="I66" s="490" t="s">
        <v>83</v>
      </c>
      <c r="J66" s="524"/>
      <c r="K66" s="1425">
        <f>J66*'Refrigerant &amp; Other 2022'!F68</f>
        <v>0</v>
      </c>
    </row>
    <row r="67" spans="1:13" ht="16.5" customHeight="1" thickBot="1">
      <c r="A67" s="1410" t="s">
        <v>949</v>
      </c>
      <c r="B67" s="1719" t="s">
        <v>1151</v>
      </c>
      <c r="C67" s="490" t="s">
        <v>83</v>
      </c>
      <c r="D67" s="524"/>
      <c r="E67" s="1425">
        <f>D67*'Refrigerant &amp; Other 2022'!E82</f>
        <v>0</v>
      </c>
      <c r="G67" s="1413" t="s">
        <v>1143</v>
      </c>
      <c r="H67" s="164"/>
      <c r="I67" s="490" t="s">
        <v>83</v>
      </c>
      <c r="J67" s="524"/>
      <c r="K67" s="1425">
        <f>J67*'Refrigerant &amp; Other 2022'!F69</f>
        <v>0</v>
      </c>
    </row>
    <row r="68" spans="1:13" ht="18" customHeight="1" thickBot="1">
      <c r="A68" s="1410" t="s">
        <v>953</v>
      </c>
      <c r="B68" s="1719" t="s">
        <v>1152</v>
      </c>
      <c r="C68" s="490" t="s">
        <v>83</v>
      </c>
      <c r="D68" s="524"/>
      <c r="E68" s="1425">
        <f>D68*'Refrigerant &amp; Other 2022'!E84</f>
        <v>0</v>
      </c>
      <c r="G68" s="1413" t="s">
        <v>1144</v>
      </c>
      <c r="H68" s="164"/>
      <c r="I68" s="490" t="s">
        <v>83</v>
      </c>
      <c r="J68" s="524"/>
      <c r="K68" s="1425">
        <f>J68*'Refrigerant &amp; Other 2022'!F70</f>
        <v>0</v>
      </c>
    </row>
    <row r="69" spans="1:13" ht="15.75" customHeight="1" thickBot="1">
      <c r="A69" s="1410" t="s">
        <v>955</v>
      </c>
      <c r="B69" s="164"/>
      <c r="C69" s="490" t="s">
        <v>83</v>
      </c>
      <c r="D69" s="524"/>
      <c r="E69" s="1425">
        <f>D69*'Refrigerant &amp; Other 2022'!E85</f>
        <v>0</v>
      </c>
      <c r="G69" s="1413" t="s">
        <v>1145</v>
      </c>
      <c r="H69" s="164"/>
      <c r="I69" s="490" t="s">
        <v>83</v>
      </c>
      <c r="J69" s="524"/>
      <c r="K69" s="1425">
        <f>J69*'Refrigerant &amp; Other 2022'!F71</f>
        <v>0</v>
      </c>
    </row>
    <row r="70" spans="1:13" ht="17.25" customHeight="1" thickBot="1">
      <c r="A70" s="1410" t="s">
        <v>962</v>
      </c>
      <c r="B70" s="1719" t="s">
        <v>1153</v>
      </c>
      <c r="C70" s="490" t="s">
        <v>83</v>
      </c>
      <c r="D70" s="524"/>
      <c r="E70" s="1425">
        <f>D70*'Refrigerant &amp; Other 2022'!E89</f>
        <v>0</v>
      </c>
      <c r="G70" s="1413" t="s">
        <v>929</v>
      </c>
      <c r="H70" s="164"/>
      <c r="I70" s="490" t="s">
        <v>83</v>
      </c>
      <c r="J70" s="524"/>
      <c r="K70" s="1425">
        <f>J70*'Refrigerant &amp; Other 2022'!F72</f>
        <v>0</v>
      </c>
    </row>
    <row r="71" spans="1:13" ht="17.25" customHeight="1" thickBot="1">
      <c r="A71" s="1410" t="s">
        <v>966</v>
      </c>
      <c r="B71" s="1719" t="s">
        <v>1153</v>
      </c>
      <c r="C71" s="490" t="s">
        <v>83</v>
      </c>
      <c r="D71" s="524"/>
      <c r="E71" s="1425">
        <f>D71*'Refrigerant &amp; Other 2022'!E91</f>
        <v>0</v>
      </c>
      <c r="G71" s="1413" t="s">
        <v>931</v>
      </c>
      <c r="H71" s="1719" t="s">
        <v>1154</v>
      </c>
      <c r="I71" s="490" t="s">
        <v>83</v>
      </c>
      <c r="J71" s="524"/>
      <c r="K71" s="1425">
        <f>J71*'Refrigerant &amp; Other 2022'!F73</f>
        <v>0</v>
      </c>
    </row>
    <row r="72" spans="1:13" ht="16.5" customHeight="1" thickBot="1">
      <c r="A72" s="1410" t="s">
        <v>970</v>
      </c>
      <c r="B72" s="1719" t="s">
        <v>1155</v>
      </c>
      <c r="C72" s="490" t="s">
        <v>83</v>
      </c>
      <c r="D72" s="524"/>
      <c r="E72" s="1425">
        <f>D72*'Refrigerant &amp; Other 2022'!E93</f>
        <v>0</v>
      </c>
      <c r="G72" s="1426" t="s">
        <v>1146</v>
      </c>
      <c r="H72" s="1427"/>
      <c r="I72" s="1427"/>
      <c r="J72" s="1427"/>
      <c r="K72" s="1429"/>
    </row>
    <row r="73" spans="1:13" ht="17.25" customHeight="1" thickBot="1">
      <c r="A73" s="1410" t="s">
        <v>980</v>
      </c>
      <c r="B73" s="1719" t="s">
        <v>1156</v>
      </c>
      <c r="C73" s="490" t="s">
        <v>83</v>
      </c>
      <c r="D73" s="524"/>
      <c r="E73" s="1425">
        <f>D73*'Refrigerant &amp; Other 2022'!E98</f>
        <v>0</v>
      </c>
      <c r="G73" s="1413" t="s">
        <v>935</v>
      </c>
      <c r="H73" s="1719" t="s">
        <v>1147</v>
      </c>
      <c r="I73" s="490" t="s">
        <v>83</v>
      </c>
      <c r="J73" s="524"/>
      <c r="K73" s="1425">
        <f>J73*'Refrigerant &amp; Other 2022'!F75</f>
        <v>0</v>
      </c>
      <c r="M73" s="62"/>
    </row>
    <row r="74" spans="1:13" ht="18.75" customHeight="1" thickBot="1">
      <c r="A74" s="1410" t="s">
        <v>982</v>
      </c>
      <c r="B74" s="1719" t="s">
        <v>1157</v>
      </c>
      <c r="C74" s="490" t="s">
        <v>83</v>
      </c>
      <c r="D74" s="524"/>
      <c r="E74" s="1425">
        <f>D74*'Refrigerant &amp; Other 2022'!E99</f>
        <v>0</v>
      </c>
      <c r="G74" s="1413" t="s">
        <v>937</v>
      </c>
      <c r="H74" s="1719" t="s">
        <v>1148</v>
      </c>
      <c r="I74" s="490" t="s">
        <v>83</v>
      </c>
      <c r="J74" s="524"/>
      <c r="K74" s="1425">
        <f>J74*'Refrigerant &amp; Other 2022'!F76</f>
        <v>0</v>
      </c>
      <c r="M74" s="62"/>
    </row>
    <row r="75" spans="1:13" ht="17.25" customHeight="1" thickBot="1">
      <c r="A75" s="1410" t="s">
        <v>984</v>
      </c>
      <c r="B75" s="1719" t="s">
        <v>1158</v>
      </c>
      <c r="C75" s="490" t="s">
        <v>83</v>
      </c>
      <c r="D75" s="524"/>
      <c r="E75" s="1425">
        <f>D75*'Refrigerant &amp; Other 2022'!E100</f>
        <v>0</v>
      </c>
      <c r="G75" s="1413" t="s">
        <v>939</v>
      </c>
      <c r="H75" s="1719" t="s">
        <v>1149</v>
      </c>
      <c r="I75" s="490" t="s">
        <v>83</v>
      </c>
      <c r="J75" s="524"/>
      <c r="K75" s="1425">
        <f>J75*'Refrigerant &amp; Other 2022'!F77</f>
        <v>0</v>
      </c>
      <c r="M75" s="62"/>
    </row>
    <row r="76" spans="1:13" ht="16.5" customHeight="1" thickBot="1">
      <c r="A76" s="1410" t="s">
        <v>986</v>
      </c>
      <c r="B76" s="1719" t="s">
        <v>1159</v>
      </c>
      <c r="C76" s="490" t="s">
        <v>83</v>
      </c>
      <c r="D76" s="524"/>
      <c r="E76" s="1425">
        <f>D76*'Refrigerant &amp; Other 2022'!E101</f>
        <v>0</v>
      </c>
      <c r="G76" s="1413" t="s">
        <v>941</v>
      </c>
      <c r="H76" s="1719" t="s">
        <v>1160</v>
      </c>
      <c r="I76" s="490" t="s">
        <v>83</v>
      </c>
      <c r="J76" s="524"/>
      <c r="K76" s="1425">
        <f>J76*'Refrigerant &amp; Other 2022'!F78</f>
        <v>0</v>
      </c>
    </row>
    <row r="77" spans="1:13" ht="17.25" customHeight="1" thickBot="1">
      <c r="A77" s="1410" t="s">
        <v>988</v>
      </c>
      <c r="B77" s="1719" t="s">
        <v>1161</v>
      </c>
      <c r="C77" s="490" t="s">
        <v>83</v>
      </c>
      <c r="D77" s="524"/>
      <c r="E77" s="1425">
        <f>D77*'Refrigerant &amp; Other 2022'!E102</f>
        <v>0</v>
      </c>
      <c r="G77" s="1413" t="s">
        <v>943</v>
      </c>
      <c r="H77" s="1719" t="s">
        <v>1150</v>
      </c>
      <c r="I77" s="490" t="s">
        <v>83</v>
      </c>
      <c r="J77" s="524"/>
      <c r="K77" s="1425">
        <f>J77*'Refrigerant &amp; Other 2022'!F79</f>
        <v>0</v>
      </c>
      <c r="M77" s="62"/>
    </row>
    <row r="78" spans="1:13" ht="18.75" thickBot="1">
      <c r="A78" s="2002" t="s">
        <v>1162</v>
      </c>
      <c r="B78" s="2002"/>
      <c r="C78" s="2002"/>
      <c r="D78" s="2002"/>
      <c r="E78" s="2003"/>
      <c r="G78" s="1413" t="s">
        <v>945</v>
      </c>
      <c r="H78" s="1719" t="s">
        <v>1163</v>
      </c>
      <c r="I78" s="490" t="s">
        <v>83</v>
      </c>
      <c r="J78" s="524"/>
      <c r="K78" s="1425">
        <f>J78*'Refrigerant &amp; Other 2022'!F80</f>
        <v>0</v>
      </c>
    </row>
    <row r="79" spans="1:13" ht="18.75" thickBot="1">
      <c r="A79" s="1410" t="s">
        <v>991</v>
      </c>
      <c r="B79" s="164"/>
      <c r="C79" s="490" t="s">
        <v>83</v>
      </c>
      <c r="D79" s="527"/>
      <c r="E79" s="1425">
        <f>D79*'Refrigerant &amp; Other 2022'!E104</f>
        <v>0</v>
      </c>
      <c r="G79" s="1413" t="s">
        <v>947</v>
      </c>
      <c r="H79" s="1719" t="s">
        <v>1164</v>
      </c>
      <c r="I79" s="490" t="s">
        <v>83</v>
      </c>
      <c r="J79" s="524"/>
      <c r="K79" s="1425">
        <f>J79*'Refrigerant &amp; Other 2022'!F81</f>
        <v>0</v>
      </c>
    </row>
    <row r="80" spans="1:13" ht="17.25" customHeight="1" thickBot="1">
      <c r="A80" s="2002" t="s">
        <v>1165</v>
      </c>
      <c r="B80" s="2002"/>
      <c r="C80" s="2002"/>
      <c r="D80" s="2002"/>
      <c r="E80" s="2003"/>
      <c r="G80" s="1413" t="s">
        <v>949</v>
      </c>
      <c r="H80" s="1719" t="s">
        <v>1151</v>
      </c>
      <c r="I80" s="490" t="s">
        <v>83</v>
      </c>
      <c r="J80" s="524"/>
      <c r="K80" s="1425">
        <f>J80*'Refrigerant &amp; Other 2022'!F82</f>
        <v>0</v>
      </c>
      <c r="M80" s="62"/>
    </row>
    <row r="81" spans="1:14" ht="18" customHeight="1" thickBot="1">
      <c r="A81" s="1410" t="s">
        <v>997</v>
      </c>
      <c r="B81" s="164"/>
      <c r="C81" s="490" t="s">
        <v>83</v>
      </c>
      <c r="D81" s="524"/>
      <c r="E81" s="1412">
        <f>D81*'Refrigerant &amp; Other 2022'!E107</f>
        <v>0</v>
      </c>
      <c r="G81" s="1413" t="s">
        <v>951</v>
      </c>
      <c r="H81" s="1719" t="s">
        <v>1166</v>
      </c>
      <c r="I81" s="490" t="s">
        <v>83</v>
      </c>
      <c r="J81" s="524"/>
      <c r="K81" s="1425">
        <f>J81*'Refrigerant &amp; Other 2022'!F83</f>
        <v>0</v>
      </c>
    </row>
    <row r="82" spans="1:14" ht="18" customHeight="1" thickBot="1">
      <c r="A82" s="1410" t="s">
        <v>998</v>
      </c>
      <c r="B82" s="164"/>
      <c r="C82" s="490" t="s">
        <v>83</v>
      </c>
      <c r="D82" s="524"/>
      <c r="E82" s="1412">
        <f>D82*'Refrigerant &amp; Other 2022'!E108</f>
        <v>0</v>
      </c>
      <c r="G82" s="1413" t="s">
        <v>953</v>
      </c>
      <c r="H82" s="1719" t="s">
        <v>1152</v>
      </c>
      <c r="I82" s="490" t="s">
        <v>83</v>
      </c>
      <c r="J82" s="524"/>
      <c r="K82" s="1425">
        <f>J82*'Refrigerant &amp; Other 2022'!F84</f>
        <v>0</v>
      </c>
      <c r="M82" s="62"/>
    </row>
    <row r="83" spans="1:14" ht="15" customHeight="1" thickBot="1">
      <c r="A83" s="1410" t="s">
        <v>1002</v>
      </c>
      <c r="B83" s="164"/>
      <c r="C83" s="490" t="s">
        <v>83</v>
      </c>
      <c r="D83" s="524"/>
      <c r="E83" s="1412">
        <f>D83*'Refrigerant &amp; Other 2022'!E110</f>
        <v>0</v>
      </c>
      <c r="G83" s="1413" t="s">
        <v>955</v>
      </c>
      <c r="H83" s="1719"/>
      <c r="I83" s="490" t="s">
        <v>83</v>
      </c>
      <c r="J83" s="524"/>
      <c r="K83" s="1425">
        <f>J83*'Refrigerant &amp; Other 2022'!F85</f>
        <v>0</v>
      </c>
      <c r="M83" s="62"/>
      <c r="N83" s="1221"/>
    </row>
    <row r="84" spans="1:14" ht="17.25" customHeight="1" thickBot="1">
      <c r="A84" s="2002" t="s">
        <v>1004</v>
      </c>
      <c r="B84" s="2002"/>
      <c r="C84" s="2002"/>
      <c r="D84" s="2002"/>
      <c r="E84" s="2003"/>
      <c r="G84" s="1413" t="s">
        <v>956</v>
      </c>
      <c r="H84" s="1719" t="s">
        <v>1167</v>
      </c>
      <c r="I84" s="490" t="s">
        <v>83</v>
      </c>
      <c r="J84" s="524"/>
      <c r="K84" s="1425">
        <f>J84*'Refrigerant &amp; Other 2022'!F86</f>
        <v>0</v>
      </c>
    </row>
    <row r="85" spans="1:14" ht="18" customHeight="1" thickBot="1">
      <c r="A85" s="1432" t="s">
        <v>1005</v>
      </c>
      <c r="B85" s="1433" t="s">
        <v>1006</v>
      </c>
      <c r="C85" s="1434" t="s">
        <v>83</v>
      </c>
      <c r="D85" s="1435"/>
      <c r="E85" s="1436"/>
      <c r="G85" s="1413" t="s">
        <v>958</v>
      </c>
      <c r="H85" s="1719" t="s">
        <v>1168</v>
      </c>
      <c r="I85" s="490" t="s">
        <v>83</v>
      </c>
      <c r="J85" s="524"/>
      <c r="K85" s="1425">
        <f>J85*'Refrigerant &amp; Other 2022'!F87</f>
        <v>0</v>
      </c>
    </row>
    <row r="86" spans="1:14" ht="18" customHeight="1" thickBot="1">
      <c r="A86" s="1410" t="s">
        <v>1008</v>
      </c>
      <c r="B86" s="164" t="s">
        <v>1009</v>
      </c>
      <c r="C86" s="490" t="s">
        <v>83</v>
      </c>
      <c r="D86" s="524"/>
      <c r="E86" s="1425">
        <f>D86*'Refrigerant &amp; Other 2022'!E113</f>
        <v>0</v>
      </c>
      <c r="G86" s="1413" t="s">
        <v>960</v>
      </c>
      <c r="H86" s="1719" t="s">
        <v>1169</v>
      </c>
      <c r="I86" s="490" t="s">
        <v>83</v>
      </c>
      <c r="J86" s="524"/>
      <c r="K86" s="1425">
        <f>J86*'Refrigerant &amp; Other 2022'!F88</f>
        <v>0</v>
      </c>
    </row>
    <row r="87" spans="1:14" ht="18" customHeight="1" thickBot="1">
      <c r="A87" s="1410" t="s">
        <v>1011</v>
      </c>
      <c r="B87" s="164" t="s">
        <v>1012</v>
      </c>
      <c r="C87" s="490" t="s">
        <v>83</v>
      </c>
      <c r="D87" s="524"/>
      <c r="E87" s="1425">
        <f>D87*'Refrigerant &amp; Other 2022'!E114</f>
        <v>0</v>
      </c>
      <c r="G87" s="1413" t="s">
        <v>962</v>
      </c>
      <c r="H87" s="1719" t="s">
        <v>1153</v>
      </c>
      <c r="I87" s="490" t="s">
        <v>83</v>
      </c>
      <c r="J87" s="524"/>
      <c r="K87" s="1425">
        <f>J87*'Refrigerant &amp; Other 2022'!F89</f>
        <v>0</v>
      </c>
      <c r="M87" s="62"/>
    </row>
    <row r="88" spans="1:14" ht="17.25" customHeight="1" thickBot="1">
      <c r="A88" s="1410" t="s">
        <v>1014</v>
      </c>
      <c r="B88" s="164" t="s">
        <v>1015</v>
      </c>
      <c r="C88" s="490" t="s">
        <v>83</v>
      </c>
      <c r="D88" s="524"/>
      <c r="E88" s="1425">
        <f>D88*'Refrigerant &amp; Other 2022'!E115</f>
        <v>0</v>
      </c>
      <c r="G88" s="1413" t="s">
        <v>964</v>
      </c>
      <c r="H88" s="1719" t="s">
        <v>1170</v>
      </c>
      <c r="I88" s="490" t="s">
        <v>83</v>
      </c>
      <c r="J88" s="524"/>
      <c r="K88" s="1425">
        <f>J88*'Refrigerant &amp; Other 2022'!F90</f>
        <v>0</v>
      </c>
    </row>
    <row r="89" spans="1:14" ht="18" customHeight="1" thickBot="1">
      <c r="A89" s="1410" t="s">
        <v>1016</v>
      </c>
      <c r="B89" s="164" t="s">
        <v>1017</v>
      </c>
      <c r="C89" s="490" t="s">
        <v>83</v>
      </c>
      <c r="D89" s="524"/>
      <c r="E89" s="1425">
        <f>D89*'Refrigerant &amp; Other 2022'!E116</f>
        <v>0</v>
      </c>
      <c r="G89" s="1413" t="s">
        <v>966</v>
      </c>
      <c r="H89" s="1719" t="s">
        <v>1171</v>
      </c>
      <c r="I89" s="490" t="s">
        <v>83</v>
      </c>
      <c r="J89" s="524"/>
      <c r="K89" s="1425">
        <f>J89*'Refrigerant &amp; Other 2022'!F91</f>
        <v>0</v>
      </c>
      <c r="M89" s="62"/>
    </row>
    <row r="90" spans="1:14" ht="18" customHeight="1" thickBot="1">
      <c r="A90" s="1410" t="s">
        <v>1018</v>
      </c>
      <c r="B90" s="164" t="s">
        <v>1019</v>
      </c>
      <c r="C90" s="490" t="s">
        <v>83</v>
      </c>
      <c r="D90" s="524"/>
      <c r="E90" s="1425">
        <f>D90*'Refrigerant &amp; Other 2022'!E117</f>
        <v>0</v>
      </c>
      <c r="G90" s="1413" t="s">
        <v>968</v>
      </c>
      <c r="H90" s="1719" t="s">
        <v>1172</v>
      </c>
      <c r="I90" s="490" t="s">
        <v>83</v>
      </c>
      <c r="J90" s="524"/>
      <c r="K90" s="1425">
        <f>J90*'Refrigerant &amp; Other 2022'!F92</f>
        <v>0</v>
      </c>
    </row>
    <row r="91" spans="1:14" ht="17.25" customHeight="1" thickBot="1">
      <c r="A91" s="1410" t="s">
        <v>1020</v>
      </c>
      <c r="B91" s="164" t="s">
        <v>1021</v>
      </c>
      <c r="C91" s="490" t="s">
        <v>83</v>
      </c>
      <c r="D91" s="524"/>
      <c r="E91" s="1425">
        <f>D91*'Refrigerant &amp; Other 2022'!E118</f>
        <v>0</v>
      </c>
      <c r="G91" s="1413" t="s">
        <v>970</v>
      </c>
      <c r="H91" s="1719" t="s">
        <v>1155</v>
      </c>
      <c r="I91" s="490" t="s">
        <v>83</v>
      </c>
      <c r="J91" s="524"/>
      <c r="K91" s="1425">
        <f>J91*'Refrigerant &amp; Other 2022'!F93</f>
        <v>0</v>
      </c>
      <c r="M91" s="62"/>
    </row>
    <row r="92" spans="1:14" ht="17.25" customHeight="1" thickBot="1">
      <c r="A92" s="1410" t="s">
        <v>1022</v>
      </c>
      <c r="B92" s="164" t="s">
        <v>1023</v>
      </c>
      <c r="C92" s="490" t="s">
        <v>83</v>
      </c>
      <c r="D92" s="524"/>
      <c r="E92" s="1425">
        <f>D92*'Refrigerant &amp; Other 2022'!E119</f>
        <v>0</v>
      </c>
      <c r="G92" s="1413" t="s">
        <v>972</v>
      </c>
      <c r="H92" s="1719" t="s">
        <v>1173</v>
      </c>
      <c r="I92" s="490" t="s">
        <v>83</v>
      </c>
      <c r="J92" s="524"/>
      <c r="K92" s="1425">
        <f>J92*'Refrigerant &amp; Other 2022'!F94</f>
        <v>0</v>
      </c>
    </row>
    <row r="93" spans="1:14" ht="18" customHeight="1" thickBot="1">
      <c r="A93" s="1410" t="s">
        <v>1027</v>
      </c>
      <c r="B93" s="164" t="s">
        <v>1028</v>
      </c>
      <c r="C93" s="490" t="s">
        <v>83</v>
      </c>
      <c r="D93" s="524"/>
      <c r="E93" s="1425">
        <f>D93*'Refrigerant &amp; Other 2022'!E120</f>
        <v>0</v>
      </c>
      <c r="G93" s="1413" t="s">
        <v>974</v>
      </c>
      <c r="H93" s="1719" t="s">
        <v>1174</v>
      </c>
      <c r="I93" s="490" t="s">
        <v>83</v>
      </c>
      <c r="J93" s="524"/>
      <c r="K93" s="1425">
        <f>J93*'Refrigerant &amp; Other 2022'!F95</f>
        <v>0</v>
      </c>
    </row>
    <row r="94" spans="1:14" ht="18.75" customHeight="1" thickBot="1">
      <c r="A94" s="1410" t="s">
        <v>1029</v>
      </c>
      <c r="B94" s="164" t="s">
        <v>1030</v>
      </c>
      <c r="C94" s="490" t="s">
        <v>83</v>
      </c>
      <c r="D94" s="524"/>
      <c r="E94" s="1425">
        <f>D94*'Refrigerant &amp; Other 2022'!E121</f>
        <v>0</v>
      </c>
      <c r="G94" s="1413" t="s">
        <v>976</v>
      </c>
      <c r="H94" s="1719" t="s">
        <v>1175</v>
      </c>
      <c r="I94" s="490" t="s">
        <v>83</v>
      </c>
      <c r="J94" s="524"/>
      <c r="K94" s="1425">
        <f>J94*'Refrigerant &amp; Other 2022'!F96</f>
        <v>0</v>
      </c>
    </row>
    <row r="95" spans="1:14" ht="17.25" customHeight="1" thickBot="1">
      <c r="A95" s="1437" t="s">
        <v>1031</v>
      </c>
      <c r="B95" s="1438" t="s">
        <v>1032</v>
      </c>
      <c r="C95" s="1439" t="s">
        <v>83</v>
      </c>
      <c r="D95" s="524"/>
      <c r="E95" s="1425">
        <f>D95*'Refrigerant &amp; Other 2022'!E122</f>
        <v>0</v>
      </c>
      <c r="G95" s="1413" t="s">
        <v>978</v>
      </c>
      <c r="H95" s="1719" t="s">
        <v>1176</v>
      </c>
      <c r="I95" s="490" t="s">
        <v>83</v>
      </c>
      <c r="J95" s="524"/>
      <c r="K95" s="1425">
        <f>J95*'Refrigerant &amp; Other 2022'!F97</f>
        <v>0</v>
      </c>
    </row>
    <row r="96" spans="1:14" ht="17.25" customHeight="1" thickBot="1">
      <c r="A96" s="2002" t="s">
        <v>1033</v>
      </c>
      <c r="B96" s="2002"/>
      <c r="C96" s="2002"/>
      <c r="D96" s="2002"/>
      <c r="E96" s="2003"/>
      <c r="G96" s="1413" t="s">
        <v>980</v>
      </c>
      <c r="H96" s="1719" t="s">
        <v>1156</v>
      </c>
      <c r="I96" s="490" t="s">
        <v>83</v>
      </c>
      <c r="J96" s="524"/>
      <c r="K96" s="1425">
        <f>J96*'Refrigerant &amp; Other 2022'!F98</f>
        <v>0</v>
      </c>
      <c r="M96" s="62"/>
    </row>
    <row r="97" spans="1:13" ht="17.25" customHeight="1" thickBot="1">
      <c r="A97" s="1432" t="s">
        <v>1005</v>
      </c>
      <c r="B97" s="1433" t="s">
        <v>1006</v>
      </c>
      <c r="C97" s="1434" t="s">
        <v>83</v>
      </c>
      <c r="D97" s="1435"/>
      <c r="E97" s="1436"/>
      <c r="G97" s="1413" t="s">
        <v>982</v>
      </c>
      <c r="H97" s="1719" t="s">
        <v>1157</v>
      </c>
      <c r="I97" s="490" t="s">
        <v>83</v>
      </c>
      <c r="J97" s="524"/>
      <c r="K97" s="1425">
        <f>J97*'Refrigerant &amp; Other 2022'!F99</f>
        <v>0</v>
      </c>
      <c r="M97" s="62"/>
    </row>
    <row r="98" spans="1:13" ht="16.5" customHeight="1" thickBot="1">
      <c r="A98" s="876" t="s">
        <v>1034</v>
      </c>
      <c r="B98" s="876" t="s">
        <v>1035</v>
      </c>
      <c r="C98" s="1608" t="s">
        <v>83</v>
      </c>
      <c r="D98" s="524"/>
      <c r="E98" s="1425">
        <f>D98*'Refrigerant &amp; Other 2022'!E126</f>
        <v>0</v>
      </c>
      <c r="G98" s="1413" t="s">
        <v>984</v>
      </c>
      <c r="H98" s="1719" t="s">
        <v>1158</v>
      </c>
      <c r="I98" s="490" t="s">
        <v>83</v>
      </c>
      <c r="J98" s="524"/>
      <c r="K98" s="1425">
        <f>J98*'Refrigerant &amp; Other 2022'!F100</f>
        <v>0</v>
      </c>
      <c r="M98" s="62"/>
    </row>
    <row r="99" spans="1:13" ht="18.75" thickBot="1">
      <c r="A99" s="1569" t="s">
        <v>1177</v>
      </c>
      <c r="B99" s="1433" t="s">
        <v>1178</v>
      </c>
      <c r="C99" s="1434" t="s">
        <v>83</v>
      </c>
      <c r="D99" s="1570"/>
      <c r="E99" s="1571"/>
      <c r="G99" s="1413" t="s">
        <v>986</v>
      </c>
      <c r="H99" s="1719" t="s">
        <v>1159</v>
      </c>
      <c r="I99" s="490" t="s">
        <v>83</v>
      </c>
      <c r="J99" s="524"/>
      <c r="K99" s="1425">
        <f>J99*'Refrigerant &amp; Other 2022'!F101</f>
        <v>0</v>
      </c>
      <c r="M99" s="62"/>
    </row>
    <row r="100" spans="1:13" ht="18.75" thickBot="1">
      <c r="A100" s="813" t="s">
        <v>1037</v>
      </c>
      <c r="B100" s="813" t="s">
        <v>1179</v>
      </c>
      <c r="C100" s="1609" t="s">
        <v>83</v>
      </c>
      <c r="D100" s="524"/>
      <c r="E100" s="1425">
        <f>D100*'Refrigerant &amp; Other 2022'!E128</f>
        <v>0</v>
      </c>
      <c r="G100" s="1413" t="s">
        <v>988</v>
      </c>
      <c r="H100" s="1719" t="s">
        <v>1161</v>
      </c>
      <c r="I100" s="490" t="s">
        <v>83</v>
      </c>
      <c r="J100" s="524"/>
      <c r="K100" s="1425">
        <f>J100*'Refrigerant &amp; Other 2022'!F102</f>
        <v>0</v>
      </c>
      <c r="M100" s="62"/>
    </row>
    <row r="101" spans="1:13" ht="18.75" thickBot="1">
      <c r="A101" s="1761" t="s">
        <v>1039</v>
      </c>
      <c r="B101" s="813" t="s">
        <v>1150</v>
      </c>
      <c r="C101" s="1719" t="s">
        <v>83</v>
      </c>
      <c r="D101" s="524"/>
      <c r="E101" s="1425">
        <f>D101*'Refrigerant &amp; Other 2022'!E129</f>
        <v>0</v>
      </c>
      <c r="G101" s="1426" t="s">
        <v>1162</v>
      </c>
      <c r="H101" s="1427"/>
      <c r="I101" s="1427"/>
      <c r="J101" s="1427"/>
      <c r="K101" s="1429"/>
    </row>
    <row r="102" spans="1:13" ht="18.75" thickBot="1">
      <c r="A102" s="813" t="s">
        <v>1041</v>
      </c>
      <c r="B102" s="813" t="s">
        <v>1163</v>
      </c>
      <c r="C102" s="1719" t="s">
        <v>83</v>
      </c>
      <c r="D102" s="524"/>
      <c r="E102" s="1425">
        <f>D102*'Refrigerant &amp; Other 2022'!E130</f>
        <v>0</v>
      </c>
      <c r="G102" s="1413" t="s">
        <v>991</v>
      </c>
      <c r="H102" s="164"/>
      <c r="I102" s="490" t="s">
        <v>83</v>
      </c>
      <c r="J102" s="527"/>
      <c r="K102" s="1425">
        <f>J102*'Refrigerant &amp; Other 2022'!F104</f>
        <v>0</v>
      </c>
    </row>
    <row r="103" spans="1:13" ht="16.5" customHeight="1" thickBot="1">
      <c r="A103" s="1761" t="s">
        <v>1044</v>
      </c>
      <c r="B103" s="813" t="s">
        <v>1180</v>
      </c>
      <c r="C103" s="1719" t="s">
        <v>83</v>
      </c>
      <c r="D103" s="524"/>
      <c r="E103" s="1425">
        <f>D103*'Refrigerant &amp; Other 2022'!E132</f>
        <v>0</v>
      </c>
      <c r="G103" s="1426" t="s">
        <v>1165</v>
      </c>
      <c r="H103" s="1427"/>
      <c r="I103" s="1427"/>
      <c r="J103" s="1427"/>
      <c r="K103" s="1429"/>
    </row>
    <row r="104" spans="1:13" ht="18.75" thickBot="1">
      <c r="D104" s="1382" t="s">
        <v>1181</v>
      </c>
      <c r="E104" s="1425">
        <f>(SUM(E15:E17))+(SUM(E19:E37))+(SUM(E39:E49))+(SUM(E51:E61))+(SUM(E63:E77))+E79+E81+E82+E83+(SUM(E86:E95))+SUM(E100:E103)</f>
        <v>0</v>
      </c>
      <c r="G104" s="1440" t="s">
        <v>995</v>
      </c>
      <c r="H104" s="876" t="s">
        <v>1182</v>
      </c>
      <c r="I104" s="490" t="s">
        <v>83</v>
      </c>
      <c r="J104" s="524"/>
      <c r="K104" s="1412">
        <f>J104*'Refrigerant &amp; Other 2022'!F106</f>
        <v>0</v>
      </c>
    </row>
    <row r="105" spans="1:13" ht="15.75" thickBot="1">
      <c r="G105" s="1413" t="s">
        <v>997</v>
      </c>
      <c r="H105" s="897"/>
      <c r="I105" s="490" t="s">
        <v>83</v>
      </c>
      <c r="J105" s="524"/>
      <c r="K105" s="1412">
        <f>J105*'Refrigerant &amp; Other 2022'!F107</f>
        <v>0</v>
      </c>
    </row>
    <row r="106" spans="1:13" ht="18.75" thickBot="1">
      <c r="G106" s="1413" t="s">
        <v>998</v>
      </c>
      <c r="H106" s="1719" t="s">
        <v>1183</v>
      </c>
      <c r="I106" s="490" t="s">
        <v>83</v>
      </c>
      <c r="J106" s="524"/>
      <c r="K106" s="1412">
        <f>J106*'Refrigerant &amp; Other 2022'!F108</f>
        <v>0</v>
      </c>
    </row>
    <row r="107" spans="1:13" ht="18.75" thickBot="1">
      <c r="G107" s="1440" t="s">
        <v>1184</v>
      </c>
      <c r="H107" s="1719" t="s">
        <v>1185</v>
      </c>
      <c r="I107" s="490" t="s">
        <v>83</v>
      </c>
      <c r="J107" s="524"/>
      <c r="K107" s="1412">
        <f>J107*'Refrigerant &amp; Other 2022'!F109</f>
        <v>0</v>
      </c>
    </row>
    <row r="108" spans="1:13" ht="18">
      <c r="G108" s="1413" t="s">
        <v>1002</v>
      </c>
      <c r="H108" s="1719" t="s">
        <v>1186</v>
      </c>
      <c r="I108" s="490" t="s">
        <v>83</v>
      </c>
      <c r="J108" s="524"/>
      <c r="K108" s="1412">
        <f>J108*'Refrigerant &amp; Other 2022'!F110</f>
        <v>0</v>
      </c>
    </row>
    <row r="109" spans="1:13" ht="15.75" customHeight="1">
      <c r="G109" s="1426" t="s">
        <v>1004</v>
      </c>
      <c r="H109" s="1427"/>
      <c r="I109" s="1427"/>
      <c r="J109" s="1427"/>
      <c r="K109" s="1429"/>
    </row>
    <row r="110" spans="1:13" ht="17.25" customHeight="1" thickBot="1">
      <c r="G110" s="1441" t="s">
        <v>1005</v>
      </c>
      <c r="H110" s="1433" t="s">
        <v>1006</v>
      </c>
      <c r="I110" s="1434" t="s">
        <v>83</v>
      </c>
      <c r="J110" s="1435"/>
      <c r="K110" s="1436"/>
    </row>
    <row r="111" spans="1:13" ht="15.75" customHeight="1" thickBot="1">
      <c r="G111" s="1413" t="s">
        <v>1008</v>
      </c>
      <c r="H111" s="164" t="s">
        <v>1009</v>
      </c>
      <c r="I111" s="490" t="s">
        <v>83</v>
      </c>
      <c r="J111" s="524"/>
      <c r="K111" s="1412">
        <f>J111*'Refrigerant &amp; Other 2022'!F113</f>
        <v>0</v>
      </c>
    </row>
    <row r="112" spans="1:13" ht="15.75" customHeight="1" thickBot="1">
      <c r="G112" s="1413" t="s">
        <v>1011</v>
      </c>
      <c r="H112" s="164" t="s">
        <v>1012</v>
      </c>
      <c r="I112" s="490" t="s">
        <v>83</v>
      </c>
      <c r="J112" s="524"/>
      <c r="K112" s="1412">
        <f>J112*'Refrigerant &amp; Other 2022'!F114</f>
        <v>0</v>
      </c>
    </row>
    <row r="113" spans="7:11" ht="15.75" customHeight="1" thickBot="1">
      <c r="G113" s="1413" t="s">
        <v>1014</v>
      </c>
      <c r="H113" s="164" t="s">
        <v>1015</v>
      </c>
      <c r="I113" s="490" t="s">
        <v>83</v>
      </c>
      <c r="J113" s="524"/>
      <c r="K113" s="1412">
        <f>J113*'Refrigerant &amp; Other 2022'!F115</f>
        <v>0</v>
      </c>
    </row>
    <row r="114" spans="7:11" ht="15.75" customHeight="1" thickBot="1">
      <c r="G114" s="1413" t="s">
        <v>1016</v>
      </c>
      <c r="H114" s="164" t="s">
        <v>1017</v>
      </c>
      <c r="I114" s="490" t="s">
        <v>83</v>
      </c>
      <c r="J114" s="524"/>
      <c r="K114" s="1412">
        <f>J114*'Refrigerant &amp; Other 2022'!F116</f>
        <v>0</v>
      </c>
    </row>
    <row r="115" spans="7:11" ht="15.75" customHeight="1" thickBot="1">
      <c r="G115" s="1413" t="s">
        <v>1018</v>
      </c>
      <c r="H115" s="164" t="s">
        <v>1019</v>
      </c>
      <c r="I115" s="490" t="s">
        <v>83</v>
      </c>
      <c r="J115" s="524"/>
      <c r="K115" s="1412">
        <f>J115*'Refrigerant &amp; Other 2022'!F117</f>
        <v>0</v>
      </c>
    </row>
    <row r="116" spans="7:11" ht="15.75" customHeight="1" thickBot="1">
      <c r="G116" s="1413" t="s">
        <v>1020</v>
      </c>
      <c r="H116" s="164" t="s">
        <v>1021</v>
      </c>
      <c r="I116" s="490" t="s">
        <v>83</v>
      </c>
      <c r="J116" s="524"/>
      <c r="K116" s="1412">
        <f>J116*'Refrigerant &amp; Other 2022'!F118</f>
        <v>0</v>
      </c>
    </row>
    <row r="117" spans="7:11" ht="15.75" thickBot="1">
      <c r="G117" s="1413" t="s">
        <v>1027</v>
      </c>
      <c r="H117" s="164" t="s">
        <v>1028</v>
      </c>
      <c r="I117" s="490" t="s">
        <v>83</v>
      </c>
      <c r="J117" s="524"/>
      <c r="K117" s="1412">
        <f>J117*'Refrigerant &amp; Other 2022'!F120</f>
        <v>0</v>
      </c>
    </row>
    <row r="118" spans="7:11">
      <c r="G118" s="1442">
        <v>502</v>
      </c>
      <c r="I118" s="1439" t="s">
        <v>83</v>
      </c>
      <c r="J118" s="524"/>
      <c r="K118" s="1412">
        <f>J118*'Refrigerant &amp; Other 2022'!F123</f>
        <v>0</v>
      </c>
    </row>
    <row r="119" spans="7:11">
      <c r="G119" s="2004" t="s">
        <v>1033</v>
      </c>
      <c r="H119" s="2002"/>
      <c r="I119" s="2002"/>
      <c r="J119" s="2002"/>
      <c r="K119" s="2003"/>
    </row>
    <row r="120" spans="7:11" ht="15" customHeight="1" thickBot="1">
      <c r="G120" s="1441" t="s">
        <v>1005</v>
      </c>
      <c r="H120" s="1433" t="s">
        <v>1006</v>
      </c>
      <c r="I120" s="1434" t="s">
        <v>83</v>
      </c>
      <c r="J120" s="1435"/>
      <c r="K120" s="1436"/>
    </row>
    <row r="121" spans="7:11">
      <c r="G121" s="876" t="s">
        <v>1034</v>
      </c>
      <c r="H121" s="876" t="s">
        <v>1035</v>
      </c>
      <c r="I121" s="1608" t="s">
        <v>83</v>
      </c>
      <c r="J121" s="524"/>
      <c r="K121" s="1412">
        <f>J121*'Refrigerant &amp; Other 2022'!F126</f>
        <v>0</v>
      </c>
    </row>
    <row r="122" spans="7:11" ht="15.75" thickBot="1">
      <c r="G122" s="1569" t="s">
        <v>1177</v>
      </c>
      <c r="H122" s="1433" t="s">
        <v>1178</v>
      </c>
      <c r="I122" s="1434" t="s">
        <v>83</v>
      </c>
      <c r="J122" s="1570"/>
      <c r="K122" s="1571"/>
    </row>
    <row r="123" spans="7:11" ht="18.75" thickBot="1">
      <c r="G123" s="813" t="s">
        <v>1037</v>
      </c>
      <c r="H123" s="813" t="s">
        <v>1179</v>
      </c>
      <c r="I123" s="1609" t="s">
        <v>83</v>
      </c>
      <c r="J123" s="524"/>
      <c r="K123" s="1412">
        <f>J123*'Refrigerant &amp; Other 2022'!F128</f>
        <v>0</v>
      </c>
    </row>
    <row r="124" spans="7:11" ht="18.75" thickBot="1">
      <c r="G124" s="813" t="s">
        <v>1039</v>
      </c>
      <c r="H124" s="813" t="s">
        <v>1150</v>
      </c>
      <c r="I124" s="1719" t="s">
        <v>83</v>
      </c>
      <c r="J124" s="524"/>
      <c r="K124" s="1412">
        <f>J124*'Refrigerant &amp; Other 2022'!F129</f>
        <v>0</v>
      </c>
    </row>
    <row r="125" spans="7:11" ht="18.75" thickBot="1">
      <c r="G125" s="813" t="s">
        <v>1041</v>
      </c>
      <c r="H125" s="813" t="s">
        <v>1163</v>
      </c>
      <c r="I125" s="1719" t="s">
        <v>83</v>
      </c>
      <c r="J125" s="524"/>
      <c r="K125" s="1412">
        <f>J125*'Refrigerant &amp; Other 2022'!F130</f>
        <v>0</v>
      </c>
    </row>
    <row r="126" spans="7:11" ht="18">
      <c r="G126" s="813" t="s">
        <v>1044</v>
      </c>
      <c r="H126" s="813" t="s">
        <v>1180</v>
      </c>
      <c r="I126" s="1719" t="s">
        <v>83</v>
      </c>
      <c r="J126" s="1253"/>
      <c r="K126" s="1443">
        <f>J126*'Refrigerant &amp; Other 2022'!F132</f>
        <v>0</v>
      </c>
    </row>
    <row r="127" spans="7:11">
      <c r="J127" s="1444" t="s">
        <v>1181</v>
      </c>
      <c r="K127" s="1445">
        <f>(SUM(K15:K17))+(SUM(K19:K38))+(SUM(K40:K58))+(SUM(K60:K70))+(SUM(K73:K100))+K102+K105+K107+K108+(SUM(K111:K117))+SUM(K123:K126)</f>
        <v>0</v>
      </c>
    </row>
    <row r="129" s="102" customFormat="1" ht="15.75" thickBot="1"/>
  </sheetData>
  <sheetProtection algorithmName="SHA-512" hashValue="/bAIQ9Jc2NSlRcb22hHFZNaHNzYjOue0xnYsS5XhWQGGb8FMYHZaaieOkCmZzPmUap0omxhsnv6JZzwokZu9Qw==" saltValue="qCuXXvi6IY2Es0yh1cauqA==" spinCount="100000" sheet="1" objects="1" scenarios="1" selectLockedCells="1"/>
  <mergeCells count="22">
    <mergeCell ref="A7:K7"/>
    <mergeCell ref="A8:K8"/>
    <mergeCell ref="A96:E96"/>
    <mergeCell ref="G119:K119"/>
    <mergeCell ref="G18:K18"/>
    <mergeCell ref="A84:E84"/>
    <mergeCell ref="A18:E18"/>
    <mergeCell ref="A38:E38"/>
    <mergeCell ref="A50:E50"/>
    <mergeCell ref="A62:E62"/>
    <mergeCell ref="A78:E78"/>
    <mergeCell ref="A80:E80"/>
    <mergeCell ref="G11:K11"/>
    <mergeCell ref="G13:H13"/>
    <mergeCell ref="I13:I14"/>
    <mergeCell ref="J13:J14"/>
    <mergeCell ref="K13:K14"/>
    <mergeCell ref="A11:E11"/>
    <mergeCell ref="A13:B13"/>
    <mergeCell ref="C13:C14"/>
    <mergeCell ref="D13:D14"/>
    <mergeCell ref="E13:E1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I723"/>
  <sheetViews>
    <sheetView topLeftCell="A80" zoomScale="90" zoomScaleNormal="90" workbookViewId="0">
      <selection activeCell="B630" sqref="B630"/>
    </sheetView>
  </sheetViews>
  <sheetFormatPr defaultColWidth="9.140625" defaultRowHeight="15" outlineLevelRow="1"/>
  <cols>
    <col min="1" max="1" width="45" customWidth="1"/>
    <col min="2" max="2" width="44.85546875" customWidth="1"/>
    <col min="3" max="3" width="32.5703125" customWidth="1"/>
    <col min="4" max="4" width="25.5703125" customWidth="1"/>
    <col min="5" max="5" width="33.7109375" customWidth="1"/>
    <col min="6" max="6" width="33.5703125" customWidth="1"/>
    <col min="7" max="8" width="26.42578125" customWidth="1"/>
    <col min="9" max="9" width="24.85546875" customWidth="1"/>
    <col min="10" max="10" width="25.7109375" customWidth="1"/>
    <col min="11" max="11" width="33.42578125" customWidth="1"/>
    <col min="12" max="13" width="32.42578125" customWidth="1"/>
    <col min="14" max="14" width="38.85546875" customWidth="1"/>
    <col min="15" max="15" width="24.5703125" customWidth="1"/>
    <col min="16" max="16" width="13.28515625" customWidth="1"/>
    <col min="17" max="17" width="15" customWidth="1"/>
    <col min="18" max="18" width="9.28515625" customWidth="1"/>
    <col min="19" max="19" width="21.85546875" customWidth="1"/>
    <col min="20" max="20" width="28" customWidth="1"/>
    <col min="21" max="21" width="9.28515625" customWidth="1"/>
    <col min="22" max="22" width="16.42578125" customWidth="1"/>
    <col min="23" max="23" width="20.28515625" customWidth="1"/>
    <col min="24" max="24" width="18" customWidth="1"/>
    <col min="25" max="26" width="15" customWidth="1"/>
    <col min="27" max="27" width="14.7109375" customWidth="1"/>
    <col min="28" max="28" width="16.140625" customWidth="1"/>
    <col min="29" max="29" width="18.28515625" customWidth="1"/>
    <col min="30" max="30" width="17.7109375" customWidth="1"/>
    <col min="31" max="31" width="18.5703125" customWidth="1"/>
    <col min="32" max="32" width="18" customWidth="1"/>
    <col min="33" max="33" width="26.42578125" customWidth="1"/>
    <col min="34" max="34" width="18" customWidth="1"/>
    <col min="35" max="35" width="26.5703125" customWidth="1"/>
    <col min="36" max="36" width="9.28515625" customWidth="1"/>
    <col min="37" max="37" width="14.28515625" customWidth="1"/>
    <col min="38" max="38" width="14.140625" customWidth="1"/>
    <col min="39" max="40" width="9.28515625" customWidth="1"/>
    <col min="41" max="41" width="11" bestFit="1" customWidth="1"/>
    <col min="42" max="42" width="12.140625" bestFit="1" customWidth="1"/>
    <col min="43" max="43" width="25.140625" bestFit="1" customWidth="1"/>
    <col min="44" max="44" width="10.7109375" bestFit="1" customWidth="1"/>
    <col min="45" max="45" width="10.5703125" bestFit="1" customWidth="1"/>
    <col min="46" max="46" width="9.28515625" bestFit="1" customWidth="1"/>
    <col min="47" max="47" width="13" bestFit="1" customWidth="1"/>
    <col min="48" max="48" width="12.42578125" customWidth="1"/>
    <col min="49" max="49" width="13.140625" customWidth="1"/>
    <col min="50" max="54" width="9.28515625" bestFit="1" customWidth="1"/>
    <col min="55" max="55" width="19.28515625" customWidth="1"/>
    <col min="56" max="56" width="27.85546875" customWidth="1"/>
    <col min="57" max="57" width="23.28515625" customWidth="1"/>
    <col min="58" max="58" width="23.42578125" customWidth="1"/>
    <col min="59" max="59" width="9.28515625" bestFit="1" customWidth="1"/>
    <col min="60" max="60" width="16.85546875" customWidth="1"/>
    <col min="61" max="61" width="16" customWidth="1"/>
    <col min="63" max="63" width="15.28515625" customWidth="1"/>
    <col min="70" max="70" width="4.5703125" customWidth="1"/>
    <col min="71" max="71" width="4.42578125" customWidth="1"/>
    <col min="72" max="72" width="17.140625" customWidth="1"/>
  </cols>
  <sheetData>
    <row r="1" spans="1:20" ht="31.5">
      <c r="A1" s="64" t="s">
        <v>63</v>
      </c>
      <c r="B1" s="50"/>
      <c r="C1" s="50"/>
      <c r="D1" s="50"/>
      <c r="E1" s="50"/>
      <c r="F1" s="50"/>
      <c r="G1" s="50"/>
      <c r="H1" s="50"/>
      <c r="I1" s="50"/>
    </row>
    <row r="2" spans="1:20" ht="23.25">
      <c r="A2" s="65" t="s">
        <v>1187</v>
      </c>
      <c r="B2" s="50"/>
      <c r="C2" s="50"/>
      <c r="D2" s="50"/>
      <c r="E2" s="50"/>
      <c r="F2" s="50"/>
      <c r="G2" s="50"/>
      <c r="H2" s="50"/>
      <c r="I2" s="50"/>
    </row>
    <row r="3" spans="1:20">
      <c r="A3" s="50"/>
      <c r="B3" s="50"/>
      <c r="C3" s="50"/>
      <c r="D3" s="50"/>
      <c r="E3" s="50"/>
      <c r="F3" s="50"/>
      <c r="G3" s="50"/>
      <c r="H3" s="50"/>
      <c r="I3" s="50"/>
    </row>
    <row r="4" spans="1:20" ht="31.5">
      <c r="A4" s="64" t="s">
        <v>1188</v>
      </c>
      <c r="B4" s="50"/>
      <c r="C4" s="50"/>
      <c r="D4" s="50"/>
      <c r="E4" s="50"/>
      <c r="F4" s="50"/>
      <c r="G4" s="50"/>
      <c r="H4" s="50"/>
      <c r="I4" s="50"/>
    </row>
    <row r="5" spans="1:20">
      <c r="A5" s="493" t="s">
        <v>66</v>
      </c>
      <c r="B5" s="493"/>
      <c r="C5" s="493"/>
      <c r="D5" s="493"/>
      <c r="E5" s="493"/>
      <c r="F5" s="493"/>
      <c r="G5" s="493"/>
      <c r="H5" s="493"/>
      <c r="I5" s="493"/>
    </row>
    <row r="6" spans="1:20" ht="20.25" customHeight="1">
      <c r="A6" s="1906" t="s">
        <v>433</v>
      </c>
      <c r="B6" s="1906"/>
      <c r="C6" s="1906"/>
      <c r="D6" s="1906"/>
      <c r="E6" s="1906"/>
      <c r="F6" s="1906"/>
      <c r="G6" s="1906"/>
      <c r="H6" s="1906"/>
      <c r="I6" s="1906"/>
    </row>
    <row r="7" spans="1:20">
      <c r="A7" s="163"/>
      <c r="B7" s="50"/>
      <c r="C7" s="50"/>
      <c r="D7" s="50"/>
      <c r="E7" s="50"/>
      <c r="F7" s="50"/>
      <c r="G7" s="50"/>
      <c r="H7" s="50"/>
      <c r="I7" s="50"/>
      <c r="S7" s="228"/>
      <c r="T7" s="228"/>
    </row>
    <row r="8" spans="1:20">
      <c r="A8" s="496" t="s">
        <v>1189</v>
      </c>
      <c r="B8" s="841"/>
      <c r="C8" s="381"/>
      <c r="D8" s="382"/>
      <c r="E8" s="382"/>
      <c r="F8" s="382"/>
      <c r="G8" s="382"/>
      <c r="H8" s="382"/>
      <c r="I8" s="382"/>
    </row>
    <row r="9" spans="1:20" ht="18">
      <c r="A9" s="2032" t="s">
        <v>69</v>
      </c>
      <c r="B9" s="2033"/>
      <c r="C9" s="485" t="s">
        <v>70</v>
      </c>
      <c r="D9" s="834" t="s">
        <v>435</v>
      </c>
      <c r="E9" s="485" t="s">
        <v>436</v>
      </c>
      <c r="F9" s="485" t="s">
        <v>437</v>
      </c>
      <c r="G9" s="485" t="s">
        <v>438</v>
      </c>
      <c r="H9" s="487" t="s">
        <v>75</v>
      </c>
      <c r="I9" s="488" t="s">
        <v>76</v>
      </c>
    </row>
    <row r="10" spans="1:20">
      <c r="A10" s="2039" t="s">
        <v>1190</v>
      </c>
      <c r="B10" s="1762" t="s">
        <v>1191</v>
      </c>
      <c r="C10" s="1762" t="s">
        <v>1192</v>
      </c>
      <c r="D10" s="1763">
        <v>0.155</v>
      </c>
      <c r="E10" s="1764">
        <v>0.153</v>
      </c>
      <c r="F10" s="1764">
        <v>1.25E-4</v>
      </c>
      <c r="G10" s="1764">
        <v>2.1250000000000002E-3</v>
      </c>
      <c r="H10" s="1765"/>
      <c r="I10" s="1765"/>
    </row>
    <row r="11" spans="1:20">
      <c r="A11" s="2039"/>
      <c r="B11" s="813" t="s">
        <v>1193</v>
      </c>
      <c r="C11" s="813" t="s">
        <v>1192</v>
      </c>
      <c r="D11" s="1763">
        <f>SUM(E11:G11)</f>
        <v>1.2417164013692531E-2</v>
      </c>
      <c r="E11" s="1105">
        <v>1.2E-2</v>
      </c>
      <c r="F11" s="1105">
        <v>4.0000000000000002E-4</v>
      </c>
      <c r="G11" s="1105">
        <v>1.7164013692531599E-5</v>
      </c>
      <c r="H11" s="1765"/>
      <c r="I11" s="1761" t="s">
        <v>1194</v>
      </c>
    </row>
    <row r="12" spans="1:20">
      <c r="A12" s="2039"/>
      <c r="B12" s="813" t="s">
        <v>1195</v>
      </c>
      <c r="C12" s="813" t="s">
        <v>1192</v>
      </c>
      <c r="D12" s="1763">
        <v>0.06</v>
      </c>
      <c r="E12" s="1105">
        <v>0.06</v>
      </c>
      <c r="F12" s="1105">
        <v>5.0000000000000002E-5</v>
      </c>
      <c r="G12" s="1105">
        <v>8.9999999999999998E-4</v>
      </c>
      <c r="H12" s="1765"/>
      <c r="I12" s="1761" t="s">
        <v>1194</v>
      </c>
    </row>
    <row r="13" spans="1:20">
      <c r="A13" s="2039"/>
      <c r="B13" s="813" t="s">
        <v>1196</v>
      </c>
      <c r="C13" s="813" t="s">
        <v>1192</v>
      </c>
      <c r="D13" s="1763">
        <f>SUM(E13:G13)</f>
        <v>3.6249999999999998E-2</v>
      </c>
      <c r="E13" s="1105">
        <v>3.5999999999999997E-2</v>
      </c>
      <c r="F13" s="1764">
        <v>1.25E-4</v>
      </c>
      <c r="G13" s="1764">
        <v>1.25E-4</v>
      </c>
      <c r="H13" s="1765"/>
      <c r="I13" s="1761" t="s">
        <v>1194</v>
      </c>
    </row>
    <row r="14" spans="1:20">
      <c r="A14" s="2039" t="s">
        <v>1197</v>
      </c>
      <c r="B14" s="813" t="s">
        <v>1198</v>
      </c>
      <c r="C14" s="813" t="s">
        <v>1192</v>
      </c>
      <c r="D14" s="1763">
        <v>1.2999999999999999E-2</v>
      </c>
      <c r="E14" s="1105">
        <v>1.2999999999999999E-2</v>
      </c>
      <c r="F14" s="1105">
        <v>1.0000000000000001E-5</v>
      </c>
      <c r="G14" s="1105">
        <v>9.9999999999999995E-8</v>
      </c>
      <c r="H14" s="1765"/>
      <c r="I14" s="1761" t="s">
        <v>1194</v>
      </c>
    </row>
    <row r="15" spans="1:20">
      <c r="A15" s="2039"/>
      <c r="B15" s="813" t="s">
        <v>1199</v>
      </c>
      <c r="C15" s="813" t="s">
        <v>1192</v>
      </c>
      <c r="D15" s="1763">
        <v>4.5999999999999999E-2</v>
      </c>
      <c r="E15" s="1105">
        <v>4.4999999999999998E-2</v>
      </c>
      <c r="F15" s="1766">
        <v>6.0000000000000002E-5</v>
      </c>
      <c r="G15" s="1105">
        <v>6.9999999999999999E-4</v>
      </c>
      <c r="H15" s="1765"/>
      <c r="I15" s="1761" t="s">
        <v>1194</v>
      </c>
    </row>
    <row r="16" spans="1:20">
      <c r="A16" s="2039"/>
      <c r="B16" s="813" t="s">
        <v>1200</v>
      </c>
      <c r="C16" s="813" t="s">
        <v>1192</v>
      </c>
      <c r="D16" s="1766">
        <v>1.9E-2</v>
      </c>
      <c r="E16" s="1766">
        <v>1.9E-2</v>
      </c>
      <c r="F16" s="1766">
        <v>2.0000000000000002E-5</v>
      </c>
      <c r="G16" s="1105">
        <v>1E-4</v>
      </c>
      <c r="H16" s="1765"/>
      <c r="I16" s="1761" t="s">
        <v>1194</v>
      </c>
    </row>
    <row r="17" spans="1:37">
      <c r="A17" s="163"/>
      <c r="B17" s="50"/>
      <c r="C17" s="50"/>
      <c r="D17" s="50"/>
      <c r="E17" s="50"/>
      <c r="F17" s="50"/>
      <c r="G17" s="50"/>
      <c r="H17" s="50"/>
      <c r="I17" s="50"/>
    </row>
    <row r="18" spans="1:37">
      <c r="A18" s="50"/>
      <c r="B18" s="50"/>
      <c r="C18" s="50"/>
      <c r="D18" s="50"/>
      <c r="E18" s="50"/>
      <c r="F18" s="50"/>
      <c r="G18" s="50"/>
      <c r="H18" s="50"/>
      <c r="I18" s="50"/>
    </row>
    <row r="19" spans="1:37" ht="15" customHeight="1">
      <c r="A19" s="496" t="s">
        <v>1201</v>
      </c>
      <c r="B19" s="66"/>
      <c r="C19" s="66"/>
      <c r="D19" s="66" t="s">
        <v>1202</v>
      </c>
      <c r="E19" s="66"/>
      <c r="F19" s="66"/>
      <c r="G19" s="66"/>
      <c r="H19" s="66" t="s">
        <v>1203</v>
      </c>
      <c r="I19" s="66"/>
      <c r="J19" s="66"/>
      <c r="K19" s="66"/>
      <c r="L19" s="66" t="s">
        <v>1204</v>
      </c>
      <c r="M19" s="66"/>
      <c r="N19" s="66"/>
      <c r="O19" s="66"/>
      <c r="P19" s="66"/>
      <c r="Q19" s="497"/>
      <c r="T19" s="470"/>
      <c r="W19" s="470"/>
    </row>
    <row r="20" spans="1:37" ht="18">
      <c r="A20" s="1900" t="s">
        <v>69</v>
      </c>
      <c r="B20" s="1901"/>
      <c r="C20" s="492" t="s">
        <v>70</v>
      </c>
      <c r="D20" s="845" t="s">
        <v>1205</v>
      </c>
      <c r="E20" s="846" t="s">
        <v>1206</v>
      </c>
      <c r="F20" s="846" t="s">
        <v>1207</v>
      </c>
      <c r="G20" s="846" t="s">
        <v>1208</v>
      </c>
      <c r="H20" s="845" t="s">
        <v>1205</v>
      </c>
      <c r="I20" s="846" t="s">
        <v>1206</v>
      </c>
      <c r="J20" s="846" t="s">
        <v>1207</v>
      </c>
      <c r="K20" s="846" t="s">
        <v>1208</v>
      </c>
      <c r="L20" s="845" t="s">
        <v>1205</v>
      </c>
      <c r="M20" s="846" t="s">
        <v>1206</v>
      </c>
      <c r="N20" s="846" t="s">
        <v>1207</v>
      </c>
      <c r="O20" s="846" t="s">
        <v>1208</v>
      </c>
      <c r="P20" s="492" t="s">
        <v>75</v>
      </c>
      <c r="Q20" s="498" t="s">
        <v>76</v>
      </c>
      <c r="T20" s="444"/>
      <c r="W20" s="444"/>
    </row>
    <row r="21" spans="1:37" ht="15" customHeight="1">
      <c r="A21" s="1894" t="s">
        <v>1209</v>
      </c>
      <c r="B21" s="169" t="s">
        <v>1210</v>
      </c>
      <c r="C21" s="169" t="s">
        <v>1211</v>
      </c>
      <c r="D21" s="847">
        <v>0.20446989395188978</v>
      </c>
      <c r="E21" s="848">
        <v>0.19551624762383463</v>
      </c>
      <c r="F21" s="848">
        <v>2.3018878842771856E-3</v>
      </c>
      <c r="G21" s="848">
        <v>6.6517584437779534E-3</v>
      </c>
      <c r="H21" s="847">
        <v>0.1808158055253406</v>
      </c>
      <c r="I21" s="848">
        <v>0.17289796127988299</v>
      </c>
      <c r="J21" s="848">
        <v>2.0355941110945862E-3</v>
      </c>
      <c r="K21" s="848">
        <v>5.8822501343630228E-3</v>
      </c>
      <c r="L21" s="847">
        <v>0.16977436713266222</v>
      </c>
      <c r="M21" s="848">
        <v>0.16234002259667438</v>
      </c>
      <c r="N21" s="848">
        <v>1.9112914434995243E-3</v>
      </c>
      <c r="O21" s="848">
        <v>6.0000000000000001E-3</v>
      </c>
      <c r="P21" s="170"/>
      <c r="Q21" s="171"/>
      <c r="T21" s="455"/>
      <c r="V21" s="447"/>
      <c r="W21" s="447"/>
      <c r="X21" s="447"/>
    </row>
    <row r="22" spans="1:37" ht="15" customHeight="1">
      <c r="A22" s="1894"/>
      <c r="B22" s="169" t="s">
        <v>1212</v>
      </c>
      <c r="C22" s="169" t="s">
        <v>1211</v>
      </c>
      <c r="D22" s="847">
        <v>0.21161534723515477</v>
      </c>
      <c r="E22" s="848">
        <v>0.20234880466445254</v>
      </c>
      <c r="F22" s="848">
        <v>2.3823302028137547E-3</v>
      </c>
      <c r="G22" s="848">
        <v>6.8842123678884747E-3</v>
      </c>
      <c r="H22" s="847">
        <v>0.18713463743886052</v>
      </c>
      <c r="I22" s="848">
        <v>0.17894009433536273</v>
      </c>
      <c r="J22" s="848">
        <v>2.1067304644392885E-3</v>
      </c>
      <c r="K22" s="848">
        <v>6.0878126390585029E-3</v>
      </c>
      <c r="L22" s="847">
        <v>0.17570734232815854</v>
      </c>
      <c r="M22" s="848">
        <v>0.16801319542935392</v>
      </c>
      <c r="N22" s="848">
        <v>1.9780838864175191E-3</v>
      </c>
      <c r="O22" s="848">
        <v>6.0000000000000001E-3</v>
      </c>
      <c r="P22" s="170"/>
      <c r="Q22" s="171"/>
      <c r="T22" s="455"/>
      <c r="V22" s="447"/>
      <c r="W22" s="447"/>
      <c r="X22" s="447"/>
    </row>
    <row r="23" spans="1:37" ht="15" customHeight="1">
      <c r="A23" s="1894"/>
      <c r="B23" s="169" t="s">
        <v>1213</v>
      </c>
      <c r="C23" s="169" t="s">
        <v>1211</v>
      </c>
      <c r="D23" s="847">
        <v>0.23827338448425864</v>
      </c>
      <c r="E23" s="848">
        <v>0.22783949823906535</v>
      </c>
      <c r="F23" s="848">
        <v>2.6824419296617203E-3</v>
      </c>
      <c r="G23" s="848">
        <v>7.7514443155315658E-3</v>
      </c>
      <c r="H23" s="847">
        <v>0.21070874111622362</v>
      </c>
      <c r="I23" s="848">
        <v>0.20148189842696052</v>
      </c>
      <c r="J23" s="848">
        <v>2.3721237826868375E-3</v>
      </c>
      <c r="K23" s="848">
        <v>6.8547189065762681E-3</v>
      </c>
      <c r="L23" s="847">
        <v>0.19784190363443305</v>
      </c>
      <c r="M23" s="848">
        <v>0.18917849407435042</v>
      </c>
      <c r="N23" s="848">
        <v>2.2272710773038819E-3</v>
      </c>
      <c r="O23" s="848">
        <v>6.0000000000000001E-3</v>
      </c>
      <c r="P23" s="170"/>
      <c r="Q23" s="171"/>
      <c r="T23" s="455"/>
      <c r="V23" s="447"/>
      <c r="W23" s="447"/>
      <c r="X23" s="447"/>
    </row>
    <row r="24" spans="1:37" ht="15" customHeight="1">
      <c r="A24" s="1894"/>
      <c r="B24" s="169" t="s">
        <v>1214</v>
      </c>
      <c r="C24" s="169" t="s">
        <v>1211</v>
      </c>
      <c r="D24" s="847">
        <v>0.26465659660708307</v>
      </c>
      <c r="E24" s="848">
        <v>0.25306740115826976</v>
      </c>
      <c r="F24" s="848">
        <v>2.9794597211813567E-3</v>
      </c>
      <c r="G24" s="848">
        <v>8.6097357276319463E-3</v>
      </c>
      <c r="H24" s="847">
        <v>0.23403981279691261</v>
      </c>
      <c r="I24" s="848">
        <v>0.22379131278565498</v>
      </c>
      <c r="J24" s="848">
        <v>2.6347810873442019E-3</v>
      </c>
      <c r="K24" s="848">
        <v>7.6137189239134286E-3</v>
      </c>
      <c r="L24" s="847">
        <v>0.21974827358703461</v>
      </c>
      <c r="M24" s="848">
        <v>0.21012559376424389</v>
      </c>
      <c r="N24" s="848">
        <v>2.4738893280780135E-3</v>
      </c>
      <c r="O24" s="848">
        <v>7.0000000000000001E-3</v>
      </c>
      <c r="P24" s="170"/>
      <c r="Q24" s="171"/>
    </row>
    <row r="25" spans="1:37" s="102" customFormat="1" ht="15" customHeight="1" thickBot="1">
      <c r="A25" s="1894"/>
      <c r="B25" s="266" t="s">
        <v>1215</v>
      </c>
      <c r="C25" s="267" t="s">
        <v>1211</v>
      </c>
      <c r="D25" s="849">
        <v>0.31659854547389393</v>
      </c>
      <c r="E25" s="850">
        <v>0.30273483503045368</v>
      </c>
      <c r="F25" s="850">
        <v>3.5642134982356434E-3</v>
      </c>
      <c r="G25" s="850">
        <v>1.0299496945204576E-2</v>
      </c>
      <c r="H25" s="849">
        <v>0.27997286016826933</v>
      </c>
      <c r="I25" s="850">
        <v>0.26771297230433494</v>
      </c>
      <c r="J25" s="850">
        <v>3.1518876558883913E-3</v>
      </c>
      <c r="K25" s="850">
        <v>9.1080002080459709E-3</v>
      </c>
      <c r="L25" s="849">
        <v>0.26287643943121886</v>
      </c>
      <c r="M25" s="850">
        <v>0.25136519627872156</v>
      </c>
      <c r="N25" s="850">
        <v>2.9594190092895852E-3</v>
      </c>
      <c r="O25" s="850">
        <v>8.9999999999999993E-3</v>
      </c>
      <c r="P25" s="268"/>
      <c r="Q25" s="269"/>
      <c r="AB25"/>
      <c r="AC25"/>
      <c r="AD25" s="455"/>
      <c r="AE25"/>
      <c r="AF25" s="447"/>
      <c r="AG25" s="447"/>
      <c r="AH25" s="447"/>
      <c r="AI25"/>
      <c r="AJ25"/>
      <c r="AK25"/>
    </row>
    <row r="26" spans="1:37" ht="15" customHeight="1">
      <c r="A26" s="1894" t="s">
        <v>1216</v>
      </c>
      <c r="B26" s="183" t="s">
        <v>1210</v>
      </c>
      <c r="C26" s="183" t="s">
        <v>1211</v>
      </c>
      <c r="D26" s="851">
        <v>0.21549870217003167</v>
      </c>
      <c r="E26" s="848">
        <v>0.21184080412909945</v>
      </c>
      <c r="F26" s="852">
        <v>2.8311904341580857E-4</v>
      </c>
      <c r="G26" s="848">
        <v>3.3747789975164377E-3</v>
      </c>
      <c r="H26" s="851">
        <v>0.19764794700172081</v>
      </c>
      <c r="I26" s="848">
        <v>0.19429304959003507</v>
      </c>
      <c r="J26" s="852">
        <v>2.5966698232861746E-4</v>
      </c>
      <c r="K26" s="848">
        <v>3.0952304293571202E-3</v>
      </c>
      <c r="L26" s="851">
        <v>0.1877111727553939</v>
      </c>
      <c r="M26" s="848">
        <v>0.18452494321355059</v>
      </c>
      <c r="N26" s="852">
        <v>2.4661219364112376E-4</v>
      </c>
      <c r="O26" s="848">
        <v>3.0000000000000001E-3</v>
      </c>
      <c r="P26" s="265"/>
      <c r="Q26" s="1248"/>
    </row>
    <row r="27" spans="1:37" ht="15" customHeight="1">
      <c r="A27" s="1894"/>
      <c r="B27" s="169" t="s">
        <v>1212</v>
      </c>
      <c r="C27" s="169" t="s">
        <v>1211</v>
      </c>
      <c r="D27" s="847">
        <v>0.20737737309871754</v>
      </c>
      <c r="E27" s="848">
        <v>0.20385732736687384</v>
      </c>
      <c r="F27" s="852">
        <v>2.7244936004982114E-4</v>
      </c>
      <c r="G27" s="848">
        <v>3.2475963717938676E-3</v>
      </c>
      <c r="H27" s="847">
        <v>0.19019934521569154</v>
      </c>
      <c r="I27" s="848">
        <v>0.18697088116813487</v>
      </c>
      <c r="J27" s="852">
        <v>2.4988111823194195E-4</v>
      </c>
      <c r="K27" s="848">
        <v>2.9785829293247478E-3</v>
      </c>
      <c r="L27" s="847">
        <v>0.18063705031772784</v>
      </c>
      <c r="M27" s="848">
        <v>0.17757089768746442</v>
      </c>
      <c r="N27" s="852">
        <v>2.3731831503586855E-4</v>
      </c>
      <c r="O27" s="848">
        <v>3.0000000000000001E-3</v>
      </c>
      <c r="P27" s="170"/>
      <c r="Q27" s="171"/>
    </row>
    <row r="28" spans="1:37" ht="15" customHeight="1">
      <c r="A28" s="1894"/>
      <c r="B28" s="169" t="s">
        <v>1213</v>
      </c>
      <c r="C28" s="169" t="s">
        <v>1211</v>
      </c>
      <c r="D28" s="847">
        <v>0.21979585953492831</v>
      </c>
      <c r="E28" s="848">
        <v>0.21606502108485043</v>
      </c>
      <c r="F28" s="852">
        <v>2.8876458591933974E-4</v>
      </c>
      <c r="G28" s="848">
        <v>3.4420738641585298E-3</v>
      </c>
      <c r="H28" s="847">
        <v>0.2015891509280674</v>
      </c>
      <c r="I28" s="848">
        <v>0.19816735509900874</v>
      </c>
      <c r="J28" s="852">
        <v>2.6484487841011442E-4</v>
      </c>
      <c r="K28" s="848">
        <v>3.1569509506485637E-3</v>
      </c>
      <c r="L28" s="847">
        <v>0.19145423218153737</v>
      </c>
      <c r="M28" s="848">
        <v>0.18820446754827999</v>
      </c>
      <c r="N28" s="852">
        <v>2.5152977037595764E-4</v>
      </c>
      <c r="O28" s="848">
        <v>3.0000000000000001E-3</v>
      </c>
      <c r="P28" s="170"/>
      <c r="Q28" s="171"/>
    </row>
    <row r="29" spans="1:37">
      <c r="A29" s="1894"/>
      <c r="B29" s="169" t="s">
        <v>1217</v>
      </c>
      <c r="C29" s="169" t="s">
        <v>1211</v>
      </c>
      <c r="D29" s="847">
        <v>0.2702119459034516</v>
      </c>
      <c r="E29" s="848">
        <v>0.26562533940604049</v>
      </c>
      <c r="F29" s="852">
        <v>3.5500050289559562E-4</v>
      </c>
      <c r="G29" s="848">
        <v>4.2316059945154997E-3</v>
      </c>
      <c r="H29" s="847">
        <v>0.24780439507755</v>
      </c>
      <c r="I29" s="848">
        <v>0.24359813674670691</v>
      </c>
      <c r="J29" s="852">
        <v>3.2556179031293297E-4</v>
      </c>
      <c r="K29" s="848">
        <v>3.8806965405301609E-3</v>
      </c>
      <c r="L29" s="847">
        <v>0.235238871918691</v>
      </c>
      <c r="M29" s="848">
        <v>0.23124590212315341</v>
      </c>
      <c r="N29" s="852">
        <v>3.0905338974749296E-4</v>
      </c>
      <c r="O29" s="848">
        <v>4.0000000000000001E-3</v>
      </c>
      <c r="P29" s="170"/>
      <c r="Q29" s="171"/>
    </row>
    <row r="30" spans="1:37" ht="15.75" thickBot="1">
      <c r="A30" s="1894"/>
      <c r="B30" s="266" t="s">
        <v>1215</v>
      </c>
      <c r="C30" s="267" t="s">
        <v>1211</v>
      </c>
      <c r="D30" s="849">
        <v>0.29973750130428573</v>
      </c>
      <c r="E30" s="850">
        <v>0.29464972486863095</v>
      </c>
      <c r="F30" s="853">
        <v>3.9379074579371306E-4</v>
      </c>
      <c r="G30" s="850">
        <v>4.6939856898610601E-3</v>
      </c>
      <c r="H30" s="849">
        <v>0.2748815191882904</v>
      </c>
      <c r="I30" s="850">
        <v>0.27021565085403948</v>
      </c>
      <c r="J30" s="853">
        <v>3.6113531998846363E-4</v>
      </c>
      <c r="K30" s="850">
        <v>4.304733014262486E-3</v>
      </c>
      <c r="L30" s="849">
        <v>0.26094298474776223</v>
      </c>
      <c r="M30" s="850">
        <v>0.25651371058930011</v>
      </c>
      <c r="N30" s="853">
        <v>3.4282307728035222E-4</v>
      </c>
      <c r="O30" s="850">
        <v>4.0000000000000001E-3</v>
      </c>
      <c r="P30" s="268"/>
      <c r="Q30" s="269"/>
      <c r="R30" s="102"/>
      <c r="S30" s="102"/>
      <c r="T30" s="102"/>
      <c r="U30" s="102"/>
      <c r="V30" s="102"/>
      <c r="W30" s="102"/>
      <c r="X30" s="102"/>
      <c r="Y30" s="102"/>
      <c r="Z30" s="102"/>
      <c r="AA30" s="102"/>
    </row>
    <row r="31" spans="1:37" ht="17.25" customHeight="1">
      <c r="A31" s="1894" t="s">
        <v>1218</v>
      </c>
      <c r="B31" s="183" t="s">
        <v>1210</v>
      </c>
      <c r="C31" s="183" t="s">
        <v>1211</v>
      </c>
      <c r="D31" s="851">
        <v>0.15559165901059568</v>
      </c>
      <c r="E31" s="848">
        <v>0.14877836899781749</v>
      </c>
      <c r="F31" s="848">
        <v>1.7516248864263043E-3</v>
      </c>
      <c r="G31" s="848">
        <v>5.0616651263518907E-3</v>
      </c>
      <c r="H31" s="851">
        <v>0.14129362796448383</v>
      </c>
      <c r="I31" s="848">
        <v>0.13510644241481334</v>
      </c>
      <c r="J31" s="848">
        <v>1.5906600431530545E-3</v>
      </c>
      <c r="K31" s="848">
        <v>4.5965255065174336E-3</v>
      </c>
      <c r="L31" s="851">
        <v>0.12818760294885068</v>
      </c>
      <c r="M31" s="848">
        <v>0.12257432444480243</v>
      </c>
      <c r="N31" s="848">
        <v>1.4431146044997822E-3</v>
      </c>
      <c r="O31" s="848">
        <v>4.0000000000000001E-3</v>
      </c>
      <c r="P31" s="265"/>
      <c r="Q31" s="1248"/>
    </row>
    <row r="32" spans="1:37">
      <c r="A32" s="1894"/>
      <c r="B32" s="169" t="s">
        <v>1212</v>
      </c>
      <c r="C32" s="169" t="s">
        <v>1211</v>
      </c>
      <c r="D32" s="847">
        <v>0.16102900193300887</v>
      </c>
      <c r="E32" s="848">
        <v>0.15397761307569813</v>
      </c>
      <c r="F32" s="848">
        <v>1.8128375840702337E-3</v>
      </c>
      <c r="G32" s="848">
        <v>5.2385512732405302E-3</v>
      </c>
      <c r="H32" s="847">
        <v>0.14623130851162966</v>
      </c>
      <c r="I32" s="848">
        <v>0.13982790411210511</v>
      </c>
      <c r="J32" s="848">
        <v>1.6462476253062516E-3</v>
      </c>
      <c r="K32" s="848">
        <v>4.7571567742183086E-3</v>
      </c>
      <c r="L32" s="847">
        <v>0.13266727724545024</v>
      </c>
      <c r="M32" s="848">
        <v>0.1268578357829272</v>
      </c>
      <c r="N32" s="848">
        <v>1.4935460288505807E-3</v>
      </c>
      <c r="O32" s="848">
        <v>4.0000000000000001E-3</v>
      </c>
      <c r="P32" s="170"/>
      <c r="Q32" s="171"/>
    </row>
    <row r="33" spans="1:17">
      <c r="A33" s="1894"/>
      <c r="B33" s="169" t="s">
        <v>1213</v>
      </c>
      <c r="C33" s="169" t="s">
        <v>1211</v>
      </c>
      <c r="D33" s="847">
        <v>0.18131447360508937</v>
      </c>
      <c r="E33" s="848">
        <v>0.17337479290471478</v>
      </c>
      <c r="F33" s="848">
        <v>2.0412080329725892E-3</v>
      </c>
      <c r="G33" s="848">
        <v>5.8984726674020035E-3</v>
      </c>
      <c r="H33" s="847">
        <v>0.16465265516828964</v>
      </c>
      <c r="I33" s="848">
        <v>0.15744258813661718</v>
      </c>
      <c r="J33" s="848">
        <v>1.8536320664162616E-3</v>
      </c>
      <c r="K33" s="848">
        <v>5.3564349652562042E-3</v>
      </c>
      <c r="L33" s="847">
        <v>0.14937990827507194</v>
      </c>
      <c r="M33" s="848">
        <v>0.14283862808285441</v>
      </c>
      <c r="N33" s="848">
        <v>1.6816940350824073E-3</v>
      </c>
      <c r="O33" s="848">
        <v>5.0000000000000001E-3</v>
      </c>
      <c r="P33" s="170"/>
      <c r="Q33" s="171"/>
    </row>
    <row r="34" spans="1:17">
      <c r="A34" s="1894"/>
      <c r="B34" s="169" t="s">
        <v>1217</v>
      </c>
      <c r="C34" s="169" t="s">
        <v>1211</v>
      </c>
      <c r="D34" s="847">
        <v>0.20139081670323039</v>
      </c>
      <c r="E34" s="848">
        <v>0.19257200180765863</v>
      </c>
      <c r="F34" s="848">
        <v>2.2672241473501733E-3</v>
      </c>
      <c r="G34" s="848">
        <v>6.5515907482215918E-3</v>
      </c>
      <c r="H34" s="847">
        <v>0.18288409103467451</v>
      </c>
      <c r="I34" s="848">
        <v>0.17487567748046393</v>
      </c>
      <c r="J34" s="848">
        <v>2.0588785235972993E-3</v>
      </c>
      <c r="K34" s="848">
        <v>5.9495350306132877E-3</v>
      </c>
      <c r="L34" s="847">
        <v>0.16592024413943979</v>
      </c>
      <c r="M34" s="848">
        <v>0.15865466994669991</v>
      </c>
      <c r="N34" s="848">
        <v>1.8679023711468954E-3</v>
      </c>
      <c r="O34" s="848">
        <v>5.0000000000000001E-3</v>
      </c>
      <c r="P34" s="170"/>
      <c r="Q34" s="171"/>
    </row>
    <row r="35" spans="1:17" s="102" customFormat="1" ht="15.75" thickBot="1">
      <c r="A35" s="1894"/>
      <c r="B35" s="266" t="s">
        <v>1215</v>
      </c>
      <c r="C35" s="267" t="s">
        <v>1211</v>
      </c>
      <c r="D35" s="849">
        <v>0.24091611717769645</v>
      </c>
      <c r="E35" s="850">
        <v>0.23036650683533022</v>
      </c>
      <c r="F35" s="850">
        <v>2.712193372531051E-3</v>
      </c>
      <c r="G35" s="850">
        <v>7.8374169698351842E-3</v>
      </c>
      <c r="H35" s="849">
        <v>0.21877723039661998</v>
      </c>
      <c r="I35" s="850">
        <v>0.20919707212616245</v>
      </c>
      <c r="J35" s="850">
        <v>2.4629574861724703E-3</v>
      </c>
      <c r="K35" s="850">
        <v>7.117200784285055E-3</v>
      </c>
      <c r="L35" s="849">
        <v>0.19848403037241391</v>
      </c>
      <c r="M35" s="850">
        <v>0.18979250236614564</v>
      </c>
      <c r="N35" s="850">
        <v>2.2345000327738561E-3</v>
      </c>
      <c r="O35" s="850">
        <v>6.0000000000000001E-3</v>
      </c>
      <c r="P35" s="268"/>
      <c r="Q35" s="269"/>
    </row>
    <row r="36" spans="1:17">
      <c r="A36" s="1894" t="s">
        <v>1219</v>
      </c>
      <c r="B36" s="183" t="s">
        <v>1210</v>
      </c>
      <c r="C36" s="183" t="s">
        <v>1211</v>
      </c>
      <c r="D36" s="851">
        <v>0.19317919373099293</v>
      </c>
      <c r="E36" s="848">
        <v>0.18990014941572866</v>
      </c>
      <c r="F36" s="852">
        <v>2.5379599963345725E-4</v>
      </c>
      <c r="G36" s="848">
        <v>3.02524831563081E-3</v>
      </c>
      <c r="H36" s="851">
        <v>0.17635174108012344</v>
      </c>
      <c r="I36" s="848">
        <v>0.17335832774762458</v>
      </c>
      <c r="J36" s="852">
        <v>2.3168833842870452E-4</v>
      </c>
      <c r="K36" s="848">
        <v>2.7617249940701579E-3</v>
      </c>
      <c r="L36" s="851">
        <v>0.16393139654547165</v>
      </c>
      <c r="M36" s="848">
        <v>0.16114880747076882</v>
      </c>
      <c r="N36" s="852">
        <v>2.1537067141662726E-4</v>
      </c>
      <c r="O36" s="848">
        <v>3.0000000000000001E-3</v>
      </c>
      <c r="P36" s="265"/>
      <c r="Q36" s="1248"/>
    </row>
    <row r="37" spans="1:17">
      <c r="A37" s="1894"/>
      <c r="B37" s="169" t="s">
        <v>1212</v>
      </c>
      <c r="C37" s="169" t="s">
        <v>1211</v>
      </c>
      <c r="D37" s="847">
        <v>0.18589900231349341</v>
      </c>
      <c r="E37" s="848">
        <v>0.18274353274673352</v>
      </c>
      <c r="F37" s="852">
        <v>2.442313906160899E-4</v>
      </c>
      <c r="G37" s="848">
        <v>2.9112381761437918E-3</v>
      </c>
      <c r="H37" s="847">
        <v>0.16970571255564135</v>
      </c>
      <c r="I37" s="848">
        <v>0.16682510962281025</v>
      </c>
      <c r="J37" s="852">
        <v>2.2295688334606124E-4</v>
      </c>
      <c r="K37" s="848">
        <v>2.6576460494850502E-3</v>
      </c>
      <c r="L37" s="847">
        <v>0.15775344371763747</v>
      </c>
      <c r="M37" s="848">
        <v>0.15507571987561747</v>
      </c>
      <c r="N37" s="852">
        <v>2.0725416733900952E-4</v>
      </c>
      <c r="O37" s="848">
        <v>2E-3</v>
      </c>
      <c r="P37" s="170"/>
      <c r="Q37" s="171"/>
    </row>
    <row r="38" spans="1:17">
      <c r="A38" s="1894"/>
      <c r="B38" s="169" t="s">
        <v>1213</v>
      </c>
      <c r="C38" s="169" t="s">
        <v>1211</v>
      </c>
      <c r="D38" s="847">
        <v>0.1970312883688112</v>
      </c>
      <c r="E38" s="848">
        <v>0.19368685818677711</v>
      </c>
      <c r="F38" s="852">
        <v>2.5885682523483735E-4</v>
      </c>
      <c r="G38" s="848">
        <v>3.085573356799261E-3</v>
      </c>
      <c r="H38" s="847">
        <v>0.17986828746933048</v>
      </c>
      <c r="I38" s="848">
        <v>0.17681518390195594</v>
      </c>
      <c r="J38" s="852">
        <v>2.3630832564818234E-4</v>
      </c>
      <c r="K38" s="848">
        <v>2.8167952417263338E-3</v>
      </c>
      <c r="L38" s="847">
        <v>0.16720027473782079</v>
      </c>
      <c r="M38" s="848">
        <v>0.16436219937472998</v>
      </c>
      <c r="N38" s="852">
        <v>2.1966527578102136E-4</v>
      </c>
      <c r="O38" s="848">
        <v>3.0000000000000001E-3</v>
      </c>
      <c r="P38" s="170"/>
      <c r="Q38" s="171"/>
    </row>
    <row r="39" spans="1:17">
      <c r="A39" s="1894"/>
      <c r="B39" s="169" t="s">
        <v>1217</v>
      </c>
      <c r="C39" s="169" t="s">
        <v>1211</v>
      </c>
      <c r="D39" s="847">
        <v>0.24222570864916576</v>
      </c>
      <c r="E39" s="848">
        <v>0.23811414353898652</v>
      </c>
      <c r="F39" s="852">
        <v>3.1823259366712349E-4</v>
      </c>
      <c r="G39" s="848">
        <v>3.7933325165121112E-3</v>
      </c>
      <c r="H39" s="847">
        <v>0.22112591231813247</v>
      </c>
      <c r="I39" s="848">
        <v>0.21737249740972317</v>
      </c>
      <c r="J39" s="852">
        <v>2.905119898149613E-4</v>
      </c>
      <c r="K39" s="848">
        <v>3.4629029185943381E-3</v>
      </c>
      <c r="L39" s="847">
        <v>0.20555215047314643</v>
      </c>
      <c r="M39" s="848">
        <v>0.20206308626554911</v>
      </c>
      <c r="N39" s="852">
        <v>2.7005140925675858E-4</v>
      </c>
      <c r="O39" s="848">
        <v>3.0000000000000001E-3</v>
      </c>
      <c r="P39" s="170"/>
      <c r="Q39" s="171"/>
    </row>
    <row r="40" spans="1:17" s="102" customFormat="1" ht="15.75" thickBot="1">
      <c r="A40" s="1894"/>
      <c r="B40" s="266" t="s">
        <v>1215</v>
      </c>
      <c r="C40" s="267" t="s">
        <v>1211</v>
      </c>
      <c r="D40" s="849">
        <v>0.26869326009777056</v>
      </c>
      <c r="E40" s="850">
        <v>0.2641324319358086</v>
      </c>
      <c r="F40" s="853">
        <v>3.5300527569365013E-4</v>
      </c>
      <c r="G40" s="850">
        <v>4.2078228862683096E-3</v>
      </c>
      <c r="H40" s="849">
        <v>0.24528792837141916</v>
      </c>
      <c r="I40" s="850">
        <v>0.24112438481584725</v>
      </c>
      <c r="J40" s="853">
        <v>3.2225569315571975E-4</v>
      </c>
      <c r="K40" s="850">
        <v>3.8412878624161789E-3</v>
      </c>
      <c r="L40" s="849">
        <v>0.22801245061370404</v>
      </c>
      <c r="M40" s="850">
        <v>0.22414214286702464</v>
      </c>
      <c r="N40" s="853">
        <v>2.9955942311759995E-4</v>
      </c>
      <c r="O40" s="850">
        <v>4.0000000000000001E-3</v>
      </c>
      <c r="P40" s="268"/>
      <c r="Q40" s="269"/>
    </row>
    <row r="41" spans="1:17" ht="14.25" customHeight="1">
      <c r="A41" s="1894" t="s">
        <v>1220</v>
      </c>
      <c r="B41" s="183" t="s">
        <v>1210</v>
      </c>
      <c r="C41" s="183" t="s">
        <v>1211</v>
      </c>
      <c r="D41" s="854"/>
      <c r="E41" s="855"/>
      <c r="F41" s="855"/>
      <c r="G41" s="856"/>
      <c r="H41" s="851">
        <v>7.3943665301413164E-2</v>
      </c>
      <c r="I41" s="848">
        <v>7.0705704863752286E-2</v>
      </c>
      <c r="J41" s="848">
        <v>8.3244542258343159E-4</v>
      </c>
      <c r="K41" s="848">
        <v>2.4055150150774558E-3</v>
      </c>
      <c r="L41" s="851">
        <v>6.7084845543231825E-2</v>
      </c>
      <c r="M41" s="848">
        <v>6.4147229792779911E-2</v>
      </c>
      <c r="N41" s="848">
        <v>7.5522997635488556E-4</v>
      </c>
      <c r="O41" s="848">
        <v>2E-3</v>
      </c>
      <c r="P41" s="265"/>
      <c r="Q41" s="1248"/>
    </row>
    <row r="42" spans="1:17">
      <c r="A42" s="1894"/>
      <c r="B42" s="169" t="s">
        <v>1212</v>
      </c>
      <c r="C42" s="169" t="s">
        <v>1211</v>
      </c>
      <c r="D42" s="854"/>
      <c r="E42" s="855"/>
      <c r="F42" s="855"/>
      <c r="G42" s="856"/>
      <c r="H42" s="847">
        <v>7.6527718121086191E-2</v>
      </c>
      <c r="I42" s="848">
        <v>7.3176603152001668E-2</v>
      </c>
      <c r="J42" s="848">
        <v>8.6153625724360498E-4</v>
      </c>
      <c r="K42" s="848">
        <v>2.4895787118409144E-3</v>
      </c>
      <c r="L42" s="847">
        <v>6.942920842511896E-2</v>
      </c>
      <c r="M42" s="848">
        <v>6.6388934059731911E-2</v>
      </c>
      <c r="N42" s="848">
        <v>7.8162242176513729E-4</v>
      </c>
      <c r="O42" s="848">
        <v>2E-3</v>
      </c>
      <c r="P42" s="170"/>
      <c r="Q42" s="171"/>
    </row>
    <row r="43" spans="1:17">
      <c r="A43" s="1894"/>
      <c r="B43" s="169" t="s">
        <v>1213</v>
      </c>
      <c r="C43" s="169" t="s">
        <v>1211</v>
      </c>
      <c r="D43" s="854"/>
      <c r="E43" s="855"/>
      <c r="F43" s="855"/>
      <c r="G43" s="856"/>
      <c r="H43" s="847">
        <v>8.6168222871404909E-2</v>
      </c>
      <c r="I43" s="848">
        <v>8.2394954458162986E-2</v>
      </c>
      <c r="J43" s="848">
        <v>9.7006744809117692E-4</v>
      </c>
      <c r="K43" s="848">
        <v>2.8032009651507467E-3</v>
      </c>
      <c r="L43" s="847">
        <v>7.8175485330620978E-2</v>
      </c>
      <c r="M43" s="848">
        <v>7.4752215363360477E-2</v>
      </c>
      <c r="N43" s="848">
        <v>8.800865450264597E-4</v>
      </c>
      <c r="O43" s="848">
        <v>3.0000000000000001E-3</v>
      </c>
      <c r="P43" s="170"/>
      <c r="Q43" s="171"/>
    </row>
    <row r="44" spans="1:17">
      <c r="A44" s="1894"/>
      <c r="B44" s="169" t="s">
        <v>1217</v>
      </c>
      <c r="C44" s="169" t="s">
        <v>1211</v>
      </c>
      <c r="D44" s="854"/>
      <c r="E44" s="855"/>
      <c r="F44" s="855"/>
      <c r="G44" s="856"/>
      <c r="H44" s="847">
        <v>9.5709340974813109E-2</v>
      </c>
      <c r="I44" s="848">
        <v>9.1518271214776223E-2</v>
      </c>
      <c r="J44" s="848">
        <v>1.0774797606825878E-3</v>
      </c>
      <c r="K44" s="848">
        <v>3.1135899993542902E-3</v>
      </c>
      <c r="L44" s="847">
        <v>8.6831594432973433E-2</v>
      </c>
      <c r="M44" s="848">
        <v>8.3029277272106239E-2</v>
      </c>
      <c r="N44" s="848">
        <v>9.7753557423354144E-4</v>
      </c>
      <c r="O44" s="848">
        <v>3.0000000000000001E-3</v>
      </c>
      <c r="P44" s="170"/>
      <c r="Q44" s="171"/>
    </row>
    <row r="45" spans="1:17" s="102" customFormat="1" ht="15.75" thickBot="1">
      <c r="A45" s="1894"/>
      <c r="B45" s="266" t="s">
        <v>1215</v>
      </c>
      <c r="C45" s="267" t="s">
        <v>1211</v>
      </c>
      <c r="D45" s="857"/>
      <c r="E45" s="858"/>
      <c r="F45" s="858"/>
      <c r="G45" s="859"/>
      <c r="H45" s="849">
        <v>0.11449341724089784</v>
      </c>
      <c r="I45" s="850">
        <v>0.1094798010793584</v>
      </c>
      <c r="J45" s="850">
        <v>1.2889477510969265E-3</v>
      </c>
      <c r="K45" s="850">
        <v>3.7246684104425133E-3</v>
      </c>
      <c r="L45" s="849">
        <v>0.10387330922822989</v>
      </c>
      <c r="M45" s="850">
        <v>9.9324742904949512E-2</v>
      </c>
      <c r="N45" s="850">
        <v>1.1693883504849843E-3</v>
      </c>
      <c r="O45" s="850">
        <v>3.0000000000000001E-3</v>
      </c>
      <c r="P45" s="268"/>
      <c r="Q45" s="269"/>
    </row>
    <row r="46" spans="1:17" ht="17.25" customHeight="1">
      <c r="A46" s="1894" t="s">
        <v>1221</v>
      </c>
      <c r="B46" s="183" t="s">
        <v>1210</v>
      </c>
      <c r="C46" s="183" t="s">
        <v>1211</v>
      </c>
      <c r="D46" s="854"/>
      <c r="E46" s="855"/>
      <c r="F46" s="855"/>
      <c r="G46" s="856"/>
      <c r="H46" s="851">
        <v>9.9976234815854961E-3</v>
      </c>
      <c r="I46" s="848">
        <v>9.7176844305880139E-3</v>
      </c>
      <c r="J46" s="852">
        <v>2.5911783917274882E-4</v>
      </c>
      <c r="K46" s="860">
        <v>2.082121182473433E-5</v>
      </c>
      <c r="L46" s="851">
        <v>9.58610718235638E-3</v>
      </c>
      <c r="M46" s="848">
        <v>9.3176908179742092E-3</v>
      </c>
      <c r="N46" s="852">
        <v>2.4845218303586611E-4</v>
      </c>
      <c r="O46" s="860">
        <v>1.9964181346304937E-5</v>
      </c>
      <c r="P46" s="265"/>
      <c r="Q46" s="1248"/>
    </row>
    <row r="47" spans="1:17">
      <c r="A47" s="1894"/>
      <c r="B47" s="169" t="s">
        <v>1212</v>
      </c>
      <c r="C47" s="169" t="s">
        <v>1211</v>
      </c>
      <c r="D47" s="854"/>
      <c r="E47" s="855"/>
      <c r="F47" s="855"/>
      <c r="G47" s="856"/>
      <c r="H47" s="851">
        <v>1.0347002796802195E-2</v>
      </c>
      <c r="I47" s="848">
        <v>1.0057280929506413E-2</v>
      </c>
      <c r="J47" s="852">
        <v>2.6817303247717283E-4</v>
      </c>
      <c r="K47" s="860">
        <v>2.1548834818609458E-5</v>
      </c>
      <c r="L47" s="851">
        <v>9.9211055516322724E-3</v>
      </c>
      <c r="M47" s="848">
        <v>9.6433090454840584E-3</v>
      </c>
      <c r="N47" s="852">
        <v>2.5713465179787214E-4</v>
      </c>
      <c r="O47" s="860">
        <v>2.0661854350342467E-5</v>
      </c>
      <c r="P47" s="170"/>
      <c r="Q47" s="171"/>
    </row>
    <row r="48" spans="1:17">
      <c r="A48" s="1894"/>
      <c r="B48" s="169" t="s">
        <v>1213</v>
      </c>
      <c r="C48" s="169" t="s">
        <v>1211</v>
      </c>
      <c r="D48" s="854"/>
      <c r="E48" s="855"/>
      <c r="F48" s="855"/>
      <c r="G48" s="856"/>
      <c r="H48" s="851">
        <v>1.1650456395879865E-2</v>
      </c>
      <c r="I48" s="848">
        <v>1.1324237098548122E-2</v>
      </c>
      <c r="J48" s="852">
        <v>3.0195586903598534E-4</v>
      </c>
      <c r="K48" s="860">
        <v>2.4263428295758944E-5</v>
      </c>
      <c r="L48" s="851">
        <v>1.1170907160084648E-2</v>
      </c>
      <c r="M48" s="848">
        <v>1.0858115509655425E-2</v>
      </c>
      <c r="N48" s="852">
        <v>2.8952693910227936E-4</v>
      </c>
      <c r="O48" s="860">
        <v>2.326471132694405E-5</v>
      </c>
      <c r="P48" s="170"/>
      <c r="Q48" s="171"/>
    </row>
    <row r="49" spans="1:17">
      <c r="A49" s="1894"/>
      <c r="B49" s="169" t="s">
        <v>1217</v>
      </c>
      <c r="C49" s="169" t="s">
        <v>1211</v>
      </c>
      <c r="D49" s="854"/>
      <c r="E49" s="855"/>
      <c r="F49" s="855"/>
      <c r="G49" s="856"/>
      <c r="H49" s="851">
        <v>1.2940472328987665E-2</v>
      </c>
      <c r="I49" s="848">
        <v>1.2578131863785279E-2</v>
      </c>
      <c r="J49" s="852">
        <v>3.3539042892924312E-4</v>
      </c>
      <c r="K49" s="860">
        <v>2.6950036273144005E-5</v>
      </c>
      <c r="L49" s="851">
        <v>1.2407824215872571E-2</v>
      </c>
      <c r="M49" s="848">
        <v>1.2060398195845647E-2</v>
      </c>
      <c r="N49" s="852">
        <v>3.2158528530045567E-4</v>
      </c>
      <c r="O49" s="860">
        <v>2.5840734726467271E-5</v>
      </c>
      <c r="P49" s="170"/>
      <c r="Q49" s="171"/>
    </row>
    <row r="50" spans="1:17" s="102" customFormat="1" ht="15" customHeight="1" thickBot="1">
      <c r="A50" s="1894"/>
      <c r="B50" s="266" t="s">
        <v>1215</v>
      </c>
      <c r="C50" s="267" t="s">
        <v>1211</v>
      </c>
      <c r="D50" s="857"/>
      <c r="E50" s="858"/>
      <c r="F50" s="858"/>
      <c r="G50" s="859"/>
      <c r="H50" s="849">
        <v>1.5480191197293667E-2</v>
      </c>
      <c r="I50" s="850">
        <v>1.5046737182845951E-2</v>
      </c>
      <c r="J50" s="853">
        <v>4.0121471871909476E-4</v>
      </c>
      <c r="K50" s="861">
        <v>3.2239295728620887E-5</v>
      </c>
      <c r="L50" s="849">
        <v>1.4843004669455035E-2</v>
      </c>
      <c r="M50" s="850">
        <v>1.4427392234282641E-2</v>
      </c>
      <c r="N50" s="853">
        <v>3.8470015437811514E-4</v>
      </c>
      <c r="O50" s="861">
        <v>3.0912280794278601E-5</v>
      </c>
      <c r="P50" s="268"/>
      <c r="Q50" s="269"/>
    </row>
    <row r="51" spans="1:17" ht="14.25" customHeight="1">
      <c r="A51" s="1894" t="s">
        <v>1222</v>
      </c>
      <c r="B51" s="183" t="s">
        <v>1210</v>
      </c>
      <c r="C51" s="183" t="s">
        <v>1211</v>
      </c>
      <c r="D51" s="854"/>
      <c r="E51" s="855"/>
      <c r="F51" s="855"/>
      <c r="G51" s="856"/>
      <c r="H51" s="851">
        <v>9.2290744498597949E-2</v>
      </c>
      <c r="I51" s="862">
        <v>9.0724191521256867E-2</v>
      </c>
      <c r="J51" s="863">
        <v>1.2125023044435535E-4</v>
      </c>
      <c r="K51" s="862">
        <v>1.4453027468967158E-3</v>
      </c>
      <c r="L51" s="851">
        <v>8.5790764192130137E-2</v>
      </c>
      <c r="M51" s="862">
        <v>8.4334542576368993E-2</v>
      </c>
      <c r="N51" s="863">
        <v>1.1271065137470157E-4</v>
      </c>
      <c r="O51" s="862">
        <v>1E-3</v>
      </c>
      <c r="P51" s="265"/>
      <c r="Q51" s="1248"/>
    </row>
    <row r="52" spans="1:17">
      <c r="A52" s="1894"/>
      <c r="B52" s="169" t="s">
        <v>1212</v>
      </c>
      <c r="C52" s="169" t="s">
        <v>1211</v>
      </c>
      <c r="D52" s="854"/>
      <c r="E52" s="855"/>
      <c r="F52" s="855"/>
      <c r="G52" s="856"/>
      <c r="H52" s="847">
        <v>8.8812656237452173E-2</v>
      </c>
      <c r="I52" s="848">
        <v>8.7305140702603895E-2</v>
      </c>
      <c r="J52" s="852">
        <v>1.1668076895110521E-4</v>
      </c>
      <c r="K52" s="848">
        <v>1.3908347658971739E-3</v>
      </c>
      <c r="L52" s="847">
        <v>8.2557635545563612E-2</v>
      </c>
      <c r="M52" s="862">
        <v>8.115629340157314E-2</v>
      </c>
      <c r="N52" s="863">
        <v>1.0846301424074831E-4</v>
      </c>
      <c r="O52" s="862">
        <v>1E-3</v>
      </c>
      <c r="P52" s="170"/>
      <c r="Q52" s="171"/>
    </row>
    <row r="53" spans="1:17">
      <c r="A53" s="1894"/>
      <c r="B53" s="169" t="s">
        <v>1213</v>
      </c>
      <c r="C53" s="169" t="s">
        <v>1211</v>
      </c>
      <c r="D53" s="854"/>
      <c r="E53" s="855"/>
      <c r="F53" s="855"/>
      <c r="G53" s="856"/>
      <c r="H53" s="847">
        <v>9.4131070442282944E-2</v>
      </c>
      <c r="I53" s="848">
        <v>9.2533279575356953E-2</v>
      </c>
      <c r="J53" s="852">
        <v>1.2366802375588209E-4</v>
      </c>
      <c r="K53" s="848">
        <v>1.4741228431701145E-3</v>
      </c>
      <c r="L53" s="847">
        <v>8.7501477112792853E-2</v>
      </c>
      <c r="M53" s="862">
        <v>8.6016217672775341E-2</v>
      </c>
      <c r="N53" s="863">
        <v>1.149581609920678E-4</v>
      </c>
      <c r="O53" s="862">
        <v>1E-3</v>
      </c>
      <c r="P53" s="170"/>
      <c r="Q53" s="171"/>
    </row>
    <row r="54" spans="1:17">
      <c r="A54" s="1894"/>
      <c r="B54" s="169" t="s">
        <v>1217</v>
      </c>
      <c r="C54" s="169" t="s">
        <v>1211</v>
      </c>
      <c r="D54" s="854"/>
      <c r="E54" s="855"/>
      <c r="F54" s="855"/>
      <c r="G54" s="856"/>
      <c r="H54" s="847">
        <v>0.11572256077982236</v>
      </c>
      <c r="I54" s="848">
        <v>0.11375827364442151</v>
      </c>
      <c r="J54" s="852">
        <v>1.5203460800316271E-4</v>
      </c>
      <c r="K54" s="848">
        <v>1.8122525273976992E-3</v>
      </c>
      <c r="L54" s="847">
        <v>0.10757229208094665</v>
      </c>
      <c r="M54" s="862">
        <v>0.10574634847897073</v>
      </c>
      <c r="N54" s="863">
        <v>1.4132690417770371E-4</v>
      </c>
      <c r="O54" s="862">
        <v>2E-3</v>
      </c>
      <c r="P54" s="170"/>
      <c r="Q54" s="171"/>
    </row>
    <row r="55" spans="1:17" s="102" customFormat="1" ht="15" customHeight="1" thickBot="1">
      <c r="A55" s="1894"/>
      <c r="B55" s="266" t="s">
        <v>1215</v>
      </c>
      <c r="C55" s="267" t="s">
        <v>1211</v>
      </c>
      <c r="D55" s="857"/>
      <c r="E55" s="858"/>
      <c r="F55" s="858"/>
      <c r="G55" s="859"/>
      <c r="H55" s="849">
        <v>0.12836734918104264</v>
      </c>
      <c r="I55" s="850">
        <v>0.12618842805362668</v>
      </c>
      <c r="J55" s="853">
        <v>1.6864714608482659E-4</v>
      </c>
      <c r="K55" s="850">
        <v>2.0102739813311326E-3</v>
      </c>
      <c r="L55" s="849">
        <v>0.11932651582117181</v>
      </c>
      <c r="M55" s="864">
        <v>0.11730105476707625</v>
      </c>
      <c r="N55" s="865">
        <v>1.5676943143154399E-4</v>
      </c>
      <c r="O55" s="864">
        <v>2E-3</v>
      </c>
      <c r="P55" s="268"/>
      <c r="Q55" s="269"/>
    </row>
    <row r="56" spans="1:17" ht="17.25" customHeight="1">
      <c r="A56" s="1894" t="s">
        <v>1223</v>
      </c>
      <c r="B56" s="183" t="s">
        <v>1210</v>
      </c>
      <c r="C56" s="183" t="s">
        <v>1211</v>
      </c>
      <c r="D56" s="854"/>
      <c r="E56" s="855"/>
      <c r="F56" s="855"/>
      <c r="G56" s="856"/>
      <c r="H56" s="851">
        <v>1.0904262804572826E-2</v>
      </c>
      <c r="I56" s="862">
        <v>1.0598937345281256E-2</v>
      </c>
      <c r="J56" s="863">
        <v>2.8261606579772916E-4</v>
      </c>
      <c r="K56" s="866">
        <v>2.2709393493840277E-5</v>
      </c>
      <c r="L56" s="851">
        <v>1.0455427950627323E-2</v>
      </c>
      <c r="M56" s="862">
        <v>1.016267011836227E-2</v>
      </c>
      <c r="N56" s="863">
        <v>2.7098318947327174E-4</v>
      </c>
      <c r="O56" s="866">
        <v>2.1774642791782335E-5</v>
      </c>
      <c r="P56" s="265"/>
      <c r="Q56" s="1248"/>
    </row>
    <row r="57" spans="1:17">
      <c r="A57" s="1894"/>
      <c r="B57" s="169" t="s">
        <v>1212</v>
      </c>
      <c r="C57" s="169" t="s">
        <v>1211</v>
      </c>
      <c r="D57" s="854"/>
      <c r="E57" s="855"/>
      <c r="F57" s="855"/>
      <c r="G57" s="856"/>
      <c r="H57" s="847">
        <v>1.0473182480259299E-2</v>
      </c>
      <c r="I57" s="848">
        <v>1.0179927511231169E-2</v>
      </c>
      <c r="J57" s="852">
        <v>2.7144335036673206E-4</v>
      </c>
      <c r="K57" s="860">
        <v>2.1811618661397429E-5</v>
      </c>
      <c r="L57" s="847">
        <v>1.0042091501151528E-2</v>
      </c>
      <c r="M57" s="848">
        <v>9.7609073207270379E-3</v>
      </c>
      <c r="N57" s="852">
        <v>2.6027035878538123E-4</v>
      </c>
      <c r="O57" s="860">
        <v>2.0913821639108331E-5</v>
      </c>
      <c r="P57" s="170"/>
      <c r="Q57" s="171"/>
    </row>
    <row r="58" spans="1:17">
      <c r="A58" s="1894"/>
      <c r="B58" s="169" t="s">
        <v>1213</v>
      </c>
      <c r="C58" s="169" t="s">
        <v>1211</v>
      </c>
      <c r="D58" s="854"/>
      <c r="E58" s="855"/>
      <c r="F58" s="855"/>
      <c r="G58" s="856"/>
      <c r="H58" s="847">
        <v>1.1475363608292414E-2</v>
      </c>
      <c r="I58" s="848">
        <v>1.1154047006974779E-2</v>
      </c>
      <c r="J58" s="852">
        <v>2.9741782408380647E-4</v>
      </c>
      <c r="K58" s="860">
        <v>2.3898777233828432E-5</v>
      </c>
      <c r="L58" s="847">
        <v>1.1003021438866771E-2</v>
      </c>
      <c r="M58" s="848">
        <v>1.0694930682561068E-2</v>
      </c>
      <c r="N58" s="852">
        <v>2.851756864880895E-4</v>
      </c>
      <c r="O58" s="860">
        <v>2.2915069817612937E-5</v>
      </c>
      <c r="P58" s="170"/>
      <c r="Q58" s="171"/>
    </row>
    <row r="59" spans="1:17">
      <c r="A59" s="1894"/>
      <c r="B59" s="169" t="s">
        <v>1217</v>
      </c>
      <c r="C59" s="169" t="s">
        <v>1211</v>
      </c>
      <c r="D59" s="854"/>
      <c r="E59" s="855"/>
      <c r="F59" s="855"/>
      <c r="G59" s="856"/>
      <c r="H59" s="847">
        <v>1.2988444796500125E-2</v>
      </c>
      <c r="I59" s="848">
        <v>1.2624761075367547E-2</v>
      </c>
      <c r="J59" s="852">
        <v>3.3663377662527394E-4</v>
      </c>
      <c r="K59" s="860">
        <v>2.7049944507303038E-5</v>
      </c>
      <c r="L59" s="847">
        <v>1.2453822068884682E-2</v>
      </c>
      <c r="M59" s="848">
        <v>1.2105108083238345E-2</v>
      </c>
      <c r="N59" s="852">
        <v>3.2277745504970034E-4</v>
      </c>
      <c r="O59" s="860">
        <v>2.5936530596637038E-5</v>
      </c>
      <c r="P59" s="170"/>
      <c r="Q59" s="171"/>
    </row>
    <row r="60" spans="1:17" s="102" customFormat="1" ht="15.75" thickBot="1">
      <c r="A60" s="1894"/>
      <c r="B60" s="266" t="s">
        <v>1215</v>
      </c>
      <c r="C60" s="267" t="s">
        <v>1211</v>
      </c>
      <c r="D60" s="857"/>
      <c r="E60" s="858"/>
      <c r="F60" s="858"/>
      <c r="G60" s="859"/>
      <c r="H60" s="849">
        <v>1.5361939736758768E-2</v>
      </c>
      <c r="I60" s="850">
        <v>1.4931796829365861E-2</v>
      </c>
      <c r="J60" s="853">
        <v>3.9814988406221247E-4</v>
      </c>
      <c r="K60" s="861">
        <v>3.1993023330693893E-5</v>
      </c>
      <c r="L60" s="849">
        <v>1.4729620606007809E-2</v>
      </c>
      <c r="M60" s="850">
        <v>1.4317182988048538E-2</v>
      </c>
      <c r="N60" s="853">
        <v>3.8176147264328236E-4</v>
      </c>
      <c r="O60" s="861">
        <v>3.0676145315988967E-5</v>
      </c>
      <c r="P60" s="268"/>
      <c r="Q60" s="269"/>
    </row>
    <row r="61" spans="1:17">
      <c r="A61" s="1894" t="s">
        <v>1224</v>
      </c>
      <c r="B61" s="183" t="s">
        <v>1210</v>
      </c>
      <c r="C61" s="183" t="s">
        <v>1211</v>
      </c>
      <c r="D61" s="854"/>
      <c r="E61" s="855"/>
      <c r="F61" s="855"/>
      <c r="G61" s="856"/>
      <c r="H61" s="851">
        <v>2.0974035276053453E-2</v>
      </c>
      <c r="I61" s="862">
        <v>2.038675055368111E-2</v>
      </c>
      <c r="J61" s="863">
        <v>5.4360385840436715E-4</v>
      </c>
      <c r="K61" s="866">
        <v>4.3680863967974042E-5</v>
      </c>
      <c r="L61" s="851">
        <v>2.0110714368579807E-2</v>
      </c>
      <c r="M61" s="862">
        <v>1.9547603114631197E-2</v>
      </c>
      <c r="N61" s="863">
        <v>5.2122835601929932E-4</v>
      </c>
      <c r="O61" s="866">
        <v>4.1882897929311034E-5</v>
      </c>
      <c r="P61" s="265"/>
      <c r="Q61" s="1248"/>
    </row>
    <row r="62" spans="1:17">
      <c r="A62" s="1894"/>
      <c r="B62" s="169" t="s">
        <v>1212</v>
      </c>
      <c r="C62" s="169" t="s">
        <v>1211</v>
      </c>
      <c r="D62" s="854"/>
      <c r="E62" s="855"/>
      <c r="F62" s="855"/>
      <c r="G62" s="856"/>
      <c r="H62" s="847">
        <v>2.1706998874410164E-2</v>
      </c>
      <c r="I62" s="862">
        <v>2.109919076120223E-2</v>
      </c>
      <c r="J62" s="863">
        <v>5.6260076743462747E-4</v>
      </c>
      <c r="K62" s="866">
        <v>4.5207345773306481E-5</v>
      </c>
      <c r="L62" s="847">
        <v>2.081350815027749E-2</v>
      </c>
      <c r="M62" s="862">
        <v>2.0230718277239278E-2</v>
      </c>
      <c r="N62" s="863">
        <v>5.3944332545008129E-4</v>
      </c>
      <c r="O62" s="866">
        <v>4.334654758813105E-5</v>
      </c>
      <c r="P62" s="170"/>
      <c r="Q62" s="171"/>
    </row>
    <row r="63" spans="1:17">
      <c r="A63" s="1894"/>
      <c r="B63" s="169" t="s">
        <v>1213</v>
      </c>
      <c r="C63" s="169" t="s">
        <v>1211</v>
      </c>
      <c r="D63" s="854"/>
      <c r="E63" s="855"/>
      <c r="F63" s="855"/>
      <c r="G63" s="856"/>
      <c r="H63" s="847">
        <v>2.4441516914433303E-2</v>
      </c>
      <c r="I63" s="862">
        <v>2.3757140766184889E-2</v>
      </c>
      <c r="J63" s="863">
        <v>6.3347385112444519E-4</v>
      </c>
      <c r="K63" s="866">
        <v>5.0902297123969852E-5</v>
      </c>
      <c r="L63" s="847">
        <v>2.3435469566611151E-2</v>
      </c>
      <c r="M63" s="862">
        <v>2.2779263306969423E-2</v>
      </c>
      <c r="N63" s="863">
        <v>6.0739917294184477E-4</v>
      </c>
      <c r="O63" s="866">
        <v>4.8807086699882613E-5</v>
      </c>
      <c r="P63" s="170"/>
      <c r="Q63" s="171"/>
    </row>
    <row r="64" spans="1:17">
      <c r="A64" s="1894"/>
      <c r="B64" s="169" t="s">
        <v>1217</v>
      </c>
      <c r="C64" s="169" t="s">
        <v>1211</v>
      </c>
      <c r="D64" s="854"/>
      <c r="E64" s="855"/>
      <c r="F64" s="855"/>
      <c r="G64" s="856"/>
      <c r="H64" s="847">
        <v>2.7147844046827269E-2</v>
      </c>
      <c r="I64" s="862">
        <v>2.638768922472436E-2</v>
      </c>
      <c r="J64" s="863">
        <v>7.0361628446694339E-4</v>
      </c>
      <c r="K64" s="866">
        <v>5.653853763596644E-5</v>
      </c>
      <c r="L64" s="847">
        <v>2.6030400452879507E-2</v>
      </c>
      <c r="M64" s="862">
        <v>2.5301534676599249E-2</v>
      </c>
      <c r="N64" s="863">
        <v>6.7465444468627035E-4</v>
      </c>
      <c r="O64" s="866">
        <v>5.4211331593987247E-5</v>
      </c>
      <c r="P64" s="170"/>
      <c r="Q64" s="171"/>
    </row>
    <row r="65" spans="1:24" s="102" customFormat="1" ht="15" customHeight="1" thickBot="1">
      <c r="A65" s="1894"/>
      <c r="B65" s="266" t="s">
        <v>1215</v>
      </c>
      <c r="C65" s="267" t="s">
        <v>1211</v>
      </c>
      <c r="D65" s="857"/>
      <c r="E65" s="858"/>
      <c r="F65" s="858"/>
      <c r="G65" s="859"/>
      <c r="H65" s="849">
        <v>3.2475925588727965E-2</v>
      </c>
      <c r="I65" s="864">
        <v>3.1566581502474017E-2</v>
      </c>
      <c r="J65" s="865">
        <v>8.4170920010998896E-4</v>
      </c>
      <c r="K65" s="867">
        <v>6.7634886143959897E-5</v>
      </c>
      <c r="L65" s="849">
        <v>3.1139170635220353E-2</v>
      </c>
      <c r="M65" s="864">
        <v>3.0267256435557988E-2</v>
      </c>
      <c r="N65" s="865">
        <v>8.0706326093310868E-4</v>
      </c>
      <c r="O65" s="867">
        <v>6.4850938729255804E-5</v>
      </c>
      <c r="P65" s="268"/>
      <c r="Q65" s="269"/>
    </row>
    <row r="66" spans="1:24">
      <c r="A66" s="1894" t="s">
        <v>1225</v>
      </c>
      <c r="B66" s="183" t="s">
        <v>1226</v>
      </c>
      <c r="C66" s="183" t="s">
        <v>1211</v>
      </c>
      <c r="D66" s="851">
        <v>6.571256607082436E-2</v>
      </c>
      <c r="E66" s="862">
        <v>6.2835041832241076E-2</v>
      </c>
      <c r="F66" s="862">
        <v>7.3978108346251556E-4</v>
      </c>
      <c r="G66" s="862">
        <v>2.1377431551207727E-3</v>
      </c>
      <c r="H66" s="851">
        <v>6.0293271011615343E-2</v>
      </c>
      <c r="I66" s="862">
        <v>5.7653055309607862E-2</v>
      </c>
      <c r="J66" s="862">
        <v>6.7877156564542492E-4</v>
      </c>
      <c r="K66" s="862">
        <v>1.961444136362052E-3</v>
      </c>
      <c r="L66" s="851">
        <v>5.7366372219037447E-2</v>
      </c>
      <c r="M66" s="862">
        <v>5.4854324122148988E-2</v>
      </c>
      <c r="N66" s="862">
        <v>6.4582102833685737E-4</v>
      </c>
      <c r="O66" s="862">
        <v>2E-3</v>
      </c>
      <c r="P66" s="265"/>
      <c r="Q66" s="1248"/>
    </row>
    <row r="67" spans="1:24" s="102" customFormat="1" ht="15.75" thickBot="1">
      <c r="A67" s="1894"/>
      <c r="B67" s="267" t="s">
        <v>1227</v>
      </c>
      <c r="C67" s="267" t="s">
        <v>1211</v>
      </c>
      <c r="D67" s="849">
        <v>0.13142513214164872</v>
      </c>
      <c r="E67" s="850">
        <v>0.12567008366448215</v>
      </c>
      <c r="F67" s="850">
        <v>1.4795621669250311E-3</v>
      </c>
      <c r="G67" s="850">
        <v>4.2754863102415453E-3</v>
      </c>
      <c r="H67" s="849">
        <v>0.12058654202323069</v>
      </c>
      <c r="I67" s="850">
        <v>0.11530611061921572</v>
      </c>
      <c r="J67" s="850">
        <v>1.3575431312908498E-3</v>
      </c>
      <c r="K67" s="850">
        <v>3.922888272724104E-3</v>
      </c>
      <c r="L67" s="849">
        <v>0.11473274443807489</v>
      </c>
      <c r="M67" s="850">
        <v>0.10970864824429798</v>
      </c>
      <c r="N67" s="850">
        <v>1.2916420566737147E-3</v>
      </c>
      <c r="O67" s="850">
        <v>4.0000000000000001E-3</v>
      </c>
      <c r="P67" s="268"/>
      <c r="Q67" s="269"/>
    </row>
    <row r="68" spans="1:24">
      <c r="A68" s="1894"/>
      <c r="B68" s="183" t="s">
        <v>1228</v>
      </c>
      <c r="C68" s="183" t="s">
        <v>1211</v>
      </c>
      <c r="D68" s="854"/>
      <c r="E68" s="855"/>
      <c r="F68" s="855"/>
      <c r="G68" s="856"/>
      <c r="H68" s="851">
        <v>4.6558047045961778E-3</v>
      </c>
      <c r="I68" s="862">
        <v>4.4714327566351278E-3</v>
      </c>
      <c r="J68" s="863">
        <v>1.7798329959905942E-4</v>
      </c>
      <c r="K68" s="866">
        <v>6.3886483619904387E-6</v>
      </c>
      <c r="L68" s="851">
        <v>4.6464595755986628E-3</v>
      </c>
      <c r="M68" s="862">
        <v>4.4624576989242193E-3</v>
      </c>
      <c r="N68" s="863">
        <v>1.776260516044185E-4</v>
      </c>
      <c r="O68" s="866">
        <v>1.0000000000000001E-5</v>
      </c>
      <c r="P68" s="265"/>
      <c r="Q68" s="1248"/>
      <c r="T68" s="455"/>
      <c r="V68" s="447"/>
      <c r="W68" s="447"/>
      <c r="X68" s="447"/>
    </row>
    <row r="69" spans="1:24">
      <c r="A69" s="1894"/>
      <c r="B69" s="169" t="s">
        <v>1229</v>
      </c>
      <c r="C69" s="169" t="s">
        <v>1211</v>
      </c>
      <c r="D69" s="868"/>
      <c r="E69" s="869"/>
      <c r="F69" s="869"/>
      <c r="G69" s="870"/>
      <c r="H69" s="847">
        <v>9.3116094091923556E-3</v>
      </c>
      <c r="I69" s="862">
        <v>8.9428655132702557E-3</v>
      </c>
      <c r="J69" s="863">
        <v>3.5596659919811884E-4</v>
      </c>
      <c r="K69" s="866">
        <v>1.2777296723980877E-5</v>
      </c>
      <c r="L69" s="847">
        <v>9.2929191511973257E-3</v>
      </c>
      <c r="M69" s="862">
        <v>8.9249153978484385E-3</v>
      </c>
      <c r="N69" s="863">
        <v>3.55252103208837E-4</v>
      </c>
      <c r="O69" s="866">
        <v>1.0000000000000001E-5</v>
      </c>
      <c r="P69" s="170"/>
      <c r="Q69" s="171"/>
      <c r="T69" s="455"/>
      <c r="V69" s="447"/>
      <c r="W69" s="447"/>
      <c r="X69" s="447"/>
    </row>
    <row r="71" spans="1:24">
      <c r="A71" s="2042" t="s">
        <v>1230</v>
      </c>
      <c r="B71" s="2042"/>
      <c r="C71" s="2042"/>
      <c r="D71" s="2042"/>
      <c r="E71" s="2042"/>
      <c r="F71" s="2042"/>
      <c r="G71" s="2042"/>
    </row>
    <row r="72" spans="1:24" ht="18">
      <c r="A72" s="1900" t="s">
        <v>69</v>
      </c>
      <c r="B72" s="1901"/>
      <c r="C72" s="492" t="s">
        <v>70</v>
      </c>
      <c r="D72" s="845" t="s">
        <v>1205</v>
      </c>
      <c r="E72" s="846" t="s">
        <v>1206</v>
      </c>
      <c r="F72" s="846" t="s">
        <v>1207</v>
      </c>
      <c r="G72" s="846" t="s">
        <v>1208</v>
      </c>
    </row>
    <row r="73" spans="1:24" ht="15" customHeight="1">
      <c r="A73" s="1894" t="s">
        <v>1231</v>
      </c>
      <c r="B73" s="169" t="s">
        <v>222</v>
      </c>
      <c r="C73" s="169" t="s">
        <v>1211</v>
      </c>
      <c r="D73" s="847">
        <v>0.26465659660708307</v>
      </c>
      <c r="E73" s="848">
        <v>0.25306740115826976</v>
      </c>
      <c r="F73" s="848">
        <v>2.9794597211813567E-3</v>
      </c>
      <c r="G73" s="848">
        <v>8.6097357276319463E-3</v>
      </c>
      <c r="S73" s="444"/>
    </row>
    <row r="74" spans="1:24" ht="15" customHeight="1">
      <c r="A74" s="1894"/>
      <c r="B74" s="169" t="s">
        <v>90</v>
      </c>
      <c r="C74" s="169" t="s">
        <v>1211</v>
      </c>
      <c r="D74" s="847">
        <v>0.2702119459034516</v>
      </c>
      <c r="E74" s="848">
        <v>0.26562533940604049</v>
      </c>
      <c r="F74" s="852">
        <v>3.5500050289559562E-4</v>
      </c>
      <c r="G74" s="871">
        <v>4.2316059945154997E-3</v>
      </c>
      <c r="S74" s="455"/>
      <c r="T74" s="447"/>
    </row>
    <row r="75" spans="1:24" ht="15" customHeight="1">
      <c r="A75" s="1894"/>
      <c r="B75" s="169" t="s">
        <v>1232</v>
      </c>
      <c r="C75" s="169" t="s">
        <v>1211</v>
      </c>
      <c r="D75" s="847">
        <v>0.20139081670323039</v>
      </c>
      <c r="E75" s="848">
        <v>0.19257200180765863</v>
      </c>
      <c r="F75" s="848">
        <v>2.2672241473501733E-3</v>
      </c>
      <c r="G75" s="848">
        <v>6.5515907482215918E-3</v>
      </c>
      <c r="S75" s="455"/>
      <c r="T75" s="447"/>
    </row>
    <row r="76" spans="1:24" ht="15" customHeight="1">
      <c r="A76" s="1894"/>
      <c r="B76" s="169" t="s">
        <v>1233</v>
      </c>
      <c r="C76" s="169" t="s">
        <v>1211</v>
      </c>
      <c r="D76" s="847">
        <v>0.24222570864916576</v>
      </c>
      <c r="E76" s="848">
        <v>0.23811414353898652</v>
      </c>
      <c r="F76" s="852">
        <v>3.1823259366712349E-4</v>
      </c>
      <c r="G76" s="848">
        <v>3.7933325165121112E-3</v>
      </c>
      <c r="S76" s="455"/>
      <c r="T76" s="447"/>
    </row>
    <row r="77" spans="1:24" ht="15" customHeight="1">
      <c r="A77" s="1894"/>
      <c r="B77" s="169" t="s">
        <v>1234</v>
      </c>
      <c r="C77" s="169" t="s">
        <v>1211</v>
      </c>
      <c r="D77" s="847">
        <v>9.5709340974813109E-2</v>
      </c>
      <c r="E77" s="848">
        <v>9.1518271214776223E-2</v>
      </c>
      <c r="F77" s="848">
        <v>1.0774797606825878E-3</v>
      </c>
      <c r="G77" s="862">
        <v>3.1135899993542902E-3</v>
      </c>
      <c r="S77" s="455"/>
      <c r="T77" s="447"/>
    </row>
    <row r="78" spans="1:24" ht="15" customHeight="1">
      <c r="A78" s="1894"/>
      <c r="B78" s="169" t="s">
        <v>1235</v>
      </c>
      <c r="C78" s="169" t="s">
        <v>1211</v>
      </c>
      <c r="D78" s="847">
        <v>1.2261607162235328E-2</v>
      </c>
      <c r="E78" s="848">
        <v>1.1776042036317838E-2</v>
      </c>
      <c r="F78" s="848">
        <v>4.6873987196406478E-4</v>
      </c>
      <c r="G78" s="860">
        <v>1.6825253953425731E-5</v>
      </c>
      <c r="S78" s="455"/>
      <c r="T78" s="447"/>
    </row>
    <row r="79" spans="1:24" ht="15" customHeight="1">
      <c r="A79" s="1894"/>
      <c r="B79" s="169" t="s">
        <v>1236</v>
      </c>
      <c r="C79" s="169" t="s">
        <v>1211</v>
      </c>
      <c r="D79" s="847">
        <v>0.11572256077982236</v>
      </c>
      <c r="E79" s="848">
        <v>0.11375827364442151</v>
      </c>
      <c r="F79" s="852">
        <v>1.5203460800316271E-4</v>
      </c>
      <c r="G79" s="848">
        <v>1.8122525273976992E-3</v>
      </c>
      <c r="S79" s="455"/>
      <c r="T79" s="447"/>
    </row>
    <row r="80" spans="1:24" ht="15" customHeight="1">
      <c r="A80" s="1894"/>
      <c r="B80" s="169" t="s">
        <v>1237</v>
      </c>
      <c r="C80" s="169" t="s">
        <v>1211</v>
      </c>
      <c r="D80" s="847">
        <v>1.2307062964487865E-2</v>
      </c>
      <c r="E80" s="848">
        <v>1.1819697768477409E-2</v>
      </c>
      <c r="F80" s="848">
        <v>4.7047756806262365E-4</v>
      </c>
      <c r="G80" s="860">
        <v>1.6887627947832529E-5</v>
      </c>
      <c r="S80" s="455"/>
      <c r="T80" s="447"/>
    </row>
    <row r="81" spans="1:20" ht="15" customHeight="1">
      <c r="A81" s="1894"/>
      <c r="B81" s="169" t="s">
        <v>1238</v>
      </c>
      <c r="C81" s="169" t="s">
        <v>1211</v>
      </c>
      <c r="D81" s="847">
        <v>2.5723651389304884E-2</v>
      </c>
      <c r="E81" s="848">
        <v>2.4704983292974481E-2</v>
      </c>
      <c r="F81" s="848">
        <v>9.8337036076377228E-4</v>
      </c>
      <c r="G81" s="860">
        <v>3.5297735566627408E-5</v>
      </c>
      <c r="S81" s="455"/>
      <c r="T81" s="447"/>
    </row>
    <row r="82" spans="1:20" ht="16.5" customHeight="1">
      <c r="A82" s="1894" t="s">
        <v>1239</v>
      </c>
      <c r="B82" s="169" t="s">
        <v>222</v>
      </c>
      <c r="C82" s="169" t="s">
        <v>1211</v>
      </c>
      <c r="D82" s="847">
        <v>0.21070874111622362</v>
      </c>
      <c r="E82" s="848">
        <v>0.20148189842696052</v>
      </c>
      <c r="F82" s="848">
        <v>2.3721237826868375E-3</v>
      </c>
      <c r="G82" s="848">
        <v>6.8547189065762681E-3</v>
      </c>
      <c r="S82" s="455"/>
      <c r="T82" s="447"/>
    </row>
    <row r="83" spans="1:20">
      <c r="A83" s="1894"/>
      <c r="B83" s="169" t="s">
        <v>90</v>
      </c>
      <c r="C83" s="169" t="s">
        <v>1211</v>
      </c>
      <c r="D83" s="847">
        <v>0.2015891509280674</v>
      </c>
      <c r="E83" s="848">
        <v>0.19816735509900874</v>
      </c>
      <c r="F83" s="852">
        <v>2.6484487841011442E-4</v>
      </c>
      <c r="G83" s="848">
        <v>3.1569509506485637E-3</v>
      </c>
      <c r="S83" s="455"/>
      <c r="T83" s="447"/>
    </row>
    <row r="84" spans="1:20">
      <c r="A84" s="1894"/>
      <c r="B84" s="169" t="s">
        <v>1232</v>
      </c>
      <c r="C84" s="169" t="s">
        <v>1211</v>
      </c>
      <c r="D84" s="847">
        <v>0.16465265516828964</v>
      </c>
      <c r="E84" s="848">
        <v>0.15744258813661718</v>
      </c>
      <c r="F84" s="848">
        <v>1.8536320664162616E-3</v>
      </c>
      <c r="G84" s="848">
        <v>5.3564349652562042E-3</v>
      </c>
      <c r="S84" s="455"/>
      <c r="T84" s="447"/>
    </row>
    <row r="85" spans="1:20">
      <c r="A85" s="1894"/>
      <c r="B85" s="169" t="s">
        <v>1233</v>
      </c>
      <c r="C85" s="169" t="s">
        <v>1211</v>
      </c>
      <c r="D85" s="847">
        <v>0.17986828746933048</v>
      </c>
      <c r="E85" s="848">
        <v>0.17681518390195594</v>
      </c>
      <c r="F85" s="852">
        <v>2.3630832564818234E-4</v>
      </c>
      <c r="G85" s="848">
        <v>2.8167952417263338E-3</v>
      </c>
      <c r="S85" s="455"/>
      <c r="T85" s="447"/>
    </row>
    <row r="86" spans="1:20">
      <c r="A86" s="1894"/>
      <c r="B86" s="169" t="s">
        <v>1234</v>
      </c>
      <c r="C86" s="169" t="s">
        <v>1211</v>
      </c>
      <c r="D86" s="847">
        <v>8.6168222871404909E-2</v>
      </c>
      <c r="E86" s="848">
        <v>8.2394954458162986E-2</v>
      </c>
      <c r="F86" s="848">
        <v>9.7006744809117692E-4</v>
      </c>
      <c r="G86" s="848">
        <v>2.8032009651507467E-3</v>
      </c>
      <c r="S86" s="455"/>
      <c r="T86" s="447"/>
    </row>
    <row r="87" spans="1:20">
      <c r="A87" s="1894"/>
      <c r="B87" s="169" t="s">
        <v>1235</v>
      </c>
      <c r="C87" s="169" t="s">
        <v>1211</v>
      </c>
      <c r="D87" s="847">
        <v>2.1155224490718202E-2</v>
      </c>
      <c r="E87" s="848">
        <v>1.0584874474475637E-2</v>
      </c>
      <c r="F87" s="848">
        <v>1.0165708712678174E-2</v>
      </c>
      <c r="G87" s="852">
        <v>4.0464130356439358E-4</v>
      </c>
      <c r="S87" s="455"/>
      <c r="T87" s="447"/>
    </row>
    <row r="88" spans="1:20">
      <c r="A88" s="1894"/>
      <c r="B88" s="169" t="s">
        <v>1236</v>
      </c>
      <c r="C88" s="169" t="s">
        <v>1211</v>
      </c>
      <c r="D88" s="847">
        <v>9.4131070442282944E-2</v>
      </c>
      <c r="E88" s="848">
        <v>9.2533279575356953E-2</v>
      </c>
      <c r="F88" s="848">
        <v>1.2366802375588209E-4</v>
      </c>
      <c r="G88" s="848">
        <v>1.4741228431701145E-3</v>
      </c>
      <c r="S88" s="455"/>
      <c r="T88" s="447"/>
    </row>
    <row r="89" spans="1:20">
      <c r="A89" s="1894"/>
      <c r="B89" s="169" t="s">
        <v>1237</v>
      </c>
      <c r="C89" s="169" t="s">
        <v>1211</v>
      </c>
      <c r="D89" s="847">
        <v>2.0837286111117223E-2</v>
      </c>
      <c r="E89" s="848">
        <v>1.0425796141831561E-2</v>
      </c>
      <c r="F89" s="848">
        <v>1.0012929953132393E-2</v>
      </c>
      <c r="G89" s="848">
        <v>3.9856001615327019E-4</v>
      </c>
      <c r="S89" s="455"/>
      <c r="T89" s="447"/>
    </row>
    <row r="90" spans="1:20">
      <c r="A90" s="1894"/>
      <c r="B90" s="169" t="s">
        <v>1238</v>
      </c>
      <c r="C90" s="169" t="s">
        <v>1211</v>
      </c>
      <c r="D90" s="847">
        <v>2.3159299848938074E-2</v>
      </c>
      <c r="E90" s="848">
        <v>2.2242181220154627E-2</v>
      </c>
      <c r="F90" s="848">
        <v>8.8533967059417618E-4</v>
      </c>
      <c r="G90" s="872">
        <v>3.177895818926895E-5</v>
      </c>
      <c r="S90" s="455"/>
      <c r="T90" s="447"/>
    </row>
    <row r="91" spans="1:20">
      <c r="A91" s="1894" t="s">
        <v>1240</v>
      </c>
      <c r="B91" s="169" t="s">
        <v>1241</v>
      </c>
      <c r="C91" s="169" t="s">
        <v>1211</v>
      </c>
      <c r="D91" s="847">
        <v>0.22469677300280874</v>
      </c>
      <c r="E91" s="848">
        <v>0.22088274592285784</v>
      </c>
      <c r="F91" s="852">
        <v>2.9520333436152367E-4</v>
      </c>
      <c r="G91" s="873">
        <v>3.5188237455893623E-3</v>
      </c>
      <c r="S91" s="455"/>
      <c r="T91" s="447"/>
    </row>
    <row r="92" spans="1:20">
      <c r="A92" s="1894"/>
      <c r="B92" s="169" t="s">
        <v>1242</v>
      </c>
      <c r="C92" s="169" t="s">
        <v>1243</v>
      </c>
      <c r="D92" s="847">
        <v>7.021774156337772E-2</v>
      </c>
      <c r="E92" s="848">
        <v>6.9025858100893067E-2</v>
      </c>
      <c r="F92" s="852">
        <v>9.2251041987976147E-5</v>
      </c>
      <c r="G92" s="873">
        <v>1.0996324204966756E-3</v>
      </c>
      <c r="S92" s="455"/>
      <c r="T92" s="447"/>
    </row>
    <row r="93" spans="1:20">
      <c r="A93" s="223"/>
      <c r="B93" s="166"/>
      <c r="C93" s="50"/>
      <c r="D93" s="50"/>
      <c r="E93" s="50"/>
      <c r="F93" s="50"/>
      <c r="G93" s="50"/>
      <c r="H93" s="50"/>
      <c r="I93" s="50"/>
      <c r="S93" s="455"/>
      <c r="T93" s="447"/>
    </row>
    <row r="94" spans="1:20">
      <c r="A94" s="496" t="s">
        <v>1244</v>
      </c>
      <c r="B94" s="66"/>
      <c r="C94" s="66"/>
      <c r="D94" s="66"/>
      <c r="E94" s="66"/>
      <c r="F94" s="66"/>
      <c r="G94" s="66"/>
      <c r="H94" s="66"/>
      <c r="I94" s="497"/>
    </row>
    <row r="95" spans="1:20" ht="18">
      <c r="A95" s="1900" t="s">
        <v>69</v>
      </c>
      <c r="B95" s="1901"/>
      <c r="C95" s="492" t="s">
        <v>70</v>
      </c>
      <c r="D95" s="834" t="s">
        <v>435</v>
      </c>
      <c r="E95" s="485" t="s">
        <v>436</v>
      </c>
      <c r="F95" s="485" t="s">
        <v>437</v>
      </c>
      <c r="G95" s="485" t="s">
        <v>438</v>
      </c>
      <c r="H95" s="492" t="s">
        <v>75</v>
      </c>
      <c r="I95" s="498" t="s">
        <v>76</v>
      </c>
    </row>
    <row r="96" spans="1:20" ht="15.75" customHeight="1">
      <c r="A96" s="1894" t="s">
        <v>1245</v>
      </c>
      <c r="B96" s="164" t="s">
        <v>1246</v>
      </c>
      <c r="C96" s="169" t="s">
        <v>1211</v>
      </c>
      <c r="D96" s="847">
        <v>0.56687285396307396</v>
      </c>
      <c r="E96" s="848">
        <v>0.55725069345310885</v>
      </c>
      <c r="F96" s="848">
        <v>7.4474926547717134E-4</v>
      </c>
      <c r="G96" s="848">
        <v>8.877411244487883E-3</v>
      </c>
      <c r="H96" s="874" t="s">
        <v>441</v>
      </c>
      <c r="I96" s="875" t="s">
        <v>1247</v>
      </c>
      <c r="S96" s="444"/>
    </row>
    <row r="97" spans="1:21" ht="15.75" customHeight="1">
      <c r="A97" s="1894"/>
      <c r="B97" s="164" t="s">
        <v>1248</v>
      </c>
      <c r="C97" s="169" t="s">
        <v>1211</v>
      </c>
      <c r="D97" s="847">
        <v>0.78518790668578098</v>
      </c>
      <c r="E97" s="848">
        <v>0.77186004309909706</v>
      </c>
      <c r="F97" s="848">
        <v>1.0315683890622233E-3</v>
      </c>
      <c r="G97" s="848">
        <v>1.2296295197621702E-2</v>
      </c>
      <c r="H97" s="874" t="s">
        <v>441</v>
      </c>
      <c r="I97" s="875" t="s">
        <v>1247</v>
      </c>
      <c r="S97" s="455"/>
      <c r="T97" s="447"/>
    </row>
    <row r="98" spans="1:21" ht="15.75" customHeight="1">
      <c r="A98" s="1894"/>
      <c r="B98" s="164" t="s">
        <v>1249</v>
      </c>
      <c r="C98" s="169" t="s">
        <v>1211</v>
      </c>
      <c r="D98" s="847">
        <v>1.0882416021368941</v>
      </c>
      <c r="E98" s="848">
        <v>1.0697696726800907</v>
      </c>
      <c r="F98" s="848">
        <v>1.4297159022293665E-3</v>
      </c>
      <c r="G98" s="848">
        <v>1.7042213554574047E-2</v>
      </c>
      <c r="H98" s="874" t="s">
        <v>441</v>
      </c>
      <c r="I98" s="875" t="s">
        <v>1247</v>
      </c>
      <c r="S98" s="455"/>
      <c r="T98" s="447"/>
    </row>
    <row r="99" spans="1:21" ht="15.75" customHeight="1">
      <c r="A99" s="1894" t="s">
        <v>1250</v>
      </c>
      <c r="B99" s="164" t="s">
        <v>1246</v>
      </c>
      <c r="C99" s="169" t="s">
        <v>1211</v>
      </c>
      <c r="D99" s="847">
        <v>0.40114662289023845</v>
      </c>
      <c r="E99" s="848">
        <v>0.39433751716839038</v>
      </c>
      <c r="F99" s="848">
        <v>5.2702056670650475E-4</v>
      </c>
      <c r="G99" s="848">
        <v>6.2820851551415365E-3</v>
      </c>
      <c r="H99" s="874" t="s">
        <v>441</v>
      </c>
      <c r="I99" s="875" t="s">
        <v>1247</v>
      </c>
      <c r="S99" s="455"/>
      <c r="T99" s="447"/>
    </row>
    <row r="100" spans="1:21" ht="15.75" customHeight="1">
      <c r="A100" s="1894"/>
      <c r="B100" s="164" t="s">
        <v>1248</v>
      </c>
      <c r="C100" s="169" t="s">
        <v>1211</v>
      </c>
      <c r="D100" s="847">
        <v>0.55563690323011017</v>
      </c>
      <c r="E100" s="848">
        <v>0.54620546295075556</v>
      </c>
      <c r="F100" s="848">
        <v>7.2998763772094525E-4</v>
      </c>
      <c r="G100" s="848">
        <v>8.7014526416336665E-3</v>
      </c>
      <c r="H100" s="874" t="s">
        <v>441</v>
      </c>
      <c r="I100" s="875" t="s">
        <v>1247</v>
      </c>
      <c r="S100" s="455"/>
      <c r="T100" s="447"/>
    </row>
    <row r="101" spans="1:21" ht="15.75" customHeight="1">
      <c r="A101" s="1894"/>
      <c r="B101" s="164" t="s">
        <v>1249</v>
      </c>
      <c r="C101" s="169" t="s">
        <v>1211</v>
      </c>
      <c r="D101" s="847">
        <v>0.77009234175520225</v>
      </c>
      <c r="E101" s="848">
        <v>0.75702071190371156</v>
      </c>
      <c r="F101" s="848">
        <v>1.0117360566169237E-3</v>
      </c>
      <c r="G101" s="848">
        <v>1.2059893794873731E-2</v>
      </c>
      <c r="H101" s="874" t="s">
        <v>441</v>
      </c>
      <c r="I101" s="875" t="s">
        <v>1247</v>
      </c>
      <c r="S101" s="455"/>
      <c r="T101" s="447"/>
    </row>
    <row r="102" spans="1:21">
      <c r="A102" s="1894" t="s">
        <v>1251</v>
      </c>
      <c r="B102" s="164" t="s">
        <v>1246</v>
      </c>
      <c r="C102" s="169" t="s">
        <v>1211</v>
      </c>
      <c r="D102" s="847">
        <v>5.5222501933854466E-2</v>
      </c>
      <c r="E102" s="848">
        <v>5.3035666166714901E-2</v>
      </c>
      <c r="F102" s="848">
        <v>2.1110600057171747E-3</v>
      </c>
      <c r="G102" s="852">
        <v>7.5775761422392624E-5</v>
      </c>
      <c r="H102" s="874" t="s">
        <v>441</v>
      </c>
      <c r="I102" s="875" t="s">
        <v>1247</v>
      </c>
      <c r="S102" s="455"/>
      <c r="T102" s="447"/>
    </row>
    <row r="103" spans="1:21">
      <c r="A103" s="1894"/>
      <c r="B103" s="164" t="s">
        <v>1248</v>
      </c>
      <c r="C103" s="169" t="s">
        <v>1211</v>
      </c>
      <c r="D103" s="847">
        <v>7.648988726882866E-2</v>
      </c>
      <c r="E103" s="848">
        <v>7.3460853533553416E-2</v>
      </c>
      <c r="F103" s="848">
        <v>2.9240750817203826E-3</v>
      </c>
      <c r="G103" s="852">
        <v>1.0495865355486815E-4</v>
      </c>
      <c r="H103" s="874" t="s">
        <v>441</v>
      </c>
      <c r="I103" s="875" t="s">
        <v>1247</v>
      </c>
      <c r="S103" s="455"/>
      <c r="T103" s="447"/>
    </row>
    <row r="104" spans="1:21">
      <c r="A104" s="1894"/>
      <c r="B104" s="164" t="s">
        <v>1249</v>
      </c>
      <c r="C104" s="169" t="s">
        <v>1211</v>
      </c>
      <c r="D104" s="847">
        <v>0.10601217461441574</v>
      </c>
      <c r="E104" s="848">
        <v>0.10181404510053139</v>
      </c>
      <c r="F104" s="848">
        <v>4.052660674731182E-3</v>
      </c>
      <c r="G104" s="852">
        <v>1.4546883915316096E-4</v>
      </c>
      <c r="H104" s="874" t="s">
        <v>441</v>
      </c>
      <c r="I104" s="875" t="s">
        <v>1247</v>
      </c>
      <c r="T104" s="447"/>
    </row>
    <row r="105" spans="1:21">
      <c r="A105" s="223"/>
      <c r="B105" s="166"/>
      <c r="C105" s="50"/>
      <c r="D105" s="50"/>
      <c r="E105" s="50"/>
      <c r="F105" s="50"/>
      <c r="G105" s="50"/>
      <c r="H105" s="50"/>
      <c r="I105" s="50"/>
      <c r="T105" s="447"/>
    </row>
    <row r="106" spans="1:21">
      <c r="A106" s="223"/>
      <c r="B106" s="166"/>
      <c r="C106" s="50"/>
      <c r="D106" s="50"/>
      <c r="E106" s="50"/>
      <c r="F106" s="50"/>
      <c r="G106" s="50"/>
      <c r="H106" s="50"/>
      <c r="I106" s="50"/>
      <c r="N106" s="447"/>
    </row>
    <row r="107" spans="1:21">
      <c r="A107" s="496" t="s">
        <v>1252</v>
      </c>
      <c r="B107" s="66"/>
      <c r="C107" s="66"/>
      <c r="D107" s="2036" t="s">
        <v>1253</v>
      </c>
      <c r="E107" s="2037"/>
      <c r="F107" s="2037"/>
      <c r="G107" s="2038"/>
      <c r="H107" s="2036" t="s">
        <v>1254</v>
      </c>
      <c r="I107" s="2037"/>
      <c r="J107" s="2037"/>
      <c r="K107" s="2038"/>
      <c r="L107" s="66"/>
      <c r="M107" s="497"/>
      <c r="N107" s="447"/>
    </row>
    <row r="108" spans="1:21" ht="18">
      <c r="A108" s="1900" t="s">
        <v>69</v>
      </c>
      <c r="B108" s="1901"/>
      <c r="C108" s="492" t="s">
        <v>70</v>
      </c>
      <c r="D108" s="834" t="s">
        <v>435</v>
      </c>
      <c r="E108" s="485" t="s">
        <v>436</v>
      </c>
      <c r="F108" s="485" t="s">
        <v>437</v>
      </c>
      <c r="G108" s="485" t="s">
        <v>438</v>
      </c>
      <c r="H108" s="834" t="s">
        <v>435</v>
      </c>
      <c r="I108" s="485" t="s">
        <v>436</v>
      </c>
      <c r="J108" s="485" t="s">
        <v>437</v>
      </c>
      <c r="K108" s="485" t="s">
        <v>438</v>
      </c>
      <c r="L108" s="492" t="s">
        <v>75</v>
      </c>
      <c r="M108" s="498" t="s">
        <v>76</v>
      </c>
      <c r="N108" s="447"/>
      <c r="T108" s="444"/>
    </row>
    <row r="109" spans="1:21" ht="15" customHeight="1">
      <c r="A109" s="1962" t="s">
        <v>1255</v>
      </c>
      <c r="B109" s="438" t="s">
        <v>1256</v>
      </c>
      <c r="C109" s="438" t="s">
        <v>1192</v>
      </c>
      <c r="D109" s="838">
        <v>0.30589319810365689</v>
      </c>
      <c r="E109" s="840">
        <v>0.30037776747980877</v>
      </c>
      <c r="F109" s="839">
        <v>1.1123557560702079E-3</v>
      </c>
      <c r="G109" s="840">
        <v>4.4030748677779067E-3</v>
      </c>
      <c r="H109" s="838">
        <v>0.16317592532793518</v>
      </c>
      <c r="I109" s="840">
        <v>0.1580935618314783</v>
      </c>
      <c r="J109" s="839">
        <v>6.7928862867897293E-4</v>
      </c>
      <c r="K109" s="840">
        <v>4.4030748677779067E-3</v>
      </c>
      <c r="L109" s="227" t="s">
        <v>1257</v>
      </c>
      <c r="M109" s="2043" t="s">
        <v>1258</v>
      </c>
      <c r="N109" s="447"/>
      <c r="T109" s="455"/>
      <c r="U109" s="447"/>
    </row>
    <row r="110" spans="1:21" ht="15" customHeight="1">
      <c r="A110" s="1963"/>
      <c r="B110" s="837" t="s">
        <v>1259</v>
      </c>
      <c r="C110" s="438" t="s">
        <v>1192</v>
      </c>
      <c r="D110" s="838">
        <v>0.18044190240337196</v>
      </c>
      <c r="E110" s="840">
        <v>0.17718843092865247</v>
      </c>
      <c r="F110" s="840">
        <v>6.5616231422914407E-4</v>
      </c>
      <c r="G110" s="840">
        <v>2.5973091604903618E-3</v>
      </c>
      <c r="H110" s="838">
        <v>9.6510540384536617E-2</v>
      </c>
      <c r="I110" s="840">
        <v>9.3257068909817109E-2</v>
      </c>
      <c r="J110" s="840">
        <v>6.5616231422914407E-4</v>
      </c>
      <c r="K110" s="840">
        <v>2.5973091604903618E-3</v>
      </c>
      <c r="L110" s="227" t="s">
        <v>1257</v>
      </c>
      <c r="M110" s="2043"/>
      <c r="T110" s="455"/>
      <c r="U110" s="447"/>
    </row>
    <row r="111" spans="1:21" ht="15" customHeight="1">
      <c r="A111" s="1963"/>
      <c r="B111" s="438" t="s">
        <v>1260</v>
      </c>
      <c r="C111" s="438" t="s">
        <v>1192</v>
      </c>
      <c r="D111" s="838">
        <v>0.23948915707362997</v>
      </c>
      <c r="E111" s="840">
        <v>0.23517102957294633</v>
      </c>
      <c r="F111" s="840">
        <v>8.7088285728073437E-4</v>
      </c>
      <c r="G111" s="840">
        <v>3.4472446434029073E-3</v>
      </c>
      <c r="H111" s="838">
        <v>0.12809235359170804</v>
      </c>
      <c r="I111" s="840">
        <v>0.1237742260910244</v>
      </c>
      <c r="J111" s="840">
        <v>8.7088285728073437E-4</v>
      </c>
      <c r="K111" s="840">
        <v>3.4472446434029073E-3</v>
      </c>
      <c r="L111" s="227" t="s">
        <v>1257</v>
      </c>
      <c r="M111" s="2043"/>
      <c r="U111" s="447"/>
    </row>
    <row r="112" spans="1:21" ht="15" customHeight="1">
      <c r="A112" s="2031"/>
      <c r="B112" s="438" t="s">
        <v>1261</v>
      </c>
      <c r="C112" s="438" t="s">
        <v>1192</v>
      </c>
      <c r="D112" s="838">
        <v>0.6696786425339365</v>
      </c>
      <c r="E112" s="840">
        <v>0.64701963800904971</v>
      </c>
      <c r="F112" s="840">
        <v>5.4799095022624433E-3</v>
      </c>
      <c r="G112" s="840">
        <v>1.7179095022624435E-2</v>
      </c>
      <c r="H112" s="838">
        <v>0.35246244343891403</v>
      </c>
      <c r="I112" s="840">
        <v>0.34053665158371044</v>
      </c>
      <c r="J112" s="840">
        <v>2.8841628959276021E-3</v>
      </c>
      <c r="K112" s="840">
        <v>9.0416289592760192E-3</v>
      </c>
      <c r="L112" s="227" t="s">
        <v>1257</v>
      </c>
      <c r="M112" s="2043"/>
      <c r="U112" s="447"/>
    </row>
    <row r="113" spans="1:22">
      <c r="A113" s="50"/>
      <c r="B113" s="50"/>
      <c r="C113" s="50"/>
      <c r="D113" s="50"/>
      <c r="E113" s="50"/>
      <c r="F113" s="50"/>
      <c r="G113" s="50"/>
      <c r="H113" s="50"/>
      <c r="I113" s="50"/>
      <c r="N113" s="447"/>
    </row>
    <row r="114" spans="1:22">
      <c r="A114" s="496" t="s">
        <v>1252</v>
      </c>
      <c r="B114" s="66"/>
      <c r="C114" s="66"/>
      <c r="D114" s="2036" t="s">
        <v>1253</v>
      </c>
      <c r="E114" s="2037"/>
      <c r="F114" s="2037"/>
      <c r="G114" s="2038"/>
      <c r="H114" s="2036" t="s">
        <v>1254</v>
      </c>
      <c r="I114" s="2037"/>
      <c r="J114" s="2037"/>
      <c r="K114" s="2038"/>
      <c r="L114" s="66"/>
      <c r="M114" s="497"/>
      <c r="N114" s="447"/>
    </row>
    <row r="115" spans="1:22" ht="18">
      <c r="A115" s="1900" t="s">
        <v>69</v>
      </c>
      <c r="B115" s="1901"/>
      <c r="C115" s="492" t="s">
        <v>70</v>
      </c>
      <c r="D115" s="834" t="s">
        <v>435</v>
      </c>
      <c r="E115" s="485" t="s">
        <v>436</v>
      </c>
      <c r="F115" s="485" t="s">
        <v>437</v>
      </c>
      <c r="G115" s="485" t="s">
        <v>438</v>
      </c>
      <c r="H115" s="834" t="s">
        <v>435</v>
      </c>
      <c r="I115" s="485" t="s">
        <v>436</v>
      </c>
      <c r="J115" s="485" t="s">
        <v>437</v>
      </c>
      <c r="K115" s="485" t="s">
        <v>438</v>
      </c>
      <c r="L115" s="492" t="s">
        <v>75</v>
      </c>
      <c r="M115" s="498" t="s">
        <v>76</v>
      </c>
      <c r="N115" s="447"/>
      <c r="T115" s="444"/>
    </row>
    <row r="116" spans="1:22" ht="15" customHeight="1">
      <c r="A116" s="1962" t="s">
        <v>1262</v>
      </c>
      <c r="B116" s="438" t="s">
        <v>1256</v>
      </c>
      <c r="C116" s="438" t="s">
        <v>1192</v>
      </c>
      <c r="D116" s="838">
        <v>0.305893198103657</v>
      </c>
      <c r="E116" s="840">
        <v>0.30037776747980899</v>
      </c>
      <c r="F116" s="839">
        <v>1.1123557560702099E-3</v>
      </c>
      <c r="G116" s="840">
        <v>4.4030748677779102E-3</v>
      </c>
      <c r="H116" s="838">
        <v>0.16360899245532642</v>
      </c>
      <c r="I116" s="840">
        <v>0.1580935618314783</v>
      </c>
      <c r="J116" s="839">
        <v>1.1123557560702079E-3</v>
      </c>
      <c r="K116" s="840">
        <v>4.4030748677779067E-3</v>
      </c>
      <c r="L116" s="227" t="s">
        <v>1257</v>
      </c>
      <c r="M116" s="2043" t="s">
        <v>1258</v>
      </c>
      <c r="N116" s="447"/>
      <c r="T116" s="455"/>
      <c r="U116" s="447"/>
    </row>
    <row r="117" spans="1:22" ht="15" customHeight="1">
      <c r="A117" s="1963"/>
      <c r="B117" s="837" t="s">
        <v>1259</v>
      </c>
      <c r="C117" s="438" t="s">
        <v>1192</v>
      </c>
      <c r="D117" s="838">
        <v>0.18044190240337196</v>
      </c>
      <c r="E117" s="840">
        <v>0.17718843092865247</v>
      </c>
      <c r="F117" s="840">
        <v>6.5616231422914407E-4</v>
      </c>
      <c r="G117" s="840">
        <v>2.5973091604903618E-3</v>
      </c>
      <c r="H117" s="838">
        <v>9.6510540384536617E-2</v>
      </c>
      <c r="I117" s="840">
        <v>9.3257068909817109E-2</v>
      </c>
      <c r="J117" s="840">
        <v>6.5616231422914407E-4</v>
      </c>
      <c r="K117" s="840">
        <v>2.5973091604903618E-3</v>
      </c>
      <c r="L117" s="227" t="s">
        <v>1257</v>
      </c>
      <c r="M117" s="2043"/>
      <c r="T117" s="455"/>
      <c r="U117" s="447"/>
    </row>
    <row r="118" spans="1:22" ht="15" customHeight="1">
      <c r="A118" s="1963"/>
      <c r="B118" s="438" t="s">
        <v>1260</v>
      </c>
      <c r="C118" s="438" t="s">
        <v>1192</v>
      </c>
      <c r="D118" s="838">
        <v>0.23948915707362997</v>
      </c>
      <c r="E118" s="840">
        <v>0.23517102957294633</v>
      </c>
      <c r="F118" s="840">
        <v>8.7088285728073437E-4</v>
      </c>
      <c r="G118" s="840">
        <v>3.4472446434029073E-3</v>
      </c>
      <c r="H118" s="838">
        <v>0.12809235359170804</v>
      </c>
      <c r="I118" s="840">
        <v>0.1237742260910244</v>
      </c>
      <c r="J118" s="840">
        <v>8.7088285728073437E-4</v>
      </c>
      <c r="K118" s="840">
        <v>3.4472446434029073E-3</v>
      </c>
      <c r="L118" s="227" t="s">
        <v>1257</v>
      </c>
      <c r="M118" s="2043"/>
      <c r="T118" s="455"/>
      <c r="U118" s="447"/>
    </row>
    <row r="119" spans="1:22" ht="15" customHeight="1">
      <c r="A119" s="2031"/>
      <c r="B119" s="438" t="s">
        <v>1261</v>
      </c>
      <c r="C119" s="438" t="s">
        <v>1192</v>
      </c>
      <c r="D119" s="838">
        <v>0.6696786425339365</v>
      </c>
      <c r="E119" s="840">
        <v>0.64701963800904971</v>
      </c>
      <c r="F119" s="840">
        <v>5.4799095022624433E-3</v>
      </c>
      <c r="G119" s="840">
        <v>1.7179095022624435E-2</v>
      </c>
      <c r="H119" s="838">
        <v>0.35246244343891403</v>
      </c>
      <c r="I119" s="840">
        <v>0.34053665158371044</v>
      </c>
      <c r="J119" s="840">
        <v>2.8841628959276021E-3</v>
      </c>
      <c r="K119" s="840">
        <v>9.0416289592760192E-3</v>
      </c>
      <c r="L119" s="227" t="s">
        <v>1257</v>
      </c>
      <c r="M119" s="2043"/>
      <c r="U119" s="447"/>
    </row>
    <row r="120" spans="1:22">
      <c r="A120" s="50"/>
      <c r="B120" s="50"/>
      <c r="C120" s="50"/>
      <c r="D120" s="50"/>
      <c r="E120" s="50"/>
      <c r="F120" s="50"/>
      <c r="G120" s="50"/>
      <c r="H120" s="50"/>
      <c r="I120" s="50"/>
    </row>
    <row r="121" spans="1:22">
      <c r="A121" s="50"/>
      <c r="B121" s="50"/>
      <c r="C121" s="50"/>
      <c r="D121" s="50"/>
      <c r="E121" s="50"/>
      <c r="F121" s="50"/>
      <c r="G121" s="50"/>
      <c r="H121" s="50"/>
      <c r="I121" s="50"/>
    </row>
    <row r="122" spans="1:22">
      <c r="A122" s="496" t="s">
        <v>1263</v>
      </c>
      <c r="B122" s="66"/>
      <c r="C122" s="66"/>
      <c r="D122" s="2036" t="s">
        <v>1253</v>
      </c>
      <c r="E122" s="2037"/>
      <c r="F122" s="2037"/>
      <c r="G122" s="2038"/>
      <c r="H122" s="2036" t="s">
        <v>1254</v>
      </c>
      <c r="I122" s="2037"/>
      <c r="J122" s="2037"/>
      <c r="K122" s="2038"/>
      <c r="L122" s="66"/>
      <c r="M122" s="2040"/>
      <c r="N122" s="2041"/>
    </row>
    <row r="123" spans="1:22" ht="18">
      <c r="A123" s="1900" t="s">
        <v>69</v>
      </c>
      <c r="B123" s="1901"/>
      <c r="C123" s="492" t="s">
        <v>70</v>
      </c>
      <c r="D123" s="834" t="s">
        <v>435</v>
      </c>
      <c r="E123" s="485" t="s">
        <v>436</v>
      </c>
      <c r="F123" s="485" t="s">
        <v>437</v>
      </c>
      <c r="G123" s="485" t="s">
        <v>438</v>
      </c>
      <c r="H123" s="834" t="s">
        <v>435</v>
      </c>
      <c r="I123" s="485" t="s">
        <v>436</v>
      </c>
      <c r="J123" s="485" t="s">
        <v>437</v>
      </c>
      <c r="K123" s="485" t="s">
        <v>438</v>
      </c>
      <c r="L123" s="492" t="s">
        <v>75</v>
      </c>
      <c r="M123" s="2029" t="s">
        <v>76</v>
      </c>
      <c r="N123" s="2030"/>
    </row>
    <row r="124" spans="1:22" ht="15" customHeight="1">
      <c r="A124" s="1962" t="s">
        <v>1264</v>
      </c>
      <c r="B124" s="169" t="s">
        <v>1265</v>
      </c>
      <c r="C124" s="169" t="s">
        <v>1192</v>
      </c>
      <c r="D124" s="1338">
        <v>0.15353000000000003</v>
      </c>
      <c r="E124" s="1339">
        <v>0.15276000000000001</v>
      </c>
      <c r="F124" s="1340">
        <v>1.0000000000000001E-5</v>
      </c>
      <c r="G124" s="1339">
        <v>7.6000000000000004E-4</v>
      </c>
      <c r="H124" s="1338">
        <v>8.1169999999999992E-2</v>
      </c>
      <c r="I124" s="1339">
        <v>8.0399999999999999E-2</v>
      </c>
      <c r="J124" s="1340">
        <v>1.0000000000000001E-5</v>
      </c>
      <c r="K124" s="1339">
        <v>7.6000000000000004E-4</v>
      </c>
      <c r="L124" s="218" t="s">
        <v>680</v>
      </c>
      <c r="M124" s="171" t="s">
        <v>1266</v>
      </c>
      <c r="N124" s="171"/>
      <c r="S124" s="455"/>
      <c r="T124" s="229"/>
      <c r="U124" s="447"/>
      <c r="V124" s="447"/>
    </row>
    <row r="125" spans="1:22" ht="15" customHeight="1">
      <c r="A125" s="1963"/>
      <c r="B125" s="169" t="s">
        <v>1267</v>
      </c>
      <c r="C125" s="169" t="s">
        <v>1192</v>
      </c>
      <c r="D125" s="1338">
        <v>0.15102000000000002</v>
      </c>
      <c r="E125" s="1339">
        <v>0.15026</v>
      </c>
      <c r="F125" s="1340">
        <v>1.0000000000000001E-5</v>
      </c>
      <c r="G125" s="1339">
        <v>7.5000000000000002E-4</v>
      </c>
      <c r="H125" s="1338">
        <v>7.9839999999999994E-2</v>
      </c>
      <c r="I125" s="1339">
        <v>7.9079999999999998E-2</v>
      </c>
      <c r="J125" s="1340">
        <v>1.0000000000000001E-5</v>
      </c>
      <c r="K125" s="1339">
        <v>7.5000000000000002E-4</v>
      </c>
      <c r="L125" s="218" t="s">
        <v>680</v>
      </c>
      <c r="M125" s="171" t="s">
        <v>1266</v>
      </c>
      <c r="N125" s="171"/>
      <c r="S125" s="455"/>
      <c r="T125" s="229"/>
      <c r="U125" s="447"/>
      <c r="V125" s="447"/>
    </row>
    <row r="126" spans="1:22" ht="15" customHeight="1">
      <c r="A126" s="2031"/>
      <c r="B126" s="169" t="s">
        <v>1268</v>
      </c>
      <c r="C126" s="169" t="s">
        <v>1192</v>
      </c>
      <c r="D126" s="1338">
        <v>0.22652000000000003</v>
      </c>
      <c r="E126" s="1339">
        <v>0.22539000000000001</v>
      </c>
      <c r="F126" s="1340">
        <v>1.0000000000000001E-5</v>
      </c>
      <c r="G126" s="1339">
        <v>1.1199999999999999E-3</v>
      </c>
      <c r="H126" s="1338">
        <v>0.11975999999999999</v>
      </c>
      <c r="I126" s="1339">
        <v>0.11863</v>
      </c>
      <c r="J126" s="1340">
        <v>1.0000000000000001E-5</v>
      </c>
      <c r="K126" s="1339">
        <v>1.1199999999999999E-3</v>
      </c>
      <c r="L126" s="218" t="s">
        <v>680</v>
      </c>
      <c r="M126" s="171" t="s">
        <v>1266</v>
      </c>
      <c r="N126" s="171"/>
      <c r="S126" s="455"/>
      <c r="T126" s="229"/>
      <c r="U126" s="447"/>
      <c r="V126" s="447"/>
    </row>
    <row r="127" spans="1:22" ht="15" customHeight="1">
      <c r="A127" s="1894" t="s">
        <v>1269</v>
      </c>
      <c r="B127" s="169" t="s">
        <v>1265</v>
      </c>
      <c r="C127" s="169" t="s">
        <v>1192</v>
      </c>
      <c r="D127" s="1338">
        <v>0.19309000000000001</v>
      </c>
      <c r="E127" s="1339">
        <v>0.19212000000000001</v>
      </c>
      <c r="F127" s="1340">
        <v>1.0000000000000001E-5</v>
      </c>
      <c r="G127" s="1339">
        <v>9.6000000000000002E-4</v>
      </c>
      <c r="H127" s="1338">
        <v>0.10208</v>
      </c>
      <c r="I127" s="1339">
        <v>0.10111000000000001</v>
      </c>
      <c r="J127" s="1340">
        <v>1.0000000000000001E-5</v>
      </c>
      <c r="K127" s="1339">
        <v>9.6000000000000002E-4</v>
      </c>
      <c r="L127" s="218" t="s">
        <v>680</v>
      </c>
      <c r="M127" s="171" t="s">
        <v>1266</v>
      </c>
      <c r="N127" s="171"/>
      <c r="S127" s="455"/>
      <c r="T127" s="229"/>
      <c r="U127" s="447"/>
      <c r="V127" s="447"/>
    </row>
    <row r="128" spans="1:22" ht="15" customHeight="1">
      <c r="A128" s="1894"/>
      <c r="B128" s="169" t="s">
        <v>1267</v>
      </c>
      <c r="C128" s="169" t="s">
        <v>1192</v>
      </c>
      <c r="D128" s="1338">
        <v>0.14787000000000003</v>
      </c>
      <c r="E128" s="1339">
        <v>0.14713000000000001</v>
      </c>
      <c r="F128" s="1340">
        <v>1.0000000000000001E-5</v>
      </c>
      <c r="G128" s="1339">
        <v>7.2999999999999996E-4</v>
      </c>
      <c r="H128" s="1338">
        <v>7.8179999999999986E-2</v>
      </c>
      <c r="I128" s="1339">
        <v>7.7439999999999995E-2</v>
      </c>
      <c r="J128" s="1340">
        <v>1.0000000000000001E-5</v>
      </c>
      <c r="K128" s="1339">
        <v>7.2999999999999996E-4</v>
      </c>
      <c r="L128" s="218" t="s">
        <v>680</v>
      </c>
      <c r="M128" s="171" t="s">
        <v>1266</v>
      </c>
      <c r="N128" s="171"/>
      <c r="S128" s="455"/>
      <c r="T128" s="229"/>
      <c r="U128" s="447"/>
      <c r="V128" s="447"/>
    </row>
    <row r="129" spans="1:60" ht="15" customHeight="1">
      <c r="A129" s="1894"/>
      <c r="B129" s="169" t="s">
        <v>1270</v>
      </c>
      <c r="C129" s="169" t="s">
        <v>1192</v>
      </c>
      <c r="D129" s="1338">
        <v>0.23659000000000002</v>
      </c>
      <c r="E129" s="1339">
        <v>0.23541000000000001</v>
      </c>
      <c r="F129" s="1340">
        <v>1.0000000000000001E-5</v>
      </c>
      <c r="G129" s="1339">
        <v>1.17E-3</v>
      </c>
      <c r="H129" s="1338">
        <v>0.12508</v>
      </c>
      <c r="I129" s="1339">
        <v>0.1239</v>
      </c>
      <c r="J129" s="1340">
        <v>1.0000000000000001E-5</v>
      </c>
      <c r="K129" s="1339">
        <v>1.17E-3</v>
      </c>
      <c r="L129" s="218" t="s">
        <v>680</v>
      </c>
      <c r="M129" s="171" t="s">
        <v>1266</v>
      </c>
      <c r="N129" s="171"/>
      <c r="S129" s="455"/>
      <c r="T129" s="229"/>
      <c r="U129" s="447"/>
      <c r="V129" s="447"/>
    </row>
    <row r="130" spans="1:60" ht="15" customHeight="1">
      <c r="A130" s="1894"/>
      <c r="B130" s="169" t="s">
        <v>1268</v>
      </c>
      <c r="C130" s="169" t="s">
        <v>1192</v>
      </c>
      <c r="D130" s="1338">
        <v>0.42882000000000003</v>
      </c>
      <c r="E130" s="1339">
        <v>0.42668</v>
      </c>
      <c r="F130" s="1340">
        <v>2.0000000000000002E-5</v>
      </c>
      <c r="G130" s="1339">
        <v>2.1199999999999999E-3</v>
      </c>
      <c r="H130" s="1338">
        <v>0.22670999999999999</v>
      </c>
      <c r="I130" s="1339">
        <v>0.22456999999999999</v>
      </c>
      <c r="J130" s="1340">
        <v>2.0000000000000002E-5</v>
      </c>
      <c r="K130" s="1339">
        <v>2.1199999999999999E-3</v>
      </c>
      <c r="L130" s="218" t="s">
        <v>680</v>
      </c>
      <c r="M130" s="171" t="s">
        <v>1266</v>
      </c>
      <c r="N130" s="171"/>
      <c r="S130" s="455"/>
      <c r="T130" s="229"/>
      <c r="U130" s="447"/>
      <c r="V130" s="447"/>
    </row>
    <row r="131" spans="1:60" ht="15" customHeight="1">
      <c r="A131" s="1894"/>
      <c r="B131" s="169" t="s">
        <v>1271</v>
      </c>
      <c r="C131" s="169" t="s">
        <v>1192</v>
      </c>
      <c r="D131" s="1338">
        <v>0.59147000000000005</v>
      </c>
      <c r="E131" s="1339">
        <v>0.58852000000000004</v>
      </c>
      <c r="F131" s="1340">
        <v>2.0000000000000002E-5</v>
      </c>
      <c r="G131" s="1339">
        <v>2.9299999999999999E-3</v>
      </c>
      <c r="H131" s="1338">
        <v>0.31270000000000003</v>
      </c>
      <c r="I131" s="1339">
        <v>0.30975000000000003</v>
      </c>
      <c r="J131" s="1340">
        <v>2.0000000000000002E-5</v>
      </c>
      <c r="K131" s="1339">
        <v>2.9299999999999999E-3</v>
      </c>
      <c r="L131" s="218" t="s">
        <v>680</v>
      </c>
      <c r="M131" s="171" t="s">
        <v>1266</v>
      </c>
      <c r="N131" s="171"/>
      <c r="S131" s="455"/>
      <c r="T131" s="229"/>
      <c r="U131" s="447"/>
      <c r="V131" s="447"/>
    </row>
    <row r="132" spans="1:60" ht="15" customHeight="1">
      <c r="A132" s="167"/>
      <c r="B132" s="50"/>
      <c r="C132" s="50"/>
      <c r="D132" s="50"/>
      <c r="E132" s="50"/>
      <c r="F132" s="50"/>
      <c r="G132" s="50"/>
      <c r="H132" s="50"/>
      <c r="I132" s="50"/>
    </row>
    <row r="133" spans="1:60" ht="15" customHeight="1">
      <c r="A133" s="167"/>
      <c r="B133" s="50"/>
      <c r="C133" s="50"/>
      <c r="D133" s="50"/>
      <c r="E133" s="50"/>
      <c r="F133" s="50"/>
      <c r="G133" s="50"/>
      <c r="H133" s="50"/>
      <c r="I133" s="50"/>
    </row>
    <row r="134" spans="1:60" ht="15" customHeight="1">
      <c r="A134" s="496" t="s">
        <v>1272</v>
      </c>
      <c r="B134" s="841"/>
      <c r="C134" s="381"/>
      <c r="D134" s="382"/>
      <c r="E134" s="382"/>
      <c r="F134" s="382"/>
      <c r="G134" s="382"/>
      <c r="H134" s="382"/>
      <c r="I134" s="382"/>
    </row>
    <row r="135" spans="1:60" ht="15" customHeight="1">
      <c r="A135" s="2032" t="s">
        <v>69</v>
      </c>
      <c r="B135" s="2033"/>
      <c r="C135" s="485" t="s">
        <v>70</v>
      </c>
      <c r="D135" s="834" t="s">
        <v>435</v>
      </c>
      <c r="E135" s="485" t="s">
        <v>436</v>
      </c>
      <c r="F135" s="485" t="s">
        <v>437</v>
      </c>
      <c r="G135" s="485" t="s">
        <v>438</v>
      </c>
      <c r="H135" s="487" t="s">
        <v>75</v>
      </c>
      <c r="I135" s="488" t="s">
        <v>76</v>
      </c>
    </row>
    <row r="136" spans="1:60" ht="15" customHeight="1">
      <c r="A136" s="2034" t="s">
        <v>1273</v>
      </c>
      <c r="B136" s="1762" t="s">
        <v>1274</v>
      </c>
      <c r="C136" s="1762" t="s">
        <v>725</v>
      </c>
      <c r="D136" s="1767">
        <v>480.185</v>
      </c>
      <c r="E136" s="1768">
        <v>463.99799999999999</v>
      </c>
      <c r="F136" s="1768">
        <v>3.2646999999999999</v>
      </c>
      <c r="G136" s="1768">
        <v>12.923</v>
      </c>
      <c r="H136" s="1765"/>
      <c r="I136" s="1765"/>
    </row>
    <row r="137" spans="1:60" ht="15" customHeight="1">
      <c r="A137" s="2035"/>
      <c r="B137" s="813" t="s">
        <v>1275</v>
      </c>
      <c r="C137" s="1762" t="s">
        <v>725</v>
      </c>
      <c r="D137" s="1767">
        <v>496.51799999999997</v>
      </c>
      <c r="E137" s="1769">
        <v>479.78</v>
      </c>
      <c r="F137" s="1770">
        <v>3.3757999999999999</v>
      </c>
      <c r="G137" s="1771">
        <v>13.362</v>
      </c>
      <c r="H137" s="1765"/>
      <c r="I137" s="1761"/>
    </row>
    <row r="138" spans="1:60" ht="15" customHeight="1">
      <c r="A138" s="2035"/>
      <c r="B138" s="813" t="s">
        <v>1276</v>
      </c>
      <c r="C138" s="1762" t="s">
        <v>725</v>
      </c>
      <c r="D138" s="1767">
        <v>191.01599999999999</v>
      </c>
      <c r="E138" s="1769">
        <v>184.357</v>
      </c>
      <c r="F138" s="1770">
        <v>1.343</v>
      </c>
      <c r="G138" s="1769">
        <v>5.3159999999999998</v>
      </c>
      <c r="H138" s="1765"/>
      <c r="I138" s="1761"/>
    </row>
    <row r="139" spans="1:60" ht="15" customHeight="1">
      <c r="A139" s="2035"/>
      <c r="B139" s="813" t="s">
        <v>1277</v>
      </c>
      <c r="C139" s="1762" t="s">
        <v>725</v>
      </c>
      <c r="D139" s="1767">
        <v>130.69499999999999</v>
      </c>
      <c r="E139" s="1769">
        <v>126.139</v>
      </c>
      <c r="F139" s="1770">
        <v>0.91890000000000005</v>
      </c>
      <c r="G139" s="1769">
        <v>3.637</v>
      </c>
      <c r="H139" s="1765"/>
      <c r="I139" s="1761"/>
    </row>
    <row r="140" spans="1:60" ht="15" customHeight="1">
      <c r="A140" s="2035"/>
      <c r="B140" s="813" t="s">
        <v>1278</v>
      </c>
      <c r="C140" s="1762" t="s">
        <v>725</v>
      </c>
      <c r="D140" s="1767">
        <v>329.923</v>
      </c>
      <c r="E140" s="1769">
        <v>318.80099999999999</v>
      </c>
      <c r="F140" s="1768">
        <v>2.2431000000000001</v>
      </c>
      <c r="G140" s="1768">
        <v>8.8789999999999996</v>
      </c>
      <c r="H140" s="1765"/>
      <c r="I140" s="1761"/>
    </row>
    <row r="141" spans="1:60" ht="15" customHeight="1">
      <c r="A141" s="167"/>
      <c r="B141" s="50"/>
      <c r="C141" s="50"/>
      <c r="D141" s="50"/>
      <c r="E141" s="50"/>
      <c r="F141" s="50"/>
      <c r="G141" s="50"/>
      <c r="H141" s="50"/>
      <c r="I141" s="50"/>
    </row>
    <row r="142" spans="1:60" ht="15" customHeight="1">
      <c r="A142" s="167"/>
      <c r="B142" s="50"/>
      <c r="C142" s="50"/>
      <c r="D142" s="50"/>
      <c r="E142" s="50"/>
      <c r="F142" s="50"/>
      <c r="G142" s="50"/>
      <c r="H142" s="50"/>
      <c r="I142" s="50"/>
    </row>
    <row r="143" spans="1:60" ht="15" customHeight="1">
      <c r="A143" s="1820" t="s">
        <v>1279</v>
      </c>
      <c r="B143" s="1820"/>
      <c r="C143" s="1820"/>
      <c r="D143" s="1820"/>
      <c r="E143" s="1820"/>
      <c r="F143" s="1820"/>
      <c r="G143" s="1820"/>
      <c r="H143" s="50"/>
      <c r="I143" s="50"/>
    </row>
    <row r="144" spans="1:60" s="195" customFormat="1" ht="18">
      <c r="A144" s="2027" t="s">
        <v>69</v>
      </c>
      <c r="B144" s="2028"/>
      <c r="C144" s="494" t="s">
        <v>70</v>
      </c>
      <c r="D144" s="834" t="s">
        <v>435</v>
      </c>
      <c r="E144" s="494" t="s">
        <v>75</v>
      </c>
      <c r="F144" s="2029" t="s">
        <v>76</v>
      </c>
      <c r="G144" s="2030"/>
      <c r="H144" s="50"/>
      <c r="I144" s="50"/>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row>
    <row r="145" spans="1:60" s="195" customFormat="1">
      <c r="A145" s="2044" t="s">
        <v>1280</v>
      </c>
      <c r="B145" s="384" t="s">
        <v>1281</v>
      </c>
      <c r="C145" s="198" t="s">
        <v>1282</v>
      </c>
      <c r="D145" s="1129">
        <v>50</v>
      </c>
      <c r="E145" s="197" t="s">
        <v>680</v>
      </c>
      <c r="F145" s="2021" t="s">
        <v>1283</v>
      </c>
      <c r="G145" s="2022"/>
      <c r="H145" s="50"/>
      <c r="I145" s="50"/>
      <c r="J145" s="428"/>
      <c r="K145" s="75"/>
      <c r="L145"/>
      <c r="M145"/>
      <c r="N145"/>
      <c r="O145"/>
      <c r="P145"/>
      <c r="Q145"/>
      <c r="R145"/>
      <c r="S145" s="458"/>
      <c r="T145" s="447"/>
      <c r="U145" s="460"/>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row>
    <row r="146" spans="1:60" s="195" customFormat="1">
      <c r="A146" s="2044"/>
      <c r="B146" s="384" t="s">
        <v>1284</v>
      </c>
      <c r="C146" s="198" t="s">
        <v>1282</v>
      </c>
      <c r="D146" s="1129">
        <v>35</v>
      </c>
      <c r="E146" s="197" t="s">
        <v>680</v>
      </c>
      <c r="F146" s="2021" t="s">
        <v>1283</v>
      </c>
      <c r="G146" s="2022"/>
      <c r="H146" s="50"/>
      <c r="I146" s="50"/>
      <c r="J146" s="428"/>
      <c r="K146" s="75"/>
      <c r="L146"/>
      <c r="M146"/>
      <c r="N146"/>
      <c r="O146"/>
      <c r="P146"/>
      <c r="Q146"/>
      <c r="R146"/>
      <c r="S146" s="458"/>
      <c r="T146" s="447"/>
      <c r="U146" s="460"/>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row>
    <row r="147" spans="1:60" s="195" customFormat="1">
      <c r="A147" s="2044"/>
      <c r="B147" s="384" t="s">
        <v>1285</v>
      </c>
      <c r="C147" s="198" t="s">
        <v>1282</v>
      </c>
      <c r="D147" s="1129">
        <v>11.9</v>
      </c>
      <c r="E147" s="197" t="s">
        <v>680</v>
      </c>
      <c r="F147" s="2021" t="s">
        <v>1283</v>
      </c>
      <c r="G147" s="2022"/>
      <c r="H147" s="50"/>
      <c r="I147" s="50"/>
      <c r="J147" s="428"/>
      <c r="K147" s="75"/>
      <c r="L147"/>
      <c r="M147"/>
      <c r="N147"/>
      <c r="O147"/>
      <c r="P147"/>
      <c r="Q147"/>
      <c r="R147"/>
      <c r="S147" s="458"/>
      <c r="T147" s="447"/>
      <c r="U147" s="460"/>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row>
    <row r="148" spans="1:60" s="195" customFormat="1">
      <c r="A148" s="2044"/>
      <c r="B148" s="384" t="s">
        <v>1286</v>
      </c>
      <c r="C148" s="198" t="s">
        <v>1282</v>
      </c>
      <c r="D148" s="1129">
        <v>12.2</v>
      </c>
      <c r="E148" s="197" t="s">
        <v>680</v>
      </c>
      <c r="F148" s="2021" t="s">
        <v>1283</v>
      </c>
      <c r="G148" s="2022"/>
      <c r="H148" s="50"/>
      <c r="I148" s="50"/>
      <c r="J148" s="428"/>
      <c r="K148" s="75"/>
      <c r="L148"/>
      <c r="M148"/>
      <c r="N148"/>
      <c r="O148"/>
      <c r="P148"/>
      <c r="Q148"/>
      <c r="R148"/>
      <c r="S148" s="458"/>
      <c r="T148" s="447"/>
      <c r="U148" s="460"/>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row>
    <row r="149" spans="1:60" s="195" customFormat="1">
      <c r="A149" s="2044"/>
      <c r="B149" s="384" t="s">
        <v>1287</v>
      </c>
      <c r="C149" s="198" t="s">
        <v>1282</v>
      </c>
      <c r="D149" s="1129">
        <v>8.6999999999999993</v>
      </c>
      <c r="E149" s="197" t="s">
        <v>680</v>
      </c>
      <c r="F149" s="2021" t="s">
        <v>1283</v>
      </c>
      <c r="G149" s="2022"/>
      <c r="H149" s="50"/>
      <c r="I149" s="50"/>
      <c r="J149" s="428"/>
      <c r="K149" s="75"/>
      <c r="L149"/>
      <c r="M149"/>
      <c r="N149"/>
      <c r="O149"/>
      <c r="P149"/>
      <c r="Q149"/>
      <c r="R149"/>
      <c r="S149" s="458"/>
      <c r="T149" s="447"/>
      <c r="U149" s="460"/>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row>
    <row r="150" spans="1:60" s="195" customFormat="1">
      <c r="A150" s="2044"/>
      <c r="B150" s="384" t="s">
        <v>1288</v>
      </c>
      <c r="C150" s="198" t="s">
        <v>1282</v>
      </c>
      <c r="D150" s="1129">
        <v>7.4</v>
      </c>
      <c r="E150" s="197" t="s">
        <v>680</v>
      </c>
      <c r="F150" s="2021" t="s">
        <v>1283</v>
      </c>
      <c r="G150" s="2022"/>
      <c r="H150" s="50"/>
      <c r="I150" s="50"/>
      <c r="J150" s="428"/>
      <c r="K150" s="75"/>
      <c r="L150"/>
      <c r="M150"/>
      <c r="N150"/>
      <c r="O150"/>
      <c r="P150"/>
      <c r="Q150"/>
      <c r="R150"/>
      <c r="S150" s="458"/>
      <c r="T150" s="447"/>
      <c r="U150" s="46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row>
    <row r="151" spans="1:60" s="195" customFormat="1">
      <c r="A151" s="2044"/>
      <c r="B151" s="384" t="s">
        <v>1289</v>
      </c>
      <c r="C151" s="198" t="s">
        <v>1282</v>
      </c>
      <c r="D151" s="1129">
        <v>61.1</v>
      </c>
      <c r="E151" s="197" t="s">
        <v>680</v>
      </c>
      <c r="F151" s="2021" t="s">
        <v>1283</v>
      </c>
      <c r="G151" s="2022"/>
      <c r="H151" s="50"/>
      <c r="I151" s="50"/>
      <c r="J151" s="428"/>
      <c r="K151" s="75"/>
      <c r="L151"/>
      <c r="M151"/>
      <c r="N151"/>
      <c r="O151"/>
      <c r="P151"/>
      <c r="Q151"/>
      <c r="R151"/>
      <c r="S151" s="458"/>
      <c r="T151" s="447"/>
      <c r="U151" s="460"/>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row>
    <row r="152" spans="1:60" s="195" customFormat="1">
      <c r="A152" s="2044"/>
      <c r="B152" s="384" t="s">
        <v>1290</v>
      </c>
      <c r="C152" s="198" t="s">
        <v>1282</v>
      </c>
      <c r="D152" s="1129">
        <v>27.6</v>
      </c>
      <c r="E152" s="197" t="s">
        <v>680</v>
      </c>
      <c r="F152" s="2021" t="s">
        <v>1283</v>
      </c>
      <c r="G152" s="2022"/>
      <c r="H152" s="50"/>
      <c r="I152" s="50"/>
      <c r="J152" s="428"/>
      <c r="K152" s="75"/>
      <c r="L152"/>
      <c r="M152"/>
      <c r="N152"/>
      <c r="O152"/>
      <c r="P152"/>
      <c r="Q152"/>
      <c r="R152"/>
      <c r="S152" s="458"/>
      <c r="T152" s="447"/>
      <c r="U152" s="460"/>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row>
    <row r="153" spans="1:60" s="195" customFormat="1">
      <c r="A153" s="2044"/>
      <c r="B153" s="384" t="s">
        <v>1291</v>
      </c>
      <c r="C153" s="198" t="s">
        <v>1282</v>
      </c>
      <c r="D153" s="1129">
        <v>53.5</v>
      </c>
      <c r="E153" s="197" t="s">
        <v>680</v>
      </c>
      <c r="F153" s="2021" t="s">
        <v>1283</v>
      </c>
      <c r="G153" s="2022"/>
      <c r="H153" s="50"/>
      <c r="I153" s="50"/>
      <c r="J153" s="428"/>
      <c r="K153" s="75"/>
      <c r="L153"/>
      <c r="M153"/>
      <c r="N153"/>
      <c r="O153"/>
      <c r="P153"/>
      <c r="Q153"/>
      <c r="R153"/>
      <c r="S153" s="458"/>
      <c r="T153" s="447"/>
      <c r="U153" s="460"/>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row>
    <row r="154" spans="1:60" s="195" customFormat="1">
      <c r="A154" s="2044"/>
      <c r="B154" s="384" t="s">
        <v>1292</v>
      </c>
      <c r="C154" s="198" t="s">
        <v>1282</v>
      </c>
      <c r="D154" s="1129">
        <v>14.7</v>
      </c>
      <c r="E154" s="197" t="s">
        <v>680</v>
      </c>
      <c r="F154" s="2021" t="s">
        <v>1283</v>
      </c>
      <c r="G154" s="2022"/>
      <c r="H154" s="50"/>
      <c r="I154" s="50"/>
      <c r="J154" s="428"/>
      <c r="K154" s="75"/>
      <c r="L154"/>
      <c r="M154"/>
      <c r="N154"/>
      <c r="O154"/>
      <c r="P154"/>
      <c r="Q154"/>
      <c r="R154"/>
      <c r="S154" s="458"/>
      <c r="T154" s="447"/>
      <c r="U154" s="460"/>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row>
    <row r="155" spans="1:60" s="195" customFormat="1">
      <c r="A155" s="2044"/>
      <c r="B155" s="384" t="s">
        <v>1293</v>
      </c>
      <c r="C155" s="198" t="s">
        <v>1282</v>
      </c>
      <c r="D155" s="1129">
        <v>4.7</v>
      </c>
      <c r="E155" s="197" t="s">
        <v>680</v>
      </c>
      <c r="F155" s="2021" t="s">
        <v>1283</v>
      </c>
      <c r="G155" s="2022"/>
      <c r="H155" s="50"/>
      <c r="I155" s="50"/>
      <c r="J155" s="428"/>
      <c r="K155" s="75"/>
      <c r="L155"/>
      <c r="M155"/>
      <c r="N155"/>
      <c r="O155"/>
      <c r="P155"/>
      <c r="Q155"/>
      <c r="R155"/>
      <c r="S155" s="458"/>
      <c r="T155" s="447"/>
      <c r="U155" s="460"/>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row>
    <row r="156" spans="1:60" s="195" customFormat="1">
      <c r="A156" s="2044"/>
      <c r="B156" s="384" t="s">
        <v>1294</v>
      </c>
      <c r="C156" s="198" t="s">
        <v>1282</v>
      </c>
      <c r="D156" s="1129">
        <v>31.8</v>
      </c>
      <c r="E156" s="197" t="s">
        <v>680</v>
      </c>
      <c r="F156" s="2021" t="s">
        <v>1283</v>
      </c>
      <c r="G156" s="2022"/>
      <c r="H156" s="50"/>
      <c r="I156" s="50"/>
      <c r="J156"/>
      <c r="K156" s="75"/>
      <c r="L156"/>
      <c r="M156"/>
      <c r="N156"/>
      <c r="O156"/>
      <c r="P156"/>
      <c r="Q156"/>
      <c r="R156"/>
      <c r="S156" s="458"/>
      <c r="T156" s="447"/>
      <c r="U156" s="460"/>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row>
    <row r="157" spans="1:60" s="195" customFormat="1">
      <c r="A157" s="2044"/>
      <c r="B157" s="384" t="s">
        <v>1295</v>
      </c>
      <c r="C157" s="198" t="s">
        <v>1282</v>
      </c>
      <c r="D157" s="1129">
        <v>44.2</v>
      </c>
      <c r="E157" s="197" t="s">
        <v>680</v>
      </c>
      <c r="F157" s="2021" t="s">
        <v>1283</v>
      </c>
      <c r="G157" s="2022"/>
      <c r="H157" s="50"/>
      <c r="I157" s="50"/>
      <c r="J157" s="428"/>
      <c r="K157" s="75"/>
      <c r="L157"/>
      <c r="M157"/>
      <c r="N157"/>
      <c r="O157"/>
      <c r="P157"/>
      <c r="Q157"/>
      <c r="R157"/>
      <c r="S157" s="458"/>
      <c r="T157" s="447"/>
      <c r="U157" s="460"/>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row>
    <row r="158" spans="1:60" s="195" customFormat="1">
      <c r="A158" s="2044"/>
      <c r="B158" s="1220" t="s">
        <v>1296</v>
      </c>
      <c r="C158" s="198" t="s">
        <v>1282</v>
      </c>
      <c r="D158" s="1129">
        <v>54.8</v>
      </c>
      <c r="E158" s="197" t="s">
        <v>680</v>
      </c>
      <c r="F158" s="2021" t="s">
        <v>1283</v>
      </c>
      <c r="G158" s="2022"/>
      <c r="H158" s="50"/>
      <c r="I158" s="50"/>
      <c r="J158" s="428"/>
      <c r="K158" s="75"/>
      <c r="L158"/>
      <c r="M158"/>
      <c r="N158"/>
      <c r="O158"/>
      <c r="P158"/>
      <c r="Q158"/>
      <c r="R158"/>
      <c r="S158" s="458"/>
      <c r="T158" s="447"/>
      <c r="U158" s="460"/>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row>
    <row r="159" spans="1:60" s="195" customFormat="1">
      <c r="A159" s="2044"/>
      <c r="B159" s="384" t="s">
        <v>1297</v>
      </c>
      <c r="C159" s="198" t="s">
        <v>1282</v>
      </c>
      <c r="D159" s="1129">
        <v>11.1</v>
      </c>
      <c r="E159" s="197" t="s">
        <v>680</v>
      </c>
      <c r="F159" s="2021" t="s">
        <v>1283</v>
      </c>
      <c r="G159" s="2022"/>
      <c r="H159" s="50"/>
      <c r="I159" s="50"/>
      <c r="J159" s="428"/>
      <c r="K159" s="75"/>
      <c r="L159"/>
      <c r="M159"/>
      <c r="N159"/>
      <c r="O159"/>
      <c r="P159"/>
      <c r="Q159"/>
      <c r="R159"/>
      <c r="S159" s="458"/>
      <c r="T159" s="447"/>
      <c r="U159" s="460"/>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row>
    <row r="160" spans="1:60" s="195" customFormat="1">
      <c r="A160" s="2044"/>
      <c r="B160" s="384" t="s">
        <v>1298</v>
      </c>
      <c r="C160" s="198" t="s">
        <v>1282</v>
      </c>
      <c r="D160" s="1129">
        <v>6.7</v>
      </c>
      <c r="E160" s="197" t="s">
        <v>680</v>
      </c>
      <c r="F160" s="2021" t="s">
        <v>1283</v>
      </c>
      <c r="G160" s="2022"/>
      <c r="H160" s="50"/>
      <c r="I160" s="50"/>
      <c r="J160" s="428"/>
      <c r="K160" s="75"/>
      <c r="L160"/>
      <c r="M160"/>
      <c r="N160"/>
      <c r="O160"/>
      <c r="P160"/>
      <c r="Q160"/>
      <c r="R160"/>
      <c r="S160" s="458"/>
      <c r="T160" s="447"/>
      <c r="U160" s="4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row>
    <row r="161" spans="1:60" s="195" customFormat="1">
      <c r="A161" s="2044"/>
      <c r="B161" s="384" t="s">
        <v>1299</v>
      </c>
      <c r="C161" s="198" t="s">
        <v>1282</v>
      </c>
      <c r="D161" s="1129">
        <v>73</v>
      </c>
      <c r="E161" s="197" t="s">
        <v>680</v>
      </c>
      <c r="F161" s="2021" t="s">
        <v>1283</v>
      </c>
      <c r="G161" s="2022"/>
      <c r="H161" s="50"/>
      <c r="I161" s="50"/>
      <c r="J161" s="428"/>
      <c r="K161" s="75"/>
      <c r="L161"/>
      <c r="M161"/>
      <c r="N161"/>
      <c r="O161"/>
      <c r="P161"/>
      <c r="Q161"/>
      <c r="R161"/>
      <c r="S161" s="458"/>
      <c r="T161" s="447"/>
      <c r="U161" s="460"/>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row>
    <row r="162" spans="1:60" s="195" customFormat="1">
      <c r="A162" s="2044"/>
      <c r="B162" s="384" t="s">
        <v>1300</v>
      </c>
      <c r="C162" s="198" t="s">
        <v>1282</v>
      </c>
      <c r="D162" s="1129">
        <v>13.2</v>
      </c>
      <c r="E162" s="197" t="s">
        <v>680</v>
      </c>
      <c r="F162" s="2021" t="s">
        <v>1283</v>
      </c>
      <c r="G162" s="2022"/>
      <c r="H162" s="50"/>
      <c r="I162" s="50"/>
      <c r="J162" s="428"/>
      <c r="K162" s="75"/>
      <c r="L162"/>
      <c r="M162"/>
      <c r="N162"/>
      <c r="O162"/>
      <c r="P162"/>
      <c r="Q162"/>
      <c r="R162"/>
      <c r="S162" s="458"/>
      <c r="T162" s="447"/>
      <c r="U162" s="460"/>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row>
    <row r="163" spans="1:60" s="195" customFormat="1">
      <c r="A163" s="2044"/>
      <c r="B163" s="1220" t="s">
        <v>1301</v>
      </c>
      <c r="C163" s="198" t="s">
        <v>1282</v>
      </c>
      <c r="D163" s="1129">
        <v>42.8</v>
      </c>
      <c r="E163" s="197" t="s">
        <v>680</v>
      </c>
      <c r="F163" s="2021" t="s">
        <v>1283</v>
      </c>
      <c r="G163" s="2022"/>
      <c r="H163" s="50"/>
      <c r="I163" s="50"/>
      <c r="J163" s="428"/>
      <c r="K163" s="75"/>
      <c r="L163"/>
      <c r="M163"/>
      <c r="N163"/>
      <c r="O163"/>
      <c r="P163"/>
      <c r="Q163"/>
      <c r="R163"/>
      <c r="S163" s="458"/>
      <c r="T163" s="447"/>
      <c r="U163" s="460"/>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row>
    <row r="164" spans="1:60" s="195" customFormat="1">
      <c r="A164" s="2044"/>
      <c r="B164" s="1220" t="s">
        <v>1302</v>
      </c>
      <c r="C164" s="198" t="s">
        <v>1282</v>
      </c>
      <c r="D164" s="1129">
        <v>51.5</v>
      </c>
      <c r="E164" s="197" t="s">
        <v>680</v>
      </c>
      <c r="F164" s="2021" t="s">
        <v>1283</v>
      </c>
      <c r="G164" s="2022"/>
      <c r="H164" s="50"/>
      <c r="I164" s="50"/>
      <c r="J164" s="428"/>
      <c r="K164" s="75"/>
      <c r="L164"/>
      <c r="M164"/>
      <c r="N164"/>
      <c r="O164"/>
      <c r="P164"/>
      <c r="Q164"/>
      <c r="R164"/>
      <c r="S164" s="458"/>
      <c r="T164" s="447"/>
      <c r="U164" s="460"/>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row>
    <row r="165" spans="1:60" s="195" customFormat="1">
      <c r="A165" s="2044"/>
      <c r="B165" s="1220" t="s">
        <v>1303</v>
      </c>
      <c r="C165" s="198" t="s">
        <v>1282</v>
      </c>
      <c r="D165" s="1129">
        <v>22</v>
      </c>
      <c r="E165" s="197" t="s">
        <v>680</v>
      </c>
      <c r="F165" s="2021" t="s">
        <v>1283</v>
      </c>
      <c r="G165" s="2022"/>
      <c r="H165" s="50"/>
      <c r="I165" s="50"/>
      <c r="J165" s="428"/>
      <c r="K165" s="75"/>
      <c r="L165"/>
      <c r="M165"/>
      <c r="N165"/>
      <c r="O165"/>
      <c r="P165"/>
      <c r="Q165"/>
      <c r="R165"/>
      <c r="S165" s="458"/>
      <c r="T165" s="447"/>
      <c r="U165" s="460"/>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row>
    <row r="166" spans="1:60" s="195" customFormat="1">
      <c r="A166" s="2044"/>
      <c r="B166" s="384" t="s">
        <v>1304</v>
      </c>
      <c r="C166" s="198" t="s">
        <v>1282</v>
      </c>
      <c r="D166" s="1129">
        <v>58.9</v>
      </c>
      <c r="E166" s="197" t="s">
        <v>680</v>
      </c>
      <c r="F166" s="2021" t="s">
        <v>1283</v>
      </c>
      <c r="G166" s="2022"/>
      <c r="H166" s="50"/>
      <c r="I166" s="50"/>
      <c r="J166" s="428"/>
      <c r="K166" s="75"/>
      <c r="L166"/>
      <c r="M166"/>
      <c r="N166"/>
      <c r="O166"/>
      <c r="P166"/>
      <c r="Q166"/>
      <c r="R166"/>
      <c r="S166" s="458"/>
      <c r="T166" s="447"/>
      <c r="U166" s="460"/>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row>
    <row r="167" spans="1:60" s="195" customFormat="1">
      <c r="A167" s="2044"/>
      <c r="B167" s="384" t="s">
        <v>1305</v>
      </c>
      <c r="C167" s="198" t="s">
        <v>1282</v>
      </c>
      <c r="D167" s="1129">
        <v>62.7</v>
      </c>
      <c r="E167" s="197" t="s">
        <v>680</v>
      </c>
      <c r="F167" s="2021" t="s">
        <v>1283</v>
      </c>
      <c r="G167" s="2022"/>
      <c r="H167" s="50"/>
      <c r="I167" s="50"/>
      <c r="J167" s="428"/>
      <c r="K167" s="75"/>
      <c r="L167"/>
      <c r="M167"/>
      <c r="N167"/>
      <c r="O167"/>
      <c r="P167"/>
      <c r="Q167"/>
      <c r="R167"/>
      <c r="S167" s="458"/>
      <c r="T167" s="447"/>
      <c r="U167" s="460"/>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row>
    <row r="168" spans="1:60" s="195" customFormat="1">
      <c r="A168" s="2044"/>
      <c r="B168" s="384" t="s">
        <v>1306</v>
      </c>
      <c r="C168" s="198" t="s">
        <v>1282</v>
      </c>
      <c r="D168" s="1129">
        <v>23.9</v>
      </c>
      <c r="E168" s="197" t="s">
        <v>680</v>
      </c>
      <c r="F168" s="2021" t="s">
        <v>1283</v>
      </c>
      <c r="G168" s="2022"/>
      <c r="H168" s="50"/>
      <c r="I168" s="50"/>
      <c r="J168" s="428"/>
      <c r="K168" s="75"/>
      <c r="L168"/>
      <c r="M168"/>
      <c r="N168"/>
      <c r="O168"/>
      <c r="P168"/>
      <c r="Q168"/>
      <c r="R168"/>
      <c r="S168" s="458"/>
      <c r="T168" s="447"/>
      <c r="U168" s="460"/>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row>
    <row r="169" spans="1:60" s="195" customFormat="1">
      <c r="A169" s="2044"/>
      <c r="B169" s="1220" t="s">
        <v>1307</v>
      </c>
      <c r="C169" s="198" t="s">
        <v>1282</v>
      </c>
      <c r="D169" s="1129">
        <v>51.8</v>
      </c>
      <c r="E169" s="197" t="s">
        <v>680</v>
      </c>
      <c r="F169" s="2021" t="s">
        <v>1283</v>
      </c>
      <c r="G169" s="2022"/>
      <c r="H169" s="50"/>
      <c r="I169" s="50"/>
      <c r="J169" s="428"/>
      <c r="K169" s="75"/>
      <c r="L169"/>
      <c r="M169"/>
      <c r="N169"/>
      <c r="O169"/>
      <c r="P169"/>
      <c r="Q169"/>
      <c r="R169"/>
      <c r="S169" s="458"/>
      <c r="T169" s="447"/>
      <c r="U169" s="460"/>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row>
    <row r="170" spans="1:60" s="195" customFormat="1">
      <c r="A170" s="2044"/>
      <c r="B170" s="384" t="s">
        <v>1308</v>
      </c>
      <c r="C170" s="198" t="s">
        <v>1282</v>
      </c>
      <c r="D170" s="1129">
        <v>14.3</v>
      </c>
      <c r="E170" s="197" t="s">
        <v>680</v>
      </c>
      <c r="F170" s="2021" t="s">
        <v>1283</v>
      </c>
      <c r="G170" s="2022"/>
      <c r="H170" s="50"/>
      <c r="I170" s="50"/>
      <c r="J170" s="428"/>
      <c r="K170" s="75"/>
      <c r="L170"/>
      <c r="M170"/>
      <c r="N170"/>
      <c r="O170"/>
      <c r="P170"/>
      <c r="Q170"/>
      <c r="R170"/>
      <c r="S170" s="458"/>
      <c r="T170" s="447"/>
      <c r="U170" s="46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row>
    <row r="171" spans="1:60" s="195" customFormat="1">
      <c r="A171" s="2044"/>
      <c r="B171" s="384" t="s">
        <v>1309</v>
      </c>
      <c r="C171" s="198" t="s">
        <v>1282</v>
      </c>
      <c r="D171" s="1129">
        <v>39</v>
      </c>
      <c r="E171" s="197" t="s">
        <v>680</v>
      </c>
      <c r="F171" s="2021" t="s">
        <v>1283</v>
      </c>
      <c r="G171" s="2022"/>
      <c r="H171" s="50"/>
      <c r="I171" s="50"/>
      <c r="J171" s="428"/>
      <c r="K171" s="75"/>
      <c r="L171"/>
      <c r="M171"/>
      <c r="N171"/>
      <c r="O171"/>
      <c r="P171"/>
      <c r="Q171"/>
      <c r="R171"/>
      <c r="S171" s="458"/>
      <c r="T171" s="447"/>
      <c r="U171" s="460"/>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row>
    <row r="172" spans="1:60" s="195" customFormat="1">
      <c r="A172" s="2044"/>
      <c r="B172" s="384" t="s">
        <v>1310</v>
      </c>
      <c r="C172" s="198" t="s">
        <v>1282</v>
      </c>
      <c r="D172" s="1129">
        <v>68.900000000000006</v>
      </c>
      <c r="E172" s="197" t="s">
        <v>680</v>
      </c>
      <c r="F172" s="2021" t="s">
        <v>1283</v>
      </c>
      <c r="G172" s="2022"/>
      <c r="H172" s="50"/>
      <c r="I172" s="50"/>
      <c r="J172" s="428"/>
      <c r="K172" s="75"/>
      <c r="L172"/>
      <c r="M172"/>
      <c r="N172"/>
      <c r="O172"/>
      <c r="P172"/>
      <c r="Q172"/>
      <c r="R172"/>
      <c r="S172" s="458"/>
      <c r="T172" s="447"/>
      <c r="U172" s="460"/>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row>
    <row r="173" spans="1:60" s="195" customFormat="1">
      <c r="A173" s="2044"/>
      <c r="B173" s="1220" t="s">
        <v>1311</v>
      </c>
      <c r="C173" s="198" t="s">
        <v>1282</v>
      </c>
      <c r="D173" s="1129">
        <v>105.7</v>
      </c>
      <c r="E173" s="197" t="s">
        <v>680</v>
      </c>
      <c r="F173" s="2021" t="s">
        <v>1283</v>
      </c>
      <c r="G173" s="2022"/>
      <c r="H173" s="50"/>
      <c r="I173" s="50"/>
      <c r="J173" s="428"/>
      <c r="K173" s="75"/>
      <c r="L173"/>
      <c r="M173"/>
      <c r="N173"/>
      <c r="O173"/>
      <c r="P173"/>
      <c r="Q173"/>
      <c r="R173"/>
      <c r="S173" s="458"/>
      <c r="T173" s="447"/>
      <c r="U173" s="460"/>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row>
    <row r="174" spans="1:60" s="195" customFormat="1">
      <c r="A174" s="2044"/>
      <c r="B174" s="1220" t="s">
        <v>1312</v>
      </c>
      <c r="C174" s="198" t="s">
        <v>1282</v>
      </c>
      <c r="D174" s="1129">
        <v>61.8</v>
      </c>
      <c r="E174" s="197" t="s">
        <v>680</v>
      </c>
      <c r="F174" s="2021" t="s">
        <v>1283</v>
      </c>
      <c r="G174" s="2022"/>
      <c r="H174" s="50"/>
      <c r="I174" s="50"/>
      <c r="J174" s="428"/>
      <c r="K174" s="75"/>
      <c r="L174"/>
      <c r="M174"/>
      <c r="N174"/>
      <c r="O174"/>
      <c r="P174"/>
      <c r="Q174"/>
      <c r="R174"/>
      <c r="S174" s="458"/>
      <c r="T174" s="447"/>
      <c r="U174" s="460"/>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row>
    <row r="175" spans="1:60" s="195" customFormat="1">
      <c r="A175" s="2044"/>
      <c r="B175" s="384" t="s">
        <v>1313</v>
      </c>
      <c r="C175" s="198" t="s">
        <v>1282</v>
      </c>
      <c r="D175" s="1129">
        <v>61.5</v>
      </c>
      <c r="E175" s="197" t="s">
        <v>680</v>
      </c>
      <c r="F175" s="2021" t="s">
        <v>1283</v>
      </c>
      <c r="G175" s="2022"/>
      <c r="H175" s="50"/>
      <c r="I175" s="50"/>
      <c r="J175" s="428"/>
      <c r="K175" s="75"/>
      <c r="L175"/>
      <c r="M175"/>
      <c r="N175"/>
      <c r="O175"/>
      <c r="P175"/>
      <c r="Q175"/>
      <c r="R175"/>
      <c r="S175" s="458"/>
      <c r="T175" s="447"/>
      <c r="U175" s="460"/>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row>
    <row r="176" spans="1:60" s="195" customFormat="1">
      <c r="A176" s="2044"/>
      <c r="B176" s="384" t="s">
        <v>1314</v>
      </c>
      <c r="C176" s="198" t="s">
        <v>1282</v>
      </c>
      <c r="D176" s="1129">
        <v>152.19999999999999</v>
      </c>
      <c r="E176" s="197" t="s">
        <v>680</v>
      </c>
      <c r="F176" s="2021" t="s">
        <v>1283</v>
      </c>
      <c r="G176" s="2022"/>
      <c r="H176" s="50"/>
      <c r="I176" s="50"/>
      <c r="J176" s="428"/>
      <c r="K176" s="75"/>
      <c r="L176"/>
      <c r="M176"/>
      <c r="N176"/>
      <c r="O176"/>
      <c r="P176"/>
      <c r="Q176"/>
      <c r="R176"/>
      <c r="S176" s="458"/>
      <c r="T176" s="447"/>
      <c r="U176" s="460"/>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row>
    <row r="177" spans="1:60" s="195" customFormat="1">
      <c r="A177" s="2044"/>
      <c r="B177" s="384" t="s">
        <v>1315</v>
      </c>
      <c r="C177" s="198" t="s">
        <v>1282</v>
      </c>
      <c r="D177" s="1129">
        <v>19.3</v>
      </c>
      <c r="E177" s="197" t="s">
        <v>680</v>
      </c>
      <c r="F177" s="2021" t="s">
        <v>1283</v>
      </c>
      <c r="G177" s="2022"/>
      <c r="H177" s="50"/>
      <c r="I177" s="50"/>
      <c r="J177" s="428"/>
      <c r="K177" s="75"/>
      <c r="L177"/>
      <c r="M177"/>
      <c r="N177"/>
      <c r="O177"/>
      <c r="P177"/>
      <c r="Q177"/>
      <c r="R177"/>
      <c r="S177" s="458"/>
      <c r="T177" s="447"/>
      <c r="U177" s="460"/>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row>
    <row r="178" spans="1:60" s="195" customFormat="1">
      <c r="A178" s="2044"/>
      <c r="B178" s="1220" t="s">
        <v>1316</v>
      </c>
      <c r="C178" s="198" t="s">
        <v>1282</v>
      </c>
      <c r="D178" s="1129">
        <v>104</v>
      </c>
      <c r="E178" s="197" t="s">
        <v>680</v>
      </c>
      <c r="F178" s="2021" t="s">
        <v>1283</v>
      </c>
      <c r="G178" s="2022"/>
      <c r="H178" s="50"/>
      <c r="I178" s="50"/>
      <c r="J178" s="428"/>
      <c r="K178" s="75"/>
      <c r="L178"/>
      <c r="M178"/>
      <c r="N178"/>
      <c r="O178"/>
      <c r="P178"/>
      <c r="Q178"/>
      <c r="R178"/>
      <c r="S178" s="458"/>
      <c r="T178" s="447"/>
      <c r="U178" s="460"/>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row>
    <row r="179" spans="1:60" s="195" customFormat="1">
      <c r="A179" s="2044"/>
      <c r="B179" s="384" t="s">
        <v>1317</v>
      </c>
      <c r="C179" s="198" t="s">
        <v>1282</v>
      </c>
      <c r="D179" s="1129">
        <v>14.8</v>
      </c>
      <c r="E179" s="197" t="s">
        <v>680</v>
      </c>
      <c r="F179" s="2021" t="s">
        <v>1283</v>
      </c>
      <c r="G179" s="2022"/>
      <c r="H179" s="50"/>
      <c r="I179" s="50"/>
      <c r="J179" s="428"/>
      <c r="K179" s="75"/>
      <c r="L179"/>
      <c r="M179"/>
      <c r="N179"/>
      <c r="O179"/>
      <c r="P179"/>
      <c r="Q179"/>
      <c r="R179"/>
      <c r="S179" s="458"/>
      <c r="T179" s="447"/>
      <c r="U179" s="460"/>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row>
    <row r="180" spans="1:60" s="195" customFormat="1">
      <c r="A180" s="2044"/>
      <c r="B180" s="384" t="s">
        <v>1318</v>
      </c>
      <c r="C180" s="198" t="s">
        <v>1282</v>
      </c>
      <c r="D180" s="1129">
        <v>9.4</v>
      </c>
      <c r="E180" s="197" t="s">
        <v>680</v>
      </c>
      <c r="F180" s="2021" t="s">
        <v>1283</v>
      </c>
      <c r="G180" s="2022"/>
      <c r="H180" s="50"/>
      <c r="I180" s="50"/>
      <c r="J180" s="428"/>
      <c r="K180" s="75"/>
      <c r="L180"/>
      <c r="M180"/>
      <c r="N180"/>
      <c r="O180"/>
      <c r="P180"/>
      <c r="Q180"/>
      <c r="R180"/>
      <c r="S180" s="458"/>
      <c r="T180" s="447"/>
      <c r="U180" s="46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row>
    <row r="181" spans="1:60" s="195" customFormat="1">
      <c r="A181" s="2044"/>
      <c r="B181" s="384" t="s">
        <v>1319</v>
      </c>
      <c r="C181" s="198" t="s">
        <v>1282</v>
      </c>
      <c r="D181" s="1129">
        <v>117.3</v>
      </c>
      <c r="E181" s="197" t="s">
        <v>680</v>
      </c>
      <c r="F181" s="2021" t="s">
        <v>1283</v>
      </c>
      <c r="G181" s="2022"/>
      <c r="H181" s="50"/>
      <c r="I181" s="50"/>
      <c r="J181" s="428"/>
      <c r="K181" s="75"/>
      <c r="L181"/>
      <c r="M181"/>
      <c r="N181"/>
      <c r="O181"/>
      <c r="P181"/>
      <c r="Q181"/>
      <c r="R181"/>
      <c r="S181" s="458"/>
      <c r="T181" s="447"/>
      <c r="U181" s="460"/>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row>
    <row r="182" spans="1:60" s="195" customFormat="1">
      <c r="A182" s="2044"/>
      <c r="B182" s="384" t="s">
        <v>1320</v>
      </c>
      <c r="C182" s="198" t="s">
        <v>1282</v>
      </c>
      <c r="D182" s="1129">
        <v>23.7</v>
      </c>
      <c r="E182" s="197" t="s">
        <v>680</v>
      </c>
      <c r="F182" s="2021" t="s">
        <v>1283</v>
      </c>
      <c r="G182" s="2022"/>
      <c r="H182" s="50"/>
      <c r="I182" s="50"/>
      <c r="J182" s="428"/>
      <c r="K182" s="75"/>
      <c r="L182"/>
      <c r="M182"/>
      <c r="N182"/>
      <c r="O182"/>
      <c r="P182"/>
      <c r="Q182"/>
      <c r="R182"/>
      <c r="S182" s="458"/>
      <c r="T182" s="447"/>
      <c r="U182" s="460"/>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row>
    <row r="183" spans="1:60" s="195" customFormat="1">
      <c r="A183" s="2044"/>
      <c r="B183" s="1220" t="s">
        <v>1321</v>
      </c>
      <c r="C183" s="198" t="s">
        <v>1282</v>
      </c>
      <c r="D183" s="1129">
        <v>29.9</v>
      </c>
      <c r="E183" s="197" t="s">
        <v>680</v>
      </c>
      <c r="F183" s="2021" t="s">
        <v>1283</v>
      </c>
      <c r="G183" s="2022"/>
      <c r="H183" s="50"/>
      <c r="I183" s="50"/>
      <c r="J183" s="428"/>
      <c r="K183" s="75"/>
      <c r="L183"/>
      <c r="M183"/>
      <c r="N183"/>
      <c r="O183"/>
      <c r="P183"/>
      <c r="Q183"/>
      <c r="R183"/>
      <c r="S183" s="458"/>
      <c r="T183" s="447"/>
      <c r="U183" s="460"/>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row>
    <row r="184" spans="1:60" s="195" customFormat="1">
      <c r="A184" s="2044"/>
      <c r="B184" s="384" t="s">
        <v>1322</v>
      </c>
      <c r="C184" s="198" t="s">
        <v>1282</v>
      </c>
      <c r="D184" s="1129">
        <v>54.3</v>
      </c>
      <c r="E184" s="197" t="s">
        <v>680</v>
      </c>
      <c r="F184" s="2021" t="s">
        <v>1283</v>
      </c>
      <c r="G184" s="2022"/>
      <c r="H184" s="50"/>
      <c r="I184" s="50"/>
      <c r="J184" s="428"/>
      <c r="K184" s="75"/>
      <c r="L184"/>
      <c r="M184"/>
      <c r="N184"/>
      <c r="O184"/>
      <c r="P184"/>
      <c r="Q184"/>
      <c r="R184"/>
      <c r="S184" s="458"/>
      <c r="T184" s="447"/>
      <c r="U184" s="460"/>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row>
    <row r="185" spans="1:60" s="195" customFormat="1">
      <c r="A185" s="2044"/>
      <c r="B185" s="384" t="s">
        <v>1323</v>
      </c>
      <c r="C185" s="198" t="s">
        <v>1282</v>
      </c>
      <c r="D185" s="1129">
        <v>35.799999999999997</v>
      </c>
      <c r="E185" s="197" t="s">
        <v>680</v>
      </c>
      <c r="F185" s="2021" t="s">
        <v>1283</v>
      </c>
      <c r="G185" s="2022"/>
      <c r="H185" s="50"/>
      <c r="I185" s="50"/>
      <c r="J185" s="428"/>
      <c r="K185" s="75"/>
      <c r="L185"/>
      <c r="M185"/>
      <c r="N185"/>
      <c r="O185"/>
      <c r="P185"/>
      <c r="Q185"/>
      <c r="R185"/>
      <c r="S185" s="458"/>
      <c r="T185" s="447"/>
      <c r="U185" s="460"/>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row>
    <row r="186" spans="1:60" s="195" customFormat="1">
      <c r="A186" s="2044"/>
      <c r="B186" s="384" t="s">
        <v>1324</v>
      </c>
      <c r="C186" s="198" t="s">
        <v>1282</v>
      </c>
      <c r="D186" s="1129">
        <v>19</v>
      </c>
      <c r="E186" s="197" t="s">
        <v>680</v>
      </c>
      <c r="F186" s="2021" t="s">
        <v>1283</v>
      </c>
      <c r="G186" s="2022"/>
      <c r="H186" s="50"/>
      <c r="I186" s="50"/>
      <c r="J186" s="428"/>
      <c r="K186" s="75"/>
      <c r="L186"/>
      <c r="M186"/>
      <c r="N186"/>
      <c r="O186"/>
      <c r="P186"/>
      <c r="Q186"/>
      <c r="R186"/>
      <c r="S186" s="458"/>
      <c r="T186" s="447"/>
      <c r="U186" s="460"/>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row>
    <row r="187" spans="1:60" s="195" customFormat="1">
      <c r="A187" s="2044"/>
      <c r="B187" s="384" t="s">
        <v>1325</v>
      </c>
      <c r="C187" s="198" t="s">
        <v>1282</v>
      </c>
      <c r="D187" s="1129">
        <v>86.2</v>
      </c>
      <c r="E187" s="197" t="s">
        <v>680</v>
      </c>
      <c r="F187" s="2021" t="s">
        <v>1283</v>
      </c>
      <c r="G187" s="2022"/>
      <c r="H187" s="50"/>
      <c r="I187" s="50"/>
      <c r="J187" s="428"/>
      <c r="K187" s="75"/>
      <c r="L187"/>
      <c r="M187"/>
      <c r="N187"/>
      <c r="O187"/>
      <c r="P187"/>
      <c r="Q187"/>
      <c r="R187"/>
      <c r="S187" s="458"/>
      <c r="T187" s="447"/>
      <c r="U187" s="460"/>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row>
    <row r="188" spans="1:60" s="195" customFormat="1">
      <c r="A188" s="2044"/>
      <c r="B188" s="384" t="s">
        <v>1326</v>
      </c>
      <c r="C188" s="198" t="s">
        <v>1282</v>
      </c>
      <c r="D188" s="1129">
        <v>25.5</v>
      </c>
      <c r="E188" s="197" t="s">
        <v>680</v>
      </c>
      <c r="F188" s="2021" t="s">
        <v>1283</v>
      </c>
      <c r="G188" s="2022"/>
      <c r="H188" s="50"/>
      <c r="I188" s="50"/>
      <c r="J188" s="428"/>
      <c r="K188" s="75"/>
      <c r="L188"/>
      <c r="M188"/>
      <c r="N188"/>
      <c r="O188"/>
      <c r="P188"/>
      <c r="Q188"/>
      <c r="R188"/>
      <c r="S188" s="458"/>
      <c r="T188" s="447"/>
      <c r="U188" s="460"/>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row>
    <row r="189" spans="1:60" s="195" customFormat="1">
      <c r="A189" s="2044"/>
      <c r="B189" s="384" t="s">
        <v>1327</v>
      </c>
      <c r="C189" s="198" t="s">
        <v>1282</v>
      </c>
      <c r="D189" s="1129">
        <v>24.2</v>
      </c>
      <c r="E189" s="197" t="s">
        <v>680</v>
      </c>
      <c r="F189" s="2021" t="s">
        <v>1283</v>
      </c>
      <c r="G189" s="2022"/>
      <c r="H189" s="50"/>
      <c r="I189" s="50"/>
      <c r="J189" s="428"/>
      <c r="K189" s="75"/>
      <c r="L189"/>
      <c r="M189"/>
      <c r="N189"/>
      <c r="O189"/>
      <c r="P189"/>
      <c r="Q189"/>
      <c r="R189"/>
      <c r="S189" s="458"/>
      <c r="T189" s="447"/>
      <c r="U189" s="460"/>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row>
    <row r="190" spans="1:60" s="195" customFormat="1">
      <c r="A190" s="2044"/>
      <c r="B190" s="384" t="s">
        <v>1328</v>
      </c>
      <c r="C190" s="198" t="s">
        <v>1282</v>
      </c>
      <c r="D190" s="1129">
        <v>106.4</v>
      </c>
      <c r="E190" s="197" t="s">
        <v>680</v>
      </c>
      <c r="F190" s="2021" t="s">
        <v>1283</v>
      </c>
      <c r="G190" s="2022"/>
      <c r="H190" s="50"/>
      <c r="I190" s="50"/>
      <c r="J190" s="428"/>
      <c r="K190" s="75"/>
      <c r="L190"/>
      <c r="M190"/>
      <c r="N190"/>
      <c r="O190"/>
      <c r="P190"/>
      <c r="Q190"/>
      <c r="R190"/>
      <c r="S190" s="458"/>
      <c r="T190" s="447"/>
      <c r="U190" s="46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row>
    <row r="191" spans="1:60" s="195" customFormat="1">
      <c r="A191" s="2044"/>
      <c r="B191" s="384" t="s">
        <v>1329</v>
      </c>
      <c r="C191" s="198" t="s">
        <v>1282</v>
      </c>
      <c r="D191" s="1129">
        <v>24.5</v>
      </c>
      <c r="E191" s="197" t="s">
        <v>680</v>
      </c>
      <c r="F191" s="2021" t="s">
        <v>1283</v>
      </c>
      <c r="G191" s="2022"/>
      <c r="H191" s="50"/>
      <c r="I191" s="50"/>
      <c r="J191" s="428"/>
      <c r="K191" s="75"/>
      <c r="L191"/>
      <c r="M191"/>
      <c r="N191"/>
      <c r="O191"/>
      <c r="P191"/>
      <c r="Q191"/>
      <c r="R191"/>
      <c r="S191" s="458"/>
      <c r="T191" s="447"/>
      <c r="U191" s="460"/>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row>
    <row r="192" spans="1:60" s="195" customFormat="1">
      <c r="A192" s="2044"/>
      <c r="B192" s="384" t="s">
        <v>1330</v>
      </c>
      <c r="C192" s="198" t="s">
        <v>1282</v>
      </c>
      <c r="D192" s="1129">
        <v>51.4</v>
      </c>
      <c r="E192" s="197" t="s">
        <v>680</v>
      </c>
      <c r="F192" s="2021" t="s">
        <v>1283</v>
      </c>
      <c r="G192" s="2022"/>
      <c r="H192" s="50"/>
      <c r="I192" s="50"/>
      <c r="J192" s="428"/>
      <c r="K192" s="75"/>
      <c r="L192"/>
      <c r="M192"/>
      <c r="N192"/>
      <c r="O192"/>
      <c r="P192"/>
      <c r="Q192"/>
      <c r="R192"/>
      <c r="S192" s="458"/>
      <c r="T192" s="447"/>
      <c r="U192" s="460"/>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row>
    <row r="193" spans="1:60" s="195" customFormat="1">
      <c r="A193" s="2044"/>
      <c r="B193" s="385" t="s">
        <v>1331</v>
      </c>
      <c r="C193" s="198" t="s">
        <v>1282</v>
      </c>
      <c r="D193" s="1129">
        <v>55.8</v>
      </c>
      <c r="E193" s="197" t="s">
        <v>680</v>
      </c>
      <c r="F193" s="2021" t="s">
        <v>1283</v>
      </c>
      <c r="G193" s="2022"/>
      <c r="H193" s="50"/>
      <c r="I193" s="50"/>
      <c r="J193" s="428"/>
      <c r="K193" s="75"/>
      <c r="L193"/>
      <c r="M193"/>
      <c r="N193"/>
      <c r="O193"/>
      <c r="P193"/>
      <c r="Q193"/>
      <c r="R193"/>
      <c r="S193" s="458"/>
      <c r="T193" s="447"/>
      <c r="U193" s="460"/>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row>
    <row r="194" spans="1:60" ht="15" customHeight="1">
      <c r="A194" s="2044"/>
      <c r="B194" s="1607" t="s">
        <v>1332</v>
      </c>
      <c r="C194" s="383" t="s">
        <v>1282</v>
      </c>
      <c r="D194" s="1129">
        <v>7</v>
      </c>
      <c r="E194" s="197" t="s">
        <v>680</v>
      </c>
      <c r="F194" s="2021" t="s">
        <v>1283</v>
      </c>
      <c r="G194" s="2022"/>
      <c r="H194" s="50"/>
      <c r="I194" s="50"/>
      <c r="J194" s="428"/>
      <c r="K194" s="75"/>
      <c r="S194" s="458"/>
      <c r="T194" s="447"/>
      <c r="U194" s="460"/>
    </row>
    <row r="195" spans="1:60" ht="15" customHeight="1">
      <c r="A195" s="2044"/>
      <c r="B195" s="1607" t="s">
        <v>1333</v>
      </c>
      <c r="C195" s="383" t="s">
        <v>1282</v>
      </c>
      <c r="D195" s="1129">
        <v>6.6</v>
      </c>
      <c r="E195" s="197" t="s">
        <v>680</v>
      </c>
      <c r="F195" s="2021" t="s">
        <v>1283</v>
      </c>
      <c r="G195" s="2022"/>
      <c r="H195" s="50"/>
      <c r="I195" s="50"/>
      <c r="J195" s="428"/>
      <c r="K195" s="75"/>
      <c r="S195" s="458"/>
      <c r="T195" s="447"/>
      <c r="U195" s="460"/>
    </row>
    <row r="196" spans="1:60" ht="15" customHeight="1">
      <c r="A196" s="2044"/>
      <c r="B196" s="1607" t="s">
        <v>1334</v>
      </c>
      <c r="C196" s="383" t="s">
        <v>1282</v>
      </c>
      <c r="D196" s="1129">
        <v>86.8</v>
      </c>
      <c r="E196" s="197" t="s">
        <v>680</v>
      </c>
      <c r="F196" s="2021" t="s">
        <v>1283</v>
      </c>
      <c r="G196" s="2022"/>
      <c r="H196" s="50"/>
      <c r="I196" s="50"/>
      <c r="J196" s="428"/>
      <c r="K196" s="75"/>
      <c r="S196" s="458"/>
      <c r="T196" s="447"/>
      <c r="U196" s="460"/>
    </row>
    <row r="197" spans="1:60" ht="15" customHeight="1">
      <c r="A197" s="2044"/>
      <c r="B197" s="1607" t="s">
        <v>1335</v>
      </c>
      <c r="C197" s="383" t="s">
        <v>1282</v>
      </c>
      <c r="D197" s="1129">
        <v>43.4</v>
      </c>
      <c r="E197" s="197" t="s">
        <v>680</v>
      </c>
      <c r="F197" s="2021" t="s">
        <v>1283</v>
      </c>
      <c r="G197" s="2022"/>
      <c r="H197" s="50"/>
      <c r="I197" s="50"/>
      <c r="J197" s="428"/>
      <c r="K197" s="75"/>
      <c r="S197" s="458"/>
      <c r="T197" s="447"/>
      <c r="U197" s="460"/>
    </row>
    <row r="198" spans="1:60" ht="15" customHeight="1">
      <c r="A198" s="2044"/>
      <c r="B198" s="1610" t="s">
        <v>1336</v>
      </c>
      <c r="C198" s="383" t="s">
        <v>1282</v>
      </c>
      <c r="D198" s="1129">
        <v>32.1</v>
      </c>
      <c r="E198" s="197" t="s">
        <v>680</v>
      </c>
      <c r="F198" s="2021" t="s">
        <v>1283</v>
      </c>
      <c r="G198" s="2022"/>
      <c r="H198" s="50"/>
      <c r="I198" s="50"/>
      <c r="J198" s="428"/>
      <c r="K198" s="75"/>
      <c r="S198" s="458"/>
      <c r="T198" s="447"/>
      <c r="U198" s="460"/>
    </row>
    <row r="199" spans="1:60" ht="15" customHeight="1">
      <c r="A199" s="2044"/>
      <c r="B199" s="1610" t="s">
        <v>1337</v>
      </c>
      <c r="C199" s="383" t="s">
        <v>1282</v>
      </c>
      <c r="D199" s="1129">
        <v>63.8</v>
      </c>
      <c r="E199" s="197" t="s">
        <v>680</v>
      </c>
      <c r="F199" s="2021" t="s">
        <v>1283</v>
      </c>
      <c r="G199" s="2022"/>
      <c r="H199" s="50"/>
      <c r="I199" s="50"/>
      <c r="J199" s="428"/>
      <c r="K199" s="75"/>
      <c r="S199" s="458"/>
      <c r="T199" s="447"/>
      <c r="U199" s="460"/>
    </row>
    <row r="200" spans="1:60" ht="15" customHeight="1">
      <c r="A200" s="2044"/>
      <c r="B200" s="1610" t="s">
        <v>1338</v>
      </c>
      <c r="C200" s="383" t="s">
        <v>1282</v>
      </c>
      <c r="D200" s="1129">
        <v>10.4</v>
      </c>
      <c r="E200" s="197" t="s">
        <v>680</v>
      </c>
      <c r="F200" s="2021" t="s">
        <v>1283</v>
      </c>
      <c r="G200" s="2022"/>
      <c r="H200" s="50"/>
      <c r="I200" s="50"/>
      <c r="J200" s="428"/>
      <c r="K200" s="75"/>
      <c r="S200" s="458"/>
      <c r="T200" s="447"/>
      <c r="U200" s="460"/>
    </row>
    <row r="201" spans="1:60" ht="15" customHeight="1">
      <c r="A201" s="2044"/>
      <c r="B201" s="1610" t="s">
        <v>1339</v>
      </c>
      <c r="C201" s="383" t="s">
        <v>1282</v>
      </c>
      <c r="D201" s="1129">
        <v>16.100000000000001</v>
      </c>
      <c r="E201" s="197" t="s">
        <v>680</v>
      </c>
      <c r="F201" s="2021" t="s">
        <v>1283</v>
      </c>
      <c r="G201" s="2022"/>
      <c r="H201" s="50"/>
      <c r="I201" s="50"/>
      <c r="J201" s="427"/>
      <c r="K201" s="75"/>
      <c r="S201" s="458"/>
      <c r="T201" s="447"/>
      <c r="U201" s="460"/>
    </row>
    <row r="202" spans="1:60" ht="15" customHeight="1">
      <c r="A202" s="2044"/>
      <c r="B202" s="1610" t="s">
        <v>1340</v>
      </c>
      <c r="C202" s="383" t="s">
        <v>1282</v>
      </c>
      <c r="D202" s="1129">
        <v>38.5</v>
      </c>
      <c r="E202" s="197" t="s">
        <v>680</v>
      </c>
      <c r="F202" s="2021" t="s">
        <v>1283</v>
      </c>
      <c r="G202" s="2022"/>
      <c r="H202" s="50"/>
      <c r="I202" s="50"/>
      <c r="J202" s="427"/>
      <c r="K202" s="75"/>
      <c r="S202" s="458"/>
      <c r="T202" s="447"/>
      <c r="U202" s="460"/>
    </row>
    <row r="203" spans="1:60" ht="15" customHeight="1">
      <c r="A203" s="167"/>
      <c r="B203" s="50"/>
      <c r="C203" s="50"/>
      <c r="D203" s="50"/>
      <c r="E203" s="50"/>
      <c r="F203" s="50"/>
      <c r="G203" s="50"/>
      <c r="H203" s="50"/>
      <c r="I203" s="50"/>
      <c r="S203" s="461"/>
      <c r="T203" s="447"/>
    </row>
    <row r="204" spans="1:60" ht="15" customHeight="1">
      <c r="A204" s="167"/>
      <c r="B204" s="50"/>
      <c r="C204" s="50"/>
      <c r="D204" s="50"/>
      <c r="E204" s="50"/>
      <c r="F204" s="50"/>
      <c r="G204" s="50"/>
      <c r="H204" s="50"/>
      <c r="I204" s="50"/>
      <c r="S204" s="461"/>
      <c r="T204" s="48"/>
    </row>
    <row r="205" spans="1:60" s="594" customFormat="1" ht="30" customHeight="1">
      <c r="A205" s="597" t="s">
        <v>1341</v>
      </c>
      <c r="B205" s="593"/>
      <c r="C205" s="593"/>
      <c r="D205" s="593"/>
      <c r="E205" s="593"/>
      <c r="F205" s="593"/>
      <c r="G205" s="593"/>
      <c r="H205" s="593"/>
      <c r="I205" s="593"/>
      <c r="S205" s="595"/>
      <c r="T205" s="596"/>
    </row>
    <row r="206" spans="1:60" ht="15" customHeight="1">
      <c r="A206" s="167"/>
      <c r="B206" s="50"/>
      <c r="C206" s="50"/>
      <c r="D206" s="50"/>
      <c r="E206" s="50"/>
      <c r="F206" s="50"/>
      <c r="G206" s="50"/>
      <c r="H206" s="50"/>
      <c r="I206" s="50"/>
      <c r="S206" s="461"/>
      <c r="T206" s="48"/>
    </row>
    <row r="207" spans="1:60" ht="15" customHeight="1">
      <c r="A207" s="444" t="s">
        <v>1342</v>
      </c>
      <c r="B207" s="598"/>
      <c r="C207" s="624" t="s">
        <v>1343</v>
      </c>
      <c r="E207" s="50"/>
      <c r="F207" s="50"/>
      <c r="G207" s="50"/>
      <c r="H207" s="50"/>
      <c r="I207" s="50"/>
      <c r="S207" s="461"/>
      <c r="T207" s="48"/>
    </row>
    <row r="208" spans="1:60" ht="15" customHeight="1">
      <c r="A208" s="53"/>
      <c r="B208" s="50"/>
      <c r="C208" s="50"/>
      <c r="D208" s="2023" t="s">
        <v>1344</v>
      </c>
      <c r="E208" s="2024"/>
      <c r="F208" s="2024"/>
      <c r="G208" s="2025"/>
      <c r="H208" s="2024" t="s">
        <v>1345</v>
      </c>
      <c r="I208" s="2024"/>
      <c r="J208" s="2024"/>
      <c r="K208" s="2026"/>
      <c r="N208" t="s">
        <v>1346</v>
      </c>
      <c r="S208" s="461"/>
      <c r="T208" s="48"/>
    </row>
    <row r="209" spans="1:20" ht="15" customHeight="1">
      <c r="A209" s="599" t="s">
        <v>1347</v>
      </c>
      <c r="B209" s="599" t="s">
        <v>1348</v>
      </c>
      <c r="C209" s="600" t="s">
        <v>70</v>
      </c>
      <c r="D209" s="604" t="s">
        <v>1349</v>
      </c>
      <c r="E209" s="605" t="s">
        <v>1350</v>
      </c>
      <c r="F209" s="605" t="s">
        <v>1351</v>
      </c>
      <c r="G209" s="606" t="s">
        <v>1352</v>
      </c>
      <c r="H209" s="605" t="s">
        <v>1349</v>
      </c>
      <c r="I209" s="605" t="s">
        <v>1350</v>
      </c>
      <c r="J209" s="605" t="s">
        <v>1351</v>
      </c>
      <c r="K209" s="607" t="s">
        <v>1352</v>
      </c>
      <c r="S209" s="461"/>
      <c r="T209" s="48"/>
    </row>
    <row r="210" spans="1:20" ht="15" customHeight="1">
      <c r="A210" s="2020" t="s">
        <v>1353</v>
      </c>
      <c r="B210" s="601" t="s">
        <v>1265</v>
      </c>
      <c r="C210" s="602" t="s">
        <v>1192</v>
      </c>
      <c r="D210" s="824">
        <v>0.24587000000000001</v>
      </c>
      <c r="E210" s="824">
        <v>0.24454999999999999</v>
      </c>
      <c r="F210" s="844">
        <v>1E-4</v>
      </c>
      <c r="G210" s="824">
        <v>1.2199999999999999E-3</v>
      </c>
      <c r="H210" s="824">
        <v>0.13003000000000001</v>
      </c>
      <c r="I210" s="824">
        <v>0.12870999999999999</v>
      </c>
      <c r="J210" s="608">
        <v>1E-4</v>
      </c>
      <c r="K210" s="824">
        <v>1.2199999999999999E-3</v>
      </c>
      <c r="S210" s="461"/>
      <c r="T210" s="48"/>
    </row>
    <row r="211" spans="1:20" ht="15" customHeight="1">
      <c r="A211" s="2020"/>
      <c r="B211" s="601" t="s">
        <v>1267</v>
      </c>
      <c r="C211" s="602" t="s">
        <v>1192</v>
      </c>
      <c r="D211" s="824">
        <v>0.15353</v>
      </c>
      <c r="E211" s="824">
        <v>0.15276000000000001</v>
      </c>
      <c r="F211" s="844">
        <v>1.0000000000000001E-5</v>
      </c>
      <c r="G211" s="824">
        <v>7.6000000000000004E-4</v>
      </c>
      <c r="H211" s="824">
        <v>8.1170000000000006E-2</v>
      </c>
      <c r="I211" s="824">
        <v>8.0399999999999999E-2</v>
      </c>
      <c r="J211" s="608">
        <v>1.0000000000000001E-5</v>
      </c>
      <c r="K211" s="824">
        <v>7.6000000000000004E-4</v>
      </c>
      <c r="S211" s="461"/>
      <c r="T211" s="48"/>
    </row>
    <row r="212" spans="1:20" ht="15" customHeight="1">
      <c r="A212" s="2020"/>
      <c r="B212" s="601" t="s">
        <v>1268</v>
      </c>
      <c r="C212" s="602" t="s">
        <v>1192</v>
      </c>
      <c r="D212" s="824">
        <v>0.15101999999999999</v>
      </c>
      <c r="E212" s="824">
        <v>0.15026</v>
      </c>
      <c r="F212" s="608">
        <v>1.0000000000000001E-5</v>
      </c>
      <c r="G212" s="824">
        <v>7.5000000000000002E-4</v>
      </c>
      <c r="H212" s="824">
        <v>7.9839999999999994E-2</v>
      </c>
      <c r="I212" s="824">
        <v>7.9079999999999998E-2</v>
      </c>
      <c r="J212" s="608">
        <v>1.0000000000000001E-5</v>
      </c>
      <c r="K212" s="824">
        <v>7.5000000000000002E-4</v>
      </c>
      <c r="S212" s="461"/>
      <c r="T212" s="48"/>
    </row>
    <row r="213" spans="1:20" ht="15" customHeight="1">
      <c r="A213" s="2020" t="s">
        <v>1354</v>
      </c>
      <c r="B213" s="601" t="s">
        <v>1265</v>
      </c>
      <c r="C213" s="602" t="s">
        <v>1192</v>
      </c>
      <c r="D213" s="824">
        <v>0.22652</v>
      </c>
      <c r="E213" s="824">
        <v>0.22539000000000001</v>
      </c>
      <c r="F213" s="608">
        <v>1.0000000000000001E-5</v>
      </c>
      <c r="G213" s="824">
        <v>1.1199999999999999E-3</v>
      </c>
      <c r="H213" s="824">
        <v>0.11976000000000001</v>
      </c>
      <c r="I213" s="824">
        <v>0.11863</v>
      </c>
      <c r="J213" s="608">
        <v>1.0000000000000001E-5</v>
      </c>
      <c r="K213" s="824">
        <v>1.1199999999999999E-3</v>
      </c>
      <c r="S213" s="461"/>
      <c r="T213" s="48"/>
    </row>
    <row r="214" spans="1:20" ht="15" customHeight="1">
      <c r="A214" s="2020"/>
      <c r="B214" s="601" t="s">
        <v>1267</v>
      </c>
      <c r="C214" s="602" t="s">
        <v>1192</v>
      </c>
      <c r="D214" s="824">
        <v>0.19309000000000001</v>
      </c>
      <c r="E214" s="824">
        <v>0.19212000000000001</v>
      </c>
      <c r="F214" s="608">
        <v>1.0000000000000001E-5</v>
      </c>
      <c r="G214" s="824">
        <v>9.6000000000000002E-4</v>
      </c>
      <c r="H214" s="824">
        <v>0.10208</v>
      </c>
      <c r="I214" s="824">
        <v>0.10111000000000001</v>
      </c>
      <c r="J214" s="608">
        <v>1.0000000000000001E-5</v>
      </c>
      <c r="K214" s="824">
        <v>9.6000000000000002E-4</v>
      </c>
      <c r="S214" s="461"/>
      <c r="T214" s="48"/>
    </row>
    <row r="215" spans="1:20" ht="15" customHeight="1">
      <c r="A215" s="2020"/>
      <c r="B215" s="601" t="s">
        <v>1270</v>
      </c>
      <c r="C215" s="602" t="s">
        <v>1192</v>
      </c>
      <c r="D215" s="824">
        <v>0.14787</v>
      </c>
      <c r="E215" s="824">
        <v>0.14713000000000001</v>
      </c>
      <c r="F215" s="608">
        <v>1.0000000000000001E-5</v>
      </c>
      <c r="G215" s="824">
        <v>7.2999999999999996E-4</v>
      </c>
      <c r="H215" s="824">
        <v>7.8179999999999999E-2</v>
      </c>
      <c r="I215" s="824">
        <v>7.7439999999999995E-2</v>
      </c>
      <c r="J215" s="608">
        <v>1.0000000000000001E-5</v>
      </c>
      <c r="K215" s="824">
        <v>7.2999999999999996E-4</v>
      </c>
      <c r="S215" s="461"/>
      <c r="T215" s="48"/>
    </row>
    <row r="216" spans="1:20" ht="15" customHeight="1">
      <c r="A216" s="2020"/>
      <c r="B216" s="601" t="s">
        <v>1268</v>
      </c>
      <c r="C216" s="602" t="s">
        <v>1192</v>
      </c>
      <c r="D216" s="824">
        <v>0.23658999999999999</v>
      </c>
      <c r="E216" s="824">
        <v>0.23541000000000001</v>
      </c>
      <c r="F216" s="608">
        <v>1.0000000000000001E-5</v>
      </c>
      <c r="G216" s="824">
        <v>1.17E-3</v>
      </c>
      <c r="H216" s="824">
        <v>0.12508</v>
      </c>
      <c r="I216" s="824">
        <v>0.1239</v>
      </c>
      <c r="J216" s="608">
        <v>1.0000000000000001E-5</v>
      </c>
      <c r="K216" s="824">
        <v>1.17E-3</v>
      </c>
      <c r="S216" s="461"/>
      <c r="T216" s="48"/>
    </row>
    <row r="217" spans="1:20" ht="15" customHeight="1">
      <c r="A217" s="2020"/>
      <c r="B217" s="601" t="s">
        <v>1271</v>
      </c>
      <c r="C217" s="602" t="s">
        <v>1192</v>
      </c>
      <c r="D217" s="824">
        <v>0.42881999999999998</v>
      </c>
      <c r="E217" s="824">
        <v>0.42668</v>
      </c>
      <c r="F217" s="608">
        <v>2.0000000000000002E-5</v>
      </c>
      <c r="G217" s="824">
        <v>2.1199999999999999E-3</v>
      </c>
      <c r="H217" s="824">
        <v>0.22670999999999999</v>
      </c>
      <c r="I217" s="824">
        <v>0.22456999999999999</v>
      </c>
      <c r="J217" s="608">
        <v>2.0000000000000002E-5</v>
      </c>
      <c r="K217" s="824">
        <v>2.1199999999999999E-3</v>
      </c>
      <c r="S217" s="461"/>
      <c r="T217" s="48"/>
    </row>
    <row r="218" spans="1:20" ht="15" customHeight="1">
      <c r="A218" s="167"/>
      <c r="B218" s="50"/>
      <c r="C218" s="50"/>
      <c r="D218" s="50"/>
      <c r="E218" s="50"/>
      <c r="F218" s="50"/>
      <c r="G218" s="50"/>
      <c r="H218" s="50"/>
      <c r="I218" s="50"/>
      <c r="S218" s="461"/>
      <c r="T218" s="48"/>
    </row>
    <row r="219" spans="1:20" ht="15" customHeight="1">
      <c r="A219" s="167"/>
      <c r="B219" s="50"/>
      <c r="C219" s="50"/>
      <c r="D219" s="50"/>
      <c r="E219" s="50"/>
      <c r="F219" s="50"/>
      <c r="G219" s="50"/>
      <c r="H219" s="50"/>
      <c r="I219" s="50"/>
      <c r="S219" s="461"/>
      <c r="T219" s="48"/>
    </row>
    <row r="220" spans="1:20" ht="15" customHeight="1">
      <c r="A220" s="167"/>
      <c r="B220" s="50"/>
      <c r="C220" s="50"/>
      <c r="D220" s="50"/>
      <c r="E220" s="50"/>
      <c r="F220" s="50"/>
      <c r="G220" s="50"/>
      <c r="H220" s="50"/>
      <c r="I220" s="50"/>
      <c r="S220" s="461"/>
      <c r="T220" s="48"/>
    </row>
    <row r="221" spans="1:20" ht="15" customHeight="1">
      <c r="A221" s="444" t="s">
        <v>1355</v>
      </c>
      <c r="B221" s="50"/>
      <c r="C221" s="50"/>
      <c r="D221" s="50"/>
      <c r="E221" s="50"/>
      <c r="F221" s="50"/>
      <c r="G221" s="50"/>
      <c r="H221" s="50"/>
      <c r="I221" s="50"/>
      <c r="S221" s="461"/>
      <c r="T221" s="48"/>
    </row>
    <row r="222" spans="1:20" ht="15" hidden="1" customHeight="1">
      <c r="A222" s="833" t="s">
        <v>125</v>
      </c>
      <c r="B222" s="603" t="s">
        <v>1356</v>
      </c>
      <c r="C222" s="50"/>
      <c r="D222" s="50"/>
      <c r="E222" s="50"/>
      <c r="F222" s="50"/>
      <c r="G222" s="50"/>
      <c r="H222" s="50"/>
      <c r="I222" s="50"/>
      <c r="S222" s="461"/>
      <c r="T222" s="48"/>
    </row>
    <row r="223" spans="1:20" ht="15" hidden="1" customHeight="1">
      <c r="A223" s="167"/>
      <c r="B223" s="731" t="s">
        <v>1357</v>
      </c>
      <c r="C223" s="50"/>
      <c r="D223" s="50"/>
      <c r="E223" s="50"/>
      <c r="F223" s="50"/>
      <c r="G223" s="50"/>
      <c r="H223" s="50"/>
      <c r="I223" s="50"/>
      <c r="S223" s="461"/>
      <c r="T223" s="48"/>
    </row>
    <row r="224" spans="1:20" ht="15" hidden="1" customHeight="1">
      <c r="A224" s="167"/>
      <c r="B224" s="50"/>
      <c r="C224" s="50"/>
      <c r="D224" s="50"/>
      <c r="E224" s="50"/>
      <c r="F224" s="50"/>
      <c r="G224" s="50"/>
      <c r="H224" s="50"/>
      <c r="I224" s="50"/>
      <c r="S224" s="461"/>
      <c r="T224" s="48"/>
    </row>
    <row r="225" spans="1:20" ht="15" hidden="1" customHeight="1">
      <c r="B225" s="50"/>
      <c r="C225" s="50"/>
      <c r="D225" s="50"/>
      <c r="E225" s="50"/>
      <c r="F225" s="50"/>
      <c r="G225" s="50"/>
      <c r="H225" s="1611" t="s">
        <v>1358</v>
      </c>
      <c r="I225" s="1610">
        <v>1.9</v>
      </c>
      <c r="S225" s="461"/>
      <c r="T225" s="48"/>
    </row>
    <row r="226" spans="1:20" ht="15" hidden="1" customHeight="1">
      <c r="A226" s="729">
        <v>2019</v>
      </c>
      <c r="B226" s="50"/>
      <c r="C226" s="50"/>
      <c r="D226" s="50"/>
      <c r="E226" s="50"/>
      <c r="F226" s="50"/>
      <c r="G226" s="50"/>
      <c r="H226" s="50"/>
      <c r="I226" s="50"/>
      <c r="S226" s="461"/>
      <c r="T226" s="48"/>
    </row>
    <row r="227" spans="1:20" ht="15" hidden="1" customHeight="1">
      <c r="A227" s="166" t="s">
        <v>1359</v>
      </c>
      <c r="B227" s="50"/>
      <c r="C227" s="50"/>
      <c r="D227" s="50"/>
      <c r="E227" s="50"/>
      <c r="F227" s="50"/>
      <c r="G227" s="50"/>
      <c r="H227" s="166" t="s">
        <v>1360</v>
      </c>
      <c r="I227" s="50"/>
      <c r="J227" s="50"/>
      <c r="K227" s="50"/>
      <c r="L227" s="50"/>
      <c r="M227" s="50"/>
      <c r="S227" s="461"/>
      <c r="T227" s="48"/>
    </row>
    <row r="228" spans="1:20" ht="19.5" hidden="1" customHeight="1">
      <c r="A228" s="599" t="s">
        <v>34</v>
      </c>
      <c r="B228" s="599" t="s">
        <v>70</v>
      </c>
      <c r="C228" s="599" t="s">
        <v>1361</v>
      </c>
      <c r="D228" s="599" t="s">
        <v>1362</v>
      </c>
      <c r="E228" s="599" t="s">
        <v>1363</v>
      </c>
      <c r="F228" s="599" t="s">
        <v>1364</v>
      </c>
      <c r="G228" s="50"/>
      <c r="H228" s="599" t="s">
        <v>34</v>
      </c>
      <c r="I228" s="599" t="s">
        <v>70</v>
      </c>
      <c r="J228" s="599" t="s">
        <v>1361</v>
      </c>
      <c r="K228" s="599" t="s">
        <v>1362</v>
      </c>
      <c r="L228" s="599" t="s">
        <v>1363</v>
      </c>
      <c r="M228" s="599" t="s">
        <v>1364</v>
      </c>
      <c r="S228" s="461"/>
      <c r="T228" s="48"/>
    </row>
    <row r="229" spans="1:20" ht="15" hidden="1" customHeight="1">
      <c r="A229" s="599" t="s">
        <v>1365</v>
      </c>
      <c r="B229" s="599" t="s">
        <v>1366</v>
      </c>
      <c r="C229" s="832"/>
      <c r="D229" s="832"/>
      <c r="E229" s="832"/>
      <c r="F229" s="832"/>
      <c r="G229" s="50"/>
      <c r="H229" s="599" t="s">
        <v>1365</v>
      </c>
      <c r="I229" s="599" t="s">
        <v>1366</v>
      </c>
      <c r="J229" s="832"/>
      <c r="K229" s="832"/>
      <c r="L229" s="832"/>
      <c r="M229" s="832"/>
      <c r="S229" s="461"/>
      <c r="T229" s="48"/>
    </row>
    <row r="230" spans="1:20" ht="15" hidden="1" customHeight="1">
      <c r="A230" s="599" t="s">
        <v>1259</v>
      </c>
      <c r="B230" s="599" t="s">
        <v>1366</v>
      </c>
      <c r="C230" s="824">
        <v>9.6561032000000005E-2</v>
      </c>
      <c r="D230" s="824">
        <v>9.3305858400000011E-2</v>
      </c>
      <c r="E230" s="824">
        <v>6.5650560000000003E-4</v>
      </c>
      <c r="F230" s="824">
        <v>2.5986680000000002E-3</v>
      </c>
      <c r="G230" s="50"/>
      <c r="H230" s="599" t="s">
        <v>1259</v>
      </c>
      <c r="I230" s="599" t="s">
        <v>1366</v>
      </c>
      <c r="J230" s="824">
        <f>C230*I225</f>
        <v>0.18346596079999999</v>
      </c>
      <c r="K230" s="824">
        <f>D230*I225</f>
        <v>0.17728113096000001</v>
      </c>
      <c r="L230" s="824">
        <f>E230*I225</f>
        <v>1.2473606399999999E-3</v>
      </c>
      <c r="M230" s="824">
        <f>F230*I225</f>
        <v>4.9374692E-3</v>
      </c>
      <c r="S230" s="461"/>
      <c r="T230" s="48"/>
    </row>
    <row r="231" spans="1:20" ht="15" hidden="1" customHeight="1">
      <c r="A231" s="599" t="s">
        <v>1260</v>
      </c>
      <c r="B231" s="599" t="s">
        <v>1366</v>
      </c>
      <c r="C231" s="824">
        <v>0.12947757600000001</v>
      </c>
      <c r="D231" s="824">
        <v>0.12511275120000001</v>
      </c>
      <c r="E231" s="824">
        <v>8.8030080000000004E-4</v>
      </c>
      <c r="F231" s="824">
        <v>3.4845240000000001E-3</v>
      </c>
      <c r="G231" s="50"/>
      <c r="H231" s="599" t="s">
        <v>1260</v>
      </c>
      <c r="I231" s="599" t="s">
        <v>1366</v>
      </c>
      <c r="J231" s="824">
        <f>C231*I225</f>
        <v>0.2460073944</v>
      </c>
      <c r="K231" s="824">
        <f>D231*I225</f>
        <v>0.23771422728</v>
      </c>
      <c r="L231" s="824">
        <f>E231*I225</f>
        <v>1.67257152E-3</v>
      </c>
      <c r="M231" s="824">
        <f>F231*I225</f>
        <v>6.6205956000000002E-3</v>
      </c>
      <c r="S231" s="461"/>
      <c r="T231" s="48"/>
    </row>
    <row r="232" spans="1:20" ht="15" hidden="1" customHeight="1">
      <c r="A232" s="731" t="s">
        <v>1261</v>
      </c>
      <c r="B232" s="731" t="s">
        <v>1366</v>
      </c>
      <c r="C232" s="825"/>
      <c r="D232" s="825"/>
      <c r="E232" s="825"/>
      <c r="F232" s="825"/>
      <c r="G232" s="50"/>
      <c r="H232" s="731" t="s">
        <v>1261</v>
      </c>
      <c r="I232" s="731" t="s">
        <v>1366</v>
      </c>
      <c r="J232" s="825"/>
      <c r="K232" s="825"/>
      <c r="L232" s="825"/>
      <c r="M232" s="825"/>
      <c r="S232" s="461"/>
      <c r="T232" s="48"/>
    </row>
    <row r="233" spans="1:20" ht="15" hidden="1" customHeight="1">
      <c r="A233" s="166"/>
      <c r="B233" s="50"/>
      <c r="C233" s="50"/>
      <c r="D233" s="50"/>
      <c r="E233" s="50"/>
      <c r="F233" s="50"/>
      <c r="G233" s="50"/>
      <c r="S233" s="461"/>
      <c r="T233" s="48"/>
    </row>
    <row r="234" spans="1:20" ht="15" hidden="1" customHeight="1">
      <c r="A234" s="729">
        <v>2020</v>
      </c>
      <c r="B234" s="50"/>
      <c r="C234" s="50"/>
      <c r="D234" s="50"/>
      <c r="E234" s="50"/>
      <c r="F234" s="50"/>
      <c r="G234" s="50"/>
      <c r="H234" s="50"/>
      <c r="I234" s="50"/>
      <c r="S234" s="461"/>
      <c r="T234" s="48"/>
    </row>
    <row r="235" spans="1:20" ht="15" hidden="1" customHeight="1">
      <c r="A235" s="166" t="s">
        <v>1359</v>
      </c>
      <c r="B235" s="50"/>
      <c r="C235" s="50"/>
      <c r="D235" s="50"/>
      <c r="E235" s="50"/>
      <c r="F235" s="50"/>
      <c r="G235" s="50"/>
      <c r="H235" s="166" t="s">
        <v>1360</v>
      </c>
      <c r="I235" s="50"/>
      <c r="J235" s="50"/>
      <c r="K235" s="50"/>
      <c r="L235" s="50"/>
      <c r="M235" s="50"/>
      <c r="S235" s="461"/>
      <c r="T235" s="48"/>
    </row>
    <row r="236" spans="1:20" ht="15" hidden="1" customHeight="1">
      <c r="A236" s="599" t="s">
        <v>34</v>
      </c>
      <c r="B236" s="599" t="s">
        <v>70</v>
      </c>
      <c r="C236" s="599" t="s">
        <v>1361</v>
      </c>
      <c r="D236" s="599" t="s">
        <v>1362</v>
      </c>
      <c r="E236" s="599" t="s">
        <v>1363</v>
      </c>
      <c r="F236" s="599" t="s">
        <v>1364</v>
      </c>
      <c r="G236" s="50"/>
      <c r="H236" s="599" t="s">
        <v>34</v>
      </c>
      <c r="I236" s="599" t="s">
        <v>70</v>
      </c>
      <c r="J236" s="599" t="s">
        <v>1361</v>
      </c>
      <c r="K236" s="599" t="s">
        <v>1362</v>
      </c>
      <c r="L236" s="599" t="s">
        <v>1363</v>
      </c>
      <c r="M236" s="599" t="s">
        <v>1364</v>
      </c>
      <c r="S236" s="461"/>
      <c r="T236" s="48"/>
    </row>
    <row r="237" spans="1:20" ht="15" hidden="1" customHeight="1">
      <c r="A237" s="599" t="s">
        <v>1365</v>
      </c>
      <c r="B237" s="599" t="s">
        <v>1366</v>
      </c>
      <c r="C237" s="832"/>
      <c r="D237" s="832"/>
      <c r="E237" s="832"/>
      <c r="F237" s="832"/>
      <c r="G237" s="50"/>
      <c r="H237" s="599" t="s">
        <v>1365</v>
      </c>
      <c r="I237" s="599" t="s">
        <v>1366</v>
      </c>
      <c r="J237" s="832"/>
      <c r="K237" s="832"/>
      <c r="L237" s="832"/>
      <c r="M237" s="832"/>
      <c r="S237" s="461"/>
      <c r="T237" s="48"/>
    </row>
    <row r="238" spans="1:20" ht="15" hidden="1" customHeight="1">
      <c r="A238" s="599" t="s">
        <v>1259</v>
      </c>
      <c r="B238" s="599" t="s">
        <v>1366</v>
      </c>
      <c r="C238" s="824">
        <v>0.11872132000000001</v>
      </c>
      <c r="D238" s="824">
        <v>9.2713708800000003E-2</v>
      </c>
      <c r="E238" s="824">
        <v>6.523392E-4</v>
      </c>
      <c r="F238" s="824">
        <v>2.5355272000000002E-2</v>
      </c>
      <c r="G238" s="50"/>
      <c r="H238" s="599" t="s">
        <v>1259</v>
      </c>
      <c r="I238" s="599" t="s">
        <v>1366</v>
      </c>
      <c r="J238" s="824">
        <f>C238*I225</f>
        <v>0.225570508</v>
      </c>
      <c r="K238" s="824">
        <f>D238*I225</f>
        <v>0.17615604671999999</v>
      </c>
      <c r="L238" s="824">
        <f>E238*I225</f>
        <v>1.23944448E-3</v>
      </c>
      <c r="M238" s="824">
        <f>F238*I225</f>
        <v>4.8175016799999998E-2</v>
      </c>
      <c r="S238" s="461"/>
      <c r="T238" s="48"/>
    </row>
    <row r="239" spans="1:20" ht="15" hidden="1" customHeight="1">
      <c r="A239" s="599" t="s">
        <v>1260</v>
      </c>
      <c r="B239" s="599" t="s">
        <v>1366</v>
      </c>
      <c r="C239" s="824">
        <v>0.12711388800000004</v>
      </c>
      <c r="D239" s="824">
        <v>0.12282874560000002</v>
      </c>
      <c r="E239" s="824">
        <v>8.6423040000000004E-4</v>
      </c>
      <c r="F239" s="824">
        <v>3.4209120000000008E-3</v>
      </c>
      <c r="G239" s="50"/>
      <c r="H239" s="599" t="s">
        <v>1260</v>
      </c>
      <c r="I239" s="599" t="s">
        <v>1366</v>
      </c>
      <c r="J239" s="824">
        <f>C239*I225</f>
        <v>0.24151638720000004</v>
      </c>
      <c r="K239" s="824">
        <f>D239*I225</f>
        <v>0.23337461664000003</v>
      </c>
      <c r="L239" s="824">
        <f>E239*I225</f>
        <v>1.6420377600000001E-3</v>
      </c>
      <c r="M239" s="824">
        <f>F239*I225</f>
        <v>6.4997328000000014E-3</v>
      </c>
      <c r="R239" t="s">
        <v>1367</v>
      </c>
      <c r="S239" s="461"/>
      <c r="T239" s="48"/>
    </row>
    <row r="240" spans="1:20" ht="15" hidden="1" customHeight="1">
      <c r="A240" s="732" t="s">
        <v>1261</v>
      </c>
      <c r="B240" s="733" t="s">
        <v>1366</v>
      </c>
      <c r="C240" s="825"/>
      <c r="D240" s="825"/>
      <c r="E240" s="825"/>
      <c r="F240" s="825"/>
      <c r="G240" s="50"/>
      <c r="H240" s="731" t="s">
        <v>1261</v>
      </c>
      <c r="I240" s="731" t="s">
        <v>1366</v>
      </c>
      <c r="J240" s="825"/>
      <c r="K240" s="825"/>
      <c r="L240" s="825"/>
      <c r="M240" s="825"/>
      <c r="S240" s="461"/>
      <c r="T240" s="48"/>
    </row>
    <row r="241" spans="1:20" ht="15" customHeight="1">
      <c r="A241" s="728"/>
      <c r="B241" s="728"/>
      <c r="C241" s="727"/>
      <c r="D241" s="727"/>
      <c r="E241" s="727"/>
      <c r="F241" s="727"/>
      <c r="G241" s="50"/>
      <c r="H241" s="728"/>
      <c r="I241" s="728"/>
      <c r="J241" s="727"/>
      <c r="K241" s="727"/>
      <c r="L241" s="727"/>
      <c r="M241" s="727"/>
      <c r="S241" s="461"/>
      <c r="T241" s="426"/>
    </row>
    <row r="242" spans="1:20" ht="15" customHeight="1">
      <c r="A242" s="730" t="s">
        <v>1368</v>
      </c>
      <c r="B242" s="728"/>
      <c r="C242" s="727"/>
      <c r="D242" s="727"/>
      <c r="E242" s="727"/>
      <c r="F242" s="727"/>
      <c r="G242" s="50"/>
      <c r="H242" s="728"/>
      <c r="I242" s="728"/>
      <c r="J242" s="727"/>
      <c r="K242" s="727"/>
      <c r="L242" s="727"/>
      <c r="M242" s="727"/>
      <c r="S242" s="461"/>
      <c r="T242" s="447"/>
    </row>
    <row r="243" spans="1:20" ht="15" customHeight="1">
      <c r="A243" s="728"/>
      <c r="B243" s="728"/>
      <c r="C243" s="727"/>
      <c r="D243" s="727"/>
      <c r="E243" s="727"/>
      <c r="F243" s="727"/>
      <c r="G243" s="50"/>
      <c r="H243" s="728"/>
      <c r="I243" s="728"/>
      <c r="J243" s="727"/>
      <c r="K243" s="727"/>
      <c r="L243" s="727"/>
      <c r="M243" s="727"/>
      <c r="S243" s="461"/>
      <c r="T243" s="426"/>
    </row>
    <row r="244" spans="1:20" ht="15" customHeight="1">
      <c r="A244" s="1612" t="s">
        <v>1369</v>
      </c>
      <c r="B244" s="1613"/>
      <c r="C244" s="50"/>
      <c r="D244" s="1612" t="s">
        <v>1370</v>
      </c>
      <c r="E244" s="1612"/>
      <c r="F244" s="1612"/>
      <c r="G244" s="50"/>
      <c r="S244" s="461"/>
      <c r="T244" s="48"/>
    </row>
    <row r="245" spans="1:20" ht="15" customHeight="1">
      <c r="A245" s="716" t="s">
        <v>1371</v>
      </c>
      <c r="B245" s="716" t="s">
        <v>637</v>
      </c>
      <c r="C245" s="50"/>
      <c r="D245" s="716" t="s">
        <v>1372</v>
      </c>
      <c r="E245" s="716" t="s">
        <v>1373</v>
      </c>
      <c r="F245" s="716" t="s">
        <v>1374</v>
      </c>
      <c r="G245" s="50"/>
      <c r="S245" s="461"/>
      <c r="T245" s="48"/>
    </row>
    <row r="246" spans="1:20" ht="15" customHeight="1">
      <c r="A246" s="712" t="s">
        <v>1375</v>
      </c>
      <c r="B246" s="712">
        <v>0.79</v>
      </c>
      <c r="C246" s="50"/>
      <c r="D246" s="716" t="s">
        <v>1376</v>
      </c>
      <c r="E246" s="1145">
        <v>0.63</v>
      </c>
      <c r="F246" s="1145">
        <v>0.22</v>
      </c>
      <c r="G246" s="50"/>
      <c r="S246" s="461"/>
      <c r="T246" s="48"/>
    </row>
    <row r="247" spans="1:20" ht="15" customHeight="1">
      <c r="A247" s="710"/>
      <c r="B247" s="710"/>
      <c r="C247" s="50"/>
      <c r="D247" s="716" t="s">
        <v>1377</v>
      </c>
      <c r="E247" s="1145">
        <v>0.25</v>
      </c>
      <c r="F247" s="1145">
        <v>0.42</v>
      </c>
      <c r="G247" s="50"/>
      <c r="S247" s="461"/>
      <c r="T247" s="48"/>
    </row>
    <row r="248" spans="1:20" ht="15" customHeight="1">
      <c r="B248" s="50"/>
      <c r="C248" s="50"/>
      <c r="D248" s="716" t="s">
        <v>1378</v>
      </c>
      <c r="E248" s="1145">
        <v>0.13</v>
      </c>
      <c r="F248" s="1145">
        <v>0.36</v>
      </c>
      <c r="G248" s="50"/>
      <c r="S248" s="461"/>
      <c r="T248" s="48"/>
    </row>
    <row r="249" spans="1:20" ht="15" customHeight="1">
      <c r="A249" s="166" t="s">
        <v>1379</v>
      </c>
      <c r="B249" s="50" t="s">
        <v>1380</v>
      </c>
      <c r="C249" s="50"/>
      <c r="D249" s="50"/>
      <c r="E249" s="50"/>
      <c r="F249" s="50"/>
      <c r="G249" s="50"/>
      <c r="I249" s="166" t="s">
        <v>1381</v>
      </c>
      <c r="K249" s="50" t="s">
        <v>1380</v>
      </c>
      <c r="S249" s="461"/>
      <c r="T249" s="48"/>
    </row>
    <row r="250" spans="1:20" ht="15" customHeight="1">
      <c r="A250" s="1614" t="s">
        <v>1382</v>
      </c>
      <c r="B250" s="1615"/>
      <c r="C250" s="1615"/>
      <c r="D250" s="1615"/>
      <c r="E250" s="1615"/>
      <c r="F250" s="1615"/>
      <c r="G250" s="1616"/>
      <c r="I250" s="1614" t="s">
        <v>1382</v>
      </c>
      <c r="J250" s="1615"/>
      <c r="K250" s="1615"/>
      <c r="L250" s="1615"/>
      <c r="M250" s="1615"/>
      <c r="N250" s="1615"/>
      <c r="O250" s="1616"/>
      <c r="S250" s="461"/>
      <c r="T250" s="48"/>
    </row>
    <row r="251" spans="1:20" ht="15" customHeight="1">
      <c r="A251" s="709" t="s">
        <v>1383</v>
      </c>
      <c r="B251" s="709" t="s">
        <v>1384</v>
      </c>
      <c r="C251" s="709" t="s">
        <v>1385</v>
      </c>
      <c r="D251" s="709" t="s">
        <v>1386</v>
      </c>
      <c r="E251" s="709" t="s">
        <v>1387</v>
      </c>
      <c r="F251" s="709" t="s">
        <v>1388</v>
      </c>
      <c r="G251" s="709" t="s">
        <v>1389</v>
      </c>
      <c r="I251" s="709" t="s">
        <v>1383</v>
      </c>
      <c r="J251" s="709" t="s">
        <v>1384</v>
      </c>
      <c r="K251" s="709" t="s">
        <v>1385</v>
      </c>
      <c r="L251" s="709" t="s">
        <v>1386</v>
      </c>
      <c r="M251" s="709" t="s">
        <v>1387</v>
      </c>
      <c r="N251" s="709" t="s">
        <v>1388</v>
      </c>
      <c r="O251" s="709" t="s">
        <v>1389</v>
      </c>
      <c r="S251" s="461"/>
      <c r="T251" s="48"/>
    </row>
    <row r="252" spans="1:20" ht="15" customHeight="1">
      <c r="A252" s="1617" t="s">
        <v>1390</v>
      </c>
      <c r="B252" s="1618"/>
      <c r="C252" s="1618"/>
      <c r="D252" s="1618"/>
      <c r="E252" s="1618"/>
      <c r="F252" s="1618"/>
      <c r="G252" s="1619"/>
      <c r="I252" s="1617" t="s">
        <v>1391</v>
      </c>
      <c r="J252" s="1618"/>
      <c r="K252" s="1618"/>
      <c r="L252" s="1618"/>
      <c r="M252" s="1618"/>
      <c r="N252" s="1618"/>
      <c r="O252" s="1619"/>
      <c r="S252" s="461"/>
      <c r="T252" s="48"/>
    </row>
    <row r="253" spans="1:20" ht="15" customHeight="1">
      <c r="A253" s="712" t="s">
        <v>1392</v>
      </c>
      <c r="B253" s="713">
        <v>884940</v>
      </c>
      <c r="C253" s="712">
        <v>34468604</v>
      </c>
      <c r="D253" s="712">
        <v>34051569</v>
      </c>
      <c r="E253" s="712">
        <v>29353771</v>
      </c>
      <c r="F253" s="712">
        <v>345</v>
      </c>
      <c r="G253" s="714">
        <v>0.86199999999999999</v>
      </c>
      <c r="I253" s="712" t="s">
        <v>1392</v>
      </c>
      <c r="J253" s="713">
        <v>1566546</v>
      </c>
      <c r="K253" s="713">
        <v>67024260</v>
      </c>
      <c r="L253" s="713">
        <v>64189353</v>
      </c>
      <c r="M253" s="713">
        <v>51988587</v>
      </c>
      <c r="N253" s="712">
        <v>626</v>
      </c>
      <c r="O253" s="714">
        <v>0.81</v>
      </c>
      <c r="S253" s="461"/>
      <c r="T253" s="48"/>
    </row>
    <row r="254" spans="1:20" ht="15" customHeight="1">
      <c r="A254" s="712" t="s">
        <v>1393</v>
      </c>
      <c r="B254" s="713">
        <v>1165942</v>
      </c>
      <c r="C254" s="712">
        <v>54369078</v>
      </c>
      <c r="D254" s="712">
        <v>54248090</v>
      </c>
      <c r="E254" s="712">
        <v>43230438</v>
      </c>
      <c r="F254" s="712">
        <v>400</v>
      </c>
      <c r="G254" s="714">
        <v>0.79700000000000004</v>
      </c>
      <c r="I254" s="712" t="s">
        <v>1393</v>
      </c>
      <c r="J254" s="713">
        <v>9206781</v>
      </c>
      <c r="K254" s="713">
        <v>447177365</v>
      </c>
      <c r="L254" s="713">
        <v>411284756</v>
      </c>
      <c r="M254" s="713">
        <v>320650591</v>
      </c>
      <c r="N254" s="713">
        <v>3108</v>
      </c>
      <c r="O254" s="714">
        <v>0.78</v>
      </c>
      <c r="S254" s="461"/>
      <c r="T254" s="48"/>
    </row>
    <row r="255" spans="1:20" ht="15" customHeight="1">
      <c r="A255" s="712" t="s">
        <v>1394</v>
      </c>
      <c r="B255" s="713">
        <v>107048973</v>
      </c>
      <c r="C255" s="713">
        <v>4214129126</v>
      </c>
      <c r="D255" s="713">
        <v>4210274164</v>
      </c>
      <c r="E255" s="713">
        <v>3518094881</v>
      </c>
      <c r="F255" s="713">
        <v>34981</v>
      </c>
      <c r="G255" s="714">
        <v>0.83599999999999997</v>
      </c>
      <c r="I255" s="712" t="s">
        <v>1394</v>
      </c>
      <c r="J255" s="713">
        <v>56992266</v>
      </c>
      <c r="K255" s="713">
        <v>2320209108</v>
      </c>
      <c r="L255" s="713">
        <v>2215174480</v>
      </c>
      <c r="M255" s="713">
        <v>1735386014</v>
      </c>
      <c r="N255" s="713">
        <v>19130</v>
      </c>
      <c r="O255" s="714">
        <v>0.78300000000000003</v>
      </c>
      <c r="S255" s="461"/>
      <c r="T255" s="48"/>
    </row>
    <row r="256" spans="1:20" ht="15" customHeight="1">
      <c r="A256" s="715" t="s">
        <v>1395</v>
      </c>
      <c r="B256" s="713">
        <v>43636120</v>
      </c>
      <c r="C256" s="713">
        <v>1564379573</v>
      </c>
      <c r="D256" s="713">
        <v>1562709914</v>
      </c>
      <c r="E256" s="713">
        <v>1295954600</v>
      </c>
      <c r="F256" s="713">
        <v>58936</v>
      </c>
      <c r="G256" s="714">
        <v>0.82899999999999996</v>
      </c>
      <c r="I256" s="715" t="s">
        <v>1395</v>
      </c>
      <c r="J256" s="713">
        <v>30743412</v>
      </c>
      <c r="K256" s="713">
        <v>1113398564</v>
      </c>
      <c r="L256" s="713">
        <v>1028918001</v>
      </c>
      <c r="M256" s="713">
        <v>841911919</v>
      </c>
      <c r="N256" s="713">
        <v>43098</v>
      </c>
      <c r="O256" s="714">
        <v>0.81799999999999995</v>
      </c>
      <c r="S256" s="461"/>
      <c r="T256" s="48"/>
    </row>
    <row r="257" spans="1:20" ht="15" customHeight="1">
      <c r="A257" s="712" t="s">
        <v>1396</v>
      </c>
      <c r="B257" s="713">
        <v>30280158</v>
      </c>
      <c r="C257" s="713">
        <v>828633636</v>
      </c>
      <c r="D257" s="713">
        <v>827457359</v>
      </c>
      <c r="E257" s="713">
        <v>683445896</v>
      </c>
      <c r="F257" s="713">
        <v>58038</v>
      </c>
      <c r="G257" s="714">
        <v>0.82599999999999996</v>
      </c>
      <c r="I257" s="712" t="s">
        <v>1396</v>
      </c>
      <c r="J257" s="713">
        <v>20364763</v>
      </c>
      <c r="K257" s="713">
        <v>577858166</v>
      </c>
      <c r="L257" s="713">
        <v>533739140</v>
      </c>
      <c r="M257" s="713">
        <v>439755415</v>
      </c>
      <c r="N257" s="713">
        <v>36860</v>
      </c>
      <c r="O257" s="714">
        <v>0.82399999999999995</v>
      </c>
      <c r="S257" s="461"/>
      <c r="T257" s="48"/>
    </row>
    <row r="258" spans="1:20" ht="15" customHeight="1">
      <c r="A258" s="710"/>
      <c r="B258" s="726"/>
      <c r="C258" s="710"/>
      <c r="D258" s="710"/>
      <c r="E258" s="710"/>
      <c r="F258" s="710"/>
      <c r="G258" s="710"/>
      <c r="I258" s="710"/>
      <c r="J258" s="710"/>
      <c r="K258" s="710"/>
      <c r="L258" s="710"/>
      <c r="M258" s="710"/>
      <c r="N258" s="710"/>
      <c r="O258" s="710"/>
      <c r="S258" s="461"/>
      <c r="T258" s="48"/>
    </row>
    <row r="259" spans="1:20" ht="15" customHeight="1">
      <c r="A259" s="710"/>
      <c r="B259" s="710"/>
      <c r="C259" s="710"/>
      <c r="D259" s="710"/>
      <c r="E259" s="710"/>
      <c r="F259" s="710"/>
      <c r="G259" s="710"/>
      <c r="I259" s="710"/>
      <c r="J259" s="710"/>
      <c r="K259" s="710"/>
      <c r="L259" s="710"/>
      <c r="M259" s="710"/>
      <c r="N259" s="710"/>
      <c r="O259" s="710"/>
      <c r="S259" s="461"/>
      <c r="T259" s="48"/>
    </row>
    <row r="260" spans="1:20" ht="15" customHeight="1">
      <c r="A260" s="1614" t="s">
        <v>1397</v>
      </c>
      <c r="B260" s="1620"/>
      <c r="C260" s="1620"/>
      <c r="D260" s="1620"/>
      <c r="E260" s="1621"/>
      <c r="F260" s="710"/>
      <c r="I260" s="1614" t="s">
        <v>1398</v>
      </c>
      <c r="J260" s="1620"/>
      <c r="K260" s="1620"/>
      <c r="L260" s="1620"/>
      <c r="M260" s="1621"/>
      <c r="N260" s="710"/>
      <c r="O260" s="710"/>
      <c r="S260" s="461"/>
      <c r="T260" s="48"/>
    </row>
    <row r="261" spans="1:20" ht="15" customHeight="1">
      <c r="A261" s="716" t="s">
        <v>1383</v>
      </c>
      <c r="B261" s="717" t="s">
        <v>1399</v>
      </c>
      <c r="C261" s="717" t="s">
        <v>1400</v>
      </c>
      <c r="D261" s="717" t="s">
        <v>1384</v>
      </c>
      <c r="E261" s="717" t="s">
        <v>1401</v>
      </c>
      <c r="F261" s="710"/>
      <c r="I261" s="716" t="s">
        <v>1383</v>
      </c>
      <c r="J261" s="717" t="s">
        <v>1399</v>
      </c>
      <c r="K261" s="717" t="s">
        <v>1400</v>
      </c>
      <c r="L261" s="717" t="s">
        <v>1384</v>
      </c>
      <c r="M261" s="717" t="s">
        <v>1401</v>
      </c>
      <c r="N261" s="710"/>
      <c r="O261" s="718"/>
      <c r="S261" s="461"/>
      <c r="T261" s="48"/>
    </row>
    <row r="262" spans="1:20" ht="15" customHeight="1">
      <c r="A262" s="719" t="s">
        <v>1402</v>
      </c>
      <c r="B262" s="719">
        <v>173</v>
      </c>
      <c r="C262" s="719">
        <v>666.15</v>
      </c>
      <c r="D262" s="720">
        <v>158788876.47</v>
      </c>
      <c r="E262" s="721">
        <v>49699</v>
      </c>
      <c r="F262" s="710"/>
      <c r="I262" s="719" t="s">
        <v>1402</v>
      </c>
      <c r="J262" s="719">
        <v>173</v>
      </c>
      <c r="K262" s="719">
        <v>666.15</v>
      </c>
      <c r="L262" s="720">
        <v>158788876.47</v>
      </c>
      <c r="M262" s="721">
        <v>49699</v>
      </c>
      <c r="N262" s="710"/>
      <c r="O262" s="710"/>
      <c r="S262" s="461"/>
      <c r="T262" s="48"/>
    </row>
    <row r="263" spans="1:20" ht="15" customHeight="1">
      <c r="A263" s="719" t="s">
        <v>1403</v>
      </c>
      <c r="B263" s="719">
        <v>68</v>
      </c>
      <c r="C263" s="719">
        <v>399.11</v>
      </c>
      <c r="D263" s="720">
        <v>39631695.18</v>
      </c>
      <c r="E263" s="721">
        <v>51267</v>
      </c>
      <c r="F263" s="710"/>
      <c r="I263" s="719" t="s">
        <v>1403</v>
      </c>
      <c r="J263" s="719">
        <v>68</v>
      </c>
      <c r="K263" s="719">
        <v>399.11</v>
      </c>
      <c r="L263" s="720">
        <v>39631695.18</v>
      </c>
      <c r="M263" s="721">
        <v>51267</v>
      </c>
      <c r="N263" s="710"/>
      <c r="O263" s="710"/>
      <c r="S263" s="461"/>
      <c r="T263" s="48"/>
    </row>
    <row r="264" spans="1:20" ht="15" customHeight="1">
      <c r="A264" s="719" t="s">
        <v>1404</v>
      </c>
      <c r="B264" s="719">
        <v>50</v>
      </c>
      <c r="C264" s="719">
        <v>313.25</v>
      </c>
      <c r="D264" s="720">
        <v>61505087.490000002</v>
      </c>
      <c r="E264" s="721">
        <v>71122</v>
      </c>
      <c r="F264" s="710"/>
      <c r="G264" s="710"/>
      <c r="I264" s="719" t="s">
        <v>1404</v>
      </c>
      <c r="J264" s="719">
        <v>50</v>
      </c>
      <c r="K264" s="719">
        <v>313.25</v>
      </c>
      <c r="L264" s="720">
        <v>61505087.490000002</v>
      </c>
      <c r="M264" s="721">
        <v>71122</v>
      </c>
      <c r="N264" s="710"/>
      <c r="O264" s="710"/>
      <c r="S264" s="461"/>
      <c r="T264" s="48"/>
    </row>
    <row r="265" spans="1:20" ht="15" customHeight="1">
      <c r="A265" s="722" t="s">
        <v>1392</v>
      </c>
      <c r="B265" s="722">
        <v>165</v>
      </c>
      <c r="C265" s="722">
        <v>605.51</v>
      </c>
      <c r="D265" s="723">
        <v>884940</v>
      </c>
      <c r="E265" s="722">
        <v>345</v>
      </c>
      <c r="F265" s="710"/>
      <c r="G265" s="710"/>
      <c r="I265" s="722" t="s">
        <v>1392</v>
      </c>
      <c r="J265" s="722">
        <v>165</v>
      </c>
      <c r="K265" s="722">
        <v>648.89</v>
      </c>
      <c r="L265" s="723">
        <v>1566546</v>
      </c>
      <c r="M265" s="722">
        <v>626</v>
      </c>
      <c r="N265" s="710"/>
      <c r="O265" s="710"/>
      <c r="S265" s="461"/>
      <c r="T265" s="48"/>
    </row>
    <row r="266" spans="1:20" ht="15" customHeight="1">
      <c r="A266" s="722" t="s">
        <v>1393</v>
      </c>
      <c r="B266" s="722">
        <v>214</v>
      </c>
      <c r="C266" s="722">
        <v>635.15</v>
      </c>
      <c r="D266" s="723">
        <v>1165942</v>
      </c>
      <c r="E266" s="722">
        <v>400</v>
      </c>
      <c r="F266" s="710"/>
      <c r="G266" s="710"/>
      <c r="H266" s="50"/>
      <c r="I266" s="722" t="s">
        <v>1393</v>
      </c>
      <c r="J266" s="722">
        <v>214</v>
      </c>
      <c r="K266" s="722">
        <v>672.33</v>
      </c>
      <c r="L266" s="723">
        <v>9206781</v>
      </c>
      <c r="M266" s="724">
        <v>3108</v>
      </c>
      <c r="N266" s="710"/>
      <c r="O266" s="710"/>
      <c r="S266" s="461"/>
      <c r="T266" s="48"/>
    </row>
    <row r="267" spans="1:20" ht="15" customHeight="1">
      <c r="A267" s="722" t="s">
        <v>1394</v>
      </c>
      <c r="B267" s="722">
        <v>171</v>
      </c>
      <c r="C267" s="722">
        <v>704.5</v>
      </c>
      <c r="D267" s="723">
        <v>107048973</v>
      </c>
      <c r="E267" s="724">
        <v>34981</v>
      </c>
      <c r="F267" s="710"/>
      <c r="G267" s="710"/>
      <c r="H267" s="50"/>
      <c r="I267" s="722" t="s">
        <v>1394</v>
      </c>
      <c r="J267" s="722">
        <v>171</v>
      </c>
      <c r="K267" s="722">
        <v>709.28</v>
      </c>
      <c r="L267" s="723">
        <v>56992266</v>
      </c>
      <c r="M267" s="724">
        <v>19130</v>
      </c>
      <c r="N267" s="710"/>
      <c r="O267" s="710"/>
      <c r="S267" s="461"/>
      <c r="T267" s="48"/>
    </row>
    <row r="268" spans="1:20" ht="15" customHeight="1">
      <c r="A268" s="722" t="s">
        <v>1395</v>
      </c>
      <c r="B268" s="722">
        <v>68</v>
      </c>
      <c r="C268" s="722">
        <v>390.35</v>
      </c>
      <c r="D268" s="723">
        <v>43636120</v>
      </c>
      <c r="E268" s="724">
        <v>58936</v>
      </c>
      <c r="F268" s="710"/>
      <c r="G268" s="710"/>
      <c r="H268" s="50"/>
      <c r="I268" s="722" t="s">
        <v>1395</v>
      </c>
      <c r="J268" s="722">
        <v>68</v>
      </c>
      <c r="K268" s="722">
        <v>379.91</v>
      </c>
      <c r="L268" s="723">
        <v>30743412</v>
      </c>
      <c r="M268" s="724">
        <v>43098</v>
      </c>
      <c r="N268" s="710"/>
      <c r="O268" s="710"/>
      <c r="S268" s="461"/>
      <c r="T268" s="48"/>
    </row>
    <row r="269" spans="1:20" ht="15" customHeight="1">
      <c r="A269" s="722" t="s">
        <v>1396</v>
      </c>
      <c r="B269" s="722">
        <v>50</v>
      </c>
      <c r="C269" s="722">
        <v>285.55</v>
      </c>
      <c r="D269" s="723">
        <v>30280158</v>
      </c>
      <c r="E269" s="724">
        <v>58038</v>
      </c>
      <c r="F269" s="710"/>
      <c r="G269" s="710"/>
      <c r="H269" s="50"/>
      <c r="I269" s="722" t="s">
        <v>1396</v>
      </c>
      <c r="J269" s="722">
        <v>50</v>
      </c>
      <c r="K269" s="722">
        <v>313.54000000000002</v>
      </c>
      <c r="L269" s="723">
        <v>20364763</v>
      </c>
      <c r="M269" s="724">
        <v>36860</v>
      </c>
      <c r="N269" s="710"/>
      <c r="O269" s="710"/>
      <c r="S269" s="461"/>
      <c r="T269" s="48"/>
    </row>
    <row r="270" spans="1:20" ht="15" customHeight="1">
      <c r="A270" s="710"/>
      <c r="B270" s="710"/>
      <c r="C270" s="710"/>
      <c r="D270" s="710"/>
      <c r="E270" s="710"/>
      <c r="F270" s="710"/>
      <c r="G270" s="710"/>
      <c r="H270" s="50"/>
      <c r="I270" s="710"/>
      <c r="J270" s="710"/>
      <c r="K270" s="710"/>
      <c r="L270" s="710"/>
      <c r="M270" s="710"/>
      <c r="N270" s="710"/>
      <c r="O270" s="710"/>
      <c r="S270" s="461"/>
      <c r="T270" s="48"/>
    </row>
    <row r="271" spans="1:20" ht="15" customHeight="1">
      <c r="A271" s="1614" t="s">
        <v>1405</v>
      </c>
      <c r="B271" s="1622"/>
      <c r="C271" s="1622"/>
      <c r="D271" s="1622"/>
      <c r="E271" s="1622"/>
      <c r="F271" s="1623"/>
      <c r="G271" s="710"/>
      <c r="H271" s="50"/>
      <c r="I271" s="1614" t="s">
        <v>1405</v>
      </c>
      <c r="J271" s="1622"/>
      <c r="K271" s="1622"/>
      <c r="L271" s="1622"/>
      <c r="M271" s="1622"/>
      <c r="N271" s="1623"/>
      <c r="O271" s="710"/>
      <c r="S271" s="461"/>
      <c r="T271" s="48"/>
    </row>
    <row r="272" spans="1:20" ht="15" customHeight="1">
      <c r="A272" s="725" t="s">
        <v>1383</v>
      </c>
      <c r="B272" s="717" t="s">
        <v>1406</v>
      </c>
      <c r="C272" s="717" t="s">
        <v>1407</v>
      </c>
      <c r="D272" s="717" t="s">
        <v>1408</v>
      </c>
      <c r="E272" s="717" t="s">
        <v>1409</v>
      </c>
      <c r="F272" s="717" t="s">
        <v>1410</v>
      </c>
      <c r="G272" s="710"/>
      <c r="H272" s="50"/>
      <c r="I272" s="725" t="s">
        <v>1383</v>
      </c>
      <c r="J272" s="717" t="s">
        <v>1406</v>
      </c>
      <c r="K272" s="717" t="s">
        <v>1407</v>
      </c>
      <c r="L272" s="717" t="s">
        <v>1408</v>
      </c>
      <c r="M272" s="717" t="s">
        <v>1409</v>
      </c>
      <c r="N272" s="717" t="s">
        <v>1410</v>
      </c>
      <c r="O272" s="710"/>
      <c r="S272" s="461"/>
      <c r="T272" s="48"/>
    </row>
    <row r="273" spans="1:20" ht="15" customHeight="1">
      <c r="A273" s="719" t="s">
        <v>1402</v>
      </c>
      <c r="B273" s="720">
        <v>3195.01</v>
      </c>
      <c r="C273" s="719">
        <v>138.4</v>
      </c>
      <c r="D273" s="719">
        <v>23.09</v>
      </c>
      <c r="E273" s="719">
        <v>3.4700000000000002E-2</v>
      </c>
      <c r="F273" s="719">
        <v>4.3900000000000002E-2</v>
      </c>
      <c r="G273" s="710"/>
      <c r="H273" s="50"/>
      <c r="I273" s="719" t="s">
        <v>1402</v>
      </c>
      <c r="J273" s="720">
        <v>3195.01</v>
      </c>
      <c r="K273" s="719">
        <v>138.4</v>
      </c>
      <c r="L273" s="719">
        <v>23.09</v>
      </c>
      <c r="M273" s="719">
        <v>3.4700000000000002E-2</v>
      </c>
      <c r="N273" s="719">
        <v>4.3900000000000002E-2</v>
      </c>
      <c r="O273" s="710"/>
      <c r="S273" s="461"/>
      <c r="T273" s="48"/>
    </row>
    <row r="274" spans="1:20" ht="15" customHeight="1">
      <c r="A274" s="719" t="s">
        <v>1403</v>
      </c>
      <c r="B274" s="719">
        <v>773.04</v>
      </c>
      <c r="C274" s="719">
        <v>54.4</v>
      </c>
      <c r="D274" s="719">
        <v>14.21</v>
      </c>
      <c r="E274" s="719">
        <v>3.56E-2</v>
      </c>
      <c r="F274" s="719">
        <v>4.5100000000000001E-2</v>
      </c>
      <c r="G274" s="710"/>
      <c r="H274" s="50"/>
      <c r="I274" s="719" t="s">
        <v>1403</v>
      </c>
      <c r="J274" s="719">
        <v>773.04</v>
      </c>
      <c r="K274" s="719">
        <v>54.4</v>
      </c>
      <c r="L274" s="719">
        <v>14.21</v>
      </c>
      <c r="M274" s="719">
        <v>3.56E-2</v>
      </c>
      <c r="N274" s="719">
        <v>4.5100000000000001E-2</v>
      </c>
      <c r="O274" s="710"/>
      <c r="S274" s="461"/>
      <c r="T274" s="48"/>
    </row>
    <row r="275" spans="1:20" ht="15" customHeight="1">
      <c r="A275" s="719" t="s">
        <v>1404</v>
      </c>
      <c r="B275" s="719">
        <v>864.78</v>
      </c>
      <c r="C275" s="719">
        <v>40</v>
      </c>
      <c r="D275" s="719">
        <v>21.62</v>
      </c>
      <c r="E275" s="719">
        <v>6.9000000000000006E-2</v>
      </c>
      <c r="F275" s="719">
        <v>8.7400000000000005E-2</v>
      </c>
      <c r="G275" s="710"/>
      <c r="H275" s="50"/>
      <c r="I275" s="719" t="s">
        <v>1404</v>
      </c>
      <c r="J275" s="719">
        <v>864.78</v>
      </c>
      <c r="K275" s="719">
        <v>40</v>
      </c>
      <c r="L275" s="719">
        <v>21.62</v>
      </c>
      <c r="M275" s="719">
        <v>6.9000000000000006E-2</v>
      </c>
      <c r="N275" s="719">
        <v>8.7400000000000005E-2</v>
      </c>
      <c r="O275" s="710"/>
      <c r="S275" s="461"/>
      <c r="T275" s="48"/>
    </row>
    <row r="276" spans="1:20" ht="15" customHeight="1">
      <c r="A276" s="722" t="s">
        <v>1392</v>
      </c>
      <c r="B276" s="723">
        <v>2565.04</v>
      </c>
      <c r="C276" s="722">
        <v>142.24</v>
      </c>
      <c r="D276" s="722">
        <v>18.03</v>
      </c>
      <c r="E276" s="722">
        <v>2.98E-2</v>
      </c>
      <c r="F276" s="722">
        <v>3.7699999999999997E-2</v>
      </c>
      <c r="G276" s="710"/>
      <c r="H276" s="50"/>
      <c r="I276" s="722" t="s">
        <v>1392</v>
      </c>
      <c r="J276" s="723">
        <v>2502.4699999999998</v>
      </c>
      <c r="K276" s="722">
        <v>133.63999999999999</v>
      </c>
      <c r="L276" s="722">
        <v>18.73</v>
      </c>
      <c r="M276" s="722">
        <v>2.8899999999999999E-2</v>
      </c>
      <c r="N276" s="722">
        <v>3.6499999999999998E-2</v>
      </c>
      <c r="O276" s="710"/>
      <c r="S276" s="461"/>
      <c r="T276" s="48"/>
    </row>
    <row r="277" spans="1:20" ht="15" customHeight="1">
      <c r="A277" s="722" t="s">
        <v>1393</v>
      </c>
      <c r="B277" s="723">
        <v>2914.86</v>
      </c>
      <c r="C277" s="722">
        <v>170.54</v>
      </c>
      <c r="D277" s="722">
        <v>17.09</v>
      </c>
      <c r="E277" s="722">
        <v>2.69E-2</v>
      </c>
      <c r="F277" s="722">
        <v>3.4099999999999998E-2</v>
      </c>
      <c r="G277" s="710"/>
      <c r="H277" s="50"/>
      <c r="I277" s="722" t="s">
        <v>1393</v>
      </c>
      <c r="J277" s="723">
        <v>2962.28</v>
      </c>
      <c r="K277" s="722">
        <v>166.84</v>
      </c>
      <c r="L277" s="722">
        <v>17.760000000000002</v>
      </c>
      <c r="M277" s="722">
        <v>2.64E-2</v>
      </c>
      <c r="N277" s="722">
        <v>3.3399999999999999E-2</v>
      </c>
      <c r="O277" s="710"/>
      <c r="S277" s="461"/>
      <c r="T277" s="48"/>
    </row>
    <row r="278" spans="1:20" ht="15" customHeight="1">
      <c r="A278" s="722" t="s">
        <v>1394</v>
      </c>
      <c r="B278" s="723">
        <v>3060.2</v>
      </c>
      <c r="C278" s="722">
        <v>142.88999999999999</v>
      </c>
      <c r="D278" s="722">
        <v>21.42</v>
      </c>
      <c r="E278" s="722">
        <v>3.04E-2</v>
      </c>
      <c r="F278" s="722">
        <v>3.85E-2</v>
      </c>
      <c r="G278" s="710"/>
      <c r="H278" s="50"/>
      <c r="I278" s="722" t="s">
        <v>1394</v>
      </c>
      <c r="J278" s="723">
        <v>2979.21</v>
      </c>
      <c r="K278" s="722">
        <v>133.96</v>
      </c>
      <c r="L278" s="722">
        <v>22.24</v>
      </c>
      <c r="M278" s="722">
        <v>3.1399999999999997E-2</v>
      </c>
      <c r="N278" s="722">
        <v>3.9699999999999999E-2</v>
      </c>
      <c r="O278" s="710"/>
      <c r="S278" s="461"/>
      <c r="T278" s="48"/>
    </row>
    <row r="279" spans="1:20" ht="15" customHeight="1">
      <c r="A279" s="722" t="s">
        <v>1395</v>
      </c>
      <c r="B279" s="722">
        <v>740.4</v>
      </c>
      <c r="C279" s="722">
        <v>56.39</v>
      </c>
      <c r="D279" s="722">
        <v>13.13</v>
      </c>
      <c r="E279" s="722">
        <v>3.3599999999999998E-2</v>
      </c>
      <c r="F279" s="722">
        <v>4.2599999999999999E-2</v>
      </c>
      <c r="G279" s="710"/>
      <c r="H279" s="50"/>
      <c r="I279" s="722" t="s">
        <v>1395</v>
      </c>
      <c r="J279" s="722">
        <v>713.34</v>
      </c>
      <c r="K279" s="722">
        <v>55.64</v>
      </c>
      <c r="L279" s="722">
        <v>12.82</v>
      </c>
      <c r="M279" s="722">
        <v>3.3700000000000001E-2</v>
      </c>
      <c r="N279" s="722">
        <v>4.2700000000000002E-2</v>
      </c>
      <c r="O279" s="710"/>
      <c r="S279" s="461"/>
      <c r="T279" s="48"/>
    </row>
    <row r="280" spans="1:20" ht="15" customHeight="1">
      <c r="A280" s="722" t="s">
        <v>1396</v>
      </c>
      <c r="B280" s="722">
        <v>521.73</v>
      </c>
      <c r="C280" s="722">
        <v>41.3</v>
      </c>
      <c r="D280" s="722">
        <v>12.63</v>
      </c>
      <c r="E280" s="722">
        <v>4.4200000000000003E-2</v>
      </c>
      <c r="F280" s="722">
        <v>5.6000000000000001E-2</v>
      </c>
      <c r="G280" s="710"/>
      <c r="H280" s="50"/>
      <c r="I280" s="722" t="s">
        <v>1396</v>
      </c>
      <c r="J280" s="722">
        <v>552.49</v>
      </c>
      <c r="K280" s="722">
        <v>41.2</v>
      </c>
      <c r="L280" s="722">
        <v>13.41</v>
      </c>
      <c r="M280" s="722">
        <v>4.2799999999999998E-2</v>
      </c>
      <c r="N280" s="722">
        <v>5.4100000000000002E-2</v>
      </c>
      <c r="O280" s="710"/>
      <c r="S280" s="461"/>
      <c r="T280" s="48"/>
    </row>
    <row r="281" spans="1:20" ht="15" customHeight="1">
      <c r="A281" s="166"/>
      <c r="B281" s="50"/>
      <c r="C281" s="50"/>
      <c r="D281" s="50"/>
      <c r="E281" s="50"/>
      <c r="F281" s="50"/>
      <c r="G281" s="50"/>
      <c r="H281" s="50"/>
      <c r="I281" s="50"/>
      <c r="J281" s="50"/>
      <c r="K281" s="50"/>
      <c r="L281" s="50"/>
      <c r="M281" s="50"/>
      <c r="N281" s="710"/>
      <c r="S281" s="461"/>
      <c r="T281" s="48"/>
    </row>
    <row r="282" spans="1:20" ht="15" hidden="1" customHeight="1">
      <c r="A282" s="166" t="s">
        <v>1411</v>
      </c>
      <c r="B282" s="50"/>
      <c r="C282" s="50"/>
      <c r="D282" s="50"/>
      <c r="E282" s="50"/>
      <c r="F282" s="50"/>
      <c r="G282" s="50"/>
      <c r="H282" s="50"/>
      <c r="I282" s="166" t="s">
        <v>1412</v>
      </c>
      <c r="J282" s="50"/>
      <c r="K282" s="50"/>
      <c r="L282" s="50"/>
      <c r="M282" s="50"/>
      <c r="N282" s="50"/>
      <c r="O282" s="50"/>
      <c r="P282" s="50"/>
      <c r="S282" s="461"/>
      <c r="T282" s="48"/>
    </row>
    <row r="283" spans="1:20" ht="18.75" hidden="1" customHeight="1">
      <c r="A283" s="814" t="s">
        <v>134</v>
      </c>
      <c r="B283" s="814" t="s">
        <v>1413</v>
      </c>
      <c r="C283" s="814" t="s">
        <v>1414</v>
      </c>
      <c r="D283" s="815" t="s">
        <v>1361</v>
      </c>
      <c r="E283" s="815" t="s">
        <v>1415</v>
      </c>
      <c r="F283" s="815" t="s">
        <v>1363</v>
      </c>
      <c r="G283" s="815" t="s">
        <v>1364</v>
      </c>
      <c r="I283" s="814" t="s">
        <v>134</v>
      </c>
      <c r="J283" s="814" t="s">
        <v>1413</v>
      </c>
      <c r="K283" s="815" t="s">
        <v>1414</v>
      </c>
      <c r="L283" s="815" t="s">
        <v>1361</v>
      </c>
      <c r="M283" s="815" t="s">
        <v>1415</v>
      </c>
      <c r="N283" s="815" t="s">
        <v>1363</v>
      </c>
      <c r="O283" s="815" t="s">
        <v>1364</v>
      </c>
      <c r="S283" s="461"/>
      <c r="T283" s="48"/>
    </row>
    <row r="284" spans="1:20" ht="15" hidden="1" customHeight="1">
      <c r="A284" s="1624" t="s">
        <v>1416</v>
      </c>
      <c r="B284" s="1675" t="s">
        <v>1392</v>
      </c>
      <c r="C284" s="1579"/>
      <c r="D284" s="842">
        <f>SUM(E284:G284)</f>
        <v>9.9012264000000003E-2</v>
      </c>
      <c r="E284" s="842">
        <f>F276*D297</f>
        <v>9.5674456800000002E-2</v>
      </c>
      <c r="F284" s="842">
        <f>F276*E297</f>
        <v>6.7317119999999993E-4</v>
      </c>
      <c r="G284" s="842">
        <f>F276*F297</f>
        <v>2.6646360000000002E-3</v>
      </c>
      <c r="I284" s="1624" t="s">
        <v>1416</v>
      </c>
      <c r="J284" s="1675" t="s">
        <v>1392</v>
      </c>
      <c r="K284" s="1625" t="s">
        <v>1417</v>
      </c>
      <c r="L284" s="583">
        <f>SUM(M284:O284)</f>
        <v>9.586067999999999E-2</v>
      </c>
      <c r="M284" s="1626">
        <f>N276*D297</f>
        <v>9.2629115999999997E-2</v>
      </c>
      <c r="N284" s="1626">
        <f>N276*E297</f>
        <v>6.51744E-4</v>
      </c>
      <c r="O284" s="1627">
        <f>N276*F297</f>
        <v>2.57982E-3</v>
      </c>
      <c r="S284" s="461"/>
      <c r="T284" s="48"/>
    </row>
    <row r="285" spans="1:20" ht="15" hidden="1" customHeight="1">
      <c r="A285" s="816"/>
      <c r="B285" s="734" t="s">
        <v>1393</v>
      </c>
      <c r="C285" s="738"/>
      <c r="D285" s="842">
        <f>SUM(E285:G285)</f>
        <v>8.9557511999999992E-2</v>
      </c>
      <c r="E285" s="842">
        <f>F277*D297</f>
        <v>8.6538434400000003E-2</v>
      </c>
      <c r="F285" s="842">
        <f>F277*E297</f>
        <v>6.0888960000000003E-4</v>
      </c>
      <c r="G285" s="842">
        <f>F277*F297</f>
        <v>2.4101880000000002E-3</v>
      </c>
      <c r="I285" s="816"/>
      <c r="J285" s="734" t="s">
        <v>1393</v>
      </c>
      <c r="K285" s="826"/>
      <c r="L285" s="583">
        <f t="shared" ref="L285:L289" si="0">SUM(M285:O285)</f>
        <v>0.15603837600000001</v>
      </c>
      <c r="M285" s="819">
        <f>N277*D297</f>
        <v>8.4761985600000006E-2</v>
      </c>
      <c r="N285" s="819">
        <f>N277*E297</f>
        <v>5.9639039999999995E-4</v>
      </c>
      <c r="O285" s="822">
        <f>F297</f>
        <v>7.0680000000000007E-2</v>
      </c>
      <c r="S285" s="461"/>
      <c r="T285" s="48"/>
    </row>
    <row r="286" spans="1:20" ht="15" hidden="1" customHeight="1">
      <c r="A286" s="817"/>
      <c r="B286" s="735" t="s">
        <v>1394</v>
      </c>
      <c r="C286" s="471"/>
      <c r="D286" s="842">
        <f>SUM(E286:G286)</f>
        <v>0.10111332000000002</v>
      </c>
      <c r="E286" s="842">
        <f>F278*D297</f>
        <v>9.7704684000000014E-2</v>
      </c>
      <c r="F286" s="842">
        <f>F278*E297</f>
        <v>6.8745600000000003E-4</v>
      </c>
      <c r="G286" s="842">
        <f>F278*F297</f>
        <v>2.7211800000000001E-3</v>
      </c>
      <c r="I286" s="817"/>
      <c r="J286" s="735" t="s">
        <v>1394</v>
      </c>
      <c r="K286" s="827"/>
      <c r="L286" s="820">
        <f t="shared" si="0"/>
        <v>0.10426490400000001</v>
      </c>
      <c r="M286" s="820">
        <f>N278*D297</f>
        <v>0.1007500248</v>
      </c>
      <c r="N286" s="820">
        <f>N278*E297</f>
        <v>7.0888319999999996E-4</v>
      </c>
      <c r="O286" s="821">
        <f>N278*F297</f>
        <v>2.8059960000000003E-3</v>
      </c>
      <c r="S286" s="461"/>
      <c r="T286" s="48"/>
    </row>
    <row r="287" spans="1:20" ht="15" hidden="1" customHeight="1">
      <c r="A287" s="816" t="s">
        <v>1418</v>
      </c>
      <c r="B287" s="734"/>
      <c r="C287" s="1147">
        <f>F246</f>
        <v>0.22</v>
      </c>
      <c r="D287" s="1146">
        <f>AVERAGE(D284:D286)</f>
        <v>9.6561032000000005E-2</v>
      </c>
      <c r="E287" s="843">
        <f t="shared" ref="E287:G287" si="1">AVERAGE(E284:E286)</f>
        <v>9.3305858400000011E-2</v>
      </c>
      <c r="F287" s="843">
        <f t="shared" si="1"/>
        <v>6.5650560000000003E-4</v>
      </c>
      <c r="G287" s="843">
        <f t="shared" si="1"/>
        <v>2.5986680000000002E-3</v>
      </c>
      <c r="I287" s="816" t="s">
        <v>1418</v>
      </c>
      <c r="J287" s="734"/>
      <c r="K287" s="826"/>
      <c r="L287" s="823">
        <f>AVERAGE(L284:L286)</f>
        <v>0.11872132000000001</v>
      </c>
      <c r="M287" s="823">
        <f t="shared" ref="M287:O287" si="2">AVERAGE(M284:M286)</f>
        <v>9.2713708800000003E-2</v>
      </c>
      <c r="N287" s="823">
        <f t="shared" si="2"/>
        <v>6.523392E-4</v>
      </c>
      <c r="O287" s="823">
        <f t="shared" si="2"/>
        <v>2.5355272000000002E-2</v>
      </c>
      <c r="S287" s="461"/>
      <c r="T287" s="48"/>
    </row>
    <row r="288" spans="1:20" ht="15" hidden="1" customHeight="1">
      <c r="A288" s="1624" t="s">
        <v>1419</v>
      </c>
      <c r="B288" s="1675" t="s">
        <v>1395</v>
      </c>
      <c r="C288" s="1628">
        <f>F247</f>
        <v>0.42</v>
      </c>
      <c r="D288" s="842">
        <f>SUM(E288:G288)</f>
        <v>0.11188123200000001</v>
      </c>
      <c r="E288" s="842">
        <f>F279*D297</f>
        <v>0.10810959840000001</v>
      </c>
      <c r="F288" s="842">
        <f>F279*E297</f>
        <v>7.6066559999999998E-4</v>
      </c>
      <c r="G288" s="842">
        <f>F279*F297</f>
        <v>3.0109680000000002E-3</v>
      </c>
      <c r="I288" s="1624" t="s">
        <v>1419</v>
      </c>
      <c r="J288" s="1675" t="s">
        <v>1395</v>
      </c>
      <c r="K288" s="1625"/>
      <c r="L288" s="583">
        <f t="shared" si="0"/>
        <v>0.11214386400000002</v>
      </c>
      <c r="M288" s="1626">
        <f>N279*D297</f>
        <v>0.10836337680000002</v>
      </c>
      <c r="N288" s="1626">
        <f>N279*E297</f>
        <v>7.624512E-4</v>
      </c>
      <c r="O288" s="1627">
        <f>N279*F297</f>
        <v>3.0180360000000004E-3</v>
      </c>
      <c r="S288" s="461"/>
      <c r="T288" s="48"/>
    </row>
    <row r="289" spans="1:20" ht="15" hidden="1" customHeight="1">
      <c r="A289" s="817"/>
      <c r="B289" s="735" t="s">
        <v>1396</v>
      </c>
      <c r="C289" s="1148">
        <f>F248</f>
        <v>0.36</v>
      </c>
      <c r="D289" s="842">
        <f>SUM(E289:G289)</f>
        <v>0.14707392000000002</v>
      </c>
      <c r="E289" s="842">
        <f>F280*D297</f>
        <v>0.14211590400000002</v>
      </c>
      <c r="F289" s="842">
        <f>F280*E297</f>
        <v>9.999360000000001E-4</v>
      </c>
      <c r="G289" s="842">
        <f>F280*F297</f>
        <v>3.9580800000000001E-3</v>
      </c>
      <c r="I289" s="817"/>
      <c r="J289" s="735" t="s">
        <v>1396</v>
      </c>
      <c r="K289" s="827"/>
      <c r="L289" s="583">
        <f t="shared" si="0"/>
        <v>0.14208391200000003</v>
      </c>
      <c r="M289" s="820">
        <f>N280*D297</f>
        <v>0.13729411440000003</v>
      </c>
      <c r="N289" s="820">
        <f>N280*E297</f>
        <v>9.6600960000000008E-4</v>
      </c>
      <c r="O289" s="821">
        <f>N280*F297</f>
        <v>3.8237880000000007E-3</v>
      </c>
      <c r="S289" s="461"/>
      <c r="T289" s="48"/>
    </row>
    <row r="290" spans="1:20" ht="15" hidden="1" customHeight="1">
      <c r="A290" s="817" t="s">
        <v>1420</v>
      </c>
      <c r="B290" s="735"/>
      <c r="C290" s="1148">
        <f>AVERAGE(C288:C289)</f>
        <v>0.39</v>
      </c>
      <c r="D290" s="843">
        <f>AVERAGE(D288:D289)</f>
        <v>0.12947757600000001</v>
      </c>
      <c r="E290" s="843">
        <f t="shared" ref="E290:G290" si="3">AVERAGE(E288:E289)</f>
        <v>0.12511275120000001</v>
      </c>
      <c r="F290" s="843">
        <f t="shared" si="3"/>
        <v>8.8030080000000004E-4</v>
      </c>
      <c r="G290" s="843">
        <f t="shared" si="3"/>
        <v>3.4845240000000001E-3</v>
      </c>
      <c r="I290" s="817" t="s">
        <v>1420</v>
      </c>
      <c r="J290" s="735"/>
      <c r="K290" s="827"/>
      <c r="L290" s="823">
        <f>AVERAGE(L288:L289)</f>
        <v>0.12711388800000004</v>
      </c>
      <c r="M290" s="823">
        <f t="shared" ref="M290:O290" si="4">AVERAGE(M288:M289)</f>
        <v>0.12282874560000002</v>
      </c>
      <c r="N290" s="823">
        <f t="shared" si="4"/>
        <v>8.6423040000000004E-4</v>
      </c>
      <c r="O290" s="823">
        <f t="shared" si="4"/>
        <v>3.4209120000000008E-3</v>
      </c>
      <c r="S290" s="461"/>
      <c r="T290" s="48"/>
    </row>
    <row r="291" spans="1:20" ht="15" hidden="1" customHeight="1">
      <c r="A291" s="818" t="s">
        <v>1365</v>
      </c>
      <c r="B291" s="818"/>
      <c r="C291" s="818"/>
      <c r="D291" s="828"/>
      <c r="E291" s="828"/>
      <c r="F291" s="828"/>
      <c r="G291" s="829"/>
      <c r="I291" s="818" t="s">
        <v>1365</v>
      </c>
      <c r="J291" s="818"/>
      <c r="K291" s="818"/>
      <c r="L291" s="830"/>
      <c r="M291" s="830"/>
      <c r="N291" s="830"/>
      <c r="O291" s="831"/>
      <c r="S291" s="461"/>
      <c r="T291" s="48"/>
    </row>
    <row r="292" spans="1:20" ht="15" hidden="1" customHeight="1">
      <c r="H292" s="50"/>
      <c r="I292" s="50"/>
      <c r="J292" s="50"/>
      <c r="K292" s="50"/>
      <c r="L292" s="50"/>
      <c r="M292" s="50"/>
      <c r="N292" s="710"/>
      <c r="S292" s="461"/>
      <c r="T292" s="48"/>
    </row>
    <row r="293" spans="1:20" ht="15" customHeight="1">
      <c r="H293" s="50"/>
      <c r="I293" s="50"/>
      <c r="J293" s="50"/>
      <c r="K293" s="50"/>
      <c r="L293" s="50"/>
      <c r="M293" s="1189"/>
      <c r="N293" s="1189"/>
      <c r="S293" s="461"/>
      <c r="T293" s="48"/>
    </row>
    <row r="294" spans="1:20" ht="15" customHeight="1">
      <c r="A294" s="61" t="s">
        <v>1421</v>
      </c>
      <c r="H294" s="50"/>
      <c r="I294" s="50"/>
      <c r="J294" s="50"/>
      <c r="K294" s="50"/>
      <c r="L294" s="50"/>
      <c r="M294" s="1254"/>
      <c r="N294" s="1255"/>
      <c r="O294" s="1255"/>
      <c r="P294" s="1255"/>
      <c r="Q294" s="1255"/>
      <c r="R294" s="1255"/>
      <c r="S294" s="461"/>
      <c r="T294" s="48"/>
    </row>
    <row r="295" spans="1:20" ht="21" customHeight="1">
      <c r="A295" s="740" t="s">
        <v>1422</v>
      </c>
      <c r="B295" s="740" t="s">
        <v>70</v>
      </c>
      <c r="C295" s="739" t="s">
        <v>1423</v>
      </c>
      <c r="D295" s="739" t="s">
        <v>1424</v>
      </c>
      <c r="E295" s="739" t="s">
        <v>1425</v>
      </c>
      <c r="F295" s="739" t="s">
        <v>1426</v>
      </c>
      <c r="G295" s="739" t="s">
        <v>1427</v>
      </c>
      <c r="H295" s="50"/>
      <c r="I295" s="50"/>
      <c r="J295" s="50"/>
      <c r="K295" s="50"/>
      <c r="L295" s="50"/>
      <c r="S295" s="461"/>
      <c r="T295" s="48"/>
    </row>
    <row r="296" spans="1:20">
      <c r="A296" s="1818" t="s">
        <v>115</v>
      </c>
      <c r="B296" s="876" t="s">
        <v>97</v>
      </c>
      <c r="C296" s="894">
        <v>70.600000000000009</v>
      </c>
      <c r="D296" s="895">
        <v>68.22</v>
      </c>
      <c r="E296" s="881">
        <v>0.48</v>
      </c>
      <c r="F296" s="880">
        <v>1.9</v>
      </c>
      <c r="G296" s="1629">
        <v>5.0000000000000001E-4</v>
      </c>
      <c r="H296" s="188"/>
      <c r="I296" s="189"/>
      <c r="J296" s="189"/>
      <c r="K296" s="62"/>
      <c r="L296" s="50"/>
      <c r="S296" s="461"/>
      <c r="T296" s="48"/>
    </row>
    <row r="297" spans="1:20">
      <c r="A297" s="1818"/>
      <c r="B297" s="876" t="s">
        <v>91</v>
      </c>
      <c r="C297" s="879">
        <v>2.6263200000000002</v>
      </c>
      <c r="D297" s="880">
        <v>2.5377840000000003</v>
      </c>
      <c r="E297" s="886">
        <v>1.7856E-2</v>
      </c>
      <c r="F297" s="886">
        <v>7.0680000000000007E-2</v>
      </c>
      <c r="G297" s="1629">
        <v>5.0000000000000001E-4</v>
      </c>
      <c r="H297" s="188"/>
      <c r="I297" s="189"/>
      <c r="J297" s="189"/>
      <c r="K297" s="62"/>
      <c r="L297" s="50"/>
      <c r="S297" s="461"/>
      <c r="T297" s="48"/>
    </row>
    <row r="298" spans="1:20">
      <c r="A298" s="1818" t="s">
        <v>116</v>
      </c>
      <c r="B298" s="876" t="s">
        <v>97</v>
      </c>
      <c r="C298" s="894">
        <v>68.27000000000001</v>
      </c>
      <c r="D298" s="895">
        <v>65.89</v>
      </c>
      <c r="E298" s="881">
        <v>0.48</v>
      </c>
      <c r="F298" s="880">
        <v>1.9</v>
      </c>
      <c r="G298" s="1629">
        <v>5.0000000000000001E-4</v>
      </c>
      <c r="H298" s="188"/>
      <c r="I298" s="189"/>
      <c r="J298" s="189"/>
      <c r="K298" s="62"/>
      <c r="L298" s="50"/>
      <c r="S298" s="461"/>
      <c r="T298" s="48"/>
    </row>
    <row r="299" spans="1:20">
      <c r="A299" s="1818"/>
      <c r="B299" s="1630" t="s">
        <v>91</v>
      </c>
      <c r="C299" s="1631">
        <v>2.3123048999999996</v>
      </c>
      <c r="D299" s="1632">
        <v>2.2316942999999996</v>
      </c>
      <c r="E299" s="1633">
        <v>1.6257599999999997E-2</v>
      </c>
      <c r="F299" s="1633">
        <v>6.4352999999999994E-2</v>
      </c>
      <c r="G299" s="1634">
        <v>5.0000000000000001E-4</v>
      </c>
      <c r="H299" s="188"/>
      <c r="I299" s="189"/>
      <c r="J299" s="189"/>
      <c r="K299" s="62"/>
      <c r="L299" s="50"/>
      <c r="S299" s="461"/>
      <c r="T299" s="48"/>
    </row>
    <row r="300" spans="1:20">
      <c r="A300" s="62"/>
      <c r="B300" s="62"/>
      <c r="C300" s="446"/>
      <c r="D300" s="446"/>
      <c r="E300" s="742"/>
      <c r="F300" s="742"/>
      <c r="G300" s="743"/>
      <c r="H300" s="188"/>
      <c r="I300" s="189"/>
      <c r="J300" s="189"/>
      <c r="K300" s="62"/>
      <c r="L300" s="50"/>
      <c r="S300" s="461"/>
      <c r="T300" s="447"/>
    </row>
    <row r="301" spans="1:20" s="102" customFormat="1" ht="15.75" thickBot="1">
      <c r="A301" s="1256" t="s">
        <v>1428</v>
      </c>
      <c r="B301" s="1257"/>
      <c r="G301" s="1258"/>
      <c r="H301" s="1259"/>
      <c r="I301" s="1260"/>
      <c r="J301" s="1260"/>
      <c r="K301" s="1261"/>
      <c r="L301" s="1262"/>
      <c r="S301" s="1263"/>
      <c r="T301" s="1264"/>
    </row>
    <row r="302" spans="1:20" ht="18.75">
      <c r="A302" s="1265" t="s">
        <v>1429</v>
      </c>
      <c r="C302" s="1266" t="s">
        <v>1430</v>
      </c>
      <c r="H302" s="188"/>
      <c r="I302" s="189"/>
      <c r="J302" s="189"/>
      <c r="K302" s="62"/>
      <c r="L302" s="50"/>
      <c r="S302" s="461"/>
      <c r="T302" s="426"/>
    </row>
    <row r="303" spans="1:20" ht="15.75" thickBot="1">
      <c r="A303" s="1189" t="s">
        <v>1431</v>
      </c>
      <c r="B303" s="1189" t="s">
        <v>1432</v>
      </c>
      <c r="G303" s="1189" t="s">
        <v>1433</v>
      </c>
      <c r="H303" s="1189" t="s">
        <v>1434</v>
      </c>
      <c r="L303" s="50"/>
      <c r="S303" s="461"/>
      <c r="T303" s="426"/>
    </row>
    <row r="304" spans="1:20" ht="15.75" thickBot="1">
      <c r="A304" s="1267" t="s">
        <v>1413</v>
      </c>
      <c r="B304" s="1268" t="s">
        <v>1435</v>
      </c>
      <c r="C304" s="1268" t="s">
        <v>1400</v>
      </c>
      <c r="D304" s="1268" t="s">
        <v>1384</v>
      </c>
      <c r="E304" s="1269" t="s">
        <v>1401</v>
      </c>
      <c r="G304" s="1267" t="s">
        <v>1413</v>
      </c>
      <c r="H304" s="1268" t="s">
        <v>1436</v>
      </c>
      <c r="I304" s="1268" t="s">
        <v>1400</v>
      </c>
      <c r="J304" s="1268" t="s">
        <v>1384</v>
      </c>
      <c r="K304" s="1269" t="s">
        <v>1401</v>
      </c>
      <c r="L304" s="50"/>
      <c r="S304" s="461"/>
      <c r="T304" s="426"/>
    </row>
    <row r="305" spans="1:20" ht="15.75" thickBot="1">
      <c r="A305" s="1270" t="s">
        <v>1437</v>
      </c>
      <c r="B305" s="1271">
        <v>165</v>
      </c>
      <c r="C305" s="1271">
        <v>605.51</v>
      </c>
      <c r="D305" s="1272">
        <v>884940</v>
      </c>
      <c r="E305" s="1273">
        <v>345</v>
      </c>
      <c r="G305" s="1270" t="s">
        <v>1437</v>
      </c>
      <c r="H305" s="1274">
        <v>165</v>
      </c>
      <c r="I305" s="1274">
        <v>648.89</v>
      </c>
      <c r="J305" s="1275">
        <v>1566546</v>
      </c>
      <c r="K305" s="1276">
        <v>626</v>
      </c>
      <c r="L305" s="50"/>
      <c r="S305" s="461"/>
      <c r="T305" s="426"/>
    </row>
    <row r="306" spans="1:20" ht="15.75" thickBot="1">
      <c r="A306" s="1277" t="s">
        <v>1438</v>
      </c>
      <c r="B306" s="1278">
        <v>214</v>
      </c>
      <c r="C306" s="1278">
        <v>635.15</v>
      </c>
      <c r="D306" s="1279">
        <v>1165942</v>
      </c>
      <c r="E306" s="1280">
        <v>400</v>
      </c>
      <c r="G306" s="1277" t="s">
        <v>1438</v>
      </c>
      <c r="H306" s="1281">
        <v>214</v>
      </c>
      <c r="I306" s="1281">
        <v>672.33</v>
      </c>
      <c r="J306" s="1282">
        <v>9206781</v>
      </c>
      <c r="K306" s="1283">
        <v>3108</v>
      </c>
      <c r="L306" s="50"/>
      <c r="S306" s="461"/>
      <c r="T306" s="426"/>
    </row>
    <row r="307" spans="1:20" ht="24.75" thickBot="1">
      <c r="A307" s="1270" t="s">
        <v>1439</v>
      </c>
      <c r="B307" s="1271">
        <v>171</v>
      </c>
      <c r="C307" s="1271">
        <v>704.5</v>
      </c>
      <c r="D307" s="1272">
        <v>107048973</v>
      </c>
      <c r="E307" s="1284">
        <v>34981</v>
      </c>
      <c r="G307" s="1270" t="s">
        <v>1439</v>
      </c>
      <c r="H307" s="1274">
        <v>171</v>
      </c>
      <c r="I307" s="1274">
        <v>709.28</v>
      </c>
      <c r="J307" s="1275">
        <v>56992266</v>
      </c>
      <c r="K307" s="1285">
        <v>19130</v>
      </c>
      <c r="L307" s="50"/>
      <c r="S307" s="461"/>
      <c r="T307" s="426"/>
    </row>
    <row r="308" spans="1:20" ht="15.75" thickBot="1">
      <c r="A308" s="1277" t="s">
        <v>1440</v>
      </c>
      <c r="B308" s="1278">
        <v>68</v>
      </c>
      <c r="C308" s="1278">
        <v>390.35</v>
      </c>
      <c r="D308" s="1279">
        <v>43636120</v>
      </c>
      <c r="E308" s="1286">
        <v>58936</v>
      </c>
      <c r="G308" s="1277" t="s">
        <v>1440</v>
      </c>
      <c r="H308" s="1281">
        <v>68</v>
      </c>
      <c r="I308" s="1281">
        <v>379.91</v>
      </c>
      <c r="J308" s="1282">
        <v>30743412</v>
      </c>
      <c r="K308" s="1283">
        <v>43098</v>
      </c>
      <c r="L308" s="50"/>
      <c r="S308" s="461"/>
      <c r="T308" s="426"/>
    </row>
    <row r="309" spans="1:20" ht="15.75" thickBot="1">
      <c r="A309" s="1270" t="s">
        <v>1441</v>
      </c>
      <c r="B309" s="1271">
        <v>50</v>
      </c>
      <c r="C309" s="1271">
        <v>285.55</v>
      </c>
      <c r="D309" s="1272">
        <v>30280158</v>
      </c>
      <c r="E309" s="1284">
        <v>58038</v>
      </c>
      <c r="G309" s="1270" t="s">
        <v>1441</v>
      </c>
      <c r="H309" s="1274">
        <v>50</v>
      </c>
      <c r="I309" s="1274">
        <v>313.54000000000002</v>
      </c>
      <c r="J309" s="1275">
        <v>20364763</v>
      </c>
      <c r="K309" s="1285">
        <v>36860</v>
      </c>
      <c r="L309" s="50"/>
      <c r="S309" s="461"/>
      <c r="T309" s="426"/>
    </row>
    <row r="310" spans="1:20" ht="15.75" thickBot="1">
      <c r="A310" s="1287" t="s">
        <v>1442</v>
      </c>
      <c r="B310" s="1288">
        <f>AVERAGE(B305:B307,173)</f>
        <v>180.75</v>
      </c>
      <c r="C310" s="1288">
        <f>AVERAGE(C305:C307,666.15)</f>
        <v>652.82749999999999</v>
      </c>
      <c r="D310" s="1289">
        <f>AVERAGE(D305:D307,158788876.47)</f>
        <v>66972182.8675</v>
      </c>
      <c r="E310" s="1290">
        <f>AVERAGE(E305:E307,49699)</f>
        <v>21356.25</v>
      </c>
      <c r="G310" s="1287" t="s">
        <v>1442</v>
      </c>
      <c r="H310" s="1288">
        <f>AVERAGE(H305:H307,173)</f>
        <v>180.75</v>
      </c>
      <c r="I310" s="1288">
        <f>AVERAGE(I305:I307,666.15)</f>
        <v>674.16250000000002</v>
      </c>
      <c r="J310" s="1289">
        <f>AVERAGE(J305:J307,158788876.47)</f>
        <v>56638617.3675</v>
      </c>
      <c r="K310" s="1290">
        <f>AVERAGE(K305:K307,49699)</f>
        <v>18140.75</v>
      </c>
      <c r="L310" s="50"/>
      <c r="S310" s="461"/>
      <c r="T310" s="426"/>
    </row>
    <row r="311" spans="1:20" ht="15.75" thickBot="1">
      <c r="A311" s="1291" t="s">
        <v>1443</v>
      </c>
      <c r="B311" s="1288">
        <f>AVERAGE(B308,68)</f>
        <v>68</v>
      </c>
      <c r="C311" s="1288">
        <f>AVERAGE(C308,399.11)</f>
        <v>394.73</v>
      </c>
      <c r="D311" s="1292">
        <f>AVERAGE(D308,39631695.18)</f>
        <v>41633907.590000004</v>
      </c>
      <c r="E311" s="1293">
        <f>AVERAGE(E308,51267)</f>
        <v>55101.5</v>
      </c>
      <c r="G311" s="1291" t="s">
        <v>1443</v>
      </c>
      <c r="H311" s="1288">
        <f>AVERAGE(H308,68)</f>
        <v>68</v>
      </c>
      <c r="I311" s="1288">
        <f>AVERAGE(I308,399.11)</f>
        <v>389.51</v>
      </c>
      <c r="J311" s="1292">
        <f>AVERAGE(J308,39631695.18)</f>
        <v>35187553.590000004</v>
      </c>
      <c r="K311" s="1293">
        <f>AVERAGE(K308,51267)</f>
        <v>47182.5</v>
      </c>
      <c r="L311" s="50"/>
      <c r="S311" s="461"/>
      <c r="T311" s="426"/>
    </row>
    <row r="312" spans="1:20" ht="15.75" thickBot="1">
      <c r="A312" s="1294" t="s">
        <v>1444</v>
      </c>
      <c r="B312" s="1274">
        <v>19</v>
      </c>
      <c r="C312" s="1274">
        <v>167.78</v>
      </c>
      <c r="D312" s="1295">
        <v>94556</v>
      </c>
      <c r="E312" s="1276">
        <v>324</v>
      </c>
      <c r="G312" s="1294" t="s">
        <v>1444</v>
      </c>
      <c r="H312" s="1274">
        <v>19</v>
      </c>
      <c r="I312" s="1274">
        <v>167.78</v>
      </c>
      <c r="J312" s="1295">
        <v>94556</v>
      </c>
      <c r="K312" s="1276">
        <v>324</v>
      </c>
      <c r="L312" s="50"/>
      <c r="S312" s="461"/>
      <c r="T312" s="426"/>
    </row>
    <row r="313" spans="1:20" ht="15.75" thickBot="1">
      <c r="A313" s="1296" t="s">
        <v>1445</v>
      </c>
      <c r="B313" s="1281">
        <v>19</v>
      </c>
      <c r="C313" s="1281">
        <v>250.73</v>
      </c>
      <c r="D313" s="1297">
        <v>2152521.4</v>
      </c>
      <c r="E313" s="1283">
        <v>6277</v>
      </c>
      <c r="G313" s="1296" t="s">
        <v>1445</v>
      </c>
      <c r="H313" s="1281">
        <v>19</v>
      </c>
      <c r="I313" s="1281">
        <v>250.73</v>
      </c>
      <c r="J313" s="1297">
        <v>2152521.4</v>
      </c>
      <c r="K313" s="1283">
        <v>6277</v>
      </c>
      <c r="L313" s="50"/>
      <c r="S313" s="461"/>
      <c r="T313" s="426"/>
    </row>
    <row r="314" spans="1:20" ht="15.75" thickBot="1">
      <c r="A314" s="1294" t="s">
        <v>1446</v>
      </c>
      <c r="B314" s="1274">
        <v>6</v>
      </c>
      <c r="C314" s="1274">
        <v>95.87</v>
      </c>
      <c r="D314" s="1295">
        <v>1199632.3</v>
      </c>
      <c r="E314" s="1285">
        <v>9791</v>
      </c>
      <c r="F314" s="743"/>
      <c r="G314" s="1294" t="s">
        <v>1446</v>
      </c>
      <c r="H314" s="1274">
        <v>6</v>
      </c>
      <c r="I314" s="1274">
        <v>95.87</v>
      </c>
      <c r="J314" s="1295">
        <v>1199632.3</v>
      </c>
      <c r="K314" s="1285">
        <v>9791</v>
      </c>
      <c r="L314" s="50"/>
      <c r="S314" s="461"/>
      <c r="T314" s="426"/>
    </row>
    <row r="315" spans="1:20" ht="24.75" thickBot="1">
      <c r="A315" s="1291" t="s">
        <v>1447</v>
      </c>
      <c r="B315" s="1288">
        <f>AVERAGE(B309,50)</f>
        <v>50</v>
      </c>
      <c r="C315" s="1288">
        <f>AVERAGE(C309,313.25)</f>
        <v>299.39999999999998</v>
      </c>
      <c r="D315" s="1292">
        <f>AVERAGE(D309,61505087.49)</f>
        <v>45892622.745000005</v>
      </c>
      <c r="E315" s="1293">
        <f>AVERAGE(E309,71122)</f>
        <v>64580</v>
      </c>
      <c r="G315" s="1291" t="s">
        <v>1447</v>
      </c>
      <c r="H315" s="1288">
        <f>AVERAGE(H309,50)</f>
        <v>50</v>
      </c>
      <c r="I315" s="1288">
        <f>AVERAGE(I309,313.25)</f>
        <v>313.39499999999998</v>
      </c>
      <c r="J315" s="1292">
        <f>AVERAGE(J309,61505087.49)</f>
        <v>40934925.245000005</v>
      </c>
      <c r="K315" s="1293">
        <f>AVERAGE(K309,71122)</f>
        <v>53991</v>
      </c>
      <c r="L315" s="50"/>
      <c r="S315" s="461"/>
      <c r="T315" s="426"/>
    </row>
    <row r="316" spans="1:20" ht="15.75" thickBot="1">
      <c r="A316" s="1294" t="s">
        <v>1448</v>
      </c>
      <c r="B316" s="1274">
        <v>9</v>
      </c>
      <c r="C316" s="1274">
        <v>300.72000000000003</v>
      </c>
      <c r="D316" s="1295">
        <v>847901.49</v>
      </c>
      <c r="E316" s="1285">
        <v>4315</v>
      </c>
      <c r="G316" s="1294" t="s">
        <v>1448</v>
      </c>
      <c r="H316" s="1274">
        <v>9</v>
      </c>
      <c r="I316" s="1274">
        <v>300.72000000000003</v>
      </c>
      <c r="J316" s="1295">
        <v>847901.49</v>
      </c>
      <c r="K316" s="1285">
        <v>4315</v>
      </c>
      <c r="L316" s="50"/>
      <c r="S316" s="461"/>
      <c r="T316" s="426"/>
    </row>
    <row r="317" spans="1:20" ht="15.75" thickBot="1">
      <c r="A317" s="1296" t="s">
        <v>1449</v>
      </c>
      <c r="B317" s="1281">
        <v>34</v>
      </c>
      <c r="C317" s="1281">
        <v>479.7</v>
      </c>
      <c r="D317" s="1297">
        <v>407373.7</v>
      </c>
      <c r="E317" s="1298">
        <v>668</v>
      </c>
      <c r="G317" s="1296" t="s">
        <v>1449</v>
      </c>
      <c r="H317" s="1281">
        <v>34</v>
      </c>
      <c r="I317" s="1281">
        <v>479.7</v>
      </c>
      <c r="J317" s="1297">
        <v>407373.7</v>
      </c>
      <c r="K317" s="1298">
        <v>668</v>
      </c>
      <c r="L317" s="50"/>
      <c r="S317" s="461"/>
      <c r="T317" s="426"/>
    </row>
    <row r="318" spans="1:20" ht="15.75" thickBot="1">
      <c r="A318" s="1294" t="s">
        <v>1450</v>
      </c>
      <c r="B318" s="1299">
        <v>53</v>
      </c>
      <c r="C318" s="1299">
        <v>631.54999999999995</v>
      </c>
      <c r="D318" s="1300">
        <v>12890.19</v>
      </c>
      <c r="E318" s="1301">
        <v>11</v>
      </c>
      <c r="G318" s="1294" t="s">
        <v>1450</v>
      </c>
      <c r="H318" s="1299">
        <v>53</v>
      </c>
      <c r="I318" s="1299">
        <v>631.54999999999995</v>
      </c>
      <c r="J318" s="1300">
        <v>12890.19</v>
      </c>
      <c r="K318" s="1301">
        <v>11</v>
      </c>
      <c r="L318" s="50"/>
      <c r="S318" s="461"/>
      <c r="T318" s="426"/>
    </row>
    <row r="319" spans="1:20">
      <c r="A319" s="1302"/>
      <c r="B319">
        <f>SUM(B305:B307)</f>
        <v>550</v>
      </c>
      <c r="K319" s="62"/>
      <c r="L319" s="50"/>
      <c r="M319" s="1303"/>
      <c r="S319" s="461"/>
      <c r="T319" s="426"/>
    </row>
    <row r="320" spans="1:20">
      <c r="B320" s="1304" t="s">
        <v>1026</v>
      </c>
      <c r="K320" s="62"/>
      <c r="L320" s="50"/>
      <c r="M320" s="1305"/>
      <c r="S320" s="461"/>
      <c r="T320" s="426"/>
    </row>
    <row r="321" spans="1:20" ht="15.75" thickBot="1">
      <c r="A321" s="1189" t="s">
        <v>1451</v>
      </c>
      <c r="B321" s="1189" t="s">
        <v>1452</v>
      </c>
      <c r="H321" s="1189" t="s">
        <v>1453</v>
      </c>
      <c r="I321" s="1189" t="s">
        <v>1454</v>
      </c>
      <c r="S321" s="461"/>
      <c r="T321" s="426"/>
    </row>
    <row r="322" spans="1:20" ht="15.75" thickBot="1">
      <c r="A322" s="1306" t="s">
        <v>1413</v>
      </c>
      <c r="B322" s="1307" t="s">
        <v>1455</v>
      </c>
      <c r="C322" s="1307" t="s">
        <v>1456</v>
      </c>
      <c r="D322" s="1307" t="s">
        <v>1457</v>
      </c>
      <c r="E322" s="1307" t="s">
        <v>1458</v>
      </c>
      <c r="F322" s="1308" t="s">
        <v>1459</v>
      </c>
      <c r="H322" s="1306" t="s">
        <v>1413</v>
      </c>
      <c r="I322" s="1307" t="s">
        <v>1455</v>
      </c>
      <c r="J322" s="1307" t="s">
        <v>1456</v>
      </c>
      <c r="K322" s="1307" t="s">
        <v>1457</v>
      </c>
      <c r="L322" s="1307" t="s">
        <v>1458</v>
      </c>
      <c r="M322" s="1308" t="s">
        <v>1459</v>
      </c>
      <c r="S322" s="461"/>
      <c r="T322" s="426"/>
    </row>
    <row r="323" spans="1:20" ht="15.75" thickBot="1">
      <c r="A323" s="1270" t="s">
        <v>1437</v>
      </c>
      <c r="B323" s="1309">
        <v>2565.04</v>
      </c>
      <c r="C323" s="1271">
        <v>142.24</v>
      </c>
      <c r="D323" s="1271">
        <v>18.03</v>
      </c>
      <c r="E323" s="1271">
        <v>2.98E-2</v>
      </c>
      <c r="F323" s="1310">
        <v>3.7699999999999997E-2</v>
      </c>
      <c r="H323" s="1270" t="s">
        <v>1437</v>
      </c>
      <c r="I323" s="1309">
        <v>2502.4699999999998</v>
      </c>
      <c r="J323" s="1271">
        <v>133.63999999999999</v>
      </c>
      <c r="K323" s="1271">
        <v>18.73</v>
      </c>
      <c r="L323" s="1271">
        <v>2.8899999999999999E-2</v>
      </c>
      <c r="M323" s="1310">
        <v>3.6499999999999998E-2</v>
      </c>
      <c r="S323" s="461"/>
      <c r="T323" s="426"/>
    </row>
    <row r="324" spans="1:20" ht="15.75" thickBot="1">
      <c r="A324" s="1277" t="s">
        <v>1438</v>
      </c>
      <c r="B324" s="1309">
        <v>2914.86</v>
      </c>
      <c r="C324" s="1271">
        <v>170.54</v>
      </c>
      <c r="D324" s="1271">
        <v>17.09</v>
      </c>
      <c r="E324" s="1271">
        <v>2.69E-2</v>
      </c>
      <c r="F324" s="1310">
        <v>3.4099999999999998E-2</v>
      </c>
      <c r="H324" s="1277" t="s">
        <v>1438</v>
      </c>
      <c r="I324" s="1309">
        <v>2962.28</v>
      </c>
      <c r="J324" s="1271">
        <v>166.84</v>
      </c>
      <c r="K324" s="1271">
        <v>17.760000000000002</v>
      </c>
      <c r="L324" s="1271">
        <v>2.64E-2</v>
      </c>
      <c r="M324" s="1310">
        <v>3.3399999999999999E-2</v>
      </c>
      <c r="S324" s="461"/>
      <c r="T324" s="426"/>
    </row>
    <row r="325" spans="1:20" ht="24.75" thickBot="1">
      <c r="A325" s="1270" t="s">
        <v>1439</v>
      </c>
      <c r="B325" s="1309">
        <v>3060.2</v>
      </c>
      <c r="C325" s="1271">
        <v>142.88999999999999</v>
      </c>
      <c r="D325" s="1271">
        <v>21.42</v>
      </c>
      <c r="E325" s="1271">
        <v>3.04E-2</v>
      </c>
      <c r="F325" s="1310">
        <v>3.85E-2</v>
      </c>
      <c r="H325" s="1270" t="s">
        <v>1439</v>
      </c>
      <c r="I325" s="1309">
        <v>2979.21</v>
      </c>
      <c r="J325" s="1271">
        <v>133.96</v>
      </c>
      <c r="K325" s="1271">
        <v>22.24</v>
      </c>
      <c r="L325" s="1271">
        <v>3.1399999999999997E-2</v>
      </c>
      <c r="M325" s="1310">
        <v>3.9699999999999999E-2</v>
      </c>
      <c r="S325" s="461"/>
      <c r="T325" s="426"/>
    </row>
    <row r="326" spans="1:20" ht="15.75" thickBot="1">
      <c r="A326" s="1277" t="s">
        <v>1440</v>
      </c>
      <c r="B326" s="1271">
        <v>740.4</v>
      </c>
      <c r="C326" s="1271">
        <v>56.39</v>
      </c>
      <c r="D326" s="1271">
        <v>13.13</v>
      </c>
      <c r="E326" s="1271">
        <v>3.3599999999999998E-2</v>
      </c>
      <c r="F326" s="1310">
        <v>4.2599999999999999E-2</v>
      </c>
      <c r="H326" s="1277" t="s">
        <v>1440</v>
      </c>
      <c r="I326" s="1271">
        <v>713.34</v>
      </c>
      <c r="J326" s="1271">
        <v>55.64</v>
      </c>
      <c r="K326" s="1271">
        <v>12.82</v>
      </c>
      <c r="L326" s="1271">
        <v>3.3700000000000001E-2</v>
      </c>
      <c r="M326" s="1310">
        <v>4.2700000000000002E-2</v>
      </c>
      <c r="S326" s="461"/>
      <c r="T326" s="426"/>
    </row>
    <row r="327" spans="1:20" ht="15.75" thickBot="1">
      <c r="A327" s="1270" t="s">
        <v>1441</v>
      </c>
      <c r="B327" s="1271">
        <v>521.73</v>
      </c>
      <c r="C327" s="1271">
        <v>41.3</v>
      </c>
      <c r="D327" s="1271">
        <v>12.63</v>
      </c>
      <c r="E327" s="1271">
        <v>4.4200000000000003E-2</v>
      </c>
      <c r="F327" s="1310">
        <v>5.6000000000000001E-2</v>
      </c>
      <c r="H327" s="1270" t="s">
        <v>1441</v>
      </c>
      <c r="I327" s="1271">
        <v>552.49</v>
      </c>
      <c r="J327" s="1271">
        <v>41.2</v>
      </c>
      <c r="K327" s="1271">
        <v>13.41</v>
      </c>
      <c r="L327" s="1271">
        <v>4.2799999999999998E-2</v>
      </c>
      <c r="M327" s="1310">
        <v>5.4100000000000002E-2</v>
      </c>
      <c r="S327" s="461"/>
      <c r="T327" s="426"/>
    </row>
    <row r="328" spans="1:20" ht="15.75" thickBot="1">
      <c r="A328" s="1311" t="s">
        <v>1442</v>
      </c>
      <c r="B328" s="1312">
        <f>AVERAGE(B323:B325,3195.01)</f>
        <v>2933.7774999999997</v>
      </c>
      <c r="C328" s="1313">
        <f>AVERAGE(C323:C325,138.4)</f>
        <v>148.51749999999998</v>
      </c>
      <c r="D328" s="1313">
        <f>AVERAGE(D323:D325,23.085)</f>
        <v>19.90625</v>
      </c>
      <c r="E328" s="1313">
        <f>AVERAGE(E323:E325,0.0347)</f>
        <v>3.0449999999999998E-2</v>
      </c>
      <c r="F328" s="1314">
        <f>AVERAGE(F323:F325,0.022)</f>
        <v>3.3075E-2</v>
      </c>
      <c r="H328" s="1311" t="s">
        <v>1442</v>
      </c>
      <c r="I328" s="1312">
        <f>AVERAGE(I323:I325,3195.01)</f>
        <v>2909.7424999999998</v>
      </c>
      <c r="J328" s="1313">
        <f>AVERAGE(J323:J325,138.4)</f>
        <v>143.21</v>
      </c>
      <c r="K328" s="1313">
        <f>AVERAGE(K323:K325,23.085)</f>
        <v>20.453749999999999</v>
      </c>
      <c r="L328" s="1313">
        <f>AVERAGE(L323:L325,0.0347)</f>
        <v>3.0350000000000002E-2</v>
      </c>
      <c r="M328" s="1314">
        <f>AVERAGE(M323:M325,0.022)</f>
        <v>3.2899999999999999E-2</v>
      </c>
      <c r="S328" s="461"/>
      <c r="T328" s="426"/>
    </row>
    <row r="329" spans="1:20" ht="15.75" thickBot="1">
      <c r="A329" s="1311" t="s">
        <v>1443</v>
      </c>
      <c r="B329" s="1313">
        <f>AVERAGE(B326,773.04)</f>
        <v>756.72</v>
      </c>
      <c r="C329" s="1313">
        <f>AVERAGE(C326,54.4)</f>
        <v>55.394999999999996</v>
      </c>
      <c r="D329" s="1313">
        <f>AVERAGE(D326,14.21)</f>
        <v>13.670000000000002</v>
      </c>
      <c r="E329" s="1313">
        <f>AVERAGE(E326,0.0356)</f>
        <v>3.4599999999999999E-2</v>
      </c>
      <c r="F329" s="1314">
        <f>AVERAGE(F326,0.0226)</f>
        <v>3.2599999999999997E-2</v>
      </c>
      <c r="H329" s="1311" t="s">
        <v>1443</v>
      </c>
      <c r="I329" s="1313">
        <f>AVERAGE(I326,773.04)</f>
        <v>743.19</v>
      </c>
      <c r="J329" s="1313">
        <f>AVERAGE(J326,54.4)</f>
        <v>55.019999999999996</v>
      </c>
      <c r="K329" s="1313">
        <f>AVERAGE(K326,14.21)</f>
        <v>13.515000000000001</v>
      </c>
      <c r="L329" s="1313">
        <f>AVERAGE(L326,0.0356)</f>
        <v>3.465E-2</v>
      </c>
      <c r="M329" s="1314">
        <f>AVERAGE(M326,0.0226)</f>
        <v>3.2649999999999998E-2</v>
      </c>
      <c r="S329" s="461"/>
      <c r="T329" s="426"/>
    </row>
    <row r="330" spans="1:20" ht="15.75" thickBot="1">
      <c r="A330" s="1315" t="s">
        <v>1444</v>
      </c>
      <c r="B330" s="1274">
        <v>291.83999999999997</v>
      </c>
      <c r="C330" s="1274">
        <v>15.2</v>
      </c>
      <c r="D330" s="1274">
        <v>19.2</v>
      </c>
      <c r="E330" s="1274">
        <v>0.1144</v>
      </c>
      <c r="F330" s="1316">
        <v>7.2700000000000001E-2</v>
      </c>
      <c r="H330" s="1315" t="s">
        <v>1444</v>
      </c>
      <c r="I330" s="1274">
        <v>291.83999999999997</v>
      </c>
      <c r="J330" s="1274">
        <v>15.2</v>
      </c>
      <c r="K330" s="1274">
        <v>19.2</v>
      </c>
      <c r="L330" s="1274">
        <v>0.1144</v>
      </c>
      <c r="M330" s="1316">
        <v>7.2700000000000001E-2</v>
      </c>
      <c r="S330" s="461"/>
      <c r="T330" s="426"/>
    </row>
    <row r="331" spans="1:20" ht="15.75" thickBot="1">
      <c r="A331" s="1315" t="s">
        <v>1445</v>
      </c>
      <c r="B331" s="1274">
        <v>342.92</v>
      </c>
      <c r="C331" s="1274">
        <v>15.2</v>
      </c>
      <c r="D331" s="1274">
        <v>22.561</v>
      </c>
      <c r="E331" s="1274">
        <v>0.09</v>
      </c>
      <c r="F331" s="1316">
        <v>5.7200000000000001E-2</v>
      </c>
      <c r="H331" s="1315" t="s">
        <v>1445</v>
      </c>
      <c r="I331" s="1274">
        <v>342.92</v>
      </c>
      <c r="J331" s="1274">
        <v>15.2</v>
      </c>
      <c r="K331" s="1274">
        <v>22.561</v>
      </c>
      <c r="L331" s="1274">
        <v>0.09</v>
      </c>
      <c r="M331" s="1316">
        <v>5.7200000000000001E-2</v>
      </c>
      <c r="S331" s="461"/>
      <c r="T331" s="426"/>
    </row>
    <row r="332" spans="1:20" ht="15.75" thickBot="1">
      <c r="A332" s="1315" t="s">
        <v>1446</v>
      </c>
      <c r="B332" s="1274">
        <v>122.52</v>
      </c>
      <c r="C332" s="1274">
        <v>4.8</v>
      </c>
      <c r="D332" s="1274">
        <v>25.526</v>
      </c>
      <c r="E332" s="1274">
        <v>0.26629999999999998</v>
      </c>
      <c r="F332" s="1316">
        <v>0.16900000000000001</v>
      </c>
      <c r="H332" s="1315" t="s">
        <v>1446</v>
      </c>
      <c r="I332" s="1274">
        <v>122.52</v>
      </c>
      <c r="J332" s="1274">
        <v>4.8</v>
      </c>
      <c r="K332" s="1274">
        <v>25.526</v>
      </c>
      <c r="L332" s="1274">
        <v>0.26629999999999998</v>
      </c>
      <c r="M332" s="1316">
        <v>0.16900000000000001</v>
      </c>
      <c r="S332" s="461"/>
      <c r="T332" s="426"/>
    </row>
    <row r="333" spans="1:20" ht="24.75" thickBot="1">
      <c r="A333" s="1311" t="s">
        <v>1447</v>
      </c>
      <c r="B333" s="1313">
        <f>AVERAGE(B327,864.78)</f>
        <v>693.255</v>
      </c>
      <c r="C333" s="1313">
        <f>AVERAGE(C327,40)</f>
        <v>40.65</v>
      </c>
      <c r="D333" s="1313">
        <f>AVERAGE(D327,21.62)</f>
        <v>17.125</v>
      </c>
      <c r="E333" s="1313">
        <f>AVERAGE(E327,0.069)</f>
        <v>5.6600000000000004E-2</v>
      </c>
      <c r="F333" s="1314">
        <f>AVERAGE(F327,0.0438)</f>
        <v>4.99E-2</v>
      </c>
      <c r="H333" s="1311" t="s">
        <v>1447</v>
      </c>
      <c r="I333" s="1313">
        <f>AVERAGE(I327,864.78)</f>
        <v>708.63499999999999</v>
      </c>
      <c r="J333" s="1313">
        <f>AVERAGE(J327,40)</f>
        <v>40.6</v>
      </c>
      <c r="K333" s="1313">
        <f>AVERAGE(K327,21.62)</f>
        <v>17.515000000000001</v>
      </c>
      <c r="L333" s="1313">
        <f>AVERAGE(L327,0.069)</f>
        <v>5.5900000000000005E-2</v>
      </c>
      <c r="M333" s="1314">
        <f>AVERAGE(M327,0.0438)</f>
        <v>4.895E-2</v>
      </c>
      <c r="S333" s="461"/>
      <c r="T333" s="426"/>
    </row>
    <row r="334" spans="1:20" ht="15.75" thickBot="1">
      <c r="A334" s="1315" t="s">
        <v>1448</v>
      </c>
      <c r="B334" s="1274">
        <v>196.5</v>
      </c>
      <c r="C334" s="1274">
        <v>7.2</v>
      </c>
      <c r="D334" s="1274">
        <v>27.292000000000002</v>
      </c>
      <c r="E334" s="1274">
        <v>9.0800000000000006E-2</v>
      </c>
      <c r="F334" s="1316">
        <v>5.7599999999999998E-2</v>
      </c>
      <c r="H334" s="1315" t="s">
        <v>1448</v>
      </c>
      <c r="I334" s="1274">
        <v>196.5</v>
      </c>
      <c r="J334" s="1274">
        <v>7.2</v>
      </c>
      <c r="K334" s="1274">
        <v>27.292000000000002</v>
      </c>
      <c r="L334" s="1274">
        <v>9.0800000000000006E-2</v>
      </c>
      <c r="M334" s="1316">
        <v>5.7599999999999998E-2</v>
      </c>
      <c r="S334" s="461"/>
      <c r="T334" s="426"/>
    </row>
    <row r="335" spans="1:20" ht="15.75" thickBot="1">
      <c r="A335" s="1315" t="s">
        <v>1449</v>
      </c>
      <c r="B335" s="1274">
        <v>609.84</v>
      </c>
      <c r="C335" s="1274">
        <v>27.2</v>
      </c>
      <c r="D335" s="1274">
        <v>22.420999999999999</v>
      </c>
      <c r="E335" s="1274">
        <v>4.6699999999999998E-2</v>
      </c>
      <c r="F335" s="1316">
        <v>2.9700000000000001E-2</v>
      </c>
      <c r="H335" s="1315" t="s">
        <v>1449</v>
      </c>
      <c r="I335" s="1274">
        <v>609.84</v>
      </c>
      <c r="J335" s="1274">
        <v>27.2</v>
      </c>
      <c r="K335" s="1274">
        <v>22.420999999999999</v>
      </c>
      <c r="L335" s="1274">
        <v>4.6699999999999998E-2</v>
      </c>
      <c r="M335" s="1316">
        <v>2.9700000000000001E-2</v>
      </c>
      <c r="S335" s="461"/>
      <c r="T335" s="426"/>
    </row>
    <row r="336" spans="1:20" ht="15.75" thickBot="1">
      <c r="A336" s="1315" t="s">
        <v>1450</v>
      </c>
      <c r="B336" s="1295">
        <v>1171.8399999999999</v>
      </c>
      <c r="C336" s="1274">
        <v>42.4</v>
      </c>
      <c r="D336" s="1274">
        <v>27.638000000000002</v>
      </c>
      <c r="E336" s="1274">
        <v>4.3799999999999999E-2</v>
      </c>
      <c r="F336" s="1316">
        <v>2.7799999999999998E-2</v>
      </c>
      <c r="H336" s="1315" t="s">
        <v>1450</v>
      </c>
      <c r="I336" s="1295">
        <v>1171.8399999999999</v>
      </c>
      <c r="J336" s="1274">
        <v>42.4</v>
      </c>
      <c r="K336" s="1274">
        <v>27.638000000000002</v>
      </c>
      <c r="L336" s="1274">
        <v>4.3799999999999999E-2</v>
      </c>
      <c r="M336" s="1316">
        <v>2.7799999999999998E-2</v>
      </c>
      <c r="S336" s="461"/>
      <c r="T336" s="426"/>
    </row>
    <row r="337" spans="1:20">
      <c r="A337" s="1302"/>
      <c r="K337" s="62"/>
      <c r="L337" s="50"/>
      <c r="M337" s="1303"/>
      <c r="S337" s="461"/>
      <c r="T337" s="426"/>
    </row>
    <row r="338" spans="1:20">
      <c r="K338" s="62"/>
      <c r="L338" s="50"/>
      <c r="M338" s="1303"/>
      <c r="S338" s="461"/>
      <c r="T338" s="426"/>
    </row>
    <row r="339" spans="1:20" ht="15.75" thickBot="1">
      <c r="A339" s="1189" t="s">
        <v>1460</v>
      </c>
      <c r="B339" s="1189" t="s">
        <v>1461</v>
      </c>
      <c r="H339" s="1189" t="s">
        <v>1460</v>
      </c>
      <c r="I339" s="1189" t="s">
        <v>1462</v>
      </c>
      <c r="S339" s="461"/>
      <c r="T339" s="426"/>
    </row>
    <row r="340" spans="1:20" ht="15.75" thickBot="1">
      <c r="A340" s="1267" t="s">
        <v>1413</v>
      </c>
      <c r="B340" s="1267" t="s">
        <v>70</v>
      </c>
      <c r="C340" s="1317" t="s">
        <v>1463</v>
      </c>
      <c r="D340" s="1268" t="s">
        <v>1464</v>
      </c>
      <c r="E340" s="1268" t="s">
        <v>1465</v>
      </c>
      <c r="F340" s="1269" t="s">
        <v>1466</v>
      </c>
      <c r="H340" s="1267" t="s">
        <v>1413</v>
      </c>
      <c r="I340" s="1267" t="s">
        <v>70</v>
      </c>
      <c r="J340" s="1317" t="s">
        <v>1463</v>
      </c>
      <c r="K340" s="1268" t="s">
        <v>1464</v>
      </c>
      <c r="L340" s="1268" t="s">
        <v>1465</v>
      </c>
      <c r="M340" s="1269" t="s">
        <v>1466</v>
      </c>
      <c r="S340" s="461"/>
      <c r="T340" s="426"/>
    </row>
    <row r="341" spans="1:20" ht="15.75" thickBot="1">
      <c r="A341" s="1270" t="s">
        <v>1437</v>
      </c>
      <c r="B341" s="1318" t="s">
        <v>1366</v>
      </c>
      <c r="C341" s="1319">
        <v>9.9000000000000005E-2</v>
      </c>
      <c r="D341" s="1278">
        <v>9.5699999999999993E-2</v>
      </c>
      <c r="E341" s="1278">
        <v>6.9999999999999999E-4</v>
      </c>
      <c r="F341" s="1280">
        <v>2.7000000000000001E-3</v>
      </c>
      <c r="H341" s="1270" t="s">
        <v>1437</v>
      </c>
      <c r="I341" s="1318" t="s">
        <v>1366</v>
      </c>
      <c r="J341" s="1319">
        <v>0.185</v>
      </c>
      <c r="K341" s="1278">
        <v>0.18099999999999999</v>
      </c>
      <c r="L341" s="1278">
        <v>6.7000000000000002E-4</v>
      </c>
      <c r="M341" s="1280">
        <v>2.5999999999999999E-3</v>
      </c>
      <c r="S341" s="461"/>
      <c r="T341" s="426"/>
    </row>
    <row r="342" spans="1:20" ht="15.75" thickBot="1">
      <c r="A342" s="1277" t="s">
        <v>1438</v>
      </c>
      <c r="B342" s="1318" t="s">
        <v>1366</v>
      </c>
      <c r="C342" s="1319">
        <v>8.9599999999999999E-2</v>
      </c>
      <c r="D342" s="1278">
        <v>8.6499999999999994E-2</v>
      </c>
      <c r="E342" s="1278">
        <v>5.9999999999999995E-4</v>
      </c>
      <c r="F342" s="1280">
        <v>2.3999999999999998E-3</v>
      </c>
      <c r="H342" s="1277" t="s">
        <v>1438</v>
      </c>
      <c r="I342" s="1318" t="s">
        <v>1366</v>
      </c>
      <c r="J342" s="1319">
        <v>0.16700000000000001</v>
      </c>
      <c r="K342" s="1278">
        <v>0.16400000000000001</v>
      </c>
      <c r="L342" s="1278">
        <v>5.9999999999999995E-4</v>
      </c>
      <c r="M342" s="1280">
        <v>2.3999999999999998E-3</v>
      </c>
      <c r="S342" s="461"/>
      <c r="T342" s="426"/>
    </row>
    <row r="343" spans="1:20" ht="24.75" thickBot="1">
      <c r="A343" s="1270" t="s">
        <v>1439</v>
      </c>
      <c r="B343" s="1318" t="s">
        <v>1366</v>
      </c>
      <c r="C343" s="1319">
        <v>0.1011</v>
      </c>
      <c r="D343" s="1278">
        <v>9.7699999999999995E-2</v>
      </c>
      <c r="E343" s="1278">
        <v>6.9999999999999999E-4</v>
      </c>
      <c r="F343" s="1280">
        <v>2.7000000000000001E-3</v>
      </c>
      <c r="H343" s="1270" t="s">
        <v>1439</v>
      </c>
      <c r="I343" s="1318" t="s">
        <v>1366</v>
      </c>
      <c r="J343" s="1319">
        <v>0.188</v>
      </c>
      <c r="K343" s="1278">
        <v>0.185</v>
      </c>
      <c r="L343" s="1278">
        <v>6.8000000000000005E-4</v>
      </c>
      <c r="M343" s="1280">
        <v>2.7000000000000001E-3</v>
      </c>
      <c r="S343" s="461"/>
      <c r="T343" s="426"/>
    </row>
    <row r="344" spans="1:20" ht="15.75" thickBot="1">
      <c r="A344" s="1277" t="s">
        <v>1440</v>
      </c>
      <c r="B344" s="1318" t="s">
        <v>1366</v>
      </c>
      <c r="C344" s="1319">
        <v>0.1119</v>
      </c>
      <c r="D344" s="1278">
        <v>0.1081</v>
      </c>
      <c r="E344" s="1278">
        <v>8.0000000000000004E-4</v>
      </c>
      <c r="F344" s="1280">
        <v>3.0000000000000001E-3</v>
      </c>
      <c r="H344" s="1277" t="s">
        <v>1440</v>
      </c>
      <c r="I344" s="1318" t="s">
        <v>1366</v>
      </c>
      <c r="J344" s="1319">
        <v>0.20899999999999999</v>
      </c>
      <c r="K344" s="1278">
        <v>0.20499999999999999</v>
      </c>
      <c r="L344" s="1278">
        <v>7.6000000000000004E-4</v>
      </c>
      <c r="M344" s="1280">
        <v>3.0000000000000001E-3</v>
      </c>
      <c r="S344" s="461"/>
      <c r="T344" s="426"/>
    </row>
    <row r="345" spans="1:20" ht="15.75" thickBot="1">
      <c r="A345" s="1270" t="s">
        <v>1441</v>
      </c>
      <c r="B345" s="1318" t="s">
        <v>1366</v>
      </c>
      <c r="C345" s="1319">
        <v>0.14710000000000001</v>
      </c>
      <c r="D345" s="1278">
        <v>0.1421</v>
      </c>
      <c r="E345" s="1278">
        <v>1E-3</v>
      </c>
      <c r="F345" s="1280">
        <v>4.0000000000000001E-3</v>
      </c>
      <c r="H345" s="1270" t="s">
        <v>1441</v>
      </c>
      <c r="I345" s="1318" t="s">
        <v>1366</v>
      </c>
      <c r="J345" s="1319">
        <v>0.27400000000000002</v>
      </c>
      <c r="K345" s="1278">
        <v>0.27</v>
      </c>
      <c r="L345" s="1278">
        <v>9.8999999999999999E-4</v>
      </c>
      <c r="M345" s="1280">
        <v>3.0000000000000001E-3</v>
      </c>
      <c r="S345" s="461"/>
      <c r="T345" s="426"/>
    </row>
    <row r="346" spans="1:20" ht="15.75" thickBot="1">
      <c r="A346" s="1291" t="s">
        <v>1442</v>
      </c>
      <c r="B346" s="1320" t="s">
        <v>1366</v>
      </c>
      <c r="C346" s="1321">
        <f>AVERAGE(C341:C343,0.072)</f>
        <v>9.0424999999999991E-2</v>
      </c>
      <c r="D346" s="1288">
        <f>AVERAGE(D341:D343,0.069)</f>
        <v>8.7224999999999997E-2</v>
      </c>
      <c r="E346" s="1288">
        <f>AVERAGE(E341:E343,0.001)</f>
        <v>7.5000000000000002E-4</v>
      </c>
      <c r="F346" s="1290">
        <f>AVERAGE(F341:F343,0.002)</f>
        <v>2.4499999999999999E-3</v>
      </c>
      <c r="H346" s="1291" t="s">
        <v>1442</v>
      </c>
      <c r="I346" s="1320" t="s">
        <v>1366</v>
      </c>
      <c r="J346" s="1322">
        <f>SUM(K346:M346)</f>
        <v>0.16843750000000002</v>
      </c>
      <c r="K346" s="1288">
        <f>AVERAGE(K341:K343,(0.069*1.9))</f>
        <v>0.16527500000000001</v>
      </c>
      <c r="L346" s="1323">
        <f>AVERAGE(L341:L343, 0.001)</f>
        <v>7.3749999999999998E-4</v>
      </c>
      <c r="M346" s="1324">
        <f>AVERAGE(M341:M343,0.002)</f>
        <v>2.4250000000000001E-3</v>
      </c>
      <c r="S346" s="461"/>
      <c r="T346" s="426"/>
    </row>
    <row r="347" spans="1:20" ht="15.75" thickBot="1">
      <c r="A347" s="1291" t="s">
        <v>1467</v>
      </c>
      <c r="B347" s="1320" t="s">
        <v>1366</v>
      </c>
      <c r="C347" s="1321">
        <f>AVERAGE(C344,0.074)</f>
        <v>9.2950000000000005E-2</v>
      </c>
      <c r="D347" s="1288">
        <f>AVERAGE(D344,0.072)</f>
        <v>9.0049999999999991E-2</v>
      </c>
      <c r="E347" s="1288">
        <f>AVERAGE(E344,0.001)</f>
        <v>8.9999999999999998E-4</v>
      </c>
      <c r="F347" s="1290">
        <f>AVERAGE(F344,0.002)</f>
        <v>2.5000000000000001E-3</v>
      </c>
      <c r="H347" s="1291" t="s">
        <v>1467</v>
      </c>
      <c r="I347" s="1320" t="s">
        <v>1366</v>
      </c>
      <c r="J347" s="1322">
        <f>SUM(K347:M347)</f>
        <v>0.17427999999999999</v>
      </c>
      <c r="K347" s="1288">
        <f>AVERAGE(K344,(0.072*1.9))</f>
        <v>0.1709</v>
      </c>
      <c r="L347" s="1323">
        <f>AVERAGE(L344,0.001)</f>
        <v>8.8000000000000003E-4</v>
      </c>
      <c r="M347" s="1324">
        <f>AVERAGE(M344,0.002)</f>
        <v>2.5000000000000001E-3</v>
      </c>
      <c r="S347" s="461"/>
      <c r="T347" s="426"/>
    </row>
    <row r="348" spans="1:20" ht="15.75" thickBot="1">
      <c r="A348" s="1296" t="s">
        <v>1444</v>
      </c>
      <c r="B348" s="1296" t="s">
        <v>1366</v>
      </c>
      <c r="C348" s="1325">
        <v>0.23699999999999999</v>
      </c>
      <c r="D348" s="1281">
        <v>0.22900000000000001</v>
      </c>
      <c r="E348" s="1281">
        <v>2E-3</v>
      </c>
      <c r="F348" s="1298">
        <v>6.0000000000000001E-3</v>
      </c>
      <c r="H348" s="1296" t="s">
        <v>1444</v>
      </c>
      <c r="I348" s="1296" t="s">
        <v>1366</v>
      </c>
      <c r="J348" s="1325">
        <f>0.237*1.9</f>
        <v>0.45029999999999998</v>
      </c>
      <c r="K348" s="1281">
        <f>0.229*1.9</f>
        <v>0.43509999999999999</v>
      </c>
      <c r="L348" s="1281">
        <f>0.002*1.9</f>
        <v>3.8E-3</v>
      </c>
      <c r="M348" s="1298">
        <f>0.006*1.9</f>
        <v>1.14E-2</v>
      </c>
      <c r="S348" s="461"/>
      <c r="T348" s="426"/>
    </row>
    <row r="349" spans="1:20" ht="15.75" thickBot="1">
      <c r="A349" s="1296" t="s">
        <v>1445</v>
      </c>
      <c r="B349" s="1296" t="s">
        <v>1366</v>
      </c>
      <c r="C349" s="1325">
        <v>0.186</v>
      </c>
      <c r="D349" s="1281">
        <v>0.18</v>
      </c>
      <c r="E349" s="1281">
        <v>2E-3</v>
      </c>
      <c r="F349" s="1298">
        <v>5.0000000000000001E-3</v>
      </c>
      <c r="H349" s="1296" t="s">
        <v>1445</v>
      </c>
      <c r="I349" s="1296" t="s">
        <v>1366</v>
      </c>
      <c r="J349" s="1325">
        <f>0.186*1.9</f>
        <v>0.35339999999999999</v>
      </c>
      <c r="K349" s="1281">
        <f>0.18*1.9</f>
        <v>0.34199999999999997</v>
      </c>
      <c r="L349" s="1281">
        <f>0.002*1.9</f>
        <v>3.8E-3</v>
      </c>
      <c r="M349" s="1298">
        <f>0.005*1.9</f>
        <v>9.4999999999999998E-3</v>
      </c>
      <c r="S349" s="461"/>
      <c r="T349" s="426"/>
    </row>
    <row r="350" spans="1:20" ht="15.75" thickBot="1">
      <c r="A350" s="1296" t="s">
        <v>1446</v>
      </c>
      <c r="B350" s="1296" t="s">
        <v>1366</v>
      </c>
      <c r="C350" s="1325">
        <v>0.55200000000000005</v>
      </c>
      <c r="D350" s="1281">
        <v>0.53400000000000003</v>
      </c>
      <c r="E350" s="1281">
        <v>4.0000000000000001E-3</v>
      </c>
      <c r="F350" s="1298">
        <v>1.4E-2</v>
      </c>
      <c r="G350" s="1326">
        <v>100</v>
      </c>
      <c r="H350" s="1296" t="s">
        <v>1446</v>
      </c>
      <c r="I350" s="1296" t="s">
        <v>1366</v>
      </c>
      <c r="J350" s="1325">
        <f>0.552*1.9</f>
        <v>1.0488</v>
      </c>
      <c r="K350" s="1281">
        <f>0.534*1.9</f>
        <v>1.0145999999999999</v>
      </c>
      <c r="L350" s="1281">
        <f>0.004*1.9</f>
        <v>7.6E-3</v>
      </c>
      <c r="M350" s="1298">
        <f>0.014*1.9</f>
        <v>2.6599999999999999E-2</v>
      </c>
      <c r="S350" s="461"/>
      <c r="T350" s="426"/>
    </row>
    <row r="351" spans="1:20" ht="24.75" thickBot="1">
      <c r="A351" s="1291" t="s">
        <v>1447</v>
      </c>
      <c r="B351" s="1320" t="s">
        <v>1366</v>
      </c>
      <c r="C351" s="1321">
        <f>AVERAGE(C345,0.143)</f>
        <v>0.14505000000000001</v>
      </c>
      <c r="D351" s="1288">
        <f>AVERAGE(D345,0.138)</f>
        <v>0.14005000000000001</v>
      </c>
      <c r="E351" s="1288">
        <f>AVERAGE(E345,0.001)</f>
        <v>1E-3</v>
      </c>
      <c r="F351" s="1290">
        <f>AVERAGE(F345,0.004)</f>
        <v>4.0000000000000001E-3</v>
      </c>
      <c r="G351">
        <v>73.44</v>
      </c>
      <c r="H351" s="1291" t="s">
        <v>1468</v>
      </c>
      <c r="I351" s="1320" t="s">
        <v>1366</v>
      </c>
      <c r="J351" s="1322">
        <f>SUM(K351:M351)</f>
        <v>0.27059500000000003</v>
      </c>
      <c r="K351" s="1288">
        <f>AVERAGE(K345,(0.138*1.9))</f>
        <v>0.2661</v>
      </c>
      <c r="L351" s="1323">
        <f>AVERAGE(L345,0.001)</f>
        <v>9.9500000000000001E-4</v>
      </c>
      <c r="M351" s="1324">
        <f>AVERAGE(M345,0.004)</f>
        <v>3.5000000000000001E-3</v>
      </c>
      <c r="S351" s="461"/>
      <c r="T351" s="426"/>
    </row>
    <row r="352" spans="1:20" ht="15.75" thickBot="1">
      <c r="A352" s="1296" t="s">
        <v>1448</v>
      </c>
      <c r="B352" s="1296" t="s">
        <v>1366</v>
      </c>
      <c r="C352" s="1325">
        <v>0.188</v>
      </c>
      <c r="D352" s="1281">
        <v>0.182</v>
      </c>
      <c r="E352" s="1281">
        <v>2E-3</v>
      </c>
      <c r="F352" s="1298">
        <v>5.0000000000000001E-3</v>
      </c>
      <c r="G352">
        <f>G350-G351</f>
        <v>26.560000000000002</v>
      </c>
      <c r="H352" s="1296" t="s">
        <v>1448</v>
      </c>
      <c r="I352" s="1296" t="s">
        <v>1366</v>
      </c>
      <c r="J352" s="1325">
        <f>0.188*1.9</f>
        <v>0.35719999999999996</v>
      </c>
      <c r="K352" s="1281">
        <f>0.182*1.9</f>
        <v>0.3458</v>
      </c>
      <c r="L352" s="1281">
        <f>0.002*1.9</f>
        <v>3.8E-3</v>
      </c>
      <c r="M352" s="1298">
        <f>0.005*1.9</f>
        <v>9.4999999999999998E-3</v>
      </c>
      <c r="S352" s="461"/>
      <c r="T352" s="426"/>
    </row>
    <row r="353" spans="1:20" ht="15.75" thickBot="1">
      <c r="A353" s="1296" t="s">
        <v>1449</v>
      </c>
      <c r="B353" s="1296" t="s">
        <v>1366</v>
      </c>
      <c r="C353" s="1325">
        <v>9.7000000000000003E-2</v>
      </c>
      <c r="D353" s="1281">
        <v>9.4E-2</v>
      </c>
      <c r="E353" s="1281">
        <v>1E-3</v>
      </c>
      <c r="F353" s="1298">
        <v>2E-3</v>
      </c>
      <c r="H353" s="1296" t="s">
        <v>1449</v>
      </c>
      <c r="I353" s="1296" t="s">
        <v>1366</v>
      </c>
      <c r="J353" s="1325">
        <f>0.097*1.9</f>
        <v>0.18429999999999999</v>
      </c>
      <c r="K353" s="1281">
        <f>0.094*1.9</f>
        <v>0.17859999999999998</v>
      </c>
      <c r="L353" s="1281">
        <f>0.001*1.9</f>
        <v>1.9E-3</v>
      </c>
      <c r="M353" s="1298">
        <f>0.002*1.9</f>
        <v>3.8E-3</v>
      </c>
      <c r="S353" s="461"/>
      <c r="T353" s="426"/>
    </row>
    <row r="354" spans="1:20" ht="15.75" thickBot="1">
      <c r="A354" s="1296" t="s">
        <v>1450</v>
      </c>
      <c r="B354" s="1296" t="s">
        <v>1366</v>
      </c>
      <c r="C354" s="1325">
        <v>9.0999999999999998E-2</v>
      </c>
      <c r="D354" s="1281">
        <v>8.7999999999999995E-2</v>
      </c>
      <c r="E354" s="1281">
        <v>1E-3</v>
      </c>
      <c r="F354" s="1298">
        <v>2E-3</v>
      </c>
      <c r="H354" s="1296" t="s">
        <v>1450</v>
      </c>
      <c r="I354" s="1296" t="s">
        <v>1366</v>
      </c>
      <c r="J354" s="1325">
        <f>0.091*1.9</f>
        <v>0.1729</v>
      </c>
      <c r="K354" s="1281">
        <f>0.088*1.9</f>
        <v>0.16719999999999999</v>
      </c>
      <c r="L354" s="1281">
        <f>0.001*1.9</f>
        <v>1.9E-3</v>
      </c>
      <c r="M354" s="1298">
        <f>0.002*1.9</f>
        <v>3.8E-3</v>
      </c>
      <c r="S354" s="461"/>
      <c r="T354" s="426"/>
    </row>
    <row r="355" spans="1:20">
      <c r="A355" s="1302"/>
      <c r="H355" s="1302"/>
      <c r="S355" s="461"/>
      <c r="T355" s="426"/>
    </row>
    <row r="356" spans="1:20" ht="15.75" thickBot="1">
      <c r="A356" s="1189" t="s">
        <v>1460</v>
      </c>
      <c r="B356" s="1189" t="s">
        <v>1469</v>
      </c>
      <c r="H356" s="1189" t="s">
        <v>1460</v>
      </c>
      <c r="I356" s="1189" t="s">
        <v>1470</v>
      </c>
      <c r="S356" s="461"/>
      <c r="T356" s="426"/>
    </row>
    <row r="357" spans="1:20" ht="15.75" thickBot="1">
      <c r="A357" s="1267" t="s">
        <v>1413</v>
      </c>
      <c r="B357" s="1267" t="s">
        <v>70</v>
      </c>
      <c r="C357" s="1317" t="s">
        <v>1463</v>
      </c>
      <c r="D357" s="1268" t="s">
        <v>1464</v>
      </c>
      <c r="E357" s="1268" t="s">
        <v>1465</v>
      </c>
      <c r="F357" s="1269" t="s">
        <v>1466</v>
      </c>
      <c r="H357" s="1267" t="s">
        <v>1413</v>
      </c>
      <c r="I357" s="1267" t="s">
        <v>70</v>
      </c>
      <c r="J357" s="1317" t="s">
        <v>1463</v>
      </c>
      <c r="K357" s="1268" t="s">
        <v>1464</v>
      </c>
      <c r="L357" s="1268" t="s">
        <v>1465</v>
      </c>
      <c r="M357" s="1269" t="s">
        <v>1466</v>
      </c>
      <c r="S357" s="461"/>
      <c r="T357" s="426"/>
    </row>
    <row r="358" spans="1:20" ht="15.75" thickBot="1">
      <c r="A358" s="1270" t="s">
        <v>1437</v>
      </c>
      <c r="B358" s="1318" t="s">
        <v>1366</v>
      </c>
      <c r="C358" s="1319">
        <v>9.9000000000000005E-2</v>
      </c>
      <c r="D358" s="1278">
        <v>9.5000000000000001E-2</v>
      </c>
      <c r="E358" s="1278">
        <v>6.7000000000000002E-4</v>
      </c>
      <c r="F358" s="1280">
        <v>2.5999999999999999E-3</v>
      </c>
      <c r="H358" s="1270" t="s">
        <v>1437</v>
      </c>
      <c r="I358" s="1318" t="s">
        <v>1366</v>
      </c>
      <c r="J358" s="1319">
        <v>0.185</v>
      </c>
      <c r="K358" s="1278">
        <v>0.18099999999999999</v>
      </c>
      <c r="L358" s="1278">
        <v>6.7000000000000002E-4</v>
      </c>
      <c r="M358" s="1280">
        <v>2.5999999999999999E-3</v>
      </c>
      <c r="S358" s="461"/>
      <c r="T358" s="426"/>
    </row>
    <row r="359" spans="1:20" ht="15.75" thickBot="1">
      <c r="A359" s="1277" t="s">
        <v>1438</v>
      </c>
      <c r="B359" s="1318" t="s">
        <v>1366</v>
      </c>
      <c r="C359" s="1319">
        <v>8.8999999999999996E-2</v>
      </c>
      <c r="D359" s="1278">
        <v>8.5999999999999993E-2</v>
      </c>
      <c r="E359" s="1278">
        <v>5.9999999999999995E-4</v>
      </c>
      <c r="F359" s="1280">
        <v>2.3999999999999998E-3</v>
      </c>
      <c r="H359" s="1277" t="s">
        <v>1438</v>
      </c>
      <c r="I359" s="1318" t="s">
        <v>1366</v>
      </c>
      <c r="J359" s="1319">
        <v>0.16700000000000001</v>
      </c>
      <c r="K359" s="1278">
        <v>0.16400000000000001</v>
      </c>
      <c r="L359" s="1278">
        <v>5.9999999999999995E-4</v>
      </c>
      <c r="M359" s="1280">
        <v>2.3999999999999998E-3</v>
      </c>
      <c r="S359" s="461"/>
      <c r="T359" s="426"/>
    </row>
    <row r="360" spans="1:20" ht="24.75" thickBot="1">
      <c r="A360" s="1270" t="s">
        <v>1439</v>
      </c>
      <c r="B360" s="1318" t="s">
        <v>1366</v>
      </c>
      <c r="C360" s="1319">
        <v>0.10100000000000001</v>
      </c>
      <c r="D360" s="1278">
        <v>9.7000000000000003E-2</v>
      </c>
      <c r="E360" s="1278">
        <v>6.87E-4</v>
      </c>
      <c r="F360" s="1280">
        <v>2.7000000000000001E-3</v>
      </c>
      <c r="H360" s="1270" t="s">
        <v>1439</v>
      </c>
      <c r="I360" s="1318" t="s">
        <v>1366</v>
      </c>
      <c r="J360" s="1319">
        <v>0.188</v>
      </c>
      <c r="K360" s="1278">
        <v>0.185</v>
      </c>
      <c r="L360" s="1278">
        <v>6.8000000000000005E-4</v>
      </c>
      <c r="M360" s="1280">
        <v>2.7000000000000001E-3</v>
      </c>
      <c r="S360" s="461"/>
      <c r="T360" s="426"/>
    </row>
    <row r="361" spans="1:20" ht="15.75" thickBot="1">
      <c r="A361" s="1277" t="s">
        <v>1440</v>
      </c>
      <c r="B361" s="1318" t="s">
        <v>1366</v>
      </c>
      <c r="C361" s="1319">
        <v>0.111</v>
      </c>
      <c r="D361" s="1278">
        <v>0.108</v>
      </c>
      <c r="E361" s="1278">
        <v>7.6000000000000004E-4</v>
      </c>
      <c r="F361" s="1280">
        <v>3.0000000000000001E-3</v>
      </c>
      <c r="H361" s="1277" t="s">
        <v>1440</v>
      </c>
      <c r="I361" s="1318" t="s">
        <v>1366</v>
      </c>
      <c r="J361" s="1319">
        <v>0.20899999999999999</v>
      </c>
      <c r="K361" s="1278">
        <v>0.20499999999999999</v>
      </c>
      <c r="L361" s="1278">
        <v>7.6000000000000004E-4</v>
      </c>
      <c r="M361" s="1280">
        <v>3.0000000000000001E-3</v>
      </c>
      <c r="S361" s="461"/>
      <c r="T361" s="426"/>
    </row>
    <row r="362" spans="1:20" ht="15.75" thickBot="1">
      <c r="A362" s="1270" t="s">
        <v>1441</v>
      </c>
      <c r="B362" s="1318" t="s">
        <v>1366</v>
      </c>
      <c r="C362" s="1319">
        <v>0.14699999999999999</v>
      </c>
      <c r="D362" s="1278">
        <v>0.14199999999999999</v>
      </c>
      <c r="E362" s="1278">
        <v>9.8999999999999999E-4</v>
      </c>
      <c r="F362" s="1280">
        <v>3.8999999999999998E-3</v>
      </c>
      <c r="H362" s="1270" t="s">
        <v>1441</v>
      </c>
      <c r="I362" s="1318" t="s">
        <v>1366</v>
      </c>
      <c r="J362" s="1319">
        <v>0.27400000000000002</v>
      </c>
      <c r="K362" s="1278">
        <v>0.27</v>
      </c>
      <c r="L362" s="1278">
        <v>9.8999999999999999E-4</v>
      </c>
      <c r="M362" s="1280">
        <v>3.8999999999999998E-3</v>
      </c>
      <c r="S362" s="461"/>
      <c r="T362" s="426"/>
    </row>
    <row r="363" spans="1:20" ht="15.75" thickBot="1">
      <c r="A363" s="1291" t="s">
        <v>1442</v>
      </c>
      <c r="B363" s="1320" t="s">
        <v>1366</v>
      </c>
      <c r="C363" s="1321">
        <f>AVERAGE(C358:C360,0.072)</f>
        <v>9.0250000000000011E-2</v>
      </c>
      <c r="D363" s="1288">
        <f>AVERAGE(D358:D360,0.069)</f>
        <v>8.6750000000000008E-2</v>
      </c>
      <c r="E363" s="1288">
        <f>AVERAGE(E358:E360,0.001)</f>
        <v>7.3925E-4</v>
      </c>
      <c r="F363" s="1290">
        <f>AVERAGE(F358:F360,0.002)</f>
        <v>2.4250000000000001E-3</v>
      </c>
      <c r="H363" s="1291" t="s">
        <v>1442</v>
      </c>
      <c r="I363" s="1320" t="s">
        <v>1366</v>
      </c>
      <c r="J363" s="1322">
        <f>SUM(K363:M363)</f>
        <v>0.16843750000000002</v>
      </c>
      <c r="K363" s="1288">
        <f>AVERAGE(K358:K360,(0.069*1.9))</f>
        <v>0.16527500000000001</v>
      </c>
      <c r="L363" s="1323">
        <f>AVERAGE(L358:L360,0.001)</f>
        <v>7.3749999999999998E-4</v>
      </c>
      <c r="M363" s="1324">
        <f>AVERAGE(M358:M360,0.002)</f>
        <v>2.4250000000000001E-3</v>
      </c>
      <c r="S363" s="461"/>
      <c r="T363" s="426"/>
    </row>
    <row r="364" spans="1:20" ht="15.75" thickBot="1">
      <c r="A364" s="1291" t="s">
        <v>1467</v>
      </c>
      <c r="B364" s="1320" t="s">
        <v>1366</v>
      </c>
      <c r="C364" s="1321">
        <f>AVERAGE(C361,0.074)</f>
        <v>9.2499999999999999E-2</v>
      </c>
      <c r="D364" s="1288">
        <f>AVERAGE(D361,0.072)</f>
        <v>0.09</v>
      </c>
      <c r="E364" s="1288">
        <f>AVERAGE(E361,0.001)</f>
        <v>8.8000000000000003E-4</v>
      </c>
      <c r="F364" s="1290">
        <f>AVERAGE(F361,0.002)</f>
        <v>2.5000000000000001E-3</v>
      </c>
      <c r="H364" s="1291" t="s">
        <v>1467</v>
      </c>
      <c r="I364" s="1320" t="s">
        <v>1366</v>
      </c>
      <c r="J364" s="1322">
        <f>SUM(K364:M364)</f>
        <v>0.17427999999999999</v>
      </c>
      <c r="K364" s="1288">
        <f>AVERAGE(K361,(0.072*1.9))</f>
        <v>0.1709</v>
      </c>
      <c r="L364" s="1323">
        <f>AVERAGE(L361,0.001)</f>
        <v>8.8000000000000003E-4</v>
      </c>
      <c r="M364" s="1324">
        <f>AVERAGE(M361,0.002)</f>
        <v>2.5000000000000001E-3</v>
      </c>
      <c r="S364" s="461"/>
      <c r="T364" s="426"/>
    </row>
    <row r="365" spans="1:20" ht="15.75" thickBot="1">
      <c r="A365" s="1296" t="s">
        <v>1444</v>
      </c>
      <c r="B365" s="1296" t="s">
        <v>1366</v>
      </c>
      <c r="C365" s="1325">
        <v>0.23699999999999999</v>
      </c>
      <c r="D365" s="1281">
        <v>0.22900000000000001</v>
      </c>
      <c r="E365" s="1281">
        <v>2E-3</v>
      </c>
      <c r="F365" s="1298">
        <v>6.0000000000000001E-3</v>
      </c>
      <c r="H365" s="1296" t="s">
        <v>1444</v>
      </c>
      <c r="I365" s="1296" t="s">
        <v>1366</v>
      </c>
      <c r="J365" s="1325">
        <f>0.237*1.9</f>
        <v>0.45029999999999998</v>
      </c>
      <c r="K365" s="1281">
        <f>0.229*1.9</f>
        <v>0.43509999999999999</v>
      </c>
      <c r="L365" s="1281">
        <f>0.002*1.9</f>
        <v>3.8E-3</v>
      </c>
      <c r="M365" s="1298">
        <f>0.006*1.9</f>
        <v>1.14E-2</v>
      </c>
      <c r="S365" s="461"/>
      <c r="T365" s="426"/>
    </row>
    <row r="366" spans="1:20" ht="15.75" thickBot="1">
      <c r="A366" s="1296" t="s">
        <v>1445</v>
      </c>
      <c r="B366" s="1296" t="s">
        <v>1366</v>
      </c>
      <c r="C366" s="1325">
        <v>0.186</v>
      </c>
      <c r="D366" s="1281">
        <v>0.18</v>
      </c>
      <c r="E366" s="1281">
        <v>2E-3</v>
      </c>
      <c r="F366" s="1298">
        <v>5.0000000000000001E-3</v>
      </c>
      <c r="H366" s="1296" t="s">
        <v>1445</v>
      </c>
      <c r="I366" s="1296" t="s">
        <v>1366</v>
      </c>
      <c r="J366" s="1325">
        <f>0.186*1.9</f>
        <v>0.35339999999999999</v>
      </c>
      <c r="K366" s="1281">
        <f>0.18*1.9</f>
        <v>0.34199999999999997</v>
      </c>
      <c r="L366" s="1281">
        <f>0.002*1.9</f>
        <v>3.8E-3</v>
      </c>
      <c r="M366" s="1298">
        <f>0.005*1.9</f>
        <v>9.4999999999999998E-3</v>
      </c>
      <c r="S366" s="461"/>
      <c r="T366" s="426"/>
    </row>
    <row r="367" spans="1:20" ht="15.75" thickBot="1">
      <c r="A367" s="1296" t="s">
        <v>1446</v>
      </c>
      <c r="B367" s="1296" t="s">
        <v>1366</v>
      </c>
      <c r="C367" s="1325">
        <v>0.55200000000000005</v>
      </c>
      <c r="D367" s="1281">
        <v>0.53400000000000003</v>
      </c>
      <c r="E367" s="1281">
        <v>4.0000000000000001E-3</v>
      </c>
      <c r="F367" s="1298">
        <v>1.4E-2</v>
      </c>
      <c r="H367" s="1296" t="s">
        <v>1446</v>
      </c>
      <c r="I367" s="1296" t="s">
        <v>1366</v>
      </c>
      <c r="J367" s="1325">
        <f>0.552*1.9</f>
        <v>1.0488</v>
      </c>
      <c r="K367" s="1281">
        <f>0.534*1.9</f>
        <v>1.0145999999999999</v>
      </c>
      <c r="L367" s="1281">
        <f>0.004*1.9</f>
        <v>7.6E-3</v>
      </c>
      <c r="M367" s="1298">
        <f>0.014*1.9</f>
        <v>2.6599999999999999E-2</v>
      </c>
      <c r="S367" s="461"/>
      <c r="T367" s="426"/>
    </row>
    <row r="368" spans="1:20" ht="24.75" thickBot="1">
      <c r="A368" s="1291" t="s">
        <v>1447</v>
      </c>
      <c r="B368" s="1320" t="s">
        <v>1366</v>
      </c>
      <c r="C368" s="1321">
        <f>AVERAGE(C362,0.143)</f>
        <v>0.14499999999999999</v>
      </c>
      <c r="D368" s="1288">
        <f>AVERAGE(D362,0.138)</f>
        <v>0.14000000000000001</v>
      </c>
      <c r="E368" s="1288">
        <f>AVERAGE(E362,0.001)</f>
        <v>9.9500000000000001E-4</v>
      </c>
      <c r="F368" s="1290">
        <f>AVERAGE(F362,0.004)</f>
        <v>3.9500000000000004E-3</v>
      </c>
      <c r="H368" s="1291" t="s">
        <v>1447</v>
      </c>
      <c r="I368" s="1320" t="s">
        <v>1366</v>
      </c>
      <c r="J368" s="1322">
        <f>SUM(K368:M368)</f>
        <v>0.27004500000000004</v>
      </c>
      <c r="K368" s="1288">
        <f>AVERAGE(K362,(0.138*1.9))</f>
        <v>0.2661</v>
      </c>
      <c r="L368" s="1322">
        <f>AVERAGE(L362,0.001)</f>
        <v>9.9500000000000001E-4</v>
      </c>
      <c r="M368" s="1322">
        <f>AVERAGE(M362,0.002)</f>
        <v>2.9499999999999999E-3</v>
      </c>
      <c r="S368" s="461"/>
      <c r="T368" s="426"/>
    </row>
    <row r="369" spans="1:20" ht="15.75" thickBot="1">
      <c r="A369" s="1296" t="s">
        <v>1448</v>
      </c>
      <c r="B369" s="1296" t="s">
        <v>1366</v>
      </c>
      <c r="C369" s="1325">
        <v>0.188</v>
      </c>
      <c r="D369" s="1281">
        <v>0.182</v>
      </c>
      <c r="E369" s="1281">
        <v>2E-3</v>
      </c>
      <c r="F369" s="1298">
        <v>5.0000000000000001E-3</v>
      </c>
      <c r="H369" s="1296" t="s">
        <v>1448</v>
      </c>
      <c r="I369" s="1296" t="s">
        <v>1366</v>
      </c>
      <c r="J369" s="1325">
        <f>0.188*1.9</f>
        <v>0.35719999999999996</v>
      </c>
      <c r="K369" s="1281">
        <f>0.182*1.9</f>
        <v>0.3458</v>
      </c>
      <c r="L369" s="1281">
        <f>0.002*1.9</f>
        <v>3.8E-3</v>
      </c>
      <c r="M369" s="1298">
        <f>0.005*1.9</f>
        <v>9.4999999999999998E-3</v>
      </c>
      <c r="S369" s="461"/>
      <c r="T369" s="426"/>
    </row>
    <row r="370" spans="1:20" ht="15.75" thickBot="1">
      <c r="A370" s="1296" t="s">
        <v>1449</v>
      </c>
      <c r="B370" s="1296" t="s">
        <v>1366</v>
      </c>
      <c r="C370" s="1325">
        <v>9.7000000000000003E-2</v>
      </c>
      <c r="D370" s="1281">
        <v>9.4E-2</v>
      </c>
      <c r="E370" s="1281">
        <v>1E-3</v>
      </c>
      <c r="F370" s="1298">
        <v>2E-3</v>
      </c>
      <c r="H370" s="1296" t="s">
        <v>1449</v>
      </c>
      <c r="I370" s="1296" t="s">
        <v>1366</v>
      </c>
      <c r="J370" s="1325">
        <f>0.097*1.9</f>
        <v>0.18429999999999999</v>
      </c>
      <c r="K370" s="1281">
        <f>0.094*1.9</f>
        <v>0.17859999999999998</v>
      </c>
      <c r="L370" s="1281">
        <f>0.001*1.9</f>
        <v>1.9E-3</v>
      </c>
      <c r="M370" s="1298">
        <f>0.002*1.9</f>
        <v>3.8E-3</v>
      </c>
      <c r="S370" s="461"/>
      <c r="T370" s="426"/>
    </row>
    <row r="371" spans="1:20" ht="15.75" thickBot="1">
      <c r="A371" s="1296" t="s">
        <v>1450</v>
      </c>
      <c r="B371" s="1296" t="s">
        <v>1366</v>
      </c>
      <c r="C371" s="1325">
        <v>9.0999999999999998E-2</v>
      </c>
      <c r="D371" s="1281">
        <v>8.7999999999999995E-2</v>
      </c>
      <c r="E371" s="1281">
        <v>1E-3</v>
      </c>
      <c r="F371" s="1298">
        <v>2E-3</v>
      </c>
      <c r="H371" s="1296" t="s">
        <v>1450</v>
      </c>
      <c r="I371" s="1296" t="s">
        <v>1366</v>
      </c>
      <c r="J371" s="1325">
        <f>0.091*1.9</f>
        <v>0.1729</v>
      </c>
      <c r="K371" s="1281">
        <f>0.088*1.9</f>
        <v>0.16719999999999999</v>
      </c>
      <c r="L371" s="1281">
        <f>0.001*1.9</f>
        <v>1.9E-3</v>
      </c>
      <c r="M371" s="1298">
        <f>0.002*1.9</f>
        <v>3.8E-3</v>
      </c>
      <c r="S371" s="461"/>
      <c r="T371" s="426"/>
    </row>
    <row r="372" spans="1:20">
      <c r="K372" s="62"/>
      <c r="L372" s="50"/>
      <c r="M372" s="1303"/>
      <c r="S372" s="461"/>
      <c r="T372" s="426"/>
    </row>
    <row r="373" spans="1:20" ht="15.75" thickBot="1">
      <c r="A373" s="1229" t="s">
        <v>1471</v>
      </c>
      <c r="K373" s="62"/>
      <c r="L373" s="50"/>
      <c r="M373" s="1303"/>
      <c r="S373" s="461"/>
      <c r="T373" s="426"/>
    </row>
    <row r="374" spans="1:20" ht="15.75" thickBot="1">
      <c r="A374" s="1267" t="s">
        <v>1413</v>
      </c>
      <c r="B374" s="1327" t="s">
        <v>1414</v>
      </c>
      <c r="C374" s="1254"/>
      <c r="D374" s="729">
        <v>2019</v>
      </c>
      <c r="E374" s="50"/>
      <c r="F374" s="50"/>
      <c r="G374" s="50"/>
      <c r="H374" s="50"/>
      <c r="I374" s="50"/>
      <c r="K374" s="729">
        <v>2019</v>
      </c>
      <c r="L374" s="50"/>
      <c r="M374" s="1303"/>
      <c r="S374" s="461"/>
      <c r="T374" s="426"/>
    </row>
    <row r="375" spans="1:20" ht="15.75" thickBot="1">
      <c r="A375" s="1270" t="s">
        <v>1437</v>
      </c>
      <c r="B375" s="1328">
        <v>22</v>
      </c>
      <c r="C375" s="1329"/>
      <c r="D375" s="444" t="s">
        <v>1359</v>
      </c>
      <c r="E375" s="50"/>
      <c r="F375" s="50"/>
      <c r="G375" s="50"/>
      <c r="H375" s="50"/>
      <c r="I375" s="50"/>
      <c r="K375" s="166" t="s">
        <v>1360</v>
      </c>
      <c r="L375" s="50"/>
      <c r="M375" s="50"/>
      <c r="N375" s="50"/>
      <c r="O375" s="50"/>
      <c r="P375" s="50"/>
      <c r="S375" s="461"/>
      <c r="T375" s="426"/>
    </row>
    <row r="376" spans="1:20" ht="18.75" customHeight="1" thickBot="1">
      <c r="A376" s="1277" t="s">
        <v>1438</v>
      </c>
      <c r="B376" s="1328">
        <v>22</v>
      </c>
      <c r="C376" s="1329"/>
      <c r="D376" s="1267" t="s">
        <v>34</v>
      </c>
      <c r="E376" s="1267" t="s">
        <v>70</v>
      </c>
      <c r="F376" s="1330" t="s">
        <v>1472</v>
      </c>
      <c r="G376" s="1330" t="s">
        <v>1473</v>
      </c>
      <c r="H376" s="1330" t="s">
        <v>1474</v>
      </c>
      <c r="I376" s="1330" t="s">
        <v>1475</v>
      </c>
      <c r="K376" s="1267" t="s">
        <v>34</v>
      </c>
      <c r="L376" s="1267" t="s">
        <v>70</v>
      </c>
      <c r="M376" s="1330" t="s">
        <v>1472</v>
      </c>
      <c r="N376" s="1330" t="s">
        <v>1473</v>
      </c>
      <c r="O376" s="1330" t="s">
        <v>1474</v>
      </c>
      <c r="P376" s="1330" t="s">
        <v>1475</v>
      </c>
      <c r="S376" s="461"/>
      <c r="T376" s="426"/>
    </row>
    <row r="377" spans="1:20" ht="15.75" thickBot="1">
      <c r="A377" s="1270" t="s">
        <v>1439</v>
      </c>
      <c r="B377" s="1328">
        <v>22</v>
      </c>
      <c r="C377" s="1329"/>
      <c r="D377" s="1296" t="s">
        <v>1365</v>
      </c>
      <c r="E377" s="1296" t="s">
        <v>1366</v>
      </c>
      <c r="F377" s="1325"/>
      <c r="G377" s="1296"/>
      <c r="H377" s="1296"/>
      <c r="I377" s="1296"/>
      <c r="K377" s="1296" t="s">
        <v>1365</v>
      </c>
      <c r="L377" s="1296" t="s">
        <v>1366</v>
      </c>
      <c r="M377" s="1290"/>
      <c r="N377" s="1290"/>
      <c r="O377" s="1290"/>
      <c r="P377" s="1290"/>
      <c r="S377" s="461"/>
      <c r="T377" s="426"/>
    </row>
    <row r="378" spans="1:20" ht="15.75" thickBot="1">
      <c r="A378" s="1277" t="s">
        <v>1440</v>
      </c>
      <c r="B378" s="1328">
        <v>42</v>
      </c>
      <c r="C378" s="1329"/>
      <c r="D378" s="1331" t="s">
        <v>1259</v>
      </c>
      <c r="E378" s="1296" t="s">
        <v>1366</v>
      </c>
      <c r="F378" s="1290">
        <f>SUM(C346*B381)/SUM(B381)</f>
        <v>9.0424999999999991E-2</v>
      </c>
      <c r="G378" s="1290">
        <f>SUM(D346*B381)/SUM(B381)</f>
        <v>8.7224999999999997E-2</v>
      </c>
      <c r="H378" s="1290">
        <f>SUM(E346*B381)/SUM(B381)</f>
        <v>7.5000000000000002E-4</v>
      </c>
      <c r="I378" s="1290">
        <f>SUM(F346*B381)/SUM(B381)</f>
        <v>2.4499999999999999E-3</v>
      </c>
      <c r="K378" s="1296" t="s">
        <v>1259</v>
      </c>
      <c r="L378" s="1296" t="s">
        <v>1366</v>
      </c>
      <c r="M378" s="1290">
        <f>J346</f>
        <v>0.16843750000000002</v>
      </c>
      <c r="N378" s="1290">
        <f>K346</f>
        <v>0.16527500000000001</v>
      </c>
      <c r="O378" s="1290">
        <f>L346</f>
        <v>7.3749999999999998E-4</v>
      </c>
      <c r="P378" s="1290">
        <f>M346</f>
        <v>2.4250000000000001E-3</v>
      </c>
      <c r="S378" s="461"/>
      <c r="T378" s="426"/>
    </row>
    <row r="379" spans="1:20" ht="15.75" thickBot="1">
      <c r="A379" s="1270" t="s">
        <v>1441</v>
      </c>
      <c r="B379" s="1328">
        <v>36</v>
      </c>
      <c r="C379" s="1329"/>
      <c r="D379" s="1296" t="s">
        <v>1260</v>
      </c>
      <c r="E379" s="1296" t="s">
        <v>1366</v>
      </c>
      <c r="F379" s="1324">
        <f>SUM(G379:I379)</f>
        <v>0.1200239453567384</v>
      </c>
      <c r="G379" s="1324">
        <f>SUM(D347*C383,D351*C384,D354*C385)</f>
        <v>0.1157999929218573</v>
      </c>
      <c r="H379" s="1324">
        <f>SUM(E347*C383,E351*C384,E354*C385)</f>
        <v>9.515147225368063E-4</v>
      </c>
      <c r="I379" s="1324">
        <f>SUM(F347*C383,F351*C384,F354*C385)</f>
        <v>3.2724377123442808E-3</v>
      </c>
      <c r="K379" s="1296" t="s">
        <v>1260</v>
      </c>
      <c r="L379" s="1296" t="s">
        <v>1366</v>
      </c>
      <c r="M379" s="1324">
        <f>SUM(N379:P379)</f>
        <v>0.22388257502831257</v>
      </c>
      <c r="N379" s="1324">
        <f>SUM(K347*C383,K351*C384,K354*C385)</f>
        <v>0.21992801528878822</v>
      </c>
      <c r="O379" s="1324">
        <f>SUM(L347*C383,L351*C384,L354*C385)</f>
        <v>9.3937004530011319E-4</v>
      </c>
      <c r="P379" s="1324">
        <f>SUM(M347*C383,M351*C384,M354*C385)</f>
        <v>3.0151896942242355E-3</v>
      </c>
      <c r="S379" s="461"/>
      <c r="T379" s="426"/>
    </row>
    <row r="380" spans="1:20" ht="15.75" thickBot="1">
      <c r="A380" s="1332" t="s">
        <v>1259</v>
      </c>
      <c r="B380" s="1332"/>
      <c r="C380" s="1333"/>
      <c r="D380" s="1296" t="s">
        <v>1261</v>
      </c>
      <c r="E380" s="1296" t="s">
        <v>1366</v>
      </c>
      <c r="F380" s="1324">
        <f>SUM(G380:I380)</f>
        <v>0.35246244343891403</v>
      </c>
      <c r="G380" s="1324">
        <f>SUM(D348*C387,D349*C388,D350*C389,D352*C390,D353*C391)</f>
        <v>0.34053665158371044</v>
      </c>
      <c r="H380" s="1324">
        <f>SUM(E348*C387,E349*C388,E350*C389,E352*C390,E353*C391)</f>
        <v>2.8841628959276021E-3</v>
      </c>
      <c r="I380" s="1324">
        <f>SUM(F348*C387,F349*C388,F350*C389,F352*C390,F353*C391)</f>
        <v>9.0416289592760192E-3</v>
      </c>
      <c r="K380" s="1296" t="s">
        <v>1261</v>
      </c>
      <c r="L380" s="1296" t="s">
        <v>1366</v>
      </c>
      <c r="M380" s="1324">
        <f>SUM(N380:P380)</f>
        <v>0.6696786425339365</v>
      </c>
      <c r="N380" s="1324">
        <f>SUM(K348*C387,K349*C388,K350*C389,K352*C390,K353*C391)</f>
        <v>0.64701963800904971</v>
      </c>
      <c r="O380" s="1324">
        <f>SUM(L348*C387,L349*C388,L350*C389,L352*C390,L353*C391)</f>
        <v>5.4799095022624433E-3</v>
      </c>
      <c r="P380" s="1324">
        <f>SUM(M348*C387,M349*C388,M350*C389,M352*C390,M353*C391)</f>
        <v>1.7179095022624435E-2</v>
      </c>
      <c r="S380" s="461"/>
      <c r="T380" s="426"/>
    </row>
    <row r="381" spans="1:20" ht="15.75" thickBot="1">
      <c r="A381" s="1291" t="s">
        <v>1442</v>
      </c>
      <c r="B381" s="1334">
        <f>AVERAGE(B375:B377,25.69)</f>
        <v>22.922499999999999</v>
      </c>
      <c r="C381" s="1335">
        <f>B381+B383+B384</f>
        <v>93.552499999999995</v>
      </c>
      <c r="D381" s="166"/>
      <c r="E381" s="50"/>
      <c r="F381" s="50"/>
      <c r="G381" s="50"/>
      <c r="H381" s="50"/>
      <c r="I381" s="50"/>
      <c r="S381" s="461"/>
      <c r="T381" s="426"/>
    </row>
    <row r="382" spans="1:20" ht="15.75" thickBot="1">
      <c r="A382" s="1332" t="s">
        <v>1260</v>
      </c>
      <c r="B382" s="1325"/>
      <c r="C382" s="1333"/>
      <c r="D382" s="729">
        <v>2020</v>
      </c>
      <c r="E382" s="189"/>
      <c r="F382" s="189"/>
      <c r="G382" s="189"/>
      <c r="H382" s="189"/>
      <c r="I382" s="189"/>
      <c r="K382" s="729">
        <v>2020</v>
      </c>
      <c r="L382" s="50"/>
      <c r="S382" s="461"/>
      <c r="T382" s="426"/>
    </row>
    <row r="383" spans="1:20" ht="15.75" thickBot="1">
      <c r="A383" s="1291" t="s">
        <v>1467</v>
      </c>
      <c r="B383" s="1334">
        <f>AVERAGE(B378,26.5)</f>
        <v>34.25</v>
      </c>
      <c r="C383" s="1336">
        <f>B383/$C$386</f>
        <v>0.4848527746319366</v>
      </c>
      <c r="D383" s="444" t="s">
        <v>1359</v>
      </c>
      <c r="E383" s="50"/>
      <c r="F383" s="50"/>
      <c r="G383" s="50"/>
      <c r="H383" s="50"/>
      <c r="I383" s="50"/>
      <c r="K383" s="166" t="s">
        <v>1360</v>
      </c>
      <c r="L383" s="50"/>
      <c r="M383" s="50"/>
      <c r="N383" s="50"/>
      <c r="O383" s="50"/>
      <c r="P383" s="50"/>
      <c r="S383" s="461"/>
      <c r="T383" s="426"/>
    </row>
    <row r="384" spans="1:20" ht="29.25" customHeight="1" thickBot="1">
      <c r="A384" s="1291" t="s">
        <v>1447</v>
      </c>
      <c r="B384" s="1334">
        <f>AVERAGE(B379,36.76)</f>
        <v>36.379999999999995</v>
      </c>
      <c r="C384" s="1336">
        <f>B384/$C$386</f>
        <v>0.51500566251415625</v>
      </c>
      <c r="D384" s="1267" t="s">
        <v>34</v>
      </c>
      <c r="E384" s="1267" t="s">
        <v>70</v>
      </c>
      <c r="F384" s="1330" t="s">
        <v>1472</v>
      </c>
      <c r="G384" s="1330" t="s">
        <v>1473</v>
      </c>
      <c r="H384" s="1330" t="s">
        <v>1474</v>
      </c>
      <c r="I384" s="1330" t="s">
        <v>1475</v>
      </c>
      <c r="K384" s="1267" t="s">
        <v>34</v>
      </c>
      <c r="L384" s="1267" t="s">
        <v>70</v>
      </c>
      <c r="M384" s="1330" t="s">
        <v>1472</v>
      </c>
      <c r="N384" s="1330" t="s">
        <v>1473</v>
      </c>
      <c r="O384" s="1330" t="s">
        <v>1474</v>
      </c>
      <c r="P384" s="1330" t="s">
        <v>1475</v>
      </c>
      <c r="S384" s="461"/>
      <c r="T384" s="426"/>
    </row>
    <row r="385" spans="1:22" ht="15.75" thickBot="1">
      <c r="A385" s="1296" t="s">
        <v>1450</v>
      </c>
      <c r="B385" s="1337">
        <v>0.01</v>
      </c>
      <c r="C385" s="1336">
        <f>B385/$C$386</f>
        <v>1.4156285390713478E-4</v>
      </c>
      <c r="D385" s="1296" t="s">
        <v>1365</v>
      </c>
      <c r="E385" s="1296" t="s">
        <v>1366</v>
      </c>
      <c r="F385" s="1325"/>
      <c r="G385" s="1296"/>
      <c r="H385" s="1296"/>
      <c r="I385" s="1296"/>
      <c r="K385" s="1296" t="s">
        <v>1365</v>
      </c>
      <c r="L385" s="1296" t="s">
        <v>1366</v>
      </c>
      <c r="M385" s="1290"/>
      <c r="N385" s="1290"/>
      <c r="O385" s="1290"/>
      <c r="P385" s="1290"/>
      <c r="S385" s="461"/>
      <c r="T385" s="426"/>
    </row>
    <row r="386" spans="1:22" ht="15.75" thickBot="1">
      <c r="A386" s="1332" t="s">
        <v>1261</v>
      </c>
      <c r="B386" s="1325"/>
      <c r="C386" s="6">
        <f>SUM(B383:B385)</f>
        <v>70.64</v>
      </c>
      <c r="D386" s="1296" t="s">
        <v>1259</v>
      </c>
      <c r="E386" s="1296" t="s">
        <v>1366</v>
      </c>
      <c r="F386" s="1290">
        <f>SUM(C363*B381)/SUM(B381)</f>
        <v>9.0250000000000011E-2</v>
      </c>
      <c r="G386" s="1290">
        <f>SUM(D363*B381)/SUM(B381)</f>
        <v>8.6750000000000008E-2</v>
      </c>
      <c r="H386" s="1290">
        <f>SUM(E363*B381)/SUM(B381)</f>
        <v>7.3925E-4</v>
      </c>
      <c r="I386" s="1290">
        <f>SUM(F363*B381)/SUM(B381)</f>
        <v>2.4250000000000001E-3</v>
      </c>
      <c r="K386" s="1296" t="s">
        <v>1259</v>
      </c>
      <c r="L386" s="1296" t="s">
        <v>1366</v>
      </c>
      <c r="M386" s="1290">
        <f>J363</f>
        <v>0.16843750000000002</v>
      </c>
      <c r="N386" s="1290">
        <f>K363</f>
        <v>0.16527500000000001</v>
      </c>
      <c r="O386" s="1290">
        <f>L363</f>
        <v>7.3749999999999998E-4</v>
      </c>
      <c r="P386" s="1290">
        <f>M363</f>
        <v>2.4250000000000001E-3</v>
      </c>
      <c r="S386" s="461"/>
      <c r="T386" s="426"/>
    </row>
    <row r="387" spans="1:22" ht="15.75" thickBot="1">
      <c r="A387" s="1296" t="s">
        <v>1444</v>
      </c>
      <c r="B387" s="1337">
        <v>0.17</v>
      </c>
      <c r="C387" s="1336">
        <f>B387/$C$392</f>
        <v>1.5384615384615387E-2</v>
      </c>
      <c r="D387" s="1296" t="s">
        <v>1260</v>
      </c>
      <c r="E387" s="1296" t="s">
        <v>1366</v>
      </c>
      <c r="F387" s="1324">
        <f>SUM(G387:I387)</f>
        <v>0.11993593006795018</v>
      </c>
      <c r="G387" s="1324">
        <f>SUM(D364*C383,D368*C384,D371*C385)</f>
        <v>0.11575000000000001</v>
      </c>
      <c r="H387" s="1324">
        <f>SUM(E364*C383,E368*C384,E371*C385)</f>
        <v>9.3924263873159677E-4</v>
      </c>
      <c r="I387" s="1324">
        <f>SUM(F364*C383,F368*C384,F371*C385)</f>
        <v>3.2466874292185728E-3</v>
      </c>
      <c r="K387" s="1296" t="s">
        <v>1260</v>
      </c>
      <c r="L387" s="1296" t="s">
        <v>1366</v>
      </c>
      <c r="M387" s="1324">
        <f>SUM(J364*$B$383,J368*$B$384,J371*$B$385)/SUM($B$383:$B$385)</f>
        <v>0.22359932191392975</v>
      </c>
      <c r="N387" s="1324">
        <f>SUM(K364*C383,K368*C384,K371*C385)</f>
        <v>0.21992801528878822</v>
      </c>
      <c r="O387" s="1324">
        <f>SUM(L364*C383,L368*C384,L371*C385)</f>
        <v>9.3937004530011319E-4</v>
      </c>
      <c r="P387" s="1324">
        <f>SUM(M364*C383,M368*C384,M371*C385)</f>
        <v>2.7319365798414495E-3</v>
      </c>
      <c r="S387" s="461"/>
      <c r="T387" s="426"/>
    </row>
    <row r="388" spans="1:22" ht="15.75" thickBot="1">
      <c r="A388" s="1296" t="s">
        <v>1445</v>
      </c>
      <c r="B388" s="1337">
        <v>3.24</v>
      </c>
      <c r="C388" s="1336">
        <f>B388/$C$392</f>
        <v>0.29321266968325799</v>
      </c>
      <c r="D388" s="1296" t="s">
        <v>1261</v>
      </c>
      <c r="E388" s="1296" t="s">
        <v>1366</v>
      </c>
      <c r="F388" s="1324">
        <f>SUM(G388:I388)</f>
        <v>0.35246244343891403</v>
      </c>
      <c r="G388" s="1324">
        <f>SUM(D365*C387,D366*C388,D367*C389,D369*C390,D370*C391)</f>
        <v>0.34053665158371044</v>
      </c>
      <c r="H388" s="1324">
        <f>SUM(E365*C387,E366*C388,E367*C389,E369*C390,E370*C391)</f>
        <v>2.8841628959276021E-3</v>
      </c>
      <c r="I388" s="1324">
        <f>SUM(F365*C387,F366*C388,F367*C389,F369*C390,F370*C391)</f>
        <v>9.0416289592760192E-3</v>
      </c>
      <c r="K388" s="1296" t="s">
        <v>1261</v>
      </c>
      <c r="L388" s="1296" t="s">
        <v>1366</v>
      </c>
      <c r="M388" s="1324">
        <f>SUM(N388:P388)</f>
        <v>0.6696786425339365</v>
      </c>
      <c r="N388" s="1324">
        <f>SUM(K365*C387,K366*C388,K367*C389,K369*C390,K370*C391)</f>
        <v>0.64701963800904971</v>
      </c>
      <c r="O388" s="1324">
        <f>SUM(L365*C387,L366*C388,L367*C389,L369*C390,L370*C391)</f>
        <v>5.4799095022624433E-3</v>
      </c>
      <c r="P388" s="1324">
        <f>SUM(M365*C387,M366*C388,M367*C389,M369*C390,M370*C391)</f>
        <v>1.7179095022624435E-2</v>
      </c>
      <c r="S388" s="461"/>
      <c r="T388" s="426"/>
    </row>
    <row r="389" spans="1:22" ht="15.75" thickBot="1">
      <c r="A389" s="1296" t="s">
        <v>1446</v>
      </c>
      <c r="B389" s="1337">
        <v>5.0599999999999996</v>
      </c>
      <c r="C389" s="1336">
        <f>B389/$C$392</f>
        <v>0.45791855203619908</v>
      </c>
      <c r="D389" s="189"/>
      <c r="E389" s="189"/>
      <c r="K389" s="62"/>
      <c r="L389" s="50"/>
      <c r="M389" s="50"/>
      <c r="N389" s="710"/>
      <c r="S389" s="461"/>
      <c r="T389" s="426"/>
    </row>
    <row r="390" spans="1:22" ht="15.75" thickBot="1">
      <c r="A390" s="1296" t="s">
        <v>1448</v>
      </c>
      <c r="B390" s="1337">
        <v>2.23</v>
      </c>
      <c r="C390" s="1336">
        <f>B390/$C$392</f>
        <v>0.20180995475113123</v>
      </c>
      <c r="D390" s="189"/>
      <c r="E390" s="189"/>
      <c r="F390" s="189"/>
      <c r="G390" s="189"/>
      <c r="H390" s="189"/>
      <c r="I390" s="189"/>
      <c r="K390" s="62"/>
      <c r="L390" s="50"/>
      <c r="M390" s="50"/>
      <c r="N390" s="710"/>
      <c r="S390" s="461"/>
      <c r="T390" s="426"/>
    </row>
    <row r="391" spans="1:22" ht="15.75" thickBot="1">
      <c r="A391" s="1296" t="s">
        <v>1449</v>
      </c>
      <c r="B391" s="1337">
        <v>0.35</v>
      </c>
      <c r="C391" s="1336">
        <f>B391/$C$392</f>
        <v>3.1674208144796379E-2</v>
      </c>
      <c r="D391" s="189"/>
      <c r="E391" s="189"/>
      <c r="K391" s="62"/>
      <c r="L391" s="50"/>
      <c r="M391" s="50"/>
      <c r="N391" s="710"/>
      <c r="S391" s="461"/>
      <c r="T391" s="426"/>
    </row>
    <row r="392" spans="1:22">
      <c r="B392">
        <f>SUM(B381:B391)</f>
        <v>104.6125</v>
      </c>
      <c r="C392" s="6">
        <f>SUM(B387:B391)</f>
        <v>11.049999999999999</v>
      </c>
      <c r="D392" s="189"/>
      <c r="E392" s="189"/>
      <c r="K392" s="62"/>
      <c r="L392" s="50"/>
      <c r="M392" s="50"/>
      <c r="N392" s="710"/>
      <c r="S392" s="461"/>
      <c r="T392" s="426"/>
    </row>
    <row r="393" spans="1:22" ht="60">
      <c r="A393" s="1333"/>
      <c r="C393" s="188" t="s">
        <v>1476</v>
      </c>
      <c r="D393" s="189"/>
      <c r="E393" s="189"/>
      <c r="K393" s="62"/>
      <c r="L393" s="50"/>
      <c r="M393" s="50"/>
      <c r="N393" s="710"/>
      <c r="S393" s="461"/>
      <c r="T393" s="426"/>
    </row>
    <row r="394" spans="1:22">
      <c r="A394" s="62"/>
      <c r="B394" s="1303"/>
      <c r="K394" s="62"/>
      <c r="L394" s="50"/>
      <c r="M394" s="50"/>
      <c r="N394" s="710"/>
      <c r="S394" s="461"/>
      <c r="T394" s="426"/>
    </row>
    <row r="395" spans="1:22">
      <c r="A395" s="62"/>
      <c r="B395" s="62"/>
      <c r="C395" s="446"/>
      <c r="D395" s="446"/>
      <c r="E395" s="742"/>
      <c r="F395" s="742"/>
      <c r="G395" s="743"/>
      <c r="H395" s="188"/>
      <c r="I395" s="189"/>
      <c r="J395" s="189"/>
      <c r="K395" s="62"/>
      <c r="L395" s="50"/>
      <c r="M395" s="50"/>
      <c r="N395" s="710"/>
      <c r="S395" s="461"/>
      <c r="T395" s="426"/>
    </row>
    <row r="396" spans="1:22" ht="15.75" thickBot="1">
      <c r="S396" s="461"/>
      <c r="T396" s="48"/>
    </row>
    <row r="397" spans="1:22" s="467" customFormat="1" ht="51.75" customHeight="1" thickBot="1">
      <c r="A397" s="465" t="s">
        <v>1477</v>
      </c>
      <c r="B397" s="466" t="s">
        <v>1478</v>
      </c>
      <c r="Q397" s="468"/>
      <c r="R397" s="468"/>
      <c r="S397" s="462"/>
      <c r="T397" s="463"/>
      <c r="U397" s="464"/>
      <c r="V397" s="468"/>
    </row>
    <row r="398" spans="1:22">
      <c r="A398" s="50"/>
      <c r="B398" s="50"/>
      <c r="C398" s="50"/>
      <c r="D398" s="50"/>
      <c r="E398" s="50"/>
      <c r="F398" s="50"/>
      <c r="G398" s="50"/>
      <c r="H398" s="50"/>
      <c r="I398" s="50"/>
      <c r="S398" s="461"/>
      <c r="T398" s="48"/>
    </row>
    <row r="399" spans="1:22">
      <c r="A399" s="50"/>
      <c r="B399" s="50"/>
      <c r="C399" s="50"/>
      <c r="D399" s="50"/>
      <c r="E399" s="50"/>
      <c r="F399" s="50"/>
      <c r="G399" s="50"/>
      <c r="H399" s="50"/>
      <c r="I399" s="50"/>
      <c r="S399" s="461"/>
      <c r="T399" s="48"/>
    </row>
    <row r="400" spans="1:22">
      <c r="A400" s="50"/>
      <c r="B400" s="50"/>
      <c r="C400" s="50"/>
      <c r="D400" s="50"/>
      <c r="E400" s="50"/>
      <c r="F400" s="50"/>
      <c r="G400" s="50"/>
      <c r="H400" s="50"/>
      <c r="I400" s="50"/>
    </row>
    <row r="401" spans="1:21">
      <c r="A401" s="53" t="s">
        <v>1479</v>
      </c>
      <c r="B401" s="50"/>
      <c r="C401" s="50"/>
      <c r="D401" s="50"/>
      <c r="E401" s="50"/>
      <c r="F401" s="50"/>
      <c r="G401" s="50"/>
      <c r="H401" s="50"/>
      <c r="I401" s="50"/>
    </row>
    <row r="402" spans="1:21" outlineLevel="1">
      <c r="A402" s="50"/>
      <c r="B402" s="50"/>
      <c r="C402" s="50"/>
      <c r="D402" s="50"/>
      <c r="E402" s="50"/>
      <c r="F402" s="50"/>
      <c r="G402" s="50"/>
      <c r="H402" s="50"/>
      <c r="I402" s="50"/>
    </row>
    <row r="403" spans="1:21" ht="15.75" outlineLevel="1" thickBot="1">
      <c r="A403" s="50" t="s">
        <v>1480</v>
      </c>
      <c r="B403" s="50"/>
      <c r="C403" s="50"/>
      <c r="D403" s="50"/>
      <c r="E403" s="50"/>
      <c r="F403" s="50"/>
      <c r="G403" s="50"/>
      <c r="H403" s="50"/>
      <c r="I403" s="50"/>
      <c r="S403" s="70"/>
      <c r="T403" s="70"/>
      <c r="U403" s="70"/>
    </row>
    <row r="404" spans="1:21">
      <c r="A404" s="50"/>
      <c r="B404" s="50"/>
      <c r="C404" s="50"/>
      <c r="D404" s="50"/>
      <c r="E404" s="50"/>
      <c r="F404" s="50"/>
      <c r="G404" s="50"/>
      <c r="H404" s="50"/>
      <c r="I404" s="50"/>
      <c r="S404" s="225"/>
      <c r="T404" s="225"/>
      <c r="U404" s="225"/>
    </row>
    <row r="405" spans="1:21">
      <c r="A405" s="53" t="s">
        <v>1481</v>
      </c>
      <c r="B405" s="50"/>
      <c r="C405" s="50"/>
      <c r="D405" s="50"/>
      <c r="E405" s="50"/>
      <c r="F405" s="50"/>
      <c r="G405" s="50"/>
      <c r="H405" s="50"/>
      <c r="I405" s="50"/>
    </row>
    <row r="406" spans="1:21">
      <c r="A406" s="53"/>
      <c r="B406" s="50"/>
      <c r="C406" s="50"/>
      <c r="D406" s="50"/>
      <c r="E406" s="50"/>
      <c r="F406" s="50"/>
      <c r="G406" s="50"/>
      <c r="H406" s="50"/>
      <c r="I406" s="50"/>
    </row>
    <row r="407" spans="1:21">
      <c r="A407" s="50" t="s">
        <v>1342</v>
      </c>
      <c r="B407" s="50"/>
      <c r="C407" s="50"/>
      <c r="D407" s="50"/>
      <c r="E407" s="50"/>
      <c r="F407" s="50"/>
      <c r="G407" s="50"/>
      <c r="H407" s="50"/>
      <c r="I407" s="50"/>
    </row>
    <row r="408" spans="1:21">
      <c r="A408" s="53" t="s">
        <v>1482</v>
      </c>
      <c r="B408" s="50"/>
      <c r="C408" s="50"/>
      <c r="D408" s="2011" t="s">
        <v>1483</v>
      </c>
      <c r="E408" s="2012"/>
      <c r="F408" s="2012"/>
      <c r="G408" s="2013"/>
      <c r="H408" s="2014" t="s">
        <v>1484</v>
      </c>
      <c r="I408" s="2012"/>
      <c r="J408" s="2012"/>
      <c r="K408" s="2015"/>
    </row>
    <row r="409" spans="1:21" ht="18">
      <c r="A409" s="590" t="s">
        <v>1347</v>
      </c>
      <c r="B409" s="590" t="s">
        <v>1348</v>
      </c>
      <c r="C409" s="591" t="s">
        <v>70</v>
      </c>
      <c r="D409" s="282" t="s">
        <v>1485</v>
      </c>
      <c r="E409" s="278" t="s">
        <v>1486</v>
      </c>
      <c r="F409" s="278" t="s">
        <v>1487</v>
      </c>
      <c r="G409" s="283" t="s">
        <v>1488</v>
      </c>
      <c r="H409" s="284" t="s">
        <v>1485</v>
      </c>
      <c r="I409" s="278" t="s">
        <v>1486</v>
      </c>
      <c r="J409" s="278" t="s">
        <v>1487</v>
      </c>
      <c r="K409" s="285" t="s">
        <v>1488</v>
      </c>
    </row>
    <row r="410" spans="1:21">
      <c r="A410" s="2016" t="s">
        <v>1353</v>
      </c>
      <c r="B410" s="430" t="s">
        <v>1265</v>
      </c>
      <c r="C410" s="431" t="s">
        <v>1192</v>
      </c>
      <c r="D410" s="280">
        <v>0.15553</v>
      </c>
      <c r="E410" s="280">
        <v>0.15475</v>
      </c>
      <c r="F410" s="280">
        <v>1.0000000000000001E-5</v>
      </c>
      <c r="G410" s="280">
        <v>7.6999999999999996E-4</v>
      </c>
      <c r="H410" s="280">
        <v>8.2229999999999998E-2</v>
      </c>
      <c r="I410" s="280">
        <v>8.1449999999999995E-2</v>
      </c>
      <c r="J410" s="280">
        <v>1.0000000000000001E-5</v>
      </c>
      <c r="K410" s="280">
        <v>7.6999999999999996E-4</v>
      </c>
    </row>
    <row r="411" spans="1:21">
      <c r="A411" s="2016"/>
      <c r="B411" s="430" t="s">
        <v>1267</v>
      </c>
      <c r="C411" s="431" t="s">
        <v>1192</v>
      </c>
      <c r="D411" s="280">
        <v>0.15298000000000003</v>
      </c>
      <c r="E411" s="280">
        <v>0.15221000000000001</v>
      </c>
      <c r="F411" s="280">
        <v>1.0000000000000001E-5</v>
      </c>
      <c r="G411" s="280">
        <v>7.6000000000000004E-4</v>
      </c>
      <c r="H411" s="280">
        <v>8.0879999999999994E-2</v>
      </c>
      <c r="I411" s="280">
        <v>8.0110000000000001E-2</v>
      </c>
      <c r="J411" s="280">
        <v>1.0000000000000001E-5</v>
      </c>
      <c r="K411" s="280">
        <v>7.6000000000000004E-4</v>
      </c>
    </row>
    <row r="412" spans="1:21">
      <c r="A412" s="2016"/>
      <c r="B412" s="430" t="s">
        <v>1268</v>
      </c>
      <c r="C412" s="431" t="s">
        <v>1192</v>
      </c>
      <c r="D412" s="280">
        <v>0.22947000000000001</v>
      </c>
      <c r="E412" s="280">
        <v>0.22832</v>
      </c>
      <c r="F412" s="280">
        <v>1.0000000000000001E-5</v>
      </c>
      <c r="G412" s="280">
        <v>1.14E-3</v>
      </c>
      <c r="H412" s="280">
        <v>0.12132</v>
      </c>
      <c r="I412" s="280">
        <v>0.12017</v>
      </c>
      <c r="J412" s="280">
        <v>1.0000000000000001E-5</v>
      </c>
      <c r="K412" s="280">
        <v>1.14E-3</v>
      </c>
    </row>
    <row r="413" spans="1:21">
      <c r="A413" s="2017" t="s">
        <v>1354</v>
      </c>
      <c r="B413" s="278" t="s">
        <v>1265</v>
      </c>
      <c r="C413" s="279" t="s">
        <v>1192</v>
      </c>
      <c r="D413" s="280">
        <v>0.19085000000000002</v>
      </c>
      <c r="E413" s="281">
        <v>0.18989</v>
      </c>
      <c r="F413" s="280">
        <v>1.0000000000000001E-5</v>
      </c>
      <c r="G413" s="280">
        <v>9.5E-4</v>
      </c>
      <c r="H413" s="280">
        <v>0.1009</v>
      </c>
      <c r="I413" s="280">
        <v>9.9940000000000001E-2</v>
      </c>
      <c r="J413" s="280">
        <v>1.0000000000000001E-5</v>
      </c>
      <c r="K413" s="280">
        <v>9.5E-4</v>
      </c>
    </row>
    <row r="414" spans="1:21">
      <c r="A414" s="2017"/>
      <c r="B414" s="278" t="s">
        <v>1267</v>
      </c>
      <c r="C414" s="279" t="s">
        <v>1192</v>
      </c>
      <c r="D414" s="280">
        <v>0.14615</v>
      </c>
      <c r="E414" s="280">
        <v>0.14541999999999999</v>
      </c>
      <c r="F414" s="280">
        <v>1.0000000000000001E-5</v>
      </c>
      <c r="G414" s="280">
        <v>7.2000000000000005E-4</v>
      </c>
      <c r="H414" s="280">
        <v>7.7269999999999991E-2</v>
      </c>
      <c r="I414" s="280">
        <v>7.6539999999999997E-2</v>
      </c>
      <c r="J414" s="280">
        <v>1.0000000000000001E-5</v>
      </c>
      <c r="K414" s="280">
        <v>7.2000000000000005E-4</v>
      </c>
    </row>
    <row r="415" spans="1:21">
      <c r="A415" s="2017"/>
      <c r="B415" s="278" t="s">
        <v>1270</v>
      </c>
      <c r="C415" s="279" t="s">
        <v>1192</v>
      </c>
      <c r="D415" s="280">
        <v>0.23385</v>
      </c>
      <c r="E415" s="280">
        <v>0.23268</v>
      </c>
      <c r="F415" s="280">
        <v>1.0000000000000001E-5</v>
      </c>
      <c r="G415" s="280">
        <v>1.16E-3</v>
      </c>
      <c r="H415" s="280">
        <v>0.12362999999999999</v>
      </c>
      <c r="I415" s="280">
        <v>0.12246</v>
      </c>
      <c r="J415" s="280">
        <v>1.0000000000000001E-5</v>
      </c>
      <c r="K415" s="280">
        <v>1.16E-3</v>
      </c>
    </row>
    <row r="416" spans="1:21">
      <c r="A416" s="2017"/>
      <c r="B416" s="278" t="s">
        <v>1268</v>
      </c>
      <c r="C416" s="279" t="s">
        <v>1192</v>
      </c>
      <c r="D416" s="280">
        <v>0.42385</v>
      </c>
      <c r="E416" s="280">
        <v>0.42172999999999999</v>
      </c>
      <c r="F416" s="280">
        <v>2.0000000000000002E-5</v>
      </c>
      <c r="G416" s="280">
        <v>2.0999999999999999E-3</v>
      </c>
      <c r="H416" s="280">
        <v>0.22407999999999997</v>
      </c>
      <c r="I416" s="280">
        <v>0.22195999999999999</v>
      </c>
      <c r="J416" s="280">
        <v>2.0000000000000002E-5</v>
      </c>
      <c r="K416" s="280">
        <v>2.0999999999999999E-3</v>
      </c>
    </row>
    <row r="417" spans="1:139">
      <c r="A417" s="2017"/>
      <c r="B417" s="278" t="s">
        <v>1271</v>
      </c>
      <c r="C417" s="279" t="s">
        <v>1192</v>
      </c>
      <c r="D417" s="280">
        <v>0.58462000000000003</v>
      </c>
      <c r="E417" s="280">
        <v>0.58169999999999999</v>
      </c>
      <c r="F417" s="280">
        <v>2.0000000000000002E-5</v>
      </c>
      <c r="G417" s="280">
        <v>2.8999999999999998E-3</v>
      </c>
      <c r="H417" s="280">
        <v>0.30908000000000002</v>
      </c>
      <c r="I417" s="280">
        <v>0.30615999999999999</v>
      </c>
      <c r="J417" s="280">
        <v>2.0000000000000002E-5</v>
      </c>
      <c r="K417" s="280">
        <v>2.8999999999999998E-3</v>
      </c>
    </row>
    <row r="418" spans="1:139">
      <c r="A418" s="50"/>
      <c r="B418" s="50"/>
      <c r="C418" s="50"/>
      <c r="D418" s="50"/>
      <c r="E418" s="50"/>
      <c r="F418" s="50"/>
      <c r="G418" s="50"/>
      <c r="H418" s="50"/>
      <c r="I418" s="50"/>
    </row>
    <row r="419" spans="1:139">
      <c r="A419" s="50"/>
      <c r="B419" s="50"/>
      <c r="C419" s="50"/>
      <c r="D419" s="50"/>
      <c r="E419" s="50"/>
      <c r="F419" s="50"/>
      <c r="G419" s="50"/>
      <c r="H419" s="50"/>
      <c r="I419" s="50"/>
    </row>
    <row r="420" spans="1:139">
      <c r="A420" s="53"/>
      <c r="B420" s="50"/>
      <c r="C420" s="50"/>
      <c r="D420" s="50"/>
      <c r="E420" s="50"/>
      <c r="F420" s="50"/>
      <c r="G420" s="50"/>
      <c r="H420" s="50"/>
      <c r="I420" s="50"/>
    </row>
    <row r="421" spans="1:139">
      <c r="A421" s="50"/>
      <c r="B421" s="50"/>
      <c r="C421" s="50"/>
      <c r="D421" s="50"/>
      <c r="E421" s="50"/>
      <c r="F421" s="50"/>
      <c r="G421" s="50"/>
      <c r="H421" s="50"/>
      <c r="I421" s="50"/>
    </row>
    <row r="422" spans="1:139" s="361" customFormat="1">
      <c r="A422" s="363" t="s">
        <v>1489</v>
      </c>
      <c r="B422" s="364"/>
      <c r="C422" s="364"/>
      <c r="D422" s="364"/>
      <c r="E422" s="364"/>
      <c r="F422" s="364"/>
      <c r="G422" s="364"/>
      <c r="H422" s="364"/>
      <c r="I422" s="364"/>
      <c r="AP422" s="361" t="s">
        <v>1490</v>
      </c>
    </row>
    <row r="423" spans="1:139" outlineLevel="1"/>
    <row r="424" spans="1:139" s="264" customFormat="1" outlineLevel="1">
      <c r="A424" s="2018" t="s">
        <v>1491</v>
      </c>
      <c r="B424" s="2018"/>
      <c r="C424" s="2018"/>
    </row>
    <row r="425" spans="1:139" outlineLevel="1"/>
    <row r="426" spans="1:139" outlineLevel="1">
      <c r="B426" t="s">
        <v>1492</v>
      </c>
    </row>
    <row r="427" spans="1:139" outlineLevel="1">
      <c r="B427" s="254" t="s">
        <v>1493</v>
      </c>
      <c r="C427" s="254" t="s">
        <v>1493</v>
      </c>
      <c r="D427" s="254" t="s">
        <v>1493</v>
      </c>
      <c r="E427" s="254" t="s">
        <v>1493</v>
      </c>
      <c r="F427" s="254" t="s">
        <v>1493</v>
      </c>
      <c r="G427" s="254" t="s">
        <v>1493</v>
      </c>
      <c r="H427" s="254" t="s">
        <v>1493</v>
      </c>
      <c r="I427" s="254" t="s">
        <v>1493</v>
      </c>
      <c r="J427" s="254" t="s">
        <v>1493</v>
      </c>
      <c r="K427" s="254" t="s">
        <v>1493</v>
      </c>
      <c r="L427" s="254" t="s">
        <v>1493</v>
      </c>
      <c r="M427" s="254" t="s">
        <v>1493</v>
      </c>
      <c r="N427" s="254" t="s">
        <v>1493</v>
      </c>
      <c r="O427" s="254" t="s">
        <v>1493</v>
      </c>
      <c r="P427" s="254" t="s">
        <v>1493</v>
      </c>
      <c r="Q427" s="254" t="s">
        <v>1493</v>
      </c>
      <c r="R427" s="254" t="s">
        <v>1493</v>
      </c>
      <c r="S427" s="254" t="s">
        <v>1493</v>
      </c>
      <c r="T427" s="254" t="s">
        <v>1493</v>
      </c>
      <c r="U427" s="254" t="s">
        <v>1493</v>
      </c>
      <c r="V427" s="254" t="s">
        <v>1493</v>
      </c>
      <c r="W427" s="254" t="s">
        <v>1493</v>
      </c>
      <c r="X427" s="254" t="s">
        <v>1493</v>
      </c>
      <c r="Y427" s="254" t="s">
        <v>1493</v>
      </c>
      <c r="Z427" s="254" t="s">
        <v>1493</v>
      </c>
      <c r="AA427" s="254" t="s">
        <v>1493</v>
      </c>
      <c r="AB427" s="254" t="s">
        <v>1493</v>
      </c>
      <c r="AC427" s="254" t="s">
        <v>1493</v>
      </c>
      <c r="AD427" s="254" t="s">
        <v>1493</v>
      </c>
      <c r="AE427" s="254" t="s">
        <v>1493</v>
      </c>
      <c r="AF427" s="254" t="s">
        <v>1493</v>
      </c>
      <c r="AG427" s="254" t="s">
        <v>1493</v>
      </c>
      <c r="AH427" s="254" t="s">
        <v>1493</v>
      </c>
      <c r="AI427" s="254" t="s">
        <v>1493</v>
      </c>
      <c r="AJ427" s="254" t="s">
        <v>1493</v>
      </c>
      <c r="AK427" s="254" t="s">
        <v>1493</v>
      </c>
      <c r="AL427" s="254" t="s">
        <v>1493</v>
      </c>
      <c r="AM427" s="254" t="s">
        <v>1493</v>
      </c>
      <c r="AN427" s="254" t="s">
        <v>1493</v>
      </c>
      <c r="AO427" s="254" t="s">
        <v>1493</v>
      </c>
      <c r="AP427" s="254" t="s">
        <v>1493</v>
      </c>
      <c r="AQ427" s="254" t="s">
        <v>1493</v>
      </c>
      <c r="AR427" s="254" t="s">
        <v>1493</v>
      </c>
      <c r="AS427" s="254" t="s">
        <v>1493</v>
      </c>
      <c r="AT427" s="254" t="s">
        <v>1493</v>
      </c>
      <c r="AU427" s="253" t="s">
        <v>1494</v>
      </c>
      <c r="AV427" s="253" t="s">
        <v>1494</v>
      </c>
      <c r="AW427" s="253" t="s">
        <v>1494</v>
      </c>
      <c r="AX427" s="253" t="s">
        <v>1494</v>
      </c>
      <c r="AY427" s="259" t="s">
        <v>1495</v>
      </c>
      <c r="AZ427" s="259" t="s">
        <v>1495</v>
      </c>
      <c r="BA427" s="259" t="s">
        <v>1495</v>
      </c>
      <c r="BB427" s="259" t="s">
        <v>1495</v>
      </c>
      <c r="BC427" s="259" t="s">
        <v>1495</v>
      </c>
      <c r="BD427" s="259" t="s">
        <v>1495</v>
      </c>
      <c r="BE427" s="259" t="s">
        <v>1495</v>
      </c>
      <c r="BF427" s="259" t="s">
        <v>1495</v>
      </c>
      <c r="BG427" s="259" t="s">
        <v>1495</v>
      </c>
      <c r="BH427" s="259" t="s">
        <v>1495</v>
      </c>
      <c r="BI427" s="259" t="s">
        <v>1495</v>
      </c>
      <c r="BJ427" s="259" t="s">
        <v>1495</v>
      </c>
      <c r="BK427" s="259" t="s">
        <v>1495</v>
      </c>
      <c r="BL427" s="259" t="s">
        <v>1495</v>
      </c>
      <c r="BM427" s="259" t="s">
        <v>1495</v>
      </c>
      <c r="BN427" s="259" t="s">
        <v>1495</v>
      </c>
      <c r="BO427" s="259" t="s">
        <v>1495</v>
      </c>
      <c r="BP427" s="259" t="s">
        <v>1495</v>
      </c>
      <c r="BQ427" s="259" t="s">
        <v>1495</v>
      </c>
      <c r="BR427" s="259" t="s">
        <v>1495</v>
      </c>
      <c r="BS427" s="259" t="s">
        <v>1495</v>
      </c>
      <c r="BT427" s="259" t="s">
        <v>1495</v>
      </c>
      <c r="BU427" s="259" t="s">
        <v>1495</v>
      </c>
      <c r="BV427" s="259" t="s">
        <v>1495</v>
      </c>
      <c r="BW427" s="259" t="s">
        <v>1495</v>
      </c>
      <c r="BX427" s="259" t="s">
        <v>1495</v>
      </c>
      <c r="BY427" s="259" t="s">
        <v>1495</v>
      </c>
      <c r="BZ427" s="259" t="s">
        <v>1495</v>
      </c>
      <c r="CA427" s="259" t="s">
        <v>1495</v>
      </c>
      <c r="CB427" s="259" t="s">
        <v>1495</v>
      </c>
      <c r="CC427" s="259" t="s">
        <v>1495</v>
      </c>
      <c r="CD427" s="259" t="s">
        <v>1495</v>
      </c>
      <c r="CE427" s="259" t="s">
        <v>1495</v>
      </c>
      <c r="CF427" s="259" t="s">
        <v>1495</v>
      </c>
      <c r="CG427" s="259" t="s">
        <v>1495</v>
      </c>
      <c r="CH427" s="259" t="s">
        <v>1495</v>
      </c>
      <c r="CI427" s="259" t="s">
        <v>1495</v>
      </c>
      <c r="CJ427" s="259" t="s">
        <v>1495</v>
      </c>
      <c r="CK427" s="259" t="s">
        <v>1495</v>
      </c>
      <c r="CL427" s="259" t="s">
        <v>1495</v>
      </c>
      <c r="CM427" s="259" t="s">
        <v>1495</v>
      </c>
      <c r="CN427" s="259" t="s">
        <v>1495</v>
      </c>
      <c r="CO427" s="259" t="s">
        <v>1495</v>
      </c>
      <c r="CP427" s="259" t="s">
        <v>1495</v>
      </c>
      <c r="CQ427" s="259" t="s">
        <v>1495</v>
      </c>
      <c r="CR427" s="254" t="s">
        <v>1496</v>
      </c>
      <c r="CS427" s="254" t="s">
        <v>1496</v>
      </c>
      <c r="CT427" s="254" t="s">
        <v>1496</v>
      </c>
      <c r="CU427" s="254" t="s">
        <v>1496</v>
      </c>
      <c r="CV427" s="254" t="s">
        <v>1496</v>
      </c>
      <c r="CW427" s="254" t="s">
        <v>1496</v>
      </c>
      <c r="CX427" s="254" t="s">
        <v>1496</v>
      </c>
      <c r="CY427" s="254" t="s">
        <v>1496</v>
      </c>
      <c r="CZ427" s="254" t="s">
        <v>1496</v>
      </c>
      <c r="DA427" s="254" t="s">
        <v>1496</v>
      </c>
      <c r="DB427" s="254" t="s">
        <v>1496</v>
      </c>
      <c r="DC427" s="254" t="s">
        <v>1496</v>
      </c>
      <c r="DD427" s="254" t="s">
        <v>1496</v>
      </c>
      <c r="DE427" s="254" t="s">
        <v>1496</v>
      </c>
      <c r="DF427" s="254" t="s">
        <v>1496</v>
      </c>
      <c r="DG427" s="254" t="s">
        <v>1496</v>
      </c>
      <c r="DH427" s="254" t="s">
        <v>1496</v>
      </c>
      <c r="DI427" s="254" t="s">
        <v>1496</v>
      </c>
      <c r="DJ427" s="254" t="s">
        <v>1496</v>
      </c>
      <c r="DK427" s="254" t="s">
        <v>1496</v>
      </c>
      <c r="DL427" s="254" t="s">
        <v>1496</v>
      </c>
      <c r="DM427" s="254" t="s">
        <v>1496</v>
      </c>
      <c r="DN427" s="254" t="s">
        <v>1496</v>
      </c>
      <c r="DO427" s="254" t="s">
        <v>1496</v>
      </c>
      <c r="DP427" s="254" t="s">
        <v>1496</v>
      </c>
      <c r="DQ427" s="254" t="s">
        <v>1496</v>
      </c>
      <c r="DR427" s="254" t="s">
        <v>1496</v>
      </c>
      <c r="DS427" s="254" t="s">
        <v>1496</v>
      </c>
      <c r="DT427" s="254" t="s">
        <v>1496</v>
      </c>
      <c r="DU427" s="254" t="s">
        <v>1496</v>
      </c>
      <c r="DV427" s="254" t="s">
        <v>1496</v>
      </c>
      <c r="DW427" s="254" t="s">
        <v>1496</v>
      </c>
      <c r="DX427" s="259" t="s">
        <v>1190</v>
      </c>
      <c r="DY427" s="259" t="s">
        <v>1190</v>
      </c>
      <c r="DZ427" s="259" t="s">
        <v>1190</v>
      </c>
      <c r="EA427" s="259" t="s">
        <v>1190</v>
      </c>
      <c r="EB427" s="259" t="s">
        <v>1190</v>
      </c>
      <c r="EC427" s="259" t="s">
        <v>1190</v>
      </c>
      <c r="ED427" s="259" t="s">
        <v>1190</v>
      </c>
      <c r="EE427" s="259" t="s">
        <v>1190</v>
      </c>
      <c r="EF427" s="259" t="s">
        <v>1190</v>
      </c>
      <c r="EG427" s="259" t="s">
        <v>1190</v>
      </c>
      <c r="EH427" s="259" t="s">
        <v>1190</v>
      </c>
      <c r="EI427" s="259" t="s">
        <v>1190</v>
      </c>
    </row>
    <row r="428" spans="1:139" ht="90" outlineLevel="1">
      <c r="B428" s="258" t="s">
        <v>1497</v>
      </c>
      <c r="C428" s="258" t="s">
        <v>1498</v>
      </c>
      <c r="D428" s="258" t="s">
        <v>1499</v>
      </c>
      <c r="E428" s="258" t="s">
        <v>1500</v>
      </c>
      <c r="F428" s="258" t="s">
        <v>1501</v>
      </c>
      <c r="G428" s="258" t="s">
        <v>1502</v>
      </c>
      <c r="H428" s="258" t="s">
        <v>1503</v>
      </c>
      <c r="I428" s="258" t="s">
        <v>1504</v>
      </c>
      <c r="J428" s="258" t="s">
        <v>1505</v>
      </c>
      <c r="K428" s="258" t="s">
        <v>1506</v>
      </c>
      <c r="L428" s="258" t="s">
        <v>1507</v>
      </c>
      <c r="M428" s="258" t="s">
        <v>1508</v>
      </c>
      <c r="N428" s="258" t="s">
        <v>1509</v>
      </c>
      <c r="O428" s="258" t="s">
        <v>1510</v>
      </c>
      <c r="P428" s="258" t="s">
        <v>1511</v>
      </c>
      <c r="Q428" s="258" t="s">
        <v>1512</v>
      </c>
      <c r="R428" s="258" t="s">
        <v>1513</v>
      </c>
      <c r="S428" s="258" t="s">
        <v>1514</v>
      </c>
      <c r="T428" s="258" t="s">
        <v>1515</v>
      </c>
      <c r="U428" s="258" t="s">
        <v>1516</v>
      </c>
      <c r="V428" s="258" t="s">
        <v>1517</v>
      </c>
      <c r="W428" s="258" t="s">
        <v>1518</v>
      </c>
      <c r="X428" s="258" t="s">
        <v>1519</v>
      </c>
      <c r="Y428" s="258" t="s">
        <v>1520</v>
      </c>
      <c r="Z428" s="258" t="s">
        <v>1521</v>
      </c>
      <c r="AA428" s="258" t="s">
        <v>1522</v>
      </c>
      <c r="AB428" s="258" t="s">
        <v>1523</v>
      </c>
      <c r="AC428" s="258" t="s">
        <v>1524</v>
      </c>
      <c r="AD428" s="258" t="s">
        <v>1525</v>
      </c>
      <c r="AE428" s="258" t="s">
        <v>1526</v>
      </c>
      <c r="AF428" s="258" t="s">
        <v>1527</v>
      </c>
      <c r="AG428" s="258" t="s">
        <v>1528</v>
      </c>
      <c r="AH428" s="258" t="s">
        <v>1529</v>
      </c>
      <c r="AI428" s="258" t="s">
        <v>1530</v>
      </c>
      <c r="AJ428" s="258" t="s">
        <v>1531</v>
      </c>
      <c r="AK428" s="258" t="s">
        <v>1532</v>
      </c>
      <c r="AL428" s="258" t="s">
        <v>1533</v>
      </c>
      <c r="AM428" s="258" t="s">
        <v>1534</v>
      </c>
      <c r="AN428" s="258" t="s">
        <v>1535</v>
      </c>
      <c r="AO428" s="258" t="s">
        <v>1536</v>
      </c>
      <c r="AP428" s="258" t="s">
        <v>1537</v>
      </c>
      <c r="AQ428" s="258" t="s">
        <v>1538</v>
      </c>
      <c r="AR428" s="258" t="s">
        <v>1539</v>
      </c>
      <c r="AS428" s="258" t="s">
        <v>1540</v>
      </c>
      <c r="AT428" s="258" t="s">
        <v>1541</v>
      </c>
      <c r="AU428" s="257" t="s">
        <v>1542</v>
      </c>
      <c r="AV428" s="257" t="s">
        <v>1543</v>
      </c>
      <c r="AW428" s="257" t="s">
        <v>1544</v>
      </c>
      <c r="AX428" s="257" t="s">
        <v>1545</v>
      </c>
      <c r="AY428" s="260" t="s">
        <v>1497</v>
      </c>
      <c r="AZ428" s="260" t="s">
        <v>1498</v>
      </c>
      <c r="BA428" s="260" t="s">
        <v>1499</v>
      </c>
      <c r="BB428" s="260" t="s">
        <v>1500</v>
      </c>
      <c r="BC428" s="260" t="s">
        <v>1501</v>
      </c>
      <c r="BD428" s="260" t="s">
        <v>1502</v>
      </c>
      <c r="BE428" s="260" t="s">
        <v>1503</v>
      </c>
      <c r="BF428" s="260" t="s">
        <v>1504</v>
      </c>
      <c r="BG428" s="260" t="s">
        <v>1505</v>
      </c>
      <c r="BH428" s="260" t="s">
        <v>1506</v>
      </c>
      <c r="BI428" s="260" t="s">
        <v>1507</v>
      </c>
      <c r="BJ428" s="260" t="s">
        <v>1508</v>
      </c>
      <c r="BK428" s="260" t="s">
        <v>1509</v>
      </c>
      <c r="BL428" s="260" t="s">
        <v>1510</v>
      </c>
      <c r="BM428" s="260" t="s">
        <v>1511</v>
      </c>
      <c r="BN428" s="260" t="s">
        <v>1512</v>
      </c>
      <c r="BO428" s="260" t="s">
        <v>1513</v>
      </c>
      <c r="BP428" s="260" t="s">
        <v>1514</v>
      </c>
      <c r="BQ428" s="260" t="s">
        <v>1515</v>
      </c>
      <c r="BR428" s="260" t="s">
        <v>1516</v>
      </c>
      <c r="BS428" s="260" t="s">
        <v>1517</v>
      </c>
      <c r="BT428" s="260" t="s">
        <v>1518</v>
      </c>
      <c r="BU428" s="260" t="s">
        <v>1519</v>
      </c>
      <c r="BV428" s="260" t="s">
        <v>1520</v>
      </c>
      <c r="BW428" s="260" t="s">
        <v>1521</v>
      </c>
      <c r="BX428" s="260" t="s">
        <v>1522</v>
      </c>
      <c r="BY428" s="260" t="s">
        <v>1523</v>
      </c>
      <c r="BZ428" s="260" t="s">
        <v>1524</v>
      </c>
      <c r="CA428" s="260" t="s">
        <v>1525</v>
      </c>
      <c r="CB428" s="260" t="s">
        <v>1526</v>
      </c>
      <c r="CC428" s="260" t="s">
        <v>1527</v>
      </c>
      <c r="CD428" s="260" t="s">
        <v>1528</v>
      </c>
      <c r="CE428" s="260" t="s">
        <v>1529</v>
      </c>
      <c r="CF428" s="260" t="s">
        <v>1530</v>
      </c>
      <c r="CG428" s="260" t="s">
        <v>1531</v>
      </c>
      <c r="CH428" s="260" t="s">
        <v>1532</v>
      </c>
      <c r="CI428" s="260" t="s">
        <v>1533</v>
      </c>
      <c r="CJ428" s="260" t="s">
        <v>1534</v>
      </c>
      <c r="CK428" s="260" t="s">
        <v>1535</v>
      </c>
      <c r="CL428" s="260" t="s">
        <v>1536</v>
      </c>
      <c r="CM428" s="260" t="s">
        <v>1537</v>
      </c>
      <c r="CN428" s="260" t="s">
        <v>1538</v>
      </c>
      <c r="CO428" s="260" t="s">
        <v>1539</v>
      </c>
      <c r="CP428" s="260" t="s">
        <v>1540</v>
      </c>
      <c r="CQ428" s="260" t="s">
        <v>1541</v>
      </c>
      <c r="CR428" s="261" t="s">
        <v>1546</v>
      </c>
      <c r="CS428" s="261" t="s">
        <v>1547</v>
      </c>
      <c r="CT428" s="261" t="s">
        <v>1548</v>
      </c>
      <c r="CU428" s="261" t="s">
        <v>1549</v>
      </c>
      <c r="CV428" s="261" t="s">
        <v>1550</v>
      </c>
      <c r="CW428" s="261" t="s">
        <v>1551</v>
      </c>
      <c r="CX428" s="261" t="s">
        <v>1552</v>
      </c>
      <c r="CY428" s="261" t="s">
        <v>1553</v>
      </c>
      <c r="CZ428" s="261" t="s">
        <v>1554</v>
      </c>
      <c r="DA428" s="261" t="s">
        <v>1555</v>
      </c>
      <c r="DB428" s="261" t="s">
        <v>1556</v>
      </c>
      <c r="DC428" s="261" t="s">
        <v>1557</v>
      </c>
      <c r="DD428" s="261" t="s">
        <v>1558</v>
      </c>
      <c r="DE428" s="261" t="s">
        <v>1559</v>
      </c>
      <c r="DF428" s="261" t="s">
        <v>1560</v>
      </c>
      <c r="DG428" s="261" t="s">
        <v>1561</v>
      </c>
      <c r="DH428" s="261" t="s">
        <v>1562</v>
      </c>
      <c r="DI428" s="261" t="s">
        <v>1563</v>
      </c>
      <c r="DJ428" s="261" t="s">
        <v>1564</v>
      </c>
      <c r="DK428" s="261" t="s">
        <v>1565</v>
      </c>
      <c r="DL428" s="261" t="s">
        <v>1566</v>
      </c>
      <c r="DM428" s="261" t="s">
        <v>1567</v>
      </c>
      <c r="DN428" s="261" t="s">
        <v>1568</v>
      </c>
      <c r="DO428" s="261" t="s">
        <v>1569</v>
      </c>
      <c r="DP428" s="261" t="s">
        <v>1570</v>
      </c>
      <c r="DQ428" s="261" t="s">
        <v>1571</v>
      </c>
      <c r="DR428" s="261" t="s">
        <v>1572</v>
      </c>
      <c r="DS428" s="261" t="s">
        <v>1573</v>
      </c>
      <c r="DT428" s="261" t="s">
        <v>1574</v>
      </c>
      <c r="DU428" s="261" t="s">
        <v>1575</v>
      </c>
      <c r="DV428" s="261" t="s">
        <v>1576</v>
      </c>
      <c r="DW428" s="261" t="s">
        <v>1577</v>
      </c>
      <c r="DX428" s="249" t="s">
        <v>1578</v>
      </c>
      <c r="DY428" s="249" t="s">
        <v>1579</v>
      </c>
      <c r="DZ428" s="249" t="s">
        <v>1580</v>
      </c>
      <c r="EA428" s="249" t="s">
        <v>1581</v>
      </c>
      <c r="EB428" s="249" t="s">
        <v>1582</v>
      </c>
      <c r="EC428" s="249" t="s">
        <v>1583</v>
      </c>
      <c r="ED428" s="249" t="s">
        <v>1584</v>
      </c>
      <c r="EE428" s="249" t="s">
        <v>1585</v>
      </c>
      <c r="EF428" s="249" t="s">
        <v>1586</v>
      </c>
      <c r="EG428" s="249" t="s">
        <v>1587</v>
      </c>
      <c r="EH428" s="249" t="s">
        <v>1588</v>
      </c>
      <c r="EI428" s="249" t="s">
        <v>1589</v>
      </c>
    </row>
    <row r="429" spans="1:139" outlineLevel="1">
      <c r="A429" t="s">
        <v>1590</v>
      </c>
      <c r="B429" s="229">
        <f>AVERAGE(B674:B713)</f>
        <v>8.3391349411764715</v>
      </c>
      <c r="C429" s="229">
        <f t="shared" ref="C429:BN429" si="5">AVERAGE(C674:C713)</f>
        <v>8.6305563235294134</v>
      </c>
      <c r="D429" s="229">
        <f t="shared" si="5"/>
        <v>9.7177822499999991</v>
      </c>
      <c r="E429" s="229">
        <f t="shared" si="5"/>
        <v>10.793799661764703</v>
      </c>
      <c r="F429" s="229">
        <f t="shared" si="5"/>
        <v>12.912208941176473</v>
      </c>
      <c r="G429" s="229">
        <f t="shared" si="5"/>
        <v>7.9995578274732084</v>
      </c>
      <c r="H429" s="229">
        <f t="shared" si="5"/>
        <v>7.6980848214285729</v>
      </c>
      <c r="I429" s="229">
        <f t="shared" si="5"/>
        <v>8.1590732142857014</v>
      </c>
      <c r="J429" s="229">
        <f t="shared" si="5"/>
        <v>10.030575892857154</v>
      </c>
      <c r="K429" s="229">
        <f t="shared" si="5"/>
        <v>11.126598214285696</v>
      </c>
      <c r="L429" s="229">
        <f t="shared" si="5"/>
        <v>6.3456766917293219</v>
      </c>
      <c r="M429" s="229">
        <f t="shared" si="5"/>
        <v>6.5674342105263124</v>
      </c>
      <c r="N429" s="229">
        <f t="shared" si="5"/>
        <v>7.3947603383458658</v>
      </c>
      <c r="O429" s="229">
        <f t="shared" si="5"/>
        <v>8.2135573308270544</v>
      </c>
      <c r="P429" s="229">
        <f t="shared" si="5"/>
        <v>9.8255639097744307</v>
      </c>
      <c r="Q429" s="229">
        <f t="shared" si="5"/>
        <v>7.1710321953420628</v>
      </c>
      <c r="R429" s="229">
        <f t="shared" si="5"/>
        <v>6.900783179209192</v>
      </c>
      <c r="S429" s="229">
        <f t="shared" si="5"/>
        <v>7.3140263456632724</v>
      </c>
      <c r="T429" s="229">
        <f t="shared" si="5"/>
        <v>8.9916948182398126</v>
      </c>
      <c r="U429" s="229">
        <f t="shared" si="5"/>
        <v>9.9742005420918254</v>
      </c>
      <c r="V429" s="229">
        <f t="shared" si="5"/>
        <v>3.3209041353383446</v>
      </c>
      <c r="W429" s="229">
        <f t="shared" si="5"/>
        <v>3.4369572368421033</v>
      </c>
      <c r="X429" s="229">
        <f t="shared" si="5"/>
        <v>3.8699245770676698</v>
      </c>
      <c r="Y429" s="229">
        <f t="shared" si="5"/>
        <v>4.29842833646617</v>
      </c>
      <c r="Z429" s="229">
        <f t="shared" si="5"/>
        <v>5.1420451127819522</v>
      </c>
      <c r="AA429" s="229">
        <f t="shared" si="5"/>
        <v>10.164334131149918</v>
      </c>
      <c r="AB429" s="229">
        <f t="shared" si="5"/>
        <v>10.519539356163223</v>
      </c>
      <c r="AC429" s="229">
        <f t="shared" si="5"/>
        <v>11.844728080251302</v>
      </c>
      <c r="AD429" s="229">
        <f t="shared" si="5"/>
        <v>13.156255064915806</v>
      </c>
      <c r="AE429" s="229">
        <f t="shared" si="5"/>
        <v>15.738323815974061</v>
      </c>
      <c r="AF429" s="229">
        <f t="shared" si="5"/>
        <v>3.7528401822290141</v>
      </c>
      <c r="AG429" s="229">
        <f t="shared" si="5"/>
        <v>3.6114098637861383</v>
      </c>
      <c r="AH429" s="229">
        <f t="shared" si="5"/>
        <v>3.8276737875637794</v>
      </c>
      <c r="AI429" s="229">
        <f t="shared" si="5"/>
        <v>4.7056536215454887</v>
      </c>
      <c r="AJ429" s="229">
        <f t="shared" si="5"/>
        <v>5.219831617028051</v>
      </c>
      <c r="AK429" s="229">
        <f t="shared" si="5"/>
        <v>11.08609169005944</v>
      </c>
      <c r="AL429" s="229">
        <f t="shared" si="5"/>
        <v>10.647823089350718</v>
      </c>
      <c r="AM429" s="229">
        <f t="shared" si="5"/>
        <v>11.666715615561934</v>
      </c>
      <c r="AN429" s="229">
        <f t="shared" si="5"/>
        <v>13.205027474658035</v>
      </c>
      <c r="AO429" s="229">
        <f t="shared" si="5"/>
        <v>15.618100509046453</v>
      </c>
      <c r="AP429" s="229">
        <f t="shared" si="5"/>
        <v>21.323777897517267</v>
      </c>
      <c r="AQ429" s="229">
        <f t="shared" si="5"/>
        <v>22.068963684258467</v>
      </c>
      <c r="AR429" s="229">
        <f t="shared" si="5"/>
        <v>24.849079888639135</v>
      </c>
      <c r="AS429" s="229">
        <f t="shared" si="5"/>
        <v>27.600535101221965</v>
      </c>
      <c r="AT429" s="229">
        <f t="shared" si="5"/>
        <v>33.017462550994537</v>
      </c>
      <c r="AU429" s="229">
        <f t="shared" si="5"/>
        <v>2.6800324742405151</v>
      </c>
      <c r="AV429" s="229">
        <f t="shared" si="5"/>
        <v>4.9516369047619087</v>
      </c>
      <c r="AW429" s="229">
        <f t="shared" si="5"/>
        <v>5.3600649484810301</v>
      </c>
      <c r="AX429" s="229">
        <f t="shared" si="5"/>
        <v>9.9032738095238173</v>
      </c>
      <c r="AY429" s="229">
        <f t="shared" si="5"/>
        <v>8.4285714285714324</v>
      </c>
      <c r="AZ429" s="229">
        <f t="shared" si="5"/>
        <v>9.0501785714285639</v>
      </c>
      <c r="BA429" s="229">
        <f t="shared" si="5"/>
        <v>12.210892857142868</v>
      </c>
      <c r="BB429" s="229">
        <f t="shared" si="5"/>
        <v>12.916785714285732</v>
      </c>
      <c r="BC429" s="229">
        <f t="shared" si="5"/>
        <v>14.750000000000004</v>
      </c>
      <c r="BD429" s="229">
        <f t="shared" si="5"/>
        <v>7.9995578274732084</v>
      </c>
      <c r="BE429" s="229">
        <f t="shared" si="5"/>
        <v>7.6980848214285729</v>
      </c>
      <c r="BF429" s="229">
        <f t="shared" si="5"/>
        <v>10.247835714285705</v>
      </c>
      <c r="BG429" s="229">
        <f t="shared" si="5"/>
        <v>10.988312500000005</v>
      </c>
      <c r="BH429" s="229">
        <f t="shared" si="5"/>
        <v>11.126598214285696</v>
      </c>
      <c r="BI429" s="229">
        <f t="shared" si="5"/>
        <v>6.6541353383458715</v>
      </c>
      <c r="BJ429" s="229">
        <f t="shared" si="5"/>
        <v>7.1448778195488787</v>
      </c>
      <c r="BK429" s="229">
        <f t="shared" si="5"/>
        <v>9.640178571428569</v>
      </c>
      <c r="BL429" s="229">
        <f t="shared" si="5"/>
        <v>10.197462406015052</v>
      </c>
      <c r="BM429" s="229">
        <f t="shared" si="5"/>
        <v>11.644736842105248</v>
      </c>
      <c r="BN429" s="229">
        <f t="shared" si="5"/>
        <v>7.1710321953420628</v>
      </c>
      <c r="BO429" s="229">
        <f t="shared" ref="BO429:DZ429" si="6">AVERAGE(BO674:BO713)</f>
        <v>6.900783179209192</v>
      </c>
      <c r="BP429" s="229">
        <f t="shared" si="6"/>
        <v>9.186452729591851</v>
      </c>
      <c r="BQ429" s="229">
        <f t="shared" si="6"/>
        <v>9.8502372767857018</v>
      </c>
      <c r="BR429" s="229">
        <f t="shared" si="6"/>
        <v>9.9742005420918254</v>
      </c>
      <c r="BS429" s="229">
        <f t="shared" si="6"/>
        <v>3.4823308270676656</v>
      </c>
      <c r="BT429" s="229">
        <f t="shared" si="6"/>
        <v>3.7391527255639105</v>
      </c>
      <c r="BU429" s="229">
        <f t="shared" si="6"/>
        <v>5.045026785714283</v>
      </c>
      <c r="BV429" s="229">
        <f t="shared" si="6"/>
        <v>5.3366719924811949</v>
      </c>
      <c r="BW429" s="229">
        <f t="shared" si="6"/>
        <v>6.094078947368418</v>
      </c>
      <c r="BX429" s="229">
        <f t="shared" si="6"/>
        <v>10.658414889146814</v>
      </c>
      <c r="BY429" s="229">
        <f t="shared" si="6"/>
        <v>11.444472987221374</v>
      </c>
      <c r="BZ429" s="229">
        <f t="shared" si="6"/>
        <v>12.948075026392846</v>
      </c>
      <c r="CA429" s="229">
        <f t="shared" si="6"/>
        <v>15.947236723417239</v>
      </c>
      <c r="CB429" s="229">
        <f t="shared" si="6"/>
        <v>18.641337601585352</v>
      </c>
      <c r="CC429" s="229">
        <f t="shared" si="6"/>
        <v>3.7528401822290141</v>
      </c>
      <c r="CD429" s="229">
        <f t="shared" si="6"/>
        <v>3.6114098637861383</v>
      </c>
      <c r="CE429" s="229">
        <f t="shared" si="6"/>
        <v>4.807576928486391</v>
      </c>
      <c r="CF429" s="229">
        <f t="shared" si="6"/>
        <v>5.154957508184518</v>
      </c>
      <c r="CG429" s="229">
        <f t="shared" si="6"/>
        <v>5.219831617028051</v>
      </c>
      <c r="CH429" s="229">
        <f t="shared" si="6"/>
        <v>11.08609169005944</v>
      </c>
      <c r="CI429" s="229">
        <f t="shared" si="6"/>
        <v>10.647823089350718</v>
      </c>
      <c r="CJ429" s="229">
        <f t="shared" si="6"/>
        <v>11.666715615561934</v>
      </c>
      <c r="CK429" s="229">
        <f t="shared" si="6"/>
        <v>13.205027474658035</v>
      </c>
      <c r="CL429" s="229">
        <f t="shared" si="6"/>
        <v>15.618100509046453</v>
      </c>
      <c r="CM429" s="229">
        <f t="shared" si="6"/>
        <v>22.360310956252036</v>
      </c>
      <c r="CN429" s="229">
        <f t="shared" si="6"/>
        <v>24.009383889275647</v>
      </c>
      <c r="CO429" s="229">
        <f t="shared" si="6"/>
        <v>27.163793761663317</v>
      </c>
      <c r="CP429" s="229">
        <f t="shared" si="6"/>
        <v>33.455741377798361</v>
      </c>
      <c r="CQ429" s="229">
        <f t="shared" si="6"/>
        <v>39.107701262067089</v>
      </c>
      <c r="CR429" s="229">
        <f t="shared" si="6"/>
        <v>15.640585695271039</v>
      </c>
      <c r="CS429" s="229">
        <f t="shared" si="6"/>
        <v>17.822800738028715</v>
      </c>
      <c r="CT429" s="229">
        <f t="shared" si="6"/>
        <v>24.520444346592846</v>
      </c>
      <c r="CU429" s="229">
        <f t="shared" si="6"/>
        <v>27.940051374842007</v>
      </c>
      <c r="CV429" s="229">
        <f t="shared" si="6"/>
        <v>33.211156112463726</v>
      </c>
      <c r="CW429" s="229">
        <f t="shared" si="6"/>
        <v>37.63560008093944</v>
      </c>
      <c r="CX429" s="229">
        <f t="shared" si="6"/>
        <v>47.95130550235983</v>
      </c>
      <c r="CY429" s="229">
        <f t="shared" si="6"/>
        <v>52.458508890135704</v>
      </c>
      <c r="CZ429" s="229">
        <f t="shared" si="6"/>
        <v>56.947052244363633</v>
      </c>
      <c r="DA429" s="229">
        <f t="shared" si="6"/>
        <v>12.605845187233374</v>
      </c>
      <c r="DB429" s="229">
        <f t="shared" si="6"/>
        <v>14.364645370948523</v>
      </c>
      <c r="DC429" s="229">
        <f t="shared" si="6"/>
        <v>19.76274618979124</v>
      </c>
      <c r="DD429" s="229">
        <f t="shared" si="6"/>
        <v>22.518847376738325</v>
      </c>
      <c r="DE429" s="229">
        <f t="shared" si="6"/>
        <v>26.767200448851355</v>
      </c>
      <c r="DF429" s="229">
        <f t="shared" si="6"/>
        <v>34.208667922078767</v>
      </c>
      <c r="DG429" s="229">
        <f t="shared" si="6"/>
        <v>43.585070593603476</v>
      </c>
      <c r="DH429" s="229">
        <f t="shared" si="6"/>
        <v>49.308748527897464</v>
      </c>
      <c r="DI429" s="229">
        <f t="shared" si="6"/>
        <v>53.527786777225344</v>
      </c>
      <c r="DJ429" s="229">
        <f t="shared" si="6"/>
        <v>6.4955128509897992</v>
      </c>
      <c r="DK429" s="229">
        <f t="shared" si="6"/>
        <v>7.4017836345795356</v>
      </c>
      <c r="DL429" s="229">
        <f t="shared" si="6"/>
        <v>10.183305438071297</v>
      </c>
      <c r="DM429" s="229">
        <f t="shared" si="6"/>
        <v>11.603463342007316</v>
      </c>
      <c r="DN429" s="229">
        <f t="shared" si="6"/>
        <v>13.792545594373838</v>
      </c>
      <c r="DO429" s="229">
        <f t="shared" si="6"/>
        <v>15.423597858961847</v>
      </c>
      <c r="DP429" s="229">
        <f t="shared" si="6"/>
        <v>19.651118921714239</v>
      </c>
      <c r="DQ429" s="229">
        <f t="shared" si="6"/>
        <v>21.640023451107719</v>
      </c>
      <c r="DR429" s="229">
        <f t="shared" si="6"/>
        <v>23.49162361096414</v>
      </c>
      <c r="DS429" s="229">
        <f t="shared" si="6"/>
        <v>44.207626305667148</v>
      </c>
      <c r="DT429" s="229">
        <f t="shared" si="6"/>
        <v>50.37558887486972</v>
      </c>
      <c r="DU429" s="229">
        <f t="shared" si="6"/>
        <v>69.306269064516613</v>
      </c>
      <c r="DV429" s="229">
        <f t="shared" si="6"/>
        <v>78.971681381062965</v>
      </c>
      <c r="DW429" s="229">
        <f t="shared" si="6"/>
        <v>93.87029406724055</v>
      </c>
      <c r="DX429" s="229">
        <f t="shared" si="6"/>
        <v>21.042967453810526</v>
      </c>
      <c r="DY429" s="229">
        <f t="shared" si="6"/>
        <v>29.14707142880896</v>
      </c>
      <c r="DZ429" s="229">
        <f t="shared" si="6"/>
        <v>40.396770555432141</v>
      </c>
      <c r="EA429" s="229">
        <f t="shared" ref="EA429:EI429" si="7">AVERAGE(EA674:EA713)</f>
        <v>14.891020571316966</v>
      </c>
      <c r="EB429" s="229">
        <f t="shared" si="7"/>
        <v>20.625876136183635</v>
      </c>
      <c r="EC429" s="229">
        <f t="shared" si="7"/>
        <v>28.586706826217238</v>
      </c>
      <c r="ED429" s="229">
        <f t="shared" si="7"/>
        <v>8.689903647734182</v>
      </c>
      <c r="EE429" s="229">
        <f t="shared" si="7"/>
        <v>12.036574351309472</v>
      </c>
      <c r="EF429" s="229">
        <f t="shared" si="7"/>
        <v>16.682249999999982</v>
      </c>
      <c r="EG429" s="229">
        <f t="shared" si="7"/>
        <v>57.754733495385736</v>
      </c>
      <c r="EH429" s="229">
        <f t="shared" si="7"/>
        <v>79.997336223461218</v>
      </c>
      <c r="EI429" s="229">
        <f t="shared" si="7"/>
        <v>110.87337005222366</v>
      </c>
    </row>
    <row r="430" spans="1:139" outlineLevel="1">
      <c r="A430" t="s">
        <v>1591</v>
      </c>
      <c r="B430" s="229">
        <f>AVERAGE(B714:B719)</f>
        <v>7.3744225745435292</v>
      </c>
      <c r="C430" s="229">
        <f t="shared" ref="C430:BN430" si="8">AVERAGE(C714:C719)</f>
        <v>7.6321308903205853</v>
      </c>
      <c r="D430" s="229">
        <f t="shared" si="8"/>
        <v>8.5935811453350031</v>
      </c>
      <c r="E430" s="229">
        <f t="shared" si="8"/>
        <v>9.5451195420502923</v>
      </c>
      <c r="F430" s="229">
        <f t="shared" si="8"/>
        <v>11.418460760583528</v>
      </c>
      <c r="G430" s="229">
        <f t="shared" si="8"/>
        <v>7.3369174180646199</v>
      </c>
      <c r="H430" s="229">
        <f t="shared" si="8"/>
        <v>7.0604168168027739</v>
      </c>
      <c r="I430" s="229">
        <f t="shared" si="8"/>
        <v>7.4832194068988649</v>
      </c>
      <c r="J430" s="229">
        <f t="shared" si="8"/>
        <v>9.1987820268207177</v>
      </c>
      <c r="K430" s="229">
        <f t="shared" si="8"/>
        <v>10.203915783749949</v>
      </c>
      <c r="L430" s="229">
        <f t="shared" si="8"/>
        <v>5.7625433610360908</v>
      </c>
      <c r="M430" s="229">
        <f t="shared" si="8"/>
        <v>5.9639225645131546</v>
      </c>
      <c r="N430" s="229">
        <f t="shared" si="8"/>
        <v>6.71522190056222</v>
      </c>
      <c r="O430" s="229">
        <f t="shared" si="8"/>
        <v>7.4587758826313868</v>
      </c>
      <c r="P430" s="229">
        <f t="shared" si="8"/>
        <v>8.9226477848300707</v>
      </c>
      <c r="Q430" s="229">
        <f t="shared" si="8"/>
        <v>6.5463779435336846</v>
      </c>
      <c r="R430" s="229">
        <f t="shared" si="8"/>
        <v>6.2996697779193847</v>
      </c>
      <c r="S430" s="229">
        <f t="shared" si="8"/>
        <v>6.6769161598207516</v>
      </c>
      <c r="T430" s="229">
        <f t="shared" si="8"/>
        <v>8.2084462919223284</v>
      </c>
      <c r="U430" s="229">
        <f t="shared" si="8"/>
        <v>9.1053679100121574</v>
      </c>
      <c r="V430" s="229">
        <f t="shared" si="8"/>
        <v>3.0157310256088863</v>
      </c>
      <c r="W430" s="229">
        <f t="shared" si="8"/>
        <v>3.1211194754285505</v>
      </c>
      <c r="X430" s="229">
        <f t="shared" si="8"/>
        <v>3.5142994612942284</v>
      </c>
      <c r="Y430" s="229">
        <f t="shared" si="8"/>
        <v>3.9034260452437635</v>
      </c>
      <c r="Z430" s="229">
        <f t="shared" si="8"/>
        <v>4.6695190073944053</v>
      </c>
      <c r="AA430" s="229">
        <f t="shared" si="8"/>
        <v>9.3418715941489463</v>
      </c>
      <c r="AB430" s="229">
        <f t="shared" si="8"/>
        <v>9.6683348487831839</v>
      </c>
      <c r="AC430" s="229">
        <f t="shared" si="8"/>
        <v>10.88629391414937</v>
      </c>
      <c r="AD430" s="229">
        <f t="shared" si="8"/>
        <v>12.091696700491163</v>
      </c>
      <c r="AE430" s="229">
        <f t="shared" si="8"/>
        <v>14.464833436101587</v>
      </c>
      <c r="AF430" s="229">
        <f t="shared" si="8"/>
        <v>3.4259377904492951</v>
      </c>
      <c r="AG430" s="229">
        <f t="shared" si="8"/>
        <v>3.2968271837778063</v>
      </c>
      <c r="AH430" s="229">
        <f t="shared" si="8"/>
        <v>3.4942527903061933</v>
      </c>
      <c r="AI430" s="229">
        <f t="shared" si="8"/>
        <v>4.2957535594393415</v>
      </c>
      <c r="AJ430" s="229">
        <f t="shared" si="8"/>
        <v>4.7651425395730271</v>
      </c>
      <c r="AK430" s="229">
        <f t="shared" si="8"/>
        <v>10.189043739924792</v>
      </c>
      <c r="AL430" s="229">
        <f t="shared" si="8"/>
        <v>9.786238308822238</v>
      </c>
      <c r="AM430" s="229">
        <f t="shared" si="8"/>
        <v>10.722685598461512</v>
      </c>
      <c r="AN430" s="229">
        <f t="shared" si="8"/>
        <v>12.136522616608261</v>
      </c>
      <c r="AO430" s="229">
        <f t="shared" si="8"/>
        <v>14.354338180686909</v>
      </c>
      <c r="AP430" s="229">
        <f t="shared" si="8"/>
        <v>19.598332015697054</v>
      </c>
      <c r="AQ430" s="229">
        <f t="shared" si="8"/>
        <v>20.283219962482171</v>
      </c>
      <c r="AR430" s="229">
        <f t="shared" si="8"/>
        <v>22.838378840872821</v>
      </c>
      <c r="AS430" s="229">
        <f t="shared" si="8"/>
        <v>25.367195875156284</v>
      </c>
      <c r="AT430" s="229">
        <f t="shared" si="8"/>
        <v>30.345804411401929</v>
      </c>
      <c r="AU430" s="229">
        <f t="shared" si="8"/>
        <v>2.4590110225669086</v>
      </c>
      <c r="AV430" s="229">
        <f t="shared" si="8"/>
        <v>4.5912886981149867</v>
      </c>
      <c r="AW430" s="229">
        <f t="shared" si="8"/>
        <v>4.9180220451338172</v>
      </c>
      <c r="AX430" s="229">
        <f t="shared" si="8"/>
        <v>9.1825773962299735</v>
      </c>
      <c r="AY430" s="229">
        <f t="shared" si="8"/>
        <v>7.9024925290238111</v>
      </c>
      <c r="AZ430" s="229">
        <f t="shared" si="8"/>
        <v>8.4853013530393113</v>
      </c>
      <c r="BA430" s="229">
        <f t="shared" si="8"/>
        <v>11.448736051423253</v>
      </c>
      <c r="BB430" s="229">
        <f t="shared" si="8"/>
        <v>12.110569800729001</v>
      </c>
      <c r="BC430" s="229">
        <f t="shared" si="8"/>
        <v>13.829361925791668</v>
      </c>
      <c r="BD430" s="229">
        <f t="shared" si="8"/>
        <v>7.3358230686156602</v>
      </c>
      <c r="BE430" s="229">
        <f t="shared" si="8"/>
        <v>7.0593637092355719</v>
      </c>
      <c r="BF430" s="229">
        <f t="shared" si="8"/>
        <v>9.3975581222826321</v>
      </c>
      <c r="BG430" s="229">
        <f t="shared" si="8"/>
        <v>10.076596489598629</v>
      </c>
      <c r="BH430" s="229">
        <f t="shared" si="8"/>
        <v>10.20340844030834</v>
      </c>
      <c r="BI430" s="229">
        <f t="shared" si="8"/>
        <v>6.2319919842177498</v>
      </c>
      <c r="BJ430" s="229">
        <f t="shared" si="8"/>
        <v>6.6916013930538076</v>
      </c>
      <c r="BK430" s="229">
        <f t="shared" si="8"/>
        <v>9.0285983871354567</v>
      </c>
      <c r="BL430" s="229">
        <f t="shared" si="8"/>
        <v>9.5505277158137023</v>
      </c>
      <c r="BM430" s="229">
        <f t="shared" si="8"/>
        <v>10.905985972381046</v>
      </c>
      <c r="BN430" s="229">
        <f t="shared" si="8"/>
        <v>6.5802938465607825</v>
      </c>
      <c r="BO430" s="229">
        <f t="shared" ref="BO430:DZ430" si="9">AVERAGE(BO714:BO719)</f>
        <v>6.332307519145691</v>
      </c>
      <c r="BP430" s="229">
        <f t="shared" si="9"/>
        <v>8.4296872084216403</v>
      </c>
      <c r="BQ430" s="229">
        <f t="shared" si="9"/>
        <v>9.038790229068935</v>
      </c>
      <c r="BR430" s="229">
        <f t="shared" si="9"/>
        <v>9.152541595632778</v>
      </c>
      <c r="BS430" s="229">
        <f t="shared" si="9"/>
        <v>3.2614091384072843</v>
      </c>
      <c r="BT430" s="229">
        <f t="shared" si="9"/>
        <v>3.5019380623648249</v>
      </c>
      <c r="BU430" s="229">
        <f t="shared" si="9"/>
        <v>4.7249664892675538</v>
      </c>
      <c r="BV430" s="229">
        <f t="shared" si="9"/>
        <v>4.998109504609161</v>
      </c>
      <c r="BW430" s="229">
        <f t="shared" si="9"/>
        <v>5.7074659922127493</v>
      </c>
      <c r="BX430" s="229">
        <f t="shared" si="9"/>
        <v>10.05701749615322</v>
      </c>
      <c r="BY430" s="229">
        <f t="shared" si="9"/>
        <v>10.798722536494509</v>
      </c>
      <c r="BZ430" s="229">
        <f t="shared" si="9"/>
        <v>12.217484347933961</v>
      </c>
      <c r="CA430" s="229">
        <f t="shared" si="9"/>
        <v>15.047419378093158</v>
      </c>
      <c r="CB430" s="229">
        <f t="shared" si="9"/>
        <v>17.589506541141024</v>
      </c>
      <c r="CC430" s="229">
        <f t="shared" si="9"/>
        <v>3.4436871130334765</v>
      </c>
      <c r="CD430" s="229">
        <f t="shared" si="9"/>
        <v>3.3139076016862403</v>
      </c>
      <c r="CE430" s="229">
        <f t="shared" si="9"/>
        <v>4.4115363057406496</v>
      </c>
      <c r="CF430" s="229">
        <f t="shared" si="9"/>
        <v>4.7303002198794113</v>
      </c>
      <c r="CG430" s="229">
        <f t="shared" si="9"/>
        <v>4.7898301017144851</v>
      </c>
      <c r="CH430" s="229">
        <f t="shared" si="9"/>
        <v>10.207318024002969</v>
      </c>
      <c r="CI430" s="229">
        <f t="shared" si="9"/>
        <v>9.8037901521038009</v>
      </c>
      <c r="CJ430" s="229">
        <f t="shared" si="9"/>
        <v>10.741916981475354</v>
      </c>
      <c r="CK430" s="229">
        <f t="shared" si="9"/>
        <v>12.158289748802234</v>
      </c>
      <c r="CL430" s="229">
        <f t="shared" si="9"/>
        <v>14.380083016057499</v>
      </c>
      <c r="CM430" s="229">
        <f t="shared" si="9"/>
        <v>21.098638103817926</v>
      </c>
      <c r="CN430" s="229">
        <f t="shared" si="9"/>
        <v>22.654662663974509</v>
      </c>
      <c r="CO430" s="229">
        <f t="shared" si="9"/>
        <v>25.631086044616698</v>
      </c>
      <c r="CP430" s="229">
        <f t="shared" si="9"/>
        <v>31.568012681314286</v>
      </c>
      <c r="CQ430" s="229">
        <f t="shared" si="9"/>
        <v>36.901062673722372</v>
      </c>
      <c r="CR430" s="229">
        <f t="shared" si="9"/>
        <v>14.821485347488361</v>
      </c>
      <c r="CS430" s="229">
        <f t="shared" si="9"/>
        <v>16.889417387340345</v>
      </c>
      <c r="CT430" s="229">
        <f t="shared" si="9"/>
        <v>23.236304169019252</v>
      </c>
      <c r="CU430" s="229">
        <f t="shared" si="9"/>
        <v>26.476825748635534</v>
      </c>
      <c r="CV430" s="229">
        <f t="shared" si="9"/>
        <v>31.471881762257741</v>
      </c>
      <c r="CW430" s="229">
        <f t="shared" si="9"/>
        <v>36.675619557135789</v>
      </c>
      <c r="CX430" s="229">
        <f t="shared" si="9"/>
        <v>46.72819973882136</v>
      </c>
      <c r="CY430" s="229">
        <f t="shared" si="9"/>
        <v>51.120436779314879</v>
      </c>
      <c r="CZ430" s="229">
        <f t="shared" si="9"/>
        <v>55.494489752333493</v>
      </c>
      <c r="DA430" s="229">
        <f t="shared" si="9"/>
        <v>11.922587308185028</v>
      </c>
      <c r="DB430" s="229">
        <f t="shared" si="9"/>
        <v>13.586057582215675</v>
      </c>
      <c r="DC430" s="229">
        <f t="shared" si="9"/>
        <v>18.691572314081366</v>
      </c>
      <c r="DD430" s="229">
        <f t="shared" si="9"/>
        <v>21.298288210041047</v>
      </c>
      <c r="DE430" s="229">
        <f t="shared" si="9"/>
        <v>25.316373444782872</v>
      </c>
      <c r="DF430" s="229">
        <f t="shared" si="9"/>
        <v>33.336099001167767</v>
      </c>
      <c r="DG430" s="229">
        <f t="shared" si="9"/>
        <v>42.473335459621673</v>
      </c>
      <c r="DH430" s="229">
        <f t="shared" si="9"/>
        <v>48.051018130664119</v>
      </c>
      <c r="DI430" s="229">
        <f t="shared" si="9"/>
        <v>52.162440331893201</v>
      </c>
      <c r="DJ430" s="229">
        <f t="shared" si="9"/>
        <v>6.1553416490327502</v>
      </c>
      <c r="DK430" s="229">
        <f t="shared" si="9"/>
        <v>7.0141508651027955</v>
      </c>
      <c r="DL430" s="229">
        <f t="shared" si="9"/>
        <v>9.6500038604696776</v>
      </c>
      <c r="DM430" s="229">
        <f t="shared" si="9"/>
        <v>10.995787833935045</v>
      </c>
      <c r="DN430" s="229">
        <f t="shared" si="9"/>
        <v>13.070227446366387</v>
      </c>
      <c r="DO430" s="229">
        <f t="shared" si="9"/>
        <v>15.030184348356444</v>
      </c>
      <c r="DP430" s="229">
        <f t="shared" si="9"/>
        <v>19.149872989798059</v>
      </c>
      <c r="DQ430" s="229">
        <f t="shared" si="9"/>
        <v>21.088046041340338</v>
      </c>
      <c r="DR430" s="229">
        <f t="shared" si="9"/>
        <v>22.892416979727958</v>
      </c>
      <c r="DS430" s="229">
        <f t="shared" si="9"/>
        <v>41.833994869536411</v>
      </c>
      <c r="DT430" s="229">
        <f t="shared" si="9"/>
        <v>47.670782230418411</v>
      </c>
      <c r="DU430" s="229">
        <f t="shared" si="9"/>
        <v>65.585021109808309</v>
      </c>
      <c r="DV430" s="229">
        <f t="shared" si="9"/>
        <v>74.731470332541633</v>
      </c>
      <c r="DW430" s="229">
        <f t="shared" si="9"/>
        <v>88.830134720610502</v>
      </c>
      <c r="DX430" s="229">
        <f t="shared" si="9"/>
        <v>19.938953663329176</v>
      </c>
      <c r="DY430" s="229">
        <f t="shared" si="9"/>
        <v>27.617877940286842</v>
      </c>
      <c r="DZ430" s="229">
        <f t="shared" si="9"/>
        <v>38.277364540952391</v>
      </c>
      <c r="EA430" s="229">
        <f t="shared" ref="EA430:EI430" si="10">AVERAGE(EA714:EA719)</f>
        <v>14.138669079566414</v>
      </c>
      <c r="EB430" s="229">
        <f t="shared" si="10"/>
        <v>19.583777738333705</v>
      </c>
      <c r="EC430" s="229">
        <f t="shared" si="10"/>
        <v>27.142396718529412</v>
      </c>
      <c r="ED430" s="229">
        <f t="shared" si="10"/>
        <v>8.236455472648947</v>
      </c>
      <c r="EE430" s="229">
        <f t="shared" si="10"/>
        <v>11.408493431758409</v>
      </c>
      <c r="EF430" s="229">
        <f t="shared" si="10"/>
        <v>15.811752912176928</v>
      </c>
      <c r="EG430" s="229">
        <f t="shared" si="10"/>
        <v>54.81758266406905</v>
      </c>
      <c r="EH430" s="229">
        <f t="shared" si="10"/>
        <v>75.929024790414275</v>
      </c>
      <c r="EI430" s="229">
        <f t="shared" si="10"/>
        <v>105.2348398173679</v>
      </c>
    </row>
    <row r="431" spans="1:139" outlineLevel="1">
      <c r="A431" t="s">
        <v>1592</v>
      </c>
      <c r="B431" s="229">
        <f>AVERAGE(B720:B723)</f>
        <v>6.9241066726685254</v>
      </c>
      <c r="C431" s="229">
        <f t="shared" ref="C431:BN431" si="11">AVERAGE(C720:C723)</f>
        <v>7.1660781424123199</v>
      </c>
      <c r="D431" s="229">
        <f t="shared" si="11"/>
        <v>8.0688178564564694</v>
      </c>
      <c r="E431" s="229">
        <f t="shared" si="11"/>
        <v>8.9622509755104716</v>
      </c>
      <c r="F431" s="229">
        <f t="shared" si="11"/>
        <v>10.721197428648036</v>
      </c>
      <c r="G431" s="229">
        <f t="shared" si="11"/>
        <v>6.9680530146988868</v>
      </c>
      <c r="H431" s="229">
        <f t="shared" si="11"/>
        <v>6.7054535143358409</v>
      </c>
      <c r="I431" s="229">
        <f t="shared" si="11"/>
        <v>7.1069996534933884</v>
      </c>
      <c r="J431" s="229">
        <f t="shared" si="11"/>
        <v>8.7323354629688605</v>
      </c>
      <c r="K431" s="229">
        <f t="shared" si="11"/>
        <v>9.6865014737590922</v>
      </c>
      <c r="L431" s="229">
        <f t="shared" si="11"/>
        <v>5.2280250070846028</v>
      </c>
      <c r="M431" s="229">
        <f t="shared" si="11"/>
        <v>5.4107248057192789</v>
      </c>
      <c r="N431" s="229">
        <f t="shared" si="11"/>
        <v>6.0923355929332663</v>
      </c>
      <c r="O431" s="229">
        <f t="shared" si="11"/>
        <v>6.7669194648151514</v>
      </c>
      <c r="P431" s="229">
        <f t="shared" si="11"/>
        <v>8.0950064625826101</v>
      </c>
      <c r="Q431" s="229">
        <f t="shared" si="11"/>
        <v>6.08532057594131</v>
      </c>
      <c r="R431" s="229">
        <f t="shared" si="11"/>
        <v>5.855987914519214</v>
      </c>
      <c r="S431" s="229">
        <f t="shared" si="11"/>
        <v>6.2066650660349465</v>
      </c>
      <c r="T431" s="229">
        <f t="shared" si="11"/>
        <v>7.6303304739812834</v>
      </c>
      <c r="U431" s="229">
        <f t="shared" si="11"/>
        <v>8.4640824547938216</v>
      </c>
      <c r="V431" s="229">
        <f t="shared" si="11"/>
        <v>2.7359997537076075</v>
      </c>
      <c r="W431" s="229">
        <f t="shared" si="11"/>
        <v>2.8316126483264226</v>
      </c>
      <c r="X431" s="229">
        <f t="shared" si="11"/>
        <v>3.1883222936350761</v>
      </c>
      <c r="Y431" s="229">
        <f t="shared" si="11"/>
        <v>3.5413545199199277</v>
      </c>
      <c r="Z431" s="229">
        <f t="shared" si="11"/>
        <v>4.2363867154182309</v>
      </c>
      <c r="AA431" s="229">
        <f t="shared" si="11"/>
        <v>8.9573469685338072</v>
      </c>
      <c r="AB431" s="229">
        <f t="shared" si="11"/>
        <v>9.2703725346384811</v>
      </c>
      <c r="AC431" s="229">
        <f t="shared" si="11"/>
        <v>10.438198685105926</v>
      </c>
      <c r="AD431" s="229">
        <f t="shared" si="11"/>
        <v>11.593985390723192</v>
      </c>
      <c r="AE431" s="229">
        <f t="shared" si="11"/>
        <v>13.869440467407181</v>
      </c>
      <c r="AF431" s="229">
        <f t="shared" si="11"/>
        <v>3.1846511014092851</v>
      </c>
      <c r="AG431" s="229">
        <f t="shared" si="11"/>
        <v>3.0646336752650551</v>
      </c>
      <c r="AH431" s="229">
        <f t="shared" si="11"/>
        <v>3.2481547178916212</v>
      </c>
      <c r="AI431" s="229">
        <f t="shared" si="11"/>
        <v>3.9932062813835394</v>
      </c>
      <c r="AJ431" s="229">
        <f t="shared" si="11"/>
        <v>4.4295364846754337</v>
      </c>
      <c r="AK431" s="229">
        <f t="shared" si="11"/>
        <v>9.7696483125754376</v>
      </c>
      <c r="AL431" s="229">
        <f t="shared" si="11"/>
        <v>9.3834229217816691</v>
      </c>
      <c r="AM431" s="229">
        <f t="shared" si="11"/>
        <v>10.281324718708085</v>
      </c>
      <c r="AN431" s="229">
        <f t="shared" si="11"/>
        <v>11.636966208838333</v>
      </c>
      <c r="AO431" s="229">
        <f t="shared" si="11"/>
        <v>13.763493352725598</v>
      </c>
      <c r="AP431" s="229">
        <f t="shared" si="11"/>
        <v>18.791636996924062</v>
      </c>
      <c r="AQ431" s="229">
        <f t="shared" si="11"/>
        <v>19.448333988752054</v>
      </c>
      <c r="AR431" s="229">
        <f t="shared" si="11"/>
        <v>21.898318919802637</v>
      </c>
      <c r="AS431" s="229">
        <f t="shared" si="11"/>
        <v>24.323046274244447</v>
      </c>
      <c r="AT431" s="229">
        <f t="shared" si="11"/>
        <v>29.096728253301777</v>
      </c>
      <c r="AU431" s="229">
        <f t="shared" si="11"/>
        <v>2.3396398842602761</v>
      </c>
      <c r="AV431" s="229">
        <f t="shared" si="11"/>
        <v>4.5820730656151181</v>
      </c>
      <c r="AW431" s="229">
        <f t="shared" si="11"/>
        <v>4.6792797685205523</v>
      </c>
      <c r="AX431" s="229">
        <f t="shared" si="11"/>
        <v>9.1641461312302361</v>
      </c>
      <c r="AY431" s="229">
        <f t="shared" si="11"/>
        <v>7.4246181633231068</v>
      </c>
      <c r="AZ431" s="229">
        <f t="shared" si="11"/>
        <v>7.9721837528681867</v>
      </c>
      <c r="BA431" s="229">
        <f t="shared" si="11"/>
        <v>10.756415564114352</v>
      </c>
      <c r="BB431" s="229">
        <f t="shared" si="11"/>
        <v>11.37822733529266</v>
      </c>
      <c r="BC431" s="229">
        <f t="shared" si="11"/>
        <v>12.993081785815434</v>
      </c>
      <c r="BD431" s="229">
        <f t="shared" si="11"/>
        <v>6.9622571162754117</v>
      </c>
      <c r="BE431" s="229">
        <f t="shared" si="11"/>
        <v>6.699876041350139</v>
      </c>
      <c r="BF431" s="229">
        <f t="shared" si="11"/>
        <v>8.9190013581967413</v>
      </c>
      <c r="BG431" s="229">
        <f t="shared" si="11"/>
        <v>9.5634606998206788</v>
      </c>
      <c r="BH431" s="229">
        <f t="shared" si="11"/>
        <v>9.68381493928357</v>
      </c>
      <c r="BI431" s="229">
        <f t="shared" si="11"/>
        <v>5.8257980662121289</v>
      </c>
      <c r="BJ431" s="229">
        <f t="shared" si="11"/>
        <v>6.2554506735952726</v>
      </c>
      <c r="BK431" s="229">
        <f t="shared" si="11"/>
        <v>8.4401249484248222</v>
      </c>
      <c r="BL431" s="229">
        <f t="shared" si="11"/>
        <v>8.9280355364700874</v>
      </c>
      <c r="BM431" s="229">
        <f t="shared" si="11"/>
        <v>10.195146615871227</v>
      </c>
      <c r="BN431" s="229">
        <f t="shared" si="11"/>
        <v>6.2637073564452646</v>
      </c>
      <c r="BO431" s="229">
        <f t="shared" ref="BO431:DZ431" si="12">AVERAGE(BO720:BO723)</f>
        <v>6.0276519735781831</v>
      </c>
      <c r="BP431" s="229">
        <f t="shared" si="12"/>
        <v>8.0241239997997642</v>
      </c>
      <c r="BQ431" s="229">
        <f t="shared" si="12"/>
        <v>8.6039222824031576</v>
      </c>
      <c r="BR431" s="229">
        <f t="shared" si="12"/>
        <v>8.7122009228660033</v>
      </c>
      <c r="BS431" s="229">
        <f t="shared" si="12"/>
        <v>3.0488343213176798</v>
      </c>
      <c r="BT431" s="229">
        <f t="shared" si="12"/>
        <v>3.2736858525148591</v>
      </c>
      <c r="BU431" s="229">
        <f t="shared" si="12"/>
        <v>4.4169987230089891</v>
      </c>
      <c r="BV431" s="229">
        <f t="shared" si="12"/>
        <v>4.672338597419345</v>
      </c>
      <c r="BW431" s="229">
        <f t="shared" si="12"/>
        <v>5.3354600623059403</v>
      </c>
      <c r="BX431" s="229">
        <f t="shared" si="12"/>
        <v>9.7279812853489851</v>
      </c>
      <c r="BY431" s="229">
        <f t="shared" si="12"/>
        <v>10.445419905143474</v>
      </c>
      <c r="BZ431" s="229">
        <f t="shared" si="12"/>
        <v>11.817763977859853</v>
      </c>
      <c r="CA431" s="229">
        <f t="shared" si="12"/>
        <v>14.55511180714147</v>
      </c>
      <c r="CB431" s="229">
        <f t="shared" si="12"/>
        <v>17.014029310000971</v>
      </c>
      <c r="CC431" s="229">
        <f t="shared" si="12"/>
        <v>3.2780068498730217</v>
      </c>
      <c r="CD431" s="229">
        <f t="shared" si="12"/>
        <v>3.1544711995059154</v>
      </c>
      <c r="CE431" s="229">
        <f t="shared" si="12"/>
        <v>4.1992915598952099</v>
      </c>
      <c r="CF431" s="229">
        <f t="shared" si="12"/>
        <v>4.5027193277909854</v>
      </c>
      <c r="CG431" s="229">
        <f t="shared" si="12"/>
        <v>4.5593851496332061</v>
      </c>
      <c r="CH431" s="229">
        <f t="shared" si="12"/>
        <v>9.8674562170276747</v>
      </c>
      <c r="CI431" s="229">
        <f t="shared" si="12"/>
        <v>9.477364167485181</v>
      </c>
      <c r="CJ431" s="229">
        <f t="shared" si="12"/>
        <v>10.384255222811841</v>
      </c>
      <c r="CK431" s="229">
        <f t="shared" si="12"/>
        <v>11.75346858872471</v>
      </c>
      <c r="CL431" s="229">
        <f t="shared" si="12"/>
        <v>13.901285256763698</v>
      </c>
      <c r="CM431" s="229">
        <f t="shared" si="12"/>
        <v>20.408352346885977</v>
      </c>
      <c r="CN431" s="229">
        <f t="shared" si="12"/>
        <v>21.913468332468824</v>
      </c>
      <c r="CO431" s="229">
        <f t="shared" si="12"/>
        <v>24.792511841664023</v>
      </c>
      <c r="CP431" s="229">
        <f t="shared" si="12"/>
        <v>30.535199595401679</v>
      </c>
      <c r="CQ431" s="229">
        <f t="shared" si="12"/>
        <v>35.693767783218817</v>
      </c>
      <c r="CR431" s="229">
        <f t="shared" si="12"/>
        <v>14.618191455447272</v>
      </c>
      <c r="CS431" s="229">
        <f t="shared" si="12"/>
        <v>16.657759404723876</v>
      </c>
      <c r="CT431" s="229">
        <f t="shared" si="12"/>
        <v>22.917591259994172</v>
      </c>
      <c r="CU431" s="229">
        <f t="shared" si="12"/>
        <v>26.113665321111569</v>
      </c>
      <c r="CV431" s="229">
        <f t="shared" si="12"/>
        <v>31.040208337948073</v>
      </c>
      <c r="CW431" s="229">
        <f t="shared" si="12"/>
        <v>36.598857759869908</v>
      </c>
      <c r="CX431" s="229">
        <f t="shared" si="12"/>
        <v>46.630397966465033</v>
      </c>
      <c r="CY431" s="229">
        <f t="shared" si="12"/>
        <v>51.013442087702792</v>
      </c>
      <c r="CZ431" s="229">
        <f t="shared" si="12"/>
        <v>55.378340200582656</v>
      </c>
      <c r="DA431" s="229">
        <f t="shared" si="12"/>
        <v>11.6564613302598</v>
      </c>
      <c r="DB431" s="229">
        <f t="shared" si="12"/>
        <v>13.282801018287119</v>
      </c>
      <c r="DC431" s="229">
        <f t="shared" si="12"/>
        <v>18.274354739366739</v>
      </c>
      <c r="DD431" s="229">
        <f t="shared" si="12"/>
        <v>20.822885712955319</v>
      </c>
      <c r="DE431" s="229">
        <f t="shared" si="12"/>
        <v>24.751282624614067</v>
      </c>
      <c r="DF431" s="229">
        <f t="shared" si="12"/>
        <v>33.266326795433727</v>
      </c>
      <c r="DG431" s="229">
        <f t="shared" si="12"/>
        <v>42.384439086359833</v>
      </c>
      <c r="DH431" s="229">
        <f t="shared" si="12"/>
        <v>47.950447709313195</v>
      </c>
      <c r="DI431" s="229">
        <f t="shared" si="12"/>
        <v>52.053264734643463</v>
      </c>
      <c r="DJ431" s="229">
        <f t="shared" si="12"/>
        <v>6.0709139866671489</v>
      </c>
      <c r="DK431" s="229">
        <f t="shared" si="12"/>
        <v>6.9179436365221827</v>
      </c>
      <c r="DL431" s="229">
        <f t="shared" si="12"/>
        <v>9.5176428455637883</v>
      </c>
      <c r="DM431" s="229">
        <f t="shared" si="12"/>
        <v>10.844967828219653</v>
      </c>
      <c r="DN431" s="229">
        <f t="shared" si="12"/>
        <v>12.890954091156786</v>
      </c>
      <c r="DO431" s="229">
        <f t="shared" si="12"/>
        <v>14.998726284995829</v>
      </c>
      <c r="DP431" s="229">
        <f t="shared" si="12"/>
        <v>19.109792448941199</v>
      </c>
      <c r="DQ431" s="229">
        <f t="shared" si="12"/>
        <v>21.043908918791175</v>
      </c>
      <c r="DR431" s="229">
        <f t="shared" si="12"/>
        <v>22.844503322308007</v>
      </c>
      <c r="DS431" s="229">
        <f t="shared" si="12"/>
        <v>41.000078735507316</v>
      </c>
      <c r="DT431" s="229">
        <f t="shared" si="12"/>
        <v>46.720515956597126</v>
      </c>
      <c r="DU431" s="229">
        <f t="shared" si="12"/>
        <v>64.277653562800822</v>
      </c>
      <c r="DV431" s="229">
        <f t="shared" si="12"/>
        <v>73.241778061354694</v>
      </c>
      <c r="DW431" s="229">
        <f t="shared" si="12"/>
        <v>87.059400590090419</v>
      </c>
      <c r="DX431" s="229">
        <f t="shared" si="12"/>
        <v>19.656592193705503</v>
      </c>
      <c r="DY431" s="229">
        <f t="shared" si="12"/>
        <v>27.226772933736353</v>
      </c>
      <c r="DZ431" s="229">
        <f t="shared" si="12"/>
        <v>37.735307365455689</v>
      </c>
      <c r="EA431" s="229">
        <f t="shared" ref="EA431:EI431" si="13">AVERAGE(EA720:EA723)</f>
        <v>14.067906887444931</v>
      </c>
      <c r="EB431" s="229">
        <f t="shared" si="13"/>
        <v>19.485763488549246</v>
      </c>
      <c r="EC431" s="229">
        <f t="shared" si="13"/>
        <v>27.006552567964352</v>
      </c>
      <c r="ED431" s="229">
        <f t="shared" si="13"/>
        <v>8.1308194517145829</v>
      </c>
      <c r="EE431" s="229">
        <f t="shared" si="13"/>
        <v>11.262174683968329</v>
      </c>
      <c r="EF431" s="229">
        <f t="shared" si="13"/>
        <v>15.608960501389776</v>
      </c>
      <c r="EG431" s="229">
        <f t="shared" si="13"/>
        <v>54.457277548657416</v>
      </c>
      <c r="EH431" s="229">
        <f t="shared" si="13"/>
        <v>75.429958346571738</v>
      </c>
      <c r="EI431" s="229">
        <f t="shared" si="13"/>
        <v>104.54315205473731</v>
      </c>
    </row>
    <row r="432" spans="1:139" outlineLevel="1">
      <c r="A432" t="s">
        <v>1593</v>
      </c>
      <c r="B432" s="229">
        <f>B429</f>
        <v>8.3391349411764715</v>
      </c>
      <c r="C432" s="229">
        <f t="shared" ref="C432:BN432" si="14">C429</f>
        <v>8.6305563235294134</v>
      </c>
      <c r="D432" s="229">
        <f t="shared" si="14"/>
        <v>9.7177822499999991</v>
      </c>
      <c r="E432" s="229">
        <f t="shared" si="14"/>
        <v>10.793799661764703</v>
      </c>
      <c r="F432" s="229">
        <f t="shared" si="14"/>
        <v>12.912208941176473</v>
      </c>
      <c r="G432" s="229">
        <f t="shared" si="14"/>
        <v>7.9995578274732084</v>
      </c>
      <c r="H432" s="229">
        <f t="shared" si="14"/>
        <v>7.6980848214285729</v>
      </c>
      <c r="I432" s="229">
        <f t="shared" si="14"/>
        <v>8.1590732142857014</v>
      </c>
      <c r="J432" s="229">
        <f t="shared" si="14"/>
        <v>10.030575892857154</v>
      </c>
      <c r="K432" s="229">
        <f t="shared" si="14"/>
        <v>11.126598214285696</v>
      </c>
      <c r="L432" s="229">
        <f t="shared" si="14"/>
        <v>6.3456766917293219</v>
      </c>
      <c r="M432" s="229">
        <f t="shared" si="14"/>
        <v>6.5674342105263124</v>
      </c>
      <c r="N432" s="229">
        <f t="shared" si="14"/>
        <v>7.3947603383458658</v>
      </c>
      <c r="O432" s="229">
        <f t="shared" si="14"/>
        <v>8.2135573308270544</v>
      </c>
      <c r="P432" s="229">
        <f t="shared" si="14"/>
        <v>9.8255639097744307</v>
      </c>
      <c r="Q432" s="229">
        <f t="shared" si="14"/>
        <v>7.1710321953420628</v>
      </c>
      <c r="R432" s="229">
        <f t="shared" si="14"/>
        <v>6.900783179209192</v>
      </c>
      <c r="S432" s="229">
        <f t="shared" si="14"/>
        <v>7.3140263456632724</v>
      </c>
      <c r="T432" s="229">
        <f t="shared" si="14"/>
        <v>8.9916948182398126</v>
      </c>
      <c r="U432" s="229">
        <f t="shared" si="14"/>
        <v>9.9742005420918254</v>
      </c>
      <c r="V432" s="229">
        <f t="shared" si="14"/>
        <v>3.3209041353383446</v>
      </c>
      <c r="W432" s="229">
        <f t="shared" si="14"/>
        <v>3.4369572368421033</v>
      </c>
      <c r="X432" s="229">
        <f t="shared" si="14"/>
        <v>3.8699245770676698</v>
      </c>
      <c r="Y432" s="229">
        <f t="shared" si="14"/>
        <v>4.29842833646617</v>
      </c>
      <c r="Z432" s="229">
        <f t="shared" si="14"/>
        <v>5.1420451127819522</v>
      </c>
      <c r="AA432" s="229">
        <f t="shared" si="14"/>
        <v>10.164334131149918</v>
      </c>
      <c r="AB432" s="229">
        <f t="shared" si="14"/>
        <v>10.519539356163223</v>
      </c>
      <c r="AC432" s="229">
        <f t="shared" si="14"/>
        <v>11.844728080251302</v>
      </c>
      <c r="AD432" s="229">
        <f t="shared" si="14"/>
        <v>13.156255064915806</v>
      </c>
      <c r="AE432" s="229">
        <f t="shared" si="14"/>
        <v>15.738323815974061</v>
      </c>
      <c r="AF432" s="229">
        <f t="shared" si="14"/>
        <v>3.7528401822290141</v>
      </c>
      <c r="AG432" s="229">
        <f t="shared" si="14"/>
        <v>3.6114098637861383</v>
      </c>
      <c r="AH432" s="229">
        <f t="shared" si="14"/>
        <v>3.8276737875637794</v>
      </c>
      <c r="AI432" s="229">
        <f t="shared" si="14"/>
        <v>4.7056536215454887</v>
      </c>
      <c r="AJ432" s="229">
        <f t="shared" si="14"/>
        <v>5.219831617028051</v>
      </c>
      <c r="AK432" s="229">
        <f t="shared" si="14"/>
        <v>11.08609169005944</v>
      </c>
      <c r="AL432" s="229">
        <f t="shared" si="14"/>
        <v>10.647823089350718</v>
      </c>
      <c r="AM432" s="229">
        <f t="shared" si="14"/>
        <v>11.666715615561934</v>
      </c>
      <c r="AN432" s="229">
        <f t="shared" si="14"/>
        <v>13.205027474658035</v>
      </c>
      <c r="AO432" s="229">
        <f t="shared" si="14"/>
        <v>15.618100509046453</v>
      </c>
      <c r="AP432" s="429">
        <f t="shared" si="14"/>
        <v>21.323777897517267</v>
      </c>
      <c r="AQ432" s="429">
        <f t="shared" si="14"/>
        <v>22.068963684258467</v>
      </c>
      <c r="AR432" s="429">
        <f t="shared" si="14"/>
        <v>24.849079888639135</v>
      </c>
      <c r="AS432" s="429">
        <f t="shared" si="14"/>
        <v>27.600535101221965</v>
      </c>
      <c r="AT432" s="429">
        <f t="shared" si="14"/>
        <v>33.017462550994537</v>
      </c>
      <c r="AU432" s="229">
        <f t="shared" si="14"/>
        <v>2.6800324742405151</v>
      </c>
      <c r="AV432" s="229">
        <f t="shared" si="14"/>
        <v>4.9516369047619087</v>
      </c>
      <c r="AW432" s="229">
        <f t="shared" si="14"/>
        <v>5.3600649484810301</v>
      </c>
      <c r="AX432" s="229">
        <f t="shared" si="14"/>
        <v>9.9032738095238173</v>
      </c>
      <c r="AY432" s="229">
        <f t="shared" si="14"/>
        <v>8.4285714285714324</v>
      </c>
      <c r="AZ432" s="229">
        <f t="shared" si="14"/>
        <v>9.0501785714285639</v>
      </c>
      <c r="BA432" s="229">
        <f t="shared" si="14"/>
        <v>12.210892857142868</v>
      </c>
      <c r="BB432" s="229">
        <f t="shared" si="14"/>
        <v>12.916785714285732</v>
      </c>
      <c r="BC432" s="229">
        <f t="shared" si="14"/>
        <v>14.750000000000004</v>
      </c>
      <c r="BD432" s="229">
        <f t="shared" si="14"/>
        <v>7.9995578274732084</v>
      </c>
      <c r="BE432" s="229">
        <f t="shared" si="14"/>
        <v>7.6980848214285729</v>
      </c>
      <c r="BF432" s="229">
        <f t="shared" si="14"/>
        <v>10.247835714285705</v>
      </c>
      <c r="BG432" s="229">
        <f t="shared" si="14"/>
        <v>10.988312500000005</v>
      </c>
      <c r="BH432" s="229">
        <f t="shared" si="14"/>
        <v>11.126598214285696</v>
      </c>
      <c r="BI432" s="229">
        <f t="shared" si="14"/>
        <v>6.6541353383458715</v>
      </c>
      <c r="BJ432" s="229">
        <f t="shared" si="14"/>
        <v>7.1448778195488787</v>
      </c>
      <c r="BK432" s="229">
        <f t="shared" si="14"/>
        <v>9.640178571428569</v>
      </c>
      <c r="BL432" s="229">
        <f t="shared" si="14"/>
        <v>10.197462406015052</v>
      </c>
      <c r="BM432" s="229">
        <f t="shared" si="14"/>
        <v>11.644736842105248</v>
      </c>
      <c r="BN432" s="229">
        <f t="shared" si="14"/>
        <v>7.1710321953420628</v>
      </c>
      <c r="BO432" s="229">
        <f t="shared" ref="BO432:DZ432" si="15">BO429</f>
        <v>6.900783179209192</v>
      </c>
      <c r="BP432" s="229">
        <f t="shared" si="15"/>
        <v>9.186452729591851</v>
      </c>
      <c r="BQ432" s="229">
        <f t="shared" si="15"/>
        <v>9.8502372767857018</v>
      </c>
      <c r="BR432" s="229">
        <f t="shared" si="15"/>
        <v>9.9742005420918254</v>
      </c>
      <c r="BS432" s="229">
        <f t="shared" si="15"/>
        <v>3.4823308270676656</v>
      </c>
      <c r="BT432" s="229">
        <f t="shared" si="15"/>
        <v>3.7391527255639105</v>
      </c>
      <c r="BU432" s="229">
        <f t="shared" si="15"/>
        <v>5.045026785714283</v>
      </c>
      <c r="BV432" s="229">
        <f t="shared" si="15"/>
        <v>5.3366719924811949</v>
      </c>
      <c r="BW432" s="229">
        <f t="shared" si="15"/>
        <v>6.094078947368418</v>
      </c>
      <c r="BX432" s="229">
        <f t="shared" si="15"/>
        <v>10.658414889146814</v>
      </c>
      <c r="BY432" s="229">
        <f t="shared" si="15"/>
        <v>11.444472987221374</v>
      </c>
      <c r="BZ432" s="229">
        <f t="shared" si="15"/>
        <v>12.948075026392846</v>
      </c>
      <c r="CA432" s="229">
        <f t="shared" si="15"/>
        <v>15.947236723417239</v>
      </c>
      <c r="CB432" s="229">
        <f t="shared" si="15"/>
        <v>18.641337601585352</v>
      </c>
      <c r="CC432" s="229">
        <f t="shared" si="15"/>
        <v>3.7528401822290141</v>
      </c>
      <c r="CD432" s="229">
        <f t="shared" si="15"/>
        <v>3.6114098637861383</v>
      </c>
      <c r="CE432" s="229">
        <f t="shared" si="15"/>
        <v>4.807576928486391</v>
      </c>
      <c r="CF432" s="229">
        <f t="shared" si="15"/>
        <v>5.154957508184518</v>
      </c>
      <c r="CG432" s="229">
        <f t="shared" si="15"/>
        <v>5.219831617028051</v>
      </c>
      <c r="CH432" s="229">
        <f t="shared" si="15"/>
        <v>11.08609169005944</v>
      </c>
      <c r="CI432" s="229">
        <f t="shared" si="15"/>
        <v>10.647823089350718</v>
      </c>
      <c r="CJ432" s="229">
        <f t="shared" si="15"/>
        <v>11.666715615561934</v>
      </c>
      <c r="CK432" s="229">
        <f t="shared" si="15"/>
        <v>13.205027474658035</v>
      </c>
      <c r="CL432" s="229">
        <f t="shared" si="15"/>
        <v>15.618100509046453</v>
      </c>
      <c r="CM432" s="229">
        <f t="shared" si="15"/>
        <v>22.360310956252036</v>
      </c>
      <c r="CN432" s="229">
        <f t="shared" si="15"/>
        <v>24.009383889275647</v>
      </c>
      <c r="CO432" s="229">
        <f t="shared" si="15"/>
        <v>27.163793761663317</v>
      </c>
      <c r="CP432" s="229">
        <f t="shared" si="15"/>
        <v>33.455741377798361</v>
      </c>
      <c r="CQ432" s="229">
        <f t="shared" si="15"/>
        <v>39.107701262067089</v>
      </c>
      <c r="CR432" s="229">
        <f t="shared" si="15"/>
        <v>15.640585695271039</v>
      </c>
      <c r="CS432" s="229">
        <f t="shared" si="15"/>
        <v>17.822800738028715</v>
      </c>
      <c r="CT432" s="229">
        <f t="shared" si="15"/>
        <v>24.520444346592846</v>
      </c>
      <c r="CU432" s="229">
        <f t="shared" si="15"/>
        <v>27.940051374842007</v>
      </c>
      <c r="CV432" s="229">
        <f t="shared" si="15"/>
        <v>33.211156112463726</v>
      </c>
      <c r="CW432" s="229">
        <f t="shared" si="15"/>
        <v>37.63560008093944</v>
      </c>
      <c r="CX432" s="229">
        <f t="shared" si="15"/>
        <v>47.95130550235983</v>
      </c>
      <c r="CY432" s="229">
        <f t="shared" si="15"/>
        <v>52.458508890135704</v>
      </c>
      <c r="CZ432" s="229">
        <f t="shared" si="15"/>
        <v>56.947052244363633</v>
      </c>
      <c r="DA432" s="229">
        <f t="shared" si="15"/>
        <v>12.605845187233374</v>
      </c>
      <c r="DB432" s="229">
        <f t="shared" si="15"/>
        <v>14.364645370948523</v>
      </c>
      <c r="DC432" s="229">
        <f t="shared" si="15"/>
        <v>19.76274618979124</v>
      </c>
      <c r="DD432" s="229">
        <f t="shared" si="15"/>
        <v>22.518847376738325</v>
      </c>
      <c r="DE432" s="229">
        <f t="shared" si="15"/>
        <v>26.767200448851355</v>
      </c>
      <c r="DF432" s="229">
        <f t="shared" si="15"/>
        <v>34.208667922078767</v>
      </c>
      <c r="DG432" s="229">
        <f t="shared" si="15"/>
        <v>43.585070593603476</v>
      </c>
      <c r="DH432" s="229">
        <f t="shared" si="15"/>
        <v>49.308748527897464</v>
      </c>
      <c r="DI432" s="229">
        <f t="shared" si="15"/>
        <v>53.527786777225344</v>
      </c>
      <c r="DJ432" s="229">
        <f t="shared" si="15"/>
        <v>6.4955128509897992</v>
      </c>
      <c r="DK432" s="229">
        <f t="shared" si="15"/>
        <v>7.4017836345795356</v>
      </c>
      <c r="DL432" s="229">
        <f t="shared" si="15"/>
        <v>10.183305438071297</v>
      </c>
      <c r="DM432" s="229">
        <f t="shared" si="15"/>
        <v>11.603463342007316</v>
      </c>
      <c r="DN432" s="229">
        <f t="shared" si="15"/>
        <v>13.792545594373838</v>
      </c>
      <c r="DO432" s="229">
        <f t="shared" si="15"/>
        <v>15.423597858961847</v>
      </c>
      <c r="DP432" s="229">
        <f t="shared" si="15"/>
        <v>19.651118921714239</v>
      </c>
      <c r="DQ432" s="229">
        <f t="shared" si="15"/>
        <v>21.640023451107719</v>
      </c>
      <c r="DR432" s="229">
        <f t="shared" si="15"/>
        <v>23.49162361096414</v>
      </c>
      <c r="DS432" s="229">
        <f t="shared" si="15"/>
        <v>44.207626305667148</v>
      </c>
      <c r="DT432" s="229">
        <f t="shared" si="15"/>
        <v>50.37558887486972</v>
      </c>
      <c r="DU432" s="229">
        <f t="shared" si="15"/>
        <v>69.306269064516613</v>
      </c>
      <c r="DV432" s="229">
        <f t="shared" si="15"/>
        <v>78.971681381062965</v>
      </c>
      <c r="DW432" s="229">
        <f t="shared" si="15"/>
        <v>93.87029406724055</v>
      </c>
      <c r="DX432" s="229">
        <f t="shared" si="15"/>
        <v>21.042967453810526</v>
      </c>
      <c r="DY432" s="229">
        <f t="shared" si="15"/>
        <v>29.14707142880896</v>
      </c>
      <c r="DZ432" s="229">
        <f t="shared" si="15"/>
        <v>40.396770555432141</v>
      </c>
      <c r="EA432" s="229">
        <f t="shared" ref="EA432:EI432" si="16">EA429</f>
        <v>14.891020571316966</v>
      </c>
      <c r="EB432" s="229">
        <f t="shared" si="16"/>
        <v>20.625876136183635</v>
      </c>
      <c r="EC432" s="229">
        <f t="shared" si="16"/>
        <v>28.586706826217238</v>
      </c>
      <c r="ED432" s="229">
        <f t="shared" si="16"/>
        <v>8.689903647734182</v>
      </c>
      <c r="EE432" s="229">
        <f t="shared" si="16"/>
        <v>12.036574351309472</v>
      </c>
      <c r="EF432" s="229">
        <f t="shared" si="16"/>
        <v>16.682249999999982</v>
      </c>
      <c r="EG432" s="229">
        <f t="shared" si="16"/>
        <v>57.754733495385736</v>
      </c>
      <c r="EH432" s="229">
        <f t="shared" si="16"/>
        <v>79.997336223461218</v>
      </c>
      <c r="EI432" s="229">
        <f t="shared" si="16"/>
        <v>110.87337005222366</v>
      </c>
    </row>
    <row r="433" spans="1:7" outlineLevel="1"/>
    <row r="434" spans="1:7" outlineLevel="1">
      <c r="A434" s="61" t="s">
        <v>1594</v>
      </c>
      <c r="B434" s="61" t="s">
        <v>1595</v>
      </c>
      <c r="C434" s="49" t="s">
        <v>1596</v>
      </c>
      <c r="D434" s="61" t="s">
        <v>1597</v>
      </c>
    </row>
    <row r="435" spans="1:7" outlineLevel="1">
      <c r="A435" t="s">
        <v>1598</v>
      </c>
      <c r="B435">
        <v>14.1</v>
      </c>
      <c r="C435">
        <f>2018-B435</f>
        <v>2003.9</v>
      </c>
      <c r="D435" t="s">
        <v>1599</v>
      </c>
    </row>
    <row r="436" spans="1:7" outlineLevel="1">
      <c r="A436" t="s">
        <v>1600</v>
      </c>
      <c r="B436">
        <v>12.3</v>
      </c>
      <c r="C436">
        <f t="shared" ref="C436:C439" si="17">2018-B436</f>
        <v>2005.7</v>
      </c>
      <c r="D436" t="s">
        <v>1599</v>
      </c>
    </row>
    <row r="437" spans="1:7" outlineLevel="1">
      <c r="A437" t="s">
        <v>1601</v>
      </c>
      <c r="B437">
        <v>17</v>
      </c>
      <c r="C437">
        <f t="shared" si="17"/>
        <v>2001</v>
      </c>
      <c r="D437" t="s">
        <v>1599</v>
      </c>
    </row>
    <row r="438" spans="1:7" outlineLevel="1">
      <c r="A438" t="s">
        <v>1602</v>
      </c>
      <c r="B438">
        <v>17.8</v>
      </c>
      <c r="C438">
        <f t="shared" si="17"/>
        <v>2000.2</v>
      </c>
      <c r="D438" t="s">
        <v>1599</v>
      </c>
    </row>
    <row r="439" spans="1:7" outlineLevel="1">
      <c r="A439" t="s">
        <v>1603</v>
      </c>
      <c r="B439">
        <v>15.8</v>
      </c>
      <c r="C439">
        <f t="shared" si="17"/>
        <v>2002.2</v>
      </c>
      <c r="D439" t="s">
        <v>1599</v>
      </c>
    </row>
    <row r="440" spans="1:7" outlineLevel="1"/>
    <row r="441" spans="1:7" outlineLevel="1">
      <c r="A441" t="s">
        <v>1604</v>
      </c>
    </row>
    <row r="442" spans="1:7" outlineLevel="1"/>
    <row r="443" spans="1:7" outlineLevel="1">
      <c r="A443" s="61" t="s">
        <v>1605</v>
      </c>
    </row>
    <row r="444" spans="1:7" outlineLevel="1">
      <c r="D444" t="s">
        <v>1590</v>
      </c>
      <c r="E444" t="s">
        <v>1591</v>
      </c>
      <c r="F444" t="s">
        <v>1592</v>
      </c>
      <c r="G444" t="s">
        <v>1593</v>
      </c>
    </row>
    <row r="445" spans="1:7" outlineLevel="1">
      <c r="A445" t="s">
        <v>1492</v>
      </c>
      <c r="B445" s="254" t="s">
        <v>1493</v>
      </c>
      <c r="C445" s="258" t="s">
        <v>1497</v>
      </c>
      <c r="D445" s="229">
        <v>8.3391349411764697</v>
      </c>
      <c r="E445" s="229">
        <v>7.3744225745435292</v>
      </c>
      <c r="F445" s="229">
        <v>6.9241066726685254</v>
      </c>
      <c r="G445" s="229">
        <v>8.3391349411764715</v>
      </c>
    </row>
    <row r="446" spans="1:7" outlineLevel="1">
      <c r="B446" s="254" t="s">
        <v>1493</v>
      </c>
      <c r="C446" s="258" t="s">
        <v>1498</v>
      </c>
      <c r="D446" s="229">
        <v>8.6305563235294134</v>
      </c>
      <c r="E446" s="229">
        <v>7.6321308903205853</v>
      </c>
      <c r="F446" s="229">
        <v>7.1660781424123199</v>
      </c>
      <c r="G446" s="229">
        <v>8.6305563235294134</v>
      </c>
    </row>
    <row r="447" spans="1:7" outlineLevel="1">
      <c r="B447" s="254" t="s">
        <v>1493</v>
      </c>
      <c r="C447" s="258" t="s">
        <v>1499</v>
      </c>
      <c r="D447" s="229">
        <v>9.7177822499999991</v>
      </c>
      <c r="E447" s="229">
        <v>8.5935811453350031</v>
      </c>
      <c r="F447" s="229">
        <v>8.0688178564564694</v>
      </c>
      <c r="G447" s="229">
        <v>9.7177822499999991</v>
      </c>
    </row>
    <row r="448" spans="1:7" outlineLevel="1">
      <c r="B448" s="254" t="s">
        <v>1493</v>
      </c>
      <c r="C448" s="258" t="s">
        <v>1500</v>
      </c>
      <c r="D448" s="229">
        <v>10.793799661764703</v>
      </c>
      <c r="E448" s="229">
        <v>9.5451195420502923</v>
      </c>
      <c r="F448" s="229">
        <v>8.9622509755104716</v>
      </c>
      <c r="G448" s="229">
        <v>10.793799661764703</v>
      </c>
    </row>
    <row r="449" spans="2:7" ht="15.75" outlineLevel="1" thickBot="1">
      <c r="B449" s="270" t="s">
        <v>1493</v>
      </c>
      <c r="C449" s="271" t="s">
        <v>1501</v>
      </c>
      <c r="D449" s="272">
        <v>12.912208941176473</v>
      </c>
      <c r="E449" s="272">
        <v>11.418460760583528</v>
      </c>
      <c r="F449" s="272">
        <v>10.721197428648036</v>
      </c>
      <c r="G449" s="272">
        <v>12.912208941176473</v>
      </c>
    </row>
    <row r="450" spans="2:7" outlineLevel="1">
      <c r="B450" s="254" t="s">
        <v>1493</v>
      </c>
      <c r="C450" s="258" t="s">
        <v>1502</v>
      </c>
      <c r="D450" s="229">
        <v>7.9995578274732084</v>
      </c>
      <c r="E450" s="229">
        <v>7.3369174180646199</v>
      </c>
      <c r="F450" s="229">
        <v>6.9680530146988868</v>
      </c>
      <c r="G450" s="229">
        <v>7.9995578274732084</v>
      </c>
    </row>
    <row r="451" spans="2:7" outlineLevel="1">
      <c r="B451" s="254" t="s">
        <v>1493</v>
      </c>
      <c r="C451" s="258" t="s">
        <v>1503</v>
      </c>
      <c r="D451" s="229">
        <v>7.6980848214285729</v>
      </c>
      <c r="E451" s="229">
        <v>7.0604168168027739</v>
      </c>
      <c r="F451" s="229">
        <v>6.7054535143358409</v>
      </c>
      <c r="G451" s="229">
        <v>7.6980848214285729</v>
      </c>
    </row>
    <row r="452" spans="2:7" outlineLevel="1">
      <c r="B452" s="254" t="s">
        <v>1493</v>
      </c>
      <c r="C452" s="258" t="s">
        <v>1504</v>
      </c>
      <c r="D452" s="229">
        <v>8.1590732142857014</v>
      </c>
      <c r="E452" s="229">
        <v>7.4832194068988649</v>
      </c>
      <c r="F452" s="229">
        <v>7.1069996534933884</v>
      </c>
      <c r="G452" s="229">
        <v>8.1590732142857014</v>
      </c>
    </row>
    <row r="453" spans="2:7" outlineLevel="1">
      <c r="B453" s="254" t="s">
        <v>1493</v>
      </c>
      <c r="C453" s="258" t="s">
        <v>1505</v>
      </c>
      <c r="D453" s="229">
        <v>10.030575892857154</v>
      </c>
      <c r="E453" s="229">
        <v>9.1987820268207177</v>
      </c>
      <c r="F453" s="229">
        <v>8.7323354629688605</v>
      </c>
      <c r="G453" s="229">
        <v>10.030575892857154</v>
      </c>
    </row>
    <row r="454" spans="2:7" ht="15.75" outlineLevel="1" thickBot="1">
      <c r="B454" s="270" t="s">
        <v>1493</v>
      </c>
      <c r="C454" s="271" t="s">
        <v>1506</v>
      </c>
      <c r="D454" s="272">
        <v>11.126598214285696</v>
      </c>
      <c r="E454" s="272">
        <v>10.203915783749949</v>
      </c>
      <c r="F454" s="272">
        <v>9.6865014737590922</v>
      </c>
      <c r="G454" s="272">
        <v>11.126598214285696</v>
      </c>
    </row>
    <row r="455" spans="2:7" outlineLevel="1">
      <c r="B455" s="254" t="s">
        <v>1493</v>
      </c>
      <c r="C455" s="258" t="s">
        <v>1507</v>
      </c>
      <c r="D455" s="229">
        <v>6.3456766917293219</v>
      </c>
      <c r="E455" s="229">
        <v>5.7625433610360908</v>
      </c>
      <c r="F455" s="229">
        <v>5.2280250070846028</v>
      </c>
      <c r="G455" s="229">
        <v>6.3456766917293219</v>
      </c>
    </row>
    <row r="456" spans="2:7" outlineLevel="1">
      <c r="B456" s="254" t="s">
        <v>1493</v>
      </c>
      <c r="C456" s="258" t="s">
        <v>1508</v>
      </c>
      <c r="D456" s="229">
        <v>6.5674342105263124</v>
      </c>
      <c r="E456" s="229">
        <v>5.9639225645131546</v>
      </c>
      <c r="F456" s="229">
        <v>5.4107248057192789</v>
      </c>
      <c r="G456" s="229">
        <v>6.5674342105263124</v>
      </c>
    </row>
    <row r="457" spans="2:7" outlineLevel="1">
      <c r="B457" s="254" t="s">
        <v>1493</v>
      </c>
      <c r="C457" s="258" t="s">
        <v>1509</v>
      </c>
      <c r="D457" s="229">
        <v>7.3947603383458658</v>
      </c>
      <c r="E457" s="229">
        <v>6.71522190056222</v>
      </c>
      <c r="F457" s="229">
        <v>6.0923355929332663</v>
      </c>
      <c r="G457" s="229">
        <v>7.3947603383458658</v>
      </c>
    </row>
    <row r="458" spans="2:7" outlineLevel="1">
      <c r="B458" s="254" t="s">
        <v>1493</v>
      </c>
      <c r="C458" s="258" t="s">
        <v>1510</v>
      </c>
      <c r="D458" s="229">
        <v>8.2135573308270544</v>
      </c>
      <c r="E458" s="229">
        <v>7.4587758826313868</v>
      </c>
      <c r="F458" s="229">
        <v>6.7669194648151514</v>
      </c>
      <c r="G458" s="229">
        <v>8.2135573308270544</v>
      </c>
    </row>
    <row r="459" spans="2:7" s="102" customFormat="1" ht="15.75" outlineLevel="1" thickBot="1">
      <c r="B459" s="270" t="s">
        <v>1493</v>
      </c>
      <c r="C459" s="271" t="s">
        <v>1511</v>
      </c>
      <c r="D459" s="272">
        <v>9.8255639097744307</v>
      </c>
      <c r="E459" s="272">
        <v>8.9226477848300707</v>
      </c>
      <c r="F459" s="272">
        <v>8.0950064625826101</v>
      </c>
      <c r="G459" s="272">
        <v>9.8255639097744307</v>
      </c>
    </row>
    <row r="460" spans="2:7" outlineLevel="1">
      <c r="B460" s="254" t="s">
        <v>1493</v>
      </c>
      <c r="C460" s="258" t="s">
        <v>1512</v>
      </c>
      <c r="D460" s="229">
        <v>7.1710321953420628</v>
      </c>
      <c r="E460" s="229">
        <v>6.5463779435336846</v>
      </c>
      <c r="F460" s="229">
        <v>6.08532057594131</v>
      </c>
      <c r="G460" s="229">
        <v>7.1710321953420628</v>
      </c>
    </row>
    <row r="461" spans="2:7" outlineLevel="1">
      <c r="B461" s="254" t="s">
        <v>1493</v>
      </c>
      <c r="C461" s="258" t="s">
        <v>1513</v>
      </c>
      <c r="D461" s="229">
        <v>6.900783179209192</v>
      </c>
      <c r="E461" s="229">
        <v>6.2996697779193847</v>
      </c>
      <c r="F461" s="229">
        <v>5.855987914519214</v>
      </c>
      <c r="G461" s="229">
        <v>6.900783179209192</v>
      </c>
    </row>
    <row r="462" spans="2:7" outlineLevel="1">
      <c r="B462" s="254" t="s">
        <v>1493</v>
      </c>
      <c r="C462" s="258" t="s">
        <v>1514</v>
      </c>
      <c r="D462" s="229">
        <v>7.3140263456632724</v>
      </c>
      <c r="E462" s="229">
        <v>6.6769161598207516</v>
      </c>
      <c r="F462" s="229">
        <v>6.2066650660349465</v>
      </c>
      <c r="G462" s="229">
        <v>7.3140263456632724</v>
      </c>
    </row>
    <row r="463" spans="2:7" outlineLevel="1">
      <c r="B463" s="254" t="s">
        <v>1493</v>
      </c>
      <c r="C463" s="258" t="s">
        <v>1515</v>
      </c>
      <c r="D463" s="229">
        <v>8.9916948182398126</v>
      </c>
      <c r="E463" s="229">
        <v>8.2084462919223284</v>
      </c>
      <c r="F463" s="229">
        <v>7.6303304739812834</v>
      </c>
      <c r="G463" s="229">
        <v>8.9916948182398126</v>
      </c>
    </row>
    <row r="464" spans="2:7" s="102" customFormat="1" ht="15.75" outlineLevel="1" thickBot="1">
      <c r="B464" s="270" t="s">
        <v>1493</v>
      </c>
      <c r="C464" s="271" t="s">
        <v>1516</v>
      </c>
      <c r="D464" s="272">
        <v>9.9742005420918254</v>
      </c>
      <c r="E464" s="272">
        <v>9.1053679100121574</v>
      </c>
      <c r="F464" s="272">
        <v>8.4640824547938216</v>
      </c>
      <c r="G464" s="272">
        <v>9.9742005420918254</v>
      </c>
    </row>
    <row r="465" spans="2:7" outlineLevel="1">
      <c r="B465" s="254" t="s">
        <v>1493</v>
      </c>
      <c r="C465" s="258" t="s">
        <v>1517</v>
      </c>
      <c r="D465" s="229">
        <v>3.3209041353383446</v>
      </c>
      <c r="E465" s="229">
        <v>3.0157310256088863</v>
      </c>
      <c r="F465" s="229">
        <v>2.7359997537076075</v>
      </c>
      <c r="G465" s="229">
        <v>3.3209041353383446</v>
      </c>
    </row>
    <row r="466" spans="2:7" outlineLevel="1">
      <c r="B466" s="254" t="s">
        <v>1493</v>
      </c>
      <c r="C466" s="258" t="s">
        <v>1518</v>
      </c>
      <c r="D466" s="229">
        <v>3.4369572368421033</v>
      </c>
      <c r="E466" s="229">
        <v>3.1211194754285505</v>
      </c>
      <c r="F466" s="229">
        <v>2.8316126483264226</v>
      </c>
      <c r="G466" s="229">
        <v>3.4369572368421033</v>
      </c>
    </row>
    <row r="467" spans="2:7" outlineLevel="1">
      <c r="B467" s="254" t="s">
        <v>1493</v>
      </c>
      <c r="C467" s="258" t="s">
        <v>1519</v>
      </c>
      <c r="D467" s="229">
        <v>3.8699245770676698</v>
      </c>
      <c r="E467" s="229">
        <v>3.5142994612942284</v>
      </c>
      <c r="F467" s="229">
        <v>3.1883222936350761</v>
      </c>
      <c r="G467" s="229">
        <v>3.8699245770676698</v>
      </c>
    </row>
    <row r="468" spans="2:7" outlineLevel="1">
      <c r="B468" s="254" t="s">
        <v>1493</v>
      </c>
      <c r="C468" s="258" t="s">
        <v>1520</v>
      </c>
      <c r="D468" s="229">
        <v>4.29842833646617</v>
      </c>
      <c r="E468" s="229">
        <v>3.9034260452437635</v>
      </c>
      <c r="F468" s="229">
        <v>3.5413545199199277</v>
      </c>
      <c r="G468" s="229">
        <v>4.29842833646617</v>
      </c>
    </row>
    <row r="469" spans="2:7" s="102" customFormat="1" ht="15.75" outlineLevel="1" thickBot="1">
      <c r="B469" s="270" t="s">
        <v>1493</v>
      </c>
      <c r="C469" s="271" t="s">
        <v>1521</v>
      </c>
      <c r="D469" s="272">
        <v>5.1420451127819522</v>
      </c>
      <c r="E469" s="272">
        <v>4.6695190073944053</v>
      </c>
      <c r="F469" s="272">
        <v>4.2363867154182309</v>
      </c>
      <c r="G469" s="272">
        <v>5.1420451127819522</v>
      </c>
    </row>
    <row r="470" spans="2:7" outlineLevel="1">
      <c r="B470" s="254" t="s">
        <v>1493</v>
      </c>
      <c r="C470" s="258" t="s">
        <v>1522</v>
      </c>
      <c r="D470" s="229">
        <v>10.164334131149918</v>
      </c>
      <c r="E470" s="229">
        <v>9.3418715941489463</v>
      </c>
      <c r="F470" s="229">
        <v>8.9573469685338072</v>
      </c>
      <c r="G470" s="229">
        <v>10.164334131149918</v>
      </c>
    </row>
    <row r="471" spans="2:7" outlineLevel="1">
      <c r="B471" s="254" t="s">
        <v>1493</v>
      </c>
      <c r="C471" s="258" t="s">
        <v>1523</v>
      </c>
      <c r="D471" s="229">
        <v>10.519539356163223</v>
      </c>
      <c r="E471" s="229">
        <v>9.6683348487831839</v>
      </c>
      <c r="F471" s="229">
        <v>9.2703725346384811</v>
      </c>
      <c r="G471" s="229">
        <v>10.519539356163223</v>
      </c>
    </row>
    <row r="472" spans="2:7" outlineLevel="1">
      <c r="B472" s="254" t="s">
        <v>1493</v>
      </c>
      <c r="C472" s="258" t="s">
        <v>1524</v>
      </c>
      <c r="D472" s="229">
        <v>11.844728080251302</v>
      </c>
      <c r="E472" s="229">
        <v>10.88629391414937</v>
      </c>
      <c r="F472" s="229">
        <v>10.438198685105926</v>
      </c>
      <c r="G472" s="229">
        <v>11.844728080251302</v>
      </c>
    </row>
    <row r="473" spans="2:7" outlineLevel="1">
      <c r="B473" s="254" t="s">
        <v>1493</v>
      </c>
      <c r="C473" s="258" t="s">
        <v>1525</v>
      </c>
      <c r="D473" s="229">
        <v>13.156255064915806</v>
      </c>
      <c r="E473" s="229">
        <v>12.091696700491163</v>
      </c>
      <c r="F473" s="229">
        <v>11.593985390723192</v>
      </c>
      <c r="G473" s="229">
        <v>13.156255064915806</v>
      </c>
    </row>
    <row r="474" spans="2:7" outlineLevel="1">
      <c r="B474" s="254" t="s">
        <v>1493</v>
      </c>
      <c r="C474" s="258" t="s">
        <v>1526</v>
      </c>
      <c r="D474" s="229">
        <v>15.738323815974061</v>
      </c>
      <c r="E474" s="229">
        <v>14.464833436101587</v>
      </c>
      <c r="F474" s="229">
        <v>13.869440467407181</v>
      </c>
      <c r="G474" s="229">
        <v>15.738323815974061</v>
      </c>
    </row>
    <row r="475" spans="2:7" outlineLevel="1">
      <c r="B475" s="254" t="s">
        <v>1493</v>
      </c>
      <c r="C475" s="258" t="s">
        <v>1527</v>
      </c>
      <c r="D475" s="229">
        <v>3.7528401822290141</v>
      </c>
      <c r="E475" s="229">
        <v>3.4259377904492951</v>
      </c>
      <c r="F475" s="229">
        <v>3.1846511014092851</v>
      </c>
      <c r="G475" s="229">
        <v>3.7528401822290141</v>
      </c>
    </row>
    <row r="476" spans="2:7" outlineLevel="1">
      <c r="B476" s="254" t="s">
        <v>1493</v>
      </c>
      <c r="C476" s="258" t="s">
        <v>1528</v>
      </c>
      <c r="D476" s="229">
        <v>3.6114098637861383</v>
      </c>
      <c r="E476" s="229">
        <v>3.2968271837778063</v>
      </c>
      <c r="F476" s="229">
        <v>3.0646336752650551</v>
      </c>
      <c r="G476" s="229">
        <v>3.6114098637861383</v>
      </c>
    </row>
    <row r="477" spans="2:7" outlineLevel="1">
      <c r="B477" s="254" t="s">
        <v>1493</v>
      </c>
      <c r="C477" s="258" t="s">
        <v>1529</v>
      </c>
      <c r="D477" s="229">
        <v>3.8276737875637794</v>
      </c>
      <c r="E477" s="229">
        <v>3.4942527903061933</v>
      </c>
      <c r="F477" s="229">
        <v>3.2481547178916212</v>
      </c>
      <c r="G477" s="229">
        <v>3.8276737875637794</v>
      </c>
    </row>
    <row r="478" spans="2:7" outlineLevel="1">
      <c r="B478" s="254" t="s">
        <v>1493</v>
      </c>
      <c r="C478" s="258" t="s">
        <v>1530</v>
      </c>
      <c r="D478" s="229">
        <v>4.7056536215454887</v>
      </c>
      <c r="E478" s="229">
        <v>4.2957535594393415</v>
      </c>
      <c r="F478" s="229">
        <v>3.9932062813835394</v>
      </c>
      <c r="G478" s="229">
        <v>4.7056536215454887</v>
      </c>
    </row>
    <row r="479" spans="2:7" outlineLevel="1">
      <c r="B479" s="254" t="s">
        <v>1493</v>
      </c>
      <c r="C479" s="258" t="s">
        <v>1531</v>
      </c>
      <c r="D479" s="229">
        <v>5.219831617028051</v>
      </c>
      <c r="E479" s="229">
        <v>4.7651425395730271</v>
      </c>
      <c r="F479" s="229">
        <v>4.4295364846754337</v>
      </c>
      <c r="G479" s="229">
        <v>5.219831617028051</v>
      </c>
    </row>
    <row r="480" spans="2:7" outlineLevel="1">
      <c r="B480" s="254" t="s">
        <v>1493</v>
      </c>
      <c r="C480" s="258" t="s">
        <v>1532</v>
      </c>
      <c r="D480" s="229">
        <v>11.08609169005944</v>
      </c>
      <c r="E480" s="229">
        <v>10.189043739924792</v>
      </c>
      <c r="F480" s="229">
        <v>9.7696483125754376</v>
      </c>
      <c r="G480" s="229">
        <v>11.08609169005944</v>
      </c>
    </row>
    <row r="481" spans="2:7" outlineLevel="1">
      <c r="B481" s="254" t="s">
        <v>1493</v>
      </c>
      <c r="C481" s="258" t="s">
        <v>1533</v>
      </c>
      <c r="D481" s="229">
        <v>10.647823089350718</v>
      </c>
      <c r="E481" s="229">
        <v>9.786238308822238</v>
      </c>
      <c r="F481" s="229">
        <v>9.3834229217816691</v>
      </c>
      <c r="G481" s="229">
        <v>10.647823089350718</v>
      </c>
    </row>
    <row r="482" spans="2:7" outlineLevel="1">
      <c r="B482" s="254" t="s">
        <v>1493</v>
      </c>
      <c r="C482" s="258" t="s">
        <v>1534</v>
      </c>
      <c r="D482" s="229">
        <v>11.666715615561934</v>
      </c>
      <c r="E482" s="229">
        <v>10.722685598461512</v>
      </c>
      <c r="F482" s="229">
        <v>10.281324718708085</v>
      </c>
      <c r="G482" s="229">
        <v>11.666715615561934</v>
      </c>
    </row>
    <row r="483" spans="2:7" outlineLevel="1">
      <c r="B483" s="254" t="s">
        <v>1493</v>
      </c>
      <c r="C483" s="258" t="s">
        <v>1535</v>
      </c>
      <c r="D483" s="229">
        <v>13.205027474658035</v>
      </c>
      <c r="E483" s="229">
        <v>12.136522616608261</v>
      </c>
      <c r="F483" s="229">
        <v>11.636966208838333</v>
      </c>
      <c r="G483" s="229">
        <v>13.205027474658035</v>
      </c>
    </row>
    <row r="484" spans="2:7" outlineLevel="1">
      <c r="B484" s="254" t="s">
        <v>1493</v>
      </c>
      <c r="C484" s="258" t="s">
        <v>1536</v>
      </c>
      <c r="D484" s="229">
        <v>15.618100509046453</v>
      </c>
      <c r="E484" s="229">
        <v>14.354338180686909</v>
      </c>
      <c r="F484" s="229">
        <v>13.763493352725598</v>
      </c>
      <c r="G484" s="229">
        <v>15.618100509046453</v>
      </c>
    </row>
    <row r="485" spans="2:7" outlineLevel="1">
      <c r="B485" s="254" t="s">
        <v>1493</v>
      </c>
      <c r="C485" s="258" t="s">
        <v>1537</v>
      </c>
      <c r="D485" s="229">
        <v>21.323777897517267</v>
      </c>
      <c r="E485" s="229">
        <v>19.598332015697054</v>
      </c>
      <c r="F485" s="229">
        <v>18.791636996924062</v>
      </c>
      <c r="G485" s="229">
        <v>21.323777897517267</v>
      </c>
    </row>
    <row r="486" spans="2:7" outlineLevel="1">
      <c r="B486" s="254" t="s">
        <v>1493</v>
      </c>
      <c r="C486" s="258" t="s">
        <v>1538</v>
      </c>
      <c r="D486" s="229">
        <v>22.068963684258467</v>
      </c>
      <c r="E486" s="229">
        <v>20.283219962482171</v>
      </c>
      <c r="F486" s="229">
        <v>19.448333988752054</v>
      </c>
      <c r="G486" s="229">
        <v>22.068963684258467</v>
      </c>
    </row>
    <row r="487" spans="2:7" outlineLevel="1">
      <c r="B487" s="254" t="s">
        <v>1493</v>
      </c>
      <c r="C487" s="258" t="s">
        <v>1539</v>
      </c>
      <c r="D487" s="229">
        <v>24.849079888639135</v>
      </c>
      <c r="E487" s="229">
        <v>22.838378840872821</v>
      </c>
      <c r="F487" s="229">
        <v>21.898318919802637</v>
      </c>
      <c r="G487" s="229">
        <v>24.849079888639135</v>
      </c>
    </row>
    <row r="488" spans="2:7" outlineLevel="1">
      <c r="B488" s="254" t="s">
        <v>1493</v>
      </c>
      <c r="C488" s="258" t="s">
        <v>1540</v>
      </c>
      <c r="D488" s="229">
        <v>27.600535101221965</v>
      </c>
      <c r="E488" s="229">
        <v>25.367195875156284</v>
      </c>
      <c r="F488" s="229">
        <v>24.323046274244447</v>
      </c>
      <c r="G488" s="229">
        <v>27.600535101221965</v>
      </c>
    </row>
    <row r="489" spans="2:7" outlineLevel="1">
      <c r="B489" s="254" t="s">
        <v>1493</v>
      </c>
      <c r="C489" s="258" t="s">
        <v>1541</v>
      </c>
      <c r="D489" s="229">
        <v>33.017462550994537</v>
      </c>
      <c r="E489" s="229">
        <v>30.345804411401929</v>
      </c>
      <c r="F489" s="229">
        <v>29.096728253301777</v>
      </c>
      <c r="G489" s="229">
        <v>33.017462550994537</v>
      </c>
    </row>
    <row r="490" spans="2:7" outlineLevel="1">
      <c r="B490" s="253" t="s">
        <v>1494</v>
      </c>
      <c r="C490" s="257" t="s">
        <v>1542</v>
      </c>
      <c r="D490" s="229">
        <v>2.6800324742405151</v>
      </c>
      <c r="E490" s="229">
        <v>2.4590110225669086</v>
      </c>
      <c r="F490" s="229">
        <v>2.3396398842602761</v>
      </c>
      <c r="G490" s="229">
        <v>2.6800324742405151</v>
      </c>
    </row>
    <row r="491" spans="2:7" outlineLevel="1">
      <c r="B491" s="253" t="s">
        <v>1494</v>
      </c>
      <c r="C491" s="257" t="s">
        <v>1543</v>
      </c>
      <c r="D491" s="229">
        <v>4.9516369047619087</v>
      </c>
      <c r="E491" s="229">
        <v>4.5912886981149867</v>
      </c>
      <c r="F491" s="229">
        <v>4.5820730656151181</v>
      </c>
      <c r="G491" s="229">
        <v>4.9516369047619087</v>
      </c>
    </row>
    <row r="492" spans="2:7" outlineLevel="1">
      <c r="B492" s="253" t="s">
        <v>1494</v>
      </c>
      <c r="C492" s="257" t="s">
        <v>1544</v>
      </c>
      <c r="D492" s="229">
        <v>5.3600649484810301</v>
      </c>
      <c r="E492" s="229">
        <v>4.9180220451338172</v>
      </c>
      <c r="F492" s="229">
        <v>4.6792797685205523</v>
      </c>
      <c r="G492" s="229">
        <v>5.3600649484810301</v>
      </c>
    </row>
    <row r="493" spans="2:7" outlineLevel="1">
      <c r="B493" s="253" t="s">
        <v>1494</v>
      </c>
      <c r="C493" s="257" t="s">
        <v>1545</v>
      </c>
      <c r="D493" s="229">
        <v>9.9032738095238173</v>
      </c>
      <c r="E493" s="229">
        <v>9.1825773962299735</v>
      </c>
      <c r="F493" s="229">
        <v>9.1641461312302361</v>
      </c>
      <c r="G493" s="229">
        <v>9.9032738095238173</v>
      </c>
    </row>
    <row r="494" spans="2:7" outlineLevel="1">
      <c r="B494" s="259" t="s">
        <v>1495</v>
      </c>
      <c r="C494" s="260" t="s">
        <v>1497</v>
      </c>
      <c r="D494" s="229">
        <v>8.4285714285714324</v>
      </c>
      <c r="E494" s="229">
        <v>7.9024925290238111</v>
      </c>
      <c r="F494" s="229">
        <v>7.4246181633231068</v>
      </c>
      <c r="G494" s="229">
        <v>8.4285714285714324</v>
      </c>
    </row>
    <row r="495" spans="2:7" outlineLevel="1">
      <c r="B495" s="259" t="s">
        <v>1495</v>
      </c>
      <c r="C495" s="260" t="s">
        <v>1498</v>
      </c>
      <c r="D495" s="229">
        <v>9.0501785714285639</v>
      </c>
      <c r="E495" s="229">
        <v>8.4853013530393113</v>
      </c>
      <c r="F495" s="229">
        <v>7.9721837528681867</v>
      </c>
      <c r="G495" s="229">
        <v>9.0501785714285639</v>
      </c>
    </row>
    <row r="496" spans="2:7" outlineLevel="1">
      <c r="B496" s="259" t="s">
        <v>1495</v>
      </c>
      <c r="C496" s="260" t="s">
        <v>1499</v>
      </c>
      <c r="D496" s="229">
        <v>12.210892857142868</v>
      </c>
      <c r="E496" s="229">
        <v>11.448736051423253</v>
      </c>
      <c r="F496" s="229">
        <v>10.756415564114352</v>
      </c>
      <c r="G496" s="229">
        <v>12.210892857142868</v>
      </c>
    </row>
    <row r="497" spans="2:7" outlineLevel="1">
      <c r="B497" s="259" t="s">
        <v>1495</v>
      </c>
      <c r="C497" s="260" t="s">
        <v>1500</v>
      </c>
      <c r="D497" s="229">
        <v>12.916785714285732</v>
      </c>
      <c r="E497" s="229">
        <v>12.110569800729001</v>
      </c>
      <c r="F497" s="229">
        <v>11.37822733529266</v>
      </c>
      <c r="G497" s="229">
        <v>12.916785714285732</v>
      </c>
    </row>
    <row r="498" spans="2:7" outlineLevel="1">
      <c r="B498" s="259" t="s">
        <v>1495</v>
      </c>
      <c r="C498" s="260" t="s">
        <v>1501</v>
      </c>
      <c r="D498" s="229">
        <v>14.750000000000004</v>
      </c>
      <c r="E498" s="229">
        <v>13.829361925791668</v>
      </c>
      <c r="F498" s="229">
        <v>12.993081785815434</v>
      </c>
      <c r="G498" s="229">
        <v>14.750000000000004</v>
      </c>
    </row>
    <row r="499" spans="2:7" outlineLevel="1">
      <c r="B499" s="259" t="s">
        <v>1495</v>
      </c>
      <c r="C499" s="260" t="s">
        <v>1502</v>
      </c>
      <c r="D499" s="229">
        <v>7.9995578274732084</v>
      </c>
      <c r="E499" s="229">
        <v>7.3358230686156602</v>
      </c>
      <c r="F499" s="229">
        <v>6.9622571162754117</v>
      </c>
      <c r="G499" s="229">
        <v>7.9995578274732084</v>
      </c>
    </row>
    <row r="500" spans="2:7" outlineLevel="1">
      <c r="B500" s="259" t="s">
        <v>1495</v>
      </c>
      <c r="C500" s="260" t="s">
        <v>1503</v>
      </c>
      <c r="D500" s="229">
        <v>7.6980848214285729</v>
      </c>
      <c r="E500" s="229">
        <v>7.0593637092355719</v>
      </c>
      <c r="F500" s="229">
        <v>6.699876041350139</v>
      </c>
      <c r="G500" s="229">
        <v>7.6980848214285729</v>
      </c>
    </row>
    <row r="501" spans="2:7" outlineLevel="1">
      <c r="B501" s="259" t="s">
        <v>1495</v>
      </c>
      <c r="C501" s="260" t="s">
        <v>1504</v>
      </c>
      <c r="D501" s="229">
        <v>10.247835714285705</v>
      </c>
      <c r="E501" s="229">
        <v>9.3975581222826321</v>
      </c>
      <c r="F501" s="229">
        <v>8.9190013581967413</v>
      </c>
      <c r="G501" s="229">
        <v>10.247835714285705</v>
      </c>
    </row>
    <row r="502" spans="2:7" outlineLevel="1">
      <c r="B502" s="259" t="s">
        <v>1495</v>
      </c>
      <c r="C502" s="260" t="s">
        <v>1505</v>
      </c>
      <c r="D502" s="229">
        <v>10.988312500000005</v>
      </c>
      <c r="E502" s="229">
        <v>10.076596489598629</v>
      </c>
      <c r="F502" s="229">
        <v>9.5634606998206788</v>
      </c>
      <c r="G502" s="229">
        <v>10.988312500000005</v>
      </c>
    </row>
    <row r="503" spans="2:7" outlineLevel="1">
      <c r="B503" s="259" t="s">
        <v>1495</v>
      </c>
      <c r="C503" s="260" t="s">
        <v>1506</v>
      </c>
      <c r="D503" s="229">
        <v>11.126598214285696</v>
      </c>
      <c r="E503" s="229">
        <v>10.20340844030834</v>
      </c>
      <c r="F503" s="229">
        <v>9.68381493928357</v>
      </c>
      <c r="G503" s="229">
        <v>11.126598214285696</v>
      </c>
    </row>
    <row r="504" spans="2:7" outlineLevel="1">
      <c r="B504" s="259" t="s">
        <v>1495</v>
      </c>
      <c r="C504" s="260" t="s">
        <v>1507</v>
      </c>
      <c r="D504" s="229">
        <v>6.6541353383458715</v>
      </c>
      <c r="E504" s="229">
        <v>6.2319919842177498</v>
      </c>
      <c r="F504" s="229">
        <v>5.8257980662121289</v>
      </c>
      <c r="G504" s="229">
        <v>6.6541353383458715</v>
      </c>
    </row>
    <row r="505" spans="2:7" outlineLevel="1">
      <c r="B505" s="259" t="s">
        <v>1495</v>
      </c>
      <c r="C505" s="260" t="s">
        <v>1508</v>
      </c>
      <c r="D505" s="229">
        <v>7.1448778195488787</v>
      </c>
      <c r="E505" s="229">
        <v>6.6916013930538076</v>
      </c>
      <c r="F505" s="229">
        <v>6.2554506735952726</v>
      </c>
      <c r="G505" s="229">
        <v>7.1448778195488787</v>
      </c>
    </row>
    <row r="506" spans="2:7" outlineLevel="1">
      <c r="B506" s="259" t="s">
        <v>1495</v>
      </c>
      <c r="C506" s="260" t="s">
        <v>1509</v>
      </c>
      <c r="D506" s="229">
        <v>9.640178571428569</v>
      </c>
      <c r="E506" s="229">
        <v>9.0285983871354567</v>
      </c>
      <c r="F506" s="229">
        <v>8.4401249484248222</v>
      </c>
      <c r="G506" s="229">
        <v>9.640178571428569</v>
      </c>
    </row>
    <row r="507" spans="2:7" outlineLevel="1">
      <c r="B507" s="259" t="s">
        <v>1495</v>
      </c>
      <c r="C507" s="260" t="s">
        <v>1510</v>
      </c>
      <c r="D507" s="229">
        <v>10.197462406015052</v>
      </c>
      <c r="E507" s="229">
        <v>9.5505277158137023</v>
      </c>
      <c r="F507" s="229">
        <v>8.9280355364700874</v>
      </c>
      <c r="G507" s="229">
        <v>10.197462406015052</v>
      </c>
    </row>
    <row r="508" spans="2:7" outlineLevel="1">
      <c r="B508" s="259" t="s">
        <v>1495</v>
      </c>
      <c r="C508" s="260" t="s">
        <v>1511</v>
      </c>
      <c r="D508" s="229">
        <v>11.644736842105248</v>
      </c>
      <c r="E508" s="229">
        <v>10.905985972381046</v>
      </c>
      <c r="F508" s="229">
        <v>10.195146615871227</v>
      </c>
      <c r="G508" s="229">
        <v>11.644736842105248</v>
      </c>
    </row>
    <row r="509" spans="2:7" outlineLevel="1">
      <c r="B509" s="259" t="s">
        <v>1495</v>
      </c>
      <c r="C509" s="260" t="s">
        <v>1512</v>
      </c>
      <c r="D509" s="229">
        <v>7.1710321953420628</v>
      </c>
      <c r="E509" s="229">
        <v>6.5802938465607825</v>
      </c>
      <c r="F509" s="229">
        <v>6.2637073564452646</v>
      </c>
      <c r="G509" s="229">
        <v>7.1710321953420628</v>
      </c>
    </row>
    <row r="510" spans="2:7" outlineLevel="1">
      <c r="B510" s="259" t="s">
        <v>1495</v>
      </c>
      <c r="C510" s="260" t="s">
        <v>1513</v>
      </c>
      <c r="D510" s="229">
        <v>6.900783179209192</v>
      </c>
      <c r="E510" s="229">
        <v>6.332307519145691</v>
      </c>
      <c r="F510" s="229">
        <v>6.0276519735781831</v>
      </c>
      <c r="G510" s="229">
        <v>6.900783179209192</v>
      </c>
    </row>
    <row r="511" spans="2:7" outlineLevel="1">
      <c r="B511" s="259" t="s">
        <v>1495</v>
      </c>
      <c r="C511" s="260" t="s">
        <v>1514</v>
      </c>
      <c r="D511" s="229">
        <v>9.186452729591851</v>
      </c>
      <c r="E511" s="229">
        <v>8.4296872084216403</v>
      </c>
      <c r="F511" s="229">
        <v>8.0241239997997642</v>
      </c>
      <c r="G511" s="229">
        <v>9.186452729591851</v>
      </c>
    </row>
    <row r="512" spans="2:7" outlineLevel="1">
      <c r="B512" s="259" t="s">
        <v>1495</v>
      </c>
      <c r="C512" s="260" t="s">
        <v>1515</v>
      </c>
      <c r="D512" s="229">
        <v>9.8502372767857018</v>
      </c>
      <c r="E512" s="229">
        <v>9.038790229068935</v>
      </c>
      <c r="F512" s="229">
        <v>8.6039222824031576</v>
      </c>
      <c r="G512" s="229">
        <v>9.8502372767857018</v>
      </c>
    </row>
    <row r="513" spans="2:7" outlineLevel="1">
      <c r="B513" s="259" t="s">
        <v>1495</v>
      </c>
      <c r="C513" s="260" t="s">
        <v>1516</v>
      </c>
      <c r="D513" s="229">
        <v>9.9742005420918254</v>
      </c>
      <c r="E513" s="229">
        <v>9.152541595632778</v>
      </c>
      <c r="F513" s="229">
        <v>8.7122009228660033</v>
      </c>
      <c r="G513" s="229">
        <v>9.9742005420918254</v>
      </c>
    </row>
    <row r="514" spans="2:7" outlineLevel="1">
      <c r="B514" s="259" t="s">
        <v>1495</v>
      </c>
      <c r="C514" s="260" t="s">
        <v>1517</v>
      </c>
      <c r="D514" s="229">
        <v>3.4823308270676656</v>
      </c>
      <c r="E514" s="229">
        <v>3.2614091384072843</v>
      </c>
      <c r="F514" s="229">
        <v>3.0488343213176798</v>
      </c>
      <c r="G514" s="229">
        <v>3.4823308270676656</v>
      </c>
    </row>
    <row r="515" spans="2:7" outlineLevel="1">
      <c r="B515" s="259" t="s">
        <v>1495</v>
      </c>
      <c r="C515" s="260" t="s">
        <v>1518</v>
      </c>
      <c r="D515" s="229">
        <v>3.7391527255639105</v>
      </c>
      <c r="E515" s="229">
        <v>3.5019380623648249</v>
      </c>
      <c r="F515" s="229">
        <v>3.2736858525148591</v>
      </c>
      <c r="G515" s="229">
        <v>3.7391527255639105</v>
      </c>
    </row>
    <row r="516" spans="2:7" outlineLevel="1">
      <c r="B516" s="259" t="s">
        <v>1495</v>
      </c>
      <c r="C516" s="260" t="s">
        <v>1519</v>
      </c>
      <c r="D516" s="229">
        <v>5.045026785714283</v>
      </c>
      <c r="E516" s="229">
        <v>4.7249664892675538</v>
      </c>
      <c r="F516" s="229">
        <v>4.4169987230089891</v>
      </c>
      <c r="G516" s="229">
        <v>5.045026785714283</v>
      </c>
    </row>
    <row r="517" spans="2:7" outlineLevel="1">
      <c r="B517" s="259" t="s">
        <v>1495</v>
      </c>
      <c r="C517" s="260" t="s">
        <v>1520</v>
      </c>
      <c r="D517" s="229">
        <v>5.3366719924811949</v>
      </c>
      <c r="E517" s="229">
        <v>4.998109504609161</v>
      </c>
      <c r="F517" s="229">
        <v>4.672338597419345</v>
      </c>
      <c r="G517" s="229">
        <v>5.3366719924811949</v>
      </c>
    </row>
    <row r="518" spans="2:7" outlineLevel="1">
      <c r="B518" s="259" t="s">
        <v>1495</v>
      </c>
      <c r="C518" s="260" t="s">
        <v>1521</v>
      </c>
      <c r="D518" s="229">
        <v>6.094078947368418</v>
      </c>
      <c r="E518" s="229">
        <v>5.7074659922127493</v>
      </c>
      <c r="F518" s="229">
        <v>5.3354600623059403</v>
      </c>
      <c r="G518" s="229">
        <v>6.094078947368418</v>
      </c>
    </row>
    <row r="519" spans="2:7" outlineLevel="1">
      <c r="B519" s="259" t="s">
        <v>1495</v>
      </c>
      <c r="C519" s="260" t="s">
        <v>1522</v>
      </c>
      <c r="D519" s="229">
        <v>10.658414889146814</v>
      </c>
      <c r="E519" s="229">
        <v>10.05701749615322</v>
      </c>
      <c r="F519" s="229">
        <v>9.7279812853489851</v>
      </c>
      <c r="G519" s="229">
        <v>10.658414889146814</v>
      </c>
    </row>
    <row r="520" spans="2:7" outlineLevel="1">
      <c r="B520" s="259" t="s">
        <v>1495</v>
      </c>
      <c r="C520" s="260" t="s">
        <v>1523</v>
      </c>
      <c r="D520" s="229">
        <v>11.444472987221374</v>
      </c>
      <c r="E520" s="229">
        <v>10.798722536494509</v>
      </c>
      <c r="F520" s="229">
        <v>10.445419905143474</v>
      </c>
      <c r="G520" s="229">
        <v>11.444472987221374</v>
      </c>
    </row>
    <row r="521" spans="2:7" outlineLevel="1">
      <c r="B521" s="259" t="s">
        <v>1495</v>
      </c>
      <c r="C521" s="260" t="s">
        <v>1524</v>
      </c>
      <c r="D521" s="229">
        <v>12.948075026392846</v>
      </c>
      <c r="E521" s="229">
        <v>12.217484347933961</v>
      </c>
      <c r="F521" s="229">
        <v>11.817763977859853</v>
      </c>
      <c r="G521" s="229">
        <v>12.948075026392846</v>
      </c>
    </row>
    <row r="522" spans="2:7" outlineLevel="1">
      <c r="B522" s="259" t="s">
        <v>1495</v>
      </c>
      <c r="C522" s="260" t="s">
        <v>1525</v>
      </c>
      <c r="D522" s="229">
        <v>15.947236723417239</v>
      </c>
      <c r="E522" s="229">
        <v>15.047419378093158</v>
      </c>
      <c r="F522" s="229">
        <v>14.55511180714147</v>
      </c>
      <c r="G522" s="229">
        <v>15.947236723417239</v>
      </c>
    </row>
    <row r="523" spans="2:7" outlineLevel="1">
      <c r="B523" s="259" t="s">
        <v>1495</v>
      </c>
      <c r="C523" s="260" t="s">
        <v>1526</v>
      </c>
      <c r="D523" s="229">
        <v>18.641337601585352</v>
      </c>
      <c r="E523" s="229">
        <v>17.589506541141024</v>
      </c>
      <c r="F523" s="229">
        <v>17.014029310000971</v>
      </c>
      <c r="G523" s="229">
        <v>18.641337601585352</v>
      </c>
    </row>
    <row r="524" spans="2:7" outlineLevel="1">
      <c r="B524" s="259" t="s">
        <v>1495</v>
      </c>
      <c r="C524" s="260" t="s">
        <v>1527</v>
      </c>
      <c r="D524" s="229">
        <v>3.7528401822290141</v>
      </c>
      <c r="E524" s="229">
        <v>3.4436871130334765</v>
      </c>
      <c r="F524" s="229">
        <v>3.2780068498730217</v>
      </c>
      <c r="G524" s="229">
        <v>3.7528401822290141</v>
      </c>
    </row>
    <row r="525" spans="2:7" outlineLevel="1">
      <c r="B525" s="259" t="s">
        <v>1495</v>
      </c>
      <c r="C525" s="260" t="s">
        <v>1528</v>
      </c>
      <c r="D525" s="229">
        <v>3.6114098637861383</v>
      </c>
      <c r="E525" s="229">
        <v>3.3139076016862403</v>
      </c>
      <c r="F525" s="229">
        <v>3.1544711995059154</v>
      </c>
      <c r="G525" s="229">
        <v>3.6114098637861383</v>
      </c>
    </row>
    <row r="526" spans="2:7" outlineLevel="1">
      <c r="B526" s="259" t="s">
        <v>1495</v>
      </c>
      <c r="C526" s="260" t="s">
        <v>1529</v>
      </c>
      <c r="D526" s="229">
        <v>4.807576928486391</v>
      </c>
      <c r="E526" s="229">
        <v>4.4115363057406496</v>
      </c>
      <c r="F526" s="229">
        <v>4.1992915598952099</v>
      </c>
      <c r="G526" s="229">
        <v>4.807576928486391</v>
      </c>
    </row>
    <row r="527" spans="2:7" outlineLevel="1">
      <c r="B527" s="259" t="s">
        <v>1495</v>
      </c>
      <c r="C527" s="260" t="s">
        <v>1530</v>
      </c>
      <c r="D527" s="229">
        <v>5.154957508184518</v>
      </c>
      <c r="E527" s="229">
        <v>4.7303002198794113</v>
      </c>
      <c r="F527" s="229">
        <v>4.5027193277909854</v>
      </c>
      <c r="G527" s="229">
        <v>5.154957508184518</v>
      </c>
    </row>
    <row r="528" spans="2:7" outlineLevel="1">
      <c r="B528" s="259" t="s">
        <v>1495</v>
      </c>
      <c r="C528" s="260" t="s">
        <v>1531</v>
      </c>
      <c r="D528" s="229">
        <v>5.219831617028051</v>
      </c>
      <c r="E528" s="229">
        <v>4.7898301017144851</v>
      </c>
      <c r="F528" s="229">
        <v>4.5593851496332061</v>
      </c>
      <c r="G528" s="229">
        <v>5.219831617028051</v>
      </c>
    </row>
    <row r="529" spans="2:7" outlineLevel="1">
      <c r="B529" s="259" t="s">
        <v>1495</v>
      </c>
      <c r="C529" s="260" t="s">
        <v>1532</v>
      </c>
      <c r="D529" s="229">
        <v>11.08609169005944</v>
      </c>
      <c r="E529" s="229">
        <v>10.207318024002969</v>
      </c>
      <c r="F529" s="229">
        <v>9.8674562170276747</v>
      </c>
      <c r="G529" s="229">
        <v>11.08609169005944</v>
      </c>
    </row>
    <row r="530" spans="2:7" outlineLevel="1">
      <c r="B530" s="259" t="s">
        <v>1495</v>
      </c>
      <c r="C530" s="260" t="s">
        <v>1533</v>
      </c>
      <c r="D530" s="229">
        <v>10.647823089350718</v>
      </c>
      <c r="E530" s="229">
        <v>9.8037901521038009</v>
      </c>
      <c r="F530" s="229">
        <v>9.477364167485181</v>
      </c>
      <c r="G530" s="229">
        <v>10.647823089350718</v>
      </c>
    </row>
    <row r="531" spans="2:7" outlineLevel="1">
      <c r="B531" s="259" t="s">
        <v>1495</v>
      </c>
      <c r="C531" s="260" t="s">
        <v>1534</v>
      </c>
      <c r="D531" s="229">
        <v>11.666715615561934</v>
      </c>
      <c r="E531" s="229">
        <v>10.741916981475354</v>
      </c>
      <c r="F531" s="229">
        <v>10.384255222811841</v>
      </c>
      <c r="G531" s="229">
        <v>11.666715615561934</v>
      </c>
    </row>
    <row r="532" spans="2:7" outlineLevel="1">
      <c r="B532" s="259" t="s">
        <v>1495</v>
      </c>
      <c r="C532" s="260" t="s">
        <v>1535</v>
      </c>
      <c r="D532" s="229">
        <v>13.205027474658035</v>
      </c>
      <c r="E532" s="229">
        <v>12.158289748802234</v>
      </c>
      <c r="F532" s="229">
        <v>11.75346858872471</v>
      </c>
      <c r="G532" s="229">
        <v>13.205027474658035</v>
      </c>
    </row>
    <row r="533" spans="2:7" outlineLevel="1">
      <c r="B533" s="259" t="s">
        <v>1495</v>
      </c>
      <c r="C533" s="260" t="s">
        <v>1536</v>
      </c>
      <c r="D533" s="229">
        <v>15.618100509046453</v>
      </c>
      <c r="E533" s="229">
        <v>14.380083016057499</v>
      </c>
      <c r="F533" s="229">
        <v>13.901285256763698</v>
      </c>
      <c r="G533" s="229">
        <v>15.618100509046453</v>
      </c>
    </row>
    <row r="534" spans="2:7" outlineLevel="1">
      <c r="B534" s="259" t="s">
        <v>1495</v>
      </c>
      <c r="C534" s="260" t="s">
        <v>1537</v>
      </c>
      <c r="D534" s="229">
        <v>22.360310956252036</v>
      </c>
      <c r="E534" s="229">
        <v>21.098638103817926</v>
      </c>
      <c r="F534" s="229">
        <v>20.408352346885977</v>
      </c>
      <c r="G534" s="229">
        <v>22.360310956252036</v>
      </c>
    </row>
    <row r="535" spans="2:7" outlineLevel="1">
      <c r="B535" s="259" t="s">
        <v>1495</v>
      </c>
      <c r="C535" s="260" t="s">
        <v>1538</v>
      </c>
      <c r="D535" s="229">
        <v>24.009383889275647</v>
      </c>
      <c r="E535" s="229">
        <v>22.654662663974509</v>
      </c>
      <c r="F535" s="229">
        <v>21.913468332468824</v>
      </c>
      <c r="G535" s="229">
        <v>24.009383889275647</v>
      </c>
    </row>
    <row r="536" spans="2:7" outlineLevel="1">
      <c r="B536" s="259" t="s">
        <v>1495</v>
      </c>
      <c r="C536" s="260" t="s">
        <v>1539</v>
      </c>
      <c r="D536" s="229">
        <v>27.163793761663317</v>
      </c>
      <c r="E536" s="229">
        <v>25.631086044616698</v>
      </c>
      <c r="F536" s="229">
        <v>24.792511841664023</v>
      </c>
      <c r="G536" s="229">
        <v>27.163793761663317</v>
      </c>
    </row>
    <row r="537" spans="2:7" outlineLevel="1">
      <c r="B537" s="259" t="s">
        <v>1495</v>
      </c>
      <c r="C537" s="260" t="s">
        <v>1540</v>
      </c>
      <c r="D537" s="229">
        <v>33.455741377798361</v>
      </c>
      <c r="E537" s="229">
        <v>31.568012681314286</v>
      </c>
      <c r="F537" s="229">
        <v>30.535199595401679</v>
      </c>
      <c r="G537" s="229">
        <v>33.455741377798361</v>
      </c>
    </row>
    <row r="538" spans="2:7" outlineLevel="1">
      <c r="B538" s="259" t="s">
        <v>1495</v>
      </c>
      <c r="C538" s="260" t="s">
        <v>1541</v>
      </c>
      <c r="D538" s="229">
        <v>39.107701262067089</v>
      </c>
      <c r="E538" s="229">
        <v>36.901062673722372</v>
      </c>
      <c r="F538" s="229">
        <v>35.693767783218817</v>
      </c>
      <c r="G538" s="229">
        <v>39.107701262067089</v>
      </c>
    </row>
    <row r="539" spans="2:7" outlineLevel="1">
      <c r="B539" s="254" t="s">
        <v>1496</v>
      </c>
      <c r="C539" s="261" t="s">
        <v>1546</v>
      </c>
      <c r="D539" s="229">
        <v>15.640585695271039</v>
      </c>
      <c r="E539" s="229">
        <v>14.821485347488361</v>
      </c>
      <c r="F539" s="229">
        <v>14.618191455447272</v>
      </c>
      <c r="G539" s="229">
        <v>15.640585695271039</v>
      </c>
    </row>
    <row r="540" spans="2:7" outlineLevel="1">
      <c r="B540" s="254" t="s">
        <v>1496</v>
      </c>
      <c r="C540" s="261" t="s">
        <v>1547</v>
      </c>
      <c r="D540" s="229">
        <v>17.822800738028715</v>
      </c>
      <c r="E540" s="229">
        <v>16.889417387340345</v>
      </c>
      <c r="F540" s="229">
        <v>16.657759404723876</v>
      </c>
      <c r="G540" s="229">
        <v>17.822800738028715</v>
      </c>
    </row>
    <row r="541" spans="2:7" outlineLevel="1">
      <c r="B541" s="254" t="s">
        <v>1496</v>
      </c>
      <c r="C541" s="261" t="s">
        <v>1548</v>
      </c>
      <c r="D541" s="229">
        <v>24.520444346592846</v>
      </c>
      <c r="E541" s="229">
        <v>23.236304169019252</v>
      </c>
      <c r="F541" s="229">
        <v>22.917591259994172</v>
      </c>
      <c r="G541" s="229">
        <v>24.520444346592846</v>
      </c>
    </row>
    <row r="542" spans="2:7" outlineLevel="1">
      <c r="B542" s="254" t="s">
        <v>1496</v>
      </c>
      <c r="C542" s="261" t="s">
        <v>1549</v>
      </c>
      <c r="D542" s="229">
        <v>27.940051374842007</v>
      </c>
      <c r="E542" s="229">
        <v>26.476825748635534</v>
      </c>
      <c r="F542" s="229">
        <v>26.113665321111569</v>
      </c>
      <c r="G542" s="229">
        <v>27.940051374842007</v>
      </c>
    </row>
    <row r="543" spans="2:7" outlineLevel="1">
      <c r="B543" s="254" t="s">
        <v>1496</v>
      </c>
      <c r="C543" s="261" t="s">
        <v>1550</v>
      </c>
      <c r="D543" s="229">
        <v>33.211156112463726</v>
      </c>
      <c r="E543" s="229">
        <v>31.471881762257741</v>
      </c>
      <c r="F543" s="229">
        <v>31.040208337948073</v>
      </c>
      <c r="G543" s="229">
        <v>33.211156112463726</v>
      </c>
    </row>
    <row r="544" spans="2:7" outlineLevel="1">
      <c r="B544" s="254" t="s">
        <v>1496</v>
      </c>
      <c r="C544" s="261" t="s">
        <v>1551</v>
      </c>
      <c r="D544" s="229">
        <v>37.63560008093944</v>
      </c>
      <c r="E544" s="229">
        <v>36.675619557135789</v>
      </c>
      <c r="F544" s="229">
        <v>36.598857759869908</v>
      </c>
      <c r="G544" s="229">
        <v>37.63560008093944</v>
      </c>
    </row>
    <row r="545" spans="2:7" outlineLevel="1">
      <c r="B545" s="254" t="s">
        <v>1496</v>
      </c>
      <c r="C545" s="261" t="s">
        <v>1552</v>
      </c>
      <c r="D545" s="229">
        <v>47.95130550235983</v>
      </c>
      <c r="E545" s="229">
        <v>46.72819973882136</v>
      </c>
      <c r="F545" s="229">
        <v>46.630397966465033</v>
      </c>
      <c r="G545" s="229">
        <v>47.95130550235983</v>
      </c>
    </row>
    <row r="546" spans="2:7" outlineLevel="1">
      <c r="B546" s="254" t="s">
        <v>1496</v>
      </c>
      <c r="C546" s="261" t="s">
        <v>1553</v>
      </c>
      <c r="D546" s="229">
        <v>52.458508890135704</v>
      </c>
      <c r="E546" s="229">
        <v>51.120436779314879</v>
      </c>
      <c r="F546" s="229">
        <v>51.013442087702792</v>
      </c>
      <c r="G546" s="229">
        <v>52.458508890135704</v>
      </c>
    </row>
    <row r="547" spans="2:7" outlineLevel="1">
      <c r="B547" s="254" t="s">
        <v>1496</v>
      </c>
      <c r="C547" s="261" t="s">
        <v>1554</v>
      </c>
      <c r="D547" s="229">
        <v>56.947052244363633</v>
      </c>
      <c r="E547" s="229">
        <v>55.494489752333493</v>
      </c>
      <c r="F547" s="229">
        <v>55.378340200582656</v>
      </c>
      <c r="G547" s="229">
        <v>56.947052244363633</v>
      </c>
    </row>
    <row r="548" spans="2:7" outlineLevel="1">
      <c r="B548" s="254" t="s">
        <v>1496</v>
      </c>
      <c r="C548" s="261" t="s">
        <v>1555</v>
      </c>
      <c r="D548" s="229">
        <v>12.605845187233374</v>
      </c>
      <c r="E548" s="229">
        <v>11.922587308185028</v>
      </c>
      <c r="F548" s="229">
        <v>11.6564613302598</v>
      </c>
      <c r="G548" s="229">
        <v>12.605845187233374</v>
      </c>
    </row>
    <row r="549" spans="2:7" outlineLevel="1">
      <c r="B549" s="254" t="s">
        <v>1496</v>
      </c>
      <c r="C549" s="261" t="s">
        <v>1556</v>
      </c>
      <c r="D549" s="229">
        <v>14.364645370948523</v>
      </c>
      <c r="E549" s="229">
        <v>13.586057582215675</v>
      </c>
      <c r="F549" s="229">
        <v>13.282801018287119</v>
      </c>
      <c r="G549" s="229">
        <v>14.364645370948523</v>
      </c>
    </row>
    <row r="550" spans="2:7" outlineLevel="1">
      <c r="B550" s="254" t="s">
        <v>1496</v>
      </c>
      <c r="C550" s="261" t="s">
        <v>1557</v>
      </c>
      <c r="D550" s="229">
        <v>19.76274618979124</v>
      </c>
      <c r="E550" s="229">
        <v>18.691572314081366</v>
      </c>
      <c r="F550" s="229">
        <v>18.274354739366739</v>
      </c>
      <c r="G550" s="229">
        <v>19.76274618979124</v>
      </c>
    </row>
    <row r="551" spans="2:7" outlineLevel="1">
      <c r="B551" s="254" t="s">
        <v>1496</v>
      </c>
      <c r="C551" s="261" t="s">
        <v>1558</v>
      </c>
      <c r="D551" s="229">
        <v>22.518847376738325</v>
      </c>
      <c r="E551" s="229">
        <v>21.298288210041047</v>
      </c>
      <c r="F551" s="229">
        <v>20.822885712955319</v>
      </c>
      <c r="G551" s="229">
        <v>22.518847376738325</v>
      </c>
    </row>
    <row r="552" spans="2:7" outlineLevel="1">
      <c r="B552" s="254" t="s">
        <v>1496</v>
      </c>
      <c r="C552" s="261" t="s">
        <v>1559</v>
      </c>
      <c r="D552" s="229">
        <v>26.767200448851355</v>
      </c>
      <c r="E552" s="229">
        <v>25.316373444782872</v>
      </c>
      <c r="F552" s="229">
        <v>24.751282624614067</v>
      </c>
      <c r="G552" s="229">
        <v>26.767200448851355</v>
      </c>
    </row>
    <row r="553" spans="2:7" outlineLevel="1">
      <c r="B553" s="254" t="s">
        <v>1496</v>
      </c>
      <c r="C553" s="261" t="s">
        <v>1560</v>
      </c>
      <c r="D553" s="229">
        <v>34.208667922078767</v>
      </c>
      <c r="E553" s="229">
        <v>33.336099001167767</v>
      </c>
      <c r="F553" s="229">
        <v>33.266326795433727</v>
      </c>
      <c r="G553" s="229">
        <v>34.208667922078767</v>
      </c>
    </row>
    <row r="554" spans="2:7" outlineLevel="1">
      <c r="B554" s="254" t="s">
        <v>1496</v>
      </c>
      <c r="C554" s="261" t="s">
        <v>1561</v>
      </c>
      <c r="D554" s="229">
        <v>43.585070593603476</v>
      </c>
      <c r="E554" s="229">
        <v>42.473335459621673</v>
      </c>
      <c r="F554" s="229">
        <v>42.384439086359833</v>
      </c>
      <c r="G554" s="229">
        <v>43.585070593603476</v>
      </c>
    </row>
    <row r="555" spans="2:7" outlineLevel="1">
      <c r="B555" s="254" t="s">
        <v>1496</v>
      </c>
      <c r="C555" s="261" t="s">
        <v>1562</v>
      </c>
      <c r="D555" s="229">
        <v>49.308748527897464</v>
      </c>
      <c r="E555" s="229">
        <v>48.051018130664119</v>
      </c>
      <c r="F555" s="229">
        <v>47.950447709313195</v>
      </c>
      <c r="G555" s="229">
        <v>49.308748527897464</v>
      </c>
    </row>
    <row r="556" spans="2:7" outlineLevel="1">
      <c r="B556" s="254" t="s">
        <v>1496</v>
      </c>
      <c r="C556" s="261" t="s">
        <v>1563</v>
      </c>
      <c r="D556" s="229">
        <v>53.527786777225344</v>
      </c>
      <c r="E556" s="229">
        <v>52.162440331893201</v>
      </c>
      <c r="F556" s="229">
        <v>52.053264734643463</v>
      </c>
      <c r="G556" s="229">
        <v>53.527786777225344</v>
      </c>
    </row>
    <row r="557" spans="2:7" outlineLevel="1">
      <c r="B557" s="254" t="s">
        <v>1496</v>
      </c>
      <c r="C557" s="261" t="s">
        <v>1564</v>
      </c>
      <c r="D557" s="229">
        <v>6.4955128509897992</v>
      </c>
      <c r="E557" s="229">
        <v>6.1553416490327502</v>
      </c>
      <c r="F557" s="229">
        <v>6.0709139866671489</v>
      </c>
      <c r="G557" s="229">
        <v>6.4955128509897992</v>
      </c>
    </row>
    <row r="558" spans="2:7" outlineLevel="1">
      <c r="B558" s="254" t="s">
        <v>1496</v>
      </c>
      <c r="C558" s="261" t="s">
        <v>1565</v>
      </c>
      <c r="D558" s="229">
        <v>7.4017836345795356</v>
      </c>
      <c r="E558" s="229">
        <v>7.0141508651027955</v>
      </c>
      <c r="F558" s="229">
        <v>6.9179436365221827</v>
      </c>
      <c r="G558" s="229">
        <v>7.4017836345795356</v>
      </c>
    </row>
    <row r="559" spans="2:7" outlineLevel="1">
      <c r="B559" s="254" t="s">
        <v>1496</v>
      </c>
      <c r="C559" s="261" t="s">
        <v>1566</v>
      </c>
      <c r="D559" s="229">
        <v>10.183305438071297</v>
      </c>
      <c r="E559" s="229">
        <v>9.6500038604696776</v>
      </c>
      <c r="F559" s="229">
        <v>9.5176428455637883</v>
      </c>
      <c r="G559" s="229">
        <v>10.183305438071297</v>
      </c>
    </row>
    <row r="560" spans="2:7" outlineLevel="1">
      <c r="B560" s="254" t="s">
        <v>1496</v>
      </c>
      <c r="C560" s="261" t="s">
        <v>1567</v>
      </c>
      <c r="D560" s="229">
        <v>11.603463342007316</v>
      </c>
      <c r="E560" s="229">
        <v>10.995787833935045</v>
      </c>
      <c r="F560" s="229">
        <v>10.844967828219653</v>
      </c>
      <c r="G560" s="229">
        <v>11.603463342007316</v>
      </c>
    </row>
    <row r="561" spans="2:7" outlineLevel="1">
      <c r="B561" s="254" t="s">
        <v>1496</v>
      </c>
      <c r="C561" s="261" t="s">
        <v>1568</v>
      </c>
      <c r="D561" s="229">
        <v>13.792545594373838</v>
      </c>
      <c r="E561" s="229">
        <v>13.070227446366387</v>
      </c>
      <c r="F561" s="229">
        <v>12.890954091156786</v>
      </c>
      <c r="G561" s="229">
        <v>13.792545594373838</v>
      </c>
    </row>
    <row r="562" spans="2:7" outlineLevel="1">
      <c r="B562" s="254" t="s">
        <v>1496</v>
      </c>
      <c r="C562" s="261" t="s">
        <v>1569</v>
      </c>
      <c r="D562" s="229">
        <v>15.423597858961847</v>
      </c>
      <c r="E562" s="229">
        <v>15.030184348356444</v>
      </c>
      <c r="F562" s="229">
        <v>14.998726284995829</v>
      </c>
      <c r="G562" s="229">
        <v>15.423597858961847</v>
      </c>
    </row>
    <row r="563" spans="2:7" outlineLevel="1">
      <c r="B563" s="254" t="s">
        <v>1496</v>
      </c>
      <c r="C563" s="261" t="s">
        <v>1570</v>
      </c>
      <c r="D563" s="229">
        <v>19.651118921714239</v>
      </c>
      <c r="E563" s="229">
        <v>19.149872989798059</v>
      </c>
      <c r="F563" s="229">
        <v>19.109792448941199</v>
      </c>
      <c r="G563" s="229">
        <v>19.651118921714239</v>
      </c>
    </row>
    <row r="564" spans="2:7" outlineLevel="1">
      <c r="B564" s="254" t="s">
        <v>1496</v>
      </c>
      <c r="C564" s="261" t="s">
        <v>1571</v>
      </c>
      <c r="D564" s="229">
        <v>21.640023451107719</v>
      </c>
      <c r="E564" s="229">
        <v>21.088046041340338</v>
      </c>
      <c r="F564" s="229">
        <v>21.043908918791175</v>
      </c>
      <c r="G564" s="229">
        <v>21.640023451107719</v>
      </c>
    </row>
    <row r="565" spans="2:7" outlineLevel="1">
      <c r="B565" s="254" t="s">
        <v>1496</v>
      </c>
      <c r="C565" s="261" t="s">
        <v>1572</v>
      </c>
      <c r="D565" s="229">
        <v>23.49162361096414</v>
      </c>
      <c r="E565" s="229">
        <v>22.892416979727958</v>
      </c>
      <c r="F565" s="229">
        <v>22.844503322308007</v>
      </c>
      <c r="G565" s="229">
        <v>23.49162361096414</v>
      </c>
    </row>
    <row r="566" spans="2:7" outlineLevel="1">
      <c r="B566" s="254" t="s">
        <v>1496</v>
      </c>
      <c r="C566" s="261" t="s">
        <v>1573</v>
      </c>
      <c r="D566" s="229">
        <v>44.207626305667148</v>
      </c>
      <c r="E566" s="229">
        <v>41.833994869536411</v>
      </c>
      <c r="F566" s="229">
        <v>41.000078735507316</v>
      </c>
      <c r="G566" s="229">
        <v>44.207626305667148</v>
      </c>
    </row>
    <row r="567" spans="2:7" outlineLevel="1">
      <c r="B567" s="254" t="s">
        <v>1496</v>
      </c>
      <c r="C567" s="261" t="s">
        <v>1574</v>
      </c>
      <c r="D567" s="229">
        <v>50.37558887486972</v>
      </c>
      <c r="E567" s="229">
        <v>47.670782230418411</v>
      </c>
      <c r="F567" s="229">
        <v>46.720515956597126</v>
      </c>
      <c r="G567" s="229">
        <v>50.37558887486972</v>
      </c>
    </row>
    <row r="568" spans="2:7" outlineLevel="1">
      <c r="B568" s="254" t="s">
        <v>1496</v>
      </c>
      <c r="C568" s="261" t="s">
        <v>1575</v>
      </c>
      <c r="D568" s="229">
        <v>69.306269064516613</v>
      </c>
      <c r="E568" s="229">
        <v>65.585021109808309</v>
      </c>
      <c r="F568" s="229">
        <v>64.277653562800822</v>
      </c>
      <c r="G568" s="229">
        <v>69.306269064516613</v>
      </c>
    </row>
    <row r="569" spans="2:7" outlineLevel="1">
      <c r="B569" s="254" t="s">
        <v>1496</v>
      </c>
      <c r="C569" s="261" t="s">
        <v>1576</v>
      </c>
      <c r="D569" s="229">
        <v>78.971681381062965</v>
      </c>
      <c r="E569" s="229">
        <v>74.731470332541633</v>
      </c>
      <c r="F569" s="229">
        <v>73.241778061354694</v>
      </c>
      <c r="G569" s="229">
        <v>78.971681381062965</v>
      </c>
    </row>
    <row r="570" spans="2:7" outlineLevel="1">
      <c r="B570" s="254" t="s">
        <v>1496</v>
      </c>
      <c r="C570" s="261" t="s">
        <v>1577</v>
      </c>
      <c r="D570" s="229">
        <v>93.87029406724055</v>
      </c>
      <c r="E570" s="229">
        <v>88.830134720610502</v>
      </c>
      <c r="F570" s="229">
        <v>87.059400590090419</v>
      </c>
      <c r="G570" s="229">
        <v>93.87029406724055</v>
      </c>
    </row>
    <row r="571" spans="2:7" outlineLevel="1">
      <c r="B571" s="259" t="s">
        <v>1190</v>
      </c>
      <c r="C571" s="249" t="s">
        <v>1578</v>
      </c>
      <c r="D571" s="229">
        <v>21.042967453810526</v>
      </c>
      <c r="E571" s="229">
        <v>19.938953663329176</v>
      </c>
      <c r="F571" s="229">
        <v>19.656592193705503</v>
      </c>
      <c r="G571" s="229">
        <v>21.042967453810526</v>
      </c>
    </row>
    <row r="572" spans="2:7" outlineLevel="1">
      <c r="B572" s="259" t="s">
        <v>1190</v>
      </c>
      <c r="C572" s="249" t="s">
        <v>1579</v>
      </c>
      <c r="D572" s="229">
        <v>29.14707142880896</v>
      </c>
      <c r="E572" s="229">
        <v>27.617877940286842</v>
      </c>
      <c r="F572" s="229">
        <v>27.226772933736353</v>
      </c>
      <c r="G572" s="229">
        <v>29.14707142880896</v>
      </c>
    </row>
    <row r="573" spans="2:7" outlineLevel="1">
      <c r="B573" s="259" t="s">
        <v>1190</v>
      </c>
      <c r="C573" s="249" t="s">
        <v>1580</v>
      </c>
      <c r="D573" s="229">
        <v>40.396770555432141</v>
      </c>
      <c r="E573" s="229">
        <v>38.277364540952391</v>
      </c>
      <c r="F573" s="229">
        <v>37.735307365455689</v>
      </c>
      <c r="G573" s="229">
        <v>40.396770555432141</v>
      </c>
    </row>
    <row r="574" spans="2:7" outlineLevel="1">
      <c r="B574" s="259" t="s">
        <v>1190</v>
      </c>
      <c r="C574" s="249" t="s">
        <v>1581</v>
      </c>
      <c r="D574" s="229">
        <v>14.891020571316966</v>
      </c>
      <c r="E574" s="229">
        <v>14.138669079566414</v>
      </c>
      <c r="F574" s="229">
        <v>14.067906887444931</v>
      </c>
      <c r="G574" s="229">
        <v>14.891020571316966</v>
      </c>
    </row>
    <row r="575" spans="2:7" outlineLevel="1">
      <c r="B575" s="259" t="s">
        <v>1190</v>
      </c>
      <c r="C575" s="249" t="s">
        <v>1582</v>
      </c>
      <c r="D575" s="229">
        <v>20.625876136183635</v>
      </c>
      <c r="E575" s="229">
        <v>19.583777738333705</v>
      </c>
      <c r="F575" s="229">
        <v>19.485763488549246</v>
      </c>
      <c r="G575" s="229">
        <v>20.625876136183635</v>
      </c>
    </row>
    <row r="576" spans="2:7" outlineLevel="1">
      <c r="B576" s="259" t="s">
        <v>1190</v>
      </c>
      <c r="C576" s="249" t="s">
        <v>1583</v>
      </c>
      <c r="D576" s="229">
        <v>28.586706826217238</v>
      </c>
      <c r="E576" s="229">
        <v>27.142396718529412</v>
      </c>
      <c r="F576" s="229">
        <v>27.006552567964352</v>
      </c>
      <c r="G576" s="229">
        <v>28.586706826217238</v>
      </c>
    </row>
    <row r="577" spans="1:9" outlineLevel="1">
      <c r="B577" s="259" t="s">
        <v>1190</v>
      </c>
      <c r="C577" s="249" t="s">
        <v>1584</v>
      </c>
      <c r="D577" s="229">
        <v>8.689903647734182</v>
      </c>
      <c r="E577" s="229">
        <v>8.236455472648947</v>
      </c>
      <c r="F577" s="229">
        <v>8.1308194517145829</v>
      </c>
      <c r="G577" s="229">
        <v>8.689903647734182</v>
      </c>
    </row>
    <row r="578" spans="1:9" outlineLevel="1">
      <c r="B578" s="259" t="s">
        <v>1190</v>
      </c>
      <c r="C578" s="249" t="s">
        <v>1585</v>
      </c>
      <c r="D578" s="229">
        <v>12.036574351309472</v>
      </c>
      <c r="E578" s="229">
        <v>11.408493431758409</v>
      </c>
      <c r="F578" s="229">
        <v>11.262174683968329</v>
      </c>
      <c r="G578" s="229">
        <v>12.036574351309472</v>
      </c>
    </row>
    <row r="579" spans="1:9" outlineLevel="1">
      <c r="B579" s="259" t="s">
        <v>1190</v>
      </c>
      <c r="C579" s="249" t="s">
        <v>1586</v>
      </c>
      <c r="D579" s="229">
        <v>16.682249999999982</v>
      </c>
      <c r="E579" s="229">
        <v>15.811752912176928</v>
      </c>
      <c r="F579" s="229">
        <v>15.608960501389776</v>
      </c>
      <c r="G579" s="229">
        <v>16.682249999999982</v>
      </c>
    </row>
    <row r="580" spans="1:9" outlineLevel="1">
      <c r="B580" s="259" t="s">
        <v>1190</v>
      </c>
      <c r="C580" s="249" t="s">
        <v>1587</v>
      </c>
      <c r="D580" s="229">
        <v>57.754733495385736</v>
      </c>
      <c r="E580" s="229">
        <v>54.81758266406905</v>
      </c>
      <c r="F580" s="229">
        <v>54.457277548657416</v>
      </c>
      <c r="G580" s="229">
        <v>57.754733495385736</v>
      </c>
    </row>
    <row r="581" spans="1:9" outlineLevel="1">
      <c r="B581" s="259" t="s">
        <v>1190</v>
      </c>
      <c r="C581" s="249" t="s">
        <v>1588</v>
      </c>
      <c r="D581" s="229">
        <v>79.997336223461218</v>
      </c>
      <c r="E581" s="229">
        <v>75.929024790414275</v>
      </c>
      <c r="F581" s="229">
        <v>75.429958346571738</v>
      </c>
      <c r="G581" s="229">
        <v>79.997336223461218</v>
      </c>
    </row>
    <row r="582" spans="1:9" outlineLevel="1">
      <c r="B582" s="259" t="s">
        <v>1190</v>
      </c>
      <c r="C582" s="249" t="s">
        <v>1589</v>
      </c>
      <c r="D582" s="229">
        <v>110.87337005222366</v>
      </c>
      <c r="E582" s="229">
        <v>105.2348398173679</v>
      </c>
      <c r="F582" s="229">
        <v>104.54315205473731</v>
      </c>
      <c r="G582" s="229">
        <v>110.87337005222366</v>
      </c>
    </row>
    <row r="583" spans="1:9" outlineLevel="1"/>
    <row r="586" spans="1:9" s="361" customFormat="1">
      <c r="A586" s="362" t="s">
        <v>1606</v>
      </c>
    </row>
    <row r="588" spans="1:9" outlineLevel="1">
      <c r="A588" s="61" t="s">
        <v>1190</v>
      </c>
    </row>
    <row r="589" spans="1:9" ht="18" outlineLevel="1">
      <c r="A589" t="s">
        <v>34</v>
      </c>
      <c r="D589" s="361" t="s">
        <v>1485</v>
      </c>
      <c r="E589" s="361" t="s">
        <v>1486</v>
      </c>
      <c r="F589" s="361" t="s">
        <v>1487</v>
      </c>
      <c r="G589" s="361" t="s">
        <v>1488</v>
      </c>
      <c r="H589" s="361" t="s">
        <v>1607</v>
      </c>
      <c r="I589" s="361" t="s">
        <v>76</v>
      </c>
    </row>
    <row r="590" spans="1:9" outlineLevel="1">
      <c r="A590" s="61" t="s">
        <v>1608</v>
      </c>
      <c r="B590" s="711" t="s">
        <v>1191</v>
      </c>
      <c r="C590" s="711" t="s">
        <v>1192</v>
      </c>
      <c r="D590" s="905" t="e">
        <f>SUM(E590:G590)</f>
        <v>#REF!</v>
      </c>
      <c r="E590" s="905" t="e">
        <f>(I617*1000)/D606</f>
        <v>#REF!</v>
      </c>
      <c r="F590" s="905" t="e">
        <f>(J617*1000*GWP_CH4)/D606</f>
        <v>#REF!</v>
      </c>
      <c r="G590" s="905" t="e">
        <f>(K617*1000*GWP_N2O)/D606</f>
        <v>#REF!</v>
      </c>
      <c r="H590" s="711"/>
      <c r="I590" s="711"/>
    </row>
    <row r="591" spans="1:9" outlineLevel="1">
      <c r="B591" s="711" t="s">
        <v>1609</v>
      </c>
      <c r="C591" s="711" t="s">
        <v>1192</v>
      </c>
      <c r="D591" s="905" t="e">
        <f t="shared" ref="D591:D593" si="18">SUM(E591:G591)</f>
        <v>#REF!</v>
      </c>
      <c r="E591" s="901" t="e">
        <f>(I626*electricity_2020_CO2)/I627</f>
        <v>#REF!</v>
      </c>
      <c r="F591" s="901" t="e">
        <f>(I626*electricity_2020_CH4)/I627</f>
        <v>#REF!</v>
      </c>
      <c r="G591" s="902" t="e">
        <f>(I626*electricity_2020_N2O)/I627</f>
        <v>#REF!</v>
      </c>
      <c r="H591" s="711"/>
      <c r="I591" s="711"/>
    </row>
    <row r="592" spans="1:9" outlineLevel="1">
      <c r="B592" s="711" t="s">
        <v>1610</v>
      </c>
      <c r="C592" s="711" t="s">
        <v>1192</v>
      </c>
      <c r="D592" s="905">
        <f t="shared" si="18"/>
        <v>0.1111722908844396</v>
      </c>
      <c r="E592" s="901">
        <f>(D624*Diesel_CO2)/D625</f>
        <v>0.10928524051737389</v>
      </c>
      <c r="F592" s="901">
        <f>(D624*Diesel_CH4)/D625</f>
        <v>1.4605652995864594E-4</v>
      </c>
      <c r="G592" s="906">
        <f>(D624*Diesel_N2O)/D625</f>
        <v>1.7409938371070594E-3</v>
      </c>
      <c r="H592" s="711"/>
      <c r="I592" s="711"/>
    </row>
    <row r="593" spans="1:9" outlineLevel="1">
      <c r="B593" s="711" t="s">
        <v>1611</v>
      </c>
      <c r="C593" s="711" t="s">
        <v>1192</v>
      </c>
      <c r="D593" s="905" t="e">
        <f t="shared" si="18"/>
        <v>#REF!</v>
      </c>
      <c r="E593" s="901" t="e">
        <f>B630/B629</f>
        <v>#REF!</v>
      </c>
      <c r="F593" s="901" t="e">
        <f>B631/B629</f>
        <v>#REF!</v>
      </c>
      <c r="G593" s="906" t="e">
        <f>B632/B629</f>
        <v>#REF!</v>
      </c>
      <c r="H593" s="711"/>
      <c r="I593" s="711" t="s">
        <v>1612</v>
      </c>
    </row>
    <row r="594" spans="1:9" outlineLevel="1">
      <c r="E594" s="3"/>
      <c r="F594" s="3"/>
      <c r="G594" s="229"/>
    </row>
    <row r="595" spans="1:9" ht="18" outlineLevel="1">
      <c r="A595" t="s">
        <v>1197</v>
      </c>
      <c r="D595" s="361" t="s">
        <v>1485</v>
      </c>
      <c r="E595" s="361" t="s">
        <v>1486</v>
      </c>
      <c r="F595" s="361" t="s">
        <v>1487</v>
      </c>
      <c r="G595" s="361" t="s">
        <v>1488</v>
      </c>
      <c r="H595" s="361" t="s">
        <v>1607</v>
      </c>
      <c r="I595" s="361" t="s">
        <v>76</v>
      </c>
    </row>
    <row r="596" spans="1:9" outlineLevel="1">
      <c r="B596" s="711" t="s">
        <v>1613</v>
      </c>
      <c r="C596" s="711" t="s">
        <v>1192</v>
      </c>
      <c r="D596" s="901" t="e">
        <f>SUM(E596:G596)</f>
        <v>#REF!</v>
      </c>
      <c r="E596" s="901" t="e">
        <f>(C638*electricity_2020_CO2)/D638</f>
        <v>#REF!</v>
      </c>
      <c r="F596" s="901" t="e">
        <f>($C$638*electricity_2020_CH4)/$D$638</f>
        <v>#REF!</v>
      </c>
      <c r="G596" s="902" t="e">
        <f>($C$638*electricity_2020_N2O)/$D$638</f>
        <v>#REF!</v>
      </c>
      <c r="H596" s="711"/>
      <c r="I596" s="711"/>
    </row>
    <row r="597" spans="1:9" outlineLevel="1">
      <c r="B597" s="711" t="s">
        <v>1614</v>
      </c>
      <c r="C597" s="711" t="s">
        <v>1192</v>
      </c>
      <c r="D597" s="901">
        <f t="shared" ref="D597:D598" si="19">SUM(E597:G597)</f>
        <v>3.7728737685299288E-2</v>
      </c>
      <c r="E597" s="901">
        <f>($C$639*Diesel_CO2)/$D$639</f>
        <v>3.7088326052764201E-2</v>
      </c>
      <c r="F597" s="902">
        <f>($C$639*Diesel_CH4)/$D$639</f>
        <v>4.9567463818505326E-5</v>
      </c>
      <c r="G597" s="901">
        <f>($C$639*Diesel_N2O)/$D$639</f>
        <v>5.9084416871658355E-4</v>
      </c>
      <c r="H597" s="711"/>
      <c r="I597" s="711" t="s">
        <v>1615</v>
      </c>
    </row>
    <row r="598" spans="1:9" outlineLevel="1">
      <c r="B598" s="711" t="s">
        <v>1616</v>
      </c>
      <c r="C598" s="711" t="s">
        <v>1192</v>
      </c>
      <c r="D598" s="901" t="e">
        <f t="shared" si="19"/>
        <v>#REF!</v>
      </c>
      <c r="E598" s="901" t="e">
        <f>B642/(D638+D639)</f>
        <v>#REF!</v>
      </c>
      <c r="F598" s="901" t="e">
        <f>B643/(D638+D639)</f>
        <v>#REF!</v>
      </c>
      <c r="G598" s="901" t="e">
        <f>B644/(D638+D639)</f>
        <v>#REF!</v>
      </c>
      <c r="H598" s="711"/>
      <c r="I598" s="711"/>
    </row>
    <row r="599" spans="1:9" outlineLevel="1">
      <c r="E599" s="3"/>
      <c r="F599" s="3"/>
      <c r="G599" s="229"/>
    </row>
    <row r="600" spans="1:9" outlineLevel="1"/>
    <row r="601" spans="1:9" s="361" customFormat="1" outlineLevel="1">
      <c r="A601" s="361" t="s">
        <v>1617</v>
      </c>
    </row>
    <row r="602" spans="1:9" outlineLevel="1"/>
    <row r="603" spans="1:9" outlineLevel="1">
      <c r="A603" t="s">
        <v>1618</v>
      </c>
    </row>
    <row r="604" spans="1:9" outlineLevel="1"/>
    <row r="605" spans="1:9" ht="15.75" outlineLevel="1" thickBot="1">
      <c r="A605" s="354" t="s">
        <v>1619</v>
      </c>
      <c r="B605" s="354" t="s">
        <v>1620</v>
      </c>
      <c r="C605" s="354" t="s">
        <v>1621</v>
      </c>
      <c r="D605" s="356" t="s">
        <v>1622</v>
      </c>
    </row>
    <row r="606" spans="1:9" outlineLevel="1">
      <c r="A606" s="355" t="s">
        <v>1623</v>
      </c>
      <c r="B606" s="355" t="s">
        <v>1190</v>
      </c>
      <c r="C606" s="355" t="s">
        <v>1624</v>
      </c>
      <c r="D606" s="435">
        <v>869451147.454916</v>
      </c>
    </row>
    <row r="607" spans="1:9" outlineLevel="1"/>
    <row r="608" spans="1:9" outlineLevel="1">
      <c r="A608" t="s">
        <v>1625</v>
      </c>
      <c r="B608" s="139" t="s">
        <v>1626</v>
      </c>
    </row>
    <row r="609" spans="1:11" outlineLevel="1">
      <c r="I609" s="357" t="s">
        <v>1627</v>
      </c>
      <c r="J609" s="357"/>
      <c r="K609" s="357"/>
    </row>
    <row r="610" spans="1:11" ht="18.75" outlineLevel="1" thickBot="1">
      <c r="A610" s="354" t="s">
        <v>1628</v>
      </c>
      <c r="B610" s="354" t="s">
        <v>1629</v>
      </c>
      <c r="C610" s="354" t="s">
        <v>1630</v>
      </c>
      <c r="D610" s="354" t="s">
        <v>1631</v>
      </c>
      <c r="E610" s="354" t="s">
        <v>1632</v>
      </c>
      <c r="F610" s="354" t="s">
        <v>1633</v>
      </c>
      <c r="G610" s="1635" t="s">
        <v>1634</v>
      </c>
      <c r="H610" s="1636" t="s">
        <v>1635</v>
      </c>
      <c r="I610" s="358" t="s">
        <v>1636</v>
      </c>
      <c r="J610" s="358" t="s">
        <v>1637</v>
      </c>
      <c r="K610" s="358" t="s">
        <v>1638</v>
      </c>
    </row>
    <row r="611" spans="1:11" outlineLevel="1">
      <c r="A611" s="471" t="s">
        <v>265</v>
      </c>
      <c r="B611" s="471" t="s">
        <v>1639</v>
      </c>
      <c r="C611" s="471" t="s">
        <v>1640</v>
      </c>
      <c r="D611" s="471" t="s">
        <v>1641</v>
      </c>
      <c r="E611" s="471" t="s">
        <v>1642</v>
      </c>
      <c r="F611" s="471" t="s">
        <v>1643</v>
      </c>
      <c r="G611" s="711" t="s">
        <v>1644</v>
      </c>
      <c r="H611" s="907">
        <v>43830</v>
      </c>
      <c r="I611" s="473"/>
      <c r="J611" s="357"/>
      <c r="K611" s="357"/>
    </row>
    <row r="612" spans="1:11" outlineLevel="1">
      <c r="A612" s="711" t="s">
        <v>90</v>
      </c>
      <c r="B612" s="711" t="s">
        <v>1645</v>
      </c>
      <c r="C612" s="711" t="s">
        <v>1646</v>
      </c>
      <c r="D612" s="711" t="s">
        <v>1641</v>
      </c>
      <c r="E612" s="711" t="s">
        <v>1642</v>
      </c>
      <c r="F612" s="711" t="s">
        <v>1643</v>
      </c>
      <c r="G612" s="711">
        <v>3485.81502</v>
      </c>
      <c r="H612" s="907">
        <v>43830</v>
      </c>
      <c r="I612" s="473" t="e">
        <f>$G$612*#REF!</f>
        <v>#REF!</v>
      </c>
      <c r="J612" s="357" t="e">
        <f>$G$612*#REF!</f>
        <v>#REF!</v>
      </c>
      <c r="K612" s="357" t="e">
        <f>$G$612*#REF!</f>
        <v>#REF!</v>
      </c>
    </row>
    <row r="613" spans="1:11" outlineLevel="1">
      <c r="A613" s="711" t="s">
        <v>222</v>
      </c>
      <c r="B613" s="711" t="s">
        <v>1645</v>
      </c>
      <c r="C613" s="711" t="s">
        <v>1646</v>
      </c>
      <c r="D613" s="711" t="s">
        <v>1641</v>
      </c>
      <c r="E613" s="711" t="s">
        <v>1642</v>
      </c>
      <c r="F613" s="711" t="s">
        <v>1643</v>
      </c>
      <c r="G613" s="711">
        <v>24.573295999999999</v>
      </c>
      <c r="H613" s="907">
        <v>43830</v>
      </c>
      <c r="I613" s="474" t="e">
        <f>$G$613*#REF!</f>
        <v>#REF!</v>
      </c>
      <c r="J613" s="472" t="e">
        <f>$G$613*#REF!</f>
        <v>#REF!</v>
      </c>
      <c r="K613" s="472" t="e">
        <f>$G$613*#REF!</f>
        <v>#REF!</v>
      </c>
    </row>
    <row r="614" spans="1:11" outlineLevel="1">
      <c r="A614" s="711" t="s">
        <v>92</v>
      </c>
      <c r="B614" s="711" t="s">
        <v>1645</v>
      </c>
      <c r="C614" s="711" t="s">
        <v>1646</v>
      </c>
      <c r="D614" s="711" t="s">
        <v>1641</v>
      </c>
      <c r="E614" s="711" t="s">
        <v>1642</v>
      </c>
      <c r="F614" s="711" t="s">
        <v>1643</v>
      </c>
      <c r="G614" s="711">
        <v>0.26389899999999999</v>
      </c>
      <c r="H614" s="907">
        <v>43830</v>
      </c>
      <c r="I614" s="473" t="e">
        <f>G614*#REF!</f>
        <v>#REF!</v>
      </c>
      <c r="J614" s="357" t="e">
        <f>H614*#REF!</f>
        <v>#REF!</v>
      </c>
      <c r="K614" s="357" t="e">
        <f>I614*#REF!</f>
        <v>#REF!</v>
      </c>
    </row>
    <row r="615" spans="1:11" outlineLevel="1">
      <c r="A615" s="711" t="s">
        <v>95</v>
      </c>
      <c r="B615" s="711" t="s">
        <v>1645</v>
      </c>
      <c r="C615" s="711" t="s">
        <v>1646</v>
      </c>
      <c r="D615" s="711" t="s">
        <v>1641</v>
      </c>
      <c r="E615" s="711" t="s">
        <v>1642</v>
      </c>
      <c r="F615" s="711" t="s">
        <v>1643</v>
      </c>
      <c r="G615" s="711" t="s">
        <v>1644</v>
      </c>
      <c r="H615" s="907">
        <v>43830</v>
      </c>
      <c r="I615" s="473"/>
      <c r="J615" s="357"/>
      <c r="K615" s="357"/>
    </row>
    <row r="616" spans="1:11" outlineLevel="1">
      <c r="I616" s="359"/>
      <c r="J616" s="359"/>
      <c r="K616" s="359"/>
    </row>
    <row r="617" spans="1:11" outlineLevel="1">
      <c r="A617" s="61"/>
      <c r="B617" s="61"/>
      <c r="C617" s="61"/>
      <c r="D617" s="61"/>
      <c r="E617" s="61"/>
      <c r="F617" s="61"/>
      <c r="G617" s="61"/>
      <c r="H617" s="360" t="s">
        <v>1647</v>
      </c>
      <c r="I617" s="357" t="e">
        <f>SUM(I612:I614)</f>
        <v>#REF!</v>
      </c>
      <c r="J617" s="357" t="e">
        <f t="shared" ref="J617:K617" si="20">SUM(J612:J614)</f>
        <v>#REF!</v>
      </c>
      <c r="K617" s="357" t="e">
        <f t="shared" si="20"/>
        <v>#REF!</v>
      </c>
    </row>
    <row r="618" spans="1:11" outlineLevel="1">
      <c r="A618" t="s">
        <v>1648</v>
      </c>
    </row>
    <row r="619" spans="1:11" outlineLevel="1"/>
    <row r="620" spans="1:11" outlineLevel="1">
      <c r="A620" t="s">
        <v>1649</v>
      </c>
    </row>
    <row r="621" spans="1:11" outlineLevel="1"/>
    <row r="622" spans="1:11" ht="15.75" outlineLevel="1" thickBot="1">
      <c r="A622" s="588" t="s">
        <v>1650</v>
      </c>
      <c r="B622" s="589"/>
      <c r="C622" s="589"/>
      <c r="D622" s="589"/>
      <c r="F622" s="908" t="s">
        <v>1651</v>
      </c>
      <c r="G622" s="711" t="s">
        <v>1652</v>
      </c>
      <c r="H622" s="1833" t="s">
        <v>1653</v>
      </c>
      <c r="I622" s="1833"/>
    </row>
    <row r="623" spans="1:11" ht="15.75" outlineLevel="1" thickBot="1">
      <c r="A623" s="365"/>
      <c r="B623" s="366">
        <v>2017</v>
      </c>
      <c r="C623" s="366">
        <v>2018</v>
      </c>
      <c r="D623" s="366">
        <v>2019</v>
      </c>
      <c r="F623" s="711"/>
      <c r="G623" s="908">
        <v>2017</v>
      </c>
      <c r="H623" s="908">
        <v>2018</v>
      </c>
      <c r="I623" s="908">
        <v>2019</v>
      </c>
    </row>
    <row r="624" spans="1:11" ht="15.75" outlineLevel="1" thickBot="1">
      <c r="A624" s="367" t="s">
        <v>1654</v>
      </c>
      <c r="B624" s="365">
        <v>4825300</v>
      </c>
      <c r="C624" s="365">
        <v>5363600</v>
      </c>
      <c r="D624" s="365">
        <v>5923100</v>
      </c>
      <c r="F624" s="711" t="s">
        <v>1655</v>
      </c>
      <c r="G624" s="909">
        <v>819800</v>
      </c>
      <c r="H624" s="909">
        <v>27000</v>
      </c>
      <c r="I624" s="909">
        <v>395000</v>
      </c>
    </row>
    <row r="625" spans="1:9" ht="15.75" outlineLevel="1" thickBot="1">
      <c r="A625" s="367" t="s">
        <v>1656</v>
      </c>
      <c r="B625" s="365">
        <v>114250200</v>
      </c>
      <c r="C625" s="365">
        <v>134122400</v>
      </c>
      <c r="D625" s="365">
        <v>143526200</v>
      </c>
      <c r="F625" s="711" t="s">
        <v>1657</v>
      </c>
      <c r="G625" s="711">
        <v>1.1000000000000001</v>
      </c>
      <c r="H625" s="711">
        <v>1.1000000000000001</v>
      </c>
      <c r="I625" s="711">
        <v>1.3</v>
      </c>
    </row>
    <row r="626" spans="1:9" outlineLevel="1">
      <c r="F626" s="711" t="s">
        <v>1658</v>
      </c>
      <c r="G626" s="909">
        <v>901800</v>
      </c>
      <c r="H626" s="909">
        <v>29700</v>
      </c>
      <c r="I626" s="909">
        <v>513500</v>
      </c>
    </row>
    <row r="627" spans="1:9" outlineLevel="1">
      <c r="F627" s="711" t="s">
        <v>1624</v>
      </c>
      <c r="G627" s="909">
        <v>12152100</v>
      </c>
      <c r="H627" s="909">
        <v>484100</v>
      </c>
      <c r="I627" s="909">
        <v>4162900</v>
      </c>
    </row>
    <row r="628" spans="1:9" outlineLevel="1">
      <c r="A628" s="711" t="s">
        <v>1659</v>
      </c>
      <c r="B628" s="711" t="s">
        <v>1660</v>
      </c>
    </row>
    <row r="629" spans="1:9" outlineLevel="1">
      <c r="A629" s="711" t="s">
        <v>1661</v>
      </c>
      <c r="B629" s="909">
        <f>D625+I627</f>
        <v>147689100</v>
      </c>
    </row>
    <row r="630" spans="1:9" outlineLevel="1">
      <c r="A630" s="711" t="s">
        <v>1662</v>
      </c>
      <c r="B630" s="910" t="e">
        <f>(D624*Diesel_CO2)+(I626*electricity_2020_CO2)</f>
        <v>#REF!</v>
      </c>
    </row>
    <row r="631" spans="1:9" outlineLevel="1">
      <c r="A631" s="711" t="s">
        <v>1663</v>
      </c>
      <c r="B631" s="910" t="e">
        <f>(D624*Diesel_CH4)+(I626*electricity_2020_CH4)</f>
        <v>#REF!</v>
      </c>
      <c r="C631" s="48"/>
    </row>
    <row r="632" spans="1:9" outlineLevel="1">
      <c r="A632" s="711" t="s">
        <v>1664</v>
      </c>
      <c r="B632" s="910" t="e">
        <f>(D624*Diesel_N2O)+(I626*electricity_2020_N2O)</f>
        <v>#REF!</v>
      </c>
      <c r="C632" s="48"/>
    </row>
    <row r="633" spans="1:9" outlineLevel="1"/>
    <row r="634" spans="1:9" outlineLevel="1">
      <c r="A634" t="s">
        <v>1665</v>
      </c>
    </row>
    <row r="635" spans="1:9" outlineLevel="1">
      <c r="A635" t="s">
        <v>1666</v>
      </c>
    </row>
    <row r="636" spans="1:9" outlineLevel="1">
      <c r="D636" s="153" t="s">
        <v>1667</v>
      </c>
    </row>
    <row r="637" spans="1:9" outlineLevel="1">
      <c r="A637" s="911" t="s">
        <v>1668</v>
      </c>
      <c r="B637" s="911" t="s">
        <v>1669</v>
      </c>
      <c r="C637" s="912">
        <v>2018</v>
      </c>
      <c r="D637" s="153" t="s">
        <v>1670</v>
      </c>
    </row>
    <row r="638" spans="1:9" outlineLevel="1">
      <c r="A638" s="913" t="s">
        <v>1671</v>
      </c>
      <c r="B638" s="913" t="s">
        <v>96</v>
      </c>
      <c r="C638" s="914">
        <v>24783205.570287488</v>
      </c>
      <c r="D638" s="377">
        <f>SUM(B651:B662)+SUM(C651:C662)+SUM(D651:D662)</f>
        <v>269506640</v>
      </c>
    </row>
    <row r="639" spans="1:9" outlineLevel="1">
      <c r="A639" s="915" t="s">
        <v>1672</v>
      </c>
      <c r="B639" s="915" t="s">
        <v>1673</v>
      </c>
      <c r="C639" s="916">
        <v>811262.6</v>
      </c>
      <c r="D639" s="377">
        <f>SUM(E651:E662)</f>
        <v>57925242</v>
      </c>
    </row>
    <row r="640" spans="1:9" outlineLevel="1">
      <c r="A640" s="378"/>
      <c r="B640" s="378"/>
      <c r="C640" s="379"/>
      <c r="D640" s="377"/>
    </row>
    <row r="641" spans="1:6" outlineLevel="1">
      <c r="A641" s="378" t="s">
        <v>1674</v>
      </c>
      <c r="B641" s="378">
        <v>2018</v>
      </c>
      <c r="C641" s="379"/>
      <c r="D641" s="377"/>
    </row>
    <row r="642" spans="1:6" outlineLevel="1">
      <c r="A642" s="378" t="s">
        <v>1675</v>
      </c>
      <c r="B642" s="380" t="e">
        <f>($C$638*electricity_2020_CO2)+($C$639*Diesel_CO2)</f>
        <v>#REF!</v>
      </c>
      <c r="C642" s="379"/>
      <c r="D642" s="377"/>
    </row>
    <row r="643" spans="1:6" outlineLevel="1">
      <c r="A643" s="378" t="s">
        <v>337</v>
      </c>
      <c r="B643" s="380" t="e">
        <f>($C$638*electricity_2020_CH4)+($C$639*Diesel_CH4)</f>
        <v>#REF!</v>
      </c>
      <c r="C643" s="379"/>
      <c r="D643" s="377"/>
    </row>
    <row r="644" spans="1:6" outlineLevel="1">
      <c r="A644" s="378" t="s">
        <v>338</v>
      </c>
      <c r="B644" s="380" t="e">
        <f>($C$638*electricity_2020_N2O)+($C$639*Diesel_N2O)</f>
        <v>#REF!</v>
      </c>
      <c r="C644" s="379"/>
      <c r="D644" s="377"/>
    </row>
    <row r="645" spans="1:6" outlineLevel="1"/>
    <row r="646" spans="1:6" outlineLevel="1">
      <c r="A646" t="s">
        <v>1676</v>
      </c>
    </row>
    <row r="647" spans="1:6" outlineLevel="1">
      <c r="A647" t="s">
        <v>1677</v>
      </c>
    </row>
    <row r="648" spans="1:6" outlineLevel="1"/>
    <row r="649" spans="1:6" ht="15.75" outlineLevel="1">
      <c r="A649" s="2019" t="s">
        <v>1678</v>
      </c>
      <c r="B649" s="2019"/>
      <c r="C649" s="2019"/>
      <c r="D649" s="2019"/>
      <c r="E649" s="2019"/>
      <c r="F649" s="2019"/>
    </row>
    <row r="650" spans="1:6" outlineLevel="1">
      <c r="A650" s="376"/>
      <c r="B650" s="1637" t="s">
        <v>1679</v>
      </c>
      <c r="C650" s="1638" t="s">
        <v>1680</v>
      </c>
      <c r="D650" s="1772" t="s">
        <v>1681</v>
      </c>
      <c r="E650" s="1639" t="s">
        <v>1682</v>
      </c>
      <c r="F650" s="1640" t="s">
        <v>1683</v>
      </c>
    </row>
    <row r="651" spans="1:6" outlineLevel="1">
      <c r="A651" s="375">
        <v>43101</v>
      </c>
      <c r="B651" s="374">
        <v>6571342</v>
      </c>
      <c r="C651" s="373">
        <v>775014</v>
      </c>
      <c r="D651" s="373">
        <v>9697604</v>
      </c>
      <c r="E651" s="373">
        <v>4312750</v>
      </c>
      <c r="F651" s="372">
        <f t="shared" ref="F651:F662" si="21">SUM(B651:E651)</f>
        <v>21356710</v>
      </c>
    </row>
    <row r="652" spans="1:6" outlineLevel="1">
      <c r="A652" s="375">
        <v>43132</v>
      </c>
      <c r="B652" s="374">
        <v>7566147</v>
      </c>
      <c r="C652" s="373">
        <v>972845</v>
      </c>
      <c r="D652" s="373">
        <v>11874601</v>
      </c>
      <c r="E652" s="373">
        <v>4371642</v>
      </c>
      <c r="F652" s="372">
        <f t="shared" si="21"/>
        <v>24785235</v>
      </c>
    </row>
    <row r="653" spans="1:6" outlineLevel="1">
      <c r="A653" s="375">
        <v>43160</v>
      </c>
      <c r="B653" s="374">
        <v>9383961</v>
      </c>
      <c r="C653" s="373">
        <v>1113606</v>
      </c>
      <c r="D653" s="373">
        <v>14027005</v>
      </c>
      <c r="E653" s="373">
        <v>5257727</v>
      </c>
      <c r="F653" s="372">
        <f t="shared" si="21"/>
        <v>29782299</v>
      </c>
    </row>
    <row r="654" spans="1:6" outlineLevel="1">
      <c r="A654" s="375">
        <v>43191</v>
      </c>
      <c r="B654" s="374">
        <v>8132135</v>
      </c>
      <c r="C654" s="373">
        <v>960635</v>
      </c>
      <c r="D654" s="373">
        <v>12297449</v>
      </c>
      <c r="E654" s="373">
        <v>4643093</v>
      </c>
      <c r="F654" s="372">
        <f t="shared" si="21"/>
        <v>26033312</v>
      </c>
    </row>
    <row r="655" spans="1:6" outlineLevel="1">
      <c r="A655" s="375">
        <v>43221</v>
      </c>
      <c r="B655" s="374">
        <v>9656935</v>
      </c>
      <c r="C655" s="373">
        <v>1170796</v>
      </c>
      <c r="D655" s="373">
        <v>14571231</v>
      </c>
      <c r="E655" s="373">
        <v>5331475</v>
      </c>
      <c r="F655" s="372">
        <f t="shared" si="21"/>
        <v>30730437</v>
      </c>
    </row>
    <row r="656" spans="1:6" outlineLevel="1">
      <c r="A656" s="375">
        <v>43252</v>
      </c>
      <c r="B656" s="374">
        <v>8400855</v>
      </c>
      <c r="C656" s="373">
        <v>1039387</v>
      </c>
      <c r="D656" s="373">
        <v>12545645</v>
      </c>
      <c r="E656" s="373">
        <v>4578268</v>
      </c>
      <c r="F656" s="372">
        <f t="shared" si="21"/>
        <v>26564155</v>
      </c>
    </row>
    <row r="657" spans="1:139" outlineLevel="1">
      <c r="A657" s="371">
        <v>43282</v>
      </c>
      <c r="B657" s="370">
        <v>9151051</v>
      </c>
      <c r="C657" s="369">
        <v>1059187</v>
      </c>
      <c r="D657" s="369">
        <v>13391932</v>
      </c>
      <c r="E657" s="369">
        <v>5150189</v>
      </c>
      <c r="F657" s="368">
        <f t="shared" si="21"/>
        <v>28752359</v>
      </c>
    </row>
    <row r="658" spans="1:139" outlineLevel="1">
      <c r="A658" s="371">
        <v>43313</v>
      </c>
      <c r="B658" s="370">
        <v>9671644</v>
      </c>
      <c r="C658" s="369">
        <v>1088148</v>
      </c>
      <c r="D658" s="369">
        <v>14504287</v>
      </c>
      <c r="E658" s="369">
        <v>5285531</v>
      </c>
      <c r="F658" s="368">
        <f t="shared" si="21"/>
        <v>30549610</v>
      </c>
    </row>
    <row r="659" spans="1:139" outlineLevel="1">
      <c r="A659" s="371">
        <v>43344</v>
      </c>
      <c r="B659" s="370">
        <v>8826788</v>
      </c>
      <c r="C659" s="369">
        <v>982587</v>
      </c>
      <c r="D659" s="369">
        <v>13378261</v>
      </c>
      <c r="E659" s="369">
        <v>4566696</v>
      </c>
      <c r="F659" s="368">
        <f t="shared" si="21"/>
        <v>27754332</v>
      </c>
    </row>
    <row r="660" spans="1:139" outlineLevel="1">
      <c r="A660" s="371">
        <v>43374</v>
      </c>
      <c r="B660" s="370">
        <v>9211475</v>
      </c>
      <c r="C660" s="369">
        <v>992829</v>
      </c>
      <c r="D660" s="369">
        <v>14010908</v>
      </c>
      <c r="E660" s="369">
        <v>5227299</v>
      </c>
      <c r="F660" s="368">
        <f t="shared" si="21"/>
        <v>29442511</v>
      </c>
    </row>
    <row r="661" spans="1:139" outlineLevel="1">
      <c r="A661" s="371">
        <v>43405</v>
      </c>
      <c r="B661" s="370">
        <v>9198922</v>
      </c>
      <c r="C661" s="369">
        <v>982145</v>
      </c>
      <c r="D661" s="369">
        <v>14183132</v>
      </c>
      <c r="E661" s="369">
        <v>5194355</v>
      </c>
      <c r="F661" s="368">
        <f t="shared" si="21"/>
        <v>29558554</v>
      </c>
    </row>
    <row r="662" spans="1:139" outlineLevel="1">
      <c r="A662" s="371">
        <v>43435</v>
      </c>
      <c r="B662" s="370">
        <v>6864574</v>
      </c>
      <c r="C662" s="369">
        <v>766048</v>
      </c>
      <c r="D662" s="369">
        <v>10485529</v>
      </c>
      <c r="E662" s="369">
        <v>4006217</v>
      </c>
      <c r="F662" s="368">
        <f t="shared" si="21"/>
        <v>22122368</v>
      </c>
    </row>
    <row r="663" spans="1:139" outlineLevel="1"/>
    <row r="664" spans="1:139" outlineLevel="1"/>
    <row r="665" spans="1:139">
      <c r="B665" s="229"/>
    </row>
    <row r="667" spans="1:139">
      <c r="B667" s="429"/>
    </row>
    <row r="669" spans="1:139">
      <c r="A669" s="224" t="s">
        <v>1684</v>
      </c>
      <c r="B669" s="224"/>
      <c r="C669" s="224"/>
      <c r="D669" s="224"/>
    </row>
    <row r="671" spans="1:139">
      <c r="A671" s="262" t="s">
        <v>1685</v>
      </c>
      <c r="B671" s="263">
        <v>1.1499999999999999</v>
      </c>
      <c r="C671" s="263">
        <v>1.1499999999999999</v>
      </c>
      <c r="D671" s="263">
        <v>1.1499999999999999</v>
      </c>
      <c r="E671" s="263">
        <v>1.1499999999999999</v>
      </c>
      <c r="F671" s="263">
        <v>1.1499999999999999</v>
      </c>
      <c r="G671" s="263">
        <v>1.1499999999999999</v>
      </c>
      <c r="H671" s="263">
        <v>1.1499999999999999</v>
      </c>
      <c r="I671" s="263">
        <v>1.1499999999999999</v>
      </c>
      <c r="J671" s="263">
        <v>1.1499999999999999</v>
      </c>
      <c r="K671" s="263">
        <v>1.1499999999999999</v>
      </c>
      <c r="L671" s="263">
        <v>1.1499999999999999</v>
      </c>
      <c r="M671" s="263">
        <v>1.1499999999999999</v>
      </c>
      <c r="N671" s="263">
        <v>1.1499999999999999</v>
      </c>
      <c r="O671" s="263">
        <v>1.1499999999999999</v>
      </c>
      <c r="P671" s="263">
        <v>1.1499999999999999</v>
      </c>
      <c r="Q671" s="263">
        <v>1.1499999999999999</v>
      </c>
      <c r="R671" s="263">
        <v>1.1499999999999999</v>
      </c>
      <c r="S671" s="263">
        <v>1.1499999999999999</v>
      </c>
      <c r="T671" s="263">
        <v>1.1499999999999999</v>
      </c>
      <c r="U671" s="263">
        <v>1.1499999999999999</v>
      </c>
      <c r="V671" s="263">
        <v>1.1499999999999999</v>
      </c>
      <c r="W671" s="263">
        <v>1.1499999999999999</v>
      </c>
      <c r="X671" s="263">
        <v>1.1499999999999999</v>
      </c>
      <c r="Y671" s="263">
        <v>1.1499999999999999</v>
      </c>
      <c r="Z671" s="263">
        <v>1.1499999999999999</v>
      </c>
      <c r="AA671" s="263">
        <v>1.1499999999999999</v>
      </c>
      <c r="AB671" s="263">
        <v>1.1499999999999999</v>
      </c>
      <c r="AC671" s="263">
        <v>1.1499999999999999</v>
      </c>
      <c r="AD671" s="263">
        <v>1.1499999999999999</v>
      </c>
      <c r="AE671" s="263">
        <v>1.1499999999999999</v>
      </c>
      <c r="AF671" s="263">
        <v>1.1499999999999999</v>
      </c>
      <c r="AG671" s="263">
        <v>1.1499999999999999</v>
      </c>
      <c r="AH671" s="263">
        <v>1.1499999999999999</v>
      </c>
      <c r="AI671" s="263">
        <v>1.1499999999999999</v>
      </c>
      <c r="AJ671" s="263">
        <v>1.1499999999999999</v>
      </c>
      <c r="AK671" s="263">
        <v>1.1499999999999999</v>
      </c>
      <c r="AL671" s="263">
        <v>1.1499999999999999</v>
      </c>
      <c r="AM671" s="263">
        <v>1.1499999999999999</v>
      </c>
      <c r="AN671" s="263">
        <v>1.1499999999999999</v>
      </c>
      <c r="AO671" s="263">
        <v>1.1499999999999999</v>
      </c>
      <c r="AP671" s="263">
        <v>1.1499999999999999</v>
      </c>
      <c r="AQ671" s="263">
        <v>1.1499999999999999</v>
      </c>
      <c r="AR671" s="263">
        <v>1.1499999999999999</v>
      </c>
      <c r="AS671" s="263">
        <v>1.1499999999999999</v>
      </c>
      <c r="AT671" s="263">
        <v>1.1499999999999999</v>
      </c>
      <c r="AU671" s="263">
        <v>1.1499999999999999</v>
      </c>
      <c r="AV671" s="263">
        <v>1.1499999999999999</v>
      </c>
      <c r="AW671" s="263">
        <v>1.1499999999999999</v>
      </c>
      <c r="AX671" s="263">
        <v>1.1499999999999999</v>
      </c>
      <c r="AY671" s="263">
        <v>1.1000000000000001</v>
      </c>
      <c r="AZ671" s="263">
        <v>1.1000000000000001</v>
      </c>
      <c r="BA671" s="263">
        <v>1.1000000000000001</v>
      </c>
      <c r="BB671" s="263">
        <v>1.1000000000000001</v>
      </c>
      <c r="BC671" s="263">
        <v>1.1000000000000001</v>
      </c>
      <c r="BD671" s="263">
        <v>1.1499999999999999</v>
      </c>
      <c r="BE671" s="263">
        <v>1.1499999999999999</v>
      </c>
      <c r="BF671" s="263">
        <v>1.1499999999999999</v>
      </c>
      <c r="BG671" s="263">
        <v>1.1499999999999999</v>
      </c>
      <c r="BH671" s="263">
        <v>1.1499999999999999</v>
      </c>
      <c r="BI671" s="263">
        <v>1.1000000000000001</v>
      </c>
      <c r="BJ671" s="263">
        <v>1.1000000000000001</v>
      </c>
      <c r="BK671" s="263">
        <v>1.1000000000000001</v>
      </c>
      <c r="BL671" s="263">
        <v>1.1000000000000001</v>
      </c>
      <c r="BM671" s="263">
        <v>1.1000000000000001</v>
      </c>
      <c r="BN671" s="263">
        <v>1.1499999999999999</v>
      </c>
      <c r="BO671" s="263">
        <v>1.1499999999999999</v>
      </c>
      <c r="BP671" s="263">
        <v>1.1499999999999999</v>
      </c>
      <c r="BQ671" s="263">
        <v>1.1499999999999999</v>
      </c>
      <c r="BR671" s="263">
        <v>1.1499999999999999</v>
      </c>
      <c r="BS671" s="263">
        <v>1.1000000000000001</v>
      </c>
      <c r="BT671" s="263">
        <v>1.1000000000000001</v>
      </c>
      <c r="BU671" s="263">
        <v>1.1000000000000001</v>
      </c>
      <c r="BV671" s="263">
        <v>1.1000000000000001</v>
      </c>
      <c r="BW671" s="263">
        <v>1.1000000000000001</v>
      </c>
      <c r="BX671" s="263">
        <v>1.1000000000000001</v>
      </c>
      <c r="BY671" s="263">
        <v>1.1000000000000001</v>
      </c>
      <c r="BZ671" s="263">
        <v>1.1000000000000001</v>
      </c>
      <c r="CA671" s="263">
        <v>1.1000000000000001</v>
      </c>
      <c r="CB671" s="263">
        <v>1.1000000000000001</v>
      </c>
      <c r="CC671" s="263">
        <v>1.1499999999999999</v>
      </c>
      <c r="CD671" s="263">
        <v>1.1499999999999999</v>
      </c>
      <c r="CE671" s="263">
        <v>1.1499999999999999</v>
      </c>
      <c r="CF671" s="263">
        <v>1.1499999999999999</v>
      </c>
      <c r="CG671" s="263">
        <v>1.1499999999999999</v>
      </c>
      <c r="CH671" s="263">
        <v>1.1499999999999999</v>
      </c>
      <c r="CI671" s="263">
        <v>1.1499999999999999</v>
      </c>
      <c r="CJ671" s="263">
        <v>1.1499999999999999</v>
      </c>
      <c r="CK671" s="263">
        <v>1.1499999999999999</v>
      </c>
      <c r="CL671" s="263">
        <v>1.1499999999999999</v>
      </c>
      <c r="CM671" s="263">
        <v>1.1000000000000001</v>
      </c>
      <c r="CN671" s="263">
        <v>1.1000000000000001</v>
      </c>
      <c r="CO671" s="263">
        <v>1.1000000000000001</v>
      </c>
      <c r="CP671" s="263">
        <v>1.1000000000000001</v>
      </c>
      <c r="CQ671" s="263">
        <v>1.1000000000000001</v>
      </c>
      <c r="CR671" s="263">
        <v>1.1000000000000001</v>
      </c>
      <c r="CS671" s="263">
        <v>1.1000000000000001</v>
      </c>
      <c r="CT671" s="263">
        <v>1.1000000000000001</v>
      </c>
      <c r="CU671" s="263">
        <v>1.1000000000000001</v>
      </c>
      <c r="CV671" s="263">
        <v>1.1000000000000001</v>
      </c>
      <c r="CW671" s="263">
        <v>1.05</v>
      </c>
      <c r="CX671" s="263">
        <v>1.05</v>
      </c>
      <c r="CY671" s="263">
        <v>1.05</v>
      </c>
      <c r="CZ671" s="263">
        <v>1.05</v>
      </c>
      <c r="DA671" s="263">
        <v>1.1000000000000001</v>
      </c>
      <c r="DB671" s="263">
        <v>1.1000000000000001</v>
      </c>
      <c r="DC671" s="263">
        <v>1.1000000000000001</v>
      </c>
      <c r="DD671" s="263">
        <v>1.1000000000000001</v>
      </c>
      <c r="DE671" s="263">
        <v>1.1000000000000001</v>
      </c>
      <c r="DF671" s="263">
        <v>1.05</v>
      </c>
      <c r="DG671" s="263">
        <v>1.05</v>
      </c>
      <c r="DH671" s="263">
        <v>1.05</v>
      </c>
      <c r="DI671" s="263">
        <v>1.05</v>
      </c>
      <c r="DJ671" s="263">
        <v>1.1000000000000001</v>
      </c>
      <c r="DK671" s="263">
        <v>1.1000000000000001</v>
      </c>
      <c r="DL671" s="263">
        <v>1.1000000000000001</v>
      </c>
      <c r="DM671" s="263">
        <v>1.1000000000000001</v>
      </c>
      <c r="DN671" s="263">
        <v>1.1000000000000001</v>
      </c>
      <c r="DO671" s="263">
        <v>1.05</v>
      </c>
      <c r="DP671" s="263">
        <v>1.05</v>
      </c>
      <c r="DQ671" s="263">
        <v>1.05</v>
      </c>
      <c r="DR671" s="263">
        <v>1.05</v>
      </c>
      <c r="DS671" s="263">
        <v>1.1000000000000001</v>
      </c>
      <c r="DT671" s="263">
        <v>1.1000000000000001</v>
      </c>
      <c r="DU671" s="263">
        <v>1.1000000000000001</v>
      </c>
      <c r="DV671" s="263">
        <v>1.1000000000000001</v>
      </c>
      <c r="DW671" s="263">
        <v>1.1000000000000001</v>
      </c>
      <c r="DX671" s="263">
        <v>1.1000000000000001</v>
      </c>
      <c r="DY671" s="263">
        <v>1.1000000000000001</v>
      </c>
      <c r="DZ671" s="263">
        <v>1.1000000000000001</v>
      </c>
      <c r="EA671" s="263">
        <v>1.1000000000000001</v>
      </c>
      <c r="EB671" s="263">
        <v>1.1000000000000001</v>
      </c>
      <c r="EC671" s="263">
        <v>1.1000000000000001</v>
      </c>
      <c r="ED671" s="263">
        <v>1.1000000000000001</v>
      </c>
      <c r="EE671" s="263">
        <v>1.1000000000000001</v>
      </c>
      <c r="EF671" s="263">
        <v>1.1000000000000001</v>
      </c>
      <c r="EG671" s="263">
        <v>1.1000000000000001</v>
      </c>
      <c r="EH671" s="263">
        <v>1.1000000000000001</v>
      </c>
      <c r="EI671" s="263">
        <v>1.1000000000000001</v>
      </c>
    </row>
    <row r="672" spans="1:139">
      <c r="A672" s="245"/>
      <c r="B672" s="254" t="s">
        <v>1493</v>
      </c>
      <c r="C672" s="254" t="s">
        <v>1493</v>
      </c>
      <c r="D672" s="254" t="s">
        <v>1493</v>
      </c>
      <c r="E672" s="254" t="s">
        <v>1493</v>
      </c>
      <c r="F672" s="254" t="s">
        <v>1493</v>
      </c>
      <c r="G672" s="254" t="s">
        <v>1493</v>
      </c>
      <c r="H672" s="254" t="s">
        <v>1493</v>
      </c>
      <c r="I672" s="254" t="s">
        <v>1493</v>
      </c>
      <c r="J672" s="254" t="s">
        <v>1493</v>
      </c>
      <c r="K672" s="254" t="s">
        <v>1493</v>
      </c>
      <c r="L672" s="254" t="s">
        <v>1493</v>
      </c>
      <c r="M672" s="254" t="s">
        <v>1493</v>
      </c>
      <c r="N672" s="254" t="s">
        <v>1493</v>
      </c>
      <c r="O672" s="254" t="s">
        <v>1493</v>
      </c>
      <c r="P672" s="254" t="s">
        <v>1493</v>
      </c>
      <c r="Q672" s="254" t="s">
        <v>1493</v>
      </c>
      <c r="R672" s="254" t="s">
        <v>1493</v>
      </c>
      <c r="S672" s="254" t="s">
        <v>1493</v>
      </c>
      <c r="T672" s="254" t="s">
        <v>1493</v>
      </c>
      <c r="U672" s="254" t="s">
        <v>1493</v>
      </c>
      <c r="V672" s="254" t="s">
        <v>1493</v>
      </c>
      <c r="W672" s="254" t="s">
        <v>1493</v>
      </c>
      <c r="X672" s="254" t="s">
        <v>1493</v>
      </c>
      <c r="Y672" s="254" t="s">
        <v>1493</v>
      </c>
      <c r="Z672" s="254" t="s">
        <v>1493</v>
      </c>
      <c r="AA672" s="254" t="s">
        <v>1493</v>
      </c>
      <c r="AB672" s="254" t="s">
        <v>1493</v>
      </c>
      <c r="AC672" s="254" t="s">
        <v>1493</v>
      </c>
      <c r="AD672" s="254" t="s">
        <v>1493</v>
      </c>
      <c r="AE672" s="254" t="s">
        <v>1493</v>
      </c>
      <c r="AF672" s="254" t="s">
        <v>1493</v>
      </c>
      <c r="AG672" s="254" t="s">
        <v>1493</v>
      </c>
      <c r="AH672" s="254" t="s">
        <v>1493</v>
      </c>
      <c r="AI672" s="254" t="s">
        <v>1493</v>
      </c>
      <c r="AJ672" s="254" t="s">
        <v>1493</v>
      </c>
      <c r="AK672" s="254" t="s">
        <v>1493</v>
      </c>
      <c r="AL672" s="254" t="s">
        <v>1493</v>
      </c>
      <c r="AM672" s="254" t="s">
        <v>1493</v>
      </c>
      <c r="AN672" s="254" t="s">
        <v>1493</v>
      </c>
      <c r="AO672" s="254" t="s">
        <v>1493</v>
      </c>
      <c r="AP672" s="254" t="s">
        <v>1493</v>
      </c>
      <c r="AQ672" s="254" t="s">
        <v>1493</v>
      </c>
      <c r="AR672" s="254" t="s">
        <v>1493</v>
      </c>
      <c r="AS672" s="254" t="s">
        <v>1493</v>
      </c>
      <c r="AT672" s="254" t="s">
        <v>1493</v>
      </c>
      <c r="AU672" s="253" t="s">
        <v>1494</v>
      </c>
      <c r="AV672" s="253" t="s">
        <v>1494</v>
      </c>
      <c r="AW672" s="253" t="s">
        <v>1494</v>
      </c>
      <c r="AX672" s="253" t="s">
        <v>1494</v>
      </c>
      <c r="AY672" s="259" t="s">
        <v>1495</v>
      </c>
      <c r="AZ672" s="259" t="s">
        <v>1495</v>
      </c>
      <c r="BA672" s="259" t="s">
        <v>1495</v>
      </c>
      <c r="BB672" s="259" t="s">
        <v>1495</v>
      </c>
      <c r="BC672" s="259" t="s">
        <v>1495</v>
      </c>
      <c r="BD672" s="259" t="s">
        <v>1495</v>
      </c>
      <c r="BE672" s="259" t="s">
        <v>1495</v>
      </c>
      <c r="BF672" s="259" t="s">
        <v>1495</v>
      </c>
      <c r="BG672" s="259" t="s">
        <v>1495</v>
      </c>
      <c r="BH672" s="259" t="s">
        <v>1495</v>
      </c>
      <c r="BI672" s="259" t="s">
        <v>1495</v>
      </c>
      <c r="BJ672" s="259" t="s">
        <v>1495</v>
      </c>
      <c r="BK672" s="259" t="s">
        <v>1495</v>
      </c>
      <c r="BL672" s="259" t="s">
        <v>1495</v>
      </c>
      <c r="BM672" s="259" t="s">
        <v>1495</v>
      </c>
      <c r="BN672" s="259" t="s">
        <v>1495</v>
      </c>
      <c r="BO672" s="259" t="s">
        <v>1495</v>
      </c>
      <c r="BP672" s="259" t="s">
        <v>1495</v>
      </c>
      <c r="BQ672" s="259" t="s">
        <v>1495</v>
      </c>
      <c r="BR672" s="259" t="s">
        <v>1495</v>
      </c>
      <c r="BS672" s="259" t="s">
        <v>1495</v>
      </c>
      <c r="BT672" s="259" t="s">
        <v>1495</v>
      </c>
      <c r="BU672" s="259" t="s">
        <v>1495</v>
      </c>
      <c r="BV672" s="259" t="s">
        <v>1495</v>
      </c>
      <c r="BW672" s="259" t="s">
        <v>1495</v>
      </c>
      <c r="BX672" s="259" t="s">
        <v>1495</v>
      </c>
      <c r="BY672" s="259" t="s">
        <v>1495</v>
      </c>
      <c r="BZ672" s="259" t="s">
        <v>1495</v>
      </c>
      <c r="CA672" s="259" t="s">
        <v>1495</v>
      </c>
      <c r="CB672" s="259" t="s">
        <v>1495</v>
      </c>
      <c r="CC672" s="259" t="s">
        <v>1495</v>
      </c>
      <c r="CD672" s="259" t="s">
        <v>1495</v>
      </c>
      <c r="CE672" s="259" t="s">
        <v>1495</v>
      </c>
      <c r="CF672" s="259" t="s">
        <v>1495</v>
      </c>
      <c r="CG672" s="259" t="s">
        <v>1495</v>
      </c>
      <c r="CH672" s="259" t="s">
        <v>1495</v>
      </c>
      <c r="CI672" s="259" t="s">
        <v>1495</v>
      </c>
      <c r="CJ672" s="259" t="s">
        <v>1495</v>
      </c>
      <c r="CK672" s="259" t="s">
        <v>1495</v>
      </c>
      <c r="CL672" s="259" t="s">
        <v>1495</v>
      </c>
      <c r="CM672" s="259" t="s">
        <v>1495</v>
      </c>
      <c r="CN672" s="259" t="s">
        <v>1495</v>
      </c>
      <c r="CO672" s="259" t="s">
        <v>1495</v>
      </c>
      <c r="CP672" s="259" t="s">
        <v>1495</v>
      </c>
      <c r="CQ672" s="259" t="s">
        <v>1495</v>
      </c>
      <c r="CR672" s="254" t="s">
        <v>1496</v>
      </c>
      <c r="CS672" s="254" t="s">
        <v>1496</v>
      </c>
      <c r="CT672" s="254" t="s">
        <v>1496</v>
      </c>
      <c r="CU672" s="254" t="s">
        <v>1496</v>
      </c>
      <c r="CV672" s="254" t="s">
        <v>1496</v>
      </c>
      <c r="CW672" s="254" t="s">
        <v>1496</v>
      </c>
      <c r="CX672" s="254" t="s">
        <v>1496</v>
      </c>
      <c r="CY672" s="254" t="s">
        <v>1496</v>
      </c>
      <c r="CZ672" s="254" t="s">
        <v>1496</v>
      </c>
      <c r="DA672" s="254" t="s">
        <v>1496</v>
      </c>
      <c r="DB672" s="254" t="s">
        <v>1496</v>
      </c>
      <c r="DC672" s="254" t="s">
        <v>1496</v>
      </c>
      <c r="DD672" s="254" t="s">
        <v>1496</v>
      </c>
      <c r="DE672" s="254" t="s">
        <v>1496</v>
      </c>
      <c r="DF672" s="254" t="s">
        <v>1496</v>
      </c>
      <c r="DG672" s="254" t="s">
        <v>1496</v>
      </c>
      <c r="DH672" s="254" t="s">
        <v>1496</v>
      </c>
      <c r="DI672" s="254" t="s">
        <v>1496</v>
      </c>
      <c r="DJ672" s="254" t="s">
        <v>1496</v>
      </c>
      <c r="DK672" s="254" t="s">
        <v>1496</v>
      </c>
      <c r="DL672" s="254" t="s">
        <v>1496</v>
      </c>
      <c r="DM672" s="254" t="s">
        <v>1496</v>
      </c>
      <c r="DN672" s="254" t="s">
        <v>1496</v>
      </c>
      <c r="DO672" s="254" t="s">
        <v>1496</v>
      </c>
      <c r="DP672" s="254" t="s">
        <v>1496</v>
      </c>
      <c r="DQ672" s="254" t="s">
        <v>1496</v>
      </c>
      <c r="DR672" s="254" t="s">
        <v>1496</v>
      </c>
      <c r="DS672" s="254" t="s">
        <v>1496</v>
      </c>
      <c r="DT672" s="254" t="s">
        <v>1496</v>
      </c>
      <c r="DU672" s="254" t="s">
        <v>1496</v>
      </c>
      <c r="DV672" s="254" t="s">
        <v>1496</v>
      </c>
      <c r="DW672" s="254" t="s">
        <v>1496</v>
      </c>
      <c r="DX672" s="259" t="s">
        <v>1190</v>
      </c>
      <c r="DY672" s="259" t="s">
        <v>1190</v>
      </c>
      <c r="DZ672" s="259" t="s">
        <v>1190</v>
      </c>
      <c r="EA672" s="259" t="s">
        <v>1190</v>
      </c>
      <c r="EB672" s="259" t="s">
        <v>1190</v>
      </c>
      <c r="EC672" s="259" t="s">
        <v>1190</v>
      </c>
      <c r="ED672" s="259" t="s">
        <v>1190</v>
      </c>
      <c r="EE672" s="259" t="s">
        <v>1190</v>
      </c>
      <c r="EF672" s="259" t="s">
        <v>1190</v>
      </c>
      <c r="EG672" s="259" t="s">
        <v>1190</v>
      </c>
      <c r="EH672" s="259" t="s">
        <v>1190</v>
      </c>
      <c r="EI672" s="259" t="s">
        <v>1190</v>
      </c>
    </row>
    <row r="673" spans="1:139" ht="90">
      <c r="A673" s="247" t="s">
        <v>1686</v>
      </c>
      <c r="B673" s="258" t="s">
        <v>1497</v>
      </c>
      <c r="C673" s="258" t="s">
        <v>1498</v>
      </c>
      <c r="D673" s="258" t="s">
        <v>1499</v>
      </c>
      <c r="E673" s="258" t="s">
        <v>1500</v>
      </c>
      <c r="F673" s="258" t="s">
        <v>1501</v>
      </c>
      <c r="G673" s="258" t="s">
        <v>1502</v>
      </c>
      <c r="H673" s="258" t="s">
        <v>1503</v>
      </c>
      <c r="I673" s="258" t="s">
        <v>1504</v>
      </c>
      <c r="J673" s="258" t="s">
        <v>1505</v>
      </c>
      <c r="K673" s="258" t="s">
        <v>1506</v>
      </c>
      <c r="L673" s="258" t="s">
        <v>1507</v>
      </c>
      <c r="M673" s="258" t="s">
        <v>1508</v>
      </c>
      <c r="N673" s="258" t="s">
        <v>1509</v>
      </c>
      <c r="O673" s="258" t="s">
        <v>1510</v>
      </c>
      <c r="P673" s="258" t="s">
        <v>1511</v>
      </c>
      <c r="Q673" s="258" t="s">
        <v>1512</v>
      </c>
      <c r="R673" s="258" t="s">
        <v>1513</v>
      </c>
      <c r="S673" s="258" t="s">
        <v>1514</v>
      </c>
      <c r="T673" s="258" t="s">
        <v>1515</v>
      </c>
      <c r="U673" s="258" t="s">
        <v>1516</v>
      </c>
      <c r="V673" s="258" t="s">
        <v>1517</v>
      </c>
      <c r="W673" s="258" t="s">
        <v>1518</v>
      </c>
      <c r="X673" s="258" t="s">
        <v>1519</v>
      </c>
      <c r="Y673" s="258" t="s">
        <v>1520</v>
      </c>
      <c r="Z673" s="258" t="s">
        <v>1521</v>
      </c>
      <c r="AA673" s="258" t="s">
        <v>1522</v>
      </c>
      <c r="AB673" s="258" t="s">
        <v>1523</v>
      </c>
      <c r="AC673" s="258" t="s">
        <v>1524</v>
      </c>
      <c r="AD673" s="258" t="s">
        <v>1525</v>
      </c>
      <c r="AE673" s="258" t="s">
        <v>1526</v>
      </c>
      <c r="AF673" s="258" t="s">
        <v>1527</v>
      </c>
      <c r="AG673" s="258" t="s">
        <v>1528</v>
      </c>
      <c r="AH673" s="258" t="s">
        <v>1529</v>
      </c>
      <c r="AI673" s="258" t="s">
        <v>1530</v>
      </c>
      <c r="AJ673" s="258" t="s">
        <v>1531</v>
      </c>
      <c r="AK673" s="258" t="s">
        <v>1532</v>
      </c>
      <c r="AL673" s="258" t="s">
        <v>1533</v>
      </c>
      <c r="AM673" s="258" t="s">
        <v>1534</v>
      </c>
      <c r="AN673" s="258" t="s">
        <v>1535</v>
      </c>
      <c r="AO673" s="258" t="s">
        <v>1536</v>
      </c>
      <c r="AP673" s="258" t="s">
        <v>1537</v>
      </c>
      <c r="AQ673" s="258" t="s">
        <v>1538</v>
      </c>
      <c r="AR673" s="258" t="s">
        <v>1539</v>
      </c>
      <c r="AS673" s="258" t="s">
        <v>1540</v>
      </c>
      <c r="AT673" s="258" t="s">
        <v>1541</v>
      </c>
      <c r="AU673" s="257" t="s">
        <v>1542</v>
      </c>
      <c r="AV673" s="257" t="s">
        <v>1543</v>
      </c>
      <c r="AW673" s="257" t="s">
        <v>1544</v>
      </c>
      <c r="AX673" s="257" t="s">
        <v>1545</v>
      </c>
      <c r="AY673" s="260" t="s">
        <v>1497</v>
      </c>
      <c r="AZ673" s="260" t="s">
        <v>1498</v>
      </c>
      <c r="BA673" s="260" t="s">
        <v>1499</v>
      </c>
      <c r="BB673" s="260" t="s">
        <v>1500</v>
      </c>
      <c r="BC673" s="260" t="s">
        <v>1501</v>
      </c>
      <c r="BD673" s="260" t="s">
        <v>1502</v>
      </c>
      <c r="BE673" s="260" t="s">
        <v>1503</v>
      </c>
      <c r="BF673" s="260" t="s">
        <v>1504</v>
      </c>
      <c r="BG673" s="260" t="s">
        <v>1505</v>
      </c>
      <c r="BH673" s="260" t="s">
        <v>1506</v>
      </c>
      <c r="BI673" s="260" t="s">
        <v>1507</v>
      </c>
      <c r="BJ673" s="260" t="s">
        <v>1508</v>
      </c>
      <c r="BK673" s="260" t="s">
        <v>1509</v>
      </c>
      <c r="BL673" s="260" t="s">
        <v>1510</v>
      </c>
      <c r="BM673" s="260" t="s">
        <v>1511</v>
      </c>
      <c r="BN673" s="260" t="s">
        <v>1512</v>
      </c>
      <c r="BO673" s="260" t="s">
        <v>1513</v>
      </c>
      <c r="BP673" s="260" t="s">
        <v>1514</v>
      </c>
      <c r="BQ673" s="260" t="s">
        <v>1515</v>
      </c>
      <c r="BR673" s="260" t="s">
        <v>1516</v>
      </c>
      <c r="BS673" s="260" t="s">
        <v>1517</v>
      </c>
      <c r="BT673" s="260" t="s">
        <v>1518</v>
      </c>
      <c r="BU673" s="260" t="s">
        <v>1519</v>
      </c>
      <c r="BV673" s="260" t="s">
        <v>1520</v>
      </c>
      <c r="BW673" s="260" t="s">
        <v>1521</v>
      </c>
      <c r="BX673" s="260" t="s">
        <v>1522</v>
      </c>
      <c r="BY673" s="260" t="s">
        <v>1523</v>
      </c>
      <c r="BZ673" s="260" t="s">
        <v>1524</v>
      </c>
      <c r="CA673" s="260" t="s">
        <v>1525</v>
      </c>
      <c r="CB673" s="260" t="s">
        <v>1526</v>
      </c>
      <c r="CC673" s="260" t="s">
        <v>1527</v>
      </c>
      <c r="CD673" s="260" t="s">
        <v>1528</v>
      </c>
      <c r="CE673" s="260" t="s">
        <v>1529</v>
      </c>
      <c r="CF673" s="260" t="s">
        <v>1530</v>
      </c>
      <c r="CG673" s="260" t="s">
        <v>1531</v>
      </c>
      <c r="CH673" s="260" t="s">
        <v>1532</v>
      </c>
      <c r="CI673" s="260" t="s">
        <v>1533</v>
      </c>
      <c r="CJ673" s="260" t="s">
        <v>1534</v>
      </c>
      <c r="CK673" s="260" t="s">
        <v>1535</v>
      </c>
      <c r="CL673" s="260" t="s">
        <v>1536</v>
      </c>
      <c r="CM673" s="260" t="s">
        <v>1537</v>
      </c>
      <c r="CN673" s="260" t="s">
        <v>1538</v>
      </c>
      <c r="CO673" s="260" t="s">
        <v>1539</v>
      </c>
      <c r="CP673" s="260" t="s">
        <v>1540</v>
      </c>
      <c r="CQ673" s="260" t="s">
        <v>1541</v>
      </c>
      <c r="CR673" s="261" t="s">
        <v>1546</v>
      </c>
      <c r="CS673" s="261" t="s">
        <v>1547</v>
      </c>
      <c r="CT673" s="261" t="s">
        <v>1548</v>
      </c>
      <c r="CU673" s="261" t="s">
        <v>1549</v>
      </c>
      <c r="CV673" s="261" t="s">
        <v>1550</v>
      </c>
      <c r="CW673" s="261" t="s">
        <v>1551</v>
      </c>
      <c r="CX673" s="261" t="s">
        <v>1552</v>
      </c>
      <c r="CY673" s="261" t="s">
        <v>1553</v>
      </c>
      <c r="CZ673" s="261" t="s">
        <v>1554</v>
      </c>
      <c r="DA673" s="261" t="s">
        <v>1555</v>
      </c>
      <c r="DB673" s="261" t="s">
        <v>1556</v>
      </c>
      <c r="DC673" s="261" t="s">
        <v>1557</v>
      </c>
      <c r="DD673" s="261" t="s">
        <v>1558</v>
      </c>
      <c r="DE673" s="261" t="s">
        <v>1559</v>
      </c>
      <c r="DF673" s="261" t="s">
        <v>1560</v>
      </c>
      <c r="DG673" s="261" t="s">
        <v>1561</v>
      </c>
      <c r="DH673" s="261" t="s">
        <v>1562</v>
      </c>
      <c r="DI673" s="261" t="s">
        <v>1563</v>
      </c>
      <c r="DJ673" s="261" t="s">
        <v>1564</v>
      </c>
      <c r="DK673" s="261" t="s">
        <v>1565</v>
      </c>
      <c r="DL673" s="261" t="s">
        <v>1566</v>
      </c>
      <c r="DM673" s="261" t="s">
        <v>1567</v>
      </c>
      <c r="DN673" s="261" t="s">
        <v>1568</v>
      </c>
      <c r="DO673" s="261" t="s">
        <v>1569</v>
      </c>
      <c r="DP673" s="261" t="s">
        <v>1570</v>
      </c>
      <c r="DQ673" s="261" t="s">
        <v>1571</v>
      </c>
      <c r="DR673" s="261" t="s">
        <v>1572</v>
      </c>
      <c r="DS673" s="261" t="s">
        <v>1573</v>
      </c>
      <c r="DT673" s="261" t="s">
        <v>1574</v>
      </c>
      <c r="DU673" s="261" t="s">
        <v>1575</v>
      </c>
      <c r="DV673" s="261" t="s">
        <v>1576</v>
      </c>
      <c r="DW673" s="261" t="s">
        <v>1577</v>
      </c>
      <c r="DX673" s="249" t="s">
        <v>1578</v>
      </c>
      <c r="DY673" s="249" t="s">
        <v>1579</v>
      </c>
      <c r="DZ673" s="249" t="s">
        <v>1580</v>
      </c>
      <c r="EA673" s="249" t="s">
        <v>1581</v>
      </c>
      <c r="EB673" s="249" t="s">
        <v>1582</v>
      </c>
      <c r="EC673" s="249" t="s">
        <v>1583</v>
      </c>
      <c r="ED673" s="249" t="s">
        <v>1584</v>
      </c>
      <c r="EE673" s="249" t="s">
        <v>1585</v>
      </c>
      <c r="EF673" s="249" t="s">
        <v>1586</v>
      </c>
      <c r="EG673" s="249" t="s">
        <v>1587</v>
      </c>
      <c r="EH673" s="249" t="s">
        <v>1588</v>
      </c>
      <c r="EI673" s="249" t="s">
        <v>1589</v>
      </c>
    </row>
    <row r="674" spans="1:139">
      <c r="A674" s="248">
        <v>1970</v>
      </c>
      <c r="B674" s="251">
        <v>8.5559999999999992</v>
      </c>
      <c r="C674" s="251">
        <v>8.8549999999999986</v>
      </c>
      <c r="D674" s="251">
        <v>9.9704999999999995</v>
      </c>
      <c r="E674" s="251">
        <v>11.0745</v>
      </c>
      <c r="F674" s="251">
        <v>13.247999999999999</v>
      </c>
      <c r="G674" s="250">
        <v>8.5152318031285201</v>
      </c>
      <c r="H674" s="250">
        <v>8.1943249999999992</v>
      </c>
      <c r="I674" s="250">
        <v>8.6850299999999994</v>
      </c>
      <c r="J674" s="250">
        <v>10.677174999999998</v>
      </c>
      <c r="K674" s="250">
        <v>11.843849999999998</v>
      </c>
      <c r="L674" s="251">
        <v>6.754736842105264</v>
      </c>
      <c r="M674" s="251">
        <v>6.9907894736842104</v>
      </c>
      <c r="N674" s="251">
        <v>7.8714473684210517</v>
      </c>
      <c r="O674" s="251">
        <v>8.7430263157894732</v>
      </c>
      <c r="P674" s="251">
        <v>10.458947368421052</v>
      </c>
      <c r="Q674" s="250">
        <v>7.633297080661638</v>
      </c>
      <c r="R674" s="250">
        <v>7.3456270535714285</v>
      </c>
      <c r="S674" s="250">
        <v>7.785509035714286</v>
      </c>
      <c r="T674" s="250">
        <v>9.5713247321428572</v>
      </c>
      <c r="U674" s="250">
        <v>10.617165535714284</v>
      </c>
      <c r="V674" s="251">
        <v>3.5349789473684203</v>
      </c>
      <c r="W674" s="251">
        <v>3.6585131578947361</v>
      </c>
      <c r="X674" s="251">
        <v>4.119390789473683</v>
      </c>
      <c r="Y674" s="251">
        <v>4.5755171052631569</v>
      </c>
      <c r="Z674" s="251">
        <v>5.4735157894736828</v>
      </c>
      <c r="AA674" s="250">
        <v>10.819555670182714</v>
      </c>
      <c r="AB674" s="250">
        <v>11.1976584220977</v>
      </c>
      <c r="AC674" s="250">
        <v>12.608272535011308</v>
      </c>
      <c r="AD674" s="250">
        <v>14.004344234389722</v>
      </c>
      <c r="AE674" s="250">
        <v>16.75286039254097</v>
      </c>
      <c r="AF674" s="251">
        <v>3.9947588055462564</v>
      </c>
      <c r="AG674" s="251">
        <v>3.8442114913690464</v>
      </c>
      <c r="AH674" s="251">
        <v>4.074416395357142</v>
      </c>
      <c r="AI674" s="251">
        <v>5.008993276488094</v>
      </c>
      <c r="AJ674" s="251">
        <v>5.5563166303571405</v>
      </c>
      <c r="AK674" s="250">
        <v>11.800732311402104</v>
      </c>
      <c r="AL674" s="250">
        <v>11.33421168519315</v>
      </c>
      <c r="AM674" s="250">
        <v>12.418784886647758</v>
      </c>
      <c r="AN674" s="250">
        <v>14.056260650710355</v>
      </c>
      <c r="AO674" s="250">
        <v>16.624887153431285</v>
      </c>
      <c r="AP674" s="251">
        <v>22.698368538844846</v>
      </c>
      <c r="AQ674" s="251">
        <v>23.491591095309854</v>
      </c>
      <c r="AR674" s="251">
        <v>26.450921402121622</v>
      </c>
      <c r="AS674" s="251">
        <v>29.379743149069341</v>
      </c>
      <c r="AT674" s="251">
        <v>35.145860963372662</v>
      </c>
      <c r="AU674" s="250">
        <v>2.8527948981998201</v>
      </c>
      <c r="AV674" s="250">
        <v>5.2708333333333339</v>
      </c>
      <c r="AW674" s="251">
        <v>5.7055897963996403</v>
      </c>
      <c r="AX674" s="251">
        <v>10.541666666666668</v>
      </c>
      <c r="AY674" s="250">
        <v>8.8000000000000007</v>
      </c>
      <c r="AZ674" s="250">
        <v>9.4489999999999998</v>
      </c>
      <c r="BA674" s="250">
        <v>12.749000000000001</v>
      </c>
      <c r="BB674" s="250">
        <v>13.486000000000001</v>
      </c>
      <c r="BC674" s="250">
        <v>15.400000000000002</v>
      </c>
      <c r="BD674" s="251">
        <v>8.5152318031285201</v>
      </c>
      <c r="BE674" s="251">
        <v>8.1943249999999992</v>
      </c>
      <c r="BF674" s="251">
        <v>10.908439999999999</v>
      </c>
      <c r="BG674" s="251">
        <v>11.696649999999998</v>
      </c>
      <c r="BH674" s="251">
        <v>11.843849999999998</v>
      </c>
      <c r="BI674" s="250">
        <v>6.9473684210526319</v>
      </c>
      <c r="BJ674" s="250">
        <v>7.4597368421052632</v>
      </c>
      <c r="BK674" s="250">
        <v>10.065000000000003</v>
      </c>
      <c r="BL674" s="250">
        <v>10.646842105263159</v>
      </c>
      <c r="BM674" s="250">
        <v>12.157894736842108</v>
      </c>
      <c r="BN674" s="251">
        <v>7.633297080661638</v>
      </c>
      <c r="BO674" s="251">
        <v>7.3456270535714285</v>
      </c>
      <c r="BP674" s="251">
        <v>9.7786372857142858</v>
      </c>
      <c r="BQ674" s="251">
        <v>10.485211249999999</v>
      </c>
      <c r="BR674" s="251">
        <v>10.617165535714284</v>
      </c>
      <c r="BS674" s="250">
        <v>3.6357894736842105</v>
      </c>
      <c r="BT674" s="250">
        <v>3.9039289473684202</v>
      </c>
      <c r="BU674" s="250">
        <v>5.2673499999999995</v>
      </c>
      <c r="BV674" s="250">
        <v>5.5718473684210519</v>
      </c>
      <c r="BW674" s="250">
        <v>6.3626315789473686</v>
      </c>
      <c r="BX674" s="251">
        <v>11.128107748668524</v>
      </c>
      <c r="BY674" s="251">
        <v>11.948805695132826</v>
      </c>
      <c r="BZ674" s="251">
        <v>13.518668163149142</v>
      </c>
      <c r="CA674" s="251">
        <v>16.649996307839022</v>
      </c>
      <c r="CB674" s="251">
        <v>19.462820275553494</v>
      </c>
      <c r="CC674" s="250">
        <v>3.9947588055462564</v>
      </c>
      <c r="CD674" s="250">
        <v>3.8442114913690464</v>
      </c>
      <c r="CE674" s="250">
        <v>5.1174868461904754</v>
      </c>
      <c r="CF674" s="250">
        <v>5.4872605541666646</v>
      </c>
      <c r="CG674" s="250">
        <v>5.5563166303571405</v>
      </c>
      <c r="CH674" s="251">
        <v>11.800732311402104</v>
      </c>
      <c r="CI674" s="251">
        <v>11.33421168519315</v>
      </c>
      <c r="CJ674" s="251">
        <v>12.418784886647758</v>
      </c>
      <c r="CK674" s="251">
        <v>14.056260650710355</v>
      </c>
      <c r="CL674" s="251">
        <v>16.624887153431285</v>
      </c>
      <c r="CM674" s="250">
        <v>23.345680591612286</v>
      </c>
      <c r="CN674" s="250">
        <v>25.067424535243688</v>
      </c>
      <c r="CO674" s="250">
        <v>28.360842300312882</v>
      </c>
      <c r="CP674" s="250">
        <v>34.930062184277659</v>
      </c>
      <c r="CQ674" s="250">
        <v>40.831091487175158</v>
      </c>
      <c r="CR674" s="251">
        <v>16.329831844554164</v>
      </c>
      <c r="CS674" s="251">
        <v>18.608212295975743</v>
      </c>
      <c r="CT674" s="251">
        <v>25.601006300849434</v>
      </c>
      <c r="CU674" s="251">
        <v>29.171307876106201</v>
      </c>
      <c r="CV674" s="251">
        <v>34.674698585216397</v>
      </c>
      <c r="CW674" s="251">
        <v>38.486491908856401</v>
      </c>
      <c r="CX674" s="251">
        <v>49.035421974587038</v>
      </c>
      <c r="CY674" s="251">
        <v>53.644527351999706</v>
      </c>
      <c r="CZ674" s="251">
        <v>58.23455081684488</v>
      </c>
      <c r="DA674" s="250">
        <v>13.161357009043652</v>
      </c>
      <c r="DB674" s="250">
        <v>14.997663641532684</v>
      </c>
      <c r="DC674" s="250">
        <v>20.63364686934133</v>
      </c>
      <c r="DD674" s="250">
        <v>23.511203362831857</v>
      </c>
      <c r="DE674" s="250">
        <v>27.946771994055005</v>
      </c>
      <c r="DF674" s="250">
        <v>34.982081283795338</v>
      </c>
      <c r="DG674" s="250">
        <v>44.570472189632703</v>
      </c>
      <c r="DH674" s="250">
        <v>50.423555016354264</v>
      </c>
      <c r="DI674" s="250">
        <v>54.737980217406026</v>
      </c>
      <c r="DJ674" s="251">
        <v>6.7817557901859606</v>
      </c>
      <c r="DK674" s="251">
        <v>7.7279639303406737</v>
      </c>
      <c r="DL674" s="251">
        <v>10.632061270935463</v>
      </c>
      <c r="DM674" s="251">
        <v>12.114802404536441</v>
      </c>
      <c r="DN674" s="251">
        <v>14.400352688363181</v>
      </c>
      <c r="DO674" s="251">
        <v>15.772305288816636</v>
      </c>
      <c r="DP674" s="251">
        <v>20.095405088639986</v>
      </c>
      <c r="DQ674" s="251">
        <v>22.129276155219731</v>
      </c>
      <c r="DR674" s="251">
        <v>24.022738579559853</v>
      </c>
      <c r="DS674" s="250">
        <v>46.155758990323612</v>
      </c>
      <c r="DT674" s="250">
        <v>52.595530079524949</v>
      </c>
      <c r="DU674" s="250">
        <v>72.360443633461301</v>
      </c>
      <c r="DV674" s="250">
        <v>82.451789374126705</v>
      </c>
      <c r="DW674" s="250">
        <v>98.006951093932614</v>
      </c>
      <c r="DX674" s="251">
        <v>21.970284663639472</v>
      </c>
      <c r="DY674" s="251">
        <v>30.43151864431583</v>
      </c>
      <c r="DZ674" s="251">
        <v>42.176967223976675</v>
      </c>
      <c r="EA674" s="250">
        <v>15.547235037171607</v>
      </c>
      <c r="EB674" s="250">
        <v>21.534813050659519</v>
      </c>
      <c r="EC674" s="250">
        <v>29.846460008389499</v>
      </c>
      <c r="ED674" s="251">
        <v>9.0728485542444925</v>
      </c>
      <c r="EE674" s="251">
        <v>12.566999661706156</v>
      </c>
      <c r="EF674" s="251">
        <v>17.417400000000001</v>
      </c>
      <c r="EG674" s="250">
        <v>60.299857344334946</v>
      </c>
      <c r="EH674" s="250">
        <v>83.522642565512157</v>
      </c>
      <c r="EI674" s="250">
        <v>115.75931517316904</v>
      </c>
    </row>
    <row r="675" spans="1:139">
      <c r="A675" s="248">
        <v>1971</v>
      </c>
      <c r="B675" s="251">
        <v>8.5525775999999993</v>
      </c>
      <c r="C675" s="251">
        <v>8.8514579999999992</v>
      </c>
      <c r="D675" s="251">
        <v>9.9665117999999993</v>
      </c>
      <c r="E675" s="251">
        <v>11.0700702</v>
      </c>
      <c r="F675" s="251">
        <v>13.2427008</v>
      </c>
      <c r="G675" s="250">
        <v>8.488786983864145</v>
      </c>
      <c r="H675" s="250">
        <v>8.1688767857142857</v>
      </c>
      <c r="I675" s="250">
        <v>8.6580578571428557</v>
      </c>
      <c r="J675" s="250">
        <v>10.64401607142857</v>
      </c>
      <c r="K675" s="250">
        <v>11.807067857142854</v>
      </c>
      <c r="L675" s="251">
        <v>6.7337593984962414</v>
      </c>
      <c r="M675" s="251">
        <v>6.9690789473684207</v>
      </c>
      <c r="N675" s="251">
        <v>7.8470018796992473</v>
      </c>
      <c r="O675" s="251">
        <v>8.7158740601503748</v>
      </c>
      <c r="P675" s="251">
        <v>10.426466165413533</v>
      </c>
      <c r="Q675" s="250">
        <v>7.609591189106788</v>
      </c>
      <c r="R675" s="250">
        <v>7.3228145471938779</v>
      </c>
      <c r="S675" s="250">
        <v>7.7613304362244904</v>
      </c>
      <c r="T675" s="250">
        <v>9.5416001211734702</v>
      </c>
      <c r="U675" s="250">
        <v>10.584192971938773</v>
      </c>
      <c r="V675" s="251">
        <v>3.5240007518796985</v>
      </c>
      <c r="W675" s="251">
        <v>3.6471513157894728</v>
      </c>
      <c r="X675" s="251">
        <v>4.1065976503759387</v>
      </c>
      <c r="Y675" s="251">
        <v>4.5613074248120293</v>
      </c>
      <c r="Z675" s="251">
        <v>5.4565172932330812</v>
      </c>
      <c r="AA675" s="250">
        <v>10.78595456561693</v>
      </c>
      <c r="AB675" s="250">
        <v>11.162883085383111</v>
      </c>
      <c r="AC675" s="250">
        <v>12.569116409126179</v>
      </c>
      <c r="AD675" s="250">
        <v>13.960852482109008</v>
      </c>
      <c r="AE675" s="250">
        <v>16.700832875793949</v>
      </c>
      <c r="AF675" s="251">
        <v>3.9823527222992183</v>
      </c>
      <c r="AG675" s="251">
        <v>3.8322729463647947</v>
      </c>
      <c r="AH675" s="251">
        <v>4.0617629282908156</v>
      </c>
      <c r="AI675" s="251">
        <v>4.9934373967474475</v>
      </c>
      <c r="AJ675" s="251">
        <v>5.5390609886479565</v>
      </c>
      <c r="AK675" s="250">
        <v>11.764084074410173</v>
      </c>
      <c r="AL675" s="250">
        <v>11.299012270021743</v>
      </c>
      <c r="AM675" s="250">
        <v>12.38021723172028</v>
      </c>
      <c r="AN675" s="250">
        <v>14.012607667323056</v>
      </c>
      <c r="AO675" s="250">
        <v>16.573257069103857</v>
      </c>
      <c r="AP675" s="251">
        <v>22.627876711084458</v>
      </c>
      <c r="AQ675" s="251">
        <v>23.418635843461065</v>
      </c>
      <c r="AR675" s="251">
        <v>26.368775683481495</v>
      </c>
      <c r="AS675" s="251">
        <v>29.288501710718194</v>
      </c>
      <c r="AT675" s="251">
        <v>35.036712326840451</v>
      </c>
      <c r="AU675" s="250">
        <v>2.8439352867147276</v>
      </c>
      <c r="AV675" s="250">
        <v>5.2544642857142865</v>
      </c>
      <c r="AW675" s="251">
        <v>5.6878705734294552</v>
      </c>
      <c r="AX675" s="251">
        <v>10.508928571428573</v>
      </c>
      <c r="AY675" s="250">
        <v>8.7809523809523817</v>
      </c>
      <c r="AZ675" s="250">
        <v>9.4285476190476185</v>
      </c>
      <c r="BA675" s="250">
        <v>12.721404761904763</v>
      </c>
      <c r="BB675" s="250">
        <v>13.456809523809525</v>
      </c>
      <c r="BC675" s="250">
        <v>15.366666666666669</v>
      </c>
      <c r="BD675" s="251">
        <v>8.488786983864145</v>
      </c>
      <c r="BE675" s="251">
        <v>8.1688767857142857</v>
      </c>
      <c r="BF675" s="251">
        <v>10.874562857142855</v>
      </c>
      <c r="BG675" s="251">
        <v>11.660324999999998</v>
      </c>
      <c r="BH675" s="251">
        <v>11.807067857142854</v>
      </c>
      <c r="BI675" s="250">
        <v>6.9323308270676698</v>
      </c>
      <c r="BJ675" s="250">
        <v>7.4435902255639101</v>
      </c>
      <c r="BK675" s="250">
        <v>10.043214285714289</v>
      </c>
      <c r="BL675" s="250">
        <v>10.623796992481205</v>
      </c>
      <c r="BM675" s="250">
        <v>12.131578947368423</v>
      </c>
      <c r="BN675" s="251">
        <v>7.609591189106788</v>
      </c>
      <c r="BO675" s="251">
        <v>7.3228145471938779</v>
      </c>
      <c r="BP675" s="251">
        <v>9.7482688469387764</v>
      </c>
      <c r="BQ675" s="251">
        <v>10.452648482142855</v>
      </c>
      <c r="BR675" s="251">
        <v>10.584192971938773</v>
      </c>
      <c r="BS675" s="250">
        <v>3.6279197994987467</v>
      </c>
      <c r="BT675" s="250">
        <v>3.8954788847117787</v>
      </c>
      <c r="BU675" s="250">
        <v>5.2559488095238089</v>
      </c>
      <c r="BV675" s="250">
        <v>5.5597870927318285</v>
      </c>
      <c r="BW675" s="250">
        <v>6.3488596491228071</v>
      </c>
      <c r="BX675" s="251">
        <v>11.104020935359719</v>
      </c>
      <c r="BY675" s="251">
        <v>11.922942479342495</v>
      </c>
      <c r="BZ675" s="251">
        <v>13.489406976648819</v>
      </c>
      <c r="CA675" s="251">
        <v>16.613957354791751</v>
      </c>
      <c r="CB675" s="251">
        <v>19.420692958939743</v>
      </c>
      <c r="CC675" s="250">
        <v>3.9823527222992183</v>
      </c>
      <c r="CD675" s="250">
        <v>3.8322729463647947</v>
      </c>
      <c r="CE675" s="250">
        <v>5.1015940298979583</v>
      </c>
      <c r="CF675" s="250">
        <v>5.4702193723214263</v>
      </c>
      <c r="CG675" s="250">
        <v>5.5390609886479565</v>
      </c>
      <c r="CH675" s="251">
        <v>11.764084074410173</v>
      </c>
      <c r="CI675" s="251">
        <v>11.299012270021743</v>
      </c>
      <c r="CJ675" s="251">
        <v>12.38021723172028</v>
      </c>
      <c r="CK675" s="251">
        <v>14.012607667323056</v>
      </c>
      <c r="CL675" s="251">
        <v>16.573257069103857</v>
      </c>
      <c r="CM675" s="250">
        <v>23.295148815439966</v>
      </c>
      <c r="CN675" s="250">
        <v>25.01316604057866</v>
      </c>
      <c r="CO675" s="250">
        <v>28.29945519576675</v>
      </c>
      <c r="CP675" s="250">
        <v>34.854455989073593</v>
      </c>
      <c r="CQ675" s="250">
        <v>40.74271250127218</v>
      </c>
      <c r="CR675" s="251">
        <v>16.29448588818067</v>
      </c>
      <c r="CS675" s="251">
        <v>18.567934780183588</v>
      </c>
      <c r="CT675" s="251">
        <v>25.545592867297813</v>
      </c>
      <c r="CU675" s="251">
        <v>29.108166517067012</v>
      </c>
      <c r="CV675" s="251">
        <v>34.599645125075234</v>
      </c>
      <c r="CW675" s="251">
        <v>38.442856430501685</v>
      </c>
      <c r="CX675" s="251">
        <v>48.979826258062566</v>
      </c>
      <c r="CY675" s="251">
        <v>53.583705892416937</v>
      </c>
      <c r="CZ675" s="251">
        <v>58.168525249025329</v>
      </c>
      <c r="DA675" s="250">
        <v>13.132869223309791</v>
      </c>
      <c r="DB675" s="250">
        <v>14.965201166118112</v>
      </c>
      <c r="DC675" s="250">
        <v>20.588985296031069</v>
      </c>
      <c r="DD675" s="250">
        <v>23.460313312262958</v>
      </c>
      <c r="DE675" s="250">
        <v>27.886281145583023</v>
      </c>
      <c r="DF675" s="250">
        <v>34.942419060117565</v>
      </c>
      <c r="DG675" s="250">
        <v>44.519938774451717</v>
      </c>
      <c r="DH675" s="250">
        <v>50.366385452843659</v>
      </c>
      <c r="DI675" s="250">
        <v>54.675919015345478</v>
      </c>
      <c r="DJ675" s="251">
        <v>6.767076665098978</v>
      </c>
      <c r="DK675" s="251">
        <v>7.7112367356862563</v>
      </c>
      <c r="DL675" s="251">
        <v>10.609048151301403</v>
      </c>
      <c r="DM675" s="251">
        <v>12.088579888509306</v>
      </c>
      <c r="DN675" s="251">
        <v>14.369183093799625</v>
      </c>
      <c r="DO675" s="251">
        <v>15.75442285651639</v>
      </c>
      <c r="DP675" s="251">
        <v>20.072621182643793</v>
      </c>
      <c r="DQ675" s="251">
        <v>22.104186272957577</v>
      </c>
      <c r="DR675" s="251">
        <v>23.995501914503663</v>
      </c>
      <c r="DS675" s="250">
        <v>46.055854750084819</v>
      </c>
      <c r="DT675" s="250">
        <v>52.48168694082468</v>
      </c>
      <c r="DU675" s="250">
        <v>72.203819296592343</v>
      </c>
      <c r="DV675" s="250">
        <v>82.273322297559332</v>
      </c>
      <c r="DW675" s="250">
        <v>97.794814836153535</v>
      </c>
      <c r="DX675" s="251">
        <v>21.922729934930295</v>
      </c>
      <c r="DY675" s="251">
        <v>30.365649556341118</v>
      </c>
      <c r="DZ675" s="251">
        <v>42.085675087128237</v>
      </c>
      <c r="EA675" s="250">
        <v>15.513583013281625</v>
      </c>
      <c r="EB675" s="250">
        <v>21.488200901199217</v>
      </c>
      <c r="EC675" s="250">
        <v>29.781857281098613</v>
      </c>
      <c r="ED675" s="251">
        <v>9.0532103539106306</v>
      </c>
      <c r="EE675" s="251">
        <v>12.539798363737095</v>
      </c>
      <c r="EF675" s="251">
        <v>17.3797</v>
      </c>
      <c r="EG675" s="250">
        <v>60.16933817259396</v>
      </c>
      <c r="EH675" s="250">
        <v>83.34185762489416</v>
      </c>
      <c r="EI675" s="250">
        <v>115.50875388491544</v>
      </c>
    </row>
    <row r="676" spans="1:139">
      <c r="A676" s="248">
        <v>1972</v>
      </c>
      <c r="B676" s="251">
        <v>8.5491551999999995</v>
      </c>
      <c r="C676" s="251">
        <v>8.8479159999999997</v>
      </c>
      <c r="D676" s="251">
        <v>9.962523599999999</v>
      </c>
      <c r="E676" s="251">
        <v>11.065640399999999</v>
      </c>
      <c r="F676" s="251">
        <v>13.2374016</v>
      </c>
      <c r="G676" s="250">
        <v>8.4623421645997698</v>
      </c>
      <c r="H676" s="250">
        <v>8.1434285714285721</v>
      </c>
      <c r="I676" s="250">
        <v>8.631085714285712</v>
      </c>
      <c r="J676" s="250">
        <v>10.610857142857142</v>
      </c>
      <c r="K676" s="250">
        <v>11.770285714285711</v>
      </c>
      <c r="L676" s="251">
        <v>6.7127819548872187</v>
      </c>
      <c r="M676" s="251">
        <v>6.947368421052631</v>
      </c>
      <c r="N676" s="251">
        <v>7.8225563909774429</v>
      </c>
      <c r="O676" s="251">
        <v>8.6887218045112764</v>
      </c>
      <c r="P676" s="251">
        <v>10.393984962406014</v>
      </c>
      <c r="Q676" s="250">
        <v>7.585885297551938</v>
      </c>
      <c r="R676" s="250">
        <v>7.3000020408163273</v>
      </c>
      <c r="S676" s="250">
        <v>7.7371518367346948</v>
      </c>
      <c r="T676" s="250">
        <v>9.5118755102040833</v>
      </c>
      <c r="U676" s="250">
        <v>10.551220408163262</v>
      </c>
      <c r="V676" s="251">
        <v>3.5130225563909767</v>
      </c>
      <c r="W676" s="251">
        <v>3.6357894736842096</v>
      </c>
      <c r="X676" s="251">
        <v>4.0938045112781944</v>
      </c>
      <c r="Y676" s="251">
        <v>4.5470977443609017</v>
      </c>
      <c r="Z676" s="251">
        <v>5.4395187969924796</v>
      </c>
      <c r="AA676" s="250">
        <v>10.752353461051145</v>
      </c>
      <c r="AB676" s="250">
        <v>11.128107748668523</v>
      </c>
      <c r="AC676" s="250">
        <v>12.529960283241051</v>
      </c>
      <c r="AD676" s="250">
        <v>13.917360729828294</v>
      </c>
      <c r="AE676" s="250">
        <v>16.648805359046928</v>
      </c>
      <c r="AF676" s="251">
        <v>3.9699466390521803</v>
      </c>
      <c r="AG676" s="251">
        <v>3.8203344013605429</v>
      </c>
      <c r="AH676" s="251">
        <v>4.0491094612244893</v>
      </c>
      <c r="AI676" s="251">
        <v>4.9778815170068009</v>
      </c>
      <c r="AJ676" s="251">
        <v>5.5218053469387725</v>
      </c>
      <c r="AK676" s="250">
        <v>11.727435837418241</v>
      </c>
      <c r="AL676" s="250">
        <v>11.263812854850336</v>
      </c>
      <c r="AM676" s="250">
        <v>12.341649576792802</v>
      </c>
      <c r="AN676" s="250">
        <v>13.968954683935758</v>
      </c>
      <c r="AO676" s="250">
        <v>16.521626984776429</v>
      </c>
      <c r="AP676" s="251">
        <v>22.557384883324069</v>
      </c>
      <c r="AQ676" s="251">
        <v>23.345680591612275</v>
      </c>
      <c r="AR676" s="251">
        <v>26.286629964841367</v>
      </c>
      <c r="AS676" s="251">
        <v>29.197260272367046</v>
      </c>
      <c r="AT676" s="251">
        <v>34.92756369030824</v>
      </c>
      <c r="AU676" s="250">
        <v>2.8350756752296351</v>
      </c>
      <c r="AV676" s="250">
        <v>5.238095238095239</v>
      </c>
      <c r="AW676" s="251">
        <v>5.6701513504592702</v>
      </c>
      <c r="AX676" s="251">
        <v>10.476190476190478</v>
      </c>
      <c r="AY676" s="250">
        <v>8.7619047619047628</v>
      </c>
      <c r="AZ676" s="250">
        <v>9.4080952380952372</v>
      </c>
      <c r="BA676" s="250">
        <v>12.693809523809525</v>
      </c>
      <c r="BB676" s="250">
        <v>13.42761904761905</v>
      </c>
      <c r="BC676" s="250">
        <v>15.333333333333336</v>
      </c>
      <c r="BD676" s="251">
        <v>8.4623421645997698</v>
      </c>
      <c r="BE676" s="251">
        <v>8.1434285714285721</v>
      </c>
      <c r="BF676" s="251">
        <v>10.840685714285712</v>
      </c>
      <c r="BG676" s="251">
        <v>11.623999999999999</v>
      </c>
      <c r="BH676" s="251">
        <v>11.770285714285711</v>
      </c>
      <c r="BI676" s="250">
        <v>6.9172932330827077</v>
      </c>
      <c r="BJ676" s="250">
        <v>7.4274436090225571</v>
      </c>
      <c r="BK676" s="250">
        <v>10.021428571428574</v>
      </c>
      <c r="BL676" s="250">
        <v>10.600751879699251</v>
      </c>
      <c r="BM676" s="250">
        <v>12.105263157894738</v>
      </c>
      <c r="BN676" s="251">
        <v>7.585885297551938</v>
      </c>
      <c r="BO676" s="251">
        <v>7.3000020408163273</v>
      </c>
      <c r="BP676" s="251">
        <v>9.7179004081632669</v>
      </c>
      <c r="BQ676" s="251">
        <v>10.420085714285712</v>
      </c>
      <c r="BR676" s="251">
        <v>10.551220408163262</v>
      </c>
      <c r="BS676" s="250">
        <v>3.6200501253132829</v>
      </c>
      <c r="BT676" s="250">
        <v>3.8870288220551372</v>
      </c>
      <c r="BU676" s="250">
        <v>5.2445476190476183</v>
      </c>
      <c r="BV676" s="250">
        <v>5.5477268170426051</v>
      </c>
      <c r="BW676" s="250">
        <v>6.3350877192982455</v>
      </c>
      <c r="BX676" s="251">
        <v>11.079934122050913</v>
      </c>
      <c r="BY676" s="251">
        <v>11.897079263552165</v>
      </c>
      <c r="BZ676" s="251">
        <v>13.460145790148497</v>
      </c>
      <c r="CA676" s="251">
        <v>16.57791840174448</v>
      </c>
      <c r="CB676" s="251">
        <v>19.378565642325992</v>
      </c>
      <c r="CC676" s="250">
        <v>3.9699466390521803</v>
      </c>
      <c r="CD676" s="250">
        <v>3.8203344013605429</v>
      </c>
      <c r="CE676" s="250">
        <v>5.0857012136054411</v>
      </c>
      <c r="CF676" s="250">
        <v>5.453178190476188</v>
      </c>
      <c r="CG676" s="250">
        <v>5.5218053469387725</v>
      </c>
      <c r="CH676" s="251">
        <v>11.727435837418241</v>
      </c>
      <c r="CI676" s="251">
        <v>11.263812854850336</v>
      </c>
      <c r="CJ676" s="251">
        <v>12.341649576792802</v>
      </c>
      <c r="CK676" s="251">
        <v>13.968954683935758</v>
      </c>
      <c r="CL676" s="251">
        <v>16.521626984776429</v>
      </c>
      <c r="CM676" s="250">
        <v>23.244617039267645</v>
      </c>
      <c r="CN676" s="250">
        <v>24.958907545913632</v>
      </c>
      <c r="CO676" s="250">
        <v>28.238068091220619</v>
      </c>
      <c r="CP676" s="250">
        <v>34.778849793869526</v>
      </c>
      <c r="CQ676" s="250">
        <v>40.654333515369203</v>
      </c>
      <c r="CR676" s="251">
        <v>16.259139931807177</v>
      </c>
      <c r="CS676" s="251">
        <v>18.527657264391433</v>
      </c>
      <c r="CT676" s="251">
        <v>25.490179433746192</v>
      </c>
      <c r="CU676" s="251">
        <v>29.045025158027823</v>
      </c>
      <c r="CV676" s="251">
        <v>34.524591664934071</v>
      </c>
      <c r="CW676" s="251">
        <v>38.399220952146969</v>
      </c>
      <c r="CX676" s="251">
        <v>48.924230541538094</v>
      </c>
      <c r="CY676" s="251">
        <v>53.522884432834168</v>
      </c>
      <c r="CZ676" s="251">
        <v>58.102499681205778</v>
      </c>
      <c r="DA676" s="250">
        <v>13.104381437575931</v>
      </c>
      <c r="DB676" s="250">
        <v>14.932738690703539</v>
      </c>
      <c r="DC676" s="250">
        <v>20.544323722720808</v>
      </c>
      <c r="DD676" s="250">
        <v>23.409423261694059</v>
      </c>
      <c r="DE676" s="250">
        <v>27.825790297111041</v>
      </c>
      <c r="DF676" s="250">
        <v>34.902756836439792</v>
      </c>
      <c r="DG676" s="250">
        <v>44.469405359270731</v>
      </c>
      <c r="DH676" s="250">
        <v>50.309215889333053</v>
      </c>
      <c r="DI676" s="250">
        <v>54.61385781328493</v>
      </c>
      <c r="DJ676" s="251">
        <v>6.7523975400119953</v>
      </c>
      <c r="DK676" s="251">
        <v>7.6945095410318389</v>
      </c>
      <c r="DL676" s="251">
        <v>10.586035031667343</v>
      </c>
      <c r="DM676" s="251">
        <v>12.062357372482172</v>
      </c>
      <c r="DN676" s="251">
        <v>14.338013499236069</v>
      </c>
      <c r="DO676" s="251">
        <v>15.736540424216145</v>
      </c>
      <c r="DP676" s="251">
        <v>20.049837276647601</v>
      </c>
      <c r="DQ676" s="251">
        <v>22.079096390695423</v>
      </c>
      <c r="DR676" s="251">
        <v>23.968265249447473</v>
      </c>
      <c r="DS676" s="250">
        <v>45.955950509846026</v>
      </c>
      <c r="DT676" s="250">
        <v>52.367843802124412</v>
      </c>
      <c r="DU676" s="250">
        <v>72.047194959723384</v>
      </c>
      <c r="DV676" s="250">
        <v>82.09485522099196</v>
      </c>
      <c r="DW676" s="250">
        <v>97.582678578374455</v>
      </c>
      <c r="DX676" s="251">
        <v>21.875175206221119</v>
      </c>
      <c r="DY676" s="251">
        <v>30.299780468366407</v>
      </c>
      <c r="DZ676" s="251">
        <v>41.9943829502798</v>
      </c>
      <c r="EA676" s="250">
        <v>15.479930989391644</v>
      </c>
      <c r="EB676" s="250">
        <v>21.441588751738916</v>
      </c>
      <c r="EC676" s="250">
        <v>29.717254553807727</v>
      </c>
      <c r="ED676" s="251">
        <v>9.0335721535767686</v>
      </c>
      <c r="EE676" s="251">
        <v>12.512597065768034</v>
      </c>
      <c r="EF676" s="251">
        <v>17.341999999999999</v>
      </c>
      <c r="EG676" s="250">
        <v>60.038819000852975</v>
      </c>
      <c r="EH676" s="250">
        <v>83.161072684276164</v>
      </c>
      <c r="EI676" s="250">
        <v>115.25819259666183</v>
      </c>
    </row>
    <row r="677" spans="1:139">
      <c r="A677" s="248">
        <v>1973</v>
      </c>
      <c r="B677" s="251">
        <v>8.5457327999999997</v>
      </c>
      <c r="C677" s="251">
        <v>8.8443740000000002</v>
      </c>
      <c r="D677" s="251">
        <v>9.9585353999999988</v>
      </c>
      <c r="E677" s="251">
        <v>11.061210599999999</v>
      </c>
      <c r="F677" s="251">
        <v>13.2321024</v>
      </c>
      <c r="G677" s="250">
        <v>8.4358973453353947</v>
      </c>
      <c r="H677" s="250">
        <v>8.1179803571428586</v>
      </c>
      <c r="I677" s="250">
        <v>8.6041135714285684</v>
      </c>
      <c r="J677" s="250">
        <v>10.577698214285714</v>
      </c>
      <c r="K677" s="250">
        <v>11.733503571428567</v>
      </c>
      <c r="L677" s="251">
        <v>6.6918045112781961</v>
      </c>
      <c r="M677" s="251">
        <v>6.9256578947368412</v>
      </c>
      <c r="N677" s="251">
        <v>7.7981109022556385</v>
      </c>
      <c r="O677" s="251">
        <v>8.661569548872178</v>
      </c>
      <c r="P677" s="251">
        <v>10.361503759398495</v>
      </c>
      <c r="Q677" s="250">
        <v>7.5621794059970879</v>
      </c>
      <c r="R677" s="250">
        <v>7.2771895344387767</v>
      </c>
      <c r="S677" s="250">
        <v>7.7129732372448991</v>
      </c>
      <c r="T677" s="250">
        <v>9.4821508992346963</v>
      </c>
      <c r="U677" s="250">
        <v>10.518247844387751</v>
      </c>
      <c r="V677" s="251">
        <v>3.5020443609022549</v>
      </c>
      <c r="W677" s="251">
        <v>3.6244276315789463</v>
      </c>
      <c r="X677" s="251">
        <v>4.0810113721804502</v>
      </c>
      <c r="Y677" s="251">
        <v>4.5328880639097742</v>
      </c>
      <c r="Z677" s="251">
        <v>5.4225203007518781</v>
      </c>
      <c r="AA677" s="250">
        <v>10.718752356485361</v>
      </c>
      <c r="AB677" s="250">
        <v>11.093332411953934</v>
      </c>
      <c r="AC677" s="250">
        <v>12.490804157355923</v>
      </c>
      <c r="AD677" s="250">
        <v>13.873868977547581</v>
      </c>
      <c r="AE677" s="250">
        <v>16.596777842299907</v>
      </c>
      <c r="AF677" s="251">
        <v>3.9575405558051422</v>
      </c>
      <c r="AG677" s="251">
        <v>3.8083958563562912</v>
      </c>
      <c r="AH677" s="251">
        <v>4.036455994158163</v>
      </c>
      <c r="AI677" s="251">
        <v>4.9623256372661544</v>
      </c>
      <c r="AJ677" s="251">
        <v>5.5045497052295884</v>
      </c>
      <c r="AK677" s="250">
        <v>11.69078760042631</v>
      </c>
      <c r="AL677" s="250">
        <v>11.228613439678929</v>
      </c>
      <c r="AM677" s="250">
        <v>12.303081921865324</v>
      </c>
      <c r="AN677" s="250">
        <v>13.925301700548459</v>
      </c>
      <c r="AO677" s="250">
        <v>16.469996900449001</v>
      </c>
      <c r="AP677" s="251">
        <v>22.48689305556368</v>
      </c>
      <c r="AQ677" s="251">
        <v>23.272725339763486</v>
      </c>
      <c r="AR677" s="251">
        <v>26.20448424620124</v>
      </c>
      <c r="AS677" s="251">
        <v>29.106018834015899</v>
      </c>
      <c r="AT677" s="251">
        <v>34.818415053776029</v>
      </c>
      <c r="AU677" s="250">
        <v>2.8262160637445426</v>
      </c>
      <c r="AV677" s="250">
        <v>5.2217261904761916</v>
      </c>
      <c r="AW677" s="251">
        <v>5.6524321274890852</v>
      </c>
      <c r="AX677" s="251">
        <v>10.443452380952383</v>
      </c>
      <c r="AY677" s="250">
        <v>8.7428571428571438</v>
      </c>
      <c r="AZ677" s="250">
        <v>9.3876428571428558</v>
      </c>
      <c r="BA677" s="250">
        <v>12.666214285714288</v>
      </c>
      <c r="BB677" s="250">
        <v>13.398428571428575</v>
      </c>
      <c r="BC677" s="250">
        <v>15.300000000000002</v>
      </c>
      <c r="BD677" s="251">
        <v>8.4358973453353947</v>
      </c>
      <c r="BE677" s="251">
        <v>8.1179803571428586</v>
      </c>
      <c r="BF677" s="251">
        <v>10.806808571428569</v>
      </c>
      <c r="BG677" s="251">
        <v>11.587674999999999</v>
      </c>
      <c r="BH677" s="251">
        <v>11.733503571428567</v>
      </c>
      <c r="BI677" s="250">
        <v>6.9022556390977456</v>
      </c>
      <c r="BJ677" s="250">
        <v>7.411296992481204</v>
      </c>
      <c r="BK677" s="250">
        <v>9.9996428571428595</v>
      </c>
      <c r="BL677" s="250">
        <v>10.577706766917297</v>
      </c>
      <c r="BM677" s="250">
        <v>12.078947368421053</v>
      </c>
      <c r="BN677" s="251">
        <v>7.5621794059970879</v>
      </c>
      <c r="BO677" s="251">
        <v>7.2771895344387767</v>
      </c>
      <c r="BP677" s="251">
        <v>9.6875319693877575</v>
      </c>
      <c r="BQ677" s="251">
        <v>10.387522946428568</v>
      </c>
      <c r="BR677" s="251">
        <v>10.518247844387751</v>
      </c>
      <c r="BS677" s="250">
        <v>3.612180451127819</v>
      </c>
      <c r="BT677" s="250">
        <v>3.8785787593984957</v>
      </c>
      <c r="BU677" s="250">
        <v>5.2331464285714278</v>
      </c>
      <c r="BV677" s="250">
        <v>5.5356665413533817</v>
      </c>
      <c r="BW677" s="250">
        <v>6.321315789473684</v>
      </c>
      <c r="BX677" s="251">
        <v>11.055847308742107</v>
      </c>
      <c r="BY677" s="251">
        <v>11.871216047761834</v>
      </c>
      <c r="BZ677" s="251">
        <v>13.430884603648174</v>
      </c>
      <c r="CA677" s="251">
        <v>16.541879448697209</v>
      </c>
      <c r="CB677" s="251">
        <v>19.336438325712241</v>
      </c>
      <c r="CC677" s="250">
        <v>3.9575405558051422</v>
      </c>
      <c r="CD677" s="250">
        <v>3.8083958563562912</v>
      </c>
      <c r="CE677" s="250">
        <v>5.069808397312924</v>
      </c>
      <c r="CF677" s="250">
        <v>5.4361370086309497</v>
      </c>
      <c r="CG677" s="250">
        <v>5.5045497052295884</v>
      </c>
      <c r="CH677" s="251">
        <v>11.69078760042631</v>
      </c>
      <c r="CI677" s="251">
        <v>11.228613439678929</v>
      </c>
      <c r="CJ677" s="251">
        <v>12.303081921865324</v>
      </c>
      <c r="CK677" s="251">
        <v>13.925301700548459</v>
      </c>
      <c r="CL677" s="251">
        <v>16.469996900449001</v>
      </c>
      <c r="CM677" s="250">
        <v>23.194085263095324</v>
      </c>
      <c r="CN677" s="250">
        <v>24.904649051248605</v>
      </c>
      <c r="CO677" s="250">
        <v>28.176680986674487</v>
      </c>
      <c r="CP677" s="250">
        <v>34.703243598665459</v>
      </c>
      <c r="CQ677" s="250">
        <v>40.565954529466225</v>
      </c>
      <c r="CR677" s="251">
        <v>16.223793975433683</v>
      </c>
      <c r="CS677" s="251">
        <v>18.487379748599277</v>
      </c>
      <c r="CT677" s="251">
        <v>25.434766000194571</v>
      </c>
      <c r="CU677" s="251">
        <v>28.981883798988633</v>
      </c>
      <c r="CV677" s="251">
        <v>34.449538204792908</v>
      </c>
      <c r="CW677" s="251">
        <v>38.355585473792253</v>
      </c>
      <c r="CX677" s="251">
        <v>48.868634825013622</v>
      </c>
      <c r="CY677" s="251">
        <v>53.462062973251399</v>
      </c>
      <c r="CZ677" s="251">
        <v>58.036474113386227</v>
      </c>
      <c r="DA677" s="250">
        <v>13.075893651842071</v>
      </c>
      <c r="DB677" s="250">
        <v>14.900276215288967</v>
      </c>
      <c r="DC677" s="250">
        <v>20.499662149410547</v>
      </c>
      <c r="DD677" s="250">
        <v>23.35853321112516</v>
      </c>
      <c r="DE677" s="250">
        <v>27.765299448639059</v>
      </c>
      <c r="DF677" s="250">
        <v>34.863094612762019</v>
      </c>
      <c r="DG677" s="250">
        <v>44.418871944089744</v>
      </c>
      <c r="DH677" s="250">
        <v>50.252046325822448</v>
      </c>
      <c r="DI677" s="250">
        <v>54.551796611224383</v>
      </c>
      <c r="DJ677" s="251">
        <v>6.7377184149250127</v>
      </c>
      <c r="DK677" s="251">
        <v>7.6777823463774215</v>
      </c>
      <c r="DL677" s="251">
        <v>10.563021912033284</v>
      </c>
      <c r="DM677" s="251">
        <v>12.036134856455037</v>
      </c>
      <c r="DN677" s="251">
        <v>14.306843904672514</v>
      </c>
      <c r="DO677" s="251">
        <v>15.718657991915899</v>
      </c>
      <c r="DP677" s="251">
        <v>20.027053370651409</v>
      </c>
      <c r="DQ677" s="251">
        <v>22.054006508433268</v>
      </c>
      <c r="DR677" s="251">
        <v>23.941028584391283</v>
      </c>
      <c r="DS677" s="250">
        <v>45.856046269607234</v>
      </c>
      <c r="DT677" s="250">
        <v>52.254000663424144</v>
      </c>
      <c r="DU677" s="250">
        <v>71.890570622854426</v>
      </c>
      <c r="DV677" s="250">
        <v>81.916388144424587</v>
      </c>
      <c r="DW677" s="250">
        <v>97.370542320595376</v>
      </c>
      <c r="DX677" s="251">
        <v>21.827620477511942</v>
      </c>
      <c r="DY677" s="251">
        <v>30.233911380391696</v>
      </c>
      <c r="DZ677" s="251">
        <v>41.903090813431362</v>
      </c>
      <c r="EA677" s="250">
        <v>15.446278965501662</v>
      </c>
      <c r="EB677" s="250">
        <v>21.394976602278614</v>
      </c>
      <c r="EC677" s="250">
        <v>29.652651826516841</v>
      </c>
      <c r="ED677" s="251">
        <v>9.0139339532429066</v>
      </c>
      <c r="EE677" s="251">
        <v>12.485395767798973</v>
      </c>
      <c r="EF677" s="251">
        <v>17.304299999999998</v>
      </c>
      <c r="EG677" s="250">
        <v>59.908299829111989</v>
      </c>
      <c r="EH677" s="250">
        <v>82.980287743658167</v>
      </c>
      <c r="EI677" s="250">
        <v>115.00763130840822</v>
      </c>
    </row>
    <row r="678" spans="1:139">
      <c r="A678" s="248">
        <v>1974</v>
      </c>
      <c r="B678" s="251">
        <v>8.5423103999999999</v>
      </c>
      <c r="C678" s="251">
        <v>8.8408320000000007</v>
      </c>
      <c r="D678" s="251">
        <v>9.9545471999999986</v>
      </c>
      <c r="E678" s="251">
        <v>11.056780799999999</v>
      </c>
      <c r="F678" s="251">
        <v>13.226803200000001</v>
      </c>
      <c r="G678" s="250">
        <v>8.4094525260710196</v>
      </c>
      <c r="H678" s="250">
        <v>8.0925321428571451</v>
      </c>
      <c r="I678" s="250">
        <v>8.5771414285714247</v>
      </c>
      <c r="J678" s="250">
        <v>10.544539285714286</v>
      </c>
      <c r="K678" s="250">
        <v>11.696721428571424</v>
      </c>
      <c r="L678" s="251">
        <v>6.6708270676691734</v>
      </c>
      <c r="M678" s="251">
        <v>6.9039473684210515</v>
      </c>
      <c r="N678" s="251">
        <v>7.7736654135338341</v>
      </c>
      <c r="O678" s="251">
        <v>8.6344172932330796</v>
      </c>
      <c r="P678" s="251">
        <v>10.329022556390976</v>
      </c>
      <c r="Q678" s="250">
        <v>7.5384735144422379</v>
      </c>
      <c r="R678" s="250">
        <v>7.2543770280612261</v>
      </c>
      <c r="S678" s="250">
        <v>7.6887946377551035</v>
      </c>
      <c r="T678" s="250">
        <v>9.4524262882653094</v>
      </c>
      <c r="U678" s="250">
        <v>10.485275280612241</v>
      </c>
      <c r="V678" s="251">
        <v>3.4910661654135331</v>
      </c>
      <c r="W678" s="251">
        <v>3.6130657894736831</v>
      </c>
      <c r="X678" s="251">
        <v>4.0682182330827059</v>
      </c>
      <c r="Y678" s="251">
        <v>4.5186783834586466</v>
      </c>
      <c r="Z678" s="251">
        <v>5.4055218045112765</v>
      </c>
      <c r="AA678" s="250">
        <v>10.685151251919576</v>
      </c>
      <c r="AB678" s="250">
        <v>11.058557075239346</v>
      </c>
      <c r="AC678" s="250">
        <v>12.451648031470794</v>
      </c>
      <c r="AD678" s="250">
        <v>13.830377225266867</v>
      </c>
      <c r="AE678" s="250">
        <v>16.544750325552886</v>
      </c>
      <c r="AF678" s="251">
        <v>3.9451344725581041</v>
      </c>
      <c r="AG678" s="251">
        <v>3.7964573113520395</v>
      </c>
      <c r="AH678" s="251">
        <v>4.0238025270918367</v>
      </c>
      <c r="AI678" s="251">
        <v>4.9467697575255078</v>
      </c>
      <c r="AJ678" s="251">
        <v>5.4872940635204044</v>
      </c>
      <c r="AK678" s="250">
        <v>11.654139363434378</v>
      </c>
      <c r="AL678" s="250">
        <v>11.193414024507522</v>
      </c>
      <c r="AM678" s="250">
        <v>12.264514266937846</v>
      </c>
      <c r="AN678" s="250">
        <v>13.881648717161161</v>
      </c>
      <c r="AO678" s="250">
        <v>16.418366816121573</v>
      </c>
      <c r="AP678" s="251">
        <v>22.416401227803291</v>
      </c>
      <c r="AQ678" s="251">
        <v>23.199770087914697</v>
      </c>
      <c r="AR678" s="251">
        <v>26.122338527561112</v>
      </c>
      <c r="AS678" s="251">
        <v>29.014777395664751</v>
      </c>
      <c r="AT678" s="251">
        <v>34.709266417243818</v>
      </c>
      <c r="AU678" s="250">
        <v>2.8173564522594501</v>
      </c>
      <c r="AV678" s="250">
        <v>5.2053571428571441</v>
      </c>
      <c r="AW678" s="251">
        <v>5.6347129045189002</v>
      </c>
      <c r="AX678" s="251">
        <v>10.410714285714288</v>
      </c>
      <c r="AY678" s="250">
        <v>8.7238095238095248</v>
      </c>
      <c r="AZ678" s="250">
        <v>9.3671904761904745</v>
      </c>
      <c r="BA678" s="250">
        <v>12.63861904761905</v>
      </c>
      <c r="BB678" s="250">
        <v>13.369238095238099</v>
      </c>
      <c r="BC678" s="250">
        <v>15.266666666666669</v>
      </c>
      <c r="BD678" s="251">
        <v>8.4094525260710196</v>
      </c>
      <c r="BE678" s="251">
        <v>8.0925321428571451</v>
      </c>
      <c r="BF678" s="251">
        <v>10.772931428571425</v>
      </c>
      <c r="BG678" s="251">
        <v>11.551349999999999</v>
      </c>
      <c r="BH678" s="251">
        <v>11.696721428571424</v>
      </c>
      <c r="BI678" s="250">
        <v>6.8872180451127836</v>
      </c>
      <c r="BJ678" s="250">
        <v>7.3951503759398509</v>
      </c>
      <c r="BK678" s="250">
        <v>9.977857142857145</v>
      </c>
      <c r="BL678" s="250">
        <v>10.554661654135343</v>
      </c>
      <c r="BM678" s="250">
        <v>12.052631578947368</v>
      </c>
      <c r="BN678" s="251">
        <v>7.5384735144422379</v>
      </c>
      <c r="BO678" s="251">
        <v>7.2543770280612261</v>
      </c>
      <c r="BP678" s="251">
        <v>9.6571635306122481</v>
      </c>
      <c r="BQ678" s="251">
        <v>10.354960178571424</v>
      </c>
      <c r="BR678" s="251">
        <v>10.485275280612241</v>
      </c>
      <c r="BS678" s="250">
        <v>3.6043107769423552</v>
      </c>
      <c r="BT678" s="250">
        <v>3.8701286967418542</v>
      </c>
      <c r="BU678" s="250">
        <v>5.2217452380952372</v>
      </c>
      <c r="BV678" s="250">
        <v>5.5236062656641582</v>
      </c>
      <c r="BW678" s="250">
        <v>6.3075438596491225</v>
      </c>
      <c r="BX678" s="251">
        <v>11.031760495433302</v>
      </c>
      <c r="BY678" s="251">
        <v>11.845352831971503</v>
      </c>
      <c r="BZ678" s="251">
        <v>13.401623417147851</v>
      </c>
      <c r="CA678" s="251">
        <v>16.505840495649938</v>
      </c>
      <c r="CB678" s="251">
        <v>19.29431100909849</v>
      </c>
      <c r="CC678" s="250">
        <v>3.9451344725581041</v>
      </c>
      <c r="CD678" s="250">
        <v>3.7964573113520395</v>
      </c>
      <c r="CE678" s="250">
        <v>5.0539155810204068</v>
      </c>
      <c r="CF678" s="250">
        <v>5.4190958267857114</v>
      </c>
      <c r="CG678" s="250">
        <v>5.4872940635204044</v>
      </c>
      <c r="CH678" s="251">
        <v>11.654139363434378</v>
      </c>
      <c r="CI678" s="251">
        <v>11.193414024507522</v>
      </c>
      <c r="CJ678" s="251">
        <v>12.264514266937846</v>
      </c>
      <c r="CK678" s="251">
        <v>13.881648717161161</v>
      </c>
      <c r="CL678" s="251">
        <v>16.418366816121573</v>
      </c>
      <c r="CM678" s="250">
        <v>23.143553486923004</v>
      </c>
      <c r="CN678" s="250">
        <v>24.850390556583577</v>
      </c>
      <c r="CO678" s="250">
        <v>28.115293882128356</v>
      </c>
      <c r="CP678" s="250">
        <v>34.627637403461392</v>
      </c>
      <c r="CQ678" s="250">
        <v>40.477575543563248</v>
      </c>
      <c r="CR678" s="251">
        <v>16.188448019060189</v>
      </c>
      <c r="CS678" s="251">
        <v>18.447102232807122</v>
      </c>
      <c r="CT678" s="251">
        <v>25.37935256664295</v>
      </c>
      <c r="CU678" s="251">
        <v>28.918742439949444</v>
      </c>
      <c r="CV678" s="251">
        <v>34.374484744651745</v>
      </c>
      <c r="CW678" s="251">
        <v>38.311949995437537</v>
      </c>
      <c r="CX678" s="251">
        <v>48.81303910848915</v>
      </c>
      <c r="CY678" s="251">
        <v>53.40124151366863</v>
      </c>
      <c r="CZ678" s="251">
        <v>57.970448545566676</v>
      </c>
      <c r="DA678" s="250">
        <v>13.04740586610821</v>
      </c>
      <c r="DB678" s="250">
        <v>14.867813739874395</v>
      </c>
      <c r="DC678" s="250">
        <v>20.455000576100286</v>
      </c>
      <c r="DD678" s="250">
        <v>23.30764316055626</v>
      </c>
      <c r="DE678" s="250">
        <v>27.704808600167077</v>
      </c>
      <c r="DF678" s="250">
        <v>34.823432389084246</v>
      </c>
      <c r="DG678" s="250">
        <v>44.368338528908758</v>
      </c>
      <c r="DH678" s="250">
        <v>50.194876762311843</v>
      </c>
      <c r="DI678" s="250">
        <v>54.489735409163835</v>
      </c>
      <c r="DJ678" s="251">
        <v>6.72303928983803</v>
      </c>
      <c r="DK678" s="251">
        <v>7.6610551517230041</v>
      </c>
      <c r="DL678" s="251">
        <v>10.540008792399224</v>
      </c>
      <c r="DM678" s="251">
        <v>12.009912340427903</v>
      </c>
      <c r="DN678" s="251">
        <v>14.275674310108958</v>
      </c>
      <c r="DO678" s="251">
        <v>15.700775559615654</v>
      </c>
      <c r="DP678" s="251">
        <v>20.004269464655216</v>
      </c>
      <c r="DQ678" s="251">
        <v>22.028916626171114</v>
      </c>
      <c r="DR678" s="251">
        <v>23.913791919335093</v>
      </c>
      <c r="DS678" s="250">
        <v>45.756142029368441</v>
      </c>
      <c r="DT678" s="250">
        <v>52.140157524723875</v>
      </c>
      <c r="DU678" s="250">
        <v>71.733946285985468</v>
      </c>
      <c r="DV678" s="250">
        <v>81.737921067857215</v>
      </c>
      <c r="DW678" s="250">
        <v>97.158406062816297</v>
      </c>
      <c r="DX678" s="251">
        <v>21.780065748802766</v>
      </c>
      <c r="DY678" s="251">
        <v>30.168042292416985</v>
      </c>
      <c r="DZ678" s="251">
        <v>41.811798676582924</v>
      </c>
      <c r="EA678" s="250">
        <v>15.412626941611681</v>
      </c>
      <c r="EB678" s="250">
        <v>21.348364452818313</v>
      </c>
      <c r="EC678" s="250">
        <v>29.588049099225955</v>
      </c>
      <c r="ED678" s="251">
        <v>8.9942957529090446</v>
      </c>
      <c r="EE678" s="251">
        <v>12.458194469829913</v>
      </c>
      <c r="EF678" s="251">
        <v>17.266599999999997</v>
      </c>
      <c r="EG678" s="250">
        <v>59.777780657371004</v>
      </c>
      <c r="EH678" s="250">
        <v>82.79950280304017</v>
      </c>
      <c r="EI678" s="250">
        <v>114.75707002015461</v>
      </c>
    </row>
    <row r="679" spans="1:139">
      <c r="A679" s="248">
        <v>1975</v>
      </c>
      <c r="B679" s="251">
        <v>8.538888</v>
      </c>
      <c r="C679" s="251">
        <v>8.8372900000000012</v>
      </c>
      <c r="D679" s="251">
        <v>9.9505589999999984</v>
      </c>
      <c r="E679" s="251">
        <v>11.052350999999998</v>
      </c>
      <c r="F679" s="251">
        <v>13.221504000000001</v>
      </c>
      <c r="G679" s="250">
        <v>8.3830077068066444</v>
      </c>
      <c r="H679" s="250">
        <v>8.0670839285714315</v>
      </c>
      <c r="I679" s="250">
        <v>8.550169285714281</v>
      </c>
      <c r="J679" s="250">
        <v>10.511380357142858</v>
      </c>
      <c r="K679" s="250">
        <v>11.65993928571428</v>
      </c>
      <c r="L679" s="251">
        <v>6.6498496240601508</v>
      </c>
      <c r="M679" s="251">
        <v>6.8822368421052618</v>
      </c>
      <c r="N679" s="251">
        <v>7.7492199248120297</v>
      </c>
      <c r="O679" s="251">
        <v>8.6072650375939812</v>
      </c>
      <c r="P679" s="251">
        <v>10.296541353383457</v>
      </c>
      <c r="Q679" s="250">
        <v>7.5147676228873879</v>
      </c>
      <c r="R679" s="250">
        <v>7.2315645216836755</v>
      </c>
      <c r="S679" s="250">
        <v>7.6646160382653079</v>
      </c>
      <c r="T679" s="250">
        <v>9.4227016772959225</v>
      </c>
      <c r="U679" s="250">
        <v>10.45230271683673</v>
      </c>
      <c r="V679" s="251">
        <v>3.4800879699248113</v>
      </c>
      <c r="W679" s="251">
        <v>3.6017039473684198</v>
      </c>
      <c r="X679" s="251">
        <v>4.0554250939849616</v>
      </c>
      <c r="Y679" s="251">
        <v>4.504468703007519</v>
      </c>
      <c r="Z679" s="251">
        <v>5.3885233082706749</v>
      </c>
      <c r="AA679" s="250">
        <v>10.651550147353792</v>
      </c>
      <c r="AB679" s="250">
        <v>11.023781738524757</v>
      </c>
      <c r="AC679" s="250">
        <v>12.412491905585666</v>
      </c>
      <c r="AD679" s="250">
        <v>13.786885472986153</v>
      </c>
      <c r="AE679" s="250">
        <v>16.492722808805865</v>
      </c>
      <c r="AF679" s="251">
        <v>3.9327283893110661</v>
      </c>
      <c r="AG679" s="251">
        <v>3.7845187663477877</v>
      </c>
      <c r="AH679" s="251">
        <v>4.0111490600255104</v>
      </c>
      <c r="AI679" s="251">
        <v>4.9312138777848613</v>
      </c>
      <c r="AJ679" s="251">
        <v>5.4700384218112204</v>
      </c>
      <c r="AK679" s="250">
        <v>11.617491126442447</v>
      </c>
      <c r="AL679" s="250">
        <v>11.158214609336115</v>
      </c>
      <c r="AM679" s="250">
        <v>12.225946612010368</v>
      </c>
      <c r="AN679" s="250">
        <v>13.837995733773862</v>
      </c>
      <c r="AO679" s="250">
        <v>16.366736731794145</v>
      </c>
      <c r="AP679" s="251">
        <v>22.345909400042903</v>
      </c>
      <c r="AQ679" s="251">
        <v>23.126814836065908</v>
      </c>
      <c r="AR679" s="251">
        <v>26.040192808920985</v>
      </c>
      <c r="AS679" s="251">
        <v>28.923535957313604</v>
      </c>
      <c r="AT679" s="251">
        <v>34.600117780711606</v>
      </c>
      <c r="AU679" s="250">
        <v>2.8084968407743576</v>
      </c>
      <c r="AV679" s="250">
        <v>5.1889880952380967</v>
      </c>
      <c r="AW679" s="251">
        <v>5.6169936815487151</v>
      </c>
      <c r="AX679" s="251">
        <v>10.377976190476193</v>
      </c>
      <c r="AY679" s="250">
        <v>8.7047619047619058</v>
      </c>
      <c r="AZ679" s="250">
        <v>9.3467380952380932</v>
      </c>
      <c r="BA679" s="250">
        <v>12.611023809523813</v>
      </c>
      <c r="BB679" s="250">
        <v>13.340047619047624</v>
      </c>
      <c r="BC679" s="250">
        <v>15.233333333333336</v>
      </c>
      <c r="BD679" s="251">
        <v>8.3830077068066444</v>
      </c>
      <c r="BE679" s="251">
        <v>8.0670839285714315</v>
      </c>
      <c r="BF679" s="251">
        <v>10.739054285714282</v>
      </c>
      <c r="BG679" s="251">
        <v>11.515025</v>
      </c>
      <c r="BH679" s="251">
        <v>11.65993928571428</v>
      </c>
      <c r="BI679" s="250">
        <v>6.8721804511278215</v>
      </c>
      <c r="BJ679" s="250">
        <v>7.3790037593984978</v>
      </c>
      <c r="BK679" s="250">
        <v>9.9560714285714305</v>
      </c>
      <c r="BL679" s="250">
        <v>10.531616541353388</v>
      </c>
      <c r="BM679" s="250">
        <v>12.026315789473683</v>
      </c>
      <c r="BN679" s="251">
        <v>7.5147676228873879</v>
      </c>
      <c r="BO679" s="251">
        <v>7.2315645216836755</v>
      </c>
      <c r="BP679" s="251">
        <v>9.6267950918367386</v>
      </c>
      <c r="BQ679" s="251">
        <v>10.322397410714281</v>
      </c>
      <c r="BR679" s="251">
        <v>10.45230271683673</v>
      </c>
      <c r="BS679" s="250">
        <v>3.5964411027568914</v>
      </c>
      <c r="BT679" s="250">
        <v>3.8616786340852127</v>
      </c>
      <c r="BU679" s="250">
        <v>5.2103440476190466</v>
      </c>
      <c r="BV679" s="250">
        <v>5.5115459899749348</v>
      </c>
      <c r="BW679" s="250">
        <v>6.2937719298245609</v>
      </c>
      <c r="BX679" s="251">
        <v>11.007673682124496</v>
      </c>
      <c r="BY679" s="251">
        <v>11.819489616181173</v>
      </c>
      <c r="BZ679" s="251">
        <v>13.372362230647528</v>
      </c>
      <c r="CA679" s="251">
        <v>16.469801542602667</v>
      </c>
      <c r="CB679" s="251">
        <v>19.252183692484738</v>
      </c>
      <c r="CC679" s="250">
        <v>3.9327283893110661</v>
      </c>
      <c r="CD679" s="250">
        <v>3.7845187663477877</v>
      </c>
      <c r="CE679" s="250">
        <v>5.0380227647278897</v>
      </c>
      <c r="CF679" s="250">
        <v>5.4020546449404732</v>
      </c>
      <c r="CG679" s="250">
        <v>5.4700384218112204</v>
      </c>
      <c r="CH679" s="251">
        <v>11.617491126442447</v>
      </c>
      <c r="CI679" s="251">
        <v>11.158214609336115</v>
      </c>
      <c r="CJ679" s="251">
        <v>12.225946612010368</v>
      </c>
      <c r="CK679" s="251">
        <v>13.837995733773862</v>
      </c>
      <c r="CL679" s="251">
        <v>16.366736731794145</v>
      </c>
      <c r="CM679" s="250">
        <v>23.093021710750683</v>
      </c>
      <c r="CN679" s="250">
        <v>24.796132061918549</v>
      </c>
      <c r="CO679" s="250">
        <v>28.053906777582224</v>
      </c>
      <c r="CP679" s="250">
        <v>34.552031208257326</v>
      </c>
      <c r="CQ679" s="250">
        <v>40.38919655766027</v>
      </c>
      <c r="CR679" s="251">
        <v>16.153102062686695</v>
      </c>
      <c r="CS679" s="251">
        <v>18.406824717014967</v>
      </c>
      <c r="CT679" s="251">
        <v>25.323939133091329</v>
      </c>
      <c r="CU679" s="251">
        <v>28.855601080910255</v>
      </c>
      <c r="CV679" s="251">
        <v>34.299431284510582</v>
      </c>
      <c r="CW679" s="251">
        <v>38.268314517082821</v>
      </c>
      <c r="CX679" s="251">
        <v>48.757443391964678</v>
      </c>
      <c r="CY679" s="251">
        <v>53.340420054085861</v>
      </c>
      <c r="CZ679" s="251">
        <v>57.904422977747124</v>
      </c>
      <c r="DA679" s="250">
        <v>13.01891808037435</v>
      </c>
      <c r="DB679" s="250">
        <v>14.835351264459822</v>
      </c>
      <c r="DC679" s="250">
        <v>20.410339002790025</v>
      </c>
      <c r="DD679" s="250">
        <v>23.256753109987361</v>
      </c>
      <c r="DE679" s="250">
        <v>27.644317751695095</v>
      </c>
      <c r="DF679" s="250">
        <v>34.783770165406473</v>
      </c>
      <c r="DG679" s="250">
        <v>44.317805113727772</v>
      </c>
      <c r="DH679" s="250">
        <v>50.137707198801237</v>
      </c>
      <c r="DI679" s="250">
        <v>54.427674207103287</v>
      </c>
      <c r="DJ679" s="251">
        <v>6.7083601647510473</v>
      </c>
      <c r="DK679" s="251">
        <v>7.6443279570685867</v>
      </c>
      <c r="DL679" s="251">
        <v>10.516995672765164</v>
      </c>
      <c r="DM679" s="251">
        <v>11.983689824400768</v>
      </c>
      <c r="DN679" s="251">
        <v>14.244504715545402</v>
      </c>
      <c r="DO679" s="251">
        <v>15.682893127315408</v>
      </c>
      <c r="DP679" s="251">
        <v>19.981485558659024</v>
      </c>
      <c r="DQ679" s="251">
        <v>22.003826743908959</v>
      </c>
      <c r="DR679" s="251">
        <v>23.886555254278903</v>
      </c>
      <c r="DS679" s="250">
        <v>45.656237789129648</v>
      </c>
      <c r="DT679" s="250">
        <v>52.026314386023607</v>
      </c>
      <c r="DU679" s="250">
        <v>71.577321949116509</v>
      </c>
      <c r="DV679" s="250">
        <v>81.559453991289843</v>
      </c>
      <c r="DW679" s="250">
        <v>96.946269805037218</v>
      </c>
      <c r="DX679" s="251">
        <v>21.73251102009359</v>
      </c>
      <c r="DY679" s="251">
        <v>30.102173204442273</v>
      </c>
      <c r="DZ679" s="251">
        <v>41.720506539734487</v>
      </c>
      <c r="EA679" s="250">
        <v>15.378974917721699</v>
      </c>
      <c r="EB679" s="250">
        <v>21.301752303358011</v>
      </c>
      <c r="EC679" s="250">
        <v>29.523446371935069</v>
      </c>
      <c r="ED679" s="251">
        <v>8.9746575525751826</v>
      </c>
      <c r="EE679" s="251">
        <v>12.430993171860852</v>
      </c>
      <c r="EF679" s="251">
        <v>17.228899999999996</v>
      </c>
      <c r="EG679" s="250">
        <v>59.647261485630018</v>
      </c>
      <c r="EH679" s="250">
        <v>82.618717862422173</v>
      </c>
      <c r="EI679" s="250">
        <v>114.50650873190101</v>
      </c>
    </row>
    <row r="680" spans="1:139">
      <c r="A680" s="248">
        <v>1976</v>
      </c>
      <c r="B680" s="251">
        <v>8.5354656000000002</v>
      </c>
      <c r="C680" s="251">
        <v>8.8337480000000017</v>
      </c>
      <c r="D680" s="251">
        <v>9.9465707999999982</v>
      </c>
      <c r="E680" s="251">
        <v>11.047921199999998</v>
      </c>
      <c r="F680" s="251">
        <v>13.216204800000002</v>
      </c>
      <c r="G680" s="250">
        <v>8.3565628875422693</v>
      </c>
      <c r="H680" s="250">
        <v>8.041635714285718</v>
      </c>
      <c r="I680" s="250">
        <v>8.5231971428571374</v>
      </c>
      <c r="J680" s="250">
        <v>10.47822142857143</v>
      </c>
      <c r="K680" s="250">
        <v>11.623157142857137</v>
      </c>
      <c r="L680" s="251">
        <v>6.6288721804511281</v>
      </c>
      <c r="M680" s="251">
        <v>6.860526315789472</v>
      </c>
      <c r="N680" s="251">
        <v>7.7247744360902253</v>
      </c>
      <c r="O680" s="251">
        <v>8.5801127819548828</v>
      </c>
      <c r="P680" s="251">
        <v>10.264060150375938</v>
      </c>
      <c r="Q680" s="250">
        <v>7.4910617313325378</v>
      </c>
      <c r="R680" s="250">
        <v>7.2087520153061249</v>
      </c>
      <c r="S680" s="250">
        <v>7.6404374387755123</v>
      </c>
      <c r="T680" s="250">
        <v>9.3929770663265355</v>
      </c>
      <c r="U680" s="250">
        <v>10.419330153061219</v>
      </c>
      <c r="V680" s="251">
        <v>3.4691097744360895</v>
      </c>
      <c r="W680" s="251">
        <v>3.5903421052631566</v>
      </c>
      <c r="X680" s="251">
        <v>4.0426319548872174</v>
      </c>
      <c r="Y680" s="251">
        <v>4.4902590225563914</v>
      </c>
      <c r="Z680" s="251">
        <v>5.3715248120300734</v>
      </c>
      <c r="AA680" s="250">
        <v>10.617949042788007</v>
      </c>
      <c r="AB680" s="250">
        <v>10.989006401810169</v>
      </c>
      <c r="AC680" s="250">
        <v>12.373335779700538</v>
      </c>
      <c r="AD680" s="250">
        <v>13.74339372070544</v>
      </c>
      <c r="AE680" s="250">
        <v>16.440695292058845</v>
      </c>
      <c r="AF680" s="251">
        <v>3.920322306064028</v>
      </c>
      <c r="AG680" s="251">
        <v>3.772580221343536</v>
      </c>
      <c r="AH680" s="251">
        <v>3.9984955929591841</v>
      </c>
      <c r="AI680" s="251">
        <v>4.9156579980442148</v>
      </c>
      <c r="AJ680" s="251">
        <v>5.4527827801020363</v>
      </c>
      <c r="AK680" s="250">
        <v>11.580842889450516</v>
      </c>
      <c r="AL680" s="250">
        <v>11.123015194164708</v>
      </c>
      <c r="AM680" s="250">
        <v>12.18737895708289</v>
      </c>
      <c r="AN680" s="250">
        <v>13.794342750386564</v>
      </c>
      <c r="AO680" s="250">
        <v>16.315106647466717</v>
      </c>
      <c r="AP680" s="251">
        <v>22.275417572282514</v>
      </c>
      <c r="AQ680" s="251">
        <v>23.053859584217118</v>
      </c>
      <c r="AR680" s="251">
        <v>25.958047090280857</v>
      </c>
      <c r="AS680" s="251">
        <v>28.832294518962456</v>
      </c>
      <c r="AT680" s="251">
        <v>34.490969144179395</v>
      </c>
      <c r="AU680" s="250">
        <v>2.7996372292892651</v>
      </c>
      <c r="AV680" s="250">
        <v>5.1726190476190492</v>
      </c>
      <c r="AW680" s="251">
        <v>5.5992744585785301</v>
      </c>
      <c r="AX680" s="251">
        <v>10.345238095238098</v>
      </c>
      <c r="AY680" s="250">
        <v>8.6857142857142868</v>
      </c>
      <c r="AZ680" s="250">
        <v>9.3262857142857118</v>
      </c>
      <c r="BA680" s="250">
        <v>12.583428571428575</v>
      </c>
      <c r="BB680" s="250">
        <v>13.310857142857149</v>
      </c>
      <c r="BC680" s="250">
        <v>15.200000000000003</v>
      </c>
      <c r="BD680" s="251">
        <v>8.3565628875422693</v>
      </c>
      <c r="BE680" s="251">
        <v>8.041635714285718</v>
      </c>
      <c r="BF680" s="251">
        <v>10.705177142857139</v>
      </c>
      <c r="BG680" s="251">
        <v>11.4787</v>
      </c>
      <c r="BH680" s="251">
        <v>11.623157142857137</v>
      </c>
      <c r="BI680" s="250">
        <v>6.8571428571428594</v>
      </c>
      <c r="BJ680" s="250">
        <v>7.3628571428571448</v>
      </c>
      <c r="BK680" s="250">
        <v>9.9342857142857159</v>
      </c>
      <c r="BL680" s="250">
        <v>10.508571428571434</v>
      </c>
      <c r="BM680" s="250">
        <v>11.999999999999998</v>
      </c>
      <c r="BN680" s="251">
        <v>7.4910617313325378</v>
      </c>
      <c r="BO680" s="251">
        <v>7.2087520153061249</v>
      </c>
      <c r="BP680" s="251">
        <v>9.5964266530612292</v>
      </c>
      <c r="BQ680" s="251">
        <v>10.289834642857137</v>
      </c>
      <c r="BR680" s="251">
        <v>10.419330153061219</v>
      </c>
      <c r="BS680" s="250">
        <v>3.5885714285714276</v>
      </c>
      <c r="BT680" s="250">
        <v>3.8532285714285712</v>
      </c>
      <c r="BU680" s="250">
        <v>5.198942857142856</v>
      </c>
      <c r="BV680" s="250">
        <v>5.4994857142857114</v>
      </c>
      <c r="BW680" s="250">
        <v>6.2799999999999994</v>
      </c>
      <c r="BX680" s="251">
        <v>10.98358686881569</v>
      </c>
      <c r="BY680" s="251">
        <v>11.793626400390842</v>
      </c>
      <c r="BZ680" s="251">
        <v>13.343101044147206</v>
      </c>
      <c r="CA680" s="251">
        <v>16.433762589555396</v>
      </c>
      <c r="CB680" s="251">
        <v>19.210056375870987</v>
      </c>
      <c r="CC680" s="250">
        <v>3.920322306064028</v>
      </c>
      <c r="CD680" s="250">
        <v>3.772580221343536</v>
      </c>
      <c r="CE680" s="250">
        <v>5.0221299484353725</v>
      </c>
      <c r="CF680" s="250">
        <v>5.3850134630952349</v>
      </c>
      <c r="CG680" s="250">
        <v>5.4527827801020363</v>
      </c>
      <c r="CH680" s="251">
        <v>11.580842889450516</v>
      </c>
      <c r="CI680" s="251">
        <v>11.123015194164708</v>
      </c>
      <c r="CJ680" s="251">
        <v>12.18737895708289</v>
      </c>
      <c r="CK680" s="251">
        <v>13.794342750386564</v>
      </c>
      <c r="CL680" s="251">
        <v>16.315106647466717</v>
      </c>
      <c r="CM680" s="250">
        <v>23.042489934578363</v>
      </c>
      <c r="CN680" s="250">
        <v>24.741873567253521</v>
      </c>
      <c r="CO680" s="250">
        <v>27.992519673036092</v>
      </c>
      <c r="CP680" s="250">
        <v>34.476425013053259</v>
      </c>
      <c r="CQ680" s="250">
        <v>40.300817571757293</v>
      </c>
      <c r="CR680" s="251">
        <v>16.117756106313202</v>
      </c>
      <c r="CS680" s="251">
        <v>18.366547201222811</v>
      </c>
      <c r="CT680" s="251">
        <v>25.268525699539708</v>
      </c>
      <c r="CU680" s="251">
        <v>28.792459721871065</v>
      </c>
      <c r="CV680" s="251">
        <v>34.224377824369419</v>
      </c>
      <c r="CW680" s="251">
        <v>38.224679038728105</v>
      </c>
      <c r="CX680" s="251">
        <v>48.701847675440206</v>
      </c>
      <c r="CY680" s="251">
        <v>53.279598594503092</v>
      </c>
      <c r="CZ680" s="251">
        <v>57.838397409927573</v>
      </c>
      <c r="DA680" s="250">
        <v>12.99043029464049</v>
      </c>
      <c r="DB680" s="250">
        <v>14.80288878904525</v>
      </c>
      <c r="DC680" s="250">
        <v>20.365677429479764</v>
      </c>
      <c r="DD680" s="250">
        <v>23.205863059418462</v>
      </c>
      <c r="DE680" s="250">
        <v>27.583826903223112</v>
      </c>
      <c r="DF680" s="250">
        <v>34.7441079417287</v>
      </c>
      <c r="DG680" s="250">
        <v>44.267271698546786</v>
      </c>
      <c r="DH680" s="250">
        <v>50.080537635290632</v>
      </c>
      <c r="DI680" s="250">
        <v>54.365613005042739</v>
      </c>
      <c r="DJ680" s="251">
        <v>6.6936810396640647</v>
      </c>
      <c r="DK680" s="251">
        <v>7.6276007624141693</v>
      </c>
      <c r="DL680" s="251">
        <v>10.493982553131104</v>
      </c>
      <c r="DM680" s="251">
        <v>11.957467308373634</v>
      </c>
      <c r="DN680" s="251">
        <v>14.213335120981846</v>
      </c>
      <c r="DO680" s="251">
        <v>15.665010695015162</v>
      </c>
      <c r="DP680" s="251">
        <v>19.958701652662832</v>
      </c>
      <c r="DQ680" s="251">
        <v>21.978736861646805</v>
      </c>
      <c r="DR680" s="251">
        <v>23.859318589222713</v>
      </c>
      <c r="DS680" s="250">
        <v>45.556333548890855</v>
      </c>
      <c r="DT680" s="250">
        <v>51.912471247323339</v>
      </c>
      <c r="DU680" s="250">
        <v>71.420697612247551</v>
      </c>
      <c r="DV680" s="250">
        <v>81.38098691472247</v>
      </c>
      <c r="DW680" s="250">
        <v>96.734133547258139</v>
      </c>
      <c r="DX680" s="251">
        <v>21.684956291384413</v>
      </c>
      <c r="DY680" s="251">
        <v>30.036304116467562</v>
      </c>
      <c r="DZ680" s="251">
        <v>41.629214402886049</v>
      </c>
      <c r="EA680" s="250">
        <v>15.345322893831717</v>
      </c>
      <c r="EB680" s="250">
        <v>21.25514015389771</v>
      </c>
      <c r="EC680" s="250">
        <v>29.458843644644183</v>
      </c>
      <c r="ED680" s="251">
        <v>8.9550193522413206</v>
      </c>
      <c r="EE680" s="251">
        <v>12.403791873891791</v>
      </c>
      <c r="EF680" s="251">
        <v>17.191199999999995</v>
      </c>
      <c r="EG680" s="250">
        <v>59.516742313889033</v>
      </c>
      <c r="EH680" s="250">
        <v>82.437932921804176</v>
      </c>
      <c r="EI680" s="250">
        <v>114.2559474436474</v>
      </c>
    </row>
    <row r="681" spans="1:139">
      <c r="A681" s="248">
        <v>1977</v>
      </c>
      <c r="B681" s="251">
        <v>8.5320432000000004</v>
      </c>
      <c r="C681" s="251">
        <v>8.8302060000000022</v>
      </c>
      <c r="D681" s="251">
        <v>9.9425825999999979</v>
      </c>
      <c r="E681" s="251">
        <v>11.043491399999997</v>
      </c>
      <c r="F681" s="251">
        <v>13.210905600000002</v>
      </c>
      <c r="G681" s="250">
        <v>8.3301180682778941</v>
      </c>
      <c r="H681" s="250">
        <v>8.0161875000000045</v>
      </c>
      <c r="I681" s="250">
        <v>8.4962249999999937</v>
      </c>
      <c r="J681" s="250">
        <v>10.445062500000002</v>
      </c>
      <c r="K681" s="250">
        <v>11.586374999999993</v>
      </c>
      <c r="L681" s="251">
        <v>6.6078947368421055</v>
      </c>
      <c r="M681" s="251">
        <v>6.8388157894736823</v>
      </c>
      <c r="N681" s="251">
        <v>7.7003289473684209</v>
      </c>
      <c r="O681" s="251">
        <v>8.5529605263157844</v>
      </c>
      <c r="P681" s="251">
        <v>10.231578947368419</v>
      </c>
      <c r="Q681" s="250">
        <v>7.4673558397776878</v>
      </c>
      <c r="R681" s="250">
        <v>7.1859395089285742</v>
      </c>
      <c r="S681" s="250">
        <v>7.6162588392857167</v>
      </c>
      <c r="T681" s="250">
        <v>9.3632524553571486</v>
      </c>
      <c r="U681" s="250">
        <v>10.386357589285709</v>
      </c>
      <c r="V681" s="251">
        <v>3.4581315789473677</v>
      </c>
      <c r="W681" s="251">
        <v>3.5789802631578933</v>
      </c>
      <c r="X681" s="251">
        <v>4.0298388157894731</v>
      </c>
      <c r="Y681" s="251">
        <v>4.4760493421052638</v>
      </c>
      <c r="Z681" s="251">
        <v>5.3545263157894718</v>
      </c>
      <c r="AA681" s="250">
        <v>10.584347938222223</v>
      </c>
      <c r="AB681" s="250">
        <v>10.954231065095581</v>
      </c>
      <c r="AC681" s="250">
        <v>12.33417965381541</v>
      </c>
      <c r="AD681" s="250">
        <v>13.699901968424726</v>
      </c>
      <c r="AE681" s="250">
        <v>16.388667775311824</v>
      </c>
      <c r="AF681" s="251">
        <v>3.9079162228169899</v>
      </c>
      <c r="AG681" s="251">
        <v>3.7606416763392843</v>
      </c>
      <c r="AH681" s="251">
        <v>3.9858421258928578</v>
      </c>
      <c r="AI681" s="251">
        <v>4.9001021183035682</v>
      </c>
      <c r="AJ681" s="251">
        <v>5.4355271383928523</v>
      </c>
      <c r="AK681" s="250">
        <v>11.544194652458584</v>
      </c>
      <c r="AL681" s="250">
        <v>11.087815778993301</v>
      </c>
      <c r="AM681" s="250">
        <v>12.148811302155412</v>
      </c>
      <c r="AN681" s="250">
        <v>13.750689766999265</v>
      </c>
      <c r="AO681" s="250">
        <v>16.263476563139289</v>
      </c>
      <c r="AP681" s="251">
        <v>22.204925744522125</v>
      </c>
      <c r="AQ681" s="251">
        <v>22.980904332368329</v>
      </c>
      <c r="AR681" s="251">
        <v>25.87590137164073</v>
      </c>
      <c r="AS681" s="251">
        <v>28.741053080611309</v>
      </c>
      <c r="AT681" s="251">
        <v>34.381820507647184</v>
      </c>
      <c r="AU681" s="250">
        <v>2.7907776178041726</v>
      </c>
      <c r="AV681" s="250">
        <v>5.1562500000000018</v>
      </c>
      <c r="AW681" s="251">
        <v>5.5815552356083451</v>
      </c>
      <c r="AX681" s="251">
        <v>10.312500000000004</v>
      </c>
      <c r="AY681" s="250">
        <v>8.6666666666666679</v>
      </c>
      <c r="AZ681" s="250">
        <v>9.3058333333333305</v>
      </c>
      <c r="BA681" s="250">
        <v>12.555833333333338</v>
      </c>
      <c r="BB681" s="250">
        <v>13.281666666666673</v>
      </c>
      <c r="BC681" s="250">
        <v>15.16666666666667</v>
      </c>
      <c r="BD681" s="251">
        <v>8.3301180682778941</v>
      </c>
      <c r="BE681" s="251">
        <v>8.0161875000000045</v>
      </c>
      <c r="BF681" s="251">
        <v>10.671299999999995</v>
      </c>
      <c r="BG681" s="251">
        <v>11.442375</v>
      </c>
      <c r="BH681" s="251">
        <v>11.586374999999993</v>
      </c>
      <c r="BI681" s="250">
        <v>6.8421052631578974</v>
      </c>
      <c r="BJ681" s="250">
        <v>7.3467105263157917</v>
      </c>
      <c r="BK681" s="250">
        <v>9.9125000000000014</v>
      </c>
      <c r="BL681" s="250">
        <v>10.48552631578948</v>
      </c>
      <c r="BM681" s="250">
        <v>11.973684210526313</v>
      </c>
      <c r="BN681" s="251">
        <v>7.4673558397776878</v>
      </c>
      <c r="BO681" s="251">
        <v>7.1859395089285742</v>
      </c>
      <c r="BP681" s="251">
        <v>9.5660582142857198</v>
      </c>
      <c r="BQ681" s="251">
        <v>10.257271874999994</v>
      </c>
      <c r="BR681" s="251">
        <v>10.386357589285709</v>
      </c>
      <c r="BS681" s="250">
        <v>3.5807017543859638</v>
      </c>
      <c r="BT681" s="250">
        <v>3.8447785087719297</v>
      </c>
      <c r="BU681" s="250">
        <v>5.1875416666666654</v>
      </c>
      <c r="BV681" s="250">
        <v>5.487425438596488</v>
      </c>
      <c r="BW681" s="250">
        <v>6.2662280701754378</v>
      </c>
      <c r="BX681" s="251">
        <v>10.959500055506885</v>
      </c>
      <c r="BY681" s="251">
        <v>11.767763184600511</v>
      </c>
      <c r="BZ681" s="251">
        <v>13.313839857646883</v>
      </c>
      <c r="CA681" s="251">
        <v>16.397723636508125</v>
      </c>
      <c r="CB681" s="251">
        <v>19.167929059257236</v>
      </c>
      <c r="CC681" s="250">
        <v>3.9079162228169899</v>
      </c>
      <c r="CD681" s="250">
        <v>3.7606416763392843</v>
      </c>
      <c r="CE681" s="250">
        <v>5.0062371321428554</v>
      </c>
      <c r="CF681" s="250">
        <v>5.3679722812499966</v>
      </c>
      <c r="CG681" s="250">
        <v>5.4355271383928523</v>
      </c>
      <c r="CH681" s="251">
        <v>11.544194652458584</v>
      </c>
      <c r="CI681" s="251">
        <v>11.087815778993301</v>
      </c>
      <c r="CJ681" s="251">
        <v>12.148811302155412</v>
      </c>
      <c r="CK681" s="251">
        <v>13.750689766999265</v>
      </c>
      <c r="CL681" s="251">
        <v>16.263476563139289</v>
      </c>
      <c r="CM681" s="250">
        <v>22.991958158406042</v>
      </c>
      <c r="CN681" s="250">
        <v>24.687615072588493</v>
      </c>
      <c r="CO681" s="250">
        <v>27.931132568489961</v>
      </c>
      <c r="CP681" s="250">
        <v>34.400818817849192</v>
      </c>
      <c r="CQ681" s="250">
        <v>40.212438585854315</v>
      </c>
      <c r="CR681" s="251">
        <v>16.082410149939708</v>
      </c>
      <c r="CS681" s="251">
        <v>18.326269685430656</v>
      </c>
      <c r="CT681" s="251">
        <v>25.213112265988087</v>
      </c>
      <c r="CU681" s="251">
        <v>28.729318362831876</v>
      </c>
      <c r="CV681" s="251">
        <v>34.149324364228256</v>
      </c>
      <c r="CW681" s="251">
        <v>38.181043560373389</v>
      </c>
      <c r="CX681" s="251">
        <v>48.646251958915734</v>
      </c>
      <c r="CY681" s="251">
        <v>53.218777134920323</v>
      </c>
      <c r="CZ681" s="251">
        <v>57.772371842108022</v>
      </c>
      <c r="DA681" s="250">
        <v>12.961942508906629</v>
      </c>
      <c r="DB681" s="250">
        <v>14.770426313630677</v>
      </c>
      <c r="DC681" s="250">
        <v>20.321015856169502</v>
      </c>
      <c r="DD681" s="250">
        <v>23.154973008849563</v>
      </c>
      <c r="DE681" s="250">
        <v>27.52333605475113</v>
      </c>
      <c r="DF681" s="250">
        <v>34.704445718050927</v>
      </c>
      <c r="DG681" s="250">
        <v>44.2167382833658</v>
      </c>
      <c r="DH681" s="250">
        <v>50.023368071780027</v>
      </c>
      <c r="DI681" s="250">
        <v>54.303551802982192</v>
      </c>
      <c r="DJ681" s="251">
        <v>6.679001914577082</v>
      </c>
      <c r="DK681" s="251">
        <v>7.6108735677597519</v>
      </c>
      <c r="DL681" s="251">
        <v>10.470969433497045</v>
      </c>
      <c r="DM681" s="251">
        <v>11.931244792346499</v>
      </c>
      <c r="DN681" s="251">
        <v>14.18216552641829</v>
      </c>
      <c r="DO681" s="251">
        <v>15.647128262714917</v>
      </c>
      <c r="DP681" s="251">
        <v>19.93591774666664</v>
      </c>
      <c r="DQ681" s="251">
        <v>21.953646979384651</v>
      </c>
      <c r="DR681" s="251">
        <v>23.832081924166523</v>
      </c>
      <c r="DS681" s="250">
        <v>45.456429308652062</v>
      </c>
      <c r="DT681" s="250">
        <v>51.79862810862307</v>
      </c>
      <c r="DU681" s="250">
        <v>71.264073275378593</v>
      </c>
      <c r="DV681" s="250">
        <v>81.202519838155098</v>
      </c>
      <c r="DW681" s="250">
        <v>96.52199728947906</v>
      </c>
      <c r="DX681" s="251">
        <v>21.637401562675237</v>
      </c>
      <c r="DY681" s="251">
        <v>29.970435028492851</v>
      </c>
      <c r="DZ681" s="251">
        <v>41.537922266037612</v>
      </c>
      <c r="EA681" s="250">
        <v>15.311670869941736</v>
      </c>
      <c r="EB681" s="250">
        <v>21.208528004437408</v>
      </c>
      <c r="EC681" s="250">
        <v>29.394240917353297</v>
      </c>
      <c r="ED681" s="251">
        <v>8.9353811519074586</v>
      </c>
      <c r="EE681" s="251">
        <v>12.37659057592273</v>
      </c>
      <c r="EF681" s="251">
        <v>17.153499999999994</v>
      </c>
      <c r="EG681" s="250">
        <v>59.386223142148047</v>
      </c>
      <c r="EH681" s="250">
        <v>82.257147981186179</v>
      </c>
      <c r="EI681" s="250">
        <v>114.00538615539379</v>
      </c>
    </row>
    <row r="682" spans="1:139">
      <c r="A682" s="248">
        <v>1978</v>
      </c>
      <c r="B682" s="251">
        <v>8.5286208000000006</v>
      </c>
      <c r="C682" s="251">
        <v>8.8266640000000027</v>
      </c>
      <c r="D682" s="251">
        <v>9.9385943999999977</v>
      </c>
      <c r="E682" s="251">
        <v>11.039061599999997</v>
      </c>
      <c r="F682" s="251">
        <v>13.205606400000002</v>
      </c>
      <c r="G682" s="250">
        <v>8.303673249013519</v>
      </c>
      <c r="H682" s="250">
        <v>7.99073928571429</v>
      </c>
      <c r="I682" s="250">
        <v>8.46925285714285</v>
      </c>
      <c r="J682" s="250">
        <v>10.411903571428574</v>
      </c>
      <c r="K682" s="250">
        <v>11.54959285714285</v>
      </c>
      <c r="L682" s="251">
        <v>6.5869172932330828</v>
      </c>
      <c r="M682" s="251">
        <v>6.8171052631578926</v>
      </c>
      <c r="N682" s="251">
        <v>7.6758834586466165</v>
      </c>
      <c r="O682" s="251">
        <v>8.525808270676686</v>
      </c>
      <c r="P682" s="251">
        <v>10.1990977443609</v>
      </c>
      <c r="Q682" s="250">
        <v>7.4436499482228378</v>
      </c>
      <c r="R682" s="250">
        <v>7.1631270025510236</v>
      </c>
      <c r="S682" s="250">
        <v>7.5920802397959211</v>
      </c>
      <c r="T682" s="250">
        <v>9.3335278443877616</v>
      </c>
      <c r="U682" s="250">
        <v>10.353385025510198</v>
      </c>
      <c r="V682" s="251">
        <v>3.4471533834586459</v>
      </c>
      <c r="W682" s="251">
        <v>3.5676184210526301</v>
      </c>
      <c r="X682" s="251">
        <v>4.0170456766917289</v>
      </c>
      <c r="Y682" s="251">
        <v>4.4618396616541363</v>
      </c>
      <c r="Z682" s="251">
        <v>5.3375278195488702</v>
      </c>
      <c r="AA682" s="250">
        <v>10.550746833656438</v>
      </c>
      <c r="AB682" s="250">
        <v>10.919455728380992</v>
      </c>
      <c r="AC682" s="250">
        <v>12.295023527930281</v>
      </c>
      <c r="AD682" s="250">
        <v>13.656410216144012</v>
      </c>
      <c r="AE682" s="250">
        <v>16.336640258564803</v>
      </c>
      <c r="AF682" s="251">
        <v>3.8955101395699518</v>
      </c>
      <c r="AG682" s="251">
        <v>3.7487031313350325</v>
      </c>
      <c r="AH682" s="251">
        <v>3.9731886588265315</v>
      </c>
      <c r="AI682" s="251">
        <v>4.8845462385629217</v>
      </c>
      <c r="AJ682" s="251">
        <v>5.4182714966836683</v>
      </c>
      <c r="AK682" s="250">
        <v>11.507546415466653</v>
      </c>
      <c r="AL682" s="250">
        <v>11.052616363821894</v>
      </c>
      <c r="AM682" s="250">
        <v>12.110243647227934</v>
      </c>
      <c r="AN682" s="250">
        <v>13.707036783611967</v>
      </c>
      <c r="AO682" s="250">
        <v>16.211846478811861</v>
      </c>
      <c r="AP682" s="251">
        <v>22.134433916761736</v>
      </c>
      <c r="AQ682" s="251">
        <v>22.90794908051954</v>
      </c>
      <c r="AR682" s="251">
        <v>25.793755653000602</v>
      </c>
      <c r="AS682" s="251">
        <v>28.649811642260161</v>
      </c>
      <c r="AT682" s="251">
        <v>34.272671871114973</v>
      </c>
      <c r="AU682" s="250">
        <v>2.78191800631908</v>
      </c>
      <c r="AV682" s="250">
        <v>5.1398809523809543</v>
      </c>
      <c r="AW682" s="251">
        <v>5.5638360126381601</v>
      </c>
      <c r="AX682" s="251">
        <v>10.279761904761909</v>
      </c>
      <c r="AY682" s="250">
        <v>8.6476190476190489</v>
      </c>
      <c r="AZ682" s="250">
        <v>9.2853809523809492</v>
      </c>
      <c r="BA682" s="250">
        <v>12.5282380952381</v>
      </c>
      <c r="BB682" s="250">
        <v>13.252476190476198</v>
      </c>
      <c r="BC682" s="250">
        <v>15.133333333333336</v>
      </c>
      <c r="BD682" s="251">
        <v>8.303673249013519</v>
      </c>
      <c r="BE682" s="251">
        <v>7.99073928571429</v>
      </c>
      <c r="BF682" s="251">
        <v>10.637422857142852</v>
      </c>
      <c r="BG682" s="251">
        <v>11.40605</v>
      </c>
      <c r="BH682" s="251">
        <v>11.54959285714285</v>
      </c>
      <c r="BI682" s="250">
        <v>6.8270676691729353</v>
      </c>
      <c r="BJ682" s="250">
        <v>7.3305639097744386</v>
      </c>
      <c r="BK682" s="250">
        <v>9.8907142857142869</v>
      </c>
      <c r="BL682" s="250">
        <v>10.462481203007526</v>
      </c>
      <c r="BM682" s="250">
        <v>11.947368421052628</v>
      </c>
      <c r="BN682" s="251">
        <v>7.4436499482228378</v>
      </c>
      <c r="BO682" s="251">
        <v>7.1631270025510236</v>
      </c>
      <c r="BP682" s="251">
        <v>9.5356897755102104</v>
      </c>
      <c r="BQ682" s="251">
        <v>10.22470910714285</v>
      </c>
      <c r="BR682" s="251">
        <v>10.353385025510198</v>
      </c>
      <c r="BS682" s="250">
        <v>3.5728320802005</v>
      </c>
      <c r="BT682" s="250">
        <v>3.8363284461152882</v>
      </c>
      <c r="BU682" s="250">
        <v>5.1761404761904748</v>
      </c>
      <c r="BV682" s="250">
        <v>5.4753651629072646</v>
      </c>
      <c r="BW682" s="250">
        <v>6.2524561403508763</v>
      </c>
      <c r="BX682" s="251">
        <v>10.935413242198079</v>
      </c>
      <c r="BY682" s="251">
        <v>11.741899968810181</v>
      </c>
      <c r="BZ682" s="251">
        <v>13.28457867114656</v>
      </c>
      <c r="CA682" s="251">
        <v>16.361684683460854</v>
      </c>
      <c r="CB682" s="251">
        <v>19.125801742643485</v>
      </c>
      <c r="CC682" s="250">
        <v>3.8955101395699518</v>
      </c>
      <c r="CD682" s="250">
        <v>3.7487031313350325</v>
      </c>
      <c r="CE682" s="250">
        <v>4.9903443158503382</v>
      </c>
      <c r="CF682" s="250">
        <v>5.3509310994047583</v>
      </c>
      <c r="CG682" s="250">
        <v>5.4182714966836683</v>
      </c>
      <c r="CH682" s="251">
        <v>11.507546415466653</v>
      </c>
      <c r="CI682" s="251">
        <v>11.052616363821894</v>
      </c>
      <c r="CJ682" s="251">
        <v>12.110243647227934</v>
      </c>
      <c r="CK682" s="251">
        <v>13.707036783611967</v>
      </c>
      <c r="CL682" s="251">
        <v>16.211846478811861</v>
      </c>
      <c r="CM682" s="250">
        <v>22.941426382233722</v>
      </c>
      <c r="CN682" s="250">
        <v>24.633356577923465</v>
      </c>
      <c r="CO682" s="250">
        <v>27.869745463943829</v>
      </c>
      <c r="CP682" s="250">
        <v>34.325212622645125</v>
      </c>
      <c r="CQ682" s="250">
        <v>40.124059599951337</v>
      </c>
      <c r="CR682" s="251">
        <v>16.047064193566214</v>
      </c>
      <c r="CS682" s="251">
        <v>18.285992169638501</v>
      </c>
      <c r="CT682" s="251">
        <v>25.157698832436466</v>
      </c>
      <c r="CU682" s="251">
        <v>28.666177003792686</v>
      </c>
      <c r="CV682" s="251">
        <v>34.074270904087093</v>
      </c>
      <c r="CW682" s="251">
        <v>38.137408082018673</v>
      </c>
      <c r="CX682" s="251">
        <v>48.590656242391262</v>
      </c>
      <c r="CY682" s="251">
        <v>53.157955675337554</v>
      </c>
      <c r="CZ682" s="251">
        <v>57.706346274288471</v>
      </c>
      <c r="DA682" s="250">
        <v>12.933454723172769</v>
      </c>
      <c r="DB682" s="250">
        <v>14.737963838216105</v>
      </c>
      <c r="DC682" s="250">
        <v>20.276354282859241</v>
      </c>
      <c r="DD682" s="250">
        <v>23.104082958280664</v>
      </c>
      <c r="DE682" s="250">
        <v>27.462845206279148</v>
      </c>
      <c r="DF682" s="250">
        <v>34.664783494373154</v>
      </c>
      <c r="DG682" s="250">
        <v>44.166204868184813</v>
      </c>
      <c r="DH682" s="250">
        <v>49.966198508269422</v>
      </c>
      <c r="DI682" s="250">
        <v>54.241490600921644</v>
      </c>
      <c r="DJ682" s="251">
        <v>6.6643227894900994</v>
      </c>
      <c r="DK682" s="251">
        <v>7.5941463731053345</v>
      </c>
      <c r="DL682" s="251">
        <v>10.447956313862985</v>
      </c>
      <c r="DM682" s="251">
        <v>11.905022276319364</v>
      </c>
      <c r="DN682" s="251">
        <v>14.150995931854734</v>
      </c>
      <c r="DO682" s="251">
        <v>15.629245830414671</v>
      </c>
      <c r="DP682" s="251">
        <v>19.913133840670447</v>
      </c>
      <c r="DQ682" s="251">
        <v>21.928557097122496</v>
      </c>
      <c r="DR682" s="251">
        <v>23.804845259110333</v>
      </c>
      <c r="DS682" s="250">
        <v>45.356525068413269</v>
      </c>
      <c r="DT682" s="250">
        <v>51.684784969922802</v>
      </c>
      <c r="DU682" s="250">
        <v>71.107448938509634</v>
      </c>
      <c r="DV682" s="250">
        <v>81.024052761587726</v>
      </c>
      <c r="DW682" s="250">
        <v>96.309861031699981</v>
      </c>
      <c r="DX682" s="251">
        <v>21.58984683396606</v>
      </c>
      <c r="DY682" s="251">
        <v>29.90456594051814</v>
      </c>
      <c r="DZ682" s="251">
        <v>41.446630129189174</v>
      </c>
      <c r="EA682" s="250">
        <v>15.278018846051754</v>
      </c>
      <c r="EB682" s="250">
        <v>21.161915854977106</v>
      </c>
      <c r="EC682" s="250">
        <v>29.329638190062411</v>
      </c>
      <c r="ED682" s="251">
        <v>8.9157429515735966</v>
      </c>
      <c r="EE682" s="251">
        <v>12.349389277953669</v>
      </c>
      <c r="EF682" s="251">
        <v>17.115799999999993</v>
      </c>
      <c r="EG682" s="250">
        <v>59.255703970407062</v>
      </c>
      <c r="EH682" s="250">
        <v>82.076363040568182</v>
      </c>
      <c r="EI682" s="250">
        <v>113.75482486714019</v>
      </c>
    </row>
    <row r="683" spans="1:139">
      <c r="A683" s="248">
        <v>1979</v>
      </c>
      <c r="B683" s="251">
        <v>8.5251984000000007</v>
      </c>
      <c r="C683" s="251">
        <v>8.8231220000000032</v>
      </c>
      <c r="D683" s="251">
        <v>9.9346061999999975</v>
      </c>
      <c r="E683" s="251">
        <v>11.034631799999996</v>
      </c>
      <c r="F683" s="251">
        <v>13.200307200000003</v>
      </c>
      <c r="G683" s="250">
        <v>8.2772284297491439</v>
      </c>
      <c r="H683" s="250">
        <v>7.9652910714285756</v>
      </c>
      <c r="I683" s="250">
        <v>8.4422807142857064</v>
      </c>
      <c r="J683" s="250">
        <v>10.378744642857146</v>
      </c>
      <c r="K683" s="250">
        <v>11.512810714285706</v>
      </c>
      <c r="L683" s="251">
        <v>6.5659398496240602</v>
      </c>
      <c r="M683" s="251">
        <v>6.7953947368421028</v>
      </c>
      <c r="N683" s="251">
        <v>7.6514379699248121</v>
      </c>
      <c r="O683" s="251">
        <v>8.4986560150375876</v>
      </c>
      <c r="P683" s="251">
        <v>10.166616541353381</v>
      </c>
      <c r="Q683" s="250">
        <v>7.4199440566679877</v>
      </c>
      <c r="R683" s="250">
        <v>7.140314496173473</v>
      </c>
      <c r="S683" s="250">
        <v>7.5679016403061254</v>
      </c>
      <c r="T683" s="250">
        <v>9.3038032334183747</v>
      </c>
      <c r="U683" s="250">
        <v>10.320412461734687</v>
      </c>
      <c r="V683" s="251">
        <v>3.436175187969924</v>
      </c>
      <c r="W683" s="251">
        <v>3.5562565789473668</v>
      </c>
      <c r="X683" s="251">
        <v>4.0042525375939846</v>
      </c>
      <c r="Y683" s="251">
        <v>4.4476299812030087</v>
      </c>
      <c r="Z683" s="251">
        <v>5.3205293233082687</v>
      </c>
      <c r="AA683" s="250">
        <v>10.517145729090654</v>
      </c>
      <c r="AB683" s="250">
        <v>10.884680391666404</v>
      </c>
      <c r="AC683" s="250">
        <v>12.255867402045153</v>
      </c>
      <c r="AD683" s="250">
        <v>13.612918463863299</v>
      </c>
      <c r="AE683" s="250">
        <v>16.284612741817782</v>
      </c>
      <c r="AF683" s="251">
        <v>3.8831040563229138</v>
      </c>
      <c r="AG683" s="251">
        <v>3.7367645863307808</v>
      </c>
      <c r="AH683" s="251">
        <v>3.9605351917602052</v>
      </c>
      <c r="AI683" s="251">
        <v>4.8689903588222752</v>
      </c>
      <c r="AJ683" s="251">
        <v>5.4010158549744842</v>
      </c>
      <c r="AK683" s="250">
        <v>11.470898178474721</v>
      </c>
      <c r="AL683" s="250">
        <v>11.017416948650487</v>
      </c>
      <c r="AM683" s="250">
        <v>12.071675992300456</v>
      </c>
      <c r="AN683" s="250">
        <v>13.663383800224668</v>
      </c>
      <c r="AO683" s="250">
        <v>16.160216394484433</v>
      </c>
      <c r="AP683" s="251">
        <v>22.063942089001348</v>
      </c>
      <c r="AQ683" s="251">
        <v>22.834993828670751</v>
      </c>
      <c r="AR683" s="251">
        <v>25.711609934360474</v>
      </c>
      <c r="AS683" s="251">
        <v>28.558570203909014</v>
      </c>
      <c r="AT683" s="251">
        <v>34.163523234582762</v>
      </c>
      <c r="AU683" s="250">
        <v>2.7730583948339875</v>
      </c>
      <c r="AV683" s="250">
        <v>5.1235119047619069</v>
      </c>
      <c r="AW683" s="251">
        <v>5.5461167896679751</v>
      </c>
      <c r="AX683" s="251">
        <v>10.247023809523814</v>
      </c>
      <c r="AY683" s="250">
        <v>8.6285714285714299</v>
      </c>
      <c r="AZ683" s="250">
        <v>9.2649285714285678</v>
      </c>
      <c r="BA683" s="250">
        <v>12.500642857142862</v>
      </c>
      <c r="BB683" s="250">
        <v>13.223285714285723</v>
      </c>
      <c r="BC683" s="250">
        <v>15.100000000000003</v>
      </c>
      <c r="BD683" s="251">
        <v>8.2772284297491439</v>
      </c>
      <c r="BE683" s="251">
        <v>7.9652910714285756</v>
      </c>
      <c r="BF683" s="251">
        <v>10.603545714285708</v>
      </c>
      <c r="BG683" s="251">
        <v>11.369725000000001</v>
      </c>
      <c r="BH683" s="251">
        <v>11.512810714285706</v>
      </c>
      <c r="BI683" s="250">
        <v>6.8120300751879732</v>
      </c>
      <c r="BJ683" s="250">
        <v>7.3144172932330855</v>
      </c>
      <c r="BK683" s="250">
        <v>9.8689285714285724</v>
      </c>
      <c r="BL683" s="250">
        <v>10.439436090225572</v>
      </c>
      <c r="BM683" s="250">
        <v>11.921052631578943</v>
      </c>
      <c r="BN683" s="251">
        <v>7.4199440566679877</v>
      </c>
      <c r="BO683" s="251">
        <v>7.140314496173473</v>
      </c>
      <c r="BP683" s="251">
        <v>9.5053213367347009</v>
      </c>
      <c r="BQ683" s="251">
        <v>10.192146339285706</v>
      </c>
      <c r="BR683" s="251">
        <v>10.320412461734687</v>
      </c>
      <c r="BS683" s="250">
        <v>3.5649624060150362</v>
      </c>
      <c r="BT683" s="250">
        <v>3.8278783834586467</v>
      </c>
      <c r="BU683" s="250">
        <v>5.1647392857142842</v>
      </c>
      <c r="BV683" s="250">
        <v>5.4633048872180412</v>
      </c>
      <c r="BW683" s="250">
        <v>6.2386842105263147</v>
      </c>
      <c r="BX683" s="251">
        <v>10.911326428889273</v>
      </c>
      <c r="BY683" s="251">
        <v>11.71603675301985</v>
      </c>
      <c r="BZ683" s="251">
        <v>13.255317484646238</v>
      </c>
      <c r="CA683" s="251">
        <v>16.325645730413584</v>
      </c>
      <c r="CB683" s="251">
        <v>19.083674426029734</v>
      </c>
      <c r="CC683" s="250">
        <v>3.8831040563229138</v>
      </c>
      <c r="CD683" s="250">
        <v>3.7367645863307808</v>
      </c>
      <c r="CE683" s="250">
        <v>4.9744514995578211</v>
      </c>
      <c r="CF683" s="250">
        <v>5.33388991755952</v>
      </c>
      <c r="CG683" s="250">
        <v>5.4010158549744842</v>
      </c>
      <c r="CH683" s="251">
        <v>11.470898178474721</v>
      </c>
      <c r="CI683" s="251">
        <v>11.017416948650487</v>
      </c>
      <c r="CJ683" s="251">
        <v>12.071675992300456</v>
      </c>
      <c r="CK683" s="251">
        <v>13.663383800224668</v>
      </c>
      <c r="CL683" s="251">
        <v>16.160216394484433</v>
      </c>
      <c r="CM683" s="250">
        <v>22.890894606061401</v>
      </c>
      <c r="CN683" s="250">
        <v>24.579098083258437</v>
      </c>
      <c r="CO683" s="250">
        <v>27.808358359397698</v>
      </c>
      <c r="CP683" s="250">
        <v>34.249606427441059</v>
      </c>
      <c r="CQ683" s="250">
        <v>40.03568061404836</v>
      </c>
      <c r="CR683" s="251">
        <v>16.011718237192721</v>
      </c>
      <c r="CS683" s="251">
        <v>18.245714653846345</v>
      </c>
      <c r="CT683" s="251">
        <v>25.102285398884845</v>
      </c>
      <c r="CU683" s="251">
        <v>28.603035644753497</v>
      </c>
      <c r="CV683" s="251">
        <v>33.99921744394593</v>
      </c>
      <c r="CW683" s="251">
        <v>38.093772603663957</v>
      </c>
      <c r="CX683" s="251">
        <v>48.53506052586679</v>
      </c>
      <c r="CY683" s="251">
        <v>53.097134215754785</v>
      </c>
      <c r="CZ683" s="251">
        <v>57.64032070646892</v>
      </c>
      <c r="DA683" s="250">
        <v>12.904966937438909</v>
      </c>
      <c r="DB683" s="250">
        <v>14.705501362801533</v>
      </c>
      <c r="DC683" s="250">
        <v>20.23169270954898</v>
      </c>
      <c r="DD683" s="250">
        <v>23.053192907711765</v>
      </c>
      <c r="DE683" s="250">
        <v>27.402354357807166</v>
      </c>
      <c r="DF683" s="250">
        <v>34.625121270695381</v>
      </c>
      <c r="DG683" s="250">
        <v>44.115671453003827</v>
      </c>
      <c r="DH683" s="250">
        <v>49.909028944758816</v>
      </c>
      <c r="DI683" s="250">
        <v>54.179429398861096</v>
      </c>
      <c r="DJ683" s="251">
        <v>6.6496436644031167</v>
      </c>
      <c r="DK683" s="251">
        <v>7.5774191784509171</v>
      </c>
      <c r="DL683" s="251">
        <v>10.424943194228925</v>
      </c>
      <c r="DM683" s="251">
        <v>11.87879976029223</v>
      </c>
      <c r="DN683" s="251">
        <v>14.119826337291178</v>
      </c>
      <c r="DO683" s="251">
        <v>15.611363398114426</v>
      </c>
      <c r="DP683" s="251">
        <v>19.890349934674255</v>
      </c>
      <c r="DQ683" s="251">
        <v>21.903467214860342</v>
      </c>
      <c r="DR683" s="251">
        <v>23.777608594054144</v>
      </c>
      <c r="DS683" s="250">
        <v>45.256620828174476</v>
      </c>
      <c r="DT683" s="250">
        <v>51.570941831222534</v>
      </c>
      <c r="DU683" s="250">
        <v>70.950824601640676</v>
      </c>
      <c r="DV683" s="250">
        <v>80.845585685020353</v>
      </c>
      <c r="DW683" s="250">
        <v>96.097724773920902</v>
      </c>
      <c r="DX683" s="251">
        <v>21.542292105256884</v>
      </c>
      <c r="DY683" s="251">
        <v>29.838696852543428</v>
      </c>
      <c r="DZ683" s="251">
        <v>41.355337992340736</v>
      </c>
      <c r="EA683" s="250">
        <v>15.244366822161773</v>
      </c>
      <c r="EB683" s="250">
        <v>21.115303705516805</v>
      </c>
      <c r="EC683" s="250">
        <v>29.265035462771525</v>
      </c>
      <c r="ED683" s="251">
        <v>8.8961047512397347</v>
      </c>
      <c r="EE683" s="251">
        <v>12.322187979984609</v>
      </c>
      <c r="EF683" s="251">
        <v>17.078099999999992</v>
      </c>
      <c r="EG683" s="250">
        <v>59.125184798666076</v>
      </c>
      <c r="EH683" s="250">
        <v>81.895578099950185</v>
      </c>
      <c r="EI683" s="250">
        <v>113.50426357888658</v>
      </c>
    </row>
    <row r="684" spans="1:139">
      <c r="A684" s="248">
        <v>1980</v>
      </c>
      <c r="B684" s="251">
        <v>8.5217760000000009</v>
      </c>
      <c r="C684" s="251">
        <v>8.8195800000000037</v>
      </c>
      <c r="D684" s="251">
        <v>9.9306179999999973</v>
      </c>
      <c r="E684" s="251">
        <v>11.030201999999996</v>
      </c>
      <c r="F684" s="251">
        <v>13.195008000000003</v>
      </c>
      <c r="G684" s="250">
        <v>8.2507836104847687</v>
      </c>
      <c r="H684" s="250">
        <v>7.9398428571428612</v>
      </c>
      <c r="I684" s="250">
        <v>8.4153085714285627</v>
      </c>
      <c r="J684" s="250">
        <v>10.345585714285718</v>
      </c>
      <c r="K684" s="250">
        <v>11.476028571428563</v>
      </c>
      <c r="L684" s="251">
        <v>6.5449624060150375</v>
      </c>
      <c r="M684" s="251">
        <v>6.7736842105263131</v>
      </c>
      <c r="N684" s="251">
        <v>7.6269924812030077</v>
      </c>
      <c r="O684" s="251">
        <v>8.4715037593984892</v>
      </c>
      <c r="P684" s="251">
        <v>10.134135338345862</v>
      </c>
      <c r="Q684" s="250">
        <v>7.3962381651131377</v>
      </c>
      <c r="R684" s="250">
        <v>7.1175019897959224</v>
      </c>
      <c r="S684" s="250">
        <v>7.5437230408163298</v>
      </c>
      <c r="T684" s="250">
        <v>9.2740786224489877</v>
      </c>
      <c r="U684" s="250">
        <v>10.287439897959176</v>
      </c>
      <c r="V684" s="251">
        <v>3.4251969924812022</v>
      </c>
      <c r="W684" s="251">
        <v>3.5448947368421035</v>
      </c>
      <c r="X684" s="251">
        <v>3.9914593984962403</v>
      </c>
      <c r="Y684" s="251">
        <v>4.4334203007518811</v>
      </c>
      <c r="Z684" s="251">
        <v>5.3035308270676671</v>
      </c>
      <c r="AA684" s="250">
        <v>10.483544624524869</v>
      </c>
      <c r="AB684" s="250">
        <v>10.849905054951815</v>
      </c>
      <c r="AC684" s="250">
        <v>12.216711276160025</v>
      </c>
      <c r="AD684" s="250">
        <v>13.569426711582585</v>
      </c>
      <c r="AE684" s="250">
        <v>16.232585225070761</v>
      </c>
      <c r="AF684" s="251">
        <v>3.8706979730758757</v>
      </c>
      <c r="AG684" s="251">
        <v>3.7248260413265291</v>
      </c>
      <c r="AH684" s="251">
        <v>3.9478817246938789</v>
      </c>
      <c r="AI684" s="251">
        <v>4.8534344790816286</v>
      </c>
      <c r="AJ684" s="251">
        <v>5.3837602132653002</v>
      </c>
      <c r="AK684" s="250">
        <v>11.43424994148279</v>
      </c>
      <c r="AL684" s="250">
        <v>10.98221753347908</v>
      </c>
      <c r="AM684" s="250">
        <v>12.033108337372978</v>
      </c>
      <c r="AN684" s="250">
        <v>13.61973081683737</v>
      </c>
      <c r="AO684" s="250">
        <v>16.108586310157005</v>
      </c>
      <c r="AP684" s="251">
        <v>21.993450261240959</v>
      </c>
      <c r="AQ684" s="251">
        <v>22.762038576821961</v>
      </c>
      <c r="AR684" s="251">
        <v>25.629464215720347</v>
      </c>
      <c r="AS684" s="251">
        <v>28.467328765557866</v>
      </c>
      <c r="AT684" s="251">
        <v>34.054374598050551</v>
      </c>
      <c r="AU684" s="250">
        <v>2.764198783348895</v>
      </c>
      <c r="AV684" s="250">
        <v>5.1071428571428594</v>
      </c>
      <c r="AW684" s="251">
        <v>5.52839756669779</v>
      </c>
      <c r="AX684" s="251">
        <v>10.214285714285719</v>
      </c>
      <c r="AY684" s="250">
        <v>8.6095238095238109</v>
      </c>
      <c r="AZ684" s="250">
        <v>9.2444761904761865</v>
      </c>
      <c r="BA684" s="250">
        <v>12.473047619047625</v>
      </c>
      <c r="BB684" s="250">
        <v>13.194095238095247</v>
      </c>
      <c r="BC684" s="250">
        <v>15.06666666666667</v>
      </c>
      <c r="BD684" s="251">
        <v>8.2507836104847687</v>
      </c>
      <c r="BE684" s="251">
        <v>7.9398428571428612</v>
      </c>
      <c r="BF684" s="251">
        <v>10.569668571428565</v>
      </c>
      <c r="BG684" s="251">
        <v>11.333400000000001</v>
      </c>
      <c r="BH684" s="251">
        <v>11.476028571428563</v>
      </c>
      <c r="BI684" s="250">
        <v>6.7969924812030111</v>
      </c>
      <c r="BJ684" s="250">
        <v>7.2982706766917325</v>
      </c>
      <c r="BK684" s="250">
        <v>9.8471428571428579</v>
      </c>
      <c r="BL684" s="250">
        <v>10.416390977443617</v>
      </c>
      <c r="BM684" s="250">
        <v>11.894736842105258</v>
      </c>
      <c r="BN684" s="251">
        <v>7.3962381651131377</v>
      </c>
      <c r="BO684" s="251">
        <v>7.1175019897959224</v>
      </c>
      <c r="BP684" s="251">
        <v>9.4749528979591915</v>
      </c>
      <c r="BQ684" s="251">
        <v>10.159583571428563</v>
      </c>
      <c r="BR684" s="251">
        <v>10.287439897959176</v>
      </c>
      <c r="BS684" s="250">
        <v>3.5570927318295724</v>
      </c>
      <c r="BT684" s="250">
        <v>3.8194283208020052</v>
      </c>
      <c r="BU684" s="250">
        <v>5.1533380952380936</v>
      </c>
      <c r="BV684" s="250">
        <v>5.4512446115288178</v>
      </c>
      <c r="BW684" s="250">
        <v>6.2249122807017532</v>
      </c>
      <c r="BX684" s="251">
        <v>10.887239615580468</v>
      </c>
      <c r="BY684" s="251">
        <v>11.690173537229519</v>
      </c>
      <c r="BZ684" s="251">
        <v>13.226056298145915</v>
      </c>
      <c r="CA684" s="251">
        <v>16.289606777366313</v>
      </c>
      <c r="CB684" s="251">
        <v>19.041547109415983</v>
      </c>
      <c r="CC684" s="250">
        <v>3.8706979730758757</v>
      </c>
      <c r="CD684" s="250">
        <v>3.7248260413265291</v>
      </c>
      <c r="CE684" s="250">
        <v>4.9585586832653039</v>
      </c>
      <c r="CF684" s="250">
        <v>5.3168487357142817</v>
      </c>
      <c r="CG684" s="250">
        <v>5.3837602132653002</v>
      </c>
      <c r="CH684" s="251">
        <v>11.43424994148279</v>
      </c>
      <c r="CI684" s="251">
        <v>10.98221753347908</v>
      </c>
      <c r="CJ684" s="251">
        <v>12.033108337372978</v>
      </c>
      <c r="CK684" s="251">
        <v>13.61973081683737</v>
      </c>
      <c r="CL684" s="251">
        <v>16.108586310157005</v>
      </c>
      <c r="CM684" s="250">
        <v>22.840362829889081</v>
      </c>
      <c r="CN684" s="250">
        <v>24.524839588593409</v>
      </c>
      <c r="CO684" s="250">
        <v>27.746971254851566</v>
      </c>
      <c r="CP684" s="250">
        <v>34.174000232236992</v>
      </c>
      <c r="CQ684" s="250">
        <v>39.947301628145382</v>
      </c>
      <c r="CR684" s="251">
        <v>15.976372280819227</v>
      </c>
      <c r="CS684" s="251">
        <v>18.20543713805419</v>
      </c>
      <c r="CT684" s="251">
        <v>25.046871965333224</v>
      </c>
      <c r="CU684" s="251">
        <v>28.539894285714308</v>
      </c>
      <c r="CV684" s="251">
        <v>33.924163983804767</v>
      </c>
      <c r="CW684" s="251">
        <v>38.050137125309242</v>
      </c>
      <c r="CX684" s="251">
        <v>48.479464809342318</v>
      </c>
      <c r="CY684" s="251">
        <v>53.036312756172016</v>
      </c>
      <c r="CZ684" s="251">
        <v>57.574295138649369</v>
      </c>
      <c r="DA684" s="250">
        <v>12.876479151705048</v>
      </c>
      <c r="DB684" s="250">
        <v>14.67303888738696</v>
      </c>
      <c r="DC684" s="250">
        <v>20.187031136238719</v>
      </c>
      <c r="DD684" s="250">
        <v>23.002302857142865</v>
      </c>
      <c r="DE684" s="250">
        <v>27.341863509335184</v>
      </c>
      <c r="DF684" s="250">
        <v>34.585459047017608</v>
      </c>
      <c r="DG684" s="250">
        <v>44.065138037822841</v>
      </c>
      <c r="DH684" s="250">
        <v>49.851859381248211</v>
      </c>
      <c r="DI684" s="250">
        <v>54.117368196800548</v>
      </c>
      <c r="DJ684" s="251">
        <v>6.6349645393161341</v>
      </c>
      <c r="DK684" s="251">
        <v>7.5606919837964996</v>
      </c>
      <c r="DL684" s="251">
        <v>10.401930074594866</v>
      </c>
      <c r="DM684" s="251">
        <v>11.852577244265095</v>
      </c>
      <c r="DN684" s="251">
        <v>14.088656742727622</v>
      </c>
      <c r="DO684" s="251">
        <v>15.59348096581418</v>
      </c>
      <c r="DP684" s="251">
        <v>19.867566028678063</v>
      </c>
      <c r="DQ684" s="251">
        <v>21.878377332598188</v>
      </c>
      <c r="DR684" s="251">
        <v>23.750371928997954</v>
      </c>
      <c r="DS684" s="250">
        <v>45.156716587935684</v>
      </c>
      <c r="DT684" s="250">
        <v>51.457098692522266</v>
      </c>
      <c r="DU684" s="250">
        <v>70.794200264771717</v>
      </c>
      <c r="DV684" s="250">
        <v>80.667118608452981</v>
      </c>
      <c r="DW684" s="250">
        <v>95.885588516141823</v>
      </c>
      <c r="DX684" s="251">
        <v>21.494737376547707</v>
      </c>
      <c r="DY684" s="251">
        <v>29.772827764568717</v>
      </c>
      <c r="DZ684" s="251">
        <v>41.264045855492299</v>
      </c>
      <c r="EA684" s="250">
        <v>15.210714798271791</v>
      </c>
      <c r="EB684" s="250">
        <v>21.068691556056503</v>
      </c>
      <c r="EC684" s="250">
        <v>29.200432735480639</v>
      </c>
      <c r="ED684" s="251">
        <v>8.8764665509058727</v>
      </c>
      <c r="EE684" s="251">
        <v>12.294986682015548</v>
      </c>
      <c r="EF684" s="251">
        <v>17.040399999999991</v>
      </c>
      <c r="EG684" s="250">
        <v>58.994665626925091</v>
      </c>
      <c r="EH684" s="250">
        <v>81.714793159332189</v>
      </c>
      <c r="EI684" s="250">
        <v>113.25370229063297</v>
      </c>
    </row>
    <row r="685" spans="1:139">
      <c r="A685" s="248">
        <v>1981</v>
      </c>
      <c r="B685" s="251">
        <v>8.5183536000000011</v>
      </c>
      <c r="C685" s="251">
        <v>8.8160380000000043</v>
      </c>
      <c r="D685" s="251">
        <v>9.9266297999999971</v>
      </c>
      <c r="E685" s="251">
        <v>11.025772199999995</v>
      </c>
      <c r="F685" s="251">
        <v>13.189708800000004</v>
      </c>
      <c r="G685" s="250">
        <v>8.2243387912203936</v>
      </c>
      <c r="H685" s="250">
        <v>7.9143946428571468</v>
      </c>
      <c r="I685" s="250">
        <v>8.388336428571419</v>
      </c>
      <c r="J685" s="250">
        <v>10.31242678571429</v>
      </c>
      <c r="K685" s="250">
        <v>11.439246428571419</v>
      </c>
      <c r="L685" s="251">
        <v>6.5239849624060149</v>
      </c>
      <c r="M685" s="251">
        <v>6.7519736842105234</v>
      </c>
      <c r="N685" s="251">
        <v>7.6025469924812032</v>
      </c>
      <c r="O685" s="251">
        <v>8.4443515037593908</v>
      </c>
      <c r="P685" s="251">
        <v>10.101654135338343</v>
      </c>
      <c r="Q685" s="250">
        <v>7.3725322735582877</v>
      </c>
      <c r="R685" s="250">
        <v>7.0946894834183718</v>
      </c>
      <c r="S685" s="250">
        <v>7.5195444413265342</v>
      </c>
      <c r="T685" s="250">
        <v>9.2443540114796008</v>
      </c>
      <c r="U685" s="250">
        <v>10.254467334183666</v>
      </c>
      <c r="V685" s="251">
        <v>3.4142187969924804</v>
      </c>
      <c r="W685" s="251">
        <v>3.5335328947368403</v>
      </c>
      <c r="X685" s="251">
        <v>3.9786662593984961</v>
      </c>
      <c r="Y685" s="251">
        <v>4.4192106203007535</v>
      </c>
      <c r="Z685" s="251">
        <v>5.2865323308270655</v>
      </c>
      <c r="AA685" s="250">
        <v>10.449943519959085</v>
      </c>
      <c r="AB685" s="250">
        <v>10.815129718237227</v>
      </c>
      <c r="AC685" s="250">
        <v>12.177555150274896</v>
      </c>
      <c r="AD685" s="250">
        <v>13.525934959301871</v>
      </c>
      <c r="AE685" s="250">
        <v>16.18055770832374</v>
      </c>
      <c r="AF685" s="251">
        <v>3.8582918898288376</v>
      </c>
      <c r="AG685" s="251">
        <v>3.7128874963222773</v>
      </c>
      <c r="AH685" s="251">
        <v>3.9352282576275526</v>
      </c>
      <c r="AI685" s="251">
        <v>4.8378785993409821</v>
      </c>
      <c r="AJ685" s="251">
        <v>5.3665045715561162</v>
      </c>
      <c r="AK685" s="250">
        <v>11.397601704490858</v>
      </c>
      <c r="AL685" s="250">
        <v>10.947018118307673</v>
      </c>
      <c r="AM685" s="250">
        <v>11.9945406824455</v>
      </c>
      <c r="AN685" s="250">
        <v>13.576077833450071</v>
      </c>
      <c r="AO685" s="250">
        <v>16.056956225829577</v>
      </c>
      <c r="AP685" s="251">
        <v>21.92295843348057</v>
      </c>
      <c r="AQ685" s="251">
        <v>22.689083324973172</v>
      </c>
      <c r="AR685" s="251">
        <v>25.547318497080219</v>
      </c>
      <c r="AS685" s="251">
        <v>28.376087327206719</v>
      </c>
      <c r="AT685" s="251">
        <v>33.945225961518339</v>
      </c>
      <c r="AU685" s="250">
        <v>2.7553391718638025</v>
      </c>
      <c r="AV685" s="250">
        <v>5.090773809523812</v>
      </c>
      <c r="AW685" s="251">
        <v>5.510678343727605</v>
      </c>
      <c r="AX685" s="251">
        <v>10.181547619047624</v>
      </c>
      <c r="AY685" s="250">
        <v>8.5904761904761919</v>
      </c>
      <c r="AZ685" s="250">
        <v>9.2240238095238052</v>
      </c>
      <c r="BA685" s="250">
        <v>12.445452380952387</v>
      </c>
      <c r="BB685" s="250">
        <v>13.164904761904772</v>
      </c>
      <c r="BC685" s="250">
        <v>15.033333333333337</v>
      </c>
      <c r="BD685" s="251">
        <v>8.2243387912203936</v>
      </c>
      <c r="BE685" s="251">
        <v>7.9143946428571468</v>
      </c>
      <c r="BF685" s="251">
        <v>10.535791428571422</v>
      </c>
      <c r="BG685" s="251">
        <v>11.297075000000001</v>
      </c>
      <c r="BH685" s="251">
        <v>11.439246428571419</v>
      </c>
      <c r="BI685" s="250">
        <v>6.7819548872180491</v>
      </c>
      <c r="BJ685" s="250">
        <v>7.2821240601503794</v>
      </c>
      <c r="BK685" s="250">
        <v>9.8253571428571433</v>
      </c>
      <c r="BL685" s="250">
        <v>10.393345864661663</v>
      </c>
      <c r="BM685" s="250">
        <v>11.868421052631573</v>
      </c>
      <c r="BN685" s="251">
        <v>7.3725322735582877</v>
      </c>
      <c r="BO685" s="251">
        <v>7.0946894834183718</v>
      </c>
      <c r="BP685" s="251">
        <v>9.4445844591836821</v>
      </c>
      <c r="BQ685" s="251">
        <v>10.127020803571419</v>
      </c>
      <c r="BR685" s="251">
        <v>10.254467334183666</v>
      </c>
      <c r="BS685" s="250">
        <v>3.5492230576441086</v>
      </c>
      <c r="BT685" s="250">
        <v>3.8109782581453637</v>
      </c>
      <c r="BU685" s="250">
        <v>5.141936904761903</v>
      </c>
      <c r="BV685" s="250">
        <v>5.4391843358395944</v>
      </c>
      <c r="BW685" s="250">
        <v>6.2111403508771916</v>
      </c>
      <c r="BX685" s="251">
        <v>10.863152802271662</v>
      </c>
      <c r="BY685" s="251">
        <v>11.664310321439189</v>
      </c>
      <c r="BZ685" s="251">
        <v>13.196795111645592</v>
      </c>
      <c r="CA685" s="251">
        <v>16.253567824319042</v>
      </c>
      <c r="CB685" s="251">
        <v>18.999419792802232</v>
      </c>
      <c r="CC685" s="250">
        <v>3.8582918898288376</v>
      </c>
      <c r="CD685" s="250">
        <v>3.7128874963222773</v>
      </c>
      <c r="CE685" s="250">
        <v>4.9426658669727868</v>
      </c>
      <c r="CF685" s="250">
        <v>5.2998075538690435</v>
      </c>
      <c r="CG685" s="250">
        <v>5.3665045715561162</v>
      </c>
      <c r="CH685" s="251">
        <v>11.397601704490858</v>
      </c>
      <c r="CI685" s="251">
        <v>10.947018118307673</v>
      </c>
      <c r="CJ685" s="251">
        <v>11.9945406824455</v>
      </c>
      <c r="CK685" s="251">
        <v>13.576077833450071</v>
      </c>
      <c r="CL685" s="251">
        <v>16.056956225829577</v>
      </c>
      <c r="CM685" s="250">
        <v>22.78983105371676</v>
      </c>
      <c r="CN685" s="250">
        <v>24.470581093928381</v>
      </c>
      <c r="CO685" s="250">
        <v>27.685584150305434</v>
      </c>
      <c r="CP685" s="250">
        <v>34.098394037032925</v>
      </c>
      <c r="CQ685" s="250">
        <v>39.858922642242405</v>
      </c>
      <c r="CR685" s="251">
        <v>15.941026324445733</v>
      </c>
      <c r="CS685" s="251">
        <v>18.165159622262035</v>
      </c>
      <c r="CT685" s="251">
        <v>24.991458531781603</v>
      </c>
      <c r="CU685" s="251">
        <v>28.476752926675118</v>
      </c>
      <c r="CV685" s="251">
        <v>33.849110523663605</v>
      </c>
      <c r="CW685" s="251">
        <v>38.006501646954526</v>
      </c>
      <c r="CX685" s="251">
        <v>48.423869092817846</v>
      </c>
      <c r="CY685" s="251">
        <v>52.975491296589247</v>
      </c>
      <c r="CZ685" s="251">
        <v>57.508269570829817</v>
      </c>
      <c r="DA685" s="250">
        <v>12.847991365971188</v>
      </c>
      <c r="DB685" s="250">
        <v>14.640576411972388</v>
      </c>
      <c r="DC685" s="250">
        <v>20.142369562928458</v>
      </c>
      <c r="DD685" s="250">
        <v>22.951412806573966</v>
      </c>
      <c r="DE685" s="250">
        <v>27.281372660863202</v>
      </c>
      <c r="DF685" s="250">
        <v>34.545796823339835</v>
      </c>
      <c r="DG685" s="250">
        <v>44.014604622641855</v>
      </c>
      <c r="DH685" s="250">
        <v>49.794689817737606</v>
      </c>
      <c r="DI685" s="250">
        <v>54.05530699474</v>
      </c>
      <c r="DJ685" s="251">
        <v>6.6202854142291514</v>
      </c>
      <c r="DK685" s="251">
        <v>7.5439647891420822</v>
      </c>
      <c r="DL685" s="251">
        <v>10.378916954960806</v>
      </c>
      <c r="DM685" s="251">
        <v>11.826354728237961</v>
      </c>
      <c r="DN685" s="251">
        <v>14.057487148164066</v>
      </c>
      <c r="DO685" s="251">
        <v>15.575598533513935</v>
      </c>
      <c r="DP685" s="251">
        <v>19.84478212268187</v>
      </c>
      <c r="DQ685" s="251">
        <v>21.853287450336033</v>
      </c>
      <c r="DR685" s="251">
        <v>23.723135263941764</v>
      </c>
      <c r="DS685" s="250">
        <v>45.056812347696891</v>
      </c>
      <c r="DT685" s="250">
        <v>51.343255553821997</v>
      </c>
      <c r="DU685" s="250">
        <v>70.637575927902759</v>
      </c>
      <c r="DV685" s="250">
        <v>80.488651531885608</v>
      </c>
      <c r="DW685" s="250">
        <v>95.673452258362744</v>
      </c>
      <c r="DX685" s="251">
        <v>21.447182647838531</v>
      </c>
      <c r="DY685" s="251">
        <v>29.706958676594006</v>
      </c>
      <c r="DZ685" s="251">
        <v>41.172753718643861</v>
      </c>
      <c r="EA685" s="250">
        <v>15.17706277438181</v>
      </c>
      <c r="EB685" s="250">
        <v>21.022079406596202</v>
      </c>
      <c r="EC685" s="250">
        <v>29.135830008189753</v>
      </c>
      <c r="ED685" s="251">
        <v>8.8568283505720107</v>
      </c>
      <c r="EE685" s="251">
        <v>12.267785384046487</v>
      </c>
      <c r="EF685" s="251">
        <v>17.00269999999999</v>
      </c>
      <c r="EG685" s="250">
        <v>58.864146455184105</v>
      </c>
      <c r="EH685" s="250">
        <v>81.534008218714192</v>
      </c>
      <c r="EI685" s="250">
        <v>113.00314100237937</v>
      </c>
    </row>
    <row r="686" spans="1:139">
      <c r="A686" s="248">
        <v>1982</v>
      </c>
      <c r="B686" s="251">
        <v>8.5149312000000013</v>
      </c>
      <c r="C686" s="251">
        <v>8.8124960000000048</v>
      </c>
      <c r="D686" s="251">
        <v>9.9226415999999968</v>
      </c>
      <c r="E686" s="251">
        <v>11.021342399999995</v>
      </c>
      <c r="F686" s="251">
        <v>13.184409600000004</v>
      </c>
      <c r="G686" s="250">
        <v>8.1978939719560184</v>
      </c>
      <c r="H686" s="250">
        <v>7.8889464285714324</v>
      </c>
      <c r="I686" s="250">
        <v>8.3613642857142754</v>
      </c>
      <c r="J686" s="250">
        <v>10.279267857142862</v>
      </c>
      <c r="K686" s="250">
        <v>11.402464285714276</v>
      </c>
      <c r="L686" s="251">
        <v>6.5030075187969922</v>
      </c>
      <c r="M686" s="251">
        <v>6.7302631578947336</v>
      </c>
      <c r="N686" s="251">
        <v>7.5781015037593988</v>
      </c>
      <c r="O686" s="251">
        <v>8.4171992481202924</v>
      </c>
      <c r="P686" s="251">
        <v>10.069172932330824</v>
      </c>
      <c r="Q686" s="250">
        <v>7.3488263820034376</v>
      </c>
      <c r="R686" s="250">
        <v>7.0718769770408212</v>
      </c>
      <c r="S686" s="250">
        <v>7.4953658418367386</v>
      </c>
      <c r="T686" s="250">
        <v>9.2146294005102138</v>
      </c>
      <c r="U686" s="250">
        <v>10.221494770408155</v>
      </c>
      <c r="V686" s="251">
        <v>3.4032406015037586</v>
      </c>
      <c r="W686" s="251">
        <v>3.522171052631577</v>
      </c>
      <c r="X686" s="251">
        <v>3.9658731203007518</v>
      </c>
      <c r="Y686" s="251">
        <v>4.4050009398496259</v>
      </c>
      <c r="Z686" s="251">
        <v>5.269533834586464</v>
      </c>
      <c r="AA686" s="250">
        <v>10.4163424153933</v>
      </c>
      <c r="AB686" s="250">
        <v>10.780354381522638</v>
      </c>
      <c r="AC686" s="250">
        <v>12.138399024389768</v>
      </c>
      <c r="AD686" s="250">
        <v>13.482443207021158</v>
      </c>
      <c r="AE686" s="250">
        <v>16.128530191576719</v>
      </c>
      <c r="AF686" s="251">
        <v>3.8458858065817996</v>
      </c>
      <c r="AG686" s="251">
        <v>3.7009489513180256</v>
      </c>
      <c r="AH686" s="251">
        <v>3.9225747905612263</v>
      </c>
      <c r="AI686" s="251">
        <v>4.8223227196003355</v>
      </c>
      <c r="AJ686" s="251">
        <v>5.3492489298469321</v>
      </c>
      <c r="AK686" s="250">
        <v>11.360953467498927</v>
      </c>
      <c r="AL686" s="250">
        <v>10.911818703136266</v>
      </c>
      <c r="AM686" s="250">
        <v>11.955973027518022</v>
      </c>
      <c r="AN686" s="250">
        <v>13.532424850062773</v>
      </c>
      <c r="AO686" s="250">
        <v>16.005326141502149</v>
      </c>
      <c r="AP686" s="251">
        <v>21.852466605720181</v>
      </c>
      <c r="AQ686" s="251">
        <v>22.616128073124383</v>
      </c>
      <c r="AR686" s="251">
        <v>25.465172778440092</v>
      </c>
      <c r="AS686" s="251">
        <v>28.284845888855571</v>
      </c>
      <c r="AT686" s="251">
        <v>33.836077324986128</v>
      </c>
      <c r="AU686" s="250">
        <v>2.74647956037871</v>
      </c>
      <c r="AV686" s="250">
        <v>5.0744047619047645</v>
      </c>
      <c r="AW686" s="251">
        <v>5.49295912075742</v>
      </c>
      <c r="AX686" s="251">
        <v>10.148809523809529</v>
      </c>
      <c r="AY686" s="250">
        <v>8.571428571428573</v>
      </c>
      <c r="AZ686" s="250">
        <v>9.2035714285714239</v>
      </c>
      <c r="BA686" s="250">
        <v>12.41785714285715</v>
      </c>
      <c r="BB686" s="250">
        <v>13.135714285714297</v>
      </c>
      <c r="BC686" s="250">
        <v>15.000000000000004</v>
      </c>
      <c r="BD686" s="251">
        <v>8.1978939719560184</v>
      </c>
      <c r="BE686" s="251">
        <v>7.8889464285714324</v>
      </c>
      <c r="BF686" s="251">
        <v>10.501914285714278</v>
      </c>
      <c r="BG686" s="251">
        <v>11.260750000000002</v>
      </c>
      <c r="BH686" s="251">
        <v>11.402464285714276</v>
      </c>
      <c r="BI686" s="250">
        <v>6.766917293233087</v>
      </c>
      <c r="BJ686" s="250">
        <v>7.2659774436090263</v>
      </c>
      <c r="BK686" s="250">
        <v>9.8035714285714288</v>
      </c>
      <c r="BL686" s="250">
        <v>10.370300751879709</v>
      </c>
      <c r="BM686" s="250">
        <v>11.842105263157888</v>
      </c>
      <c r="BN686" s="251">
        <v>7.3488263820034376</v>
      </c>
      <c r="BO686" s="251">
        <v>7.0718769770408212</v>
      </c>
      <c r="BP686" s="251">
        <v>9.4142160204081726</v>
      </c>
      <c r="BQ686" s="251">
        <v>10.094458035714275</v>
      </c>
      <c r="BR686" s="251">
        <v>10.221494770408155</v>
      </c>
      <c r="BS686" s="250">
        <v>3.5413533834586448</v>
      </c>
      <c r="BT686" s="250">
        <v>3.8025281954887222</v>
      </c>
      <c r="BU686" s="250">
        <v>5.1305357142857124</v>
      </c>
      <c r="BV686" s="250">
        <v>5.427124060150371</v>
      </c>
      <c r="BW686" s="250">
        <v>6.1973684210526301</v>
      </c>
      <c r="BX686" s="251">
        <v>10.839065988962856</v>
      </c>
      <c r="BY686" s="251">
        <v>11.638447105648858</v>
      </c>
      <c r="BZ686" s="251">
        <v>13.167533925145269</v>
      </c>
      <c r="CA686" s="251">
        <v>16.217528871271771</v>
      </c>
      <c r="CB686" s="251">
        <v>18.957292476188481</v>
      </c>
      <c r="CC686" s="250">
        <v>3.8458858065817996</v>
      </c>
      <c r="CD686" s="250">
        <v>3.7009489513180256</v>
      </c>
      <c r="CE686" s="250">
        <v>4.9267730506802696</v>
      </c>
      <c r="CF686" s="250">
        <v>5.2827663720238052</v>
      </c>
      <c r="CG686" s="250">
        <v>5.3492489298469321</v>
      </c>
      <c r="CH686" s="251">
        <v>11.360953467498927</v>
      </c>
      <c r="CI686" s="251">
        <v>10.911818703136266</v>
      </c>
      <c r="CJ686" s="251">
        <v>11.955973027518022</v>
      </c>
      <c r="CK686" s="251">
        <v>13.532424850062773</v>
      </c>
      <c r="CL686" s="251">
        <v>16.005326141502149</v>
      </c>
      <c r="CM686" s="250">
        <v>22.73929927754444</v>
      </c>
      <c r="CN686" s="250">
        <v>24.416322599263353</v>
      </c>
      <c r="CO686" s="250">
        <v>27.624197045759303</v>
      </c>
      <c r="CP686" s="250">
        <v>34.022787841828858</v>
      </c>
      <c r="CQ686" s="250">
        <v>39.770543656339427</v>
      </c>
      <c r="CR686" s="251">
        <v>15.90568036807224</v>
      </c>
      <c r="CS686" s="251">
        <v>18.12488210646988</v>
      </c>
      <c r="CT686" s="251">
        <v>24.936045098229982</v>
      </c>
      <c r="CU686" s="251">
        <v>28.413611567635929</v>
      </c>
      <c r="CV686" s="251">
        <v>33.774057063522442</v>
      </c>
      <c r="CW686" s="251">
        <v>37.96286616859981</v>
      </c>
      <c r="CX686" s="251">
        <v>48.368273376293374</v>
      </c>
      <c r="CY686" s="251">
        <v>52.914669837006478</v>
      </c>
      <c r="CZ686" s="251">
        <v>57.442244003010266</v>
      </c>
      <c r="DA686" s="250">
        <v>12.819503580237328</v>
      </c>
      <c r="DB686" s="250">
        <v>14.608113936557816</v>
      </c>
      <c r="DC686" s="250">
        <v>20.097707989618197</v>
      </c>
      <c r="DD686" s="250">
        <v>22.900522756005067</v>
      </c>
      <c r="DE686" s="250">
        <v>27.22088181239122</v>
      </c>
      <c r="DF686" s="250">
        <v>34.506134599662062</v>
      </c>
      <c r="DG686" s="250">
        <v>43.964071207460869</v>
      </c>
      <c r="DH686" s="250">
        <v>49.737520254227</v>
      </c>
      <c r="DI686" s="250">
        <v>53.993245792679453</v>
      </c>
      <c r="DJ686" s="251">
        <v>6.6056062891421687</v>
      </c>
      <c r="DK686" s="251">
        <v>7.5272375944876648</v>
      </c>
      <c r="DL686" s="251">
        <v>10.355903835326746</v>
      </c>
      <c r="DM686" s="251">
        <v>11.800132212210826</v>
      </c>
      <c r="DN686" s="251">
        <v>14.02631755360051</v>
      </c>
      <c r="DO686" s="251">
        <v>15.557716101213689</v>
      </c>
      <c r="DP686" s="251">
        <v>19.821998216685678</v>
      </c>
      <c r="DQ686" s="251">
        <v>21.828197568073879</v>
      </c>
      <c r="DR686" s="251">
        <v>23.695898598885574</v>
      </c>
      <c r="DS686" s="250">
        <v>44.956908107458098</v>
      </c>
      <c r="DT686" s="250">
        <v>51.229412415121729</v>
      </c>
      <c r="DU686" s="250">
        <v>70.480951591033801</v>
      </c>
      <c r="DV686" s="250">
        <v>80.310184455318236</v>
      </c>
      <c r="DW686" s="250">
        <v>95.461316000583665</v>
      </c>
      <c r="DX686" s="251">
        <v>21.399627919129355</v>
      </c>
      <c r="DY686" s="251">
        <v>29.641089588619295</v>
      </c>
      <c r="DZ686" s="251">
        <v>41.081461581795423</v>
      </c>
      <c r="EA686" s="250">
        <v>15.143410750491828</v>
      </c>
      <c r="EB686" s="250">
        <v>20.9754672571359</v>
      </c>
      <c r="EC686" s="250">
        <v>29.071227280898867</v>
      </c>
      <c r="ED686" s="251">
        <v>8.8371901502381487</v>
      </c>
      <c r="EE686" s="251">
        <v>12.240584086077426</v>
      </c>
      <c r="EF686" s="251">
        <v>16.964999999999989</v>
      </c>
      <c r="EG686" s="250">
        <v>58.73362728344312</v>
      </c>
      <c r="EH686" s="250">
        <v>81.353223278096195</v>
      </c>
      <c r="EI686" s="250">
        <v>112.75257971412576</v>
      </c>
    </row>
    <row r="687" spans="1:139">
      <c r="A687" s="248">
        <v>1983</v>
      </c>
      <c r="B687" s="251">
        <v>8.5115088000000014</v>
      </c>
      <c r="C687" s="251">
        <v>8.8089540000000053</v>
      </c>
      <c r="D687" s="251">
        <v>9.9186533999999966</v>
      </c>
      <c r="E687" s="251">
        <v>11.016912599999994</v>
      </c>
      <c r="F687" s="251">
        <v>13.179110400000004</v>
      </c>
      <c r="G687" s="250">
        <v>8.1714491526916433</v>
      </c>
      <c r="H687" s="250">
        <v>7.8634982142857179</v>
      </c>
      <c r="I687" s="250">
        <v>8.3343921428571317</v>
      </c>
      <c r="J687" s="250">
        <v>10.246108928571434</v>
      </c>
      <c r="K687" s="250">
        <v>11.365682142857132</v>
      </c>
      <c r="L687" s="251">
        <v>6.4820300751879696</v>
      </c>
      <c r="M687" s="251">
        <v>6.7085526315789439</v>
      </c>
      <c r="N687" s="251">
        <v>7.5536560150375944</v>
      </c>
      <c r="O687" s="251">
        <v>8.390046992481194</v>
      </c>
      <c r="P687" s="251">
        <v>10.036691729323305</v>
      </c>
      <c r="Q687" s="250">
        <v>7.3251204904485876</v>
      </c>
      <c r="R687" s="250">
        <v>7.0490644706632706</v>
      </c>
      <c r="S687" s="250">
        <v>7.471187242346943</v>
      </c>
      <c r="T687" s="250">
        <v>9.1849047895408269</v>
      </c>
      <c r="U687" s="250">
        <v>10.188522206632644</v>
      </c>
      <c r="V687" s="251">
        <v>3.3922624060150368</v>
      </c>
      <c r="W687" s="251">
        <v>3.5108092105263138</v>
      </c>
      <c r="X687" s="251">
        <v>3.9530799812030075</v>
      </c>
      <c r="Y687" s="251">
        <v>4.3907912593984983</v>
      </c>
      <c r="Z687" s="251">
        <v>5.2525353383458624</v>
      </c>
      <c r="AA687" s="250">
        <v>10.382741310827516</v>
      </c>
      <c r="AB687" s="250">
        <v>10.74557904480805</v>
      </c>
      <c r="AC687" s="250">
        <v>12.09924289850464</v>
      </c>
      <c r="AD687" s="250">
        <v>13.438951454740444</v>
      </c>
      <c r="AE687" s="250">
        <v>16.076502674829698</v>
      </c>
      <c r="AF687" s="251">
        <v>3.8334797233347615</v>
      </c>
      <c r="AG687" s="251">
        <v>3.6890104063137739</v>
      </c>
      <c r="AH687" s="251">
        <v>3.9099213234949</v>
      </c>
      <c r="AI687" s="251">
        <v>4.806766839859689</v>
      </c>
      <c r="AJ687" s="251">
        <v>5.3319932881377481</v>
      </c>
      <c r="AK687" s="250">
        <v>11.324305230506996</v>
      </c>
      <c r="AL687" s="250">
        <v>10.876619287964859</v>
      </c>
      <c r="AM687" s="250">
        <v>11.917405372590544</v>
      </c>
      <c r="AN687" s="250">
        <v>13.488771866675474</v>
      </c>
      <c r="AO687" s="250">
        <v>15.953696057174723</v>
      </c>
      <c r="AP687" s="251">
        <v>21.781974777959793</v>
      </c>
      <c r="AQ687" s="251">
        <v>22.543172821275594</v>
      </c>
      <c r="AR687" s="251">
        <v>25.383027059799964</v>
      </c>
      <c r="AS687" s="251">
        <v>28.193604450504424</v>
      </c>
      <c r="AT687" s="251">
        <v>33.726928688453917</v>
      </c>
      <c r="AU687" s="250">
        <v>2.7376199488936175</v>
      </c>
      <c r="AV687" s="250">
        <v>5.0580357142857171</v>
      </c>
      <c r="AW687" s="251">
        <v>5.475239897787235</v>
      </c>
      <c r="AX687" s="251">
        <v>10.116071428571434</v>
      </c>
      <c r="AY687" s="250">
        <v>8.552380952380954</v>
      </c>
      <c r="AZ687" s="250">
        <v>9.1831190476190425</v>
      </c>
      <c r="BA687" s="250">
        <v>12.390261904761912</v>
      </c>
      <c r="BB687" s="250">
        <v>13.106523809523821</v>
      </c>
      <c r="BC687" s="250">
        <v>14.96666666666667</v>
      </c>
      <c r="BD687" s="251">
        <v>8.1714491526916433</v>
      </c>
      <c r="BE687" s="251">
        <v>7.8634982142857179</v>
      </c>
      <c r="BF687" s="251">
        <v>10.468037142857135</v>
      </c>
      <c r="BG687" s="251">
        <v>11.224425000000002</v>
      </c>
      <c r="BH687" s="251">
        <v>11.365682142857132</v>
      </c>
      <c r="BI687" s="250">
        <v>6.7518796992481249</v>
      </c>
      <c r="BJ687" s="250">
        <v>7.2498308270676732</v>
      </c>
      <c r="BK687" s="250">
        <v>9.7817857142857143</v>
      </c>
      <c r="BL687" s="250">
        <v>10.347255639097755</v>
      </c>
      <c r="BM687" s="250">
        <v>11.815789473684204</v>
      </c>
      <c r="BN687" s="251">
        <v>7.3251204904485876</v>
      </c>
      <c r="BO687" s="251">
        <v>7.0490644706632706</v>
      </c>
      <c r="BP687" s="251">
        <v>9.3838475816326632</v>
      </c>
      <c r="BQ687" s="251">
        <v>10.061895267857132</v>
      </c>
      <c r="BR687" s="251">
        <v>10.188522206632644</v>
      </c>
      <c r="BS687" s="250">
        <v>3.533483709273181</v>
      </c>
      <c r="BT687" s="250">
        <v>3.7940781328320807</v>
      </c>
      <c r="BU687" s="250">
        <v>5.1191345238095218</v>
      </c>
      <c r="BV687" s="250">
        <v>5.4150637844611476</v>
      </c>
      <c r="BW687" s="250">
        <v>6.1835964912280685</v>
      </c>
      <c r="BX687" s="251">
        <v>10.814979175654051</v>
      </c>
      <c r="BY687" s="251">
        <v>11.612583889858527</v>
      </c>
      <c r="BZ687" s="251">
        <v>13.138272738644947</v>
      </c>
      <c r="CA687" s="251">
        <v>16.1814899182245</v>
      </c>
      <c r="CB687" s="251">
        <v>18.91516515957473</v>
      </c>
      <c r="CC687" s="250">
        <v>3.8334797233347615</v>
      </c>
      <c r="CD687" s="250">
        <v>3.6890104063137739</v>
      </c>
      <c r="CE687" s="250">
        <v>4.9108802343877525</v>
      </c>
      <c r="CF687" s="250">
        <v>5.2657251901785669</v>
      </c>
      <c r="CG687" s="250">
        <v>5.3319932881377481</v>
      </c>
      <c r="CH687" s="251">
        <v>11.324305230506996</v>
      </c>
      <c r="CI687" s="251">
        <v>10.876619287964859</v>
      </c>
      <c r="CJ687" s="251">
        <v>11.917405372590544</v>
      </c>
      <c r="CK687" s="251">
        <v>13.488771866675474</v>
      </c>
      <c r="CL687" s="251">
        <v>15.953696057174723</v>
      </c>
      <c r="CM687" s="250">
        <v>22.688767501372119</v>
      </c>
      <c r="CN687" s="250">
        <v>24.362064104598325</v>
      </c>
      <c r="CO687" s="250">
        <v>27.562809941213171</v>
      </c>
      <c r="CP687" s="250">
        <v>33.947181646624792</v>
      </c>
      <c r="CQ687" s="250">
        <v>39.68216467043645</v>
      </c>
      <c r="CR687" s="251">
        <v>15.870334411698746</v>
      </c>
      <c r="CS687" s="251">
        <v>18.084604590677724</v>
      </c>
      <c r="CT687" s="251">
        <v>24.880631664678361</v>
      </c>
      <c r="CU687" s="251">
        <v>28.350470208596739</v>
      </c>
      <c r="CV687" s="251">
        <v>33.699003603381279</v>
      </c>
      <c r="CW687" s="251">
        <v>37.919230690245094</v>
      </c>
      <c r="CX687" s="251">
        <v>48.312677659768902</v>
      </c>
      <c r="CY687" s="251">
        <v>52.853848377423709</v>
      </c>
      <c r="CZ687" s="251">
        <v>57.376218435190715</v>
      </c>
      <c r="DA687" s="250">
        <v>12.791015794503467</v>
      </c>
      <c r="DB687" s="250">
        <v>14.575651461143243</v>
      </c>
      <c r="DC687" s="250">
        <v>20.053046416307936</v>
      </c>
      <c r="DD687" s="250">
        <v>22.849632705436168</v>
      </c>
      <c r="DE687" s="250">
        <v>27.160390963919237</v>
      </c>
      <c r="DF687" s="250">
        <v>34.466472375984289</v>
      </c>
      <c r="DG687" s="250">
        <v>43.913537792279882</v>
      </c>
      <c r="DH687" s="250">
        <v>49.680350690716395</v>
      </c>
      <c r="DI687" s="250">
        <v>53.931184590618905</v>
      </c>
      <c r="DJ687" s="251">
        <v>6.5909271640551861</v>
      </c>
      <c r="DK687" s="251">
        <v>7.5105103998332474</v>
      </c>
      <c r="DL687" s="251">
        <v>10.332890715692686</v>
      </c>
      <c r="DM687" s="251">
        <v>11.773909696183692</v>
      </c>
      <c r="DN687" s="251">
        <v>13.995147959036954</v>
      </c>
      <c r="DO687" s="251">
        <v>15.539833668913444</v>
      </c>
      <c r="DP687" s="251">
        <v>19.799214310689486</v>
      </c>
      <c r="DQ687" s="251">
        <v>21.803107685811725</v>
      </c>
      <c r="DR687" s="251">
        <v>23.668661933829384</v>
      </c>
      <c r="DS687" s="250">
        <v>44.857003867219305</v>
      </c>
      <c r="DT687" s="250">
        <v>51.115569276421461</v>
      </c>
      <c r="DU687" s="250">
        <v>70.324327254164842</v>
      </c>
      <c r="DV687" s="250">
        <v>80.131717378750864</v>
      </c>
      <c r="DW687" s="250">
        <v>95.249179742804586</v>
      </c>
      <c r="DX687" s="251">
        <v>21.352073190420178</v>
      </c>
      <c r="DY687" s="251">
        <v>29.575220500644583</v>
      </c>
      <c r="DZ687" s="251">
        <v>40.990169444946986</v>
      </c>
      <c r="EA687" s="250">
        <v>15.109758726601846</v>
      </c>
      <c r="EB687" s="250">
        <v>20.928855107675599</v>
      </c>
      <c r="EC687" s="250">
        <v>29.006624553607981</v>
      </c>
      <c r="ED687" s="251">
        <v>8.8175519499042867</v>
      </c>
      <c r="EE687" s="251">
        <v>12.213382788108365</v>
      </c>
      <c r="EF687" s="251">
        <v>16.927299999999988</v>
      </c>
      <c r="EG687" s="250">
        <v>58.603108111702134</v>
      </c>
      <c r="EH687" s="250">
        <v>81.172438337478198</v>
      </c>
      <c r="EI687" s="250">
        <v>112.50201842587215</v>
      </c>
    </row>
    <row r="688" spans="1:139">
      <c r="A688" s="248">
        <v>1984</v>
      </c>
      <c r="B688" s="251">
        <v>8.5080864000000016</v>
      </c>
      <c r="C688" s="251">
        <v>8.8054120000000058</v>
      </c>
      <c r="D688" s="251">
        <v>9.9146651999999964</v>
      </c>
      <c r="E688" s="251">
        <v>11.012482799999994</v>
      </c>
      <c r="F688" s="251">
        <v>13.173811200000005</v>
      </c>
      <c r="G688" s="250">
        <v>8.1450043334272682</v>
      </c>
      <c r="H688" s="250">
        <v>7.8380500000000035</v>
      </c>
      <c r="I688" s="250">
        <v>8.307419999999988</v>
      </c>
      <c r="J688" s="250">
        <v>10.212950000000006</v>
      </c>
      <c r="K688" s="250">
        <v>11.328899999999988</v>
      </c>
      <c r="L688" s="251">
        <v>6.4610526315789469</v>
      </c>
      <c r="M688" s="251">
        <v>6.6868421052631541</v>
      </c>
      <c r="N688" s="251">
        <v>7.52921052631579</v>
      </c>
      <c r="O688" s="251">
        <v>8.3628947368420956</v>
      </c>
      <c r="P688" s="251">
        <v>10.004210526315786</v>
      </c>
      <c r="Q688" s="250">
        <v>7.3014145988937376</v>
      </c>
      <c r="R688" s="250">
        <v>7.02625196428572</v>
      </c>
      <c r="S688" s="250">
        <v>7.4470086428571474</v>
      </c>
      <c r="T688" s="250">
        <v>9.15518017857144</v>
      </c>
      <c r="U688" s="250">
        <v>10.155549642857133</v>
      </c>
      <c r="V688" s="251">
        <v>3.381284210526315</v>
      </c>
      <c r="W688" s="251">
        <v>3.4994473684210505</v>
      </c>
      <c r="X688" s="251">
        <v>3.9402868421052633</v>
      </c>
      <c r="Y688" s="251">
        <v>4.3765815789473708</v>
      </c>
      <c r="Z688" s="251">
        <v>5.2355368421052608</v>
      </c>
      <c r="AA688" s="250">
        <v>10.349140206261731</v>
      </c>
      <c r="AB688" s="250">
        <v>10.710803708093461</v>
      </c>
      <c r="AC688" s="250">
        <v>12.060086772619512</v>
      </c>
      <c r="AD688" s="250">
        <v>13.39545970245973</v>
      </c>
      <c r="AE688" s="250">
        <v>16.024475158082677</v>
      </c>
      <c r="AF688" s="251">
        <v>3.8210736400877234</v>
      </c>
      <c r="AG688" s="251">
        <v>3.6770718613095221</v>
      </c>
      <c r="AH688" s="251">
        <v>3.8972678564285737</v>
      </c>
      <c r="AI688" s="251">
        <v>4.7912109601190425</v>
      </c>
      <c r="AJ688" s="251">
        <v>5.3147376464285641</v>
      </c>
      <c r="AK688" s="250">
        <v>11.287656993515064</v>
      </c>
      <c r="AL688" s="250">
        <v>10.841419872793452</v>
      </c>
      <c r="AM688" s="250">
        <v>11.878837717663066</v>
      </c>
      <c r="AN688" s="250">
        <v>13.445118883288176</v>
      </c>
      <c r="AO688" s="250">
        <v>15.902065972847296</v>
      </c>
      <c r="AP688" s="251">
        <v>21.711482950199404</v>
      </c>
      <c r="AQ688" s="251">
        <v>22.470217569426804</v>
      </c>
      <c r="AR688" s="251">
        <v>25.300881341159837</v>
      </c>
      <c r="AS688" s="251">
        <v>28.102363012153276</v>
      </c>
      <c r="AT688" s="251">
        <v>33.617780051921706</v>
      </c>
      <c r="AU688" s="250">
        <v>2.728760337408525</v>
      </c>
      <c r="AV688" s="250">
        <v>5.0416666666666696</v>
      </c>
      <c r="AW688" s="251">
        <v>5.4575206748170499</v>
      </c>
      <c r="AX688" s="251">
        <v>10.083333333333339</v>
      </c>
      <c r="AY688" s="250">
        <v>8.533333333333335</v>
      </c>
      <c r="AZ688" s="250">
        <v>9.1626666666666612</v>
      </c>
      <c r="BA688" s="250">
        <v>12.362666666666675</v>
      </c>
      <c r="BB688" s="250">
        <v>13.077333333333346</v>
      </c>
      <c r="BC688" s="250">
        <v>14.933333333333337</v>
      </c>
      <c r="BD688" s="251">
        <v>8.1450043334272682</v>
      </c>
      <c r="BE688" s="251">
        <v>7.8380500000000035</v>
      </c>
      <c r="BF688" s="251">
        <v>10.434159999999991</v>
      </c>
      <c r="BG688" s="251">
        <v>11.188100000000002</v>
      </c>
      <c r="BH688" s="251">
        <v>11.328899999999988</v>
      </c>
      <c r="BI688" s="250">
        <v>6.7368421052631628</v>
      </c>
      <c r="BJ688" s="250">
        <v>7.2336842105263202</v>
      </c>
      <c r="BK688" s="250">
        <v>9.76</v>
      </c>
      <c r="BL688" s="250">
        <v>10.324210526315801</v>
      </c>
      <c r="BM688" s="250">
        <v>11.789473684210519</v>
      </c>
      <c r="BN688" s="251">
        <v>7.3014145988937376</v>
      </c>
      <c r="BO688" s="251">
        <v>7.02625196428572</v>
      </c>
      <c r="BP688" s="251">
        <v>9.3534791428571538</v>
      </c>
      <c r="BQ688" s="251">
        <v>10.029332499999988</v>
      </c>
      <c r="BR688" s="251">
        <v>10.155549642857133</v>
      </c>
      <c r="BS688" s="250">
        <v>3.5256140350877172</v>
      </c>
      <c r="BT688" s="250">
        <v>3.7856280701754392</v>
      </c>
      <c r="BU688" s="250">
        <v>5.1077333333333312</v>
      </c>
      <c r="BV688" s="250">
        <v>5.4030035087719241</v>
      </c>
      <c r="BW688" s="250">
        <v>6.169824561403507</v>
      </c>
      <c r="BX688" s="251">
        <v>10.790892362345245</v>
      </c>
      <c r="BY688" s="251">
        <v>11.586720674068197</v>
      </c>
      <c r="BZ688" s="251">
        <v>13.109011552144624</v>
      </c>
      <c r="CA688" s="251">
        <v>16.145450965177229</v>
      </c>
      <c r="CB688" s="251">
        <v>18.873037842960979</v>
      </c>
      <c r="CC688" s="250">
        <v>3.8210736400877234</v>
      </c>
      <c r="CD688" s="250">
        <v>3.6770718613095221</v>
      </c>
      <c r="CE688" s="250">
        <v>4.8949874180952353</v>
      </c>
      <c r="CF688" s="250">
        <v>5.2486840083333286</v>
      </c>
      <c r="CG688" s="250">
        <v>5.3147376464285641</v>
      </c>
      <c r="CH688" s="251">
        <v>11.287656993515064</v>
      </c>
      <c r="CI688" s="251">
        <v>10.841419872793452</v>
      </c>
      <c r="CJ688" s="251">
        <v>11.878837717663066</v>
      </c>
      <c r="CK688" s="251">
        <v>13.445118883288176</v>
      </c>
      <c r="CL688" s="251">
        <v>15.902065972847296</v>
      </c>
      <c r="CM688" s="250">
        <v>22.638235725199799</v>
      </c>
      <c r="CN688" s="250">
        <v>24.307805609933297</v>
      </c>
      <c r="CO688" s="250">
        <v>27.501422836667039</v>
      </c>
      <c r="CP688" s="250">
        <v>33.871575451420725</v>
      </c>
      <c r="CQ688" s="250">
        <v>39.593785684533472</v>
      </c>
      <c r="CR688" s="251">
        <v>15.834988455325252</v>
      </c>
      <c r="CS688" s="251">
        <v>18.044327074885569</v>
      </c>
      <c r="CT688" s="251">
        <v>24.82521823112674</v>
      </c>
      <c r="CU688" s="251">
        <v>28.28732884955755</v>
      </c>
      <c r="CV688" s="251">
        <v>33.623950143240116</v>
      </c>
      <c r="CW688" s="251">
        <v>37.875595211890378</v>
      </c>
      <c r="CX688" s="251">
        <v>48.25708194324443</v>
      </c>
      <c r="CY688" s="251">
        <v>52.79302691784094</v>
      </c>
      <c r="CZ688" s="251">
        <v>57.310192867371164</v>
      </c>
      <c r="DA688" s="250">
        <v>12.762528008769607</v>
      </c>
      <c r="DB688" s="250">
        <v>14.543188985728671</v>
      </c>
      <c r="DC688" s="250">
        <v>20.008384842997675</v>
      </c>
      <c r="DD688" s="250">
        <v>22.798742654867269</v>
      </c>
      <c r="DE688" s="250">
        <v>27.099900115447255</v>
      </c>
      <c r="DF688" s="250">
        <v>34.426810152306516</v>
      </c>
      <c r="DG688" s="250">
        <v>43.863004377098896</v>
      </c>
      <c r="DH688" s="250">
        <v>49.62318112720579</v>
      </c>
      <c r="DI688" s="250">
        <v>53.869123388558357</v>
      </c>
      <c r="DJ688" s="251">
        <v>6.5762480389682034</v>
      </c>
      <c r="DK688" s="251">
        <v>7.49378320517883</v>
      </c>
      <c r="DL688" s="251">
        <v>10.309877596058627</v>
      </c>
      <c r="DM688" s="251">
        <v>11.747687180156557</v>
      </c>
      <c r="DN688" s="251">
        <v>13.963978364473398</v>
      </c>
      <c r="DO688" s="251">
        <v>15.521951236613198</v>
      </c>
      <c r="DP688" s="251">
        <v>19.776430404693293</v>
      </c>
      <c r="DQ688" s="251">
        <v>21.77801780354957</v>
      </c>
      <c r="DR688" s="251">
        <v>23.641425268773194</v>
      </c>
      <c r="DS688" s="250">
        <v>44.757099626980512</v>
      </c>
      <c r="DT688" s="250">
        <v>51.001726137721192</v>
      </c>
      <c r="DU688" s="250">
        <v>70.167702917295884</v>
      </c>
      <c r="DV688" s="250">
        <v>79.953250302183491</v>
      </c>
      <c r="DW688" s="250">
        <v>95.037043485025507</v>
      </c>
      <c r="DX688" s="251">
        <v>21.304518461711002</v>
      </c>
      <c r="DY688" s="251">
        <v>29.509351412669872</v>
      </c>
      <c r="DZ688" s="251">
        <v>40.898877308098548</v>
      </c>
      <c r="EA688" s="250">
        <v>15.076106702711865</v>
      </c>
      <c r="EB688" s="250">
        <v>20.882242958215297</v>
      </c>
      <c r="EC688" s="250">
        <v>28.942021826317095</v>
      </c>
      <c r="ED688" s="251">
        <v>8.7979137495704247</v>
      </c>
      <c r="EE688" s="251">
        <v>12.186181490139305</v>
      </c>
      <c r="EF688" s="251">
        <v>16.889599999999987</v>
      </c>
      <c r="EG688" s="250">
        <v>58.472588939961149</v>
      </c>
      <c r="EH688" s="250">
        <v>80.991653396860201</v>
      </c>
      <c r="EI688" s="250">
        <v>112.25145713761854</v>
      </c>
    </row>
    <row r="689" spans="1:139">
      <c r="A689" s="248">
        <v>1985</v>
      </c>
      <c r="B689" s="251">
        <v>8.5046640000000018</v>
      </c>
      <c r="C689" s="251">
        <v>8.8018700000000063</v>
      </c>
      <c r="D689" s="251">
        <v>9.9106769999999962</v>
      </c>
      <c r="E689" s="251">
        <v>11.008052999999993</v>
      </c>
      <c r="F689" s="251">
        <v>13.168512000000005</v>
      </c>
      <c r="G689" s="250">
        <v>8.118559514162893</v>
      </c>
      <c r="H689" s="250">
        <v>7.8126017857142891</v>
      </c>
      <c r="I689" s="250">
        <v>8.2804478571428444</v>
      </c>
      <c r="J689" s="250">
        <v>10.179791071428578</v>
      </c>
      <c r="K689" s="250">
        <v>11.292117857142845</v>
      </c>
      <c r="L689" s="251">
        <v>6.4400751879699243</v>
      </c>
      <c r="M689" s="251">
        <v>6.6651315789473644</v>
      </c>
      <c r="N689" s="251">
        <v>7.5047650375939856</v>
      </c>
      <c r="O689" s="251">
        <v>8.3357424812029972</v>
      </c>
      <c r="P689" s="251">
        <v>9.9717293233082671</v>
      </c>
      <c r="Q689" s="250">
        <v>7.2777087073388875</v>
      </c>
      <c r="R689" s="250">
        <v>7.0034394579081694</v>
      </c>
      <c r="S689" s="250">
        <v>7.4228300433673517</v>
      </c>
      <c r="T689" s="250">
        <v>9.125455567602053</v>
      </c>
      <c r="U689" s="250">
        <v>10.122577079081623</v>
      </c>
      <c r="V689" s="251">
        <v>3.3703060150375932</v>
      </c>
      <c r="W689" s="251">
        <v>3.4880855263157873</v>
      </c>
      <c r="X689" s="251">
        <v>3.927493703007519</v>
      </c>
      <c r="Y689" s="251">
        <v>4.3623718984962432</v>
      </c>
      <c r="Z689" s="251">
        <v>5.2185383458646593</v>
      </c>
      <c r="AA689" s="250">
        <v>10.315539101695947</v>
      </c>
      <c r="AB689" s="250">
        <v>10.676028371378873</v>
      </c>
      <c r="AC689" s="250">
        <v>12.020930646734383</v>
      </c>
      <c r="AD689" s="250">
        <v>13.351967950179016</v>
      </c>
      <c r="AE689" s="250">
        <v>15.972447641335656</v>
      </c>
      <c r="AF689" s="251">
        <v>3.8086675568406854</v>
      </c>
      <c r="AG689" s="251">
        <v>3.6651333163052704</v>
      </c>
      <c r="AH689" s="251">
        <v>3.8846143893622473</v>
      </c>
      <c r="AI689" s="251">
        <v>4.7756550803783959</v>
      </c>
      <c r="AJ689" s="251">
        <v>5.29748200471938</v>
      </c>
      <c r="AK689" s="250">
        <v>11.251008756523133</v>
      </c>
      <c r="AL689" s="250">
        <v>10.806220457622045</v>
      </c>
      <c r="AM689" s="250">
        <v>11.840270062735588</v>
      </c>
      <c r="AN689" s="250">
        <v>13.401465899900877</v>
      </c>
      <c r="AO689" s="250">
        <v>15.85043588851987</v>
      </c>
      <c r="AP689" s="251">
        <v>21.640991122439015</v>
      </c>
      <c r="AQ689" s="251">
        <v>22.397262317578015</v>
      </c>
      <c r="AR689" s="251">
        <v>25.218735622519709</v>
      </c>
      <c r="AS689" s="251">
        <v>28.011121573802129</v>
      </c>
      <c r="AT689" s="251">
        <v>33.508631415389495</v>
      </c>
      <c r="AU689" s="250">
        <v>2.7199007259234325</v>
      </c>
      <c r="AV689" s="250">
        <v>5.0252976190476222</v>
      </c>
      <c r="AW689" s="251">
        <v>5.4398014518468649</v>
      </c>
      <c r="AX689" s="251">
        <v>10.050595238095244</v>
      </c>
      <c r="AY689" s="250">
        <v>8.514285714285716</v>
      </c>
      <c r="AZ689" s="250">
        <v>9.1422142857142799</v>
      </c>
      <c r="BA689" s="250">
        <v>12.335071428571437</v>
      </c>
      <c r="BB689" s="250">
        <v>13.048142857142871</v>
      </c>
      <c r="BC689" s="250">
        <v>14.900000000000004</v>
      </c>
      <c r="BD689" s="251">
        <v>8.118559514162893</v>
      </c>
      <c r="BE689" s="251">
        <v>7.8126017857142891</v>
      </c>
      <c r="BF689" s="251">
        <v>10.400282857142848</v>
      </c>
      <c r="BG689" s="251">
        <v>11.151775000000002</v>
      </c>
      <c r="BH689" s="251">
        <v>11.292117857142845</v>
      </c>
      <c r="BI689" s="250">
        <v>6.7218045112782008</v>
      </c>
      <c r="BJ689" s="250">
        <v>7.2175375939849671</v>
      </c>
      <c r="BK689" s="250">
        <v>9.7382142857142853</v>
      </c>
      <c r="BL689" s="250">
        <v>10.301165413533846</v>
      </c>
      <c r="BM689" s="250">
        <v>11.763157894736834</v>
      </c>
      <c r="BN689" s="251">
        <v>7.2777087073388875</v>
      </c>
      <c r="BO689" s="251">
        <v>7.0034394579081694</v>
      </c>
      <c r="BP689" s="251">
        <v>9.3231107040816443</v>
      </c>
      <c r="BQ689" s="251">
        <v>9.9967697321428446</v>
      </c>
      <c r="BR689" s="251">
        <v>10.122577079081623</v>
      </c>
      <c r="BS689" s="250">
        <v>3.5177443609022534</v>
      </c>
      <c r="BT689" s="250">
        <v>3.7771780075187977</v>
      </c>
      <c r="BU689" s="250">
        <v>5.0963321428571406</v>
      </c>
      <c r="BV689" s="250">
        <v>5.3909432330827007</v>
      </c>
      <c r="BW689" s="250">
        <v>6.1560526315789454</v>
      </c>
      <c r="BX689" s="251">
        <v>10.766805549036439</v>
      </c>
      <c r="BY689" s="251">
        <v>11.560857458277866</v>
      </c>
      <c r="BZ689" s="251">
        <v>13.079750365644301</v>
      </c>
      <c r="CA689" s="251">
        <v>16.109412012129958</v>
      </c>
      <c r="CB689" s="251">
        <v>18.830910526347228</v>
      </c>
      <c r="CC689" s="250">
        <v>3.8086675568406854</v>
      </c>
      <c r="CD689" s="250">
        <v>3.6651333163052704</v>
      </c>
      <c r="CE689" s="250">
        <v>4.8790946018027181</v>
      </c>
      <c r="CF689" s="250">
        <v>5.2316428264880903</v>
      </c>
      <c r="CG689" s="250">
        <v>5.29748200471938</v>
      </c>
      <c r="CH689" s="251">
        <v>11.251008756523133</v>
      </c>
      <c r="CI689" s="251">
        <v>10.806220457622045</v>
      </c>
      <c r="CJ689" s="251">
        <v>11.840270062735588</v>
      </c>
      <c r="CK689" s="251">
        <v>13.401465899900877</v>
      </c>
      <c r="CL689" s="251">
        <v>15.85043588851987</v>
      </c>
      <c r="CM689" s="250">
        <v>22.587703949027478</v>
      </c>
      <c r="CN689" s="250">
        <v>24.253547115268269</v>
      </c>
      <c r="CO689" s="250">
        <v>27.440035732120908</v>
      </c>
      <c r="CP689" s="250">
        <v>33.795969256216658</v>
      </c>
      <c r="CQ689" s="250">
        <v>39.505406698630495</v>
      </c>
      <c r="CR689" s="251">
        <v>15.799642498951759</v>
      </c>
      <c r="CS689" s="251">
        <v>18.004049559093414</v>
      </c>
      <c r="CT689" s="251">
        <v>24.769804797575119</v>
      </c>
      <c r="CU689" s="251">
        <v>28.224187490518361</v>
      </c>
      <c r="CV689" s="251">
        <v>33.548896683098953</v>
      </c>
      <c r="CW689" s="251">
        <v>37.831959733535662</v>
      </c>
      <c r="CX689" s="251">
        <v>48.201486226719958</v>
      </c>
      <c r="CY689" s="251">
        <v>52.732205458258171</v>
      </c>
      <c r="CZ689" s="251">
        <v>57.244167299551613</v>
      </c>
      <c r="DA689" s="250">
        <v>12.734040223035747</v>
      </c>
      <c r="DB689" s="250">
        <v>14.510726510314099</v>
      </c>
      <c r="DC689" s="250">
        <v>19.963723269687414</v>
      </c>
      <c r="DD689" s="250">
        <v>22.74785260429837</v>
      </c>
      <c r="DE689" s="250">
        <v>27.039409266975273</v>
      </c>
      <c r="DF689" s="250">
        <v>34.387147928628742</v>
      </c>
      <c r="DG689" s="250">
        <v>43.81247096191791</v>
      </c>
      <c r="DH689" s="250">
        <v>49.566011563695184</v>
      </c>
      <c r="DI689" s="250">
        <v>53.807062186497809</v>
      </c>
      <c r="DJ689" s="251">
        <v>6.5615689138812208</v>
      </c>
      <c r="DK689" s="251">
        <v>7.4770560105244126</v>
      </c>
      <c r="DL689" s="251">
        <v>10.286864476424567</v>
      </c>
      <c r="DM689" s="251">
        <v>11.721464664129423</v>
      </c>
      <c r="DN689" s="251">
        <v>13.932808769909842</v>
      </c>
      <c r="DO689" s="251">
        <v>15.504068804312952</v>
      </c>
      <c r="DP689" s="251">
        <v>19.753646498697101</v>
      </c>
      <c r="DQ689" s="251">
        <v>21.752927921287416</v>
      </c>
      <c r="DR689" s="251">
        <v>23.614188603717004</v>
      </c>
      <c r="DS689" s="250">
        <v>44.657195386741719</v>
      </c>
      <c r="DT689" s="250">
        <v>50.887882999020924</v>
      </c>
      <c r="DU689" s="250">
        <v>70.011078580426926</v>
      </c>
      <c r="DV689" s="250">
        <v>79.774783225616119</v>
      </c>
      <c r="DW689" s="250">
        <v>94.824907227246428</v>
      </c>
      <c r="DX689" s="251">
        <v>21.256963733001825</v>
      </c>
      <c r="DY689" s="251">
        <v>29.443482324695161</v>
      </c>
      <c r="DZ689" s="251">
        <v>40.807585171250111</v>
      </c>
      <c r="EA689" s="250">
        <v>15.042454678821883</v>
      </c>
      <c r="EB689" s="250">
        <v>20.835630808754996</v>
      </c>
      <c r="EC689" s="250">
        <v>28.877419099026209</v>
      </c>
      <c r="ED689" s="251">
        <v>8.7782755492365627</v>
      </c>
      <c r="EE689" s="251">
        <v>12.158980192170244</v>
      </c>
      <c r="EF689" s="251">
        <v>16.851899999999986</v>
      </c>
      <c r="EG689" s="250">
        <v>58.342069768220163</v>
      </c>
      <c r="EH689" s="250">
        <v>80.810868456242204</v>
      </c>
      <c r="EI689" s="250">
        <v>112.00089584936494</v>
      </c>
    </row>
    <row r="690" spans="1:139">
      <c r="A690" s="248">
        <v>1986</v>
      </c>
      <c r="B690" s="251">
        <v>8.501241600000002</v>
      </c>
      <c r="C690" s="251">
        <v>8.7983280000000068</v>
      </c>
      <c r="D690" s="251">
        <v>9.906688799999996</v>
      </c>
      <c r="E690" s="251">
        <v>11.003623199999993</v>
      </c>
      <c r="F690" s="251">
        <v>13.163212800000005</v>
      </c>
      <c r="G690" s="250">
        <v>8.0921146948985179</v>
      </c>
      <c r="H690" s="250">
        <v>7.7871535714285747</v>
      </c>
      <c r="I690" s="250">
        <v>8.2534757142857007</v>
      </c>
      <c r="J690" s="250">
        <v>10.14663214285715</v>
      </c>
      <c r="K690" s="250">
        <v>11.255335714285701</v>
      </c>
      <c r="L690" s="251">
        <v>6.4190977443609016</v>
      </c>
      <c r="M690" s="251">
        <v>6.6434210526315747</v>
      </c>
      <c r="N690" s="251">
        <v>7.4803195488721812</v>
      </c>
      <c r="O690" s="251">
        <v>8.3085902255638988</v>
      </c>
      <c r="P690" s="251">
        <v>9.9392481203007481</v>
      </c>
      <c r="Q690" s="250">
        <v>7.2540028157840375</v>
      </c>
      <c r="R690" s="250">
        <v>6.9806269515306187</v>
      </c>
      <c r="S690" s="250">
        <v>7.3986514438775561</v>
      </c>
      <c r="T690" s="250">
        <v>9.0957309566326661</v>
      </c>
      <c r="U690" s="250">
        <v>10.089604515306112</v>
      </c>
      <c r="V690" s="251">
        <v>3.3593278195488714</v>
      </c>
      <c r="W690" s="251">
        <v>3.476723684210524</v>
      </c>
      <c r="X690" s="251">
        <v>3.9147005639097747</v>
      </c>
      <c r="Y690" s="251">
        <v>4.3481622180451156</v>
      </c>
      <c r="Z690" s="251">
        <v>5.2015398496240577</v>
      </c>
      <c r="AA690" s="250">
        <v>10.281937997130163</v>
      </c>
      <c r="AB690" s="250">
        <v>10.641253034664285</v>
      </c>
      <c r="AC690" s="250">
        <v>11.981774520849255</v>
      </c>
      <c r="AD690" s="250">
        <v>13.308476197898303</v>
      </c>
      <c r="AE690" s="250">
        <v>15.920420124588635</v>
      </c>
      <c r="AF690" s="251">
        <v>3.7962614735936473</v>
      </c>
      <c r="AG690" s="251">
        <v>3.6531947713010187</v>
      </c>
      <c r="AH690" s="251">
        <v>3.871960922295921</v>
      </c>
      <c r="AI690" s="251">
        <v>4.7600992006377494</v>
      </c>
      <c r="AJ690" s="251">
        <v>5.280226363010196</v>
      </c>
      <c r="AK690" s="250">
        <v>11.214360519531201</v>
      </c>
      <c r="AL690" s="250">
        <v>10.771021042450638</v>
      </c>
      <c r="AM690" s="250">
        <v>11.80170240780811</v>
      </c>
      <c r="AN690" s="250">
        <v>13.357812916513579</v>
      </c>
      <c r="AO690" s="250">
        <v>15.798805804192444</v>
      </c>
      <c r="AP690" s="251">
        <v>21.570499294678626</v>
      </c>
      <c r="AQ690" s="251">
        <v>22.324307065729226</v>
      </c>
      <c r="AR690" s="251">
        <v>25.136589903879582</v>
      </c>
      <c r="AS690" s="251">
        <v>27.919880135450981</v>
      </c>
      <c r="AT690" s="251">
        <v>33.399482778857283</v>
      </c>
      <c r="AU690" s="250">
        <v>2.7110411144383399</v>
      </c>
      <c r="AV690" s="250">
        <v>5.0089285714285747</v>
      </c>
      <c r="AW690" s="251">
        <v>5.4220822288766799</v>
      </c>
      <c r="AX690" s="251">
        <v>10.017857142857149</v>
      </c>
      <c r="AY690" s="250">
        <v>8.495238095238097</v>
      </c>
      <c r="AZ690" s="250">
        <v>9.1217619047618985</v>
      </c>
      <c r="BA690" s="250">
        <v>12.3074761904762</v>
      </c>
      <c r="BB690" s="250">
        <v>13.018952380952395</v>
      </c>
      <c r="BC690" s="250">
        <v>14.866666666666671</v>
      </c>
      <c r="BD690" s="251">
        <v>8.0921146948985179</v>
      </c>
      <c r="BE690" s="251">
        <v>7.7871535714285747</v>
      </c>
      <c r="BF690" s="251">
        <v>10.366405714285705</v>
      </c>
      <c r="BG690" s="251">
        <v>11.115450000000003</v>
      </c>
      <c r="BH690" s="251">
        <v>11.255335714285701</v>
      </c>
      <c r="BI690" s="250">
        <v>6.7067669172932387</v>
      </c>
      <c r="BJ690" s="250">
        <v>7.201390977443614</v>
      </c>
      <c r="BK690" s="250">
        <v>9.7164285714285707</v>
      </c>
      <c r="BL690" s="250">
        <v>10.278120300751892</v>
      </c>
      <c r="BM690" s="250">
        <v>11.736842105263149</v>
      </c>
      <c r="BN690" s="251">
        <v>7.2540028157840375</v>
      </c>
      <c r="BO690" s="251">
        <v>6.9806269515306187</v>
      </c>
      <c r="BP690" s="251">
        <v>9.2927422653061349</v>
      </c>
      <c r="BQ690" s="251">
        <v>9.964206964285701</v>
      </c>
      <c r="BR690" s="251">
        <v>10.089604515306112</v>
      </c>
      <c r="BS690" s="250">
        <v>3.5098746867167896</v>
      </c>
      <c r="BT690" s="250">
        <v>3.7687279448621562</v>
      </c>
      <c r="BU690" s="250">
        <v>5.0849309523809501</v>
      </c>
      <c r="BV690" s="250">
        <v>5.3788829573934773</v>
      </c>
      <c r="BW690" s="250">
        <v>6.1422807017543839</v>
      </c>
      <c r="BX690" s="251">
        <v>10.742718735727633</v>
      </c>
      <c r="BY690" s="251">
        <v>11.534994242487535</v>
      </c>
      <c r="BZ690" s="251">
        <v>13.050489179143979</v>
      </c>
      <c r="CA690" s="251">
        <v>16.073373059082687</v>
      </c>
      <c r="CB690" s="251">
        <v>18.788783209733477</v>
      </c>
      <c r="CC690" s="250">
        <v>3.7962614735936473</v>
      </c>
      <c r="CD690" s="250">
        <v>3.6531947713010187</v>
      </c>
      <c r="CE690" s="250">
        <v>4.863201785510201</v>
      </c>
      <c r="CF690" s="250">
        <v>5.214601644642852</v>
      </c>
      <c r="CG690" s="250">
        <v>5.280226363010196</v>
      </c>
      <c r="CH690" s="251">
        <v>11.214360519531201</v>
      </c>
      <c r="CI690" s="251">
        <v>10.771021042450638</v>
      </c>
      <c r="CJ690" s="251">
        <v>11.80170240780811</v>
      </c>
      <c r="CK690" s="251">
        <v>13.357812916513579</v>
      </c>
      <c r="CL690" s="251">
        <v>15.798805804192444</v>
      </c>
      <c r="CM690" s="250">
        <v>22.537172172855158</v>
      </c>
      <c r="CN690" s="250">
        <v>24.199288620603241</v>
      </c>
      <c r="CO690" s="250">
        <v>27.378648627574776</v>
      </c>
      <c r="CP690" s="250">
        <v>33.720363061012591</v>
      </c>
      <c r="CQ690" s="250">
        <v>39.417027712727517</v>
      </c>
      <c r="CR690" s="251">
        <v>15.764296542578265</v>
      </c>
      <c r="CS690" s="251">
        <v>17.963772043301258</v>
      </c>
      <c r="CT690" s="251">
        <v>24.714391364023498</v>
      </c>
      <c r="CU690" s="251">
        <v>28.161046131479171</v>
      </c>
      <c r="CV690" s="251">
        <v>33.47384322295779</v>
      </c>
      <c r="CW690" s="251">
        <v>37.788324255180946</v>
      </c>
      <c r="CX690" s="251">
        <v>48.145890510195485</v>
      </c>
      <c r="CY690" s="251">
        <v>52.671383998675402</v>
      </c>
      <c r="CZ690" s="251">
        <v>57.178141731732062</v>
      </c>
      <c r="DA690" s="250">
        <v>12.705552437301886</v>
      </c>
      <c r="DB690" s="250">
        <v>14.478264034899526</v>
      </c>
      <c r="DC690" s="250">
        <v>19.919061696377153</v>
      </c>
      <c r="DD690" s="250">
        <v>22.69696255372947</v>
      </c>
      <c r="DE690" s="250">
        <v>26.978918418503291</v>
      </c>
      <c r="DF690" s="250">
        <v>34.347485704950969</v>
      </c>
      <c r="DG690" s="250">
        <v>43.761937546736924</v>
      </c>
      <c r="DH690" s="250">
        <v>49.508842000184579</v>
      </c>
      <c r="DI690" s="250">
        <v>53.745000984437262</v>
      </c>
      <c r="DJ690" s="251">
        <v>6.5468897887942381</v>
      </c>
      <c r="DK690" s="251">
        <v>7.4603288158699952</v>
      </c>
      <c r="DL690" s="251">
        <v>10.263851356790507</v>
      </c>
      <c r="DM690" s="251">
        <v>11.695242148102288</v>
      </c>
      <c r="DN690" s="251">
        <v>13.901639175346286</v>
      </c>
      <c r="DO690" s="251">
        <v>15.486186372012707</v>
      </c>
      <c r="DP690" s="251">
        <v>19.730862592700909</v>
      </c>
      <c r="DQ690" s="251">
        <v>21.727838039025261</v>
      </c>
      <c r="DR690" s="251">
        <v>23.586951938660814</v>
      </c>
      <c r="DS690" s="250">
        <v>44.557291146502926</v>
      </c>
      <c r="DT690" s="250">
        <v>50.774039860320656</v>
      </c>
      <c r="DU690" s="250">
        <v>69.854454243557967</v>
      </c>
      <c r="DV690" s="250">
        <v>79.596316149048747</v>
      </c>
      <c r="DW690" s="250">
        <v>94.612770969467348</v>
      </c>
      <c r="DX690" s="251">
        <v>21.209409004292649</v>
      </c>
      <c r="DY690" s="251">
        <v>29.37761323672045</v>
      </c>
      <c r="DZ690" s="251">
        <v>40.716293034401673</v>
      </c>
      <c r="EA690" s="250">
        <v>15.008802654931902</v>
      </c>
      <c r="EB690" s="250">
        <v>20.789018659294694</v>
      </c>
      <c r="EC690" s="250">
        <v>28.812816371735323</v>
      </c>
      <c r="ED690" s="251">
        <v>8.7586373489027007</v>
      </c>
      <c r="EE690" s="251">
        <v>12.131778894201183</v>
      </c>
      <c r="EF690" s="251">
        <v>16.814199999999985</v>
      </c>
      <c r="EG690" s="250">
        <v>58.211550596479178</v>
      </c>
      <c r="EH690" s="250">
        <v>80.630083515624207</v>
      </c>
      <c r="EI690" s="250">
        <v>111.75033456111133</v>
      </c>
    </row>
    <row r="691" spans="1:139">
      <c r="A691" s="248">
        <v>1987</v>
      </c>
      <c r="B691" s="251">
        <v>8.4978192000000021</v>
      </c>
      <c r="C691" s="251">
        <v>8.7947860000000073</v>
      </c>
      <c r="D691" s="251">
        <v>9.9027005999999957</v>
      </c>
      <c r="E691" s="251">
        <v>10.999193399999992</v>
      </c>
      <c r="F691" s="251">
        <v>13.157913600000006</v>
      </c>
      <c r="G691" s="250">
        <v>8.0656698756341427</v>
      </c>
      <c r="H691" s="250">
        <v>7.7617053571428603</v>
      </c>
      <c r="I691" s="250">
        <v>8.226503571428557</v>
      </c>
      <c r="J691" s="250">
        <v>10.113473214285722</v>
      </c>
      <c r="K691" s="250">
        <v>11.218553571428558</v>
      </c>
      <c r="L691" s="251">
        <v>6.398120300751879</v>
      </c>
      <c r="M691" s="251">
        <v>6.6217105263157849</v>
      </c>
      <c r="N691" s="251">
        <v>7.4558740601503768</v>
      </c>
      <c r="O691" s="251">
        <v>8.2814379699248004</v>
      </c>
      <c r="P691" s="251">
        <v>9.9067669172932291</v>
      </c>
      <c r="Q691" s="250">
        <v>7.2302969242291875</v>
      </c>
      <c r="R691" s="250">
        <v>6.9578144451530681</v>
      </c>
      <c r="S691" s="250">
        <v>7.3744728443877605</v>
      </c>
      <c r="T691" s="250">
        <v>9.0660063456632791</v>
      </c>
      <c r="U691" s="250">
        <v>10.056631951530601</v>
      </c>
      <c r="V691" s="251">
        <v>3.3483496240601496</v>
      </c>
      <c r="W691" s="251">
        <v>3.4653618421052608</v>
      </c>
      <c r="X691" s="251">
        <v>3.9019074248120305</v>
      </c>
      <c r="Y691" s="251">
        <v>4.333952537593988</v>
      </c>
      <c r="Z691" s="251">
        <v>5.1845413533834561</v>
      </c>
      <c r="AA691" s="250">
        <v>10.248336892564378</v>
      </c>
      <c r="AB691" s="250">
        <v>10.606477697949696</v>
      </c>
      <c r="AC691" s="250">
        <v>11.942618394964127</v>
      </c>
      <c r="AD691" s="250">
        <v>13.264984445617589</v>
      </c>
      <c r="AE691" s="250">
        <v>15.868392607841614</v>
      </c>
      <c r="AF691" s="251">
        <v>3.7838553903466092</v>
      </c>
      <c r="AG691" s="251">
        <v>3.6412562262967669</v>
      </c>
      <c r="AH691" s="251">
        <v>3.8593074552295947</v>
      </c>
      <c r="AI691" s="251">
        <v>4.7445433208971028</v>
      </c>
      <c r="AJ691" s="251">
        <v>5.262970721301012</v>
      </c>
      <c r="AK691" s="250">
        <v>11.17771228253927</v>
      </c>
      <c r="AL691" s="250">
        <v>10.735821627279231</v>
      </c>
      <c r="AM691" s="250">
        <v>11.763134752880632</v>
      </c>
      <c r="AN691" s="250">
        <v>13.31415993312628</v>
      </c>
      <c r="AO691" s="250">
        <v>15.747175719865018</v>
      </c>
      <c r="AP691" s="251">
        <v>21.500007466918237</v>
      </c>
      <c r="AQ691" s="251">
        <v>22.251351813880436</v>
      </c>
      <c r="AR691" s="251">
        <v>25.054444185239454</v>
      </c>
      <c r="AS691" s="251">
        <v>27.828638697099834</v>
      </c>
      <c r="AT691" s="251">
        <v>33.290334142325072</v>
      </c>
      <c r="AU691" s="250">
        <v>2.7021815029532474</v>
      </c>
      <c r="AV691" s="250">
        <v>4.9925595238095273</v>
      </c>
      <c r="AW691" s="251">
        <v>5.4043630059064949</v>
      </c>
      <c r="AX691" s="251">
        <v>9.9851190476190546</v>
      </c>
      <c r="AY691" s="250">
        <v>8.4761904761904781</v>
      </c>
      <c r="AZ691" s="250">
        <v>9.1013095238095172</v>
      </c>
      <c r="BA691" s="250">
        <v>12.279880952380962</v>
      </c>
      <c r="BB691" s="250">
        <v>12.98976190476192</v>
      </c>
      <c r="BC691" s="250">
        <v>14.833333333333337</v>
      </c>
      <c r="BD691" s="251">
        <v>8.0656698756341427</v>
      </c>
      <c r="BE691" s="251">
        <v>7.7617053571428603</v>
      </c>
      <c r="BF691" s="251">
        <v>10.332528571428561</v>
      </c>
      <c r="BG691" s="251">
        <v>11.079125000000003</v>
      </c>
      <c r="BH691" s="251">
        <v>11.218553571428558</v>
      </c>
      <c r="BI691" s="250">
        <v>6.6917293233082766</v>
      </c>
      <c r="BJ691" s="250">
        <v>7.1852443609022609</v>
      </c>
      <c r="BK691" s="250">
        <v>9.6946428571428562</v>
      </c>
      <c r="BL691" s="250">
        <v>10.255075187969938</v>
      </c>
      <c r="BM691" s="250">
        <v>11.710526315789464</v>
      </c>
      <c r="BN691" s="251">
        <v>7.2302969242291875</v>
      </c>
      <c r="BO691" s="251">
        <v>6.9578144451530681</v>
      </c>
      <c r="BP691" s="251">
        <v>9.2623738265306255</v>
      </c>
      <c r="BQ691" s="251">
        <v>9.9316441964285573</v>
      </c>
      <c r="BR691" s="251">
        <v>10.056631951530601</v>
      </c>
      <c r="BS691" s="250">
        <v>3.5020050125313258</v>
      </c>
      <c r="BT691" s="250">
        <v>3.7602778822055147</v>
      </c>
      <c r="BU691" s="250">
        <v>5.0735297619047595</v>
      </c>
      <c r="BV691" s="250">
        <v>5.3668226817042539</v>
      </c>
      <c r="BW691" s="250">
        <v>6.1285087719298224</v>
      </c>
      <c r="BX691" s="251">
        <v>10.718631922418828</v>
      </c>
      <c r="BY691" s="251">
        <v>11.509131026697204</v>
      </c>
      <c r="BZ691" s="251">
        <v>13.021227992643656</v>
      </c>
      <c r="CA691" s="251">
        <v>16.037334106035416</v>
      </c>
      <c r="CB691" s="251">
        <v>18.746655893119726</v>
      </c>
      <c r="CC691" s="250">
        <v>3.7838553903466092</v>
      </c>
      <c r="CD691" s="250">
        <v>3.6412562262967669</v>
      </c>
      <c r="CE691" s="250">
        <v>4.8473089692176838</v>
      </c>
      <c r="CF691" s="250">
        <v>5.1975604627976137</v>
      </c>
      <c r="CG691" s="250">
        <v>5.262970721301012</v>
      </c>
      <c r="CH691" s="251">
        <v>11.17771228253927</v>
      </c>
      <c r="CI691" s="251">
        <v>10.735821627279231</v>
      </c>
      <c r="CJ691" s="251">
        <v>11.763134752880632</v>
      </c>
      <c r="CK691" s="251">
        <v>13.31415993312628</v>
      </c>
      <c r="CL691" s="251">
        <v>15.747175719865018</v>
      </c>
      <c r="CM691" s="250">
        <v>22.486640396682837</v>
      </c>
      <c r="CN691" s="250">
        <v>24.145030125938213</v>
      </c>
      <c r="CO691" s="250">
        <v>27.317261523028645</v>
      </c>
      <c r="CP691" s="250">
        <v>33.644756865808525</v>
      </c>
      <c r="CQ691" s="250">
        <v>39.328648726824539</v>
      </c>
      <c r="CR691" s="251">
        <v>15.728950586204771</v>
      </c>
      <c r="CS691" s="251">
        <v>17.923494527509103</v>
      </c>
      <c r="CT691" s="251">
        <v>24.658977930471877</v>
      </c>
      <c r="CU691" s="251">
        <v>28.097904772439982</v>
      </c>
      <c r="CV691" s="251">
        <v>33.398789762816627</v>
      </c>
      <c r="CW691" s="251">
        <v>37.74468877682623</v>
      </c>
      <c r="CX691" s="251">
        <v>48.090294793671013</v>
      </c>
      <c r="CY691" s="251">
        <v>52.610562539092633</v>
      </c>
      <c r="CZ691" s="251">
        <v>57.112116163912511</v>
      </c>
      <c r="DA691" s="250">
        <v>12.677064651568026</v>
      </c>
      <c r="DB691" s="250">
        <v>14.445801559484954</v>
      </c>
      <c r="DC691" s="250">
        <v>19.874400123066891</v>
      </c>
      <c r="DD691" s="250">
        <v>22.646072503160571</v>
      </c>
      <c r="DE691" s="250">
        <v>26.918427570031309</v>
      </c>
      <c r="DF691" s="250">
        <v>34.307823481273196</v>
      </c>
      <c r="DG691" s="250">
        <v>43.711404131555938</v>
      </c>
      <c r="DH691" s="250">
        <v>49.451672436673974</v>
      </c>
      <c r="DI691" s="250">
        <v>53.682939782376714</v>
      </c>
      <c r="DJ691" s="251">
        <v>6.5322106637072554</v>
      </c>
      <c r="DK691" s="251">
        <v>7.4436016212155778</v>
      </c>
      <c r="DL691" s="251">
        <v>10.240838237156447</v>
      </c>
      <c r="DM691" s="251">
        <v>11.669019632075154</v>
      </c>
      <c r="DN691" s="251">
        <v>13.87046958078273</v>
      </c>
      <c r="DO691" s="251">
        <v>15.468303939712461</v>
      </c>
      <c r="DP691" s="251">
        <v>19.708078686704717</v>
      </c>
      <c r="DQ691" s="251">
        <v>21.702748156763107</v>
      </c>
      <c r="DR691" s="251">
        <v>23.559715273604624</v>
      </c>
      <c r="DS691" s="250">
        <v>44.457386906264134</v>
      </c>
      <c r="DT691" s="250">
        <v>50.660196721620387</v>
      </c>
      <c r="DU691" s="250">
        <v>69.697829906689009</v>
      </c>
      <c r="DV691" s="250">
        <v>79.417849072481374</v>
      </c>
      <c r="DW691" s="250">
        <v>94.400634711688269</v>
      </c>
      <c r="DX691" s="251">
        <v>21.161854275583472</v>
      </c>
      <c r="DY691" s="251">
        <v>29.311744148745738</v>
      </c>
      <c r="DZ691" s="251">
        <v>40.625000897553235</v>
      </c>
      <c r="EA691" s="250">
        <v>14.97515063104192</v>
      </c>
      <c r="EB691" s="250">
        <v>20.742406509834392</v>
      </c>
      <c r="EC691" s="250">
        <v>28.748213644444437</v>
      </c>
      <c r="ED691" s="251">
        <v>8.7389991485688387</v>
      </c>
      <c r="EE691" s="251">
        <v>12.104577596232122</v>
      </c>
      <c r="EF691" s="251">
        <v>16.776499999999984</v>
      </c>
      <c r="EG691" s="250">
        <v>58.081031424738192</v>
      </c>
      <c r="EH691" s="250">
        <v>80.44929857500621</v>
      </c>
      <c r="EI691" s="250">
        <v>111.49977327285772</v>
      </c>
    </row>
    <row r="692" spans="1:139">
      <c r="A692" s="248">
        <v>1988</v>
      </c>
      <c r="B692" s="251">
        <v>8.4943968000000023</v>
      </c>
      <c r="C692" s="251">
        <v>8.7912440000000078</v>
      </c>
      <c r="D692" s="251">
        <v>9.8987123999999955</v>
      </c>
      <c r="E692" s="251">
        <v>10.994763599999992</v>
      </c>
      <c r="F692" s="251">
        <v>13.152614400000006</v>
      </c>
      <c r="G692" s="250">
        <v>8.0392250563697676</v>
      </c>
      <c r="H692" s="250">
        <v>7.7362571428571458</v>
      </c>
      <c r="I692" s="250">
        <v>8.1995314285714134</v>
      </c>
      <c r="J692" s="250">
        <v>10.080314285714294</v>
      </c>
      <c r="K692" s="250">
        <v>11.181771428571414</v>
      </c>
      <c r="L692" s="251">
        <v>6.3771428571428563</v>
      </c>
      <c r="M692" s="251">
        <v>6.5999999999999952</v>
      </c>
      <c r="N692" s="251">
        <v>7.4314285714285724</v>
      </c>
      <c r="O692" s="251">
        <v>8.254285714285702</v>
      </c>
      <c r="P692" s="251">
        <v>9.8742857142857101</v>
      </c>
      <c r="Q692" s="250">
        <v>7.2065910326743374</v>
      </c>
      <c r="R692" s="250">
        <v>6.9350019387755175</v>
      </c>
      <c r="S692" s="250">
        <v>7.3502942448979649</v>
      </c>
      <c r="T692" s="250">
        <v>9.0362817346938922</v>
      </c>
      <c r="U692" s="250">
        <v>10.023659387755091</v>
      </c>
      <c r="V692" s="251">
        <v>3.3373714285714278</v>
      </c>
      <c r="W692" s="251">
        <v>3.4539999999999975</v>
      </c>
      <c r="X692" s="251">
        <v>3.8891142857142862</v>
      </c>
      <c r="Y692" s="251">
        <v>4.3197428571428604</v>
      </c>
      <c r="Z692" s="251">
        <v>5.1675428571428546</v>
      </c>
      <c r="AA692" s="250">
        <v>10.214735787998594</v>
      </c>
      <c r="AB692" s="250">
        <v>10.571702361235108</v>
      </c>
      <c r="AC692" s="250">
        <v>11.903462269078998</v>
      </c>
      <c r="AD692" s="250">
        <v>13.221492693336875</v>
      </c>
      <c r="AE692" s="250">
        <v>15.816365091094593</v>
      </c>
      <c r="AF692" s="251">
        <v>3.7714493070995712</v>
      </c>
      <c r="AG692" s="251">
        <v>3.6293176812925152</v>
      </c>
      <c r="AH692" s="251">
        <v>3.8466539881632684</v>
      </c>
      <c r="AI692" s="251">
        <v>4.7289874411564563</v>
      </c>
      <c r="AJ692" s="251">
        <v>5.2457150795918279</v>
      </c>
      <c r="AK692" s="250">
        <v>11.141064045547338</v>
      </c>
      <c r="AL692" s="250">
        <v>10.700622212107824</v>
      </c>
      <c r="AM692" s="250">
        <v>11.724567097953154</v>
      </c>
      <c r="AN692" s="250">
        <v>13.270506949738982</v>
      </c>
      <c r="AO692" s="250">
        <v>15.695545635537592</v>
      </c>
      <c r="AP692" s="251">
        <v>21.429515639157849</v>
      </c>
      <c r="AQ692" s="251">
        <v>22.178396562031647</v>
      </c>
      <c r="AR692" s="251">
        <v>24.972298466599327</v>
      </c>
      <c r="AS692" s="251">
        <v>27.737397258748686</v>
      </c>
      <c r="AT692" s="251">
        <v>33.181185505792861</v>
      </c>
      <c r="AU692" s="250">
        <v>2.6933218914681549</v>
      </c>
      <c r="AV692" s="250">
        <v>4.9761904761904798</v>
      </c>
      <c r="AW692" s="251">
        <v>5.3866437829363099</v>
      </c>
      <c r="AX692" s="251">
        <v>9.9523809523809597</v>
      </c>
      <c r="AY692" s="250">
        <v>8.4571428571428591</v>
      </c>
      <c r="AZ692" s="250">
        <v>9.0808571428571359</v>
      </c>
      <c r="BA692" s="250">
        <v>12.252285714285724</v>
      </c>
      <c r="BB692" s="250">
        <v>12.960571428571445</v>
      </c>
      <c r="BC692" s="250">
        <v>14.800000000000004</v>
      </c>
      <c r="BD692" s="251">
        <v>8.0392250563697676</v>
      </c>
      <c r="BE692" s="251">
        <v>7.7362571428571458</v>
      </c>
      <c r="BF692" s="251">
        <v>10.298651428571418</v>
      </c>
      <c r="BG692" s="251">
        <v>11.042800000000003</v>
      </c>
      <c r="BH692" s="251">
        <v>11.181771428571414</v>
      </c>
      <c r="BI692" s="250">
        <v>6.6766917293233146</v>
      </c>
      <c r="BJ692" s="250">
        <v>7.1690977443609079</v>
      </c>
      <c r="BK692" s="250">
        <v>9.6728571428571417</v>
      </c>
      <c r="BL692" s="250">
        <v>10.232030075187984</v>
      </c>
      <c r="BM692" s="250">
        <v>11.684210526315779</v>
      </c>
      <c r="BN692" s="251">
        <v>7.2065910326743374</v>
      </c>
      <c r="BO692" s="251">
        <v>6.9350019387755175</v>
      </c>
      <c r="BP692" s="251">
        <v>9.232005387755116</v>
      </c>
      <c r="BQ692" s="251">
        <v>9.8990814285714137</v>
      </c>
      <c r="BR692" s="251">
        <v>10.023659387755091</v>
      </c>
      <c r="BS692" s="250">
        <v>3.494135338345862</v>
      </c>
      <c r="BT692" s="250">
        <v>3.7518278195488732</v>
      </c>
      <c r="BU692" s="250">
        <v>5.0621285714285689</v>
      </c>
      <c r="BV692" s="250">
        <v>5.3547624060150305</v>
      </c>
      <c r="BW692" s="250">
        <v>6.1147368421052608</v>
      </c>
      <c r="BX692" s="251">
        <v>10.694545109110022</v>
      </c>
      <c r="BY692" s="251">
        <v>11.483267810906874</v>
      </c>
      <c r="BZ692" s="251">
        <v>12.991966806143333</v>
      </c>
      <c r="CA692" s="251">
        <v>16.001295152988146</v>
      </c>
      <c r="CB692" s="251">
        <v>18.704528576505975</v>
      </c>
      <c r="CC692" s="250">
        <v>3.7714493070995712</v>
      </c>
      <c r="CD692" s="250">
        <v>3.6293176812925152</v>
      </c>
      <c r="CE692" s="250">
        <v>4.8314161529251667</v>
      </c>
      <c r="CF692" s="250">
        <v>5.1805192809523755</v>
      </c>
      <c r="CG692" s="250">
        <v>5.2457150795918279</v>
      </c>
      <c r="CH692" s="251">
        <v>11.141064045547338</v>
      </c>
      <c r="CI692" s="251">
        <v>10.700622212107824</v>
      </c>
      <c r="CJ692" s="251">
        <v>11.724567097953154</v>
      </c>
      <c r="CK692" s="251">
        <v>13.270506949738982</v>
      </c>
      <c r="CL692" s="251">
        <v>15.695545635537592</v>
      </c>
      <c r="CM692" s="250">
        <v>22.436108620510517</v>
      </c>
      <c r="CN692" s="250">
        <v>24.090771631273185</v>
      </c>
      <c r="CO692" s="250">
        <v>27.255874418482513</v>
      </c>
      <c r="CP692" s="250">
        <v>33.569150670604458</v>
      </c>
      <c r="CQ692" s="250">
        <v>39.240269740921562</v>
      </c>
      <c r="CR692" s="251">
        <v>15.693604629831277</v>
      </c>
      <c r="CS692" s="251">
        <v>17.883217011716948</v>
      </c>
      <c r="CT692" s="251">
        <v>24.603564496920256</v>
      </c>
      <c r="CU692" s="251">
        <v>28.034763413400793</v>
      </c>
      <c r="CV692" s="251">
        <v>33.323736302675464</v>
      </c>
      <c r="CW692" s="251">
        <v>37.701053298471514</v>
      </c>
      <c r="CX692" s="251">
        <v>48.034699077146541</v>
      </c>
      <c r="CY692" s="251">
        <v>52.549741079509865</v>
      </c>
      <c r="CZ692" s="251">
        <v>57.046090596092959</v>
      </c>
      <c r="DA692" s="250">
        <v>12.648576865834166</v>
      </c>
      <c r="DB692" s="250">
        <v>14.413339084070381</v>
      </c>
      <c r="DC692" s="250">
        <v>19.82973854975663</v>
      </c>
      <c r="DD692" s="250">
        <v>22.595182452591672</v>
      </c>
      <c r="DE692" s="250">
        <v>26.857936721559327</v>
      </c>
      <c r="DF692" s="250">
        <v>34.268161257595423</v>
      </c>
      <c r="DG692" s="250">
        <v>43.660870716374951</v>
      </c>
      <c r="DH692" s="250">
        <v>49.394502873163368</v>
      </c>
      <c r="DI692" s="250">
        <v>53.620878580316166</v>
      </c>
      <c r="DJ692" s="251">
        <v>6.5175315386202728</v>
      </c>
      <c r="DK692" s="251">
        <v>7.4268744265611604</v>
      </c>
      <c r="DL692" s="251">
        <v>10.217825117522388</v>
      </c>
      <c r="DM692" s="251">
        <v>11.642797116048019</v>
      </c>
      <c r="DN692" s="251">
        <v>13.839299986219174</v>
      </c>
      <c r="DO692" s="251">
        <v>15.450421507412216</v>
      </c>
      <c r="DP692" s="251">
        <v>19.685294780708524</v>
      </c>
      <c r="DQ692" s="251">
        <v>21.677658274500953</v>
      </c>
      <c r="DR692" s="251">
        <v>23.532478608548434</v>
      </c>
      <c r="DS692" s="250">
        <v>44.357482666025341</v>
      </c>
      <c r="DT692" s="250">
        <v>50.546353582920119</v>
      </c>
      <c r="DU692" s="250">
        <v>69.54120556982005</v>
      </c>
      <c r="DV692" s="250">
        <v>79.239381995914002</v>
      </c>
      <c r="DW692" s="250">
        <v>94.18849845390919</v>
      </c>
      <c r="DX692" s="251">
        <v>21.114299546874296</v>
      </c>
      <c r="DY692" s="251">
        <v>29.245875060771027</v>
      </c>
      <c r="DZ692" s="251">
        <v>40.533708760704798</v>
      </c>
      <c r="EA692" s="250">
        <v>14.941498607151939</v>
      </c>
      <c r="EB692" s="250">
        <v>20.695794360374091</v>
      </c>
      <c r="EC692" s="250">
        <v>28.683610917153551</v>
      </c>
      <c r="ED692" s="251">
        <v>8.7193609482349768</v>
      </c>
      <c r="EE692" s="251">
        <v>12.077376298263061</v>
      </c>
      <c r="EF692" s="251">
        <v>16.738799999999983</v>
      </c>
      <c r="EG692" s="250">
        <v>57.950512252997207</v>
      </c>
      <c r="EH692" s="250">
        <v>80.268513634388214</v>
      </c>
      <c r="EI692" s="250">
        <v>111.24921198460412</v>
      </c>
    </row>
    <row r="693" spans="1:139">
      <c r="A693" s="248">
        <v>1989</v>
      </c>
      <c r="B693" s="251">
        <v>8.4909744000000025</v>
      </c>
      <c r="C693" s="251">
        <v>8.7877020000000083</v>
      </c>
      <c r="D693" s="251">
        <v>9.8947241999999953</v>
      </c>
      <c r="E693" s="251">
        <v>10.990333799999991</v>
      </c>
      <c r="F693" s="251">
        <v>13.147315200000007</v>
      </c>
      <c r="G693" s="250">
        <v>8.0127802371053924</v>
      </c>
      <c r="H693" s="250">
        <v>7.7108089285714314</v>
      </c>
      <c r="I693" s="250">
        <v>8.1725592857142697</v>
      </c>
      <c r="J693" s="250">
        <v>10.047155357142866</v>
      </c>
      <c r="K693" s="250">
        <v>11.144989285714271</v>
      </c>
      <c r="L693" s="251">
        <v>6.3561654135338337</v>
      </c>
      <c r="M693" s="251">
        <v>6.5782894736842055</v>
      </c>
      <c r="N693" s="251">
        <v>7.406983082706768</v>
      </c>
      <c r="O693" s="251">
        <v>8.2271334586466036</v>
      </c>
      <c r="P693" s="251">
        <v>9.8418045112781911</v>
      </c>
      <c r="Q693" s="250">
        <v>7.1828851411194874</v>
      </c>
      <c r="R693" s="250">
        <v>6.9121894323979669</v>
      </c>
      <c r="S693" s="250">
        <v>7.3261156454081693</v>
      </c>
      <c r="T693" s="250">
        <v>9.0065571237245052</v>
      </c>
      <c r="U693" s="250">
        <v>9.9906868239795799</v>
      </c>
      <c r="V693" s="251">
        <v>3.326393233082706</v>
      </c>
      <c r="W693" s="251">
        <v>3.4426381578947343</v>
      </c>
      <c r="X693" s="251">
        <v>3.8763211466165419</v>
      </c>
      <c r="Y693" s="251">
        <v>4.3055331766917329</v>
      </c>
      <c r="Z693" s="251">
        <v>5.150544360902253</v>
      </c>
      <c r="AA693" s="250">
        <v>10.181134683432809</v>
      </c>
      <c r="AB693" s="250">
        <v>10.536927024520519</v>
      </c>
      <c r="AC693" s="250">
        <v>11.86430614319387</v>
      </c>
      <c r="AD693" s="250">
        <v>13.178000941056162</v>
      </c>
      <c r="AE693" s="250">
        <v>15.764337574347572</v>
      </c>
      <c r="AF693" s="251">
        <v>3.7590432238525331</v>
      </c>
      <c r="AG693" s="251">
        <v>3.6173791362882635</v>
      </c>
      <c r="AH693" s="251">
        <v>3.8340005210969421</v>
      </c>
      <c r="AI693" s="251">
        <v>4.7134315614158098</v>
      </c>
      <c r="AJ693" s="251">
        <v>5.2284594378826439</v>
      </c>
      <c r="AK693" s="250">
        <v>11.104415808555407</v>
      </c>
      <c r="AL693" s="250">
        <v>10.665422796936417</v>
      </c>
      <c r="AM693" s="250">
        <v>11.685999443025676</v>
      </c>
      <c r="AN693" s="250">
        <v>13.226853966351683</v>
      </c>
      <c r="AO693" s="250">
        <v>15.643915551210165</v>
      </c>
      <c r="AP693" s="251">
        <v>21.35902381139746</v>
      </c>
      <c r="AQ693" s="251">
        <v>22.105441310182858</v>
      </c>
      <c r="AR693" s="251">
        <v>24.890152747959199</v>
      </c>
      <c r="AS693" s="251">
        <v>27.646155820397539</v>
      </c>
      <c r="AT693" s="251">
        <v>33.07203686926065</v>
      </c>
      <c r="AU693" s="250">
        <v>2.6844622799830624</v>
      </c>
      <c r="AV693" s="250">
        <v>4.9598214285714324</v>
      </c>
      <c r="AW693" s="251">
        <v>5.3689245599661248</v>
      </c>
      <c r="AX693" s="251">
        <v>9.9196428571428648</v>
      </c>
      <c r="AY693" s="250">
        <v>8.4380952380952401</v>
      </c>
      <c r="AZ693" s="250">
        <v>9.0604047619047545</v>
      </c>
      <c r="BA693" s="250">
        <v>12.224690476190487</v>
      </c>
      <c r="BB693" s="250">
        <v>12.93138095238097</v>
      </c>
      <c r="BC693" s="250">
        <v>14.766666666666671</v>
      </c>
      <c r="BD693" s="251">
        <v>8.0127802371053924</v>
      </c>
      <c r="BE693" s="251">
        <v>7.7108089285714314</v>
      </c>
      <c r="BF693" s="251">
        <v>10.264774285714275</v>
      </c>
      <c r="BG693" s="251">
        <v>11.006475000000004</v>
      </c>
      <c r="BH693" s="251">
        <v>11.144989285714271</v>
      </c>
      <c r="BI693" s="250">
        <v>6.6616541353383525</v>
      </c>
      <c r="BJ693" s="250">
        <v>7.1529511278195548</v>
      </c>
      <c r="BK693" s="250">
        <v>9.6510714285714272</v>
      </c>
      <c r="BL693" s="250">
        <v>10.20898496240603</v>
      </c>
      <c r="BM693" s="250">
        <v>11.657894736842094</v>
      </c>
      <c r="BN693" s="251">
        <v>7.1828851411194874</v>
      </c>
      <c r="BO693" s="251">
        <v>6.9121894323979669</v>
      </c>
      <c r="BP693" s="251">
        <v>9.2016369489796066</v>
      </c>
      <c r="BQ693" s="251">
        <v>9.8665186607142701</v>
      </c>
      <c r="BR693" s="251">
        <v>9.9906868239795799</v>
      </c>
      <c r="BS693" s="250">
        <v>3.4862656641603982</v>
      </c>
      <c r="BT693" s="250">
        <v>3.7433777568922317</v>
      </c>
      <c r="BU693" s="250">
        <v>5.0507273809523783</v>
      </c>
      <c r="BV693" s="250">
        <v>5.3427021303258071</v>
      </c>
      <c r="BW693" s="250">
        <v>6.1009649122806993</v>
      </c>
      <c r="BX693" s="251">
        <v>10.670458295801216</v>
      </c>
      <c r="BY693" s="251">
        <v>11.457404595116543</v>
      </c>
      <c r="BZ693" s="251">
        <v>12.96270561964301</v>
      </c>
      <c r="CA693" s="251">
        <v>15.965256199940875</v>
      </c>
      <c r="CB693" s="251">
        <v>18.662401259892224</v>
      </c>
      <c r="CC693" s="250">
        <v>3.7590432238525331</v>
      </c>
      <c r="CD693" s="250">
        <v>3.6173791362882635</v>
      </c>
      <c r="CE693" s="250">
        <v>4.8155233366326495</v>
      </c>
      <c r="CF693" s="250">
        <v>5.1634780991071372</v>
      </c>
      <c r="CG693" s="250">
        <v>5.2284594378826439</v>
      </c>
      <c r="CH693" s="251">
        <v>11.104415808555407</v>
      </c>
      <c r="CI693" s="251">
        <v>10.665422796936417</v>
      </c>
      <c r="CJ693" s="251">
        <v>11.685999443025676</v>
      </c>
      <c r="CK693" s="251">
        <v>13.226853966351683</v>
      </c>
      <c r="CL693" s="251">
        <v>15.643915551210165</v>
      </c>
      <c r="CM693" s="250">
        <v>22.385576844338196</v>
      </c>
      <c r="CN693" s="250">
        <v>24.036513136608157</v>
      </c>
      <c r="CO693" s="250">
        <v>27.194487313936381</v>
      </c>
      <c r="CP693" s="250">
        <v>33.493544475400391</v>
      </c>
      <c r="CQ693" s="250">
        <v>39.151890755018584</v>
      </c>
      <c r="CR693" s="251">
        <v>15.658258673457784</v>
      </c>
      <c r="CS693" s="251">
        <v>17.842939495924792</v>
      </c>
      <c r="CT693" s="251">
        <v>24.548151063368636</v>
      </c>
      <c r="CU693" s="251">
        <v>27.971622054361603</v>
      </c>
      <c r="CV693" s="251">
        <v>33.248682842534301</v>
      </c>
      <c r="CW693" s="251">
        <v>37.657417820116798</v>
      </c>
      <c r="CX693" s="251">
        <v>47.979103360622069</v>
      </c>
      <c r="CY693" s="251">
        <v>52.488919619927096</v>
      </c>
      <c r="CZ693" s="251">
        <v>56.980065028273408</v>
      </c>
      <c r="DA693" s="250">
        <v>12.620089080100305</v>
      </c>
      <c r="DB693" s="250">
        <v>14.380876608655809</v>
      </c>
      <c r="DC693" s="250">
        <v>19.785076976446369</v>
      </c>
      <c r="DD693" s="250">
        <v>22.544292402022773</v>
      </c>
      <c r="DE693" s="250">
        <v>26.797445873087344</v>
      </c>
      <c r="DF693" s="250">
        <v>34.22849903391765</v>
      </c>
      <c r="DG693" s="250">
        <v>43.610337301193965</v>
      </c>
      <c r="DH693" s="250">
        <v>49.337333309652763</v>
      </c>
      <c r="DI693" s="250">
        <v>53.558817378255618</v>
      </c>
      <c r="DJ693" s="251">
        <v>6.5028524135332901</v>
      </c>
      <c r="DK693" s="251">
        <v>7.410147231906743</v>
      </c>
      <c r="DL693" s="251">
        <v>10.194811997888328</v>
      </c>
      <c r="DM693" s="251">
        <v>11.616574600020884</v>
      </c>
      <c r="DN693" s="251">
        <v>13.808130391655618</v>
      </c>
      <c r="DO693" s="251">
        <v>15.43253907511197</v>
      </c>
      <c r="DP693" s="251">
        <v>19.662510874712332</v>
      </c>
      <c r="DQ693" s="251">
        <v>21.652568392238798</v>
      </c>
      <c r="DR693" s="251">
        <v>23.505241943492244</v>
      </c>
      <c r="DS693" s="250">
        <v>44.257578425786548</v>
      </c>
      <c r="DT693" s="250">
        <v>50.432510444219851</v>
      </c>
      <c r="DU693" s="250">
        <v>69.384581232951092</v>
      </c>
      <c r="DV693" s="250">
        <v>79.060914919346629</v>
      </c>
      <c r="DW693" s="250">
        <v>93.976362196130111</v>
      </c>
      <c r="DX693" s="251">
        <v>21.06674481816512</v>
      </c>
      <c r="DY693" s="251">
        <v>29.180005972796316</v>
      </c>
      <c r="DZ693" s="251">
        <v>40.44241662385636</v>
      </c>
      <c r="EA693" s="250">
        <v>14.907846583261957</v>
      </c>
      <c r="EB693" s="250">
        <v>20.649182210913789</v>
      </c>
      <c r="EC693" s="250">
        <v>28.619008189862665</v>
      </c>
      <c r="ED693" s="251">
        <v>8.6997227479011148</v>
      </c>
      <c r="EE693" s="251">
        <v>12.050175000294001</v>
      </c>
      <c r="EF693" s="251">
        <v>16.701099999999983</v>
      </c>
      <c r="EG693" s="250">
        <v>57.819993081256222</v>
      </c>
      <c r="EH693" s="250">
        <v>80.087728693770217</v>
      </c>
      <c r="EI693" s="250">
        <v>110.99865069635051</v>
      </c>
    </row>
    <row r="694" spans="1:139">
      <c r="A694" s="248">
        <v>1990</v>
      </c>
      <c r="B694" s="251">
        <v>8.4875520000000026</v>
      </c>
      <c r="C694" s="251">
        <v>8.7841600000000088</v>
      </c>
      <c r="D694" s="251">
        <v>9.8907359999999951</v>
      </c>
      <c r="E694" s="251">
        <v>10.985903999999991</v>
      </c>
      <c r="F694" s="251">
        <v>13.142016000000007</v>
      </c>
      <c r="G694" s="250">
        <v>7.9863354178410182</v>
      </c>
      <c r="H694" s="250">
        <v>7.685360714285717</v>
      </c>
      <c r="I694" s="250">
        <v>8.145587142857126</v>
      </c>
      <c r="J694" s="250">
        <v>10.013996428571438</v>
      </c>
      <c r="K694" s="250">
        <v>11.108207142857127</v>
      </c>
      <c r="L694" s="251">
        <v>6.335187969924811</v>
      </c>
      <c r="M694" s="251">
        <v>6.5565789473684157</v>
      </c>
      <c r="N694" s="251">
        <v>7.3825375939849636</v>
      </c>
      <c r="O694" s="251">
        <v>8.1999812030075052</v>
      </c>
      <c r="P694" s="251">
        <v>9.8093233082706721</v>
      </c>
      <c r="Q694" s="250">
        <v>7.1591792495646374</v>
      </c>
      <c r="R694" s="250">
        <v>6.8893769260204163</v>
      </c>
      <c r="S694" s="250">
        <v>7.3019370459183737</v>
      </c>
      <c r="T694" s="250">
        <v>8.9768325127551183</v>
      </c>
      <c r="U694" s="250">
        <v>9.9577142602040691</v>
      </c>
      <c r="V694" s="251">
        <v>3.3154150375939841</v>
      </c>
      <c r="W694" s="251">
        <v>3.431276315789471</v>
      </c>
      <c r="X694" s="251">
        <v>3.8635280075187977</v>
      </c>
      <c r="Y694" s="251">
        <v>4.2913234962406053</v>
      </c>
      <c r="Z694" s="251">
        <v>5.1335458646616514</v>
      </c>
      <c r="AA694" s="250">
        <v>10.147533578867025</v>
      </c>
      <c r="AB694" s="250">
        <v>10.502151687805931</v>
      </c>
      <c r="AC694" s="250">
        <v>11.825150017308742</v>
      </c>
      <c r="AD694" s="250">
        <v>13.134509188775448</v>
      </c>
      <c r="AE694" s="250">
        <v>15.712310057600551</v>
      </c>
      <c r="AF694" s="251">
        <v>3.746637140605495</v>
      </c>
      <c r="AG694" s="251">
        <v>3.6054405912840117</v>
      </c>
      <c r="AH694" s="251">
        <v>3.8213470540306158</v>
      </c>
      <c r="AI694" s="251">
        <v>4.6978756816751632</v>
      </c>
      <c r="AJ694" s="251">
        <v>5.2112037961734599</v>
      </c>
      <c r="AK694" s="250">
        <v>11.067767571563476</v>
      </c>
      <c r="AL694" s="250">
        <v>10.63022338176501</v>
      </c>
      <c r="AM694" s="250">
        <v>11.647431788098197</v>
      </c>
      <c r="AN694" s="250">
        <v>13.183200982964385</v>
      </c>
      <c r="AO694" s="250">
        <v>15.592285466882739</v>
      </c>
      <c r="AP694" s="251">
        <v>21.288531983637071</v>
      </c>
      <c r="AQ694" s="251">
        <v>22.032486058334069</v>
      </c>
      <c r="AR694" s="251">
        <v>24.808007029319072</v>
      </c>
      <c r="AS694" s="251">
        <v>27.554914382046391</v>
      </c>
      <c r="AT694" s="251">
        <v>32.962888232728439</v>
      </c>
      <c r="AU694" s="250">
        <v>2.6756026684979699</v>
      </c>
      <c r="AV694" s="250">
        <v>4.9434523809523849</v>
      </c>
      <c r="AW694" s="251">
        <v>5.3512053369959398</v>
      </c>
      <c r="AX694" s="251">
        <v>9.8869047619047699</v>
      </c>
      <c r="AY694" s="250">
        <v>8.4190476190476211</v>
      </c>
      <c r="AZ694" s="250">
        <v>9.0399523809523732</v>
      </c>
      <c r="BA694" s="250">
        <v>12.197095238095249</v>
      </c>
      <c r="BB694" s="250">
        <v>12.902190476190494</v>
      </c>
      <c r="BC694" s="250">
        <v>14.733333333333338</v>
      </c>
      <c r="BD694" s="251">
        <v>7.9863354178410182</v>
      </c>
      <c r="BE694" s="251">
        <v>7.685360714285717</v>
      </c>
      <c r="BF694" s="251">
        <v>10.230897142857131</v>
      </c>
      <c r="BG694" s="251">
        <v>10.970150000000004</v>
      </c>
      <c r="BH694" s="251">
        <v>11.108207142857127</v>
      </c>
      <c r="BI694" s="250">
        <v>6.6466165413533904</v>
      </c>
      <c r="BJ694" s="250">
        <v>7.1368045112782017</v>
      </c>
      <c r="BK694" s="250">
        <v>9.6292857142857127</v>
      </c>
      <c r="BL694" s="250">
        <v>10.185939849624075</v>
      </c>
      <c r="BM694" s="250">
        <v>11.631578947368409</v>
      </c>
      <c r="BN694" s="251">
        <v>7.1591792495646374</v>
      </c>
      <c r="BO694" s="251">
        <v>6.8893769260204163</v>
      </c>
      <c r="BP694" s="251">
        <v>9.1712685102040972</v>
      </c>
      <c r="BQ694" s="251">
        <v>9.8339558928571265</v>
      </c>
      <c r="BR694" s="251">
        <v>9.9577142602040691</v>
      </c>
      <c r="BS694" s="250">
        <v>3.4783959899749344</v>
      </c>
      <c r="BT694" s="250">
        <v>3.7349276942355902</v>
      </c>
      <c r="BU694" s="250">
        <v>5.0393261904761877</v>
      </c>
      <c r="BV694" s="250">
        <v>5.3306418546365837</v>
      </c>
      <c r="BW694" s="250">
        <v>6.0871929824561377</v>
      </c>
      <c r="BX694" s="251">
        <v>10.646371482492411</v>
      </c>
      <c r="BY694" s="251">
        <v>11.431541379326212</v>
      </c>
      <c r="BZ694" s="251">
        <v>12.933444433142688</v>
      </c>
      <c r="CA694" s="251">
        <v>15.929217246893604</v>
      </c>
      <c r="CB694" s="251">
        <v>18.620273943278473</v>
      </c>
      <c r="CC694" s="250">
        <v>3.746637140605495</v>
      </c>
      <c r="CD694" s="250">
        <v>3.6054405912840117</v>
      </c>
      <c r="CE694" s="250">
        <v>4.7996305203401324</v>
      </c>
      <c r="CF694" s="250">
        <v>5.1464369172618989</v>
      </c>
      <c r="CG694" s="250">
        <v>5.2112037961734599</v>
      </c>
      <c r="CH694" s="251">
        <v>11.067767571563476</v>
      </c>
      <c r="CI694" s="251">
        <v>10.63022338176501</v>
      </c>
      <c r="CJ694" s="251">
        <v>11.647431788098197</v>
      </c>
      <c r="CK694" s="251">
        <v>13.183200982964385</v>
      </c>
      <c r="CL694" s="251">
        <v>15.592285466882739</v>
      </c>
      <c r="CM694" s="250">
        <v>22.335045068165876</v>
      </c>
      <c r="CN694" s="250">
        <v>23.982254641943129</v>
      </c>
      <c r="CO694" s="250">
        <v>27.13310020939025</v>
      </c>
      <c r="CP694" s="250">
        <v>33.417938280196324</v>
      </c>
      <c r="CQ694" s="250">
        <v>39.063511769115607</v>
      </c>
      <c r="CR694" s="251">
        <v>15.62291271708429</v>
      </c>
      <c r="CS694" s="251">
        <v>17.802661980132637</v>
      </c>
      <c r="CT694" s="251">
        <v>24.492737629817015</v>
      </c>
      <c r="CU694" s="251">
        <v>27.908480695322414</v>
      </c>
      <c r="CV694" s="251">
        <v>33.173629382393138</v>
      </c>
      <c r="CW694" s="251">
        <v>37.613782341762082</v>
      </c>
      <c r="CX694" s="251">
        <v>47.923507644097597</v>
      </c>
      <c r="CY694" s="251">
        <v>52.428098160344327</v>
      </c>
      <c r="CZ694" s="251">
        <v>56.914039460453857</v>
      </c>
      <c r="DA694" s="250">
        <v>12.591601294366445</v>
      </c>
      <c r="DB694" s="250">
        <v>14.348414133241237</v>
      </c>
      <c r="DC694" s="250">
        <v>19.740415403136108</v>
      </c>
      <c r="DD694" s="250">
        <v>22.493402351453874</v>
      </c>
      <c r="DE694" s="250">
        <v>26.736955024615362</v>
      </c>
      <c r="DF694" s="250">
        <v>34.188836810239877</v>
      </c>
      <c r="DG694" s="250">
        <v>43.559803886012979</v>
      </c>
      <c r="DH694" s="250">
        <v>49.280163746142158</v>
      </c>
      <c r="DI694" s="250">
        <v>53.496756176195071</v>
      </c>
      <c r="DJ694" s="251">
        <v>6.4881732884463075</v>
      </c>
      <c r="DK694" s="251">
        <v>7.3934200372523255</v>
      </c>
      <c r="DL694" s="251">
        <v>10.171798878254268</v>
      </c>
      <c r="DM694" s="251">
        <v>11.59035208399375</v>
      </c>
      <c r="DN694" s="251">
        <v>13.776960797092062</v>
      </c>
      <c r="DO694" s="251">
        <v>15.414656642811725</v>
      </c>
      <c r="DP694" s="251">
        <v>19.63972696871614</v>
      </c>
      <c r="DQ694" s="251">
        <v>21.627478509976644</v>
      </c>
      <c r="DR694" s="251">
        <v>23.478005278436054</v>
      </c>
      <c r="DS694" s="250">
        <v>44.157674185547755</v>
      </c>
      <c r="DT694" s="250">
        <v>50.318667305519583</v>
      </c>
      <c r="DU694" s="250">
        <v>69.227956896082134</v>
      </c>
      <c r="DV694" s="250">
        <v>78.882447842779257</v>
      </c>
      <c r="DW694" s="250">
        <v>93.764225938351032</v>
      </c>
      <c r="DX694" s="251">
        <v>21.019190089455943</v>
      </c>
      <c r="DY694" s="251">
        <v>29.114136884821605</v>
      </c>
      <c r="DZ694" s="251">
        <v>40.351124487007922</v>
      </c>
      <c r="EA694" s="250">
        <v>14.874194559371976</v>
      </c>
      <c r="EB694" s="250">
        <v>20.602570061453488</v>
      </c>
      <c r="EC694" s="250">
        <v>28.554405462571779</v>
      </c>
      <c r="ED694" s="251">
        <v>8.6800845475672528</v>
      </c>
      <c r="EE694" s="251">
        <v>12.02297370232494</v>
      </c>
      <c r="EF694" s="251">
        <v>16.663399999999982</v>
      </c>
      <c r="EG694" s="250">
        <v>57.689473909515236</v>
      </c>
      <c r="EH694" s="250">
        <v>79.90694375315222</v>
      </c>
      <c r="EI694" s="250">
        <v>110.7480894080969</v>
      </c>
    </row>
    <row r="695" spans="1:139">
      <c r="A695" s="248">
        <v>1991</v>
      </c>
      <c r="B695" s="251">
        <v>8.4841296000000028</v>
      </c>
      <c r="C695" s="251">
        <v>8.7806180000000094</v>
      </c>
      <c r="D695" s="251">
        <v>9.8867477999999949</v>
      </c>
      <c r="E695" s="251">
        <v>10.98147419999999</v>
      </c>
      <c r="F695" s="251">
        <v>13.136716800000007</v>
      </c>
      <c r="G695" s="250">
        <v>7.9598905985766439</v>
      </c>
      <c r="H695" s="250">
        <v>7.6599125000000026</v>
      </c>
      <c r="I695" s="250">
        <v>8.1186149999999824</v>
      </c>
      <c r="J695" s="250">
        <v>9.9808375000000105</v>
      </c>
      <c r="K695" s="250">
        <v>11.071424999999984</v>
      </c>
      <c r="L695" s="251">
        <v>6.3142105263157884</v>
      </c>
      <c r="M695" s="251">
        <v>6.534868421052626</v>
      </c>
      <c r="N695" s="251">
        <v>7.3580921052631592</v>
      </c>
      <c r="O695" s="251">
        <v>8.1728289473684068</v>
      </c>
      <c r="P695" s="251">
        <v>9.7768421052631531</v>
      </c>
      <c r="Q695" s="250">
        <v>7.1354733580097873</v>
      </c>
      <c r="R695" s="250">
        <v>6.8665644196428657</v>
      </c>
      <c r="S695" s="250">
        <v>7.2777584464285781</v>
      </c>
      <c r="T695" s="250">
        <v>8.9471079017857313</v>
      </c>
      <c r="U695" s="250">
        <v>9.9247416964285584</v>
      </c>
      <c r="V695" s="251">
        <v>3.3044368421052623</v>
      </c>
      <c r="W695" s="251">
        <v>3.4199144736842078</v>
      </c>
      <c r="X695" s="251">
        <v>3.8507348684210534</v>
      </c>
      <c r="Y695" s="251">
        <v>4.2771138157894777</v>
      </c>
      <c r="Z695" s="251">
        <v>5.1165473684210498</v>
      </c>
      <c r="AA695" s="250">
        <v>10.11393247430124</v>
      </c>
      <c r="AB695" s="250">
        <v>10.467376351091342</v>
      </c>
      <c r="AC695" s="250">
        <v>11.785993891423614</v>
      </c>
      <c r="AD695" s="250">
        <v>13.091017436494734</v>
      </c>
      <c r="AE695" s="250">
        <v>15.66028254085353</v>
      </c>
      <c r="AF695" s="251">
        <v>3.734231057358457</v>
      </c>
      <c r="AG695" s="251">
        <v>3.59350204627976</v>
      </c>
      <c r="AH695" s="251">
        <v>3.8086935869642895</v>
      </c>
      <c r="AI695" s="251">
        <v>4.6823198019345167</v>
      </c>
      <c r="AJ695" s="251">
        <v>5.1939481544642758</v>
      </c>
      <c r="AK695" s="250">
        <v>11.031119334571544</v>
      </c>
      <c r="AL695" s="250">
        <v>10.595023966593603</v>
      </c>
      <c r="AM695" s="250">
        <v>11.608864133170719</v>
      </c>
      <c r="AN695" s="250">
        <v>13.139547999577086</v>
      </c>
      <c r="AO695" s="250">
        <v>15.540655382555313</v>
      </c>
      <c r="AP695" s="251">
        <v>21.218040155876682</v>
      </c>
      <c r="AQ695" s="251">
        <v>21.959530806485279</v>
      </c>
      <c r="AR695" s="251">
        <v>24.725861310678944</v>
      </c>
      <c r="AS695" s="251">
        <v>27.463672943695244</v>
      </c>
      <c r="AT695" s="251">
        <v>32.853739596196228</v>
      </c>
      <c r="AU695" s="250">
        <v>2.6667430570128774</v>
      </c>
      <c r="AV695" s="250">
        <v>4.9270833333333375</v>
      </c>
      <c r="AW695" s="251">
        <v>5.3334861140257548</v>
      </c>
      <c r="AX695" s="251">
        <v>9.854166666666675</v>
      </c>
      <c r="AY695" s="250">
        <v>8.4000000000000021</v>
      </c>
      <c r="AZ695" s="250">
        <v>9.0194999999999919</v>
      </c>
      <c r="BA695" s="250">
        <v>12.169500000000012</v>
      </c>
      <c r="BB695" s="250">
        <v>12.873000000000019</v>
      </c>
      <c r="BC695" s="250">
        <v>14.700000000000005</v>
      </c>
      <c r="BD695" s="251">
        <v>7.9598905985766439</v>
      </c>
      <c r="BE695" s="251">
        <v>7.6599125000000026</v>
      </c>
      <c r="BF695" s="251">
        <v>10.197019999999988</v>
      </c>
      <c r="BG695" s="251">
        <v>10.933825000000004</v>
      </c>
      <c r="BH695" s="251">
        <v>11.071424999999984</v>
      </c>
      <c r="BI695" s="250">
        <v>6.6315789473684283</v>
      </c>
      <c r="BJ695" s="250">
        <v>7.1206578947368486</v>
      </c>
      <c r="BK695" s="250">
        <v>9.6074999999999982</v>
      </c>
      <c r="BL695" s="250">
        <v>10.162894736842121</v>
      </c>
      <c r="BM695" s="250">
        <v>11.605263157894724</v>
      </c>
      <c r="BN695" s="251">
        <v>7.1354733580097873</v>
      </c>
      <c r="BO695" s="251">
        <v>6.8665644196428657</v>
      </c>
      <c r="BP695" s="251">
        <v>9.1409000714285877</v>
      </c>
      <c r="BQ695" s="251">
        <v>9.8013931249999828</v>
      </c>
      <c r="BR695" s="251">
        <v>9.9247416964285584</v>
      </c>
      <c r="BS695" s="250">
        <v>3.4705263157894706</v>
      </c>
      <c r="BT695" s="250">
        <v>3.7264776315789487</v>
      </c>
      <c r="BU695" s="250">
        <v>5.0279249999999971</v>
      </c>
      <c r="BV695" s="250">
        <v>5.3185815789473603</v>
      </c>
      <c r="BW695" s="250">
        <v>6.0734210526315762</v>
      </c>
      <c r="BX695" s="251">
        <v>10.622284669183605</v>
      </c>
      <c r="BY695" s="251">
        <v>11.405678163535882</v>
      </c>
      <c r="BZ695" s="251">
        <v>12.904183246642365</v>
      </c>
      <c r="CA695" s="251">
        <v>15.893178293846333</v>
      </c>
      <c r="CB695" s="251">
        <v>18.578146626664722</v>
      </c>
      <c r="CC695" s="250">
        <v>3.734231057358457</v>
      </c>
      <c r="CD695" s="250">
        <v>3.59350204627976</v>
      </c>
      <c r="CE695" s="250">
        <v>4.7837377040476152</v>
      </c>
      <c r="CF695" s="250">
        <v>5.1293957354166606</v>
      </c>
      <c r="CG695" s="250">
        <v>5.1939481544642758</v>
      </c>
      <c r="CH695" s="251">
        <v>11.031119334571544</v>
      </c>
      <c r="CI695" s="251">
        <v>10.595023966593603</v>
      </c>
      <c r="CJ695" s="251">
        <v>11.608864133170719</v>
      </c>
      <c r="CK695" s="251">
        <v>13.139547999577086</v>
      </c>
      <c r="CL695" s="251">
        <v>15.540655382555313</v>
      </c>
      <c r="CM695" s="250">
        <v>22.284513291993555</v>
      </c>
      <c r="CN695" s="250">
        <v>23.927996147278101</v>
      </c>
      <c r="CO695" s="250">
        <v>27.071713104844118</v>
      </c>
      <c r="CP695" s="250">
        <v>33.342332084992258</v>
      </c>
      <c r="CQ695" s="250">
        <v>38.975132783212629</v>
      </c>
      <c r="CR695" s="251">
        <v>15.587566760710796</v>
      </c>
      <c r="CS695" s="251">
        <v>17.762384464340482</v>
      </c>
      <c r="CT695" s="251">
        <v>24.437324196265394</v>
      </c>
      <c r="CU695" s="251">
        <v>27.845339336283224</v>
      </c>
      <c r="CV695" s="251">
        <v>33.098575922251975</v>
      </c>
      <c r="CW695" s="251">
        <v>37.570146863407366</v>
      </c>
      <c r="CX695" s="251">
        <v>47.867911927573125</v>
      </c>
      <c r="CY695" s="251">
        <v>52.367276700761558</v>
      </c>
      <c r="CZ695" s="251">
        <v>56.848013892634306</v>
      </c>
      <c r="DA695" s="250">
        <v>12.563113508632584</v>
      </c>
      <c r="DB695" s="250">
        <v>14.315951657826664</v>
      </c>
      <c r="DC695" s="250">
        <v>19.695753829825847</v>
      </c>
      <c r="DD695" s="250">
        <v>22.442512300884975</v>
      </c>
      <c r="DE695" s="250">
        <v>26.67646417614338</v>
      </c>
      <c r="DF695" s="250">
        <v>34.149174586562104</v>
      </c>
      <c r="DG695" s="250">
        <v>43.509270470831993</v>
      </c>
      <c r="DH695" s="250">
        <v>49.222994182631552</v>
      </c>
      <c r="DI695" s="250">
        <v>53.434694974134523</v>
      </c>
      <c r="DJ695" s="251">
        <v>6.4734941633593248</v>
      </c>
      <c r="DK695" s="251">
        <v>7.3766928425979081</v>
      </c>
      <c r="DL695" s="251">
        <v>10.148785758620209</v>
      </c>
      <c r="DM695" s="251">
        <v>11.564129567966615</v>
      </c>
      <c r="DN695" s="251">
        <v>13.745791202528507</v>
      </c>
      <c r="DO695" s="251">
        <v>15.396774210511479</v>
      </c>
      <c r="DP695" s="251">
        <v>19.616943062719947</v>
      </c>
      <c r="DQ695" s="251">
        <v>21.60238862771449</v>
      </c>
      <c r="DR695" s="251">
        <v>23.450768613379864</v>
      </c>
      <c r="DS695" s="250">
        <v>44.057769945308962</v>
      </c>
      <c r="DT695" s="250">
        <v>50.204824166819314</v>
      </c>
      <c r="DU695" s="250">
        <v>69.071332559213175</v>
      </c>
      <c r="DV695" s="250">
        <v>78.703980766211885</v>
      </c>
      <c r="DW695" s="250">
        <v>93.552089680571953</v>
      </c>
      <c r="DX695" s="251">
        <v>20.971635360746767</v>
      </c>
      <c r="DY695" s="251">
        <v>29.048267796846893</v>
      </c>
      <c r="DZ695" s="251">
        <v>40.259832350159485</v>
      </c>
      <c r="EA695" s="250">
        <v>14.840542535481994</v>
      </c>
      <c r="EB695" s="250">
        <v>20.555957911993186</v>
      </c>
      <c r="EC695" s="250">
        <v>28.489802735280893</v>
      </c>
      <c r="ED695" s="251">
        <v>8.6604463472333908</v>
      </c>
      <c r="EE695" s="251">
        <v>11.995772404355879</v>
      </c>
      <c r="EF695" s="251">
        <v>16.625699999999981</v>
      </c>
      <c r="EG695" s="250">
        <v>57.558954737774251</v>
      </c>
      <c r="EH695" s="250">
        <v>79.726158812534223</v>
      </c>
      <c r="EI695" s="250">
        <v>110.4975281198433</v>
      </c>
    </row>
    <row r="696" spans="1:139">
      <c r="A696" s="248">
        <v>1992</v>
      </c>
      <c r="B696" s="251">
        <v>8.480707200000003</v>
      </c>
      <c r="C696" s="251">
        <v>8.7770760000000099</v>
      </c>
      <c r="D696" s="251">
        <v>9.8827595999999946</v>
      </c>
      <c r="E696" s="251">
        <v>10.97704439999999</v>
      </c>
      <c r="F696" s="251">
        <v>13.131417600000008</v>
      </c>
      <c r="G696" s="250">
        <v>7.9334457793122697</v>
      </c>
      <c r="H696" s="250">
        <v>7.6344642857142881</v>
      </c>
      <c r="I696" s="250">
        <v>8.0916428571428387</v>
      </c>
      <c r="J696" s="250">
        <v>9.9476785714285825</v>
      </c>
      <c r="K696" s="250">
        <v>11.03464285714284</v>
      </c>
      <c r="L696" s="251">
        <v>6.2932330827067657</v>
      </c>
      <c r="M696" s="251">
        <v>6.5131578947368363</v>
      </c>
      <c r="N696" s="251">
        <v>7.3336466165413547</v>
      </c>
      <c r="O696" s="251">
        <v>8.1456766917293084</v>
      </c>
      <c r="P696" s="251">
        <v>9.7443609022556341</v>
      </c>
      <c r="Q696" s="250">
        <v>7.1117674664549373</v>
      </c>
      <c r="R696" s="250">
        <v>6.8437519132653151</v>
      </c>
      <c r="S696" s="250">
        <v>7.2535798469387824</v>
      </c>
      <c r="T696" s="250">
        <v>8.9173832908163444</v>
      </c>
      <c r="U696" s="250">
        <v>9.8917691326530477</v>
      </c>
      <c r="V696" s="251">
        <v>3.2934586466165405</v>
      </c>
      <c r="W696" s="251">
        <v>3.4085526315789445</v>
      </c>
      <c r="X696" s="251">
        <v>3.8379417293233091</v>
      </c>
      <c r="Y696" s="251">
        <v>4.2629041353383501</v>
      </c>
      <c r="Z696" s="251">
        <v>5.0995488721804483</v>
      </c>
      <c r="AA696" s="250">
        <v>10.080331369735456</v>
      </c>
      <c r="AB696" s="250">
        <v>10.432601014376754</v>
      </c>
      <c r="AC696" s="250">
        <v>11.746837765538485</v>
      </c>
      <c r="AD696" s="250">
        <v>13.047525684214021</v>
      </c>
      <c r="AE696" s="250">
        <v>15.608255024106509</v>
      </c>
      <c r="AF696" s="251">
        <v>3.7218249741114189</v>
      </c>
      <c r="AG696" s="251">
        <v>3.5815635012755083</v>
      </c>
      <c r="AH696" s="251">
        <v>3.7960401198979632</v>
      </c>
      <c r="AI696" s="251">
        <v>4.6667639221938702</v>
      </c>
      <c r="AJ696" s="251">
        <v>5.1766925127550918</v>
      </c>
      <c r="AK696" s="250">
        <v>10.994471097579613</v>
      </c>
      <c r="AL696" s="250">
        <v>10.559824551422196</v>
      </c>
      <c r="AM696" s="250">
        <v>11.570296478243241</v>
      </c>
      <c r="AN696" s="250">
        <v>13.095895016189788</v>
      </c>
      <c r="AO696" s="250">
        <v>15.489025298227887</v>
      </c>
      <c r="AP696" s="251">
        <v>21.147548328116294</v>
      </c>
      <c r="AQ696" s="251">
        <v>21.88657555463649</v>
      </c>
      <c r="AR696" s="251">
        <v>24.643715592038816</v>
      </c>
      <c r="AS696" s="251">
        <v>27.372431505344096</v>
      </c>
      <c r="AT696" s="251">
        <v>32.744590959664016</v>
      </c>
      <c r="AU696" s="250">
        <v>2.6578834455277849</v>
      </c>
      <c r="AV696" s="250">
        <v>4.91071428571429</v>
      </c>
      <c r="AW696" s="251">
        <v>5.3157668910555698</v>
      </c>
      <c r="AX696" s="251">
        <v>9.8214285714285801</v>
      </c>
      <c r="AY696" s="250">
        <v>8.3809523809523832</v>
      </c>
      <c r="AZ696" s="250">
        <v>8.9990476190476105</v>
      </c>
      <c r="BA696" s="250">
        <v>12.141904761904774</v>
      </c>
      <c r="BB696" s="250">
        <v>12.843809523809544</v>
      </c>
      <c r="BC696" s="250">
        <v>14.666666666666671</v>
      </c>
      <c r="BD696" s="251">
        <v>7.9334457793122697</v>
      </c>
      <c r="BE696" s="251">
        <v>7.6344642857142881</v>
      </c>
      <c r="BF696" s="251">
        <v>10.163142857142844</v>
      </c>
      <c r="BG696" s="251">
        <v>10.897500000000004</v>
      </c>
      <c r="BH696" s="251">
        <v>11.03464285714284</v>
      </c>
      <c r="BI696" s="250">
        <v>6.6165413533834663</v>
      </c>
      <c r="BJ696" s="250">
        <v>7.1045112781954955</v>
      </c>
      <c r="BK696" s="250">
        <v>9.5857142857142836</v>
      </c>
      <c r="BL696" s="250">
        <v>10.139849624060167</v>
      </c>
      <c r="BM696" s="250">
        <v>11.578947368421039</v>
      </c>
      <c r="BN696" s="251">
        <v>7.1117674664549373</v>
      </c>
      <c r="BO696" s="251">
        <v>6.8437519132653151</v>
      </c>
      <c r="BP696" s="251">
        <v>9.1105316326530783</v>
      </c>
      <c r="BQ696" s="251">
        <v>9.7688303571428392</v>
      </c>
      <c r="BR696" s="251">
        <v>9.8917691326530477</v>
      </c>
      <c r="BS696" s="250">
        <v>3.4626566416040068</v>
      </c>
      <c r="BT696" s="250">
        <v>3.7180275689223072</v>
      </c>
      <c r="BU696" s="250">
        <v>5.0165238095238065</v>
      </c>
      <c r="BV696" s="250">
        <v>5.3065213032581369</v>
      </c>
      <c r="BW696" s="250">
        <v>6.0596491228070146</v>
      </c>
      <c r="BX696" s="251">
        <v>10.598197855874799</v>
      </c>
      <c r="BY696" s="251">
        <v>11.379814947745551</v>
      </c>
      <c r="BZ696" s="251">
        <v>12.874922060142042</v>
      </c>
      <c r="CA696" s="251">
        <v>15.857139340799062</v>
      </c>
      <c r="CB696" s="251">
        <v>18.536019310050971</v>
      </c>
      <c r="CC696" s="250">
        <v>3.7218249741114189</v>
      </c>
      <c r="CD696" s="250">
        <v>3.5815635012755083</v>
      </c>
      <c r="CE696" s="250">
        <v>4.7678448877550981</v>
      </c>
      <c r="CF696" s="250">
        <v>5.1123545535714223</v>
      </c>
      <c r="CG696" s="250">
        <v>5.1766925127550918</v>
      </c>
      <c r="CH696" s="251">
        <v>10.994471097579613</v>
      </c>
      <c r="CI696" s="251">
        <v>10.559824551422196</v>
      </c>
      <c r="CJ696" s="251">
        <v>11.570296478243241</v>
      </c>
      <c r="CK696" s="251">
        <v>13.095895016189788</v>
      </c>
      <c r="CL696" s="251">
        <v>15.489025298227887</v>
      </c>
      <c r="CM696" s="250">
        <v>22.233981515821235</v>
      </c>
      <c r="CN696" s="250">
        <v>23.873737652613073</v>
      </c>
      <c r="CO696" s="250">
        <v>27.010326000297987</v>
      </c>
      <c r="CP696" s="250">
        <v>33.266725889788191</v>
      </c>
      <c r="CQ696" s="250">
        <v>38.886753797309652</v>
      </c>
      <c r="CR696" s="251">
        <v>15.552220804337303</v>
      </c>
      <c r="CS696" s="251">
        <v>17.722106948548326</v>
      </c>
      <c r="CT696" s="251">
        <v>24.381910762713773</v>
      </c>
      <c r="CU696" s="251">
        <v>27.782197977244035</v>
      </c>
      <c r="CV696" s="251">
        <v>33.023522462110812</v>
      </c>
      <c r="CW696" s="251">
        <v>37.52651138505265</v>
      </c>
      <c r="CX696" s="251">
        <v>47.812316211048653</v>
      </c>
      <c r="CY696" s="251">
        <v>52.306455241178789</v>
      </c>
      <c r="CZ696" s="251">
        <v>56.781988324814755</v>
      </c>
      <c r="DA696" s="250">
        <v>12.534625722898724</v>
      </c>
      <c r="DB696" s="250">
        <v>14.283489182412092</v>
      </c>
      <c r="DC696" s="250">
        <v>19.651092256515586</v>
      </c>
      <c r="DD696" s="250">
        <v>22.391622250316075</v>
      </c>
      <c r="DE696" s="250">
        <v>26.615973327671398</v>
      </c>
      <c r="DF696" s="250">
        <v>34.109512362884331</v>
      </c>
      <c r="DG696" s="250">
        <v>43.458737055651007</v>
      </c>
      <c r="DH696" s="250">
        <v>49.165824619120947</v>
      </c>
      <c r="DI696" s="250">
        <v>53.372633772073975</v>
      </c>
      <c r="DJ696" s="251">
        <v>6.4588150382723422</v>
      </c>
      <c r="DK696" s="251">
        <v>7.3599656479434907</v>
      </c>
      <c r="DL696" s="251">
        <v>10.125772638986149</v>
      </c>
      <c r="DM696" s="251">
        <v>11.537907051939481</v>
      </c>
      <c r="DN696" s="251">
        <v>13.714621607964951</v>
      </c>
      <c r="DO696" s="251">
        <v>15.378891778211234</v>
      </c>
      <c r="DP696" s="251">
        <v>19.594159156723755</v>
      </c>
      <c r="DQ696" s="251">
        <v>21.577298745452335</v>
      </c>
      <c r="DR696" s="251">
        <v>23.423531948323674</v>
      </c>
      <c r="DS696" s="250">
        <v>43.957865705070169</v>
      </c>
      <c r="DT696" s="250">
        <v>50.090981028119046</v>
      </c>
      <c r="DU696" s="250">
        <v>68.914708222344217</v>
      </c>
      <c r="DV696" s="250">
        <v>78.525513689644512</v>
      </c>
      <c r="DW696" s="250">
        <v>93.339953422792874</v>
      </c>
      <c r="DX696" s="251">
        <v>20.92408063203759</v>
      </c>
      <c r="DY696" s="251">
        <v>28.982398708872182</v>
      </c>
      <c r="DZ696" s="251">
        <v>40.168540213311047</v>
      </c>
      <c r="EA696" s="250">
        <v>14.806890511592012</v>
      </c>
      <c r="EB696" s="250">
        <v>20.509345762532885</v>
      </c>
      <c r="EC696" s="250">
        <v>28.425200007990007</v>
      </c>
      <c r="ED696" s="251">
        <v>8.6408081468995288</v>
      </c>
      <c r="EE696" s="251">
        <v>11.968571106386818</v>
      </c>
      <c r="EF696" s="251">
        <v>16.58799999999998</v>
      </c>
      <c r="EG696" s="250">
        <v>57.428435566033265</v>
      </c>
      <c r="EH696" s="250">
        <v>79.545373871916226</v>
      </c>
      <c r="EI696" s="250">
        <v>110.24696683158969</v>
      </c>
    </row>
    <row r="697" spans="1:139">
      <c r="A697" s="248">
        <v>1993</v>
      </c>
      <c r="B697" s="251">
        <v>8.4772848000000032</v>
      </c>
      <c r="C697" s="251">
        <v>8.7735340000000104</v>
      </c>
      <c r="D697" s="251">
        <v>9.8787713999999944</v>
      </c>
      <c r="E697" s="251">
        <v>10.972614599999989</v>
      </c>
      <c r="F697" s="251">
        <v>13.126118400000008</v>
      </c>
      <c r="G697" s="250">
        <v>7.9070009600478954</v>
      </c>
      <c r="H697" s="250">
        <v>7.6090160714285737</v>
      </c>
      <c r="I697" s="250">
        <v>8.064670714285695</v>
      </c>
      <c r="J697" s="250">
        <v>9.9145196428571545</v>
      </c>
      <c r="K697" s="250">
        <v>10.997860714285697</v>
      </c>
      <c r="L697" s="251">
        <v>6.2722556390977431</v>
      </c>
      <c r="M697" s="251">
        <v>6.4914473684210465</v>
      </c>
      <c r="N697" s="251">
        <v>7.3092011278195503</v>
      </c>
      <c r="O697" s="251">
        <v>8.11852443609021</v>
      </c>
      <c r="P697" s="251">
        <v>9.7118796992481151</v>
      </c>
      <c r="Q697" s="250">
        <v>7.0880615749000873</v>
      </c>
      <c r="R697" s="250">
        <v>6.8209394068877645</v>
      </c>
      <c r="S697" s="250">
        <v>7.2294012474489868</v>
      </c>
      <c r="T697" s="250">
        <v>8.8876586798469575</v>
      </c>
      <c r="U697" s="250">
        <v>9.858796568877537</v>
      </c>
      <c r="V697" s="251">
        <v>3.2824804511278187</v>
      </c>
      <c r="W697" s="251">
        <v>3.3971907894736812</v>
      </c>
      <c r="X697" s="251">
        <v>3.8251485902255649</v>
      </c>
      <c r="Y697" s="251">
        <v>4.2486944548872225</v>
      </c>
      <c r="Z697" s="251">
        <v>5.0825503759398467</v>
      </c>
      <c r="AA697" s="250">
        <v>10.046730265169671</v>
      </c>
      <c r="AB697" s="250">
        <v>10.397825677662166</v>
      </c>
      <c r="AC697" s="250">
        <v>11.707681639653357</v>
      </c>
      <c r="AD697" s="250">
        <v>13.004033931933307</v>
      </c>
      <c r="AE697" s="250">
        <v>15.556227507359488</v>
      </c>
      <c r="AF697" s="251">
        <v>3.7094188908643808</v>
      </c>
      <c r="AG697" s="251">
        <v>3.5696249562712565</v>
      </c>
      <c r="AH697" s="251">
        <v>3.7833866528316369</v>
      </c>
      <c r="AI697" s="251">
        <v>4.6512080424532236</v>
      </c>
      <c r="AJ697" s="251">
        <v>5.1594368710459078</v>
      </c>
      <c r="AK697" s="250">
        <v>10.957822860587681</v>
      </c>
      <c r="AL697" s="250">
        <v>10.524625136250789</v>
      </c>
      <c r="AM697" s="250">
        <v>11.531728823315763</v>
      </c>
      <c r="AN697" s="250">
        <v>13.052242032802489</v>
      </c>
      <c r="AO697" s="250">
        <v>15.43739521390046</v>
      </c>
      <c r="AP697" s="251">
        <v>21.077056500355905</v>
      </c>
      <c r="AQ697" s="251">
        <v>21.813620302787701</v>
      </c>
      <c r="AR697" s="251">
        <v>24.561569873398689</v>
      </c>
      <c r="AS697" s="251">
        <v>27.281190066992949</v>
      </c>
      <c r="AT697" s="251">
        <v>32.635442323131805</v>
      </c>
      <c r="AU697" s="250">
        <v>2.6490238340426924</v>
      </c>
      <c r="AV697" s="250">
        <v>4.8943452380952426</v>
      </c>
      <c r="AW697" s="251">
        <v>5.2980476680853847</v>
      </c>
      <c r="AX697" s="251">
        <v>9.7886904761904852</v>
      </c>
      <c r="AY697" s="250">
        <v>8.3619047619047642</v>
      </c>
      <c r="AZ697" s="250">
        <v>8.9785952380952292</v>
      </c>
      <c r="BA697" s="250">
        <v>12.114309523809537</v>
      </c>
      <c r="BB697" s="250">
        <v>12.814619047619068</v>
      </c>
      <c r="BC697" s="250">
        <v>14.633333333333338</v>
      </c>
      <c r="BD697" s="251">
        <v>7.9070009600478954</v>
      </c>
      <c r="BE697" s="251">
        <v>7.6090160714285737</v>
      </c>
      <c r="BF697" s="251">
        <v>10.129265714285701</v>
      </c>
      <c r="BG697" s="251">
        <v>10.861175000000005</v>
      </c>
      <c r="BH697" s="251">
        <v>10.997860714285697</v>
      </c>
      <c r="BI697" s="250">
        <v>6.6015037593985042</v>
      </c>
      <c r="BJ697" s="250">
        <v>7.0883646616541425</v>
      </c>
      <c r="BK697" s="250">
        <v>9.5639285714285691</v>
      </c>
      <c r="BL697" s="250">
        <v>10.116804511278213</v>
      </c>
      <c r="BM697" s="250">
        <v>11.552631578947354</v>
      </c>
      <c r="BN697" s="251">
        <v>7.0880615749000873</v>
      </c>
      <c r="BO697" s="251">
        <v>6.8209394068877645</v>
      </c>
      <c r="BP697" s="251">
        <v>9.0801631938775689</v>
      </c>
      <c r="BQ697" s="251">
        <v>9.7362675892856956</v>
      </c>
      <c r="BR697" s="251">
        <v>9.858796568877537</v>
      </c>
      <c r="BS697" s="250">
        <v>3.454786967418543</v>
      </c>
      <c r="BT697" s="250">
        <v>3.7095775062656657</v>
      </c>
      <c r="BU697" s="250">
        <v>5.0051226190476159</v>
      </c>
      <c r="BV697" s="250">
        <v>5.2944610275689135</v>
      </c>
      <c r="BW697" s="250">
        <v>6.0458771929824531</v>
      </c>
      <c r="BX697" s="251">
        <v>10.574111042565994</v>
      </c>
      <c r="BY697" s="251">
        <v>11.35395173195522</v>
      </c>
      <c r="BZ697" s="251">
        <v>12.845660873641719</v>
      </c>
      <c r="CA697" s="251">
        <v>15.821100387751791</v>
      </c>
      <c r="CB697" s="251">
        <v>18.49389199343722</v>
      </c>
      <c r="CC697" s="250">
        <v>3.7094188908643808</v>
      </c>
      <c r="CD697" s="250">
        <v>3.5696249562712565</v>
      </c>
      <c r="CE697" s="250">
        <v>4.7519520714625809</v>
      </c>
      <c r="CF697" s="250">
        <v>5.095313371726184</v>
      </c>
      <c r="CG697" s="250">
        <v>5.1594368710459078</v>
      </c>
      <c r="CH697" s="251">
        <v>10.957822860587681</v>
      </c>
      <c r="CI697" s="251">
        <v>10.524625136250789</v>
      </c>
      <c r="CJ697" s="251">
        <v>11.531728823315763</v>
      </c>
      <c r="CK697" s="251">
        <v>13.052242032802489</v>
      </c>
      <c r="CL697" s="251">
        <v>15.43739521390046</v>
      </c>
      <c r="CM697" s="250">
        <v>22.183449739648914</v>
      </c>
      <c r="CN697" s="250">
        <v>23.819479157948045</v>
      </c>
      <c r="CO697" s="250">
        <v>26.948938895751855</v>
      </c>
      <c r="CP697" s="250">
        <v>33.191119694584124</v>
      </c>
      <c r="CQ697" s="250">
        <v>38.798374811406674</v>
      </c>
      <c r="CR697" s="251">
        <v>15.516874847963809</v>
      </c>
      <c r="CS697" s="251">
        <v>17.681829432756171</v>
      </c>
      <c r="CT697" s="251">
        <v>24.326497329162152</v>
      </c>
      <c r="CU697" s="251">
        <v>27.719056618204846</v>
      </c>
      <c r="CV697" s="251">
        <v>32.948469001969649</v>
      </c>
      <c r="CW697" s="251">
        <v>37.482875906697934</v>
      </c>
      <c r="CX697" s="251">
        <v>47.756720494524181</v>
      </c>
      <c r="CY697" s="251">
        <v>52.24563378159602</v>
      </c>
      <c r="CZ697" s="251">
        <v>56.715962756995204</v>
      </c>
      <c r="DA697" s="250">
        <v>12.506137937164864</v>
      </c>
      <c r="DB697" s="250">
        <v>14.25102670699752</v>
      </c>
      <c r="DC697" s="250">
        <v>19.606430683205325</v>
      </c>
      <c r="DD697" s="250">
        <v>22.340732199747176</v>
      </c>
      <c r="DE697" s="250">
        <v>26.555482479199416</v>
      </c>
      <c r="DF697" s="250">
        <v>34.069850139206558</v>
      </c>
      <c r="DG697" s="250">
        <v>43.40820364047002</v>
      </c>
      <c r="DH697" s="250">
        <v>49.108655055610342</v>
      </c>
      <c r="DI697" s="250">
        <v>53.310572570013427</v>
      </c>
      <c r="DJ697" s="251">
        <v>6.4441359131853595</v>
      </c>
      <c r="DK697" s="251">
        <v>7.3432384532890733</v>
      </c>
      <c r="DL697" s="251">
        <v>10.102759519352089</v>
      </c>
      <c r="DM697" s="251">
        <v>11.511684535912346</v>
      </c>
      <c r="DN697" s="251">
        <v>13.683452013401395</v>
      </c>
      <c r="DO697" s="251">
        <v>15.361009345910988</v>
      </c>
      <c r="DP697" s="251">
        <v>19.571375250727563</v>
      </c>
      <c r="DQ697" s="251">
        <v>21.552208863190181</v>
      </c>
      <c r="DR697" s="251">
        <v>23.396295283267484</v>
      </c>
      <c r="DS697" s="250">
        <v>43.857961464831376</v>
      </c>
      <c r="DT697" s="250">
        <v>49.977137889418778</v>
      </c>
      <c r="DU697" s="250">
        <v>68.758083885475259</v>
      </c>
      <c r="DV697" s="250">
        <v>78.34704661307714</v>
      </c>
      <c r="DW697" s="250">
        <v>93.127817165013795</v>
      </c>
      <c r="DX697" s="251">
        <v>20.876525903328414</v>
      </c>
      <c r="DY697" s="251">
        <v>28.916529620897471</v>
      </c>
      <c r="DZ697" s="251">
        <v>40.07724807646261</v>
      </c>
      <c r="EA697" s="250">
        <v>14.773238487702031</v>
      </c>
      <c r="EB697" s="250">
        <v>20.462733613072583</v>
      </c>
      <c r="EC697" s="250">
        <v>28.360597280699121</v>
      </c>
      <c r="ED697" s="251">
        <v>8.6211699465656668</v>
      </c>
      <c r="EE697" s="251">
        <v>11.941369808417758</v>
      </c>
      <c r="EF697" s="251">
        <v>16.550299999999979</v>
      </c>
      <c r="EG697" s="250">
        <v>57.29791639429228</v>
      </c>
      <c r="EH697" s="250">
        <v>79.364588931298229</v>
      </c>
      <c r="EI697" s="250">
        <v>109.99640554333608</v>
      </c>
    </row>
    <row r="698" spans="1:139">
      <c r="A698" s="248">
        <v>1994</v>
      </c>
      <c r="B698" s="251">
        <v>8.4738624000000033</v>
      </c>
      <c r="C698" s="251">
        <v>8.7699920000000109</v>
      </c>
      <c r="D698" s="251">
        <v>9.8747831999999942</v>
      </c>
      <c r="E698" s="251">
        <v>10.968184799999989</v>
      </c>
      <c r="F698" s="251">
        <v>13.120819200000009</v>
      </c>
      <c r="G698" s="250">
        <v>7.8805561407835212</v>
      </c>
      <c r="H698" s="250">
        <v>7.5835678571428593</v>
      </c>
      <c r="I698" s="250">
        <v>8.0376985714285514</v>
      </c>
      <c r="J698" s="250">
        <v>9.8813607142857265</v>
      </c>
      <c r="K698" s="250">
        <v>10.961078571428553</v>
      </c>
      <c r="L698" s="251">
        <v>6.2512781954887204</v>
      </c>
      <c r="M698" s="251">
        <v>6.4697368421052568</v>
      </c>
      <c r="N698" s="251">
        <v>7.2847556390977459</v>
      </c>
      <c r="O698" s="251">
        <v>8.0913721804511116</v>
      </c>
      <c r="P698" s="251">
        <v>9.6793984962405961</v>
      </c>
      <c r="Q698" s="250">
        <v>7.0643556833452372</v>
      </c>
      <c r="R698" s="250">
        <v>6.7981269005102138</v>
      </c>
      <c r="S698" s="250">
        <v>7.2052226479591912</v>
      </c>
      <c r="T698" s="250">
        <v>8.8579340688775705</v>
      </c>
      <c r="U698" s="250">
        <v>9.8258240051020262</v>
      </c>
      <c r="V698" s="251">
        <v>3.2715022556390969</v>
      </c>
      <c r="W698" s="251">
        <v>3.385828947368418</v>
      </c>
      <c r="X698" s="251">
        <v>3.8123554511278206</v>
      </c>
      <c r="Y698" s="251">
        <v>4.2344847744360949</v>
      </c>
      <c r="Z698" s="251">
        <v>5.0655518796992451</v>
      </c>
      <c r="AA698" s="250">
        <v>10.013129160603887</v>
      </c>
      <c r="AB698" s="250">
        <v>10.363050340947577</v>
      </c>
      <c r="AC698" s="250">
        <v>11.668525513768229</v>
      </c>
      <c r="AD698" s="250">
        <v>12.960542179652593</v>
      </c>
      <c r="AE698" s="250">
        <v>15.504199990612467</v>
      </c>
      <c r="AF698" s="251">
        <v>3.6970128076173427</v>
      </c>
      <c r="AG698" s="251">
        <v>3.5576864112670048</v>
      </c>
      <c r="AH698" s="251">
        <v>3.7707331857653106</v>
      </c>
      <c r="AI698" s="251">
        <v>4.6356521627125771</v>
      </c>
      <c r="AJ698" s="251">
        <v>5.1421812293367237</v>
      </c>
      <c r="AK698" s="250">
        <v>10.92117462359575</v>
      </c>
      <c r="AL698" s="250">
        <v>10.489425721079382</v>
      </c>
      <c r="AM698" s="250">
        <v>11.493161168388285</v>
      </c>
      <c r="AN698" s="250">
        <v>13.008589049415191</v>
      </c>
      <c r="AO698" s="250">
        <v>15.385765129573034</v>
      </c>
      <c r="AP698" s="251">
        <v>21.006564672595516</v>
      </c>
      <c r="AQ698" s="251">
        <v>21.740665050938912</v>
      </c>
      <c r="AR698" s="251">
        <v>24.479424154758561</v>
      </c>
      <c r="AS698" s="251">
        <v>27.189948628641801</v>
      </c>
      <c r="AT698" s="251">
        <v>32.526293686599594</v>
      </c>
      <c r="AU698" s="250">
        <v>2.6401642225575999</v>
      </c>
      <c r="AV698" s="250">
        <v>4.8779761904761951</v>
      </c>
      <c r="AW698" s="251">
        <v>5.2803284451151997</v>
      </c>
      <c r="AX698" s="251">
        <v>9.7559523809523903</v>
      </c>
      <c r="AY698" s="250">
        <v>8.3428571428571452</v>
      </c>
      <c r="AZ698" s="250">
        <v>8.9581428571428479</v>
      </c>
      <c r="BA698" s="250">
        <v>12.086714285714299</v>
      </c>
      <c r="BB698" s="250">
        <v>12.785428571428593</v>
      </c>
      <c r="BC698" s="250">
        <v>14.600000000000005</v>
      </c>
      <c r="BD698" s="251">
        <v>7.8805561407835212</v>
      </c>
      <c r="BE698" s="251">
        <v>7.5835678571428593</v>
      </c>
      <c r="BF698" s="251">
        <v>10.095388571428558</v>
      </c>
      <c r="BG698" s="251">
        <v>10.824850000000005</v>
      </c>
      <c r="BH698" s="251">
        <v>10.961078571428553</v>
      </c>
      <c r="BI698" s="250">
        <v>6.5864661654135421</v>
      </c>
      <c r="BJ698" s="250">
        <v>7.0722180451127894</v>
      </c>
      <c r="BK698" s="250">
        <v>9.5421428571428546</v>
      </c>
      <c r="BL698" s="250">
        <v>10.093759398496259</v>
      </c>
      <c r="BM698" s="250">
        <v>11.526315789473669</v>
      </c>
      <c r="BN698" s="251">
        <v>7.0643556833452372</v>
      </c>
      <c r="BO698" s="251">
        <v>6.7981269005102138</v>
      </c>
      <c r="BP698" s="251">
        <v>9.0497947551020594</v>
      </c>
      <c r="BQ698" s="251">
        <v>9.703704821428552</v>
      </c>
      <c r="BR698" s="251">
        <v>9.8258240051020262</v>
      </c>
      <c r="BS698" s="250">
        <v>3.4469172932330792</v>
      </c>
      <c r="BT698" s="250">
        <v>3.7011274436090242</v>
      </c>
      <c r="BU698" s="250">
        <v>4.9937214285714253</v>
      </c>
      <c r="BV698" s="250">
        <v>5.28240075187969</v>
      </c>
      <c r="BW698" s="250">
        <v>6.0321052631578915</v>
      </c>
      <c r="BX698" s="251">
        <v>10.550024229257188</v>
      </c>
      <c r="BY698" s="251">
        <v>11.32808851616489</v>
      </c>
      <c r="BZ698" s="251">
        <v>12.816399687141397</v>
      </c>
      <c r="CA698" s="251">
        <v>15.78506143470452</v>
      </c>
      <c r="CB698" s="251">
        <v>18.451764676823469</v>
      </c>
      <c r="CC698" s="250">
        <v>3.6970128076173427</v>
      </c>
      <c r="CD698" s="250">
        <v>3.5576864112670048</v>
      </c>
      <c r="CE698" s="250">
        <v>4.7360592551700638</v>
      </c>
      <c r="CF698" s="250">
        <v>5.0782721898809458</v>
      </c>
      <c r="CG698" s="250">
        <v>5.1421812293367237</v>
      </c>
      <c r="CH698" s="251">
        <v>10.92117462359575</v>
      </c>
      <c r="CI698" s="251">
        <v>10.489425721079382</v>
      </c>
      <c r="CJ698" s="251">
        <v>11.493161168388285</v>
      </c>
      <c r="CK698" s="251">
        <v>13.008589049415191</v>
      </c>
      <c r="CL698" s="251">
        <v>15.385765129573034</v>
      </c>
      <c r="CM698" s="250">
        <v>22.132917963476594</v>
      </c>
      <c r="CN698" s="250">
        <v>23.765220663283017</v>
      </c>
      <c r="CO698" s="250">
        <v>26.887551791205723</v>
      </c>
      <c r="CP698" s="250">
        <v>33.115513499380057</v>
      </c>
      <c r="CQ698" s="250">
        <v>38.709995825503697</v>
      </c>
      <c r="CR698" s="251">
        <v>15.481528891590315</v>
      </c>
      <c r="CS698" s="251">
        <v>17.641551916964016</v>
      </c>
      <c r="CT698" s="251">
        <v>24.271083895610531</v>
      </c>
      <c r="CU698" s="251">
        <v>27.655915259165656</v>
      </c>
      <c r="CV698" s="251">
        <v>32.873415541828486</v>
      </c>
      <c r="CW698" s="251">
        <v>37.439240428343219</v>
      </c>
      <c r="CX698" s="251">
        <v>47.701124777999709</v>
      </c>
      <c r="CY698" s="251">
        <v>52.184812322013251</v>
      </c>
      <c r="CZ698" s="251">
        <v>56.649937189175652</v>
      </c>
      <c r="DA698" s="250">
        <v>12.477650151431003</v>
      </c>
      <c r="DB698" s="250">
        <v>14.218564231582947</v>
      </c>
      <c r="DC698" s="250">
        <v>19.561769109895064</v>
      </c>
      <c r="DD698" s="250">
        <v>22.289842149178277</v>
      </c>
      <c r="DE698" s="250">
        <v>26.494991630727434</v>
      </c>
      <c r="DF698" s="250">
        <v>34.030187915528785</v>
      </c>
      <c r="DG698" s="250">
        <v>43.357670225289034</v>
      </c>
      <c r="DH698" s="250">
        <v>49.051485492099737</v>
      </c>
      <c r="DI698" s="250">
        <v>53.248511367952879</v>
      </c>
      <c r="DJ698" s="251">
        <v>6.4294567880983768</v>
      </c>
      <c r="DK698" s="251">
        <v>7.3265112586346559</v>
      </c>
      <c r="DL698" s="251">
        <v>10.079746399718029</v>
      </c>
      <c r="DM698" s="251">
        <v>11.485462019885212</v>
      </c>
      <c r="DN698" s="251">
        <v>13.652282418837839</v>
      </c>
      <c r="DO698" s="251">
        <v>15.343126913610742</v>
      </c>
      <c r="DP698" s="251">
        <v>19.548591344731371</v>
      </c>
      <c r="DQ698" s="251">
        <v>21.527118980928027</v>
      </c>
      <c r="DR698" s="251">
        <v>23.369058618211294</v>
      </c>
      <c r="DS698" s="250">
        <v>43.758057224592584</v>
      </c>
      <c r="DT698" s="250">
        <v>49.863294750718509</v>
      </c>
      <c r="DU698" s="250">
        <v>68.6014595486063</v>
      </c>
      <c r="DV698" s="250">
        <v>78.168579536509768</v>
      </c>
      <c r="DW698" s="250">
        <v>92.915680907234716</v>
      </c>
      <c r="DX698" s="251">
        <v>20.828971174619237</v>
      </c>
      <c r="DY698" s="251">
        <v>28.85066053292276</v>
      </c>
      <c r="DZ698" s="251">
        <v>39.985955939614172</v>
      </c>
      <c r="EA698" s="250">
        <v>14.739586463812049</v>
      </c>
      <c r="EB698" s="250">
        <v>20.416121463612281</v>
      </c>
      <c r="EC698" s="250">
        <v>28.295994553408235</v>
      </c>
      <c r="ED698" s="251">
        <v>8.6015317462318048</v>
      </c>
      <c r="EE698" s="251">
        <v>11.914168510448697</v>
      </c>
      <c r="EF698" s="251">
        <v>16.512599999999978</v>
      </c>
      <c r="EG698" s="250">
        <v>57.167397222551294</v>
      </c>
      <c r="EH698" s="250">
        <v>79.183803990680232</v>
      </c>
      <c r="EI698" s="250">
        <v>109.74584425508247</v>
      </c>
    </row>
    <row r="699" spans="1:139">
      <c r="A699" s="248">
        <v>1995</v>
      </c>
      <c r="B699" s="251">
        <v>8.47044</v>
      </c>
      <c r="C699" s="251">
        <v>8.766449999999999</v>
      </c>
      <c r="D699" s="251">
        <v>9.8707949999999993</v>
      </c>
      <c r="E699" s="251">
        <v>10.963755000000001</v>
      </c>
      <c r="F699" s="251">
        <v>13.11552</v>
      </c>
      <c r="G699" s="250">
        <v>7.8541113215191469</v>
      </c>
      <c r="H699" s="250">
        <v>7.5581196428571449</v>
      </c>
      <c r="I699" s="250">
        <v>8.0107264285714077</v>
      </c>
      <c r="J699" s="250">
        <v>9.8482017857142985</v>
      </c>
      <c r="K699" s="250">
        <v>10.924296428571409</v>
      </c>
      <c r="L699" s="251">
        <v>6.2303007518796978</v>
      </c>
      <c r="M699" s="251">
        <v>6.4480263157894671</v>
      </c>
      <c r="N699" s="251">
        <v>7.2603101503759415</v>
      </c>
      <c r="O699" s="251">
        <v>8.0642199248120132</v>
      </c>
      <c r="P699" s="251">
        <v>9.6469172932330771</v>
      </c>
      <c r="Q699" s="250">
        <v>7.0406497917903872</v>
      </c>
      <c r="R699" s="250">
        <v>6.7753143941326632</v>
      </c>
      <c r="S699" s="250">
        <v>7.1810440484693956</v>
      </c>
      <c r="T699" s="250">
        <v>8.8282094579081836</v>
      </c>
      <c r="U699" s="250">
        <v>9.7928514413265155</v>
      </c>
      <c r="V699" s="251">
        <v>3.2605240601503751</v>
      </c>
      <c r="W699" s="251">
        <v>3.3744671052631547</v>
      </c>
      <c r="X699" s="251">
        <v>3.7995623120300763</v>
      </c>
      <c r="Y699" s="251">
        <v>4.2202750939849674</v>
      </c>
      <c r="Z699" s="251">
        <v>5.0485533834586436</v>
      </c>
      <c r="AA699" s="250">
        <v>9.9795280560381023</v>
      </c>
      <c r="AB699" s="250">
        <v>10.328275004232989</v>
      </c>
      <c r="AC699" s="250">
        <v>11.6293693878831</v>
      </c>
      <c r="AD699" s="250">
        <v>12.91705042737188</v>
      </c>
      <c r="AE699" s="250">
        <v>15.452172473865446</v>
      </c>
      <c r="AF699" s="251">
        <v>3.6846067243703047</v>
      </c>
      <c r="AG699" s="251">
        <v>3.5457478662627531</v>
      </c>
      <c r="AH699" s="251">
        <v>3.7580797186989843</v>
      </c>
      <c r="AI699" s="251">
        <v>4.6200962829719305</v>
      </c>
      <c r="AJ699" s="251">
        <v>5.1249255876275397</v>
      </c>
      <c r="AK699" s="250">
        <v>10.884526386603818</v>
      </c>
      <c r="AL699" s="250">
        <v>10.454226305907975</v>
      </c>
      <c r="AM699" s="250">
        <v>11.454593513460807</v>
      </c>
      <c r="AN699" s="250">
        <v>12.964936066027892</v>
      </c>
      <c r="AO699" s="250">
        <v>15.334135045245608</v>
      </c>
      <c r="AP699" s="251">
        <v>20.936072844835127</v>
      </c>
      <c r="AQ699" s="251">
        <v>21.667709799090122</v>
      </c>
      <c r="AR699" s="251">
        <v>24.397278436118434</v>
      </c>
      <c r="AS699" s="251">
        <v>27.098707190290654</v>
      </c>
      <c r="AT699" s="251">
        <v>32.417145050067383</v>
      </c>
      <c r="AU699" s="250">
        <v>2.6313046110725073</v>
      </c>
      <c r="AV699" s="250">
        <v>4.8616071428571477</v>
      </c>
      <c r="AW699" s="251">
        <v>5.2626092221450147</v>
      </c>
      <c r="AX699" s="251">
        <v>9.7232142857142954</v>
      </c>
      <c r="AY699" s="250">
        <v>8.3238095238095262</v>
      </c>
      <c r="AZ699" s="250">
        <v>8.9376904761904665</v>
      </c>
      <c r="BA699" s="250">
        <v>12.059119047619062</v>
      </c>
      <c r="BB699" s="250">
        <v>12.756238095238118</v>
      </c>
      <c r="BC699" s="250">
        <v>14.566666666666672</v>
      </c>
      <c r="BD699" s="251">
        <v>7.8541113215191469</v>
      </c>
      <c r="BE699" s="251">
        <v>7.5581196428571449</v>
      </c>
      <c r="BF699" s="251">
        <v>10.061511428571414</v>
      </c>
      <c r="BG699" s="251">
        <v>10.788525000000005</v>
      </c>
      <c r="BH699" s="251">
        <v>10.924296428571409</v>
      </c>
      <c r="BI699" s="250">
        <v>6.5714285714285801</v>
      </c>
      <c r="BJ699" s="250">
        <v>7.0560714285714363</v>
      </c>
      <c r="BK699" s="250">
        <v>9.5203571428571401</v>
      </c>
      <c r="BL699" s="250">
        <v>10.070714285714304</v>
      </c>
      <c r="BM699" s="250">
        <v>11.499999999999984</v>
      </c>
      <c r="BN699" s="251">
        <v>7.0406497917903872</v>
      </c>
      <c r="BO699" s="251">
        <v>6.7753143941326632</v>
      </c>
      <c r="BP699" s="251">
        <v>9.01942631632655</v>
      </c>
      <c r="BQ699" s="251">
        <v>9.6711420535714083</v>
      </c>
      <c r="BR699" s="251">
        <v>9.7928514413265155</v>
      </c>
      <c r="BS699" s="250">
        <v>3.4390476190476154</v>
      </c>
      <c r="BT699" s="250">
        <v>3.6926773809523827</v>
      </c>
      <c r="BU699" s="250">
        <v>4.9823202380952347</v>
      </c>
      <c r="BV699" s="250">
        <v>5.2703404761904666</v>
      </c>
      <c r="BW699" s="250">
        <v>6.01833333333333</v>
      </c>
      <c r="BX699" s="251">
        <v>10.525937415948382</v>
      </c>
      <c r="BY699" s="251">
        <v>11.302225300374559</v>
      </c>
      <c r="BZ699" s="251">
        <v>12.787138500641074</v>
      </c>
      <c r="CA699" s="251">
        <v>15.749022481657249</v>
      </c>
      <c r="CB699" s="251">
        <v>18.409637360209718</v>
      </c>
      <c r="CC699" s="250">
        <v>3.6846067243703047</v>
      </c>
      <c r="CD699" s="250">
        <v>3.5457478662627531</v>
      </c>
      <c r="CE699" s="250">
        <v>4.7201664388775466</v>
      </c>
      <c r="CF699" s="250">
        <v>5.0612310080357075</v>
      </c>
      <c r="CG699" s="250">
        <v>5.1249255876275397</v>
      </c>
      <c r="CH699" s="251">
        <v>10.884526386603818</v>
      </c>
      <c r="CI699" s="251">
        <v>10.454226305907975</v>
      </c>
      <c r="CJ699" s="251">
        <v>11.454593513460807</v>
      </c>
      <c r="CK699" s="251">
        <v>12.964936066027892</v>
      </c>
      <c r="CL699" s="251">
        <v>15.334135045245608</v>
      </c>
      <c r="CM699" s="250">
        <v>22.082386187304273</v>
      </c>
      <c r="CN699" s="250">
        <v>23.710962168617989</v>
      </c>
      <c r="CO699" s="250">
        <v>26.826164686659592</v>
      </c>
      <c r="CP699" s="250">
        <v>33.039907304175991</v>
      </c>
      <c r="CQ699" s="250">
        <v>38.621616839600719</v>
      </c>
      <c r="CR699" s="251">
        <v>15.446182935216822</v>
      </c>
      <c r="CS699" s="251">
        <v>17.60127440117186</v>
      </c>
      <c r="CT699" s="251">
        <v>24.21567046205891</v>
      </c>
      <c r="CU699" s="251">
        <v>27.592773900126467</v>
      </c>
      <c r="CV699" s="251">
        <v>32.798362081687323</v>
      </c>
      <c r="CW699" s="251">
        <v>37.395604949988503</v>
      </c>
      <c r="CX699" s="251">
        <v>47.645529061475237</v>
      </c>
      <c r="CY699" s="251">
        <v>52.123990862430482</v>
      </c>
      <c r="CZ699" s="251">
        <v>56.583911621356101</v>
      </c>
      <c r="DA699" s="250">
        <v>12.449162365697143</v>
      </c>
      <c r="DB699" s="250">
        <v>14.186101756168375</v>
      </c>
      <c r="DC699" s="250">
        <v>19.517107536584803</v>
      </c>
      <c r="DD699" s="250">
        <v>22.238952098609378</v>
      </c>
      <c r="DE699" s="250">
        <v>26.434500782255451</v>
      </c>
      <c r="DF699" s="250">
        <v>33.990525691851012</v>
      </c>
      <c r="DG699" s="250">
        <v>43.307136810108048</v>
      </c>
      <c r="DH699" s="250">
        <v>48.994315928589131</v>
      </c>
      <c r="DI699" s="250">
        <v>53.186450165892332</v>
      </c>
      <c r="DJ699" s="251">
        <v>6.4147776630113942</v>
      </c>
      <c r="DK699" s="251">
        <v>7.3097840639802385</v>
      </c>
      <c r="DL699" s="251">
        <v>10.05673328008397</v>
      </c>
      <c r="DM699" s="251">
        <v>11.459239503858077</v>
      </c>
      <c r="DN699" s="251">
        <v>13.621112824274283</v>
      </c>
      <c r="DO699" s="251">
        <v>15.325244481310497</v>
      </c>
      <c r="DP699" s="251">
        <v>19.525807438735178</v>
      </c>
      <c r="DQ699" s="251">
        <v>21.502029098665872</v>
      </c>
      <c r="DR699" s="251">
        <v>23.341821953155105</v>
      </c>
      <c r="DS699" s="250">
        <v>43.658152984353791</v>
      </c>
      <c r="DT699" s="250">
        <v>49.749451612018241</v>
      </c>
      <c r="DU699" s="250">
        <v>68.444835211737342</v>
      </c>
      <c r="DV699" s="250">
        <v>77.990112459942395</v>
      </c>
      <c r="DW699" s="250">
        <v>92.703544649455637</v>
      </c>
      <c r="DX699" s="251">
        <v>20.781416445910061</v>
      </c>
      <c r="DY699" s="251">
        <v>28.784791444948048</v>
      </c>
      <c r="DZ699" s="251">
        <v>39.894663802765734</v>
      </c>
      <c r="EA699" s="250">
        <v>14.705934439922068</v>
      </c>
      <c r="EB699" s="250">
        <v>20.36950931415198</v>
      </c>
      <c r="EC699" s="250">
        <v>28.231391826117349</v>
      </c>
      <c r="ED699" s="251">
        <v>8.5818935458979428</v>
      </c>
      <c r="EE699" s="251">
        <v>11.886967212479636</v>
      </c>
      <c r="EF699" s="251">
        <v>16.474899999999977</v>
      </c>
      <c r="EG699" s="250">
        <v>57.036878050810309</v>
      </c>
      <c r="EH699" s="250">
        <v>79.003019050062235</v>
      </c>
      <c r="EI699" s="250">
        <v>109.49528296682887</v>
      </c>
    </row>
    <row r="700" spans="1:139">
      <c r="A700" s="248">
        <v>1996</v>
      </c>
      <c r="B700" s="251">
        <v>8.4098258823529406</v>
      </c>
      <c r="C700" s="251">
        <v>8.7037176470588218</v>
      </c>
      <c r="D700" s="251">
        <v>9.80016</v>
      </c>
      <c r="E700" s="251">
        <v>10.885298823529412</v>
      </c>
      <c r="F700" s="251">
        <v>13.021665882352941</v>
      </c>
      <c r="G700" s="250">
        <v>7.8276665022547727</v>
      </c>
      <c r="H700" s="250">
        <v>7.5326714285714305</v>
      </c>
      <c r="I700" s="250">
        <v>7.9837542857142649</v>
      </c>
      <c r="J700" s="250">
        <v>9.8150428571428705</v>
      </c>
      <c r="K700" s="250">
        <v>10.887514285714266</v>
      </c>
      <c r="L700" s="251">
        <v>6.2093233082706751</v>
      </c>
      <c r="M700" s="251">
        <v>6.4263157894736773</v>
      </c>
      <c r="N700" s="251">
        <v>7.2358646616541371</v>
      </c>
      <c r="O700" s="251">
        <v>8.0370676691729148</v>
      </c>
      <c r="P700" s="251">
        <v>9.6144360902255581</v>
      </c>
      <c r="Q700" s="250">
        <v>7.0169439002355372</v>
      </c>
      <c r="R700" s="250">
        <v>6.7525018877551126</v>
      </c>
      <c r="S700" s="250">
        <v>7.1568654489796</v>
      </c>
      <c r="T700" s="250">
        <v>8.7984848469387966</v>
      </c>
      <c r="U700" s="250">
        <v>9.7598788775510048</v>
      </c>
      <c r="V700" s="251">
        <v>3.2495458646616533</v>
      </c>
      <c r="W700" s="251">
        <v>3.3631052631578915</v>
      </c>
      <c r="X700" s="251">
        <v>3.7867691729323321</v>
      </c>
      <c r="Y700" s="251">
        <v>4.2060654135338398</v>
      </c>
      <c r="Z700" s="251">
        <v>5.031554887218042</v>
      </c>
      <c r="AA700" s="250">
        <v>9.9459269514723179</v>
      </c>
      <c r="AB700" s="250">
        <v>10.2934996675184</v>
      </c>
      <c r="AC700" s="250">
        <v>11.590213261997972</v>
      </c>
      <c r="AD700" s="250">
        <v>12.873558675091166</v>
      </c>
      <c r="AE700" s="250">
        <v>15.400144957118425</v>
      </c>
      <c r="AF700" s="251">
        <v>3.6722006411232666</v>
      </c>
      <c r="AG700" s="251">
        <v>3.5338093212585013</v>
      </c>
      <c r="AH700" s="251">
        <v>3.745426251632658</v>
      </c>
      <c r="AI700" s="251">
        <v>4.604540403231284</v>
      </c>
      <c r="AJ700" s="251">
        <v>5.1076699459183557</v>
      </c>
      <c r="AK700" s="250">
        <v>10.847878149611887</v>
      </c>
      <c r="AL700" s="250">
        <v>10.419026890736568</v>
      </c>
      <c r="AM700" s="250">
        <v>11.416025858533329</v>
      </c>
      <c r="AN700" s="250">
        <v>12.921283082640594</v>
      </c>
      <c r="AO700" s="250">
        <v>15.282504960918182</v>
      </c>
      <c r="AP700" s="251">
        <v>20.865581017074739</v>
      </c>
      <c r="AQ700" s="251">
        <v>21.594754547241333</v>
      </c>
      <c r="AR700" s="251">
        <v>24.315132717478306</v>
      </c>
      <c r="AS700" s="251">
        <v>27.007465751939506</v>
      </c>
      <c r="AT700" s="251">
        <v>32.307996413535172</v>
      </c>
      <c r="AU700" s="250">
        <v>2.6224449995874148</v>
      </c>
      <c r="AV700" s="250">
        <v>4.8452380952381002</v>
      </c>
      <c r="AW700" s="251">
        <v>5.2448899991748297</v>
      </c>
      <c r="AX700" s="251">
        <v>9.6904761904762005</v>
      </c>
      <c r="AY700" s="250">
        <v>8.3047619047619072</v>
      </c>
      <c r="AZ700" s="250">
        <v>8.9172380952380852</v>
      </c>
      <c r="BA700" s="250">
        <v>12.031523809523824</v>
      </c>
      <c r="BB700" s="250">
        <v>12.727047619047642</v>
      </c>
      <c r="BC700" s="250">
        <v>14.533333333333339</v>
      </c>
      <c r="BD700" s="251">
        <v>7.8276665022547727</v>
      </c>
      <c r="BE700" s="251">
        <v>7.5326714285714305</v>
      </c>
      <c r="BF700" s="251">
        <v>10.027634285714271</v>
      </c>
      <c r="BG700" s="251">
        <v>10.752200000000006</v>
      </c>
      <c r="BH700" s="251">
        <v>10.887514285714266</v>
      </c>
      <c r="BI700" s="250">
        <v>6.556390977443618</v>
      </c>
      <c r="BJ700" s="250">
        <v>7.0399248120300832</v>
      </c>
      <c r="BK700" s="250">
        <v>9.4985714285714256</v>
      </c>
      <c r="BL700" s="250">
        <v>10.04766917293235</v>
      </c>
      <c r="BM700" s="250">
        <v>11.473684210526299</v>
      </c>
      <c r="BN700" s="251">
        <v>7.0169439002355372</v>
      </c>
      <c r="BO700" s="251">
        <v>6.7525018877551126</v>
      </c>
      <c r="BP700" s="251">
        <v>8.9890578775510406</v>
      </c>
      <c r="BQ700" s="251">
        <v>9.6385792857142647</v>
      </c>
      <c r="BR700" s="251">
        <v>9.7598788775510048</v>
      </c>
      <c r="BS700" s="250">
        <v>3.4311779448621516</v>
      </c>
      <c r="BT700" s="250">
        <v>3.6842273182957412</v>
      </c>
      <c r="BU700" s="250">
        <v>4.9709190476190441</v>
      </c>
      <c r="BV700" s="250">
        <v>5.2582802005012432</v>
      </c>
      <c r="BW700" s="250">
        <v>6.0045614035087684</v>
      </c>
      <c r="BX700" s="251">
        <v>10.501850602639577</v>
      </c>
      <c r="BY700" s="251">
        <v>11.276362084584228</v>
      </c>
      <c r="BZ700" s="251">
        <v>12.757877314140751</v>
      </c>
      <c r="CA700" s="251">
        <v>15.712983528609978</v>
      </c>
      <c r="CB700" s="251">
        <v>18.367510043595967</v>
      </c>
      <c r="CC700" s="250">
        <v>3.6722006411232666</v>
      </c>
      <c r="CD700" s="250">
        <v>3.5338093212585013</v>
      </c>
      <c r="CE700" s="250">
        <v>4.7042736225850295</v>
      </c>
      <c r="CF700" s="250">
        <v>5.0441898261904692</v>
      </c>
      <c r="CG700" s="250">
        <v>5.1076699459183557</v>
      </c>
      <c r="CH700" s="251">
        <v>10.847878149611887</v>
      </c>
      <c r="CI700" s="251">
        <v>10.419026890736568</v>
      </c>
      <c r="CJ700" s="251">
        <v>11.416025858533329</v>
      </c>
      <c r="CK700" s="251">
        <v>12.921283082640594</v>
      </c>
      <c r="CL700" s="251">
        <v>15.282504960918182</v>
      </c>
      <c r="CM700" s="250">
        <v>22.031854411131953</v>
      </c>
      <c r="CN700" s="250">
        <v>23.656703673952961</v>
      </c>
      <c r="CO700" s="250">
        <v>26.76477758211346</v>
      </c>
      <c r="CP700" s="250">
        <v>32.964301108971924</v>
      </c>
      <c r="CQ700" s="250">
        <v>38.533237853697742</v>
      </c>
      <c r="CR700" s="251">
        <v>15.410836978843328</v>
      </c>
      <c r="CS700" s="251">
        <v>17.560996885379705</v>
      </c>
      <c r="CT700" s="251">
        <v>24.160257028507289</v>
      </c>
      <c r="CU700" s="251">
        <v>27.529632541087278</v>
      </c>
      <c r="CV700" s="251">
        <v>32.72330862154616</v>
      </c>
      <c r="CW700" s="251">
        <v>37.351969471633787</v>
      </c>
      <c r="CX700" s="251">
        <v>47.589933344950765</v>
      </c>
      <c r="CY700" s="251">
        <v>52.063169402847713</v>
      </c>
      <c r="CZ700" s="251">
        <v>56.51788605353655</v>
      </c>
      <c r="DA700" s="250">
        <v>12.420674579963283</v>
      </c>
      <c r="DB700" s="250">
        <v>14.153639280753803</v>
      </c>
      <c r="DC700" s="250">
        <v>19.472445963274541</v>
      </c>
      <c r="DD700" s="250">
        <v>22.188062048040479</v>
      </c>
      <c r="DE700" s="250">
        <v>26.374009933783469</v>
      </c>
      <c r="DF700" s="250">
        <v>33.950863468173239</v>
      </c>
      <c r="DG700" s="250">
        <v>43.256603394927062</v>
      </c>
      <c r="DH700" s="250">
        <v>48.937146365078526</v>
      </c>
      <c r="DI700" s="250">
        <v>53.124388963831784</v>
      </c>
      <c r="DJ700" s="251">
        <v>6.4000985379244115</v>
      </c>
      <c r="DK700" s="251">
        <v>7.2930568693258211</v>
      </c>
      <c r="DL700" s="251">
        <v>10.03372016044991</v>
      </c>
      <c r="DM700" s="251">
        <v>11.433016987830943</v>
      </c>
      <c r="DN700" s="251">
        <v>13.589943229710727</v>
      </c>
      <c r="DO700" s="251">
        <v>15.307362049010251</v>
      </c>
      <c r="DP700" s="251">
        <v>19.503023532738986</v>
      </c>
      <c r="DQ700" s="251">
        <v>21.476939216403718</v>
      </c>
      <c r="DR700" s="251">
        <v>23.314585288098915</v>
      </c>
      <c r="DS700" s="250">
        <v>43.558248744114998</v>
      </c>
      <c r="DT700" s="250">
        <v>49.635608473317973</v>
      </c>
      <c r="DU700" s="250">
        <v>68.288210874868383</v>
      </c>
      <c r="DV700" s="250">
        <v>77.811645383375023</v>
      </c>
      <c r="DW700" s="250">
        <v>92.491408391676558</v>
      </c>
      <c r="DX700" s="251">
        <v>20.733861717200885</v>
      </c>
      <c r="DY700" s="251">
        <v>28.718922356973337</v>
      </c>
      <c r="DZ700" s="251">
        <v>39.803371665917297</v>
      </c>
      <c r="EA700" s="250">
        <v>14.672282416032086</v>
      </c>
      <c r="EB700" s="250">
        <v>20.322897164691678</v>
      </c>
      <c r="EC700" s="250">
        <v>28.166789098826463</v>
      </c>
      <c r="ED700" s="251">
        <v>8.5622553455640809</v>
      </c>
      <c r="EE700" s="251">
        <v>11.859765914510575</v>
      </c>
      <c r="EF700" s="251">
        <v>16.437199999999976</v>
      </c>
      <c r="EG700" s="250">
        <v>56.906358879069323</v>
      </c>
      <c r="EH700" s="250">
        <v>78.822234109444238</v>
      </c>
      <c r="EI700" s="250">
        <v>109.24472167857526</v>
      </c>
    </row>
    <row r="701" spans="1:139">
      <c r="A701" s="248">
        <v>1997</v>
      </c>
      <c r="B701" s="251">
        <v>8.3492117647058812</v>
      </c>
      <c r="C701" s="251">
        <v>8.6409852941176446</v>
      </c>
      <c r="D701" s="251">
        <v>9.7295250000000006</v>
      </c>
      <c r="E701" s="251">
        <v>10.806842647058824</v>
      </c>
      <c r="F701" s="251">
        <v>12.927811764705883</v>
      </c>
      <c r="G701" s="250">
        <v>7.8012216829903984</v>
      </c>
      <c r="H701" s="250">
        <v>7.507223214285716</v>
      </c>
      <c r="I701" s="250">
        <v>7.9567821428571222</v>
      </c>
      <c r="J701" s="250">
        <v>9.7818839285714425</v>
      </c>
      <c r="K701" s="250">
        <v>10.850732142857122</v>
      </c>
      <c r="L701" s="251">
        <v>6.1883458646616525</v>
      </c>
      <c r="M701" s="251">
        <v>6.4046052631578876</v>
      </c>
      <c r="N701" s="251">
        <v>7.2114191729323327</v>
      </c>
      <c r="O701" s="251">
        <v>8.0099154135338164</v>
      </c>
      <c r="P701" s="251">
        <v>9.5819548872180391</v>
      </c>
      <c r="Q701" s="250">
        <v>6.9932380086806871</v>
      </c>
      <c r="R701" s="250">
        <v>6.729689381377562</v>
      </c>
      <c r="S701" s="250">
        <v>7.1326868494898044</v>
      </c>
      <c r="T701" s="250">
        <v>8.7687602359694097</v>
      </c>
      <c r="U701" s="250">
        <v>9.7269063137754941</v>
      </c>
      <c r="V701" s="251">
        <v>3.2385676691729315</v>
      </c>
      <c r="W701" s="251">
        <v>3.3517434210526282</v>
      </c>
      <c r="X701" s="251">
        <v>3.7739760338345878</v>
      </c>
      <c r="Y701" s="251">
        <v>4.1918557330827122</v>
      </c>
      <c r="Z701" s="251">
        <v>5.0145563909774404</v>
      </c>
      <c r="AA701" s="250">
        <v>9.9123258469065334</v>
      </c>
      <c r="AB701" s="250">
        <v>10.258724330803812</v>
      </c>
      <c r="AC701" s="250">
        <v>11.551057136112844</v>
      </c>
      <c r="AD701" s="250">
        <v>12.830066922810452</v>
      </c>
      <c r="AE701" s="250">
        <v>15.348117440371404</v>
      </c>
      <c r="AF701" s="251">
        <v>3.6597945578762285</v>
      </c>
      <c r="AG701" s="251">
        <v>3.5218707762542496</v>
      </c>
      <c r="AH701" s="251">
        <v>3.7327727845663317</v>
      </c>
      <c r="AI701" s="251">
        <v>4.5889845234906375</v>
      </c>
      <c r="AJ701" s="251">
        <v>5.0904143042091716</v>
      </c>
      <c r="AK701" s="250">
        <v>10.811229912619956</v>
      </c>
      <c r="AL701" s="250">
        <v>10.383827475565161</v>
      </c>
      <c r="AM701" s="250">
        <v>11.377458203605851</v>
      </c>
      <c r="AN701" s="250">
        <v>12.877630099253295</v>
      </c>
      <c r="AO701" s="250">
        <v>15.230874876590756</v>
      </c>
      <c r="AP701" s="251">
        <v>20.79508918931435</v>
      </c>
      <c r="AQ701" s="251">
        <v>21.521799295392544</v>
      </c>
      <c r="AR701" s="251">
        <v>24.232986998838179</v>
      </c>
      <c r="AS701" s="251">
        <v>26.916224313588359</v>
      </c>
      <c r="AT701" s="251">
        <v>32.19884777700296</v>
      </c>
      <c r="AU701" s="250">
        <v>2.6135853881023223</v>
      </c>
      <c r="AV701" s="250">
        <v>4.8288690476190528</v>
      </c>
      <c r="AW701" s="251">
        <v>5.2271707762046447</v>
      </c>
      <c r="AX701" s="251">
        <v>9.6577380952381056</v>
      </c>
      <c r="AY701" s="250">
        <v>8.2857142857142883</v>
      </c>
      <c r="AZ701" s="250">
        <v>8.8967857142857039</v>
      </c>
      <c r="BA701" s="250">
        <v>12.003928571428586</v>
      </c>
      <c r="BB701" s="250">
        <v>12.697857142857167</v>
      </c>
      <c r="BC701" s="250">
        <v>14.500000000000005</v>
      </c>
      <c r="BD701" s="251">
        <v>7.8012216829903984</v>
      </c>
      <c r="BE701" s="251">
        <v>7.507223214285716</v>
      </c>
      <c r="BF701" s="251">
        <v>9.9937571428571275</v>
      </c>
      <c r="BG701" s="251">
        <v>10.715875000000006</v>
      </c>
      <c r="BH701" s="251">
        <v>10.850732142857122</v>
      </c>
      <c r="BI701" s="250">
        <v>6.5413533834586559</v>
      </c>
      <c r="BJ701" s="250">
        <v>7.0237781954887302</v>
      </c>
      <c r="BK701" s="250">
        <v>9.476785714285711</v>
      </c>
      <c r="BL701" s="250">
        <v>10.024624060150396</v>
      </c>
      <c r="BM701" s="250">
        <v>11.447368421052614</v>
      </c>
      <c r="BN701" s="251">
        <v>6.9932380086806871</v>
      </c>
      <c r="BO701" s="251">
        <v>6.729689381377562</v>
      </c>
      <c r="BP701" s="251">
        <v>8.9586894387755311</v>
      </c>
      <c r="BQ701" s="251">
        <v>9.6060165178571211</v>
      </c>
      <c r="BR701" s="251">
        <v>9.7269063137754941</v>
      </c>
      <c r="BS701" s="250">
        <v>3.4233082706766877</v>
      </c>
      <c r="BT701" s="250">
        <v>3.6757772556390997</v>
      </c>
      <c r="BU701" s="250">
        <v>4.9595178571428535</v>
      </c>
      <c r="BV701" s="250">
        <v>5.2462199248120198</v>
      </c>
      <c r="BW701" s="250">
        <v>5.9907894736842069</v>
      </c>
      <c r="BX701" s="251">
        <v>10.477763789330771</v>
      </c>
      <c r="BY701" s="251">
        <v>11.250498868793898</v>
      </c>
      <c r="BZ701" s="251">
        <v>12.728616127640429</v>
      </c>
      <c r="CA701" s="251">
        <v>15.676944575562707</v>
      </c>
      <c r="CB701" s="251">
        <v>18.325382726982216</v>
      </c>
      <c r="CC701" s="250">
        <v>3.6597945578762285</v>
      </c>
      <c r="CD701" s="250">
        <v>3.5218707762542496</v>
      </c>
      <c r="CE701" s="250">
        <v>4.6883808062925123</v>
      </c>
      <c r="CF701" s="250">
        <v>5.0271486443452309</v>
      </c>
      <c r="CG701" s="250">
        <v>5.0904143042091716</v>
      </c>
      <c r="CH701" s="251">
        <v>10.811229912619956</v>
      </c>
      <c r="CI701" s="251">
        <v>10.383827475565161</v>
      </c>
      <c r="CJ701" s="251">
        <v>11.377458203605851</v>
      </c>
      <c r="CK701" s="251">
        <v>12.877630099253295</v>
      </c>
      <c r="CL701" s="251">
        <v>15.230874876590756</v>
      </c>
      <c r="CM701" s="250">
        <v>21.981322634959632</v>
      </c>
      <c r="CN701" s="250">
        <v>23.602445179287933</v>
      </c>
      <c r="CO701" s="250">
        <v>26.703390477567329</v>
      </c>
      <c r="CP701" s="250">
        <v>32.888694913767857</v>
      </c>
      <c r="CQ701" s="250">
        <v>38.444858867794764</v>
      </c>
      <c r="CR701" s="251">
        <v>15.375491022469834</v>
      </c>
      <c r="CS701" s="251">
        <v>17.52071936958755</v>
      </c>
      <c r="CT701" s="251">
        <v>24.104843594955668</v>
      </c>
      <c r="CU701" s="251">
        <v>27.466491182048088</v>
      </c>
      <c r="CV701" s="251">
        <v>32.648255161404997</v>
      </c>
      <c r="CW701" s="251">
        <v>37.308333993279071</v>
      </c>
      <c r="CX701" s="251">
        <v>47.534337628426293</v>
      </c>
      <c r="CY701" s="251">
        <v>52.002347943264944</v>
      </c>
      <c r="CZ701" s="251">
        <v>56.451860485716999</v>
      </c>
      <c r="DA701" s="250">
        <v>12.392186794229422</v>
      </c>
      <c r="DB701" s="250">
        <v>14.12117680533923</v>
      </c>
      <c r="DC701" s="250">
        <v>19.42778438996428</v>
      </c>
      <c r="DD701" s="250">
        <v>22.137171997471579</v>
      </c>
      <c r="DE701" s="250">
        <v>26.313519085311487</v>
      </c>
      <c r="DF701" s="250">
        <v>33.911201244495466</v>
      </c>
      <c r="DG701" s="250">
        <v>43.206069979746076</v>
      </c>
      <c r="DH701" s="250">
        <v>48.879976801567921</v>
      </c>
      <c r="DI701" s="250">
        <v>53.062327761771236</v>
      </c>
      <c r="DJ701" s="251">
        <v>6.3854194128374289</v>
      </c>
      <c r="DK701" s="251">
        <v>7.2763296746714037</v>
      </c>
      <c r="DL701" s="251">
        <v>10.01070704081585</v>
      </c>
      <c r="DM701" s="251">
        <v>11.406794471803808</v>
      </c>
      <c r="DN701" s="251">
        <v>13.558773635147171</v>
      </c>
      <c r="DO701" s="251">
        <v>15.289479616710006</v>
      </c>
      <c r="DP701" s="251">
        <v>19.480239626742794</v>
      </c>
      <c r="DQ701" s="251">
        <v>21.451849334141563</v>
      </c>
      <c r="DR701" s="251">
        <v>23.287348623042725</v>
      </c>
      <c r="DS701" s="250">
        <v>43.458344503876205</v>
      </c>
      <c r="DT701" s="250">
        <v>49.521765334617704</v>
      </c>
      <c r="DU701" s="250">
        <v>68.131586537999425</v>
      </c>
      <c r="DV701" s="250">
        <v>77.63317830680765</v>
      </c>
      <c r="DW701" s="250">
        <v>92.279272133897479</v>
      </c>
      <c r="DX701" s="251">
        <v>20.686306988491708</v>
      </c>
      <c r="DY701" s="251">
        <v>28.653053268998626</v>
      </c>
      <c r="DZ701" s="251">
        <v>39.712079529068859</v>
      </c>
      <c r="EA701" s="250">
        <v>14.638630392142105</v>
      </c>
      <c r="EB701" s="250">
        <v>20.276285015231377</v>
      </c>
      <c r="EC701" s="250">
        <v>28.102186371535577</v>
      </c>
      <c r="ED701" s="251">
        <v>8.5426171452302189</v>
      </c>
      <c r="EE701" s="251">
        <v>11.832564616541514</v>
      </c>
      <c r="EF701" s="251">
        <v>16.399499999999975</v>
      </c>
      <c r="EG701" s="250">
        <v>56.775839707328338</v>
      </c>
      <c r="EH701" s="250">
        <v>78.641449168826242</v>
      </c>
      <c r="EI701" s="250">
        <v>108.99416039032165</v>
      </c>
    </row>
    <row r="702" spans="1:139">
      <c r="A702" s="248">
        <v>1998</v>
      </c>
      <c r="B702" s="251">
        <v>8.2885976470588218</v>
      </c>
      <c r="C702" s="251">
        <v>8.5782529411764674</v>
      </c>
      <c r="D702" s="251">
        <v>9.6588900000000013</v>
      </c>
      <c r="E702" s="251">
        <v>10.728386470588235</v>
      </c>
      <c r="F702" s="251">
        <v>12.833957647058824</v>
      </c>
      <c r="G702" s="250">
        <v>7.7747768637260242</v>
      </c>
      <c r="H702" s="250">
        <v>7.4817750000000016</v>
      </c>
      <c r="I702" s="250">
        <v>7.9298099999999794</v>
      </c>
      <c r="J702" s="250">
        <v>9.7487250000000145</v>
      </c>
      <c r="K702" s="250">
        <v>10.813949999999979</v>
      </c>
      <c r="L702" s="251">
        <v>6.1673684210526298</v>
      </c>
      <c r="M702" s="251">
        <v>6.3828947368420978</v>
      </c>
      <c r="N702" s="251">
        <v>7.1869736842105283</v>
      </c>
      <c r="O702" s="251">
        <v>7.9827631578947189</v>
      </c>
      <c r="P702" s="251">
        <v>9.5494736842105201</v>
      </c>
      <c r="Q702" s="250">
        <v>6.9695321171258371</v>
      </c>
      <c r="R702" s="250">
        <v>6.7068768750000114</v>
      </c>
      <c r="S702" s="250">
        <v>7.1085082500000087</v>
      </c>
      <c r="T702" s="250">
        <v>8.7390356250000227</v>
      </c>
      <c r="U702" s="250">
        <v>9.6939337499999834</v>
      </c>
      <c r="V702" s="251">
        <v>3.2275894736842097</v>
      </c>
      <c r="W702" s="251">
        <v>3.340381578947365</v>
      </c>
      <c r="X702" s="251">
        <v>3.7611828947368435</v>
      </c>
      <c r="Y702" s="251">
        <v>4.1776460526315846</v>
      </c>
      <c r="Z702" s="251">
        <v>4.9975578947368389</v>
      </c>
      <c r="AA702" s="250">
        <v>9.8787247423407489</v>
      </c>
      <c r="AB702" s="250">
        <v>10.223948994089223</v>
      </c>
      <c r="AC702" s="250">
        <v>11.511901010227716</v>
      </c>
      <c r="AD702" s="250">
        <v>12.786575170529739</v>
      </c>
      <c r="AE702" s="250">
        <v>15.296089923624383</v>
      </c>
      <c r="AF702" s="251">
        <v>3.6473884746291905</v>
      </c>
      <c r="AG702" s="251">
        <v>3.5099322312499979</v>
      </c>
      <c r="AH702" s="251">
        <v>3.7201193175000054</v>
      </c>
      <c r="AI702" s="251">
        <v>4.5734286437499909</v>
      </c>
      <c r="AJ702" s="251">
        <v>5.0731586624999876</v>
      </c>
      <c r="AK702" s="250">
        <v>10.774581675628024</v>
      </c>
      <c r="AL702" s="250">
        <v>10.348628060393754</v>
      </c>
      <c r="AM702" s="250">
        <v>11.338890548678373</v>
      </c>
      <c r="AN702" s="250">
        <v>12.833977115865997</v>
      </c>
      <c r="AO702" s="250">
        <v>15.179244792263329</v>
      </c>
      <c r="AP702" s="251">
        <v>20.724597361553961</v>
      </c>
      <c r="AQ702" s="251">
        <v>21.448844043543755</v>
      </c>
      <c r="AR702" s="251">
        <v>24.150841280198051</v>
      </c>
      <c r="AS702" s="251">
        <v>26.824982875237211</v>
      </c>
      <c r="AT702" s="251">
        <v>32.089699140470749</v>
      </c>
      <c r="AU702" s="250">
        <v>2.6047257766172298</v>
      </c>
      <c r="AV702" s="250">
        <v>4.8125000000000053</v>
      </c>
      <c r="AW702" s="251">
        <v>5.2094515532344596</v>
      </c>
      <c r="AX702" s="251">
        <v>9.6250000000000107</v>
      </c>
      <c r="AY702" s="250">
        <v>8.2666666666666693</v>
      </c>
      <c r="AZ702" s="250">
        <v>8.8763333333333225</v>
      </c>
      <c r="BA702" s="250">
        <v>11.976333333333349</v>
      </c>
      <c r="BB702" s="250">
        <v>12.668666666666692</v>
      </c>
      <c r="BC702" s="250">
        <v>14.466666666666672</v>
      </c>
      <c r="BD702" s="251">
        <v>7.7747768637260242</v>
      </c>
      <c r="BE702" s="251">
        <v>7.4817750000000016</v>
      </c>
      <c r="BF702" s="251">
        <v>9.9598799999999841</v>
      </c>
      <c r="BG702" s="251">
        <v>10.679550000000006</v>
      </c>
      <c r="BH702" s="251">
        <v>10.813949999999979</v>
      </c>
      <c r="BI702" s="250">
        <v>6.5263157894736938</v>
      </c>
      <c r="BJ702" s="250">
        <v>7.0076315789473771</v>
      </c>
      <c r="BK702" s="250">
        <v>9.4549999999999965</v>
      </c>
      <c r="BL702" s="250">
        <v>10.001578947368442</v>
      </c>
      <c r="BM702" s="250">
        <v>11.421052631578929</v>
      </c>
      <c r="BN702" s="251">
        <v>6.9695321171258371</v>
      </c>
      <c r="BO702" s="251">
        <v>6.7068768750000114</v>
      </c>
      <c r="BP702" s="251">
        <v>8.9283210000000217</v>
      </c>
      <c r="BQ702" s="251">
        <v>9.5734537499999774</v>
      </c>
      <c r="BR702" s="251">
        <v>9.6939337499999834</v>
      </c>
      <c r="BS702" s="250">
        <v>3.4154385964912239</v>
      </c>
      <c r="BT702" s="250">
        <v>3.6673271929824582</v>
      </c>
      <c r="BU702" s="250">
        <v>4.9481166666666629</v>
      </c>
      <c r="BV702" s="250">
        <v>5.2341596491227964</v>
      </c>
      <c r="BW702" s="250">
        <v>5.9770175438596453</v>
      </c>
      <c r="BX702" s="251">
        <v>10.453676976021965</v>
      </c>
      <c r="BY702" s="251">
        <v>11.224635653003567</v>
      </c>
      <c r="BZ702" s="251">
        <v>12.699354941140106</v>
      </c>
      <c r="CA702" s="251">
        <v>15.640905622515437</v>
      </c>
      <c r="CB702" s="251">
        <v>18.283255410368465</v>
      </c>
      <c r="CC702" s="250">
        <v>3.6473884746291905</v>
      </c>
      <c r="CD702" s="250">
        <v>3.5099322312499979</v>
      </c>
      <c r="CE702" s="250">
        <v>4.6724879899999952</v>
      </c>
      <c r="CF702" s="250">
        <v>5.0101074624999926</v>
      </c>
      <c r="CG702" s="250">
        <v>5.0731586624999876</v>
      </c>
      <c r="CH702" s="251">
        <v>10.774581675628024</v>
      </c>
      <c r="CI702" s="251">
        <v>10.348628060393754</v>
      </c>
      <c r="CJ702" s="251">
        <v>11.338890548678373</v>
      </c>
      <c r="CK702" s="251">
        <v>12.833977115865997</v>
      </c>
      <c r="CL702" s="251">
        <v>15.179244792263329</v>
      </c>
      <c r="CM702" s="250">
        <v>21.930790858787311</v>
      </c>
      <c r="CN702" s="250">
        <v>23.548186684622905</v>
      </c>
      <c r="CO702" s="250">
        <v>26.642003373021197</v>
      </c>
      <c r="CP702" s="250">
        <v>32.81308871856379</v>
      </c>
      <c r="CQ702" s="250">
        <v>38.356479881891786</v>
      </c>
      <c r="CR702" s="251">
        <v>15.340145066096341</v>
      </c>
      <c r="CS702" s="251">
        <v>17.480441853795394</v>
      </c>
      <c r="CT702" s="251">
        <v>24.049430161404047</v>
      </c>
      <c r="CU702" s="251">
        <v>27.403349823008899</v>
      </c>
      <c r="CV702" s="251">
        <v>32.573201701263834</v>
      </c>
      <c r="CW702" s="251">
        <v>37.264698514924355</v>
      </c>
      <c r="CX702" s="251">
        <v>47.478741911901821</v>
      </c>
      <c r="CY702" s="251">
        <v>51.941526483682175</v>
      </c>
      <c r="CZ702" s="251">
        <v>56.385834917897448</v>
      </c>
      <c r="DA702" s="250">
        <v>12.363699008495562</v>
      </c>
      <c r="DB702" s="250">
        <v>14.088714329924658</v>
      </c>
      <c r="DC702" s="250">
        <v>19.383122816654019</v>
      </c>
      <c r="DD702" s="250">
        <v>22.08628194690268</v>
      </c>
      <c r="DE702" s="250">
        <v>26.253028236839505</v>
      </c>
      <c r="DF702" s="250">
        <v>33.871539020817693</v>
      </c>
      <c r="DG702" s="250">
        <v>43.155536564565089</v>
      </c>
      <c r="DH702" s="250">
        <v>48.822807238057315</v>
      </c>
      <c r="DI702" s="250">
        <v>53.000266559710688</v>
      </c>
      <c r="DJ702" s="251">
        <v>6.3707402877504462</v>
      </c>
      <c r="DK702" s="251">
        <v>7.2596024800169863</v>
      </c>
      <c r="DL702" s="251">
        <v>9.9876939211817906</v>
      </c>
      <c r="DM702" s="251">
        <v>11.380571955776674</v>
      </c>
      <c r="DN702" s="251">
        <v>13.527604040583615</v>
      </c>
      <c r="DO702" s="251">
        <v>15.27159718440976</v>
      </c>
      <c r="DP702" s="251">
        <v>19.457455720746601</v>
      </c>
      <c r="DQ702" s="251">
        <v>21.426759451879409</v>
      </c>
      <c r="DR702" s="251">
        <v>23.260111957986535</v>
      </c>
      <c r="DS702" s="250">
        <v>43.358440263637412</v>
      </c>
      <c r="DT702" s="250">
        <v>49.407922195917436</v>
      </c>
      <c r="DU702" s="250">
        <v>67.974962201130467</v>
      </c>
      <c r="DV702" s="250">
        <v>77.454711230240278</v>
      </c>
      <c r="DW702" s="250">
        <v>92.0671358761184</v>
      </c>
      <c r="DX702" s="251">
        <v>20.638752259782532</v>
      </c>
      <c r="DY702" s="251">
        <v>28.587184181023915</v>
      </c>
      <c r="DZ702" s="251">
        <v>39.620787392220421</v>
      </c>
      <c r="EA702" s="250">
        <v>14.604978368252123</v>
      </c>
      <c r="EB702" s="250">
        <v>20.229672865771075</v>
      </c>
      <c r="EC702" s="250">
        <v>28.037583644244691</v>
      </c>
      <c r="ED702" s="251">
        <v>8.5229789448963569</v>
      </c>
      <c r="EE702" s="251">
        <v>11.805363318572454</v>
      </c>
      <c r="EF702" s="251">
        <v>16.361799999999974</v>
      </c>
      <c r="EG702" s="250">
        <v>56.645320535587352</v>
      </c>
      <c r="EH702" s="250">
        <v>78.460664228208245</v>
      </c>
      <c r="EI702" s="250">
        <v>108.74359910206805</v>
      </c>
    </row>
    <row r="703" spans="1:139">
      <c r="A703" s="248">
        <v>1999</v>
      </c>
      <c r="B703" s="251">
        <v>8.2279835294117625</v>
      </c>
      <c r="C703" s="251">
        <v>8.5155205882352902</v>
      </c>
      <c r="D703" s="251">
        <v>9.588255000000002</v>
      </c>
      <c r="E703" s="251">
        <v>10.649930294117647</v>
      </c>
      <c r="F703" s="251">
        <v>12.740103529411765</v>
      </c>
      <c r="G703" s="250">
        <v>7.7483320444616499</v>
      </c>
      <c r="H703" s="250">
        <v>7.4563267857142872</v>
      </c>
      <c r="I703" s="250">
        <v>7.9028378571428366</v>
      </c>
      <c r="J703" s="250">
        <v>9.7155660714285865</v>
      </c>
      <c r="K703" s="250">
        <v>10.777167857142835</v>
      </c>
      <c r="L703" s="251">
        <v>6.1463909774436072</v>
      </c>
      <c r="M703" s="251">
        <v>6.3611842105263081</v>
      </c>
      <c r="N703" s="251">
        <v>7.1625281954887239</v>
      </c>
      <c r="O703" s="251">
        <v>7.9556109022556214</v>
      </c>
      <c r="P703" s="251">
        <v>9.5169924812030011</v>
      </c>
      <c r="Q703" s="250">
        <v>6.9458262255709871</v>
      </c>
      <c r="R703" s="250">
        <v>6.6840643686224608</v>
      </c>
      <c r="S703" s="250">
        <v>7.0843296505102131</v>
      </c>
      <c r="T703" s="250">
        <v>8.7093110140306358</v>
      </c>
      <c r="U703" s="250">
        <v>9.6609611862244726</v>
      </c>
      <c r="V703" s="251">
        <v>3.2166112781954879</v>
      </c>
      <c r="W703" s="251">
        <v>3.3290197368421017</v>
      </c>
      <c r="X703" s="251">
        <v>3.7483897556390993</v>
      </c>
      <c r="Y703" s="251">
        <v>4.163436372180457</v>
      </c>
      <c r="Z703" s="251">
        <v>4.9805593984962373</v>
      </c>
      <c r="AA703" s="250">
        <v>9.8451236377749645</v>
      </c>
      <c r="AB703" s="250">
        <v>10.189173657374635</v>
      </c>
      <c r="AC703" s="250">
        <v>11.472744884342587</v>
      </c>
      <c r="AD703" s="250">
        <v>12.743083418249025</v>
      </c>
      <c r="AE703" s="250">
        <v>15.244062406877362</v>
      </c>
      <c r="AF703" s="251">
        <v>3.6349823913821524</v>
      </c>
      <c r="AG703" s="251">
        <v>3.4979936862457461</v>
      </c>
      <c r="AH703" s="251">
        <v>3.707465850433679</v>
      </c>
      <c r="AI703" s="251">
        <v>4.5578727640093444</v>
      </c>
      <c r="AJ703" s="251">
        <v>5.0559030207908036</v>
      </c>
      <c r="AK703" s="250">
        <v>10.737933438636093</v>
      </c>
      <c r="AL703" s="250">
        <v>10.313428645222347</v>
      </c>
      <c r="AM703" s="250">
        <v>11.300322893750895</v>
      </c>
      <c r="AN703" s="250">
        <v>12.790324132478698</v>
      </c>
      <c r="AO703" s="250">
        <v>15.127614707935903</v>
      </c>
      <c r="AP703" s="251">
        <v>20.654105533793572</v>
      </c>
      <c r="AQ703" s="251">
        <v>21.375888791694965</v>
      </c>
      <c r="AR703" s="251">
        <v>24.068695561557924</v>
      </c>
      <c r="AS703" s="251">
        <v>26.733741436886064</v>
      </c>
      <c r="AT703" s="251">
        <v>31.980550503938534</v>
      </c>
      <c r="AU703" s="250">
        <v>2.5958661651321373</v>
      </c>
      <c r="AV703" s="250">
        <v>4.7961309523809579</v>
      </c>
      <c r="AW703" s="251">
        <v>5.1917323302642746</v>
      </c>
      <c r="AX703" s="251">
        <v>9.5922619047619158</v>
      </c>
      <c r="AY703" s="250">
        <v>8.2476190476190503</v>
      </c>
      <c r="AZ703" s="250">
        <v>8.8558809523809412</v>
      </c>
      <c r="BA703" s="250">
        <v>11.948738095238111</v>
      </c>
      <c r="BB703" s="250">
        <v>12.639476190476216</v>
      </c>
      <c r="BC703" s="250">
        <v>14.433333333333339</v>
      </c>
      <c r="BD703" s="251">
        <v>7.7483320444616499</v>
      </c>
      <c r="BE703" s="251">
        <v>7.4563267857142872</v>
      </c>
      <c r="BF703" s="251">
        <v>9.9260028571428407</v>
      </c>
      <c r="BG703" s="251">
        <v>10.643225000000006</v>
      </c>
      <c r="BH703" s="251">
        <v>10.777167857142835</v>
      </c>
      <c r="BI703" s="250">
        <v>6.5112781954887318</v>
      </c>
      <c r="BJ703" s="250">
        <v>6.991484962406024</v>
      </c>
      <c r="BK703" s="250">
        <v>9.433214285714282</v>
      </c>
      <c r="BL703" s="250">
        <v>9.9785338345864876</v>
      </c>
      <c r="BM703" s="250">
        <v>11.394736842105244</v>
      </c>
      <c r="BN703" s="251">
        <v>6.9458262255709871</v>
      </c>
      <c r="BO703" s="251">
        <v>6.6840643686224608</v>
      </c>
      <c r="BP703" s="251">
        <v>8.8979525612245123</v>
      </c>
      <c r="BQ703" s="251">
        <v>9.5408909821428338</v>
      </c>
      <c r="BR703" s="251">
        <v>9.6609611862244726</v>
      </c>
      <c r="BS703" s="250">
        <v>3.4075689223057601</v>
      </c>
      <c r="BT703" s="250">
        <v>3.6588771303258167</v>
      </c>
      <c r="BU703" s="250">
        <v>4.9367154761904724</v>
      </c>
      <c r="BV703" s="250">
        <v>5.222099373433573</v>
      </c>
      <c r="BW703" s="250">
        <v>5.9632456140350838</v>
      </c>
      <c r="BX703" s="251">
        <v>10.42959016271316</v>
      </c>
      <c r="BY703" s="251">
        <v>11.198772437213236</v>
      </c>
      <c r="BZ703" s="251">
        <v>12.670093754639783</v>
      </c>
      <c r="CA703" s="251">
        <v>15.604866669468166</v>
      </c>
      <c r="CB703" s="251">
        <v>18.241128093754714</v>
      </c>
      <c r="CC703" s="250">
        <v>3.6349823913821524</v>
      </c>
      <c r="CD703" s="250">
        <v>3.4979936862457461</v>
      </c>
      <c r="CE703" s="250">
        <v>4.656595173707478</v>
      </c>
      <c r="CF703" s="250">
        <v>4.9930662806547543</v>
      </c>
      <c r="CG703" s="250">
        <v>5.0559030207908036</v>
      </c>
      <c r="CH703" s="251">
        <v>10.737933438636093</v>
      </c>
      <c r="CI703" s="251">
        <v>10.313428645222347</v>
      </c>
      <c r="CJ703" s="251">
        <v>11.300322893750895</v>
      </c>
      <c r="CK703" s="251">
        <v>12.790324132478698</v>
      </c>
      <c r="CL703" s="251">
        <v>15.127614707935903</v>
      </c>
      <c r="CM703" s="250">
        <v>21.880259082614991</v>
      </c>
      <c r="CN703" s="250">
        <v>23.493928189957877</v>
      </c>
      <c r="CO703" s="250">
        <v>26.580616268475065</v>
      </c>
      <c r="CP703" s="250">
        <v>32.737482523359724</v>
      </c>
      <c r="CQ703" s="250">
        <v>38.268100895988809</v>
      </c>
      <c r="CR703" s="251">
        <v>15.304799109722847</v>
      </c>
      <c r="CS703" s="251">
        <v>17.440164338003239</v>
      </c>
      <c r="CT703" s="251">
        <v>23.994016727852426</v>
      </c>
      <c r="CU703" s="251">
        <v>27.340208463969709</v>
      </c>
      <c r="CV703" s="251">
        <v>32.498148241122671</v>
      </c>
      <c r="CW703" s="251">
        <v>37.221063036569639</v>
      </c>
      <c r="CX703" s="251">
        <v>47.423146195377349</v>
      </c>
      <c r="CY703" s="251">
        <v>51.880705024099406</v>
      </c>
      <c r="CZ703" s="251">
        <v>56.319809350077897</v>
      </c>
      <c r="DA703" s="250">
        <v>12.335211222761702</v>
      </c>
      <c r="DB703" s="250">
        <v>14.056251854510085</v>
      </c>
      <c r="DC703" s="250">
        <v>19.338461243343758</v>
      </c>
      <c r="DD703" s="250">
        <v>22.035391896333781</v>
      </c>
      <c r="DE703" s="250">
        <v>26.192537388367523</v>
      </c>
      <c r="DF703" s="250">
        <v>33.83187679713992</v>
      </c>
      <c r="DG703" s="250">
        <v>43.105003149384103</v>
      </c>
      <c r="DH703" s="250">
        <v>48.76563767454671</v>
      </c>
      <c r="DI703" s="250">
        <v>52.938205357650141</v>
      </c>
      <c r="DJ703" s="251">
        <v>6.3560611626634635</v>
      </c>
      <c r="DK703" s="251">
        <v>7.2428752853625689</v>
      </c>
      <c r="DL703" s="251">
        <v>9.9646808015477308</v>
      </c>
      <c r="DM703" s="251">
        <v>11.354349439749539</v>
      </c>
      <c r="DN703" s="251">
        <v>13.496434446020059</v>
      </c>
      <c r="DO703" s="251">
        <v>15.253714752109515</v>
      </c>
      <c r="DP703" s="251">
        <v>19.434671814750409</v>
      </c>
      <c r="DQ703" s="251">
        <v>21.401669569617255</v>
      </c>
      <c r="DR703" s="251">
        <v>23.232875292930345</v>
      </c>
      <c r="DS703" s="250">
        <v>43.258536023398619</v>
      </c>
      <c r="DT703" s="250">
        <v>49.294079057217168</v>
      </c>
      <c r="DU703" s="250">
        <v>67.818337864261508</v>
      </c>
      <c r="DV703" s="250">
        <v>77.276244153672906</v>
      </c>
      <c r="DW703" s="250">
        <v>91.85499961833932</v>
      </c>
      <c r="DX703" s="251">
        <v>20.591197531073355</v>
      </c>
      <c r="DY703" s="251">
        <v>28.521315093049203</v>
      </c>
      <c r="DZ703" s="251">
        <v>39.529495255371984</v>
      </c>
      <c r="EA703" s="250">
        <v>14.571326344362141</v>
      </c>
      <c r="EB703" s="250">
        <v>20.183060716310774</v>
      </c>
      <c r="EC703" s="250">
        <v>27.972980916953805</v>
      </c>
      <c r="ED703" s="251">
        <v>8.5033407445624949</v>
      </c>
      <c r="EE703" s="251">
        <v>11.778162020603393</v>
      </c>
      <c r="EF703" s="251">
        <v>16.324099999999973</v>
      </c>
      <c r="EG703" s="250">
        <v>56.514801363846367</v>
      </c>
      <c r="EH703" s="250">
        <v>78.279879287590248</v>
      </c>
      <c r="EI703" s="250">
        <v>108.49303781381444</v>
      </c>
    </row>
    <row r="704" spans="1:139">
      <c r="A704" s="248">
        <v>2000</v>
      </c>
      <c r="B704" s="251">
        <v>8.1673694117647031</v>
      </c>
      <c r="C704" s="251">
        <v>8.4527882352941131</v>
      </c>
      <c r="D704" s="251">
        <v>9.5176200000000026</v>
      </c>
      <c r="E704" s="251">
        <v>10.571474117647059</v>
      </c>
      <c r="F704" s="251">
        <v>12.646249411764707</v>
      </c>
      <c r="G704" s="250">
        <v>7.7218872251972757</v>
      </c>
      <c r="H704" s="250">
        <v>7.4308785714285728</v>
      </c>
      <c r="I704" s="250">
        <v>7.8758657142856938</v>
      </c>
      <c r="J704" s="250">
        <v>9.6824071428571585</v>
      </c>
      <c r="K704" s="250">
        <v>10.740385714285692</v>
      </c>
      <c r="L704" s="251">
        <v>6.1254135338345845</v>
      </c>
      <c r="M704" s="251">
        <v>6.3394736842105184</v>
      </c>
      <c r="N704" s="251">
        <v>7.1380827067669195</v>
      </c>
      <c r="O704" s="251">
        <v>7.9284586466165239</v>
      </c>
      <c r="P704" s="251">
        <v>9.4845112781954821</v>
      </c>
      <c r="Q704" s="250">
        <v>6.922120334016137</v>
      </c>
      <c r="R704" s="250">
        <v>6.6612518622449102</v>
      </c>
      <c r="S704" s="250">
        <v>7.0601510510204175</v>
      </c>
      <c r="T704" s="250">
        <v>8.6795864030612488</v>
      </c>
      <c r="U704" s="250">
        <v>9.6279886224489619</v>
      </c>
      <c r="V704" s="251">
        <v>3.2056330827067661</v>
      </c>
      <c r="W704" s="251">
        <v>3.3176578947368385</v>
      </c>
      <c r="X704" s="251">
        <v>3.735596616541355</v>
      </c>
      <c r="Y704" s="251">
        <v>4.1492266917293295</v>
      </c>
      <c r="Z704" s="251">
        <v>4.9635609022556357</v>
      </c>
      <c r="AA704" s="250">
        <v>9.81152253320918</v>
      </c>
      <c r="AB704" s="250">
        <v>10.154398320660047</v>
      </c>
      <c r="AC704" s="250">
        <v>11.433588758457459</v>
      </c>
      <c r="AD704" s="250">
        <v>12.699591665968311</v>
      </c>
      <c r="AE704" s="250">
        <v>15.192034890130341</v>
      </c>
      <c r="AF704" s="251">
        <v>3.6225763081351143</v>
      </c>
      <c r="AG704" s="251">
        <v>3.4860551412414944</v>
      </c>
      <c r="AH704" s="251">
        <v>3.6948123833673527</v>
      </c>
      <c r="AI704" s="251">
        <v>4.5423168842686978</v>
      </c>
      <c r="AJ704" s="251">
        <v>5.0386473790816195</v>
      </c>
      <c r="AK704" s="250">
        <v>10.701285201644161</v>
      </c>
      <c r="AL704" s="250">
        <v>10.27822923005094</v>
      </c>
      <c r="AM704" s="250">
        <v>11.261755238823417</v>
      </c>
      <c r="AN704" s="250">
        <v>12.7466711490914</v>
      </c>
      <c r="AO704" s="250">
        <v>15.075984623608477</v>
      </c>
      <c r="AP704" s="251">
        <v>20.583613706033184</v>
      </c>
      <c r="AQ704" s="251">
        <v>21.302933539846176</v>
      </c>
      <c r="AR704" s="251">
        <v>23.986549842917796</v>
      </c>
      <c r="AS704" s="251">
        <v>26.642499998534916</v>
      </c>
      <c r="AT704" s="251">
        <v>31.87140186740632</v>
      </c>
      <c r="AU704" s="250">
        <v>2.5870065536470448</v>
      </c>
      <c r="AV704" s="250">
        <v>4.7797619047619104</v>
      </c>
      <c r="AW704" s="251">
        <v>5.1740131072940896</v>
      </c>
      <c r="AX704" s="251">
        <v>9.5595238095238209</v>
      </c>
      <c r="AY704" s="250">
        <v>8.2285714285714313</v>
      </c>
      <c r="AZ704" s="250">
        <v>8.8354285714285599</v>
      </c>
      <c r="BA704" s="250">
        <v>11.921142857142874</v>
      </c>
      <c r="BB704" s="250">
        <v>12.610285714285741</v>
      </c>
      <c r="BC704" s="250">
        <v>14.400000000000006</v>
      </c>
      <c r="BD704" s="251">
        <v>7.7218872251972757</v>
      </c>
      <c r="BE704" s="251">
        <v>7.4308785714285728</v>
      </c>
      <c r="BF704" s="251">
        <v>9.8921257142856973</v>
      </c>
      <c r="BG704" s="251">
        <v>10.606900000000007</v>
      </c>
      <c r="BH704" s="251">
        <v>10.740385714285692</v>
      </c>
      <c r="BI704" s="250">
        <v>6.4962406015037697</v>
      </c>
      <c r="BJ704" s="250">
        <v>6.9753383458646709</v>
      </c>
      <c r="BK704" s="250">
        <v>9.4114285714285675</v>
      </c>
      <c r="BL704" s="250">
        <v>9.9554887218045334</v>
      </c>
      <c r="BM704" s="250">
        <v>11.368421052631559</v>
      </c>
      <c r="BN704" s="251">
        <v>6.922120334016137</v>
      </c>
      <c r="BO704" s="251">
        <v>6.6612518622449102</v>
      </c>
      <c r="BP704" s="251">
        <v>8.8675841224490028</v>
      </c>
      <c r="BQ704" s="251">
        <v>9.5083282142856902</v>
      </c>
      <c r="BR704" s="251">
        <v>9.6279886224489619</v>
      </c>
      <c r="BS704" s="250">
        <v>3.3996992481202963</v>
      </c>
      <c r="BT704" s="250">
        <v>3.6504270676691752</v>
      </c>
      <c r="BU704" s="250">
        <v>4.9253142857142818</v>
      </c>
      <c r="BV704" s="250">
        <v>5.2100390977443496</v>
      </c>
      <c r="BW704" s="250">
        <v>5.9494736842105223</v>
      </c>
      <c r="BX704" s="251">
        <v>10.405503349404354</v>
      </c>
      <c r="BY704" s="251">
        <v>11.172909221422906</v>
      </c>
      <c r="BZ704" s="251">
        <v>12.64083256813946</v>
      </c>
      <c r="CA704" s="251">
        <v>15.568827716420895</v>
      </c>
      <c r="CB704" s="251">
        <v>18.199000777140963</v>
      </c>
      <c r="CC704" s="250">
        <v>3.6225763081351143</v>
      </c>
      <c r="CD704" s="250">
        <v>3.4860551412414944</v>
      </c>
      <c r="CE704" s="250">
        <v>4.6407023574149608</v>
      </c>
      <c r="CF704" s="250">
        <v>4.976025098809516</v>
      </c>
      <c r="CG704" s="250">
        <v>5.0386473790816195</v>
      </c>
      <c r="CH704" s="251">
        <v>10.701285201644161</v>
      </c>
      <c r="CI704" s="251">
        <v>10.27822923005094</v>
      </c>
      <c r="CJ704" s="251">
        <v>11.261755238823417</v>
      </c>
      <c r="CK704" s="251">
        <v>12.7466711490914</v>
      </c>
      <c r="CL704" s="251">
        <v>15.075984623608477</v>
      </c>
      <c r="CM704" s="250">
        <v>21.82972730644267</v>
      </c>
      <c r="CN704" s="250">
        <v>23.439669695292849</v>
      </c>
      <c r="CO704" s="250">
        <v>26.519229163928934</v>
      </c>
      <c r="CP704" s="250">
        <v>32.661876328155657</v>
      </c>
      <c r="CQ704" s="250">
        <v>38.179721910085831</v>
      </c>
      <c r="CR704" s="251">
        <v>15.269453153349353</v>
      </c>
      <c r="CS704" s="251">
        <v>17.399886822211084</v>
      </c>
      <c r="CT704" s="251">
        <v>23.938603294300805</v>
      </c>
      <c r="CU704" s="251">
        <v>27.27706710493052</v>
      </c>
      <c r="CV704" s="251">
        <v>32.423094780981508</v>
      </c>
      <c r="CW704" s="251">
        <v>37.177427558214923</v>
      </c>
      <c r="CX704" s="251">
        <v>47.367550478852877</v>
      </c>
      <c r="CY704" s="251">
        <v>51.819883564516637</v>
      </c>
      <c r="CZ704" s="251">
        <v>56.253783782258346</v>
      </c>
      <c r="DA704" s="250">
        <v>12.306723437027841</v>
      </c>
      <c r="DB704" s="250">
        <v>14.023789379095513</v>
      </c>
      <c r="DC704" s="250">
        <v>19.293799670033497</v>
      </c>
      <c r="DD704" s="250">
        <v>21.984501845764882</v>
      </c>
      <c r="DE704" s="250">
        <v>26.132046539895541</v>
      </c>
      <c r="DF704" s="250">
        <v>33.792214573462147</v>
      </c>
      <c r="DG704" s="250">
        <v>43.054469734203117</v>
      </c>
      <c r="DH704" s="250">
        <v>48.708468111036105</v>
      </c>
      <c r="DI704" s="250">
        <v>52.876144155589593</v>
      </c>
      <c r="DJ704" s="251">
        <v>6.3413820375764809</v>
      </c>
      <c r="DK704" s="251">
        <v>7.2261480907081515</v>
      </c>
      <c r="DL704" s="251">
        <v>9.9416676819136711</v>
      </c>
      <c r="DM704" s="251">
        <v>11.328126923722404</v>
      </c>
      <c r="DN704" s="251">
        <v>13.465264851456503</v>
      </c>
      <c r="DO704" s="251">
        <v>15.235832319809269</v>
      </c>
      <c r="DP704" s="251">
        <v>19.411887908754217</v>
      </c>
      <c r="DQ704" s="251">
        <v>21.3765796873551</v>
      </c>
      <c r="DR704" s="251">
        <v>23.205638627874155</v>
      </c>
      <c r="DS704" s="250">
        <v>43.158631783159827</v>
      </c>
      <c r="DT704" s="250">
        <v>49.1802359185169</v>
      </c>
      <c r="DU704" s="250">
        <v>67.66171352739255</v>
      </c>
      <c r="DV704" s="250">
        <v>77.097777077105533</v>
      </c>
      <c r="DW704" s="250">
        <v>91.642863360560241</v>
      </c>
      <c r="DX704" s="251">
        <v>20.543642802364179</v>
      </c>
      <c r="DY704" s="251">
        <v>28.455446005074492</v>
      </c>
      <c r="DZ704" s="251">
        <v>39.438203118523546</v>
      </c>
      <c r="EA704" s="250">
        <v>14.53767432047216</v>
      </c>
      <c r="EB704" s="250">
        <v>20.136448566850472</v>
      </c>
      <c r="EC704" s="250">
        <v>27.908378189662919</v>
      </c>
      <c r="ED704" s="251">
        <v>8.4837025442286329</v>
      </c>
      <c r="EE704" s="251">
        <v>11.750960722634332</v>
      </c>
      <c r="EF704" s="251">
        <v>16.286399999999972</v>
      </c>
      <c r="EG704" s="250">
        <v>56.384282192105381</v>
      </c>
      <c r="EH704" s="250">
        <v>78.099094346972251</v>
      </c>
      <c r="EI704" s="250">
        <v>108.24247652556083</v>
      </c>
    </row>
    <row r="705" spans="1:139">
      <c r="A705" s="248">
        <v>2001</v>
      </c>
      <c r="B705" s="251">
        <v>8.1067552941176437</v>
      </c>
      <c r="C705" s="251">
        <v>8.3900558823529359</v>
      </c>
      <c r="D705" s="251">
        <v>9.4469850000000033</v>
      </c>
      <c r="E705" s="251">
        <v>10.49301794117647</v>
      </c>
      <c r="F705" s="251">
        <v>12.552395294117648</v>
      </c>
      <c r="G705" s="250">
        <v>7.6954424059329014</v>
      </c>
      <c r="H705" s="250">
        <v>7.4054303571428584</v>
      </c>
      <c r="I705" s="250">
        <v>7.848893571428551</v>
      </c>
      <c r="J705" s="250">
        <v>9.6492482142857305</v>
      </c>
      <c r="K705" s="250">
        <v>10.703603571428548</v>
      </c>
      <c r="L705" s="251">
        <v>6.1044360902255619</v>
      </c>
      <c r="M705" s="251">
        <v>6.3177631578947286</v>
      </c>
      <c r="N705" s="251">
        <v>7.1136372180451151</v>
      </c>
      <c r="O705" s="251">
        <v>7.9013063909774264</v>
      </c>
      <c r="P705" s="251">
        <v>9.4520300751879631</v>
      </c>
      <c r="Q705" s="250">
        <v>6.898414442461287</v>
      </c>
      <c r="R705" s="250">
        <v>6.6384393558673596</v>
      </c>
      <c r="S705" s="250">
        <v>7.0359724515306219</v>
      </c>
      <c r="T705" s="250">
        <v>8.6498617920918619</v>
      </c>
      <c r="U705" s="250">
        <v>9.5950160586734512</v>
      </c>
      <c r="V705" s="251">
        <v>3.1946548872180442</v>
      </c>
      <c r="W705" s="251">
        <v>3.3062960526315752</v>
      </c>
      <c r="X705" s="251">
        <v>3.7228034774436107</v>
      </c>
      <c r="Y705" s="251">
        <v>4.1350170112782019</v>
      </c>
      <c r="Z705" s="251">
        <v>4.9465624060150342</v>
      </c>
      <c r="AA705" s="250">
        <v>9.7779214286433955</v>
      </c>
      <c r="AB705" s="250">
        <v>10.119622983945458</v>
      </c>
      <c r="AC705" s="250">
        <v>11.394432632572331</v>
      </c>
      <c r="AD705" s="250">
        <v>12.656099913687598</v>
      </c>
      <c r="AE705" s="250">
        <v>15.14000737338332</v>
      </c>
      <c r="AF705" s="251">
        <v>3.6101702248880763</v>
      </c>
      <c r="AG705" s="251">
        <v>3.4741165962372427</v>
      </c>
      <c r="AH705" s="251">
        <v>3.6821589163010264</v>
      </c>
      <c r="AI705" s="251">
        <v>4.5267610045280513</v>
      </c>
      <c r="AJ705" s="251">
        <v>5.0213917373724355</v>
      </c>
      <c r="AK705" s="250">
        <v>10.66463696465223</v>
      </c>
      <c r="AL705" s="250">
        <v>10.243029814879533</v>
      </c>
      <c r="AM705" s="250">
        <v>11.223187583895939</v>
      </c>
      <c r="AN705" s="250">
        <v>12.703018165704101</v>
      </c>
      <c r="AO705" s="250">
        <v>15.024354539281051</v>
      </c>
      <c r="AP705" s="251">
        <v>20.513121878272795</v>
      </c>
      <c r="AQ705" s="251">
        <v>21.229978287997387</v>
      </c>
      <c r="AR705" s="251">
        <v>23.904404124277669</v>
      </c>
      <c r="AS705" s="251">
        <v>26.551258560183769</v>
      </c>
      <c r="AT705" s="251">
        <v>31.762253230874105</v>
      </c>
      <c r="AU705" s="250">
        <v>2.5781469421619523</v>
      </c>
      <c r="AV705" s="250">
        <v>4.763392857142863</v>
      </c>
      <c r="AW705" s="251">
        <v>5.1562938843239046</v>
      </c>
      <c r="AX705" s="251">
        <v>9.526785714285726</v>
      </c>
      <c r="AY705" s="250">
        <v>8.2095238095238123</v>
      </c>
      <c r="AZ705" s="250">
        <v>8.8149761904761785</v>
      </c>
      <c r="BA705" s="250">
        <v>11.893547619047636</v>
      </c>
      <c r="BB705" s="250">
        <v>12.581095238095266</v>
      </c>
      <c r="BC705" s="250">
        <v>14.366666666666672</v>
      </c>
      <c r="BD705" s="251">
        <v>7.6954424059329014</v>
      </c>
      <c r="BE705" s="251">
        <v>7.4054303571428584</v>
      </c>
      <c r="BF705" s="251">
        <v>9.8582485714285539</v>
      </c>
      <c r="BG705" s="251">
        <v>10.570575000000007</v>
      </c>
      <c r="BH705" s="251">
        <v>10.703603571428548</v>
      </c>
      <c r="BI705" s="250">
        <v>6.4812030075188076</v>
      </c>
      <c r="BJ705" s="250">
        <v>6.9591917293233179</v>
      </c>
      <c r="BK705" s="250">
        <v>9.389642857142853</v>
      </c>
      <c r="BL705" s="250">
        <v>9.9324436090225792</v>
      </c>
      <c r="BM705" s="250">
        <v>11.342105263157874</v>
      </c>
      <c r="BN705" s="251">
        <v>6.898414442461287</v>
      </c>
      <c r="BO705" s="251">
        <v>6.6384393558673596</v>
      </c>
      <c r="BP705" s="251">
        <v>8.8372156836734934</v>
      </c>
      <c r="BQ705" s="251">
        <v>9.4757654464285466</v>
      </c>
      <c r="BR705" s="251">
        <v>9.5950160586734512</v>
      </c>
      <c r="BS705" s="250">
        <v>3.3918295739348325</v>
      </c>
      <c r="BT705" s="250">
        <v>3.6419770050125337</v>
      </c>
      <c r="BU705" s="250">
        <v>4.9139130952380912</v>
      </c>
      <c r="BV705" s="250">
        <v>5.1979788220551262</v>
      </c>
      <c r="BW705" s="250">
        <v>5.9357017543859607</v>
      </c>
      <c r="BX705" s="251">
        <v>10.381416536095548</v>
      </c>
      <c r="BY705" s="251">
        <v>11.147046005632575</v>
      </c>
      <c r="BZ705" s="251">
        <v>12.611571381639138</v>
      </c>
      <c r="CA705" s="251">
        <v>15.532788763373624</v>
      </c>
      <c r="CB705" s="251">
        <v>18.156873460527212</v>
      </c>
      <c r="CC705" s="250">
        <v>3.6101702248880763</v>
      </c>
      <c r="CD705" s="250">
        <v>3.4741165962372427</v>
      </c>
      <c r="CE705" s="250">
        <v>4.6248095411224437</v>
      </c>
      <c r="CF705" s="250">
        <v>4.9589839169642778</v>
      </c>
      <c r="CG705" s="250">
        <v>5.0213917373724355</v>
      </c>
      <c r="CH705" s="251">
        <v>10.66463696465223</v>
      </c>
      <c r="CI705" s="251">
        <v>10.243029814879533</v>
      </c>
      <c r="CJ705" s="251">
        <v>11.223187583895939</v>
      </c>
      <c r="CK705" s="251">
        <v>12.703018165704101</v>
      </c>
      <c r="CL705" s="251">
        <v>15.024354539281051</v>
      </c>
      <c r="CM705" s="250">
        <v>21.77919553027035</v>
      </c>
      <c r="CN705" s="250">
        <v>23.385411200627821</v>
      </c>
      <c r="CO705" s="250">
        <v>26.457842059382802</v>
      </c>
      <c r="CP705" s="250">
        <v>32.58627013295159</v>
      </c>
      <c r="CQ705" s="250">
        <v>38.091342924182854</v>
      </c>
      <c r="CR705" s="251">
        <v>15.234107196975859</v>
      </c>
      <c r="CS705" s="251">
        <v>17.359609306418928</v>
      </c>
      <c r="CT705" s="251">
        <v>23.883189860749184</v>
      </c>
      <c r="CU705" s="251">
        <v>27.213925745891331</v>
      </c>
      <c r="CV705" s="251">
        <v>32.348041320840345</v>
      </c>
      <c r="CW705" s="251">
        <v>37.133792079860207</v>
      </c>
      <c r="CX705" s="251">
        <v>47.311954762328405</v>
      </c>
      <c r="CY705" s="251">
        <v>51.759062104933868</v>
      </c>
      <c r="CZ705" s="251">
        <v>56.187758214438794</v>
      </c>
      <c r="DA705" s="250">
        <v>12.278235651293981</v>
      </c>
      <c r="DB705" s="250">
        <v>13.991326903680941</v>
      </c>
      <c r="DC705" s="250">
        <v>19.249138096723236</v>
      </c>
      <c r="DD705" s="250">
        <v>21.933611795195983</v>
      </c>
      <c r="DE705" s="250">
        <v>26.071555691423558</v>
      </c>
      <c r="DF705" s="250">
        <v>33.752552349784374</v>
      </c>
      <c r="DG705" s="250">
        <v>43.003936319022131</v>
      </c>
      <c r="DH705" s="250">
        <v>48.651298547525499</v>
      </c>
      <c r="DI705" s="250">
        <v>52.814082953529045</v>
      </c>
      <c r="DJ705" s="251">
        <v>6.3267029124894982</v>
      </c>
      <c r="DK705" s="251">
        <v>7.209420896053734</v>
      </c>
      <c r="DL705" s="251">
        <v>9.9186545622796114</v>
      </c>
      <c r="DM705" s="251">
        <v>11.30190440769527</v>
      </c>
      <c r="DN705" s="251">
        <v>13.434095256892947</v>
      </c>
      <c r="DO705" s="251">
        <v>15.217949887509024</v>
      </c>
      <c r="DP705" s="251">
        <v>19.389104002758025</v>
      </c>
      <c r="DQ705" s="251">
        <v>21.351489805092946</v>
      </c>
      <c r="DR705" s="251">
        <v>23.178401962817965</v>
      </c>
      <c r="DS705" s="250">
        <v>43.058727542921034</v>
      </c>
      <c r="DT705" s="250">
        <v>49.066392779816631</v>
      </c>
      <c r="DU705" s="250">
        <v>67.505089190523591</v>
      </c>
      <c r="DV705" s="250">
        <v>76.919310000538161</v>
      </c>
      <c r="DW705" s="250">
        <v>91.430727102781162</v>
      </c>
      <c r="DX705" s="251">
        <v>20.496088073655002</v>
      </c>
      <c r="DY705" s="251">
        <v>28.389576917099781</v>
      </c>
      <c r="DZ705" s="251">
        <v>39.346910981675109</v>
      </c>
      <c r="EA705" s="250">
        <v>14.504022296582178</v>
      </c>
      <c r="EB705" s="250">
        <v>20.08983641739017</v>
      </c>
      <c r="EC705" s="250">
        <v>27.843775462372033</v>
      </c>
      <c r="ED705" s="251">
        <v>8.4640643438947709</v>
      </c>
      <c r="EE705" s="251">
        <v>11.723759424665271</v>
      </c>
      <c r="EF705" s="251">
        <v>16.248699999999971</v>
      </c>
      <c r="EG705" s="250">
        <v>56.253763020364396</v>
      </c>
      <c r="EH705" s="250">
        <v>77.918309406354254</v>
      </c>
      <c r="EI705" s="250">
        <v>107.99191523730723</v>
      </c>
    </row>
    <row r="706" spans="1:139">
      <c r="A706" s="248">
        <v>2002</v>
      </c>
      <c r="B706" s="251">
        <v>8.0461411764705844</v>
      </c>
      <c r="C706" s="251">
        <v>8.3273235294117587</v>
      </c>
      <c r="D706" s="251">
        <v>9.376350000000004</v>
      </c>
      <c r="E706" s="251">
        <v>10.414561764705882</v>
      </c>
      <c r="F706" s="251">
        <v>12.45854117647059</v>
      </c>
      <c r="G706" s="250">
        <v>7.6689975866685272</v>
      </c>
      <c r="H706" s="250">
        <v>7.3799821428571439</v>
      </c>
      <c r="I706" s="250">
        <v>7.8219214285714083</v>
      </c>
      <c r="J706" s="250">
        <v>9.6160892857143025</v>
      </c>
      <c r="K706" s="250">
        <v>10.666821428571405</v>
      </c>
      <c r="L706" s="251">
        <v>6.0834586466165392</v>
      </c>
      <c r="M706" s="251">
        <v>6.2960526315789389</v>
      </c>
      <c r="N706" s="251">
        <v>7.0891917293233107</v>
      </c>
      <c r="O706" s="251">
        <v>7.8741541353383289</v>
      </c>
      <c r="P706" s="251">
        <v>9.4195488721804441</v>
      </c>
      <c r="Q706" s="250">
        <v>6.874708550906437</v>
      </c>
      <c r="R706" s="250">
        <v>6.6156268494898089</v>
      </c>
      <c r="S706" s="250">
        <v>7.0117938520408263</v>
      </c>
      <c r="T706" s="250">
        <v>8.620137181122475</v>
      </c>
      <c r="U706" s="250">
        <v>9.5620434948979405</v>
      </c>
      <c r="V706" s="251">
        <v>3.1836766917293224</v>
      </c>
      <c r="W706" s="251">
        <v>3.294934210526312</v>
      </c>
      <c r="X706" s="251">
        <v>3.7100103383458665</v>
      </c>
      <c r="Y706" s="251">
        <v>4.1208073308270743</v>
      </c>
      <c r="Z706" s="251">
        <v>4.9295639097744326</v>
      </c>
      <c r="AA706" s="250">
        <v>9.7443203240776111</v>
      </c>
      <c r="AB706" s="250">
        <v>10.08484764723087</v>
      </c>
      <c r="AC706" s="250">
        <v>11.355276506687202</v>
      </c>
      <c r="AD706" s="250">
        <v>12.612608161406884</v>
      </c>
      <c r="AE706" s="250">
        <v>15.087979856636299</v>
      </c>
      <c r="AF706" s="251">
        <v>3.5977641416410382</v>
      </c>
      <c r="AG706" s="251">
        <v>3.4621780512329909</v>
      </c>
      <c r="AH706" s="251">
        <v>3.6695054492347001</v>
      </c>
      <c r="AI706" s="251">
        <v>4.5112051247874048</v>
      </c>
      <c r="AJ706" s="251">
        <v>5.0041360956632515</v>
      </c>
      <c r="AK706" s="250">
        <v>10.627988727660298</v>
      </c>
      <c r="AL706" s="250">
        <v>10.207830399708126</v>
      </c>
      <c r="AM706" s="250">
        <v>11.184619928968461</v>
      </c>
      <c r="AN706" s="250">
        <v>12.659365182316803</v>
      </c>
      <c r="AO706" s="250">
        <v>14.972724454953624</v>
      </c>
      <c r="AP706" s="251">
        <v>20.442630050512406</v>
      </c>
      <c r="AQ706" s="251">
        <v>21.157023036148598</v>
      </c>
      <c r="AR706" s="251">
        <v>23.822258405637541</v>
      </c>
      <c r="AS706" s="251">
        <v>26.460017121832621</v>
      </c>
      <c r="AT706" s="251">
        <v>31.65310459434189</v>
      </c>
      <c r="AU706" s="250">
        <v>2.5692873306768598</v>
      </c>
      <c r="AV706" s="250">
        <v>4.7470238095238155</v>
      </c>
      <c r="AW706" s="251">
        <v>5.1385746613537195</v>
      </c>
      <c r="AX706" s="251">
        <v>9.4940476190476311</v>
      </c>
      <c r="AY706" s="250">
        <v>8.1904761904761934</v>
      </c>
      <c r="AZ706" s="250">
        <v>8.7945238095237972</v>
      </c>
      <c r="BA706" s="250">
        <v>11.865952380952399</v>
      </c>
      <c r="BB706" s="250">
        <v>12.55190476190479</v>
      </c>
      <c r="BC706" s="250">
        <v>14.333333333333339</v>
      </c>
      <c r="BD706" s="251">
        <v>7.6689975866685272</v>
      </c>
      <c r="BE706" s="251">
        <v>7.3799821428571439</v>
      </c>
      <c r="BF706" s="251">
        <v>9.8243714285714105</v>
      </c>
      <c r="BG706" s="251">
        <v>10.534250000000007</v>
      </c>
      <c r="BH706" s="251">
        <v>10.666821428571405</v>
      </c>
      <c r="BI706" s="250">
        <v>6.4661654135338456</v>
      </c>
      <c r="BJ706" s="250">
        <v>6.9430451127819648</v>
      </c>
      <c r="BK706" s="250">
        <v>9.3678571428571384</v>
      </c>
      <c r="BL706" s="250">
        <v>9.909398496240625</v>
      </c>
      <c r="BM706" s="250">
        <v>11.315789473684189</v>
      </c>
      <c r="BN706" s="251">
        <v>6.874708550906437</v>
      </c>
      <c r="BO706" s="251">
        <v>6.6156268494898089</v>
      </c>
      <c r="BP706" s="251">
        <v>8.806847244897984</v>
      </c>
      <c r="BQ706" s="251">
        <v>9.4432026785714029</v>
      </c>
      <c r="BR706" s="251">
        <v>9.5620434948979405</v>
      </c>
      <c r="BS706" s="250">
        <v>3.3839598997493687</v>
      </c>
      <c r="BT706" s="250">
        <v>3.6335269423558922</v>
      </c>
      <c r="BU706" s="250">
        <v>4.9025119047619006</v>
      </c>
      <c r="BV706" s="250">
        <v>5.1859185463659028</v>
      </c>
      <c r="BW706" s="250">
        <v>5.9219298245613992</v>
      </c>
      <c r="BX706" s="251">
        <v>10.357329722786742</v>
      </c>
      <c r="BY706" s="251">
        <v>11.121182789842244</v>
      </c>
      <c r="BZ706" s="251">
        <v>12.582310195138815</v>
      </c>
      <c r="CA706" s="251">
        <v>15.496749810326353</v>
      </c>
      <c r="CB706" s="251">
        <v>18.114746143913461</v>
      </c>
      <c r="CC706" s="250">
        <v>3.5977641416410382</v>
      </c>
      <c r="CD706" s="250">
        <v>3.4621780512329909</v>
      </c>
      <c r="CE706" s="250">
        <v>4.6089167248299265</v>
      </c>
      <c r="CF706" s="250">
        <v>4.9419427351190395</v>
      </c>
      <c r="CG706" s="250">
        <v>5.0041360956632515</v>
      </c>
      <c r="CH706" s="251">
        <v>10.627988727660298</v>
      </c>
      <c r="CI706" s="251">
        <v>10.207830399708126</v>
      </c>
      <c r="CJ706" s="251">
        <v>11.184619928968461</v>
      </c>
      <c r="CK706" s="251">
        <v>12.659365182316803</v>
      </c>
      <c r="CL706" s="251">
        <v>14.972724454953624</v>
      </c>
      <c r="CM706" s="250">
        <v>21.728663754098029</v>
      </c>
      <c r="CN706" s="250">
        <v>23.331152705962793</v>
      </c>
      <c r="CO706" s="250">
        <v>26.39645495483667</v>
      </c>
      <c r="CP706" s="250">
        <v>32.510663937747523</v>
      </c>
      <c r="CQ706" s="250">
        <v>38.002963938279876</v>
      </c>
      <c r="CR706" s="251">
        <v>15.198761240602366</v>
      </c>
      <c r="CS706" s="251">
        <v>17.319331790626773</v>
      </c>
      <c r="CT706" s="251">
        <v>23.827776427197563</v>
      </c>
      <c r="CU706" s="251">
        <v>27.150784386852141</v>
      </c>
      <c r="CV706" s="251">
        <v>32.272987860699182</v>
      </c>
      <c r="CW706" s="251">
        <v>37.090156601505491</v>
      </c>
      <c r="CX706" s="251">
        <v>47.256359045803933</v>
      </c>
      <c r="CY706" s="251">
        <v>51.698240645351099</v>
      </c>
      <c r="CZ706" s="251">
        <v>56.121732646619243</v>
      </c>
      <c r="DA706" s="250">
        <v>12.249747865560121</v>
      </c>
      <c r="DB706" s="250">
        <v>13.958864428266368</v>
      </c>
      <c r="DC706" s="250">
        <v>19.204476523412975</v>
      </c>
      <c r="DD706" s="250">
        <v>21.882721744627084</v>
      </c>
      <c r="DE706" s="250">
        <v>26.011064842951576</v>
      </c>
      <c r="DF706" s="250">
        <v>33.712890126106601</v>
      </c>
      <c r="DG706" s="250">
        <v>42.953402903841145</v>
      </c>
      <c r="DH706" s="250">
        <v>48.594128984014894</v>
      </c>
      <c r="DI706" s="250">
        <v>52.752021751468497</v>
      </c>
      <c r="DJ706" s="251">
        <v>6.3120237874025156</v>
      </c>
      <c r="DK706" s="251">
        <v>7.1926937013993166</v>
      </c>
      <c r="DL706" s="251">
        <v>9.8956414426455517</v>
      </c>
      <c r="DM706" s="251">
        <v>11.275681891668135</v>
      </c>
      <c r="DN706" s="251">
        <v>13.402925662329391</v>
      </c>
      <c r="DO706" s="251">
        <v>15.200067455208778</v>
      </c>
      <c r="DP706" s="251">
        <v>19.366320096761832</v>
      </c>
      <c r="DQ706" s="251">
        <v>21.326399922830792</v>
      </c>
      <c r="DR706" s="251">
        <v>23.151165297761775</v>
      </c>
      <c r="DS706" s="250">
        <v>42.958823302682241</v>
      </c>
      <c r="DT706" s="250">
        <v>48.952549641116363</v>
      </c>
      <c r="DU706" s="250">
        <v>67.348464853654633</v>
      </c>
      <c r="DV706" s="250">
        <v>76.740842923970789</v>
      </c>
      <c r="DW706" s="250">
        <v>91.218590845002083</v>
      </c>
      <c r="DX706" s="251">
        <v>20.448533344945826</v>
      </c>
      <c r="DY706" s="251">
        <v>28.32370782912507</v>
      </c>
      <c r="DZ706" s="251">
        <v>39.255618844826671</v>
      </c>
      <c r="EA706" s="250">
        <v>14.470370272692197</v>
      </c>
      <c r="EB706" s="250">
        <v>20.043224267929869</v>
      </c>
      <c r="EC706" s="250">
        <v>27.779172735081147</v>
      </c>
      <c r="ED706" s="251">
        <v>8.4444261435609089</v>
      </c>
      <c r="EE706" s="251">
        <v>11.69655812669621</v>
      </c>
      <c r="EF706" s="251">
        <v>16.21099999999997</v>
      </c>
      <c r="EG706" s="250">
        <v>56.12324384862341</v>
      </c>
      <c r="EH706" s="250">
        <v>77.737524465736257</v>
      </c>
      <c r="EI706" s="250">
        <v>107.74135394905362</v>
      </c>
    </row>
    <row r="707" spans="1:139">
      <c r="A707" s="248">
        <v>2003</v>
      </c>
      <c r="B707" s="251">
        <v>7.9855270588235259</v>
      </c>
      <c r="C707" s="251">
        <v>8.2645911764705815</v>
      </c>
      <c r="D707" s="251">
        <v>9.3057150000000046</v>
      </c>
      <c r="E707" s="251">
        <v>10.336105588235293</v>
      </c>
      <c r="F707" s="251">
        <v>12.364687058823531</v>
      </c>
      <c r="G707" s="250">
        <v>7.6425527674041529</v>
      </c>
      <c r="H707" s="250">
        <v>7.3545339285714295</v>
      </c>
      <c r="I707" s="250">
        <v>7.7949492857142655</v>
      </c>
      <c r="J707" s="250">
        <v>9.5829303571428746</v>
      </c>
      <c r="K707" s="250">
        <v>10.630039285714261</v>
      </c>
      <c r="L707" s="251">
        <v>6.0624812030075166</v>
      </c>
      <c r="M707" s="251">
        <v>6.2743421052631492</v>
      </c>
      <c r="N707" s="251">
        <v>7.0647462406015062</v>
      </c>
      <c r="O707" s="251">
        <v>7.8470018796992314</v>
      </c>
      <c r="P707" s="251">
        <v>9.3870676691729251</v>
      </c>
      <c r="Q707" s="250">
        <v>6.8510026593515869</v>
      </c>
      <c r="R707" s="250">
        <v>6.5928143431122583</v>
      </c>
      <c r="S707" s="250">
        <v>6.9876152525510307</v>
      </c>
      <c r="T707" s="250">
        <v>8.590412570153088</v>
      </c>
      <c r="U707" s="250">
        <v>9.5290709311224298</v>
      </c>
      <c r="V707" s="251">
        <v>3.1726984962406006</v>
      </c>
      <c r="W707" s="251">
        <v>3.2835723684210487</v>
      </c>
      <c r="X707" s="251">
        <v>3.6972171992481222</v>
      </c>
      <c r="Y707" s="251">
        <v>4.1065976503759467</v>
      </c>
      <c r="Z707" s="251">
        <v>4.912565413533831</v>
      </c>
      <c r="AA707" s="250">
        <v>9.7107192195118266</v>
      </c>
      <c r="AB707" s="250">
        <v>10.050072310516281</v>
      </c>
      <c r="AC707" s="250">
        <v>11.316120380802074</v>
      </c>
      <c r="AD707" s="250">
        <v>12.56911640912617</v>
      </c>
      <c r="AE707" s="250">
        <v>15.035952339889278</v>
      </c>
      <c r="AF707" s="251">
        <v>3.5853580583940001</v>
      </c>
      <c r="AG707" s="251">
        <v>3.4502395062287392</v>
      </c>
      <c r="AH707" s="251">
        <v>3.6568519821683738</v>
      </c>
      <c r="AI707" s="251">
        <v>4.4956492450467582</v>
      </c>
      <c r="AJ707" s="251">
        <v>4.9868804539540674</v>
      </c>
      <c r="AK707" s="250">
        <v>10.591340490668367</v>
      </c>
      <c r="AL707" s="250">
        <v>10.172630984536719</v>
      </c>
      <c r="AM707" s="250">
        <v>11.146052274040983</v>
      </c>
      <c r="AN707" s="250">
        <v>12.615712198929504</v>
      </c>
      <c r="AO707" s="250">
        <v>14.921094370626198</v>
      </c>
      <c r="AP707" s="251">
        <v>20.372138222752017</v>
      </c>
      <c r="AQ707" s="251">
        <v>21.084067784299808</v>
      </c>
      <c r="AR707" s="251">
        <v>23.740112686997414</v>
      </c>
      <c r="AS707" s="251">
        <v>26.368775683481473</v>
      </c>
      <c r="AT707" s="251">
        <v>31.543955957809676</v>
      </c>
      <c r="AU707" s="250">
        <v>2.5604277191917673</v>
      </c>
      <c r="AV707" s="250">
        <v>4.7306547619047681</v>
      </c>
      <c r="AW707" s="251">
        <v>5.1208554383835345</v>
      </c>
      <c r="AX707" s="251">
        <v>9.4613095238095362</v>
      </c>
      <c r="AY707" s="250">
        <v>8.1714285714285744</v>
      </c>
      <c r="AZ707" s="250">
        <v>8.7740714285714159</v>
      </c>
      <c r="BA707" s="250">
        <v>11.838357142857161</v>
      </c>
      <c r="BB707" s="250">
        <v>12.522714285714315</v>
      </c>
      <c r="BC707" s="250">
        <v>14.300000000000006</v>
      </c>
      <c r="BD707" s="251">
        <v>7.6425527674041529</v>
      </c>
      <c r="BE707" s="251">
        <v>7.3545339285714295</v>
      </c>
      <c r="BF707" s="251">
        <v>9.7904942857142672</v>
      </c>
      <c r="BG707" s="251">
        <v>10.497925000000008</v>
      </c>
      <c r="BH707" s="251">
        <v>10.630039285714261</v>
      </c>
      <c r="BI707" s="250">
        <v>6.4511278195488835</v>
      </c>
      <c r="BJ707" s="250">
        <v>6.9268984962406117</v>
      </c>
      <c r="BK707" s="250">
        <v>9.3460714285714239</v>
      </c>
      <c r="BL707" s="250">
        <v>9.8863533834586708</v>
      </c>
      <c r="BM707" s="250">
        <v>11.289473684210504</v>
      </c>
      <c r="BN707" s="251">
        <v>6.8510026593515869</v>
      </c>
      <c r="BO707" s="251">
        <v>6.5928143431122583</v>
      </c>
      <c r="BP707" s="251">
        <v>8.7764788061224746</v>
      </c>
      <c r="BQ707" s="251">
        <v>9.4106399107142593</v>
      </c>
      <c r="BR707" s="251">
        <v>9.5290709311224298</v>
      </c>
      <c r="BS707" s="250">
        <v>3.3760902255639049</v>
      </c>
      <c r="BT707" s="250">
        <v>3.6250768796992507</v>
      </c>
      <c r="BU707" s="250">
        <v>4.89111071428571</v>
      </c>
      <c r="BV707" s="250">
        <v>5.1738582706766794</v>
      </c>
      <c r="BW707" s="250">
        <v>5.9081578947368376</v>
      </c>
      <c r="BX707" s="251">
        <v>10.333242909477937</v>
      </c>
      <c r="BY707" s="251">
        <v>11.095319574051913</v>
      </c>
      <c r="BZ707" s="251">
        <v>12.553049008638492</v>
      </c>
      <c r="CA707" s="251">
        <v>15.460710857279082</v>
      </c>
      <c r="CB707" s="251">
        <v>18.07261882729971</v>
      </c>
      <c r="CC707" s="250">
        <v>3.5853580583940001</v>
      </c>
      <c r="CD707" s="250">
        <v>3.4502395062287392</v>
      </c>
      <c r="CE707" s="250">
        <v>4.5930239085374094</v>
      </c>
      <c r="CF707" s="250">
        <v>4.9249015532738012</v>
      </c>
      <c r="CG707" s="250">
        <v>4.9868804539540674</v>
      </c>
      <c r="CH707" s="251">
        <v>10.591340490668367</v>
      </c>
      <c r="CI707" s="251">
        <v>10.172630984536719</v>
      </c>
      <c r="CJ707" s="251">
        <v>11.146052274040983</v>
      </c>
      <c r="CK707" s="251">
        <v>12.615712198929504</v>
      </c>
      <c r="CL707" s="251">
        <v>14.921094370626198</v>
      </c>
      <c r="CM707" s="250">
        <v>21.678131977925709</v>
      </c>
      <c r="CN707" s="250">
        <v>23.276894211297765</v>
      </c>
      <c r="CO707" s="250">
        <v>26.335067850290539</v>
      </c>
      <c r="CP707" s="250">
        <v>32.435057742543457</v>
      </c>
      <c r="CQ707" s="250">
        <v>37.914584952376899</v>
      </c>
      <c r="CR707" s="251">
        <v>15.163415284228872</v>
      </c>
      <c r="CS707" s="251">
        <v>17.279054274834618</v>
      </c>
      <c r="CT707" s="251">
        <v>23.772362993645942</v>
      </c>
      <c r="CU707" s="251">
        <v>27.087643027812952</v>
      </c>
      <c r="CV707" s="251">
        <v>32.197934400558019</v>
      </c>
      <c r="CW707" s="251">
        <v>37.046521123150775</v>
      </c>
      <c r="CX707" s="251">
        <v>47.200763329279461</v>
      </c>
      <c r="CY707" s="251">
        <v>51.63741918576833</v>
      </c>
      <c r="CZ707" s="251">
        <v>56.055707078799692</v>
      </c>
      <c r="DA707" s="250">
        <v>12.22126007982626</v>
      </c>
      <c r="DB707" s="250">
        <v>13.926401952851796</v>
      </c>
      <c r="DC707" s="250">
        <v>19.159814950102714</v>
      </c>
      <c r="DD707" s="250">
        <v>21.831831694058184</v>
      </c>
      <c r="DE707" s="250">
        <v>25.950573994479594</v>
      </c>
      <c r="DF707" s="250">
        <v>33.673227902428827</v>
      </c>
      <c r="DG707" s="250">
        <v>42.902869488660158</v>
      </c>
      <c r="DH707" s="250">
        <v>48.536959420504289</v>
      </c>
      <c r="DI707" s="250">
        <v>52.689960549407949</v>
      </c>
      <c r="DJ707" s="251">
        <v>6.2973446623155329</v>
      </c>
      <c r="DK707" s="251">
        <v>7.1759665067448992</v>
      </c>
      <c r="DL707" s="251">
        <v>9.872628323011492</v>
      </c>
      <c r="DM707" s="251">
        <v>11.249459375641001</v>
      </c>
      <c r="DN707" s="251">
        <v>13.371756067765835</v>
      </c>
      <c r="DO707" s="251">
        <v>15.182185022908532</v>
      </c>
      <c r="DP707" s="251">
        <v>19.34353619076564</v>
      </c>
      <c r="DQ707" s="251">
        <v>21.301310040568637</v>
      </c>
      <c r="DR707" s="251">
        <v>23.123928632705585</v>
      </c>
      <c r="DS707" s="250">
        <v>42.858919062443448</v>
      </c>
      <c r="DT707" s="250">
        <v>48.838706502416095</v>
      </c>
      <c r="DU707" s="250">
        <v>67.191840516785675</v>
      </c>
      <c r="DV707" s="250">
        <v>76.562375847403416</v>
      </c>
      <c r="DW707" s="250">
        <v>91.006454587223004</v>
      </c>
      <c r="DX707" s="251">
        <v>20.40097861623665</v>
      </c>
      <c r="DY707" s="251">
        <v>28.257838741150358</v>
      </c>
      <c r="DZ707" s="251">
        <v>39.164326707978233</v>
      </c>
      <c r="EA707" s="250">
        <v>14.436718248802215</v>
      </c>
      <c r="EB707" s="250">
        <v>19.996612118469567</v>
      </c>
      <c r="EC707" s="250">
        <v>27.714570007790261</v>
      </c>
      <c r="ED707" s="251">
        <v>8.4247879432270469</v>
      </c>
      <c r="EE707" s="251">
        <v>11.66935682872715</v>
      </c>
      <c r="EF707" s="251">
        <v>16.173299999999969</v>
      </c>
      <c r="EG707" s="250">
        <v>55.992724676882425</v>
      </c>
      <c r="EH707" s="250">
        <v>77.55673952511826</v>
      </c>
      <c r="EI707" s="250">
        <v>107.49079266080001</v>
      </c>
    </row>
    <row r="708" spans="1:139">
      <c r="A708" s="248">
        <v>2004</v>
      </c>
      <c r="B708" s="251">
        <v>7.9249129411764674</v>
      </c>
      <c r="C708" s="251">
        <v>8.2018588235294043</v>
      </c>
      <c r="D708" s="251">
        <v>9.2350800000000053</v>
      </c>
      <c r="E708" s="251">
        <v>10.257649411764705</v>
      </c>
      <c r="F708" s="251">
        <v>12.270832941176472</v>
      </c>
      <c r="G708" s="250">
        <v>7.6161079481397786</v>
      </c>
      <c r="H708" s="250">
        <v>7.3290857142857151</v>
      </c>
      <c r="I708" s="250">
        <v>7.7679771428571227</v>
      </c>
      <c r="J708" s="250">
        <v>9.5497714285714466</v>
      </c>
      <c r="K708" s="250">
        <v>10.593257142857118</v>
      </c>
      <c r="L708" s="251">
        <v>6.0415037593984939</v>
      </c>
      <c r="M708" s="251">
        <v>6.2526315789473594</v>
      </c>
      <c r="N708" s="251">
        <v>7.0403007518797018</v>
      </c>
      <c r="O708" s="251">
        <v>7.8198496240601338</v>
      </c>
      <c r="P708" s="251">
        <v>9.3545864661654061</v>
      </c>
      <c r="Q708" s="250">
        <v>6.8272967677967369</v>
      </c>
      <c r="R708" s="250">
        <v>6.5700018367347077</v>
      </c>
      <c r="S708" s="250">
        <v>6.963436653061235</v>
      </c>
      <c r="T708" s="250">
        <v>8.5606879591837011</v>
      </c>
      <c r="U708" s="250">
        <v>9.496098367346919</v>
      </c>
      <c r="V708" s="251">
        <v>3.1617203007518788</v>
      </c>
      <c r="W708" s="251">
        <v>3.2722105263157855</v>
      </c>
      <c r="X708" s="251">
        <v>3.6844240601503779</v>
      </c>
      <c r="Y708" s="251">
        <v>4.0923879699248191</v>
      </c>
      <c r="Z708" s="251">
        <v>4.8955669172932295</v>
      </c>
      <c r="AA708" s="250">
        <v>9.6771181149460421</v>
      </c>
      <c r="AB708" s="250">
        <v>10.015296973801693</v>
      </c>
      <c r="AC708" s="250">
        <v>11.276964254916946</v>
      </c>
      <c r="AD708" s="250">
        <v>12.525624656845457</v>
      </c>
      <c r="AE708" s="250">
        <v>14.983924823142257</v>
      </c>
      <c r="AF708" s="251">
        <v>3.5729519751469621</v>
      </c>
      <c r="AG708" s="251">
        <v>3.4383009612244875</v>
      </c>
      <c r="AH708" s="251">
        <v>3.6441985151020475</v>
      </c>
      <c r="AI708" s="251">
        <v>4.4800933653061117</v>
      </c>
      <c r="AJ708" s="251">
        <v>4.9696248122448834</v>
      </c>
      <c r="AK708" s="250">
        <v>10.554692253676436</v>
      </c>
      <c r="AL708" s="250">
        <v>10.137431569365312</v>
      </c>
      <c r="AM708" s="250">
        <v>11.107484619113505</v>
      </c>
      <c r="AN708" s="250">
        <v>12.572059215542206</v>
      </c>
      <c r="AO708" s="250">
        <v>14.869464286298772</v>
      </c>
      <c r="AP708" s="251">
        <v>20.301646394991629</v>
      </c>
      <c r="AQ708" s="251">
        <v>21.011112532451019</v>
      </c>
      <c r="AR708" s="251">
        <v>23.657966968357286</v>
      </c>
      <c r="AS708" s="251">
        <v>26.277534245130326</v>
      </c>
      <c r="AT708" s="251">
        <v>31.434807321277461</v>
      </c>
      <c r="AU708" s="250">
        <v>2.5515681077066747</v>
      </c>
      <c r="AV708" s="250">
        <v>4.7142857142857206</v>
      </c>
      <c r="AW708" s="251">
        <v>5.1031362154133495</v>
      </c>
      <c r="AX708" s="251">
        <v>9.4285714285714413</v>
      </c>
      <c r="AY708" s="250">
        <v>8.1523809523809554</v>
      </c>
      <c r="AZ708" s="250">
        <v>8.7536190476190345</v>
      </c>
      <c r="BA708" s="250">
        <v>11.810761904761923</v>
      </c>
      <c r="BB708" s="250">
        <v>12.49352380952384</v>
      </c>
      <c r="BC708" s="250">
        <v>14.266666666666673</v>
      </c>
      <c r="BD708" s="251">
        <v>7.6161079481397786</v>
      </c>
      <c r="BE708" s="251">
        <v>7.3290857142857151</v>
      </c>
      <c r="BF708" s="251">
        <v>9.7566171428571238</v>
      </c>
      <c r="BG708" s="251">
        <v>10.461600000000008</v>
      </c>
      <c r="BH708" s="251">
        <v>10.593257142857118</v>
      </c>
      <c r="BI708" s="250">
        <v>6.4360902255639214</v>
      </c>
      <c r="BJ708" s="250">
        <v>6.9107518796992586</v>
      </c>
      <c r="BK708" s="250">
        <v>9.3242857142857094</v>
      </c>
      <c r="BL708" s="250">
        <v>9.8633082706767166</v>
      </c>
      <c r="BM708" s="250">
        <v>11.263157894736819</v>
      </c>
      <c r="BN708" s="251">
        <v>6.8272967677967369</v>
      </c>
      <c r="BO708" s="251">
        <v>6.5700018367347077</v>
      </c>
      <c r="BP708" s="251">
        <v>8.7461103673469651</v>
      </c>
      <c r="BQ708" s="251">
        <v>9.3780771428571157</v>
      </c>
      <c r="BR708" s="251">
        <v>9.496098367346919</v>
      </c>
      <c r="BS708" s="250">
        <v>3.3682205513784411</v>
      </c>
      <c r="BT708" s="250">
        <v>3.6166268170426092</v>
      </c>
      <c r="BU708" s="250">
        <v>4.8797095238095194</v>
      </c>
      <c r="BV708" s="250">
        <v>5.161797994987456</v>
      </c>
      <c r="BW708" s="250">
        <v>5.8943859649122761</v>
      </c>
      <c r="BX708" s="251">
        <v>10.309156096169131</v>
      </c>
      <c r="BY708" s="251">
        <v>11.069456358261583</v>
      </c>
      <c r="BZ708" s="251">
        <v>12.52378782213817</v>
      </c>
      <c r="CA708" s="251">
        <v>15.424671904231811</v>
      </c>
      <c r="CB708" s="251">
        <v>18.030491510685959</v>
      </c>
      <c r="CC708" s="250">
        <v>3.5729519751469621</v>
      </c>
      <c r="CD708" s="250">
        <v>3.4383009612244875</v>
      </c>
      <c r="CE708" s="250">
        <v>4.5771310922448922</v>
      </c>
      <c r="CF708" s="250">
        <v>4.9078603714285629</v>
      </c>
      <c r="CG708" s="250">
        <v>4.9696248122448834</v>
      </c>
      <c r="CH708" s="251">
        <v>10.554692253676436</v>
      </c>
      <c r="CI708" s="251">
        <v>10.137431569365312</v>
      </c>
      <c r="CJ708" s="251">
        <v>11.107484619113505</v>
      </c>
      <c r="CK708" s="251">
        <v>12.572059215542206</v>
      </c>
      <c r="CL708" s="251">
        <v>14.869464286298772</v>
      </c>
      <c r="CM708" s="250">
        <v>21.627600201753388</v>
      </c>
      <c r="CN708" s="250">
        <v>23.222635716632738</v>
      </c>
      <c r="CO708" s="250">
        <v>26.273680745744407</v>
      </c>
      <c r="CP708" s="250">
        <v>32.35945154733939</v>
      </c>
      <c r="CQ708" s="250">
        <v>37.826205966473921</v>
      </c>
      <c r="CR708" s="251">
        <v>15.128069327855378</v>
      </c>
      <c r="CS708" s="251">
        <v>17.238776759042462</v>
      </c>
      <c r="CT708" s="251">
        <v>23.716949560094321</v>
      </c>
      <c r="CU708" s="251">
        <v>27.024501668773762</v>
      </c>
      <c r="CV708" s="251">
        <v>32.122880940416856</v>
      </c>
      <c r="CW708" s="251">
        <v>37.002885644796059</v>
      </c>
      <c r="CX708" s="251">
        <v>47.145167612754989</v>
      </c>
      <c r="CY708" s="251">
        <v>51.576597726185561</v>
      </c>
      <c r="CZ708" s="251">
        <v>55.989681510980141</v>
      </c>
      <c r="DA708" s="250">
        <v>12.1927722940924</v>
      </c>
      <c r="DB708" s="250">
        <v>13.893939477437224</v>
      </c>
      <c r="DC708" s="250">
        <v>19.115153376792453</v>
      </c>
      <c r="DD708" s="250">
        <v>21.780941643489285</v>
      </c>
      <c r="DE708" s="250">
        <v>25.890083146007612</v>
      </c>
      <c r="DF708" s="250">
        <v>33.633565678751054</v>
      </c>
      <c r="DG708" s="250">
        <v>42.852336073479172</v>
      </c>
      <c r="DH708" s="250">
        <v>48.479789856993683</v>
      </c>
      <c r="DI708" s="250">
        <v>52.627899347347402</v>
      </c>
      <c r="DJ708" s="251">
        <v>6.2826655372285503</v>
      </c>
      <c r="DK708" s="251">
        <v>7.1592393120904818</v>
      </c>
      <c r="DL708" s="251">
        <v>9.8496152033774322</v>
      </c>
      <c r="DM708" s="251">
        <v>11.223236859613866</v>
      </c>
      <c r="DN708" s="251">
        <v>13.340586473202279</v>
      </c>
      <c r="DO708" s="251">
        <v>15.164302590608287</v>
      </c>
      <c r="DP708" s="251">
        <v>19.320752284769448</v>
      </c>
      <c r="DQ708" s="251">
        <v>21.276220158306483</v>
      </c>
      <c r="DR708" s="251">
        <v>23.096691967649395</v>
      </c>
      <c r="DS708" s="250">
        <v>42.759014822204655</v>
      </c>
      <c r="DT708" s="250">
        <v>48.724863363715826</v>
      </c>
      <c r="DU708" s="250">
        <v>67.035216179916716</v>
      </c>
      <c r="DV708" s="250">
        <v>76.383908770836044</v>
      </c>
      <c r="DW708" s="250">
        <v>90.794318329443925</v>
      </c>
      <c r="DX708" s="251">
        <v>20.353423887527473</v>
      </c>
      <c r="DY708" s="251">
        <v>28.191969653175647</v>
      </c>
      <c r="DZ708" s="251">
        <v>39.073034571129796</v>
      </c>
      <c r="EA708" s="250">
        <v>14.403066224912234</v>
      </c>
      <c r="EB708" s="250">
        <v>19.949999969009266</v>
      </c>
      <c r="EC708" s="250">
        <v>27.649967280499375</v>
      </c>
      <c r="ED708" s="251">
        <v>8.4051497428931849</v>
      </c>
      <c r="EE708" s="251">
        <v>11.642155530758089</v>
      </c>
      <c r="EF708" s="251">
        <v>16.135599999999968</v>
      </c>
      <c r="EG708" s="250">
        <v>55.862205505141439</v>
      </c>
      <c r="EH708" s="250">
        <v>77.375954584500263</v>
      </c>
      <c r="EI708" s="250">
        <v>107.2402313725464</v>
      </c>
    </row>
    <row r="709" spans="1:139">
      <c r="A709" s="248">
        <v>2005</v>
      </c>
      <c r="B709" s="251">
        <v>7.8642988235294089</v>
      </c>
      <c r="C709" s="251">
        <v>8.1391264705882271</v>
      </c>
      <c r="D709" s="251">
        <v>9.1644450000000059</v>
      </c>
      <c r="E709" s="251">
        <v>10.179193235294116</v>
      </c>
      <c r="F709" s="251">
        <v>12.176978823529414</v>
      </c>
      <c r="G709" s="250">
        <v>7.5896631288754044</v>
      </c>
      <c r="H709" s="250">
        <v>7.3036375000000007</v>
      </c>
      <c r="I709" s="250">
        <v>7.7410049999999799</v>
      </c>
      <c r="J709" s="250">
        <v>9.5166125000000186</v>
      </c>
      <c r="K709" s="250">
        <v>10.556474999999974</v>
      </c>
      <c r="L709" s="251">
        <v>6.0205263157894713</v>
      </c>
      <c r="M709" s="251">
        <v>6.2309210526315697</v>
      </c>
      <c r="N709" s="251">
        <v>7.0158552631578974</v>
      </c>
      <c r="O709" s="251">
        <v>7.7926973684210363</v>
      </c>
      <c r="P709" s="251">
        <v>9.3221052631578871</v>
      </c>
      <c r="Q709" s="250">
        <v>6.8035908762418869</v>
      </c>
      <c r="R709" s="250">
        <v>6.5471893303571571</v>
      </c>
      <c r="S709" s="250">
        <v>6.9392580535714394</v>
      </c>
      <c r="T709" s="250">
        <v>8.5309633482143141</v>
      </c>
      <c r="U709" s="250">
        <v>9.4631258035714083</v>
      </c>
      <c r="V709" s="251">
        <v>3.150742105263157</v>
      </c>
      <c r="W709" s="251">
        <v>3.2608486842105222</v>
      </c>
      <c r="X709" s="251">
        <v>3.6716309210526337</v>
      </c>
      <c r="Y709" s="251">
        <v>4.0781782894736915</v>
      </c>
      <c r="Z709" s="251">
        <v>4.8785684210526279</v>
      </c>
      <c r="AA709" s="250">
        <v>9.6435170103802577</v>
      </c>
      <c r="AB709" s="250">
        <v>9.9805216370871044</v>
      </c>
      <c r="AC709" s="250">
        <v>11.237808129031817</v>
      </c>
      <c r="AD709" s="250">
        <v>12.482132904564743</v>
      </c>
      <c r="AE709" s="250">
        <v>14.931897306395236</v>
      </c>
      <c r="AF709" s="251">
        <v>3.560545891899924</v>
      </c>
      <c r="AG709" s="251">
        <v>3.4263624162202357</v>
      </c>
      <c r="AH709" s="251">
        <v>3.6315450480357212</v>
      </c>
      <c r="AI709" s="251">
        <v>4.4645374855654651</v>
      </c>
      <c r="AJ709" s="251">
        <v>4.9523691705356994</v>
      </c>
      <c r="AK709" s="250">
        <v>10.518044016684504</v>
      </c>
      <c r="AL709" s="250">
        <v>10.102232154193905</v>
      </c>
      <c r="AM709" s="250">
        <v>11.068916964186027</v>
      </c>
      <c r="AN709" s="250">
        <v>12.528406232154907</v>
      </c>
      <c r="AO709" s="250">
        <v>14.817834201971346</v>
      </c>
      <c r="AP709" s="251">
        <v>20.23115456723124</v>
      </c>
      <c r="AQ709" s="251">
        <v>20.93815728060223</v>
      </c>
      <c r="AR709" s="251">
        <v>23.575821249717158</v>
      </c>
      <c r="AS709" s="251">
        <v>26.186292806779178</v>
      </c>
      <c r="AT709" s="251">
        <v>31.325658684745246</v>
      </c>
      <c r="AU709" s="250">
        <v>2.5427084962215822</v>
      </c>
      <c r="AV709" s="250">
        <v>4.6979166666666732</v>
      </c>
      <c r="AW709" s="251">
        <v>5.0854169924431645</v>
      </c>
      <c r="AX709" s="251">
        <v>9.3958333333333464</v>
      </c>
      <c r="AY709" s="250">
        <v>8.1333333333333364</v>
      </c>
      <c r="AZ709" s="250">
        <v>8.7331666666666532</v>
      </c>
      <c r="BA709" s="250">
        <v>11.783166666666686</v>
      </c>
      <c r="BB709" s="250">
        <v>12.464333333333364</v>
      </c>
      <c r="BC709" s="250">
        <v>14.23333333333334</v>
      </c>
      <c r="BD709" s="251">
        <v>7.5896631288754044</v>
      </c>
      <c r="BE709" s="251">
        <v>7.3036375000000007</v>
      </c>
      <c r="BF709" s="251">
        <v>9.7227399999999804</v>
      </c>
      <c r="BG709" s="251">
        <v>10.425275000000008</v>
      </c>
      <c r="BH709" s="251">
        <v>10.556474999999974</v>
      </c>
      <c r="BI709" s="250">
        <v>6.4210526315789593</v>
      </c>
      <c r="BJ709" s="250">
        <v>6.8946052631579056</v>
      </c>
      <c r="BK709" s="250">
        <v>9.3024999999999949</v>
      </c>
      <c r="BL709" s="250">
        <v>9.8402631578947624</v>
      </c>
      <c r="BM709" s="250">
        <v>11.236842105263134</v>
      </c>
      <c r="BN709" s="251">
        <v>6.8035908762418869</v>
      </c>
      <c r="BO709" s="251">
        <v>6.5471893303571571</v>
      </c>
      <c r="BP709" s="251">
        <v>8.7157419285714557</v>
      </c>
      <c r="BQ709" s="251">
        <v>9.3455143749999721</v>
      </c>
      <c r="BR709" s="251">
        <v>9.4631258035714083</v>
      </c>
      <c r="BS709" s="250">
        <v>3.3603508771929773</v>
      </c>
      <c r="BT709" s="250">
        <v>3.6081767543859677</v>
      </c>
      <c r="BU709" s="250">
        <v>4.8683083333333288</v>
      </c>
      <c r="BV709" s="250">
        <v>5.1497377192982325</v>
      </c>
      <c r="BW709" s="250">
        <v>5.8806140350877145</v>
      </c>
      <c r="BX709" s="251">
        <v>10.285069282860325</v>
      </c>
      <c r="BY709" s="251">
        <v>11.043593142471252</v>
      </c>
      <c r="BZ709" s="251">
        <v>12.494526635637847</v>
      </c>
      <c r="CA709" s="251">
        <v>15.38863295118454</v>
      </c>
      <c r="CB709" s="251">
        <v>17.988364194072208</v>
      </c>
      <c r="CC709" s="250">
        <v>3.560545891899924</v>
      </c>
      <c r="CD709" s="250">
        <v>3.4263624162202357</v>
      </c>
      <c r="CE709" s="250">
        <v>4.5612382759523751</v>
      </c>
      <c r="CF709" s="250">
        <v>4.8908191895833246</v>
      </c>
      <c r="CG709" s="250">
        <v>4.9523691705356994</v>
      </c>
      <c r="CH709" s="251">
        <v>10.518044016684504</v>
      </c>
      <c r="CI709" s="251">
        <v>10.102232154193905</v>
      </c>
      <c r="CJ709" s="251">
        <v>11.068916964186027</v>
      </c>
      <c r="CK709" s="251">
        <v>12.528406232154907</v>
      </c>
      <c r="CL709" s="251">
        <v>14.817834201971346</v>
      </c>
      <c r="CM709" s="250">
        <v>21.577068425581068</v>
      </c>
      <c r="CN709" s="250">
        <v>23.16837722196771</v>
      </c>
      <c r="CO709" s="250">
        <v>26.212293641198276</v>
      </c>
      <c r="CP709" s="250">
        <v>32.283845352135323</v>
      </c>
      <c r="CQ709" s="250">
        <v>37.737826980570944</v>
      </c>
      <c r="CR709" s="251">
        <v>15.092723371481885</v>
      </c>
      <c r="CS709" s="251">
        <v>17.198499243250307</v>
      </c>
      <c r="CT709" s="251">
        <v>23.6615361265427</v>
      </c>
      <c r="CU709" s="251">
        <v>26.961360309734573</v>
      </c>
      <c r="CV709" s="251">
        <v>32.047827480275693</v>
      </c>
      <c r="CW709" s="251">
        <v>36.959250166441343</v>
      </c>
      <c r="CX709" s="251">
        <v>47.089571896230517</v>
      </c>
      <c r="CY709" s="251">
        <v>51.515776266602792</v>
      </c>
      <c r="CZ709" s="251">
        <v>55.92365594316059</v>
      </c>
      <c r="DA709" s="250">
        <v>12.16428450835854</v>
      </c>
      <c r="DB709" s="250">
        <v>13.861477002022651</v>
      </c>
      <c r="DC709" s="250">
        <v>19.070491803482192</v>
      </c>
      <c r="DD709" s="250">
        <v>21.730051592920386</v>
      </c>
      <c r="DE709" s="250">
        <v>25.82959229753563</v>
      </c>
      <c r="DF709" s="250">
        <v>33.593903455073281</v>
      </c>
      <c r="DG709" s="250">
        <v>42.801802658298186</v>
      </c>
      <c r="DH709" s="250">
        <v>48.422620293483078</v>
      </c>
      <c r="DI709" s="250">
        <v>52.565838145286854</v>
      </c>
      <c r="DJ709" s="251">
        <v>6.2679864121415676</v>
      </c>
      <c r="DK709" s="251">
        <v>7.1425121174360644</v>
      </c>
      <c r="DL709" s="251">
        <v>9.8266020837433725</v>
      </c>
      <c r="DM709" s="251">
        <v>11.197014343586732</v>
      </c>
      <c r="DN709" s="251">
        <v>13.309416878638723</v>
      </c>
      <c r="DO709" s="251">
        <v>15.146420158308041</v>
      </c>
      <c r="DP709" s="251">
        <v>19.297968378773255</v>
      </c>
      <c r="DQ709" s="251">
        <v>21.251130276044329</v>
      </c>
      <c r="DR709" s="251">
        <v>23.069455302593205</v>
      </c>
      <c r="DS709" s="250">
        <v>42.659110581965862</v>
      </c>
      <c r="DT709" s="250">
        <v>48.611020225015558</v>
      </c>
      <c r="DU709" s="250">
        <v>66.878591843047758</v>
      </c>
      <c r="DV709" s="250">
        <v>76.205441694268671</v>
      </c>
      <c r="DW709" s="250">
        <v>90.582182071664846</v>
      </c>
      <c r="DX709" s="251">
        <v>20.305869158818297</v>
      </c>
      <c r="DY709" s="251">
        <v>28.126100565200936</v>
      </c>
      <c r="DZ709" s="251">
        <v>38.981742434281358</v>
      </c>
      <c r="EA709" s="250">
        <v>14.369414201022252</v>
      </c>
      <c r="EB709" s="250">
        <v>19.903387819548964</v>
      </c>
      <c r="EC709" s="250">
        <v>27.585364553208489</v>
      </c>
      <c r="ED709" s="251">
        <v>8.385511542559323</v>
      </c>
      <c r="EE709" s="251">
        <v>11.614954232789028</v>
      </c>
      <c r="EF709" s="251">
        <v>16.097899999999967</v>
      </c>
      <c r="EG709" s="250">
        <v>55.731686333400454</v>
      </c>
      <c r="EH709" s="250">
        <v>77.195169643882267</v>
      </c>
      <c r="EI709" s="250">
        <v>106.9896700842928</v>
      </c>
    </row>
    <row r="710" spans="1:139">
      <c r="A710" s="248">
        <v>2006</v>
      </c>
      <c r="B710" s="251">
        <v>7.8036847058823504</v>
      </c>
      <c r="C710" s="251">
        <v>8.07639411764705</v>
      </c>
      <c r="D710" s="251">
        <v>9.0938100000000066</v>
      </c>
      <c r="E710" s="251">
        <v>10.100737058823528</v>
      </c>
      <c r="F710" s="251">
        <v>12.083124705882355</v>
      </c>
      <c r="G710" s="250">
        <v>7.5632183096110301</v>
      </c>
      <c r="H710" s="250">
        <v>7.2781892857142862</v>
      </c>
      <c r="I710" s="250">
        <v>7.7140328571428372</v>
      </c>
      <c r="J710" s="250">
        <v>9.4834535714285906</v>
      </c>
      <c r="K710" s="250">
        <v>10.519692857142831</v>
      </c>
      <c r="L710" s="251">
        <v>5.9995488721804486</v>
      </c>
      <c r="M710" s="251">
        <v>6.20921052631578</v>
      </c>
      <c r="N710" s="251">
        <v>6.991409774436093</v>
      </c>
      <c r="O710" s="251">
        <v>7.7655451127819388</v>
      </c>
      <c r="P710" s="251">
        <v>9.2896240601503681</v>
      </c>
      <c r="Q710" s="250">
        <v>6.7798849846870368</v>
      </c>
      <c r="R710" s="250">
        <v>6.5243768239796065</v>
      </c>
      <c r="S710" s="250">
        <v>6.9150794540816438</v>
      </c>
      <c r="T710" s="250">
        <v>8.5012387372449272</v>
      </c>
      <c r="U710" s="250">
        <v>9.4301532397958976</v>
      </c>
      <c r="V710" s="251">
        <v>3.1397639097744352</v>
      </c>
      <c r="W710" s="251">
        <v>3.249486842105259</v>
      </c>
      <c r="X710" s="251">
        <v>3.6588377819548894</v>
      </c>
      <c r="Y710" s="251">
        <v>4.063968609022564</v>
      </c>
      <c r="Z710" s="251">
        <v>4.8615699248120263</v>
      </c>
      <c r="AA710" s="250">
        <v>9.6099159058144732</v>
      </c>
      <c r="AB710" s="250">
        <v>9.9457463003725159</v>
      </c>
      <c r="AC710" s="250">
        <v>11.198652003146689</v>
      </c>
      <c r="AD710" s="250">
        <v>12.438641152284029</v>
      </c>
      <c r="AE710" s="250">
        <v>14.879869789648215</v>
      </c>
      <c r="AF710" s="251">
        <v>3.5481398086528859</v>
      </c>
      <c r="AG710" s="251">
        <v>3.414423871215984</v>
      </c>
      <c r="AH710" s="251">
        <v>3.6188915809693949</v>
      </c>
      <c r="AI710" s="251">
        <v>4.4489816058248186</v>
      </c>
      <c r="AJ710" s="251">
        <v>4.9351135288265153</v>
      </c>
      <c r="AK710" s="250">
        <v>10.481395779692573</v>
      </c>
      <c r="AL710" s="250">
        <v>10.067032739022498</v>
      </c>
      <c r="AM710" s="250">
        <v>11.030349309258549</v>
      </c>
      <c r="AN710" s="250">
        <v>12.484753248767609</v>
      </c>
      <c r="AO710" s="250">
        <v>14.76620411764392</v>
      </c>
      <c r="AP710" s="251">
        <v>20.160662739470851</v>
      </c>
      <c r="AQ710" s="251">
        <v>20.865202028753441</v>
      </c>
      <c r="AR710" s="251">
        <v>23.493675531077031</v>
      </c>
      <c r="AS710" s="251">
        <v>26.095051368428031</v>
      </c>
      <c r="AT710" s="251">
        <v>31.216510048213031</v>
      </c>
      <c r="AU710" s="250">
        <v>2.5338488847364897</v>
      </c>
      <c r="AV710" s="250">
        <v>4.6815476190476257</v>
      </c>
      <c r="AW710" s="251">
        <v>5.0676977694729795</v>
      </c>
      <c r="AX710" s="251">
        <v>9.3630952380952515</v>
      </c>
      <c r="AY710" s="250">
        <v>8.1142857142857174</v>
      </c>
      <c r="AZ710" s="250">
        <v>8.7127142857142719</v>
      </c>
      <c r="BA710" s="250">
        <v>11.755571428571448</v>
      </c>
      <c r="BB710" s="250">
        <v>12.435142857142889</v>
      </c>
      <c r="BC710" s="250">
        <v>14.200000000000006</v>
      </c>
      <c r="BD710" s="251">
        <v>7.5632183096110301</v>
      </c>
      <c r="BE710" s="251">
        <v>7.2781892857142862</v>
      </c>
      <c r="BF710" s="251">
        <v>9.688862857142837</v>
      </c>
      <c r="BG710" s="251">
        <v>10.388950000000008</v>
      </c>
      <c r="BH710" s="251">
        <v>10.519692857142831</v>
      </c>
      <c r="BI710" s="250">
        <v>6.4060150375939973</v>
      </c>
      <c r="BJ710" s="250">
        <v>6.8784586466165525</v>
      </c>
      <c r="BK710" s="250">
        <v>9.2807142857142804</v>
      </c>
      <c r="BL710" s="250">
        <v>9.8172180451128082</v>
      </c>
      <c r="BM710" s="250">
        <v>11.210526315789449</v>
      </c>
      <c r="BN710" s="251">
        <v>6.7798849846870368</v>
      </c>
      <c r="BO710" s="251">
        <v>6.5243768239796065</v>
      </c>
      <c r="BP710" s="251">
        <v>8.6853734897959463</v>
      </c>
      <c r="BQ710" s="251">
        <v>9.3129516071428284</v>
      </c>
      <c r="BR710" s="251">
        <v>9.4301532397958976</v>
      </c>
      <c r="BS710" s="250">
        <v>3.3524812030075135</v>
      </c>
      <c r="BT710" s="250">
        <v>3.5997266917293262</v>
      </c>
      <c r="BU710" s="250">
        <v>4.8569071428571382</v>
      </c>
      <c r="BV710" s="250">
        <v>5.1376774436090091</v>
      </c>
      <c r="BW710" s="250">
        <v>5.866842105263153</v>
      </c>
      <c r="BX710" s="251">
        <v>10.26098246955152</v>
      </c>
      <c r="BY710" s="251">
        <v>11.017729926680921</v>
      </c>
      <c r="BZ710" s="251">
        <v>12.465265449137524</v>
      </c>
      <c r="CA710" s="251">
        <v>15.352593998137269</v>
      </c>
      <c r="CB710" s="251">
        <v>17.946236877458457</v>
      </c>
      <c r="CC710" s="250">
        <v>3.5481398086528859</v>
      </c>
      <c r="CD710" s="250">
        <v>3.414423871215984</v>
      </c>
      <c r="CE710" s="250">
        <v>4.5453454596598579</v>
      </c>
      <c r="CF710" s="250">
        <v>4.8737780077380863</v>
      </c>
      <c r="CG710" s="250">
        <v>4.9351135288265153</v>
      </c>
      <c r="CH710" s="251">
        <v>10.481395779692573</v>
      </c>
      <c r="CI710" s="251">
        <v>10.067032739022498</v>
      </c>
      <c r="CJ710" s="251">
        <v>11.030349309258549</v>
      </c>
      <c r="CK710" s="251">
        <v>12.484753248767609</v>
      </c>
      <c r="CL710" s="251">
        <v>14.76620411764392</v>
      </c>
      <c r="CM710" s="250">
        <v>21.526536649408747</v>
      </c>
      <c r="CN710" s="250">
        <v>23.114118727302682</v>
      </c>
      <c r="CO710" s="250">
        <v>26.150906536652144</v>
      </c>
      <c r="CP710" s="250">
        <v>32.208239156931256</v>
      </c>
      <c r="CQ710" s="250">
        <v>37.649447994667966</v>
      </c>
      <c r="CR710" s="251">
        <v>15.057377415108391</v>
      </c>
      <c r="CS710" s="251">
        <v>17.158221727458152</v>
      </c>
      <c r="CT710" s="251">
        <v>23.606122692991079</v>
      </c>
      <c r="CU710" s="251">
        <v>26.898218950695384</v>
      </c>
      <c r="CV710" s="251">
        <v>31.972774020134533</v>
      </c>
      <c r="CW710" s="251">
        <v>36.915614688086627</v>
      </c>
      <c r="CX710" s="251">
        <v>47.033976179706045</v>
      </c>
      <c r="CY710" s="251">
        <v>51.454954807020023</v>
      </c>
      <c r="CZ710" s="251">
        <v>55.857630375341039</v>
      </c>
      <c r="DA710" s="250">
        <v>12.135796722624679</v>
      </c>
      <c r="DB710" s="250">
        <v>13.829014526608079</v>
      </c>
      <c r="DC710" s="250">
        <v>19.02583023017193</v>
      </c>
      <c r="DD710" s="250">
        <v>21.679161542351487</v>
      </c>
      <c r="DE710" s="250">
        <v>25.769101449063648</v>
      </c>
      <c r="DF710" s="250">
        <v>33.554241231395508</v>
      </c>
      <c r="DG710" s="250">
        <v>42.7512692431172</v>
      </c>
      <c r="DH710" s="250">
        <v>48.365450729972473</v>
      </c>
      <c r="DI710" s="250">
        <v>52.503776943226306</v>
      </c>
      <c r="DJ710" s="251">
        <v>6.2533072870545849</v>
      </c>
      <c r="DK710" s="251">
        <v>7.125784922781647</v>
      </c>
      <c r="DL710" s="251">
        <v>9.8035889641093128</v>
      </c>
      <c r="DM710" s="251">
        <v>11.170791827559597</v>
      </c>
      <c r="DN710" s="251">
        <v>13.278247284075167</v>
      </c>
      <c r="DO710" s="251">
        <v>15.128537726007796</v>
      </c>
      <c r="DP710" s="251">
        <v>19.275184472777063</v>
      </c>
      <c r="DQ710" s="251">
        <v>21.226040393782174</v>
      </c>
      <c r="DR710" s="251">
        <v>23.042218637537015</v>
      </c>
      <c r="DS710" s="250">
        <v>42.559206341727069</v>
      </c>
      <c r="DT710" s="250">
        <v>48.49717708631529</v>
      </c>
      <c r="DU710" s="250">
        <v>66.7219675061788</v>
      </c>
      <c r="DV710" s="250">
        <v>76.026974617701299</v>
      </c>
      <c r="DW710" s="250">
        <v>90.370045813885767</v>
      </c>
      <c r="DX710" s="251">
        <v>20.25831443010912</v>
      </c>
      <c r="DY710" s="251">
        <v>28.060231477226225</v>
      </c>
      <c r="DZ710" s="251">
        <v>38.89045029743292</v>
      </c>
      <c r="EA710" s="250">
        <v>14.335762177132271</v>
      </c>
      <c r="EB710" s="250">
        <v>19.856775670088663</v>
      </c>
      <c r="EC710" s="250">
        <v>27.520761825917603</v>
      </c>
      <c r="ED710" s="251">
        <v>8.365873342225461</v>
      </c>
      <c r="EE710" s="251">
        <v>11.587752934819967</v>
      </c>
      <c r="EF710" s="251">
        <v>16.060199999999966</v>
      </c>
      <c r="EG710" s="250">
        <v>55.601167161659468</v>
      </c>
      <c r="EH710" s="250">
        <v>77.01438470326427</v>
      </c>
      <c r="EI710" s="250">
        <v>106.73910879603919</v>
      </c>
    </row>
    <row r="711" spans="1:139">
      <c r="A711" s="248">
        <v>2007</v>
      </c>
      <c r="B711" s="251">
        <v>7.7430705882352919</v>
      </c>
      <c r="C711" s="251">
        <v>8.0136617647058728</v>
      </c>
      <c r="D711" s="251">
        <v>9.0231750000000073</v>
      </c>
      <c r="E711" s="251">
        <v>10.022280882352939</v>
      </c>
      <c r="F711" s="251">
        <v>11.989270588235296</v>
      </c>
      <c r="G711" s="250">
        <v>7.5367734903466559</v>
      </c>
      <c r="H711" s="250">
        <v>7.2527410714285718</v>
      </c>
      <c r="I711" s="250">
        <v>7.6870607142856944</v>
      </c>
      <c r="J711" s="250">
        <v>9.4502946428571626</v>
      </c>
      <c r="K711" s="250">
        <v>10.482910714285687</v>
      </c>
      <c r="L711" s="251">
        <v>5.978571428571426</v>
      </c>
      <c r="M711" s="251">
        <v>6.1874999999999902</v>
      </c>
      <c r="N711" s="251">
        <v>6.9669642857142886</v>
      </c>
      <c r="O711" s="251">
        <v>7.7383928571428413</v>
      </c>
      <c r="P711" s="251">
        <v>9.2571428571428491</v>
      </c>
      <c r="Q711" s="250">
        <v>6.7561790931321868</v>
      </c>
      <c r="R711" s="250">
        <v>6.5015643176020559</v>
      </c>
      <c r="S711" s="250">
        <v>6.8909008545918482</v>
      </c>
      <c r="T711" s="250">
        <v>8.4715141262755402</v>
      </c>
      <c r="U711" s="250">
        <v>9.3971806760203869</v>
      </c>
      <c r="V711" s="251">
        <v>3.1287857142857134</v>
      </c>
      <c r="W711" s="251">
        <v>3.2381249999999957</v>
      </c>
      <c r="X711" s="251">
        <v>3.6460446428571451</v>
      </c>
      <c r="Y711" s="251">
        <v>4.0497589285714364</v>
      </c>
      <c r="Z711" s="251">
        <v>4.8445714285714248</v>
      </c>
      <c r="AA711" s="250">
        <v>9.5763148012486887</v>
      </c>
      <c r="AB711" s="250">
        <v>9.9109709636579275</v>
      </c>
      <c r="AC711" s="250">
        <v>11.159495877261561</v>
      </c>
      <c r="AD711" s="250">
        <v>12.395149400003316</v>
      </c>
      <c r="AE711" s="250">
        <v>14.827842272901194</v>
      </c>
      <c r="AF711" s="251">
        <v>3.5357337254058478</v>
      </c>
      <c r="AG711" s="251">
        <v>3.4024853262117323</v>
      </c>
      <c r="AH711" s="251">
        <v>3.6062381139030686</v>
      </c>
      <c r="AI711" s="251">
        <v>4.4334257260841721</v>
      </c>
      <c r="AJ711" s="251">
        <v>4.9178578871173313</v>
      </c>
      <c r="AK711" s="250">
        <v>10.444747542700641</v>
      </c>
      <c r="AL711" s="250">
        <v>10.031833323851091</v>
      </c>
      <c r="AM711" s="250">
        <v>10.991781654331071</v>
      </c>
      <c r="AN711" s="250">
        <v>12.44110026538031</v>
      </c>
      <c r="AO711" s="250">
        <v>14.714574033316493</v>
      </c>
      <c r="AP711" s="251">
        <v>20.090170911710462</v>
      </c>
      <c r="AQ711" s="251">
        <v>20.792246776904651</v>
      </c>
      <c r="AR711" s="251">
        <v>23.411529812436903</v>
      </c>
      <c r="AS711" s="251">
        <v>26.003809930076883</v>
      </c>
      <c r="AT711" s="251">
        <v>31.107361411680817</v>
      </c>
      <c r="AU711" s="250">
        <v>2.5249892732513972</v>
      </c>
      <c r="AV711" s="250">
        <v>4.6651785714285783</v>
      </c>
      <c r="AW711" s="251">
        <v>5.0499785465027944</v>
      </c>
      <c r="AX711" s="251">
        <v>9.3303571428571566</v>
      </c>
      <c r="AY711" s="250">
        <v>8.0952380952380985</v>
      </c>
      <c r="AZ711" s="250">
        <v>8.6922619047618905</v>
      </c>
      <c r="BA711" s="250">
        <v>11.727976190476211</v>
      </c>
      <c r="BB711" s="250">
        <v>12.405952380952414</v>
      </c>
      <c r="BC711" s="250">
        <v>14.166666666666673</v>
      </c>
      <c r="BD711" s="251">
        <v>7.5367734903466559</v>
      </c>
      <c r="BE711" s="251">
        <v>7.2527410714285718</v>
      </c>
      <c r="BF711" s="251">
        <v>9.6549857142856936</v>
      </c>
      <c r="BG711" s="251">
        <v>10.352625000000009</v>
      </c>
      <c r="BH711" s="251">
        <v>10.482910714285687</v>
      </c>
      <c r="BI711" s="250">
        <v>6.3909774436090352</v>
      </c>
      <c r="BJ711" s="250">
        <v>6.8623120300751994</v>
      </c>
      <c r="BK711" s="250">
        <v>9.2589285714285658</v>
      </c>
      <c r="BL711" s="250">
        <v>9.794172932330854</v>
      </c>
      <c r="BM711" s="250">
        <v>11.184210526315765</v>
      </c>
      <c r="BN711" s="251">
        <v>6.7561790931321868</v>
      </c>
      <c r="BO711" s="251">
        <v>6.5015643176020559</v>
      </c>
      <c r="BP711" s="251">
        <v>8.6550050510204368</v>
      </c>
      <c r="BQ711" s="251">
        <v>9.2803888392856848</v>
      </c>
      <c r="BR711" s="251">
        <v>9.3971806760203869</v>
      </c>
      <c r="BS711" s="250">
        <v>3.3446115288220497</v>
      </c>
      <c r="BT711" s="250">
        <v>3.5912766290726847</v>
      </c>
      <c r="BU711" s="250">
        <v>4.8455059523809476</v>
      </c>
      <c r="BV711" s="250">
        <v>5.1256171679197857</v>
      </c>
      <c r="BW711" s="250">
        <v>5.8530701754385914</v>
      </c>
      <c r="BX711" s="251">
        <v>10.236895656242714</v>
      </c>
      <c r="BY711" s="251">
        <v>10.991866710890591</v>
      </c>
      <c r="BZ711" s="251">
        <v>12.436004262637201</v>
      </c>
      <c r="CA711" s="251">
        <v>15.316555045089999</v>
      </c>
      <c r="CB711" s="251">
        <v>17.904109560844706</v>
      </c>
      <c r="CC711" s="250">
        <v>3.5357337254058478</v>
      </c>
      <c r="CD711" s="250">
        <v>3.4024853262117323</v>
      </c>
      <c r="CE711" s="250">
        <v>4.5294526433673408</v>
      </c>
      <c r="CF711" s="250">
        <v>4.8567368258928481</v>
      </c>
      <c r="CG711" s="250">
        <v>4.9178578871173313</v>
      </c>
      <c r="CH711" s="251">
        <v>10.444747542700641</v>
      </c>
      <c r="CI711" s="251">
        <v>10.031833323851091</v>
      </c>
      <c r="CJ711" s="251">
        <v>10.991781654331071</v>
      </c>
      <c r="CK711" s="251">
        <v>12.44110026538031</v>
      </c>
      <c r="CL711" s="251">
        <v>14.714574033316493</v>
      </c>
      <c r="CM711" s="250">
        <v>21.476004873236427</v>
      </c>
      <c r="CN711" s="250">
        <v>23.059860232637654</v>
      </c>
      <c r="CO711" s="250">
        <v>26.089519432106012</v>
      </c>
      <c r="CP711" s="250">
        <v>32.13263296172719</v>
      </c>
      <c r="CQ711" s="250">
        <v>37.561069008764989</v>
      </c>
      <c r="CR711" s="251">
        <v>15.022031458734897</v>
      </c>
      <c r="CS711" s="251">
        <v>17.117944211665996</v>
      </c>
      <c r="CT711" s="251">
        <v>23.550709259439458</v>
      </c>
      <c r="CU711" s="251">
        <v>26.835077591656194</v>
      </c>
      <c r="CV711" s="251">
        <v>31.897720559993374</v>
      </c>
      <c r="CW711" s="251">
        <v>36.871979209731911</v>
      </c>
      <c r="CX711" s="251">
        <v>46.978380463181573</v>
      </c>
      <c r="CY711" s="251">
        <v>51.394133347437254</v>
      </c>
      <c r="CZ711" s="251">
        <v>55.791604807521487</v>
      </c>
      <c r="DA711" s="250">
        <v>12.107308936890819</v>
      </c>
      <c r="DB711" s="250">
        <v>13.796552051193506</v>
      </c>
      <c r="DC711" s="250">
        <v>18.981168656861669</v>
      </c>
      <c r="DD711" s="250">
        <v>21.628271491782588</v>
      </c>
      <c r="DE711" s="250">
        <v>25.708610600591665</v>
      </c>
      <c r="DF711" s="250">
        <v>33.514579007717735</v>
      </c>
      <c r="DG711" s="250">
        <v>42.700735827936214</v>
      </c>
      <c r="DH711" s="250">
        <v>48.308281166461867</v>
      </c>
      <c r="DI711" s="250">
        <v>52.441715741165758</v>
      </c>
      <c r="DJ711" s="251">
        <v>6.2386281619676023</v>
      </c>
      <c r="DK711" s="251">
        <v>7.1090577281272296</v>
      </c>
      <c r="DL711" s="251">
        <v>9.7805758444752531</v>
      </c>
      <c r="DM711" s="251">
        <v>11.144569311532463</v>
      </c>
      <c r="DN711" s="251">
        <v>13.247077689511611</v>
      </c>
      <c r="DO711" s="251">
        <v>15.11065529370755</v>
      </c>
      <c r="DP711" s="251">
        <v>19.252400566780871</v>
      </c>
      <c r="DQ711" s="251">
        <v>21.20095051152002</v>
      </c>
      <c r="DR711" s="251">
        <v>23.014981972480825</v>
      </c>
      <c r="DS711" s="250">
        <v>42.459302101488277</v>
      </c>
      <c r="DT711" s="250">
        <v>48.383333947615021</v>
      </c>
      <c r="DU711" s="250">
        <v>66.565343169309841</v>
      </c>
      <c r="DV711" s="250">
        <v>75.848507541133927</v>
      </c>
      <c r="DW711" s="250">
        <v>90.157909556106688</v>
      </c>
      <c r="DX711" s="251">
        <v>20.210759701399944</v>
      </c>
      <c r="DY711" s="251">
        <v>27.994362389251513</v>
      </c>
      <c r="DZ711" s="251">
        <v>38.799158160584483</v>
      </c>
      <c r="EA711" s="250">
        <v>14.302110153242289</v>
      </c>
      <c r="EB711" s="250">
        <v>19.810163520628361</v>
      </c>
      <c r="EC711" s="250">
        <v>27.456159098626717</v>
      </c>
      <c r="ED711" s="251">
        <v>8.346235141891599</v>
      </c>
      <c r="EE711" s="251">
        <v>11.560551636850906</v>
      </c>
      <c r="EF711" s="251">
        <v>16.022499999999965</v>
      </c>
      <c r="EG711" s="250">
        <v>55.470647989918483</v>
      </c>
      <c r="EH711" s="250">
        <v>76.833599762646273</v>
      </c>
      <c r="EI711" s="250">
        <v>106.48854750778558</v>
      </c>
    </row>
    <row r="712" spans="1:139">
      <c r="A712" s="248">
        <v>2008</v>
      </c>
      <c r="B712" s="251">
        <v>7.6824564705882334</v>
      </c>
      <c r="C712" s="251">
        <v>7.9509294117646965</v>
      </c>
      <c r="D712" s="251">
        <v>8.9525400000000079</v>
      </c>
      <c r="E712" s="251">
        <v>9.943824705882351</v>
      </c>
      <c r="F712" s="251">
        <v>11.895416470588238</v>
      </c>
      <c r="G712" s="250">
        <v>7.5103286710822816</v>
      </c>
      <c r="H712" s="250">
        <v>7.2272928571428574</v>
      </c>
      <c r="I712" s="250">
        <v>7.6600885714285516</v>
      </c>
      <c r="J712" s="250">
        <v>9.4171357142857346</v>
      </c>
      <c r="K712" s="250">
        <v>10.446128571428543</v>
      </c>
      <c r="L712" s="251">
        <v>5.9575939849624033</v>
      </c>
      <c r="M712" s="251">
        <v>6.1657894736842005</v>
      </c>
      <c r="N712" s="251">
        <v>6.9425187969924842</v>
      </c>
      <c r="O712" s="251">
        <v>7.7112406015037438</v>
      </c>
      <c r="P712" s="251">
        <v>9.2246616541353301</v>
      </c>
      <c r="Q712" s="250">
        <v>6.7324732015773368</v>
      </c>
      <c r="R712" s="250">
        <v>6.4787518112245053</v>
      </c>
      <c r="S712" s="250">
        <v>6.8667222551020526</v>
      </c>
      <c r="T712" s="250">
        <v>8.4417895153061533</v>
      </c>
      <c r="U712" s="250">
        <v>9.3642081122448761</v>
      </c>
      <c r="V712" s="251">
        <v>3.1178075187969916</v>
      </c>
      <c r="W712" s="251">
        <v>3.2267631578947324</v>
      </c>
      <c r="X712" s="251">
        <v>3.6332515037594009</v>
      </c>
      <c r="Y712" s="251">
        <v>4.0355492481203088</v>
      </c>
      <c r="Z712" s="251">
        <v>4.8275729323308232</v>
      </c>
      <c r="AA712" s="250">
        <v>9.5427136966829043</v>
      </c>
      <c r="AB712" s="250">
        <v>9.8761956269433391</v>
      </c>
      <c r="AC712" s="250">
        <v>11.120339751376433</v>
      </c>
      <c r="AD712" s="250">
        <v>12.351657647722602</v>
      </c>
      <c r="AE712" s="250">
        <v>14.775814756154173</v>
      </c>
      <c r="AF712" s="251">
        <v>3.5233276421588098</v>
      </c>
      <c r="AG712" s="251">
        <v>3.3905467812074805</v>
      </c>
      <c r="AH712" s="251">
        <v>3.5935846468367423</v>
      </c>
      <c r="AI712" s="251">
        <v>4.4178698463435255</v>
      </c>
      <c r="AJ712" s="251">
        <v>4.9006022454081473</v>
      </c>
      <c r="AK712" s="250">
        <v>10.40809930570871</v>
      </c>
      <c r="AL712" s="250">
        <v>9.9966339086796836</v>
      </c>
      <c r="AM712" s="250">
        <v>10.953213999403593</v>
      </c>
      <c r="AN712" s="250">
        <v>12.397447281993012</v>
      </c>
      <c r="AO712" s="250">
        <v>14.662943948989067</v>
      </c>
      <c r="AP712" s="251">
        <v>20.019679083950074</v>
      </c>
      <c r="AQ712" s="251">
        <v>20.719291525055862</v>
      </c>
      <c r="AR712" s="251">
        <v>23.329384093796776</v>
      </c>
      <c r="AS712" s="251">
        <v>25.912568491725736</v>
      </c>
      <c r="AT712" s="251">
        <v>30.998212775148602</v>
      </c>
      <c r="AU712" s="250">
        <v>2.5161296617663047</v>
      </c>
      <c r="AV712" s="250">
        <v>4.6488095238095308</v>
      </c>
      <c r="AW712" s="251">
        <v>5.0322593235326094</v>
      </c>
      <c r="AX712" s="251">
        <v>9.2976190476190617</v>
      </c>
      <c r="AY712" s="250">
        <v>8.0761904761904795</v>
      </c>
      <c r="AZ712" s="250">
        <v>8.6718095238095092</v>
      </c>
      <c r="BA712" s="250">
        <v>11.700380952380973</v>
      </c>
      <c r="BB712" s="250">
        <v>12.376761904761938</v>
      </c>
      <c r="BC712" s="250">
        <v>14.13333333333334</v>
      </c>
      <c r="BD712" s="251">
        <v>7.5103286710822816</v>
      </c>
      <c r="BE712" s="251">
        <v>7.2272928571428574</v>
      </c>
      <c r="BF712" s="251">
        <v>9.6211085714285502</v>
      </c>
      <c r="BG712" s="251">
        <v>10.316300000000009</v>
      </c>
      <c r="BH712" s="251">
        <v>10.446128571428543</v>
      </c>
      <c r="BI712" s="250">
        <v>6.3759398496240731</v>
      </c>
      <c r="BJ712" s="250">
        <v>6.8461654135338463</v>
      </c>
      <c r="BK712" s="250">
        <v>9.2371428571428513</v>
      </c>
      <c r="BL712" s="250">
        <v>9.7711278195488998</v>
      </c>
      <c r="BM712" s="250">
        <v>11.15789473684208</v>
      </c>
      <c r="BN712" s="251">
        <v>6.7324732015773368</v>
      </c>
      <c r="BO712" s="251">
        <v>6.4787518112245053</v>
      </c>
      <c r="BP712" s="251">
        <v>8.6246366122449274</v>
      </c>
      <c r="BQ712" s="251">
        <v>9.2478260714285412</v>
      </c>
      <c r="BR712" s="251">
        <v>9.3642081122448761</v>
      </c>
      <c r="BS712" s="250">
        <v>3.3367418546365859</v>
      </c>
      <c r="BT712" s="250">
        <v>3.5828265664160432</v>
      </c>
      <c r="BU712" s="250">
        <v>4.834104761904757</v>
      </c>
      <c r="BV712" s="250">
        <v>5.1135568922305623</v>
      </c>
      <c r="BW712" s="250">
        <v>5.8392982456140299</v>
      </c>
      <c r="BX712" s="251">
        <v>10.212808842933908</v>
      </c>
      <c r="BY712" s="251">
        <v>10.96600349510026</v>
      </c>
      <c r="BZ712" s="251">
        <v>12.406743076136879</v>
      </c>
      <c r="CA712" s="251">
        <v>15.280516092042728</v>
      </c>
      <c r="CB712" s="251">
        <v>17.861982244230955</v>
      </c>
      <c r="CC712" s="250">
        <v>3.5233276421588098</v>
      </c>
      <c r="CD712" s="250">
        <v>3.3905467812074805</v>
      </c>
      <c r="CE712" s="250">
        <v>4.5135598270748236</v>
      </c>
      <c r="CF712" s="250">
        <v>4.8396956440476098</v>
      </c>
      <c r="CG712" s="250">
        <v>4.9006022454081473</v>
      </c>
      <c r="CH712" s="251">
        <v>10.40809930570871</v>
      </c>
      <c r="CI712" s="251">
        <v>9.9966339086796836</v>
      </c>
      <c r="CJ712" s="251">
        <v>10.953213999403593</v>
      </c>
      <c r="CK712" s="251">
        <v>12.397447281993012</v>
      </c>
      <c r="CL712" s="251">
        <v>14.662943948989067</v>
      </c>
      <c r="CM712" s="250">
        <v>21.425473097064106</v>
      </c>
      <c r="CN712" s="250">
        <v>23.005601737972626</v>
      </c>
      <c r="CO712" s="250">
        <v>26.028132327559881</v>
      </c>
      <c r="CP712" s="250">
        <v>32.057026766523123</v>
      </c>
      <c r="CQ712" s="250">
        <v>37.472690022862011</v>
      </c>
      <c r="CR712" s="251">
        <v>14.986685502361404</v>
      </c>
      <c r="CS712" s="251">
        <v>17.077666695873841</v>
      </c>
      <c r="CT712" s="251">
        <v>23.495295825887837</v>
      </c>
      <c r="CU712" s="251">
        <v>26.771936232617005</v>
      </c>
      <c r="CV712" s="251">
        <v>31.822667099852215</v>
      </c>
      <c r="CW712" s="251">
        <v>36.828343731377196</v>
      </c>
      <c r="CX712" s="251">
        <v>46.922784746657101</v>
      </c>
      <c r="CY712" s="251">
        <v>51.333311887854485</v>
      </c>
      <c r="CZ712" s="251">
        <v>55.725579239701936</v>
      </c>
      <c r="DA712" s="250">
        <v>12.078821151156959</v>
      </c>
      <c r="DB712" s="250">
        <v>13.764089575778934</v>
      </c>
      <c r="DC712" s="250">
        <v>18.936507083551408</v>
      </c>
      <c r="DD712" s="250">
        <v>21.577381441213689</v>
      </c>
      <c r="DE712" s="250">
        <v>25.648119752119683</v>
      </c>
      <c r="DF712" s="250">
        <v>33.474916784039962</v>
      </c>
      <c r="DG712" s="250">
        <v>42.650202412755227</v>
      </c>
      <c r="DH712" s="250">
        <v>48.251111602951262</v>
      </c>
      <c r="DI712" s="250">
        <v>52.379654539105211</v>
      </c>
      <c r="DJ712" s="251">
        <v>6.2239490368806196</v>
      </c>
      <c r="DK712" s="251">
        <v>7.0923305334728122</v>
      </c>
      <c r="DL712" s="251">
        <v>9.7575627248411934</v>
      </c>
      <c r="DM712" s="251">
        <v>11.118346795505328</v>
      </c>
      <c r="DN712" s="251">
        <v>13.215908094948055</v>
      </c>
      <c r="DO712" s="251">
        <v>15.092772861407305</v>
      </c>
      <c r="DP712" s="251">
        <v>19.229616660784679</v>
      </c>
      <c r="DQ712" s="251">
        <v>21.175860629257865</v>
      </c>
      <c r="DR712" s="251">
        <v>22.987745307424635</v>
      </c>
      <c r="DS712" s="250">
        <v>42.359397861249484</v>
      </c>
      <c r="DT712" s="250">
        <v>48.269490808914753</v>
      </c>
      <c r="DU712" s="250">
        <v>66.408718832440883</v>
      </c>
      <c r="DV712" s="250">
        <v>75.670040464566554</v>
      </c>
      <c r="DW712" s="250">
        <v>89.945773298327609</v>
      </c>
      <c r="DX712" s="251">
        <v>20.163204972690767</v>
      </c>
      <c r="DY712" s="251">
        <v>27.928493301276802</v>
      </c>
      <c r="DZ712" s="251">
        <v>38.707866023736045</v>
      </c>
      <c r="EA712" s="250">
        <v>14.268458129352307</v>
      </c>
      <c r="EB712" s="250">
        <v>19.763551371168059</v>
      </c>
      <c r="EC712" s="250">
        <v>27.391556371335831</v>
      </c>
      <c r="ED712" s="251">
        <v>8.326596941557737</v>
      </c>
      <c r="EE712" s="251">
        <v>11.533350338881846</v>
      </c>
      <c r="EF712" s="251">
        <v>15.984799999999966</v>
      </c>
      <c r="EG712" s="250">
        <v>55.340128818177497</v>
      </c>
      <c r="EH712" s="250">
        <v>76.652814822028276</v>
      </c>
      <c r="EI712" s="250">
        <v>106.23798621953198</v>
      </c>
    </row>
    <row r="713" spans="1:139">
      <c r="A713" s="248">
        <v>2009</v>
      </c>
      <c r="B713" s="251">
        <v>7.621842352941175</v>
      </c>
      <c r="C713" s="251">
        <v>7.8881970588235202</v>
      </c>
      <c r="D713" s="251">
        <v>8.8819050000000086</v>
      </c>
      <c r="E713" s="251">
        <v>9.8653685294117626</v>
      </c>
      <c r="F713" s="251">
        <v>11.801562352941179</v>
      </c>
      <c r="G713" s="250">
        <v>7.4838838518179074</v>
      </c>
      <c r="H713" s="250">
        <v>7.201844642857143</v>
      </c>
      <c r="I713" s="250">
        <v>7.6331164285714088</v>
      </c>
      <c r="J713" s="250">
        <v>9.3839767857143066</v>
      </c>
      <c r="K713" s="250">
        <v>10.4093464285714</v>
      </c>
      <c r="L713" s="251">
        <v>5.9366165413533807</v>
      </c>
      <c r="M713" s="251">
        <v>6.1440789473684108</v>
      </c>
      <c r="N713" s="251">
        <v>6.9180733082706798</v>
      </c>
      <c r="O713" s="251">
        <v>7.6840883458646463</v>
      </c>
      <c r="P713" s="251">
        <v>9.1921804511278111</v>
      </c>
      <c r="Q713" s="250">
        <v>6.7087673100224867</v>
      </c>
      <c r="R713" s="250">
        <v>6.4559393048469547</v>
      </c>
      <c r="S713" s="250">
        <v>6.842543655612257</v>
      </c>
      <c r="T713" s="250">
        <v>8.4120649043367663</v>
      </c>
      <c r="U713" s="250">
        <v>9.3312355484693654</v>
      </c>
      <c r="V713" s="251">
        <v>3.1068293233082698</v>
      </c>
      <c r="W713" s="251">
        <v>3.2154013157894692</v>
      </c>
      <c r="X713" s="251">
        <v>3.6204583646616566</v>
      </c>
      <c r="Y713" s="251">
        <v>4.0213395676691812</v>
      </c>
      <c r="Z713" s="251">
        <v>4.8105744360902216</v>
      </c>
      <c r="AA713" s="250">
        <v>9.5091125921171198</v>
      </c>
      <c r="AB713" s="250">
        <v>9.8414202902287506</v>
      </c>
      <c r="AC713" s="250">
        <v>11.081183625491304</v>
      </c>
      <c r="AD713" s="250">
        <v>12.308165895441888</v>
      </c>
      <c r="AE713" s="250">
        <v>14.723787239407152</v>
      </c>
      <c r="AF713" s="251">
        <v>3.5109215589117717</v>
      </c>
      <c r="AG713" s="251">
        <v>3.3786082362032288</v>
      </c>
      <c r="AH713" s="251">
        <v>3.580931179770416</v>
      </c>
      <c r="AI713" s="251">
        <v>4.402313966602879</v>
      </c>
      <c r="AJ713" s="251">
        <v>4.8833466036989632</v>
      </c>
      <c r="AK713" s="250">
        <v>10.371451068716778</v>
      </c>
      <c r="AL713" s="250">
        <v>9.9614344935082766</v>
      </c>
      <c r="AM713" s="250">
        <v>10.914646344476115</v>
      </c>
      <c r="AN713" s="250">
        <v>12.353794298605713</v>
      </c>
      <c r="AO713" s="250">
        <v>14.611313864661641</v>
      </c>
      <c r="AP713" s="251">
        <v>19.949187256189685</v>
      </c>
      <c r="AQ713" s="251">
        <v>20.646336273207073</v>
      </c>
      <c r="AR713" s="251">
        <v>23.247238375156648</v>
      </c>
      <c r="AS713" s="251">
        <v>25.821327053374588</v>
      </c>
      <c r="AT713" s="251">
        <v>30.889064138616387</v>
      </c>
      <c r="AU713" s="250">
        <v>2.5072700502812122</v>
      </c>
      <c r="AV713" s="250">
        <v>4.6324404761904834</v>
      </c>
      <c r="AW713" s="251">
        <v>5.0145401005624244</v>
      </c>
      <c r="AX713" s="251">
        <v>9.2648809523809668</v>
      </c>
      <c r="AY713" s="250">
        <v>8.0571428571428605</v>
      </c>
      <c r="AZ713" s="250">
        <v>8.6513571428571279</v>
      </c>
      <c r="BA713" s="250">
        <v>11.672785714285736</v>
      </c>
      <c r="BB713" s="250">
        <v>12.347571428571463</v>
      </c>
      <c r="BC713" s="250">
        <v>14.100000000000007</v>
      </c>
      <c r="BD713" s="251">
        <v>7.4838838518179074</v>
      </c>
      <c r="BE713" s="251">
        <v>7.201844642857143</v>
      </c>
      <c r="BF713" s="251">
        <v>9.5872314285714069</v>
      </c>
      <c r="BG713" s="251">
        <v>10.279975000000009</v>
      </c>
      <c r="BH713" s="251">
        <v>10.4093464285714</v>
      </c>
      <c r="BI713" s="250">
        <v>6.360902255639111</v>
      </c>
      <c r="BJ713" s="250">
        <v>6.8300187969924933</v>
      </c>
      <c r="BK713" s="250">
        <v>9.2153571428571368</v>
      </c>
      <c r="BL713" s="250">
        <v>9.7480827067669455</v>
      </c>
      <c r="BM713" s="250">
        <v>11.131578947368395</v>
      </c>
      <c r="BN713" s="251">
        <v>6.7087673100224867</v>
      </c>
      <c r="BO713" s="251">
        <v>6.4559393048469547</v>
      </c>
      <c r="BP713" s="251">
        <v>8.594268173469418</v>
      </c>
      <c r="BQ713" s="251">
        <v>9.2152633035713976</v>
      </c>
      <c r="BR713" s="251">
        <v>9.3312355484693654</v>
      </c>
      <c r="BS713" s="250">
        <v>3.3288721804511221</v>
      </c>
      <c r="BT713" s="250">
        <v>3.5743765037594017</v>
      </c>
      <c r="BU713" s="250">
        <v>4.8227035714285664</v>
      </c>
      <c r="BV713" s="250">
        <v>5.1014966165413389</v>
      </c>
      <c r="BW713" s="250">
        <v>5.8255263157894683</v>
      </c>
      <c r="BX713" s="251">
        <v>10.188722029625103</v>
      </c>
      <c r="BY713" s="251">
        <v>10.940140279309929</v>
      </c>
      <c r="BZ713" s="251">
        <v>12.377481889636556</v>
      </c>
      <c r="CA713" s="251">
        <v>15.244477138995457</v>
      </c>
      <c r="CB713" s="251">
        <v>17.819854927617204</v>
      </c>
      <c r="CC713" s="250">
        <v>3.5109215589117717</v>
      </c>
      <c r="CD713" s="250">
        <v>3.3786082362032288</v>
      </c>
      <c r="CE713" s="250">
        <v>4.4976670107823065</v>
      </c>
      <c r="CF713" s="250">
        <v>4.8226544622023715</v>
      </c>
      <c r="CG713" s="250">
        <v>4.8833466036989632</v>
      </c>
      <c r="CH713" s="251">
        <v>10.371451068716778</v>
      </c>
      <c r="CI713" s="251">
        <v>9.9614344935082766</v>
      </c>
      <c r="CJ713" s="251">
        <v>10.914646344476115</v>
      </c>
      <c r="CK713" s="251">
        <v>12.353794298605713</v>
      </c>
      <c r="CL713" s="251">
        <v>14.611313864661641</v>
      </c>
      <c r="CM713" s="250">
        <v>21.374941320891786</v>
      </c>
      <c r="CN713" s="250">
        <v>22.951343243307598</v>
      </c>
      <c r="CO713" s="250">
        <v>25.966745223013749</v>
      </c>
      <c r="CP713" s="250">
        <v>31.98142057131906</v>
      </c>
      <c r="CQ713" s="250">
        <v>37.384311036959033</v>
      </c>
      <c r="CR713" s="251">
        <v>14.95133954598791</v>
      </c>
      <c r="CS713" s="251">
        <v>17.037389180081686</v>
      </c>
      <c r="CT713" s="251">
        <v>23.439882392336216</v>
      </c>
      <c r="CU713" s="251">
        <v>26.708794873577816</v>
      </c>
      <c r="CV713" s="251">
        <v>31.747613639711055</v>
      </c>
      <c r="CW713" s="251">
        <v>36.78470825302248</v>
      </c>
      <c r="CX713" s="251">
        <v>46.867189030132629</v>
      </c>
      <c r="CY713" s="251">
        <v>51.272490428271716</v>
      </c>
      <c r="CZ713" s="251">
        <v>55.659553671882385</v>
      </c>
      <c r="DA713" s="250">
        <v>12.050333365423098</v>
      </c>
      <c r="DB713" s="250">
        <v>13.731627100364362</v>
      </c>
      <c r="DC713" s="250">
        <v>18.891845510241147</v>
      </c>
      <c r="DD713" s="250">
        <v>21.526491390644789</v>
      </c>
      <c r="DE713" s="250">
        <v>25.587628903647701</v>
      </c>
      <c r="DF713" s="250">
        <v>33.435254560362189</v>
      </c>
      <c r="DG713" s="250">
        <v>42.599668997574241</v>
      </c>
      <c r="DH713" s="250">
        <v>48.193942039440657</v>
      </c>
      <c r="DI713" s="250">
        <v>52.317593337044663</v>
      </c>
      <c r="DJ713" s="251">
        <v>6.209269911793637</v>
      </c>
      <c r="DK713" s="251">
        <v>7.0756033388183948</v>
      </c>
      <c r="DL713" s="251">
        <v>9.7345496052071336</v>
      </c>
      <c r="DM713" s="251">
        <v>11.092124279478194</v>
      </c>
      <c r="DN713" s="251">
        <v>13.184738500384499</v>
      </c>
      <c r="DO713" s="251">
        <v>15.074890429107059</v>
      </c>
      <c r="DP713" s="251">
        <v>19.206832754788486</v>
      </c>
      <c r="DQ713" s="251">
        <v>21.150770746995711</v>
      </c>
      <c r="DR713" s="251">
        <v>22.960508642368445</v>
      </c>
      <c r="DS713" s="250">
        <v>42.259493621010691</v>
      </c>
      <c r="DT713" s="250">
        <v>48.155647670214485</v>
      </c>
      <c r="DU713" s="250">
        <v>66.252094495571924</v>
      </c>
      <c r="DV713" s="250">
        <v>75.491573387999182</v>
      </c>
      <c r="DW713" s="250">
        <v>89.73363704054853</v>
      </c>
      <c r="DX713" s="251">
        <v>20.115650243981591</v>
      </c>
      <c r="DY713" s="251">
        <v>27.862624213302091</v>
      </c>
      <c r="DZ713" s="251">
        <v>38.616573886887608</v>
      </c>
      <c r="EA713" s="250">
        <v>14.234806105462326</v>
      </c>
      <c r="EB713" s="250">
        <v>19.716939221707758</v>
      </c>
      <c r="EC713" s="250">
        <v>27.326953644044945</v>
      </c>
      <c r="ED713" s="251">
        <v>8.306958741223875</v>
      </c>
      <c r="EE713" s="251">
        <v>11.506149040912785</v>
      </c>
      <c r="EF713" s="251">
        <v>15.947099999999967</v>
      </c>
      <c r="EG713" s="250">
        <v>55.209609646436512</v>
      </c>
      <c r="EH713" s="250">
        <v>76.472029881410279</v>
      </c>
      <c r="EI713" s="250">
        <v>105.98742493127837</v>
      </c>
    </row>
    <row r="714" spans="1:139">
      <c r="A714" s="248">
        <v>2010</v>
      </c>
      <c r="B714" s="251">
        <v>7.5612282352941165</v>
      </c>
      <c r="C714" s="251">
        <v>7.8254647058823439</v>
      </c>
      <c r="D714" s="251">
        <v>8.8112700000000093</v>
      </c>
      <c r="E714" s="251">
        <v>9.7869123529411741</v>
      </c>
      <c r="F714" s="251">
        <v>11.70770823529412</v>
      </c>
      <c r="G714" s="250">
        <v>7.4574390325535331</v>
      </c>
      <c r="H714" s="250">
        <v>7.1763964285714286</v>
      </c>
      <c r="I714" s="250">
        <v>7.606144285714266</v>
      </c>
      <c r="J714" s="250">
        <v>9.3508178571428786</v>
      </c>
      <c r="K714" s="250">
        <v>10.372564285714256</v>
      </c>
      <c r="L714" s="251">
        <v>5.915639097744358</v>
      </c>
      <c r="M714" s="251">
        <v>6.122368421052621</v>
      </c>
      <c r="N714" s="251">
        <v>6.8936278195488754</v>
      </c>
      <c r="O714" s="251">
        <v>7.6569360902255488</v>
      </c>
      <c r="P714" s="251">
        <v>9.1596992481202921</v>
      </c>
      <c r="Q714" s="250">
        <v>6.6850614184676367</v>
      </c>
      <c r="R714" s="250">
        <v>6.4331267984694041</v>
      </c>
      <c r="S714" s="250">
        <v>6.8183650561224614</v>
      </c>
      <c r="T714" s="250">
        <v>8.3823402933673794</v>
      </c>
      <c r="U714" s="250">
        <v>9.2982629846938547</v>
      </c>
      <c r="V714" s="251">
        <v>3.095851127819548</v>
      </c>
      <c r="W714" s="251">
        <v>3.2040394736842059</v>
      </c>
      <c r="X714" s="251">
        <v>3.6076652255639123</v>
      </c>
      <c r="Y714" s="251">
        <v>4.0071298872180536</v>
      </c>
      <c r="Z714" s="251">
        <v>4.79357593984962</v>
      </c>
      <c r="AA714" s="250">
        <v>9.4755114875513353</v>
      </c>
      <c r="AB714" s="250">
        <v>9.8066449535141622</v>
      </c>
      <c r="AC714" s="250">
        <v>11.042027499606176</v>
      </c>
      <c r="AD714" s="250">
        <v>12.264674143161175</v>
      </c>
      <c r="AE714" s="250">
        <v>14.671759722660131</v>
      </c>
      <c r="AF714" s="251">
        <v>3.4985154756647336</v>
      </c>
      <c r="AG714" s="251">
        <v>3.3666696911989771</v>
      </c>
      <c r="AH714" s="251">
        <v>3.5682777127040897</v>
      </c>
      <c r="AI714" s="251">
        <v>4.3867580868622325</v>
      </c>
      <c r="AJ714" s="251">
        <v>4.8660909619897792</v>
      </c>
      <c r="AK714" s="250">
        <v>10.334802831724847</v>
      </c>
      <c r="AL714" s="250">
        <v>9.9262350783368696</v>
      </c>
      <c r="AM714" s="250">
        <v>10.876078689548637</v>
      </c>
      <c r="AN714" s="250">
        <v>12.310141315218415</v>
      </c>
      <c r="AO714" s="250">
        <v>14.559683780334215</v>
      </c>
      <c r="AP714" s="251">
        <v>19.878695428429296</v>
      </c>
      <c r="AQ714" s="251">
        <v>20.573381021358284</v>
      </c>
      <c r="AR714" s="251">
        <v>23.165092656516521</v>
      </c>
      <c r="AS714" s="251">
        <v>25.730085615023441</v>
      </c>
      <c r="AT714" s="251">
        <v>30.779915502084172</v>
      </c>
      <c r="AU714" s="250">
        <v>2.4984104387961197</v>
      </c>
      <c r="AV714" s="250">
        <v>4.6160714285714359</v>
      </c>
      <c r="AW714" s="251">
        <v>4.9968208775922394</v>
      </c>
      <c r="AX714" s="251">
        <v>9.2321428571428719</v>
      </c>
      <c r="AY714" s="250">
        <v>8.0380952380952415</v>
      </c>
      <c r="AZ714" s="250">
        <v>8.6309047619047465</v>
      </c>
      <c r="BA714" s="250">
        <v>11.645190476190498</v>
      </c>
      <c r="BB714" s="250">
        <v>12.318380952380988</v>
      </c>
      <c r="BC714" s="250">
        <v>14.066666666666674</v>
      </c>
      <c r="BD714" s="251">
        <v>7.4574390325535331</v>
      </c>
      <c r="BE714" s="251">
        <v>7.1763964285714286</v>
      </c>
      <c r="BF714" s="251">
        <v>9.5533542857142635</v>
      </c>
      <c r="BG714" s="251">
        <v>10.243650000000009</v>
      </c>
      <c r="BH714" s="251">
        <v>10.372564285714256</v>
      </c>
      <c r="BI714" s="250">
        <v>6.345864661654149</v>
      </c>
      <c r="BJ714" s="250">
        <v>6.8138721804511402</v>
      </c>
      <c r="BK714" s="250">
        <v>9.1935714285714223</v>
      </c>
      <c r="BL714" s="250">
        <v>9.7250375939849913</v>
      </c>
      <c r="BM714" s="250">
        <v>11.10526315789471</v>
      </c>
      <c r="BN714" s="251">
        <v>6.6850614184676367</v>
      </c>
      <c r="BO714" s="251">
        <v>6.4331267984694041</v>
      </c>
      <c r="BP714" s="251">
        <v>8.5638997346939085</v>
      </c>
      <c r="BQ714" s="251">
        <v>9.1827005357142539</v>
      </c>
      <c r="BR714" s="251">
        <v>9.2982629846938547</v>
      </c>
      <c r="BS714" s="250">
        <v>3.3210025062656583</v>
      </c>
      <c r="BT714" s="250">
        <v>3.5659264411027602</v>
      </c>
      <c r="BU714" s="250">
        <v>4.8113023809523758</v>
      </c>
      <c r="BV714" s="250">
        <v>5.0894363408521155</v>
      </c>
      <c r="BW714" s="250">
        <v>5.8117543859649068</v>
      </c>
      <c r="BX714" s="251">
        <v>10.164635216316297</v>
      </c>
      <c r="BY714" s="251">
        <v>10.914277063519599</v>
      </c>
      <c r="BZ714" s="251">
        <v>12.348220703136233</v>
      </c>
      <c r="CA714" s="251">
        <v>15.208438185948186</v>
      </c>
      <c r="CB714" s="251">
        <v>17.777727611003453</v>
      </c>
      <c r="CC714" s="250">
        <v>3.4985154756647336</v>
      </c>
      <c r="CD714" s="250">
        <v>3.3666696911989771</v>
      </c>
      <c r="CE714" s="250">
        <v>4.4817741944897893</v>
      </c>
      <c r="CF714" s="250">
        <v>4.8056132803571332</v>
      </c>
      <c r="CG714" s="250">
        <v>4.8660909619897792</v>
      </c>
      <c r="CH714" s="251">
        <v>10.334802831724847</v>
      </c>
      <c r="CI714" s="251">
        <v>9.9262350783368696</v>
      </c>
      <c r="CJ714" s="251">
        <v>10.876078689548637</v>
      </c>
      <c r="CK714" s="251">
        <v>12.310141315218415</v>
      </c>
      <c r="CL714" s="251">
        <v>14.559683780334215</v>
      </c>
      <c r="CM714" s="250">
        <v>21.324409544719465</v>
      </c>
      <c r="CN714" s="250">
        <v>22.89708474864257</v>
      </c>
      <c r="CO714" s="250">
        <v>25.905358118467618</v>
      </c>
      <c r="CP714" s="250">
        <v>31.905814376114996</v>
      </c>
      <c r="CQ714" s="250">
        <v>37.295932051056056</v>
      </c>
      <c r="CR714" s="251">
        <v>14.915993589614416</v>
      </c>
      <c r="CS714" s="251">
        <v>16.99711166428953</v>
      </c>
      <c r="CT714" s="251">
        <v>23.384468958784595</v>
      </c>
      <c r="CU714" s="251">
        <v>26.645653514538626</v>
      </c>
      <c r="CV714" s="251">
        <v>31.672560179569896</v>
      </c>
      <c r="CW714" s="251">
        <v>36.741072774667764</v>
      </c>
      <c r="CX714" s="251">
        <v>46.811593313608157</v>
      </c>
      <c r="CY714" s="251">
        <v>51.211668968688947</v>
      </c>
      <c r="CZ714" s="251">
        <v>55.593528104062834</v>
      </c>
      <c r="DA714" s="250">
        <v>12.021845579689238</v>
      </c>
      <c r="DB714" s="250">
        <v>13.699164624949789</v>
      </c>
      <c r="DC714" s="250">
        <v>18.847183936930886</v>
      </c>
      <c r="DD714" s="250">
        <v>21.47560134007589</v>
      </c>
      <c r="DE714" s="250">
        <v>25.527138055175719</v>
      </c>
      <c r="DF714" s="250">
        <v>33.395592336684416</v>
      </c>
      <c r="DG714" s="250">
        <v>42.549135582393255</v>
      </c>
      <c r="DH714" s="250">
        <v>48.136772475930051</v>
      </c>
      <c r="DI714" s="250">
        <v>52.255532134984115</v>
      </c>
      <c r="DJ714" s="251">
        <v>6.1945907867066543</v>
      </c>
      <c r="DK714" s="251">
        <v>7.0588761441639774</v>
      </c>
      <c r="DL714" s="251">
        <v>9.7115364855730739</v>
      </c>
      <c r="DM714" s="251">
        <v>11.065901763451059</v>
      </c>
      <c r="DN714" s="251">
        <v>13.153568905820944</v>
      </c>
      <c r="DO714" s="251">
        <v>15.057007996806814</v>
      </c>
      <c r="DP714" s="251">
        <v>19.184048848792294</v>
      </c>
      <c r="DQ714" s="251">
        <v>21.125680864733557</v>
      </c>
      <c r="DR714" s="251">
        <v>22.933271977312256</v>
      </c>
      <c r="DS714" s="250">
        <v>42.159589380771898</v>
      </c>
      <c r="DT714" s="250">
        <v>48.041804531514217</v>
      </c>
      <c r="DU714" s="250">
        <v>66.095470158702966</v>
      </c>
      <c r="DV714" s="250">
        <v>75.31310631143181</v>
      </c>
      <c r="DW714" s="250">
        <v>89.521500782769451</v>
      </c>
      <c r="DX714" s="251">
        <v>20.068095515272415</v>
      </c>
      <c r="DY714" s="251">
        <v>27.79675512532738</v>
      </c>
      <c r="DZ714" s="251">
        <v>38.52528175003917</v>
      </c>
      <c r="EA714" s="250">
        <v>14.201154081572344</v>
      </c>
      <c r="EB714" s="250">
        <v>19.670327072247456</v>
      </c>
      <c r="EC714" s="250">
        <v>27.262350916754059</v>
      </c>
      <c r="ED714" s="251">
        <v>8.287320540890013</v>
      </c>
      <c r="EE714" s="251">
        <v>11.478947742943724</v>
      </c>
      <c r="EF714" s="251">
        <v>15.909399999999968</v>
      </c>
      <c r="EG714" s="250">
        <v>55.079090474695526</v>
      </c>
      <c r="EH714" s="250">
        <v>76.291244940792282</v>
      </c>
      <c r="EI714" s="250">
        <v>105.73686364302476</v>
      </c>
    </row>
    <row r="715" spans="1:139">
      <c r="A715" s="248">
        <v>2011</v>
      </c>
      <c r="B715" s="251">
        <v>7.500614117647058</v>
      </c>
      <c r="C715" s="251">
        <v>7.7627323529411676</v>
      </c>
      <c r="D715" s="251">
        <v>8.7406350000000099</v>
      </c>
      <c r="E715" s="251">
        <v>9.7084561764705857</v>
      </c>
      <c r="F715" s="251">
        <v>11.613854117647062</v>
      </c>
      <c r="G715" s="250">
        <v>7.4309942132891589</v>
      </c>
      <c r="H715" s="250">
        <v>7.1509482142857141</v>
      </c>
      <c r="I715" s="250">
        <v>7.5791721428571233</v>
      </c>
      <c r="J715" s="250">
        <v>9.3176589285714506</v>
      </c>
      <c r="K715" s="250">
        <v>10.335782142857113</v>
      </c>
      <c r="L715" s="251">
        <v>5.8946616541353354</v>
      </c>
      <c r="M715" s="251">
        <v>6.1006578947368313</v>
      </c>
      <c r="N715" s="251">
        <v>6.869182330827071</v>
      </c>
      <c r="O715" s="251">
        <v>7.6297838345864513</v>
      </c>
      <c r="P715" s="251">
        <v>9.1272180451127731</v>
      </c>
      <c r="Q715" s="250">
        <v>6.6613555269127867</v>
      </c>
      <c r="R715" s="250">
        <v>6.4103142920918534</v>
      </c>
      <c r="S715" s="250">
        <v>6.7941864566326657</v>
      </c>
      <c r="T715" s="250">
        <v>8.3526156823979925</v>
      </c>
      <c r="U715" s="250">
        <v>9.265290420918344</v>
      </c>
      <c r="V715" s="251">
        <v>3.0848729323308262</v>
      </c>
      <c r="W715" s="251">
        <v>3.1926776315789427</v>
      </c>
      <c r="X715" s="251">
        <v>3.5948720864661681</v>
      </c>
      <c r="Y715" s="251">
        <v>3.9929202067669261</v>
      </c>
      <c r="Z715" s="251">
        <v>4.7765774436090185</v>
      </c>
      <c r="AA715" s="250">
        <v>9.4419103829855509</v>
      </c>
      <c r="AB715" s="250">
        <v>9.7718696167995738</v>
      </c>
      <c r="AC715" s="250">
        <v>11.002871373721048</v>
      </c>
      <c r="AD715" s="250">
        <v>12.221182390880461</v>
      </c>
      <c r="AE715" s="250">
        <v>14.61973220591311</v>
      </c>
      <c r="AF715" s="251">
        <v>3.4861093924176956</v>
      </c>
      <c r="AG715" s="251">
        <v>3.3547311461947253</v>
      </c>
      <c r="AH715" s="251">
        <v>3.5556242456377634</v>
      </c>
      <c r="AI715" s="251">
        <v>4.3712022071215859</v>
      </c>
      <c r="AJ715" s="251">
        <v>4.8488353202805952</v>
      </c>
      <c r="AK715" s="250">
        <v>10.298154594732916</v>
      </c>
      <c r="AL715" s="250">
        <v>9.8910356631654626</v>
      </c>
      <c r="AM715" s="250">
        <v>10.837511034621159</v>
      </c>
      <c r="AN715" s="250">
        <v>12.266488331831116</v>
      </c>
      <c r="AO715" s="250">
        <v>14.508053696006789</v>
      </c>
      <c r="AP715" s="251">
        <v>19.808203600668907</v>
      </c>
      <c r="AQ715" s="251">
        <v>20.500425769509494</v>
      </c>
      <c r="AR715" s="251">
        <v>23.082946937876393</v>
      </c>
      <c r="AS715" s="251">
        <v>25.638844176672293</v>
      </c>
      <c r="AT715" s="251">
        <v>30.670766865551958</v>
      </c>
      <c r="AU715" s="250">
        <v>2.4895508273110272</v>
      </c>
      <c r="AV715" s="250">
        <v>4.5997023809523885</v>
      </c>
      <c r="AW715" s="251">
        <v>4.9791016546220543</v>
      </c>
      <c r="AX715" s="251">
        <v>9.199404761904777</v>
      </c>
      <c r="AY715" s="250">
        <v>8.0190476190476225</v>
      </c>
      <c r="AZ715" s="250">
        <v>8.6104523809523652</v>
      </c>
      <c r="BA715" s="250">
        <v>11.617595238095261</v>
      </c>
      <c r="BB715" s="250">
        <v>12.289190476190512</v>
      </c>
      <c r="BC715" s="250">
        <v>14.03333333333334</v>
      </c>
      <c r="BD715" s="251">
        <v>7.4309942132891589</v>
      </c>
      <c r="BE715" s="251">
        <v>7.1509482142857141</v>
      </c>
      <c r="BF715" s="251">
        <v>9.5194771428571201</v>
      </c>
      <c r="BG715" s="251">
        <v>10.20732500000001</v>
      </c>
      <c r="BH715" s="251">
        <v>10.335782142857113</v>
      </c>
      <c r="BI715" s="250">
        <v>6.3308270676691869</v>
      </c>
      <c r="BJ715" s="250">
        <v>6.7977255639097871</v>
      </c>
      <c r="BK715" s="250">
        <v>9.1717857142857078</v>
      </c>
      <c r="BL715" s="250">
        <v>9.7019924812030371</v>
      </c>
      <c r="BM715" s="250">
        <v>11.078947368421025</v>
      </c>
      <c r="BN715" s="251">
        <v>6.6613555269127867</v>
      </c>
      <c r="BO715" s="251">
        <v>6.4103142920918534</v>
      </c>
      <c r="BP715" s="251">
        <v>8.5335312959183991</v>
      </c>
      <c r="BQ715" s="251">
        <v>9.1501377678571103</v>
      </c>
      <c r="BR715" s="251">
        <v>9.265290420918344</v>
      </c>
      <c r="BS715" s="250">
        <v>3.3131328320801945</v>
      </c>
      <c r="BT715" s="250">
        <v>3.5574763784461187</v>
      </c>
      <c r="BU715" s="250">
        <v>4.7999011904761852</v>
      </c>
      <c r="BV715" s="250">
        <v>5.0773760651628921</v>
      </c>
      <c r="BW715" s="250">
        <v>5.7979824561403452</v>
      </c>
      <c r="BX715" s="251">
        <v>10.140548403007491</v>
      </c>
      <c r="BY715" s="251">
        <v>10.888413847729268</v>
      </c>
      <c r="BZ715" s="251">
        <v>12.31895951663591</v>
      </c>
      <c r="CA715" s="251">
        <v>15.172399232900915</v>
      </c>
      <c r="CB715" s="251">
        <v>17.735600294389702</v>
      </c>
      <c r="CC715" s="250">
        <v>3.4861093924176956</v>
      </c>
      <c r="CD715" s="250">
        <v>3.3547311461947253</v>
      </c>
      <c r="CE715" s="250">
        <v>4.4658813781972722</v>
      </c>
      <c r="CF715" s="250">
        <v>4.7885720985118949</v>
      </c>
      <c r="CG715" s="250">
        <v>4.8488353202805952</v>
      </c>
      <c r="CH715" s="251">
        <v>10.298154594732916</v>
      </c>
      <c r="CI715" s="251">
        <v>9.8910356631654626</v>
      </c>
      <c r="CJ715" s="251">
        <v>10.837511034621159</v>
      </c>
      <c r="CK715" s="251">
        <v>12.266488331831116</v>
      </c>
      <c r="CL715" s="251">
        <v>14.508053696006789</v>
      </c>
      <c r="CM715" s="250">
        <v>21.273877768547145</v>
      </c>
      <c r="CN715" s="250">
        <v>22.842826253977542</v>
      </c>
      <c r="CO715" s="250">
        <v>25.843971013921486</v>
      </c>
      <c r="CP715" s="250">
        <v>31.830208180910933</v>
      </c>
      <c r="CQ715" s="250">
        <v>37.207553065153078</v>
      </c>
      <c r="CR715" s="251">
        <v>14.880647633240923</v>
      </c>
      <c r="CS715" s="251">
        <v>16.956834148497375</v>
      </c>
      <c r="CT715" s="251">
        <v>23.329055525232974</v>
      </c>
      <c r="CU715" s="251">
        <v>26.582512155499437</v>
      </c>
      <c r="CV715" s="251">
        <v>31.597506719428736</v>
      </c>
      <c r="CW715" s="251">
        <v>36.697437296313048</v>
      </c>
      <c r="CX715" s="251">
        <v>46.755997597083685</v>
      </c>
      <c r="CY715" s="251">
        <v>51.150847509106178</v>
      </c>
      <c r="CZ715" s="251">
        <v>55.527502536243283</v>
      </c>
      <c r="DA715" s="250">
        <v>11.993357793955377</v>
      </c>
      <c r="DB715" s="250">
        <v>13.666702149535217</v>
      </c>
      <c r="DC715" s="250">
        <v>18.802522363620625</v>
      </c>
      <c r="DD715" s="250">
        <v>21.424711289506991</v>
      </c>
      <c r="DE715" s="250">
        <v>25.466647206703737</v>
      </c>
      <c r="DF715" s="250">
        <v>33.355930113006643</v>
      </c>
      <c r="DG715" s="250">
        <v>42.498602167212269</v>
      </c>
      <c r="DH715" s="250">
        <v>48.079602912419446</v>
      </c>
      <c r="DI715" s="250">
        <v>52.193470932923567</v>
      </c>
      <c r="DJ715" s="251">
        <v>6.1799116616196716</v>
      </c>
      <c r="DK715" s="251">
        <v>7.0421489495095599</v>
      </c>
      <c r="DL715" s="251">
        <v>9.6885233659390142</v>
      </c>
      <c r="DM715" s="251">
        <v>11.039679247423924</v>
      </c>
      <c r="DN715" s="251">
        <v>13.122399311257388</v>
      </c>
      <c r="DO715" s="251">
        <v>15.039125564506568</v>
      </c>
      <c r="DP715" s="251">
        <v>19.161264942796102</v>
      </c>
      <c r="DQ715" s="251">
        <v>21.100590982471402</v>
      </c>
      <c r="DR715" s="251">
        <v>22.906035312256066</v>
      </c>
      <c r="DS715" s="250">
        <v>42.059685140533105</v>
      </c>
      <c r="DT715" s="250">
        <v>47.927961392813948</v>
      </c>
      <c r="DU715" s="250">
        <v>65.938845821834008</v>
      </c>
      <c r="DV715" s="250">
        <v>75.134639234864437</v>
      </c>
      <c r="DW715" s="250">
        <v>89.309364524990372</v>
      </c>
      <c r="DX715" s="251">
        <v>20.020540786563238</v>
      </c>
      <c r="DY715" s="251">
        <v>27.730886037352668</v>
      </c>
      <c r="DZ715" s="251">
        <v>38.433989613190732</v>
      </c>
      <c r="EA715" s="250">
        <v>14.167502057682363</v>
      </c>
      <c r="EB715" s="250">
        <v>19.623714922787155</v>
      </c>
      <c r="EC715" s="250">
        <v>27.197748189463173</v>
      </c>
      <c r="ED715" s="251">
        <v>8.267682340556151</v>
      </c>
      <c r="EE715" s="251">
        <v>11.451746444974663</v>
      </c>
      <c r="EF715" s="251">
        <v>15.871699999999969</v>
      </c>
      <c r="EG715" s="250">
        <v>54.948571302954541</v>
      </c>
      <c r="EH715" s="250">
        <v>76.110460000174285</v>
      </c>
      <c r="EI715" s="250">
        <v>105.48630235477115</v>
      </c>
    </row>
    <row r="716" spans="1:139">
      <c r="A716" s="255">
        <v>2012</v>
      </c>
      <c r="B716" s="252">
        <v>7.44</v>
      </c>
      <c r="C716" s="252">
        <v>7.7</v>
      </c>
      <c r="D716" s="252">
        <v>8.67</v>
      </c>
      <c r="E716" s="252">
        <v>9.6300000000000008</v>
      </c>
      <c r="F716" s="252">
        <v>11.52</v>
      </c>
      <c r="G716" s="252">
        <v>7.4045493940248006</v>
      </c>
      <c r="H716" s="252">
        <v>7.1254999999999997</v>
      </c>
      <c r="I716" s="252">
        <v>7.5522</v>
      </c>
      <c r="J716" s="252">
        <v>9.2844999999999995</v>
      </c>
      <c r="K716" s="252">
        <v>10.298999999999999</v>
      </c>
      <c r="L716" s="252">
        <v>5.8736842105263172</v>
      </c>
      <c r="M716" s="252">
        <v>6.0789473684210531</v>
      </c>
      <c r="N716" s="252">
        <v>6.844736842105263</v>
      </c>
      <c r="O716" s="252">
        <v>7.6026315789473689</v>
      </c>
      <c r="P716" s="252">
        <v>9.094736842105263</v>
      </c>
      <c r="Q716" s="252">
        <v>6.6376496353579464</v>
      </c>
      <c r="R716" s="252">
        <v>6.387501785714286</v>
      </c>
      <c r="S716" s="252">
        <v>6.7700078571428577</v>
      </c>
      <c r="T716" s="252">
        <v>8.3228910714285718</v>
      </c>
      <c r="U716" s="252">
        <v>9.2323178571428564</v>
      </c>
      <c r="V716" s="252">
        <v>3.0738947368421048</v>
      </c>
      <c r="W716" s="252">
        <v>3.1813157894736839</v>
      </c>
      <c r="X716" s="252">
        <v>3.5820789473684203</v>
      </c>
      <c r="Y716" s="252">
        <v>3.9787105263157891</v>
      </c>
      <c r="Z716" s="252">
        <v>4.7595789473684205</v>
      </c>
      <c r="AA716" s="252">
        <v>9.4083092784197522</v>
      </c>
      <c r="AB716" s="252">
        <v>9.7370942800849569</v>
      </c>
      <c r="AC716" s="252">
        <v>10.963715247835921</v>
      </c>
      <c r="AD716" s="252">
        <v>12.177690638599758</v>
      </c>
      <c r="AE716" s="252">
        <v>14.567704689166064</v>
      </c>
      <c r="AF716" s="252">
        <v>3.4737033091706579</v>
      </c>
      <c r="AG716" s="252">
        <v>3.3427926011904754</v>
      </c>
      <c r="AH716" s="252">
        <v>3.5429707785714282</v>
      </c>
      <c r="AI716" s="252">
        <v>4.3556463273809518</v>
      </c>
      <c r="AJ716" s="252">
        <v>4.8315796785714271</v>
      </c>
      <c r="AK716" s="252">
        <v>10.261506357740961</v>
      </c>
      <c r="AL716" s="252">
        <v>9.8558362479940449</v>
      </c>
      <c r="AM716" s="252">
        <v>10.798943379693704</v>
      </c>
      <c r="AN716" s="252">
        <v>12.222835348443787</v>
      </c>
      <c r="AO716" s="252">
        <v>14.45642361167938</v>
      </c>
      <c r="AP716" s="252">
        <v>19.737711772908565</v>
      </c>
      <c r="AQ716" s="252">
        <v>20.427470517660744</v>
      </c>
      <c r="AR716" s="252">
        <v>23.000801219236195</v>
      </c>
      <c r="AS716" s="252">
        <v>25.547602738321167</v>
      </c>
      <c r="AT716" s="252">
        <v>30.561618229019711</v>
      </c>
      <c r="AU716" s="252">
        <v>2.4806912158259307</v>
      </c>
      <c r="AV716" s="252">
        <v>4.5833333333333339</v>
      </c>
      <c r="AW716" s="252">
        <v>4.9613824316518613</v>
      </c>
      <c r="AX716" s="252">
        <v>9.1666666666666679</v>
      </c>
      <c r="AY716" s="252">
        <v>8</v>
      </c>
      <c r="AZ716" s="252">
        <v>8.59</v>
      </c>
      <c r="BA716" s="252">
        <v>11.59</v>
      </c>
      <c r="BB716" s="252">
        <v>12.26</v>
      </c>
      <c r="BC716" s="252">
        <v>14</v>
      </c>
      <c r="BD716" s="252">
        <v>7.4045493940248006</v>
      </c>
      <c r="BE716" s="252">
        <v>7.1254999999999997</v>
      </c>
      <c r="BF716" s="252">
        <v>9.4855999999999998</v>
      </c>
      <c r="BG716" s="252">
        <v>10.170999999999999</v>
      </c>
      <c r="BH716" s="252">
        <v>10.298999999999999</v>
      </c>
      <c r="BI716" s="252">
        <v>6.3157894736842106</v>
      </c>
      <c r="BJ716" s="252">
        <v>6.7815789473684207</v>
      </c>
      <c r="BK716" s="252">
        <v>9.1500000000000021</v>
      </c>
      <c r="BL716" s="252">
        <v>9.6789473684210527</v>
      </c>
      <c r="BM716" s="252">
        <v>11.05263157894737</v>
      </c>
      <c r="BN716" s="252">
        <v>6.6376496353579464</v>
      </c>
      <c r="BO716" s="252">
        <v>6.387501785714286</v>
      </c>
      <c r="BP716" s="252">
        <v>8.5031628571428577</v>
      </c>
      <c r="BQ716" s="252">
        <v>9.1175750000000004</v>
      </c>
      <c r="BR716" s="252">
        <v>9.2323178571428564</v>
      </c>
      <c r="BS716" s="252">
        <v>3.3052631578947365</v>
      </c>
      <c r="BT716" s="252">
        <v>3.5490263157894728</v>
      </c>
      <c r="BU716" s="252">
        <v>4.7884999999999991</v>
      </c>
      <c r="BV716" s="252">
        <v>5.0653157894736829</v>
      </c>
      <c r="BW716" s="252">
        <v>5.784210526315789</v>
      </c>
      <c r="BX716" s="252">
        <v>10.116461589698657</v>
      </c>
      <c r="BY716" s="252">
        <v>10.862550631938932</v>
      </c>
      <c r="BZ716" s="252">
        <v>12.289698330135582</v>
      </c>
      <c r="CA716" s="252">
        <v>15.136360279853655</v>
      </c>
      <c r="CB716" s="252">
        <v>17.693472977775901</v>
      </c>
      <c r="CC716" s="252">
        <v>3.4737033091706579</v>
      </c>
      <c r="CD716" s="252">
        <v>3.3427926011904754</v>
      </c>
      <c r="CE716" s="252">
        <v>4.4499885619047612</v>
      </c>
      <c r="CF716" s="252">
        <v>4.7715309166666655</v>
      </c>
      <c r="CG716" s="252">
        <v>4.8315796785714271</v>
      </c>
      <c r="CH716" s="252">
        <v>10.261506357740961</v>
      </c>
      <c r="CI716" s="252">
        <v>9.8558362479940449</v>
      </c>
      <c r="CJ716" s="252">
        <v>10.798943379693704</v>
      </c>
      <c r="CK716" s="252">
        <v>12.222835348443787</v>
      </c>
      <c r="CL716" s="252">
        <v>14.45642361167938</v>
      </c>
      <c r="CM716" s="252">
        <v>21.223345992374803</v>
      </c>
      <c r="CN716" s="252">
        <v>22.788567759312443</v>
      </c>
      <c r="CO716" s="252">
        <v>25.782583909375344</v>
      </c>
      <c r="CP716" s="252">
        <v>31.754601985706962</v>
      </c>
      <c r="CQ716" s="252">
        <v>37.119174079250143</v>
      </c>
      <c r="CR716" s="252">
        <v>14.84530167686742</v>
      </c>
      <c r="CS716" s="252">
        <v>16.91655663270522</v>
      </c>
      <c r="CT716" s="252">
        <v>23.273642091681303</v>
      </c>
      <c r="CU716" s="252">
        <v>26.51937079646018</v>
      </c>
      <c r="CV716" s="252">
        <v>31.52245325928763</v>
      </c>
      <c r="CW716" s="252">
        <v>36.653801817958474</v>
      </c>
      <c r="CX716" s="252">
        <v>46.700401880559085</v>
      </c>
      <c r="CY716" s="252">
        <v>51.09002604952353</v>
      </c>
      <c r="CZ716" s="252">
        <v>55.461476968423696</v>
      </c>
      <c r="DA716" s="252">
        <v>11.964870008221501</v>
      </c>
      <c r="DB716" s="252">
        <v>13.634239674120622</v>
      </c>
      <c r="DC716" s="252">
        <v>18.7578607903103</v>
      </c>
      <c r="DD716" s="252">
        <v>21.373821238938049</v>
      </c>
      <c r="DE716" s="252">
        <v>25.406156358231822</v>
      </c>
      <c r="DF716" s="252">
        <v>33.316267889328891</v>
      </c>
      <c r="DG716" s="252">
        <v>42.448068752031141</v>
      </c>
      <c r="DH716" s="252">
        <v>48.02243334890882</v>
      </c>
      <c r="DI716" s="252">
        <v>52.131409730862877</v>
      </c>
      <c r="DJ716" s="252">
        <v>6.1652325365326908</v>
      </c>
      <c r="DK716" s="252">
        <v>7.0254217548551576</v>
      </c>
      <c r="DL716" s="252">
        <v>9.6655102463049651</v>
      </c>
      <c r="DM716" s="252">
        <v>11.013456731396763</v>
      </c>
      <c r="DN716" s="252">
        <v>13.0912297166938</v>
      </c>
      <c r="DO716" s="252">
        <v>15.021243132206319</v>
      </c>
      <c r="DP716" s="252">
        <v>19.138481036799984</v>
      </c>
      <c r="DQ716" s="252">
        <v>21.075501100209266</v>
      </c>
      <c r="DR716" s="252">
        <v>22.878798647199858</v>
      </c>
      <c r="DS716" s="252">
        <v>41.959780900294191</v>
      </c>
      <c r="DT716" s="252">
        <v>47.814118254113588</v>
      </c>
      <c r="DU716" s="252">
        <v>65.782221484964808</v>
      </c>
      <c r="DV716" s="252">
        <v>74.956172158296994</v>
      </c>
      <c r="DW716" s="252">
        <v>89.097228267211463</v>
      </c>
      <c r="DX716" s="252">
        <v>19.972986057854065</v>
      </c>
      <c r="DY716" s="252">
        <v>27.665016949378025</v>
      </c>
      <c r="DZ716" s="252">
        <v>38.34269747634243</v>
      </c>
      <c r="EA716" s="252">
        <v>14.133850033792369</v>
      </c>
      <c r="EB716" s="252">
        <v>19.577102773326835</v>
      </c>
      <c r="EC716" s="252">
        <v>27.133145462172269</v>
      </c>
      <c r="ED716" s="252">
        <v>8.248044140222266</v>
      </c>
      <c r="EE716" s="252">
        <v>11.424545147005595</v>
      </c>
      <c r="EF716" s="252">
        <v>15.834</v>
      </c>
      <c r="EG716" s="252">
        <v>54.818052131213584</v>
      </c>
      <c r="EH716" s="252">
        <v>75.929675059556502</v>
      </c>
      <c r="EI716" s="252">
        <v>105.23574106651731</v>
      </c>
    </row>
    <row r="717" spans="1:139">
      <c r="A717" s="248">
        <v>2013</v>
      </c>
      <c r="B717" s="251">
        <v>7.34328</v>
      </c>
      <c r="C717" s="251">
        <v>7.5998999999999999</v>
      </c>
      <c r="D717" s="251">
        <v>8.5572900000000001</v>
      </c>
      <c r="E717" s="251">
        <v>9.5048100000000009</v>
      </c>
      <c r="F717" s="251">
        <v>11.370239999999999</v>
      </c>
      <c r="G717" s="250">
        <v>7.3230993506905273</v>
      </c>
      <c r="H717" s="250">
        <v>7.0471195</v>
      </c>
      <c r="I717" s="250">
        <v>7.4691257999999996</v>
      </c>
      <c r="J717" s="250">
        <v>9.1814420499999994</v>
      </c>
      <c r="K717" s="250">
        <v>10.184681099999999</v>
      </c>
      <c r="L717" s="251">
        <v>5.7503368421052645</v>
      </c>
      <c r="M717" s="251">
        <v>5.951289473684211</v>
      </c>
      <c r="N717" s="251">
        <v>6.700997368421052</v>
      </c>
      <c r="O717" s="251">
        <v>7.4429763157894744</v>
      </c>
      <c r="P717" s="251">
        <v>8.9037473684210529</v>
      </c>
      <c r="Q717" s="250">
        <v>6.5334385360828264</v>
      </c>
      <c r="R717" s="250">
        <v>6.2872180076785718</v>
      </c>
      <c r="S717" s="250">
        <v>6.6637187337857142</v>
      </c>
      <c r="T717" s="250">
        <v>8.1922216816071423</v>
      </c>
      <c r="U717" s="250">
        <v>9.0873704667857123</v>
      </c>
      <c r="V717" s="251">
        <v>3.0093429473684203</v>
      </c>
      <c r="W717" s="251">
        <v>3.1145081578947367</v>
      </c>
      <c r="X717" s="251">
        <v>3.5068552894736835</v>
      </c>
      <c r="Y717" s="251">
        <v>3.8951576052631576</v>
      </c>
      <c r="Z717" s="251">
        <v>4.6596277894736833</v>
      </c>
      <c r="AA717" s="250">
        <v>9.3245753258418169</v>
      </c>
      <c r="AB717" s="250">
        <v>9.6504341409921999</v>
      </c>
      <c r="AC717" s="250">
        <v>10.866138182130181</v>
      </c>
      <c r="AD717" s="250">
        <v>12.06930919191622</v>
      </c>
      <c r="AE717" s="250">
        <v>14.438052117432486</v>
      </c>
      <c r="AF717" s="251">
        <v>3.4191661672166784</v>
      </c>
      <c r="AG717" s="251">
        <v>3.2903107573517847</v>
      </c>
      <c r="AH717" s="251">
        <v>3.4873461373478567</v>
      </c>
      <c r="AI717" s="251">
        <v>4.2872626800410707</v>
      </c>
      <c r="AJ717" s="251">
        <v>4.7557238776178554</v>
      </c>
      <c r="AK717" s="250">
        <v>10.170178951157066</v>
      </c>
      <c r="AL717" s="250">
        <v>9.7681193053868984</v>
      </c>
      <c r="AM717" s="250">
        <v>10.702832783614429</v>
      </c>
      <c r="AN717" s="250">
        <v>12.114052113842638</v>
      </c>
      <c r="AO717" s="250">
        <v>14.327761441535433</v>
      </c>
      <c r="AP717" s="251">
        <v>19.562046138129677</v>
      </c>
      <c r="AQ717" s="251">
        <v>20.245666030053563</v>
      </c>
      <c r="AR717" s="251">
        <v>22.796094088384994</v>
      </c>
      <c r="AS717" s="251">
        <v>25.320229073950109</v>
      </c>
      <c r="AT717" s="251">
        <v>30.289619826781436</v>
      </c>
      <c r="AU717" s="250">
        <v>2.4543958889381758</v>
      </c>
      <c r="AV717" s="250">
        <v>4.5831041666666676</v>
      </c>
      <c r="AW717" s="251">
        <v>4.9087917778763517</v>
      </c>
      <c r="AX717" s="251">
        <v>9.1662083333333353</v>
      </c>
      <c r="AY717" s="250">
        <v>7.8920000000000003</v>
      </c>
      <c r="AZ717" s="250">
        <v>8.4740350000000007</v>
      </c>
      <c r="BA717" s="250">
        <v>11.433535000000001</v>
      </c>
      <c r="BB717" s="250">
        <v>12.09449</v>
      </c>
      <c r="BC717" s="250">
        <v>13.811</v>
      </c>
      <c r="BD717" s="251">
        <v>7.3219886682814241</v>
      </c>
      <c r="BE717" s="251">
        <v>7.046050675</v>
      </c>
      <c r="BF717" s="251">
        <v>9.3798355600000001</v>
      </c>
      <c r="BG717" s="251">
        <v>10.057593349999999</v>
      </c>
      <c r="BH717" s="251">
        <v>10.184166149999999</v>
      </c>
      <c r="BI717" s="250">
        <v>6.2235789473684218</v>
      </c>
      <c r="BJ717" s="250">
        <v>6.6825678947368425</v>
      </c>
      <c r="BK717" s="250">
        <v>9.0164100000000023</v>
      </c>
      <c r="BL717" s="250">
        <v>9.5376347368421062</v>
      </c>
      <c r="BM717" s="250">
        <v>10.891263157894739</v>
      </c>
      <c r="BN717" s="251">
        <v>6.5679543141866885</v>
      </c>
      <c r="BO717" s="251">
        <v>6.3204330169642864</v>
      </c>
      <c r="BP717" s="251">
        <v>8.4138796471428581</v>
      </c>
      <c r="BQ717" s="251">
        <v>9.0218404625000002</v>
      </c>
      <c r="BR717" s="251">
        <v>9.1353785196428561</v>
      </c>
      <c r="BS717" s="250">
        <v>3.2570063157894733</v>
      </c>
      <c r="BT717" s="250">
        <v>3.4972105315789466</v>
      </c>
      <c r="BU717" s="250">
        <v>4.7185878999999993</v>
      </c>
      <c r="BV717" s="250">
        <v>4.9913621789473677</v>
      </c>
      <c r="BW717" s="250">
        <v>5.6997610526315787</v>
      </c>
      <c r="BX717" s="251">
        <v>10.044634712411797</v>
      </c>
      <c r="BY717" s="251">
        <v>10.785426522452166</v>
      </c>
      <c r="BZ717" s="251">
        <v>12.202441471991619</v>
      </c>
      <c r="CA717" s="251">
        <v>15.028892121866694</v>
      </c>
      <c r="CB717" s="251">
        <v>17.567849319633691</v>
      </c>
      <c r="CC717" s="250">
        <v>3.4372294244243662</v>
      </c>
      <c r="CD717" s="250">
        <v>3.3076932788779754</v>
      </c>
      <c r="CE717" s="250">
        <v>4.403263682004761</v>
      </c>
      <c r="CF717" s="250">
        <v>4.7214298420416654</v>
      </c>
      <c r="CG717" s="250">
        <v>4.7808480919464271</v>
      </c>
      <c r="CH717" s="251">
        <v>10.188649662601</v>
      </c>
      <c r="CI717" s="251">
        <v>9.785859810633287</v>
      </c>
      <c r="CJ717" s="251">
        <v>10.722270881697879</v>
      </c>
      <c r="CK717" s="251">
        <v>12.136053217469836</v>
      </c>
      <c r="CL717" s="251">
        <v>14.353783004036456</v>
      </c>
      <c r="CM717" s="250">
        <v>21.072660235828941</v>
      </c>
      <c r="CN717" s="250">
        <v>22.626768928221324</v>
      </c>
      <c r="CO717" s="250">
        <v>25.599527563618778</v>
      </c>
      <c r="CP717" s="250">
        <v>31.529144311608444</v>
      </c>
      <c r="CQ717" s="250">
        <v>36.855627943287466</v>
      </c>
      <c r="CR717" s="246">
        <v>14.803734832172191</v>
      </c>
      <c r="CS717" s="246">
        <v>16.869190274133643</v>
      </c>
      <c r="CT717" s="246">
        <v>23.208475893824595</v>
      </c>
      <c r="CU717" s="246">
        <v>26.44511655823009</v>
      </c>
      <c r="CV717" s="246">
        <v>31.434190390161625</v>
      </c>
      <c r="CW717" s="252">
        <v>36.653801817958474</v>
      </c>
      <c r="CX717" s="252">
        <v>46.700401880559085</v>
      </c>
      <c r="CY717" s="252">
        <v>51.09002604952353</v>
      </c>
      <c r="CZ717" s="252">
        <v>55.461476968423696</v>
      </c>
      <c r="DA717" s="250">
        <v>11.908164463158856</v>
      </c>
      <c r="DB717" s="250">
        <v>13.569622424480205</v>
      </c>
      <c r="DC717" s="250">
        <v>18.668960976138255</v>
      </c>
      <c r="DD717" s="250">
        <v>21.272523507947792</v>
      </c>
      <c r="DE717" s="250">
        <v>25.285748034259125</v>
      </c>
      <c r="DF717" s="252">
        <v>33.316267889328891</v>
      </c>
      <c r="DG717" s="252">
        <v>42.448068752031141</v>
      </c>
      <c r="DH717" s="252">
        <v>48.02243334890882</v>
      </c>
      <c r="DI717" s="252">
        <v>52.131409730862877</v>
      </c>
      <c r="DJ717" s="251">
        <v>6.147969885430399</v>
      </c>
      <c r="DK717" s="251">
        <v>7.0057505739415626</v>
      </c>
      <c r="DL717" s="251">
        <v>9.6384468176153106</v>
      </c>
      <c r="DM717" s="251">
        <v>10.982619052548852</v>
      </c>
      <c r="DN717" s="251">
        <v>13.054574273487058</v>
      </c>
      <c r="DO717" s="252">
        <v>15.021243132206319</v>
      </c>
      <c r="DP717" s="252">
        <v>19.138481036799984</v>
      </c>
      <c r="DQ717" s="252">
        <v>21.075501100209266</v>
      </c>
      <c r="DR717" s="252">
        <v>22.878798647199858</v>
      </c>
      <c r="DS717" s="250">
        <v>41.78354982051296</v>
      </c>
      <c r="DT717" s="250">
        <v>47.613298957446311</v>
      </c>
      <c r="DU717" s="250">
        <v>65.505936154727962</v>
      </c>
      <c r="DV717" s="250">
        <v>74.641356235232152</v>
      </c>
      <c r="DW717" s="250">
        <v>88.723019908489178</v>
      </c>
      <c r="DX717" s="251">
        <v>19.915064398286287</v>
      </c>
      <c r="DY717" s="251">
        <v>27.584788400224827</v>
      </c>
      <c r="DZ717" s="251">
        <v>38.231503653661036</v>
      </c>
      <c r="EA717" s="250">
        <v>14.121836261263645</v>
      </c>
      <c r="EB717" s="250">
        <v>19.560462235969506</v>
      </c>
      <c r="EC717" s="250">
        <v>27.110082288529423</v>
      </c>
      <c r="ED717" s="256">
        <v>8.2265992254576883</v>
      </c>
      <c r="EE717" s="256">
        <v>11.394841329623381</v>
      </c>
      <c r="EF717" s="256">
        <v>15.7928316</v>
      </c>
      <c r="EG717" s="250">
        <v>54.752270468656128</v>
      </c>
      <c r="EH717" s="250">
        <v>75.838559449485032</v>
      </c>
      <c r="EI717" s="250">
        <v>105.10945817723749</v>
      </c>
    </row>
    <row r="718" spans="1:139">
      <c r="A718" s="248">
        <v>2014</v>
      </c>
      <c r="B718" s="251">
        <v>7.24781736</v>
      </c>
      <c r="C718" s="251">
        <v>7.5011013000000002</v>
      </c>
      <c r="D718" s="251">
        <v>8.4460452299999993</v>
      </c>
      <c r="E718" s="251">
        <v>9.3812474699999999</v>
      </c>
      <c r="F718" s="251">
        <v>11.222426879999999</v>
      </c>
      <c r="G718" s="250">
        <v>7.2425452578329317</v>
      </c>
      <c r="H718" s="250">
        <v>6.9696011855000002</v>
      </c>
      <c r="I718" s="250">
        <v>7.3869654161999998</v>
      </c>
      <c r="J718" s="250">
        <v>9.0795280432449985</v>
      </c>
      <c r="K718" s="250">
        <v>10.071631139789998</v>
      </c>
      <c r="L718" s="251">
        <v>5.6295797684210536</v>
      </c>
      <c r="M718" s="251">
        <v>5.826312394736842</v>
      </c>
      <c r="N718" s="251">
        <v>6.5602764236842095</v>
      </c>
      <c r="O718" s="251">
        <v>7.2866738131578952</v>
      </c>
      <c r="P718" s="251">
        <v>8.7167686736842107</v>
      </c>
      <c r="Q718" s="250">
        <v>6.4308635510663255</v>
      </c>
      <c r="R718" s="250">
        <v>6.188508684958018</v>
      </c>
      <c r="S718" s="250">
        <v>6.5590983496652786</v>
      </c>
      <c r="T718" s="250">
        <v>8.0636038012059092</v>
      </c>
      <c r="U718" s="250">
        <v>8.9446987504571762</v>
      </c>
      <c r="V718" s="251">
        <v>2.9461467454736834</v>
      </c>
      <c r="W718" s="251">
        <v>3.049103486578947</v>
      </c>
      <c r="X718" s="251">
        <v>3.4332113283947363</v>
      </c>
      <c r="Y718" s="251">
        <v>3.813359295552631</v>
      </c>
      <c r="Z718" s="251">
        <v>4.5617756058947361</v>
      </c>
      <c r="AA718" s="250">
        <v>9.2415866054418245</v>
      </c>
      <c r="AB718" s="250">
        <v>9.5645452771373698</v>
      </c>
      <c r="AC718" s="250">
        <v>10.769429552309221</v>
      </c>
      <c r="AD718" s="250">
        <v>11.961892340108166</v>
      </c>
      <c r="AE718" s="250">
        <v>14.309553453587336</v>
      </c>
      <c r="AF718" s="251">
        <v>3.3654852583913764</v>
      </c>
      <c r="AG718" s="251">
        <v>3.2386528784613615</v>
      </c>
      <c r="AH718" s="251">
        <v>3.432594802991495</v>
      </c>
      <c r="AI718" s="251">
        <v>4.219952655964426</v>
      </c>
      <c r="AJ718" s="251">
        <v>4.6810590127392553</v>
      </c>
      <c r="AK718" s="250">
        <v>10.079664358491767</v>
      </c>
      <c r="AL718" s="250">
        <v>9.6811830435689554</v>
      </c>
      <c r="AM718" s="250">
        <v>10.607577571840261</v>
      </c>
      <c r="AN718" s="250">
        <v>12.006237050029437</v>
      </c>
      <c r="AO718" s="250">
        <v>14.200244364705767</v>
      </c>
      <c r="AP718" s="251">
        <v>19.387943927500324</v>
      </c>
      <c r="AQ718" s="251">
        <v>20.065479602386088</v>
      </c>
      <c r="AR718" s="251">
        <v>22.593208850998366</v>
      </c>
      <c r="AS718" s="251">
        <v>25.094879035191951</v>
      </c>
      <c r="AT718" s="251">
        <v>30.02004221032308</v>
      </c>
      <c r="AU718" s="250">
        <v>2.4283792925154311</v>
      </c>
      <c r="AV718" s="250">
        <v>4.5828750114583343</v>
      </c>
      <c r="AW718" s="251">
        <v>4.8567585850308621</v>
      </c>
      <c r="AX718" s="251">
        <v>9.1657500229166686</v>
      </c>
      <c r="AY718" s="250">
        <v>7.7854580000000011</v>
      </c>
      <c r="AZ718" s="250">
        <v>8.3596355275000018</v>
      </c>
      <c r="BA718" s="250">
        <v>11.279182277500002</v>
      </c>
      <c r="BB718" s="250">
        <v>11.931214385000001</v>
      </c>
      <c r="BC718" s="250">
        <v>13.624551500000001</v>
      </c>
      <c r="BD718" s="251">
        <v>7.2403484946300862</v>
      </c>
      <c r="BE718" s="251">
        <v>6.9674872099737497</v>
      </c>
      <c r="BF718" s="251">
        <v>9.2752503935060009</v>
      </c>
      <c r="BG718" s="251">
        <v>9.9454511841474993</v>
      </c>
      <c r="BH718" s="251">
        <v>10.070612697427499</v>
      </c>
      <c r="BI718" s="250">
        <v>6.1327146947368432</v>
      </c>
      <c r="BJ718" s="250">
        <v>6.5850024034736849</v>
      </c>
      <c r="BK718" s="250">
        <v>8.8847704140000019</v>
      </c>
      <c r="BL718" s="250">
        <v>9.3983852696842121</v>
      </c>
      <c r="BM718" s="250">
        <v>10.732250715789476</v>
      </c>
      <c r="BN718" s="251">
        <v>6.4989907938877289</v>
      </c>
      <c r="BO718" s="251">
        <v>6.2540684702861613</v>
      </c>
      <c r="BP718" s="251">
        <v>8.3255339108478577</v>
      </c>
      <c r="BQ718" s="251">
        <v>8.9271111376437506</v>
      </c>
      <c r="BR718" s="251">
        <v>9.039457045186607</v>
      </c>
      <c r="BS718" s="250">
        <v>3.2094540235789473</v>
      </c>
      <c r="BT718" s="250">
        <v>3.4461512578178941</v>
      </c>
      <c r="BU718" s="250">
        <v>4.6496965166599997</v>
      </c>
      <c r="BV718" s="250">
        <v>4.9184882911347367</v>
      </c>
      <c r="BW718" s="250">
        <v>5.6165445412631581</v>
      </c>
      <c r="BX718" s="251">
        <v>9.9733178059536733</v>
      </c>
      <c r="BY718" s="251">
        <v>10.708849994142756</v>
      </c>
      <c r="BZ718" s="251">
        <v>12.115804137540479</v>
      </c>
      <c r="CA718" s="251">
        <v>14.922186987801441</v>
      </c>
      <c r="CB718" s="251">
        <v>17.443117589464293</v>
      </c>
      <c r="CC718" s="250">
        <v>3.4011385154679106</v>
      </c>
      <c r="CD718" s="250">
        <v>3.2729624994497568</v>
      </c>
      <c r="CE718" s="250">
        <v>4.3570294133437111</v>
      </c>
      <c r="CF718" s="250">
        <v>4.6718548287002282</v>
      </c>
      <c r="CG718" s="250">
        <v>4.7306491869809895</v>
      </c>
      <c r="CH718" s="251">
        <v>10.116310249996532</v>
      </c>
      <c r="CI718" s="251">
        <v>9.7163802059777904</v>
      </c>
      <c r="CJ718" s="251">
        <v>10.646142758437824</v>
      </c>
      <c r="CK718" s="251">
        <v>12.0498872396258</v>
      </c>
      <c r="CL718" s="251">
        <v>14.251871144707797</v>
      </c>
      <c r="CM718" s="250">
        <v>20.923044348154555</v>
      </c>
      <c r="CN718" s="250">
        <v>22.466118868830954</v>
      </c>
      <c r="CO718" s="250">
        <v>25.417770917917085</v>
      </c>
      <c r="CP718" s="250">
        <v>31.305287386996024</v>
      </c>
      <c r="CQ718" s="250">
        <v>36.593952984890123</v>
      </c>
      <c r="CR718" s="246">
        <v>14.762284374642109</v>
      </c>
      <c r="CS718" s="246">
        <v>16.82195654136607</v>
      </c>
      <c r="CT718" s="246">
        <v>23.143492161321884</v>
      </c>
      <c r="CU718" s="246">
        <v>26.371070231867044</v>
      </c>
      <c r="CV718" s="246">
        <v>31.34617465706917</v>
      </c>
      <c r="CW718" s="252">
        <v>36.653801817958474</v>
      </c>
      <c r="CX718" s="252">
        <v>46.700401880559085</v>
      </c>
      <c r="CY718" s="252">
        <v>51.09002604952353</v>
      </c>
      <c r="CZ718" s="252">
        <v>55.461476968423696</v>
      </c>
      <c r="DA718" s="250">
        <v>11.851727664755277</v>
      </c>
      <c r="DB718" s="250">
        <v>13.505311417729081</v>
      </c>
      <c r="DC718" s="250">
        <v>18.580482488099726</v>
      </c>
      <c r="DD718" s="250">
        <v>21.171705860990663</v>
      </c>
      <c r="DE718" s="250">
        <v>25.16591036585028</v>
      </c>
      <c r="DF718" s="252">
        <v>33.316267889328891</v>
      </c>
      <c r="DG718" s="252">
        <v>42.448068752031141</v>
      </c>
      <c r="DH718" s="252">
        <v>48.02243334890882</v>
      </c>
      <c r="DI718" s="252">
        <v>52.131409730862877</v>
      </c>
      <c r="DJ718" s="251">
        <v>6.1307555697511935</v>
      </c>
      <c r="DK718" s="251">
        <v>6.986134472334526</v>
      </c>
      <c r="DL718" s="251">
        <v>9.6114591665259876</v>
      </c>
      <c r="DM718" s="251">
        <v>10.951867719201715</v>
      </c>
      <c r="DN718" s="251">
        <v>13.018021465521294</v>
      </c>
      <c r="DO718" s="252">
        <v>15.021243132206319</v>
      </c>
      <c r="DP718" s="252">
        <v>19.138481036799984</v>
      </c>
      <c r="DQ718" s="252">
        <v>21.075501100209266</v>
      </c>
      <c r="DR718" s="252">
        <v>22.878798647199858</v>
      </c>
      <c r="DS718" s="250">
        <v>41.608058911266809</v>
      </c>
      <c r="DT718" s="250">
        <v>47.413323101825036</v>
      </c>
      <c r="DU718" s="250">
        <v>65.230811222878103</v>
      </c>
      <c r="DV718" s="250">
        <v>74.327862539044176</v>
      </c>
      <c r="DW718" s="250">
        <v>88.350383224873525</v>
      </c>
      <c r="DX718" s="251">
        <v>19.857310711531255</v>
      </c>
      <c r="DY718" s="251">
        <v>27.504792513864174</v>
      </c>
      <c r="DZ718" s="251">
        <v>38.12063229306542</v>
      </c>
      <c r="EA718" s="250">
        <v>14.10983270044157</v>
      </c>
      <c r="EB718" s="250">
        <v>19.543835843068933</v>
      </c>
      <c r="EC718" s="250">
        <v>27.087038718584171</v>
      </c>
      <c r="ED718" s="256">
        <v>8.2052100674714978</v>
      </c>
      <c r="EE718" s="256">
        <v>11.365214742166359</v>
      </c>
      <c r="EF718" s="256">
        <v>15.751770237839999</v>
      </c>
      <c r="EG718" s="250">
        <v>54.686567744093743</v>
      </c>
      <c r="EH718" s="250">
        <v>75.747553178145651</v>
      </c>
      <c r="EI718" s="250">
        <v>104.9833268274248</v>
      </c>
    </row>
    <row r="719" spans="1:139">
      <c r="A719" s="248">
        <v>2015</v>
      </c>
      <c r="B719" s="251">
        <v>7.1535957343199996</v>
      </c>
      <c r="C719" s="251">
        <v>7.4035869831000003</v>
      </c>
      <c r="D719" s="251">
        <v>8.3362466420099999</v>
      </c>
      <c r="E719" s="251">
        <v>9.2592912528899998</v>
      </c>
      <c r="F719" s="251">
        <v>11.076535330559999</v>
      </c>
      <c r="G719" s="250">
        <v>7.1628772599967689</v>
      </c>
      <c r="H719" s="250">
        <v>6.8929355724594998</v>
      </c>
      <c r="I719" s="250">
        <v>7.3057087966217997</v>
      </c>
      <c r="J719" s="250">
        <v>8.9787452819649793</v>
      </c>
      <c r="K719" s="250">
        <v>9.9598360341383287</v>
      </c>
      <c r="L719" s="251">
        <v>5.5113585932842115</v>
      </c>
      <c r="M719" s="251">
        <v>5.7039598344473683</v>
      </c>
      <c r="N719" s="251">
        <v>6.4225106187868413</v>
      </c>
      <c r="O719" s="251">
        <v>7.1336536630815797</v>
      </c>
      <c r="P719" s="251">
        <v>8.5337165315368413</v>
      </c>
      <c r="Q719" s="250">
        <v>6.3298989933145835</v>
      </c>
      <c r="R719" s="250">
        <v>6.0913490986041765</v>
      </c>
      <c r="S719" s="250">
        <v>6.4561205055755337</v>
      </c>
      <c r="T719" s="250">
        <v>7.9370052215269764</v>
      </c>
      <c r="U719" s="250">
        <v>8.8042669800749973</v>
      </c>
      <c r="V719" s="251">
        <v>2.884277663818736</v>
      </c>
      <c r="W719" s="251">
        <v>2.985072313360789</v>
      </c>
      <c r="X719" s="251">
        <v>3.361113890498447</v>
      </c>
      <c r="Y719" s="251">
        <v>3.7332787503460256</v>
      </c>
      <c r="Z719" s="251">
        <v>4.4659783181709463</v>
      </c>
      <c r="AA719" s="250">
        <v>9.1593364846533927</v>
      </c>
      <c r="AB719" s="250">
        <v>9.4794208241708464</v>
      </c>
      <c r="AC719" s="250">
        <v>10.673581629293668</v>
      </c>
      <c r="AD719" s="250">
        <v>11.855431498281204</v>
      </c>
      <c r="AE719" s="250">
        <v>14.182198427850409</v>
      </c>
      <c r="AF719" s="251">
        <v>3.3126471398346315</v>
      </c>
      <c r="AG719" s="251">
        <v>3.187806028269518</v>
      </c>
      <c r="AH719" s="251">
        <v>3.3787030645845282</v>
      </c>
      <c r="AI719" s="251">
        <v>4.1536993992657845</v>
      </c>
      <c r="AJ719" s="251">
        <v>4.6075663862392489</v>
      </c>
      <c r="AK719" s="250">
        <v>9.9899553457011905</v>
      </c>
      <c r="AL719" s="250">
        <v>9.5950205144811918</v>
      </c>
      <c r="AM719" s="250">
        <v>10.513170131450883</v>
      </c>
      <c r="AN719" s="250">
        <v>11.899381540284175</v>
      </c>
      <c r="AO719" s="250">
        <v>14.073862189859886</v>
      </c>
      <c r="AP719" s="251">
        <v>19.21539122654557</v>
      </c>
      <c r="AQ719" s="251">
        <v>19.886896833924851</v>
      </c>
      <c r="AR719" s="251">
        <v>22.392129292224478</v>
      </c>
      <c r="AS719" s="251">
        <v>24.871534611778742</v>
      </c>
      <c r="AT719" s="251">
        <v>29.752863834651205</v>
      </c>
      <c r="AU719" s="250">
        <v>2.4026384720147673</v>
      </c>
      <c r="AV719" s="250">
        <v>4.5826458677077611</v>
      </c>
      <c r="AW719" s="251">
        <v>4.8052769440295346</v>
      </c>
      <c r="AX719" s="251">
        <v>9.1652917354155221</v>
      </c>
      <c r="AY719" s="250">
        <v>7.6803543170000017</v>
      </c>
      <c r="AZ719" s="250">
        <v>8.2467804478787521</v>
      </c>
      <c r="BA719" s="250">
        <v>11.126913316753752</v>
      </c>
      <c r="BB719" s="250">
        <v>11.770142990802501</v>
      </c>
      <c r="BC719" s="250">
        <v>13.440620054750001</v>
      </c>
      <c r="BD719" s="251">
        <v>7.1596186089149612</v>
      </c>
      <c r="BE719" s="251">
        <v>6.8897997275825427</v>
      </c>
      <c r="BF719" s="251">
        <v>9.1718313516184082</v>
      </c>
      <c r="BG719" s="251">
        <v>9.8345594034442545</v>
      </c>
      <c r="BH719" s="251">
        <v>9.9583253658511826</v>
      </c>
      <c r="BI719" s="250">
        <v>6.0431770601936856</v>
      </c>
      <c r="BJ719" s="250">
        <v>6.4888613683829695</v>
      </c>
      <c r="BK719" s="250">
        <v>8.7550527659556021</v>
      </c>
      <c r="BL719" s="250">
        <v>9.2611688447468232</v>
      </c>
      <c r="BM719" s="250">
        <v>10.57555985533895</v>
      </c>
      <c r="BN719" s="251">
        <v>6.430751390551908</v>
      </c>
      <c r="BO719" s="251">
        <v>6.1884007513481567</v>
      </c>
      <c r="BP719" s="251">
        <v>8.2381158047839556</v>
      </c>
      <c r="BQ719" s="251">
        <v>8.8333764706984912</v>
      </c>
      <c r="BR719" s="251">
        <v>8.9445427462121483</v>
      </c>
      <c r="BS719" s="250">
        <v>3.1625959948346947</v>
      </c>
      <c r="BT719" s="250">
        <v>3.3958374494537531</v>
      </c>
      <c r="BU719" s="250">
        <v>4.5818109475167637</v>
      </c>
      <c r="BV719" s="250">
        <v>4.8466783620841696</v>
      </c>
      <c r="BW719" s="250">
        <v>5.5345429909607162</v>
      </c>
      <c r="BX719" s="251">
        <v>9.9025072495314017</v>
      </c>
      <c r="BY719" s="251">
        <v>10.632817159184343</v>
      </c>
      <c r="BZ719" s="251">
        <v>12.029781928163942</v>
      </c>
      <c r="CA719" s="251">
        <v>14.816239460188051</v>
      </c>
      <c r="CB719" s="251">
        <v>17.319271454579098</v>
      </c>
      <c r="CC719" s="250">
        <v>3.3654265610554979</v>
      </c>
      <c r="CD719" s="250">
        <v>3.2385963932055346</v>
      </c>
      <c r="CE719" s="250">
        <v>4.3112806045036027</v>
      </c>
      <c r="CF719" s="250">
        <v>4.6228003529988761</v>
      </c>
      <c r="CG719" s="250">
        <v>4.6809773705176889</v>
      </c>
      <c r="CH719" s="251">
        <v>10.044484447221556</v>
      </c>
      <c r="CI719" s="251">
        <v>9.6473939065153473</v>
      </c>
      <c r="CJ719" s="251">
        <v>10.570555144852916</v>
      </c>
      <c r="CK719" s="251">
        <v>11.964333040224457</v>
      </c>
      <c r="CL719" s="251">
        <v>14.150682859580371</v>
      </c>
      <c r="CM719" s="250">
        <v>20.774490733282658</v>
      </c>
      <c r="CN719" s="250">
        <v>22.306609424862256</v>
      </c>
      <c r="CO719" s="250">
        <v>25.237304744399875</v>
      </c>
      <c r="CP719" s="250">
        <v>31.083019846548353</v>
      </c>
      <c r="CQ719" s="250">
        <v>36.334135918697406</v>
      </c>
      <c r="CR719" s="246">
        <v>14.72094997839311</v>
      </c>
      <c r="CS719" s="246">
        <v>16.774855063050246</v>
      </c>
      <c r="CT719" s="246">
        <v>23.078690383270182</v>
      </c>
      <c r="CU719" s="246">
        <v>26.297231235217815</v>
      </c>
      <c r="CV719" s="246">
        <v>31.258405368029376</v>
      </c>
      <c r="CW719" s="252">
        <v>36.653801817958474</v>
      </c>
      <c r="CX719" s="252">
        <v>46.700401880559085</v>
      </c>
      <c r="CY719" s="252">
        <v>51.09002604952353</v>
      </c>
      <c r="CZ719" s="252">
        <v>55.461476968423696</v>
      </c>
      <c r="DA719" s="250">
        <v>11.795558339329913</v>
      </c>
      <c r="DB719" s="250">
        <v>13.441305202479146</v>
      </c>
      <c r="DC719" s="250">
        <v>18.492423329388394</v>
      </c>
      <c r="DD719" s="250">
        <v>21.071366022786886</v>
      </c>
      <c r="DE719" s="250">
        <v>25.046640648476547</v>
      </c>
      <c r="DF719" s="252">
        <v>33.316267889328891</v>
      </c>
      <c r="DG719" s="252">
        <v>42.448068752031141</v>
      </c>
      <c r="DH719" s="252">
        <v>48.02243334890882</v>
      </c>
      <c r="DI719" s="252">
        <v>52.131409730862877</v>
      </c>
      <c r="DJ719" s="251">
        <v>6.1135894541558899</v>
      </c>
      <c r="DK719" s="251">
        <v>6.9665732958119895</v>
      </c>
      <c r="DL719" s="251">
        <v>9.5845470808597142</v>
      </c>
      <c r="DM719" s="251">
        <v>10.92120248958795</v>
      </c>
      <c r="DN719" s="251">
        <v>12.981571005417834</v>
      </c>
      <c r="DO719" s="252">
        <v>15.021243132206319</v>
      </c>
      <c r="DP719" s="252">
        <v>19.138481036799984</v>
      </c>
      <c r="DQ719" s="252">
        <v>21.075501100209266</v>
      </c>
      <c r="DR719" s="252">
        <v>22.878798647199858</v>
      </c>
      <c r="DS719" s="250">
        <v>41.433305063839491</v>
      </c>
      <c r="DT719" s="250">
        <v>47.214187144797371</v>
      </c>
      <c r="DU719" s="250">
        <v>64.95684181574201</v>
      </c>
      <c r="DV719" s="250">
        <v>74.015685516380188</v>
      </c>
      <c r="DW719" s="250">
        <v>87.979311615329053</v>
      </c>
      <c r="DX719" s="251">
        <v>19.799724510467815</v>
      </c>
      <c r="DY719" s="251">
        <v>27.425028615573968</v>
      </c>
      <c r="DZ719" s="251">
        <v>38.010082459415528</v>
      </c>
      <c r="EA719" s="250">
        <v>14.097839342646195</v>
      </c>
      <c r="EB719" s="250">
        <v>19.527223582602325</v>
      </c>
      <c r="EC719" s="250">
        <v>27.064014735673375</v>
      </c>
      <c r="ED719" s="256">
        <v>8.1838765212960709</v>
      </c>
      <c r="EE719" s="256">
        <v>11.335665183836726</v>
      </c>
      <c r="EF719" s="256">
        <v>15.710815635221614</v>
      </c>
      <c r="EG719" s="250">
        <v>54.620943862800829</v>
      </c>
      <c r="EH719" s="250">
        <v>75.656656114331881</v>
      </c>
      <c r="EI719" s="250">
        <v>104.85734683523189</v>
      </c>
    </row>
    <row r="720" spans="1:139">
      <c r="A720" s="248">
        <v>2016</v>
      </c>
      <c r="B720" s="251">
        <v>7.0605989897738395</v>
      </c>
      <c r="C720" s="251">
        <v>7.3073403523197005</v>
      </c>
      <c r="D720" s="251">
        <v>8.2278754356638704</v>
      </c>
      <c r="E720" s="251">
        <v>9.1389204666024302</v>
      </c>
      <c r="F720" s="251">
        <v>10.932540371262718</v>
      </c>
      <c r="G720" s="250">
        <v>7.0840856101368042</v>
      </c>
      <c r="H720" s="250">
        <v>6.8171132811624453</v>
      </c>
      <c r="I720" s="250">
        <v>7.22534599985896</v>
      </c>
      <c r="J720" s="250">
        <v>8.8790812093351672</v>
      </c>
      <c r="K720" s="250">
        <v>9.8492818541593934</v>
      </c>
      <c r="L720" s="251">
        <v>5.3956200628252429</v>
      </c>
      <c r="M720" s="251">
        <v>5.5841766779239732</v>
      </c>
      <c r="N720" s="251">
        <v>6.2876378957923178</v>
      </c>
      <c r="O720" s="251">
        <v>6.9838469361568665</v>
      </c>
      <c r="P720" s="251">
        <v>8.3545084843745681</v>
      </c>
      <c r="Q720" s="250">
        <v>6.2305195791195445</v>
      </c>
      <c r="R720" s="250">
        <v>5.9957149177560902</v>
      </c>
      <c r="S720" s="250">
        <v>6.3547594136379972</v>
      </c>
      <c r="T720" s="250">
        <v>7.8123942395490023</v>
      </c>
      <c r="U720" s="250">
        <v>8.6660399884878192</v>
      </c>
      <c r="V720" s="251">
        <v>2.8237078328785423</v>
      </c>
      <c r="W720" s="251">
        <v>2.9223857947802125</v>
      </c>
      <c r="X720" s="251">
        <v>3.2905304987979798</v>
      </c>
      <c r="Y720" s="251">
        <v>3.654879896588759</v>
      </c>
      <c r="Z720" s="251">
        <v>4.3721927734893562</v>
      </c>
      <c r="AA720" s="250">
        <v>9.0778183899399778</v>
      </c>
      <c r="AB720" s="250">
        <v>9.3950539788357261</v>
      </c>
      <c r="AC720" s="250">
        <v>10.578586752792955</v>
      </c>
      <c r="AD720" s="250">
        <v>11.749918157946501</v>
      </c>
      <c r="AE720" s="250">
        <v>14.05597686184254</v>
      </c>
      <c r="AF720" s="251">
        <v>3.2606385797392279</v>
      </c>
      <c r="AG720" s="251">
        <v>3.1377574736256864</v>
      </c>
      <c r="AH720" s="251">
        <v>3.325657426470551</v>
      </c>
      <c r="AI720" s="251">
        <v>4.0884863186973117</v>
      </c>
      <c r="AJ720" s="251">
        <v>4.5352275939752928</v>
      </c>
      <c r="AK720" s="250">
        <v>9.9010447431244497</v>
      </c>
      <c r="AL720" s="250">
        <v>9.5096248319023093</v>
      </c>
      <c r="AM720" s="250">
        <v>10.419602917280971</v>
      </c>
      <c r="AN720" s="250">
        <v>11.793477044575646</v>
      </c>
      <c r="AO720" s="250">
        <v>13.948604816370134</v>
      </c>
      <c r="AP720" s="251">
        <v>19.044374244629314</v>
      </c>
      <c r="AQ720" s="251">
        <v>19.709903452102921</v>
      </c>
      <c r="AR720" s="251">
        <v>22.19283934152368</v>
      </c>
      <c r="AS720" s="251">
        <v>24.650177953733909</v>
      </c>
      <c r="AT720" s="251">
        <v>29.488063346522807</v>
      </c>
      <c r="AU720" s="250">
        <v>2.3771705042114109</v>
      </c>
      <c r="AV720" s="250">
        <v>4.5824167354143759</v>
      </c>
      <c r="AW720" s="251">
        <v>4.7543410084228217</v>
      </c>
      <c r="AX720" s="251">
        <v>9.1648334708287518</v>
      </c>
      <c r="AY720" s="250">
        <v>7.5766695337205023</v>
      </c>
      <c r="AZ720" s="250">
        <v>8.1354489118323894</v>
      </c>
      <c r="BA720" s="250">
        <v>10.976699986977577</v>
      </c>
      <c r="BB720" s="250">
        <v>11.611246060426668</v>
      </c>
      <c r="BC720" s="250">
        <v>13.259171684010877</v>
      </c>
      <c r="BD720" s="251">
        <v>7.0797888614255591</v>
      </c>
      <c r="BE720" s="251">
        <v>6.8129784606199975</v>
      </c>
      <c r="BF720" s="251">
        <v>9.0695654320478631</v>
      </c>
      <c r="BG720" s="251">
        <v>9.724904066095851</v>
      </c>
      <c r="BH720" s="251">
        <v>9.8472900380219421</v>
      </c>
      <c r="BI720" s="250">
        <v>5.9549466751148579</v>
      </c>
      <c r="BJ720" s="250">
        <v>6.3941239924045785</v>
      </c>
      <c r="BK720" s="250">
        <v>8.6272289955726507</v>
      </c>
      <c r="BL720" s="250">
        <v>9.1259557796135198</v>
      </c>
      <c r="BM720" s="250">
        <v>10.421156681451002</v>
      </c>
      <c r="BN720" s="251">
        <v>6.3632285009511129</v>
      </c>
      <c r="BO720" s="251">
        <v>6.1234225434590011</v>
      </c>
      <c r="BP720" s="251">
        <v>8.1516155888337245</v>
      </c>
      <c r="BQ720" s="251">
        <v>8.7406260177561581</v>
      </c>
      <c r="BR720" s="251">
        <v>8.850625047376921</v>
      </c>
      <c r="BS720" s="250">
        <v>3.1164220933101081</v>
      </c>
      <c r="BT720" s="250">
        <v>3.3462582226917283</v>
      </c>
      <c r="BU720" s="250">
        <v>4.5149165076830196</v>
      </c>
      <c r="BV720" s="250">
        <v>4.7759168579977409</v>
      </c>
      <c r="BW720" s="250">
        <v>5.4537386632926896</v>
      </c>
      <c r="BX720" s="251">
        <v>9.832199448059729</v>
      </c>
      <c r="BY720" s="251">
        <v>10.557324157354135</v>
      </c>
      <c r="BZ720" s="251">
        <v>11.944370476473978</v>
      </c>
      <c r="CA720" s="251">
        <v>14.711044160020716</v>
      </c>
      <c r="CB720" s="251">
        <v>17.196304627251585</v>
      </c>
      <c r="CC720" s="250">
        <v>3.3300895821644154</v>
      </c>
      <c r="CD720" s="250">
        <v>3.2045911310768767</v>
      </c>
      <c r="CE720" s="250">
        <v>4.2660121581563155</v>
      </c>
      <c r="CF720" s="250">
        <v>4.5742609492923885</v>
      </c>
      <c r="CG720" s="250">
        <v>4.6318271081272533</v>
      </c>
      <c r="CH720" s="251">
        <v>9.9731686076462829</v>
      </c>
      <c r="CI720" s="251">
        <v>9.5788974097790884</v>
      </c>
      <c r="CJ720" s="251">
        <v>10.49550420332446</v>
      </c>
      <c r="CK720" s="251">
        <v>11.879386275638863</v>
      </c>
      <c r="CL720" s="251">
        <v>14.05021301127735</v>
      </c>
      <c r="CM720" s="250">
        <v>20.626991849076351</v>
      </c>
      <c r="CN720" s="250">
        <v>22.148232497945735</v>
      </c>
      <c r="CO720" s="250">
        <v>25.058119880714635</v>
      </c>
      <c r="CP720" s="250">
        <v>30.862330405637859</v>
      </c>
      <c r="CQ720" s="250">
        <v>36.076163553674654</v>
      </c>
      <c r="CR720" s="246">
        <v>14.679731318453609</v>
      </c>
      <c r="CS720" s="246">
        <v>16.727885468873705</v>
      </c>
      <c r="CT720" s="246">
        <v>23.014070050197024</v>
      </c>
      <c r="CU720" s="246">
        <v>26.223598987759203</v>
      </c>
      <c r="CV720" s="246">
        <v>31.170881832998894</v>
      </c>
      <c r="CW720" s="252">
        <v>36.653801817958474</v>
      </c>
      <c r="CX720" s="252">
        <v>46.700401880559085</v>
      </c>
      <c r="CY720" s="252">
        <v>51.09002604952353</v>
      </c>
      <c r="CZ720" s="252">
        <v>55.461476968423696</v>
      </c>
      <c r="DA720" s="250">
        <v>11.739655219238319</v>
      </c>
      <c r="DB720" s="250">
        <v>13.377602334220917</v>
      </c>
      <c r="DC720" s="250">
        <v>18.404781512661476</v>
      </c>
      <c r="DD720" s="250">
        <v>20.97150172884</v>
      </c>
      <c r="DE720" s="250">
        <v>24.927936190426859</v>
      </c>
      <c r="DF720" s="252">
        <v>33.316267889328891</v>
      </c>
      <c r="DG720" s="252">
        <v>42.448068752031141</v>
      </c>
      <c r="DH720" s="252">
        <v>48.02243334890882</v>
      </c>
      <c r="DI720" s="252">
        <v>52.131409730862877</v>
      </c>
      <c r="DJ720" s="251">
        <v>6.0964714036842533</v>
      </c>
      <c r="DK720" s="251">
        <v>6.9470668905837156</v>
      </c>
      <c r="DL720" s="251">
        <v>9.5577103490333073</v>
      </c>
      <c r="DM720" s="251">
        <v>10.890623122617104</v>
      </c>
      <c r="DN720" s="251">
        <v>12.945222606602664</v>
      </c>
      <c r="DO720" s="252">
        <v>15.021243132206319</v>
      </c>
      <c r="DP720" s="252">
        <v>19.138481036799984</v>
      </c>
      <c r="DQ720" s="252">
        <v>21.075501100209266</v>
      </c>
      <c r="DR720" s="252">
        <v>22.878798647199858</v>
      </c>
      <c r="DS720" s="250">
        <v>41.259285182571368</v>
      </c>
      <c r="DT720" s="250">
        <v>47.015887558789224</v>
      </c>
      <c r="DU720" s="250">
        <v>64.684023080115892</v>
      </c>
      <c r="DV720" s="250">
        <v>73.704819637211386</v>
      </c>
      <c r="DW720" s="250">
        <v>87.609798506544678</v>
      </c>
      <c r="DX720" s="251">
        <v>19.742305309387458</v>
      </c>
      <c r="DY720" s="251">
        <v>27.345496032588802</v>
      </c>
      <c r="DZ720" s="251">
        <v>37.899853220283219</v>
      </c>
      <c r="EA720" s="250">
        <v>14.085856179204946</v>
      </c>
      <c r="EB720" s="250">
        <v>19.510625442557114</v>
      </c>
      <c r="EC720" s="250">
        <v>27.041010323148051</v>
      </c>
      <c r="ED720" s="256">
        <v>8.1625984423407001</v>
      </c>
      <c r="EE720" s="256">
        <v>11.306192454358749</v>
      </c>
      <c r="EF720" s="256">
        <v>15.669967514570038</v>
      </c>
      <c r="EG720" s="250">
        <v>54.555398730165471</v>
      </c>
      <c r="EH720" s="250">
        <v>75.565868126994687</v>
      </c>
      <c r="EI720" s="250">
        <v>104.73151801902962</v>
      </c>
    </row>
    <row r="721" spans="1:139">
      <c r="A721" s="248">
        <v>2017</v>
      </c>
      <c r="B721" s="251">
        <v>6.9688112029067799</v>
      </c>
      <c r="C721" s="251">
        <v>7.2123449277395446</v>
      </c>
      <c r="D721" s="251">
        <v>8.1209130550002406</v>
      </c>
      <c r="E721" s="251">
        <v>9.0201145005365984</v>
      </c>
      <c r="F721" s="251">
        <v>10.790417346436302</v>
      </c>
      <c r="G721" s="250">
        <v>7.0061606684252995</v>
      </c>
      <c r="H721" s="250">
        <v>6.742125035069658</v>
      </c>
      <c r="I721" s="250">
        <v>7.1458671938605116</v>
      </c>
      <c r="J721" s="250">
        <v>8.7805234079115468</v>
      </c>
      <c r="K721" s="250">
        <v>9.7399548255782236</v>
      </c>
      <c r="L721" s="251">
        <v>5.2823120415059126</v>
      </c>
      <c r="M721" s="251">
        <v>5.4669089676875693</v>
      </c>
      <c r="N721" s="251">
        <v>6.1555974999806793</v>
      </c>
      <c r="O721" s="251">
        <v>6.8371861504975717</v>
      </c>
      <c r="P721" s="251">
        <v>8.1790638062027021</v>
      </c>
      <c r="Q721" s="250">
        <v>6.1327004217273675</v>
      </c>
      <c r="R721" s="250">
        <v>5.9015821935473189</v>
      </c>
      <c r="S721" s="250">
        <v>6.25498969084388</v>
      </c>
      <c r="T721" s="250">
        <v>7.6897396499880823</v>
      </c>
      <c r="U721" s="250">
        <v>8.5299831606685608</v>
      </c>
      <c r="V721" s="251">
        <v>2.7644099683880929</v>
      </c>
      <c r="W721" s="251">
        <v>2.8610156930898278</v>
      </c>
      <c r="X721" s="251">
        <v>3.2214293583232223</v>
      </c>
      <c r="Y721" s="251">
        <v>3.5781274187603951</v>
      </c>
      <c r="Z721" s="251">
        <v>4.2803767252460796</v>
      </c>
      <c r="AA721" s="250">
        <v>8.9970258062695123</v>
      </c>
      <c r="AB721" s="250">
        <v>9.311437998424088</v>
      </c>
      <c r="AC721" s="250">
        <v>10.484437330693098</v>
      </c>
      <c r="AD721" s="250">
        <v>11.645343886340777</v>
      </c>
      <c r="AE721" s="250">
        <v>13.930878667772141</v>
      </c>
      <c r="AF721" s="251">
        <v>3.209446554037322</v>
      </c>
      <c r="AG721" s="251">
        <v>3.0884946812897631</v>
      </c>
      <c r="AH721" s="251">
        <v>3.273444604874963</v>
      </c>
      <c r="AI721" s="251">
        <v>4.0242970834937637</v>
      </c>
      <c r="AJ721" s="251">
        <v>4.4640245207498808</v>
      </c>
      <c r="AK721" s="250">
        <v>9.8129254449106416</v>
      </c>
      <c r="AL721" s="250">
        <v>9.4249891708983782</v>
      </c>
      <c r="AM721" s="250">
        <v>10.32686845131717</v>
      </c>
      <c r="AN721" s="250">
        <v>11.688515098878922</v>
      </c>
      <c r="AO721" s="250">
        <v>13.824462233504439</v>
      </c>
      <c r="AP721" s="251">
        <v>18.874879313852112</v>
      </c>
      <c r="AQ721" s="251">
        <v>19.534485311379203</v>
      </c>
      <c r="AR721" s="251">
        <v>21.995323071384117</v>
      </c>
      <c r="AS721" s="251">
        <v>24.430791369945677</v>
      </c>
      <c r="AT721" s="251">
        <v>29.225619582738755</v>
      </c>
      <c r="AU721" s="250">
        <v>2.3519724968667699</v>
      </c>
      <c r="AV721" s="250">
        <v>4.582187614577605</v>
      </c>
      <c r="AW721" s="251">
        <v>4.7039449937335398</v>
      </c>
      <c r="AX721" s="251">
        <v>9.1643752291552101</v>
      </c>
      <c r="AY721" s="250">
        <v>7.4743844950152756</v>
      </c>
      <c r="AZ721" s="250">
        <v>8.0256203515226527</v>
      </c>
      <c r="BA721" s="250">
        <v>10.82851453715338</v>
      </c>
      <c r="BB721" s="250">
        <v>11.454494238610907</v>
      </c>
      <c r="BC721" s="250">
        <v>13.08017286627673</v>
      </c>
      <c r="BD721" s="251">
        <v>7.0008492156206641</v>
      </c>
      <c r="BE721" s="251">
        <v>6.7370137507840848</v>
      </c>
      <c r="BF721" s="251">
        <v>8.9684397774805298</v>
      </c>
      <c r="BG721" s="251">
        <v>9.6164713857588815</v>
      </c>
      <c r="BH721" s="251">
        <v>9.7374927540979979</v>
      </c>
      <c r="BI721" s="250">
        <v>5.8680044536581812</v>
      </c>
      <c r="BJ721" s="250">
        <v>6.3007697821154718</v>
      </c>
      <c r="BK721" s="250">
        <v>8.5012714522372903</v>
      </c>
      <c r="BL721" s="250">
        <v>8.9927168252311631</v>
      </c>
      <c r="BM721" s="250">
        <v>10.269007793901817</v>
      </c>
      <c r="BN721" s="251">
        <v>6.2964146016911267</v>
      </c>
      <c r="BO721" s="251">
        <v>6.0591266067526819</v>
      </c>
      <c r="BP721" s="251">
        <v>8.0660236251509705</v>
      </c>
      <c r="BQ721" s="251">
        <v>8.6488494445697182</v>
      </c>
      <c r="BR721" s="251">
        <v>8.7576934843794643</v>
      </c>
      <c r="BS721" s="250">
        <v>3.0709223307477806</v>
      </c>
      <c r="BT721" s="250">
        <v>3.2974028526404293</v>
      </c>
      <c r="BU721" s="250">
        <v>4.4489987266708475</v>
      </c>
      <c r="BV721" s="250">
        <v>4.7061884718709743</v>
      </c>
      <c r="BW721" s="250">
        <v>5.374114078808617</v>
      </c>
      <c r="BX721" s="251">
        <v>9.7623908319785055</v>
      </c>
      <c r="BY721" s="251">
        <v>10.48236715583692</v>
      </c>
      <c r="BZ721" s="251">
        <v>11.859565446091013</v>
      </c>
      <c r="CA721" s="251">
        <v>14.606595746484569</v>
      </c>
      <c r="CB721" s="251">
        <v>17.074210864398101</v>
      </c>
      <c r="CC721" s="250">
        <v>3.2951236415516894</v>
      </c>
      <c r="CD721" s="250">
        <v>3.1709429242005696</v>
      </c>
      <c r="CE721" s="250">
        <v>4.221219030495674</v>
      </c>
      <c r="CF721" s="250">
        <v>4.5262312093248189</v>
      </c>
      <c r="CG721" s="250">
        <v>4.5831929234919171</v>
      </c>
      <c r="CH721" s="251">
        <v>9.9023591105319948</v>
      </c>
      <c r="CI721" s="251">
        <v>9.5108872381696568</v>
      </c>
      <c r="CJ721" s="251">
        <v>10.420986123480857</v>
      </c>
      <c r="CK721" s="251">
        <v>11.795042633081827</v>
      </c>
      <c r="CL721" s="251">
        <v>13.950456498897282</v>
      </c>
      <c r="CM721" s="250">
        <v>20.480540206947907</v>
      </c>
      <c r="CN721" s="250">
        <v>21.990980047210321</v>
      </c>
      <c r="CO721" s="250">
        <v>24.88020722956156</v>
      </c>
      <c r="CP721" s="250">
        <v>30.64320785975783</v>
      </c>
      <c r="CQ721" s="250">
        <v>35.820022792443567</v>
      </c>
      <c r="CR721" s="246">
        <v>14.638628070761937</v>
      </c>
      <c r="CS721" s="246">
        <v>16.68104738956086</v>
      </c>
      <c r="CT721" s="246">
        <v>22.94963065405647</v>
      </c>
      <c r="CU721" s="246">
        <v>26.150172910593476</v>
      </c>
      <c r="CV721" s="246">
        <v>31.083603363866498</v>
      </c>
      <c r="CW721" s="252">
        <v>36.617148016140519</v>
      </c>
      <c r="CX721" s="252">
        <v>46.653701478678528</v>
      </c>
      <c r="CY721" s="252">
        <v>51.038936023474008</v>
      </c>
      <c r="CZ721" s="252">
        <v>55.406015491455271</v>
      </c>
      <c r="DA721" s="250">
        <v>11.684017042843841</v>
      </c>
      <c r="DB721" s="250">
        <v>13.314201375290926</v>
      </c>
      <c r="DC721" s="250">
        <v>18.317555059994877</v>
      </c>
      <c r="DD721" s="250">
        <v>20.872110725385753</v>
      </c>
      <c r="DE721" s="250">
        <v>24.809794312747076</v>
      </c>
      <c r="DF721" s="252">
        <v>33.282951621439565</v>
      </c>
      <c r="DG721" s="252">
        <v>42.40562068327911</v>
      </c>
      <c r="DH721" s="252">
        <v>47.974410915559908</v>
      </c>
      <c r="DI721" s="252">
        <v>52.079278321132016</v>
      </c>
      <c r="DJ721" s="251">
        <v>6.0794012837539375</v>
      </c>
      <c r="DK721" s="251">
        <v>6.9276151032900808</v>
      </c>
      <c r="DL721" s="251">
        <v>9.5309487600560132</v>
      </c>
      <c r="DM721" s="251">
        <v>10.860129377873776</v>
      </c>
      <c r="DN721" s="251">
        <v>12.908975983304176</v>
      </c>
      <c r="DO721" s="252">
        <v>15.006221889074112</v>
      </c>
      <c r="DP721" s="252">
        <v>19.119342555763183</v>
      </c>
      <c r="DQ721" s="252">
        <v>21.054425599109056</v>
      </c>
      <c r="DR721" s="252">
        <v>22.855919848552659</v>
      </c>
      <c r="DS721" s="250">
        <v>41.085996184804571</v>
      </c>
      <c r="DT721" s="250">
        <v>46.81842083104231</v>
      </c>
      <c r="DU721" s="250">
        <v>64.412350183179413</v>
      </c>
      <c r="DV721" s="250">
        <v>73.395259394735106</v>
      </c>
      <c r="DW721" s="250">
        <v>87.241837352817186</v>
      </c>
      <c r="DX721" s="251">
        <v>19.685052623990234</v>
      </c>
      <c r="DY721" s="251">
        <v>27.266194094094296</v>
      </c>
      <c r="DZ721" s="251">
        <v>37.789943645944398</v>
      </c>
      <c r="EA721" s="250">
        <v>14.073883201452622</v>
      </c>
      <c r="EB721" s="250">
        <v>19.49404141093094</v>
      </c>
      <c r="EC721" s="250">
        <v>27.018025464373373</v>
      </c>
      <c r="ED721" s="256">
        <v>8.1413756863906137</v>
      </c>
      <c r="EE721" s="256">
        <v>11.276796353977415</v>
      </c>
      <c r="EF721" s="256">
        <v>15.629225599032155</v>
      </c>
      <c r="EG721" s="250">
        <v>54.489932251689275</v>
      </c>
      <c r="EH721" s="250">
        <v>75.475189085242292</v>
      </c>
      <c r="EI721" s="250">
        <v>104.60584019740679</v>
      </c>
    </row>
    <row r="722" spans="1:139">
      <c r="A722" s="248">
        <v>2018</v>
      </c>
      <c r="B722" s="251">
        <v>6.8782166572689913</v>
      </c>
      <c r="C722" s="251">
        <v>7.1185844436789303</v>
      </c>
      <c r="D722" s="251">
        <v>8.0153411852852372</v>
      </c>
      <c r="E722" s="251">
        <v>8.9028530120296221</v>
      </c>
      <c r="F722" s="251">
        <v>10.650141920932629</v>
      </c>
      <c r="G722" s="250">
        <v>6.9290929010726208</v>
      </c>
      <c r="H722" s="250">
        <v>6.6679616596838915</v>
      </c>
      <c r="I722" s="250">
        <v>7.0672626547280455</v>
      </c>
      <c r="J722" s="250">
        <v>8.6830595980837284</v>
      </c>
      <c r="K722" s="250">
        <v>9.6318413270143051</v>
      </c>
      <c r="L722" s="251">
        <v>5.1713834886342882</v>
      </c>
      <c r="M722" s="251">
        <v>5.3521038793661306</v>
      </c>
      <c r="N722" s="251">
        <v>6.0263299524810847</v>
      </c>
      <c r="O722" s="251">
        <v>6.6936052413371225</v>
      </c>
      <c r="P722" s="251">
        <v>8.0073034662724449</v>
      </c>
      <c r="Q722" s="250">
        <v>6.0364170251062479</v>
      </c>
      <c r="R722" s="250">
        <v>5.8089273531086256</v>
      </c>
      <c r="S722" s="250">
        <v>6.1567863526976305</v>
      </c>
      <c r="T722" s="250">
        <v>7.5690107374832687</v>
      </c>
      <c r="U722" s="250">
        <v>8.3960624250460647</v>
      </c>
      <c r="V722" s="251">
        <v>2.706357359051943</v>
      </c>
      <c r="W722" s="251">
        <v>2.8009343635349415</v>
      </c>
      <c r="X722" s="251">
        <v>3.1537793417984346</v>
      </c>
      <c r="Y722" s="251">
        <v>3.5029867429664265</v>
      </c>
      <c r="Z722" s="251">
        <v>4.1904888140159118</v>
      </c>
      <c r="AA722" s="250">
        <v>8.9169522765937135</v>
      </c>
      <c r="AB722" s="250">
        <v>9.228566200238113</v>
      </c>
      <c r="AC722" s="250">
        <v>10.391125838449929</v>
      </c>
      <c r="AD722" s="250">
        <v>11.541700325752345</v>
      </c>
      <c r="AE722" s="250">
        <v>13.806893847628968</v>
      </c>
      <c r="AF722" s="251">
        <v>3.159058243138936</v>
      </c>
      <c r="AG722" s="251">
        <v>3.0400053147935138</v>
      </c>
      <c r="AH722" s="251">
        <v>3.222051524578426</v>
      </c>
      <c r="AI722" s="251">
        <v>3.9611156192829116</v>
      </c>
      <c r="AJ722" s="251">
        <v>4.3939393357741077</v>
      </c>
      <c r="AK722" s="250">
        <v>9.7255904084509375</v>
      </c>
      <c r="AL722" s="250">
        <v>9.3411067672773829</v>
      </c>
      <c r="AM722" s="250">
        <v>10.234959322100446</v>
      </c>
      <c r="AN722" s="250">
        <v>11.584487314498899</v>
      </c>
      <c r="AO722" s="250">
        <v>13.701424519626249</v>
      </c>
      <c r="AP722" s="251">
        <v>18.70689288795883</v>
      </c>
      <c r="AQ722" s="251">
        <v>19.360628392107927</v>
      </c>
      <c r="AR722" s="251">
        <v>21.799564696048797</v>
      </c>
      <c r="AS722" s="251">
        <v>24.213357326753162</v>
      </c>
      <c r="AT722" s="251">
        <v>28.965511568452378</v>
      </c>
      <c r="AU722" s="250">
        <v>2.327041588399982</v>
      </c>
      <c r="AV722" s="250">
        <v>4.5819585051968765</v>
      </c>
      <c r="AW722" s="251">
        <v>4.654083176799964</v>
      </c>
      <c r="AX722" s="251">
        <v>9.1639170103937531</v>
      </c>
      <c r="AY722" s="250">
        <v>7.3734803043325696</v>
      </c>
      <c r="AZ722" s="250">
        <v>7.9172744767770968</v>
      </c>
      <c r="BA722" s="250">
        <v>10.68232959090181</v>
      </c>
      <c r="BB722" s="250">
        <v>11.299858566389661</v>
      </c>
      <c r="BC722" s="250">
        <v>12.903590532581994</v>
      </c>
      <c r="BD722" s="251">
        <v>6.9227897468664938</v>
      </c>
      <c r="BE722" s="251">
        <v>6.6618960474628421</v>
      </c>
      <c r="BF722" s="251">
        <v>8.8684416739616214</v>
      </c>
      <c r="BG722" s="251">
        <v>9.5092477298076705</v>
      </c>
      <c r="BH722" s="251">
        <v>9.6289197098898054</v>
      </c>
      <c r="BI722" s="250">
        <v>5.7823315886347721</v>
      </c>
      <c r="BJ722" s="250">
        <v>6.2087785432965861</v>
      </c>
      <c r="BK722" s="250">
        <v>8.3771528890346261</v>
      </c>
      <c r="BL722" s="250">
        <v>8.8614231595827881</v>
      </c>
      <c r="BM722" s="250">
        <v>10.119080280110852</v>
      </c>
      <c r="BN722" s="251">
        <v>6.2303022483733699</v>
      </c>
      <c r="BO722" s="251">
        <v>5.995505777381779</v>
      </c>
      <c r="BP722" s="251">
        <v>7.981330377086886</v>
      </c>
      <c r="BQ722" s="251">
        <v>8.5580365254017359</v>
      </c>
      <c r="BR722" s="251">
        <v>8.6657377027934803</v>
      </c>
      <c r="BS722" s="250">
        <v>3.026086864718863</v>
      </c>
      <c r="BT722" s="250">
        <v>3.2492607709918793</v>
      </c>
      <c r="BU722" s="250">
        <v>4.3840433452614533</v>
      </c>
      <c r="BV722" s="250">
        <v>4.6374781201816582</v>
      </c>
      <c r="BW722" s="250">
        <v>5.2956520132580112</v>
      </c>
      <c r="BX722" s="251">
        <v>9.693077857071458</v>
      </c>
      <c r="BY722" s="251">
        <v>10.407942349030478</v>
      </c>
      <c r="BZ722" s="251">
        <v>11.775362531423767</v>
      </c>
      <c r="CA722" s="251">
        <v>14.502888916684528</v>
      </c>
      <c r="CB722" s="251">
        <v>16.952983967260874</v>
      </c>
      <c r="CC722" s="250">
        <v>3.2605248433153968</v>
      </c>
      <c r="CD722" s="250">
        <v>3.1376480234964639</v>
      </c>
      <c r="CE722" s="250">
        <v>4.17689623067547</v>
      </c>
      <c r="CF722" s="250">
        <v>4.4787057816269087</v>
      </c>
      <c r="CG722" s="250">
        <v>4.5350693977952519</v>
      </c>
      <c r="CH722" s="251">
        <v>9.8320523608472179</v>
      </c>
      <c r="CI722" s="251">
        <v>9.4433599387786522</v>
      </c>
      <c r="CJ722" s="251">
        <v>10.346997122004142</v>
      </c>
      <c r="CK722" s="251">
        <v>11.711297830386947</v>
      </c>
      <c r="CL722" s="251">
        <v>13.851408257755111</v>
      </c>
      <c r="CM722" s="250">
        <v>20.335128371478579</v>
      </c>
      <c r="CN722" s="250">
        <v>21.83484408887513</v>
      </c>
      <c r="CO722" s="250">
        <v>24.703557758231671</v>
      </c>
      <c r="CP722" s="250">
        <v>30.42564108395355</v>
      </c>
      <c r="CQ722" s="250">
        <v>35.565700630617215</v>
      </c>
      <c r="CR722" s="246">
        <v>14.597639912163803</v>
      </c>
      <c r="CS722" s="246">
        <v>16.634340456870088</v>
      </c>
      <c r="CT722" s="246">
        <v>22.88537168822511</v>
      </c>
      <c r="CU722" s="246">
        <v>26.076952426443814</v>
      </c>
      <c r="CV722" s="246">
        <v>30.996569274447673</v>
      </c>
      <c r="CW722" s="252">
        <v>36.580530868124377</v>
      </c>
      <c r="CX722" s="252">
        <v>46.607047777199853</v>
      </c>
      <c r="CY722" s="252">
        <v>50.987897087450534</v>
      </c>
      <c r="CZ722" s="252">
        <v>55.350609475963815</v>
      </c>
      <c r="DA722" s="250">
        <v>11.628642554489147</v>
      </c>
      <c r="DB722" s="250">
        <v>13.251100894839277</v>
      </c>
      <c r="DC722" s="250">
        <v>18.230742002838547</v>
      </c>
      <c r="DD722" s="250">
        <v>20.773190769341241</v>
      </c>
      <c r="DE722" s="250">
        <v>24.69221234917952</v>
      </c>
      <c r="DF722" s="252">
        <v>33.249668669818128</v>
      </c>
      <c r="DG722" s="252">
        <v>42.363215062595835</v>
      </c>
      <c r="DH722" s="252">
        <v>47.92643650464435</v>
      </c>
      <c r="DI722" s="252">
        <v>52.027199042810885</v>
      </c>
      <c r="DJ722" s="251">
        <v>6.0623789601594265</v>
      </c>
      <c r="DK722" s="251">
        <v>6.908217781000868</v>
      </c>
      <c r="DL722" s="251">
        <v>9.5042621035278554</v>
      </c>
      <c r="DM722" s="251">
        <v>10.829721015615728</v>
      </c>
      <c r="DN722" s="251">
        <v>12.872830850550924</v>
      </c>
      <c r="DO722" s="252">
        <v>14.991215667185038</v>
      </c>
      <c r="DP722" s="252">
        <v>19.100223213207418</v>
      </c>
      <c r="DQ722" s="252">
        <v>21.033371173509948</v>
      </c>
      <c r="DR722" s="252">
        <v>22.833063928704107</v>
      </c>
      <c r="DS722" s="250">
        <v>40.913435000828393</v>
      </c>
      <c r="DT722" s="250">
        <v>46.621783463551935</v>
      </c>
      <c r="DU722" s="250">
        <v>64.141818312410066</v>
      </c>
      <c r="DV722" s="250">
        <v>73.086999305277217</v>
      </c>
      <c r="DW722" s="250">
        <v>86.875421635935353</v>
      </c>
      <c r="DX722" s="251">
        <v>19.627965971380661</v>
      </c>
      <c r="DY722" s="251">
        <v>27.187122131221422</v>
      </c>
      <c r="DZ722" s="251">
        <v>37.680352809371158</v>
      </c>
      <c r="EA722" s="250">
        <v>14.061920400731386</v>
      </c>
      <c r="EB722" s="250">
        <v>19.477471475731647</v>
      </c>
      <c r="EC722" s="250">
        <v>26.995060142728654</v>
      </c>
      <c r="ED722" s="256">
        <v>8.120208109605997</v>
      </c>
      <c r="EE722" s="256">
        <v>11.247476683457073</v>
      </c>
      <c r="EF722" s="256">
        <v>15.588589612474671</v>
      </c>
      <c r="EG722" s="250">
        <v>54.424544332987246</v>
      </c>
      <c r="EH722" s="250">
        <v>75.384618858340005</v>
      </c>
      <c r="EI722" s="250">
        <v>104.48031318916991</v>
      </c>
    </row>
    <row r="723" spans="1:139">
      <c r="A723" s="248">
        <v>2019</v>
      </c>
      <c r="B723" s="251">
        <v>6.7887998407244945</v>
      </c>
      <c r="C723" s="251">
        <v>7.0260428459111042</v>
      </c>
      <c r="D723" s="251">
        <v>7.9111417498765286</v>
      </c>
      <c r="E723" s="251">
        <v>8.7871159228732374</v>
      </c>
      <c r="F723" s="251">
        <v>10.511690075960505</v>
      </c>
      <c r="G723" s="250">
        <v>6.852872879160822</v>
      </c>
      <c r="H723" s="250">
        <v>6.5946140814273688</v>
      </c>
      <c r="I723" s="250">
        <v>6.9895227655260372</v>
      </c>
      <c r="J723" s="250">
        <v>8.5866776365449997</v>
      </c>
      <c r="K723" s="250">
        <v>9.5249278882844468</v>
      </c>
      <c r="L723" s="251">
        <v>5.0627844353729676</v>
      </c>
      <c r="M723" s="251">
        <v>5.2397096978994417</v>
      </c>
      <c r="N723" s="251">
        <v>5.8997770234789817</v>
      </c>
      <c r="O723" s="251">
        <v>6.553039531269043</v>
      </c>
      <c r="P723" s="251">
        <v>7.8391500934807237</v>
      </c>
      <c r="Q723" s="250">
        <v>5.9416452778120794</v>
      </c>
      <c r="R723" s="250">
        <v>5.7177271936648202</v>
      </c>
      <c r="S723" s="250">
        <v>6.0601248069602773</v>
      </c>
      <c r="T723" s="250">
        <v>7.4501772689047812</v>
      </c>
      <c r="U723" s="250">
        <v>8.2642442449728417</v>
      </c>
      <c r="V723" s="251">
        <v>2.6495238545118522</v>
      </c>
      <c r="W723" s="251">
        <v>2.7421147419007075</v>
      </c>
      <c r="X723" s="251">
        <v>3.0875499756206675</v>
      </c>
      <c r="Y723" s="251">
        <v>3.4294240213641314</v>
      </c>
      <c r="Z723" s="251">
        <v>4.1024885489215777</v>
      </c>
      <c r="AA723" s="250">
        <v>8.8375914013320287</v>
      </c>
      <c r="AB723" s="250">
        <v>9.1464319610559937</v>
      </c>
      <c r="AC723" s="250">
        <v>10.298644818487725</v>
      </c>
      <c r="AD723" s="250">
        <v>11.438979192853148</v>
      </c>
      <c r="AE723" s="250">
        <v>13.684012492385071</v>
      </c>
      <c r="AF723" s="251">
        <v>3.1094610287216544</v>
      </c>
      <c r="AG723" s="251">
        <v>2.9922772313512556</v>
      </c>
      <c r="AH723" s="251">
        <v>3.1714653156425445</v>
      </c>
      <c r="AI723" s="251">
        <v>3.8989261040601697</v>
      </c>
      <c r="AJ723" s="251">
        <v>4.3249544882024535</v>
      </c>
      <c r="AK723" s="250">
        <v>9.6390326538157236</v>
      </c>
      <c r="AL723" s="250">
        <v>9.2579709170486133</v>
      </c>
      <c r="AM723" s="250">
        <v>10.143868184133751</v>
      </c>
      <c r="AN723" s="250">
        <v>11.481385377399858</v>
      </c>
      <c r="AO723" s="250">
        <v>13.579481841401575</v>
      </c>
      <c r="AP723" s="251">
        <v>18.540401541255996</v>
      </c>
      <c r="AQ723" s="251">
        <v>19.188318799418166</v>
      </c>
      <c r="AR723" s="251">
        <v>21.605548570253962</v>
      </c>
      <c r="AS723" s="251">
        <v>23.99785844654506</v>
      </c>
      <c r="AT723" s="251">
        <v>28.707718515493152</v>
      </c>
      <c r="AU723" s="250">
        <v>2.3023749475629423</v>
      </c>
      <c r="AV723" s="250">
        <v>4.5817294072716166</v>
      </c>
      <c r="AW723" s="251">
        <v>4.6047498951258845</v>
      </c>
      <c r="AX723" s="251">
        <v>9.1634588145432332</v>
      </c>
      <c r="AY723" s="250">
        <v>7.2739383202240804</v>
      </c>
      <c r="AZ723" s="250">
        <v>7.8103912713406061</v>
      </c>
      <c r="BA723" s="250">
        <v>10.538118141424636</v>
      </c>
      <c r="BB723" s="250">
        <v>11.147310475743401</v>
      </c>
      <c r="BC723" s="250">
        <v>12.729392060392138</v>
      </c>
      <c r="BD723" s="251">
        <v>6.8456006411889323</v>
      </c>
      <c r="BE723" s="251">
        <v>6.5876159065336317</v>
      </c>
      <c r="BF723" s="251">
        <v>8.7695585492969492</v>
      </c>
      <c r="BG723" s="251">
        <v>9.4032196176203158</v>
      </c>
      <c r="BH723" s="251">
        <v>9.5215572551245344</v>
      </c>
      <c r="BI723" s="250">
        <v>5.6979095474407044</v>
      </c>
      <c r="BJ723" s="250">
        <v>6.1181303765644559</v>
      </c>
      <c r="BK723" s="250">
        <v>8.2548464568547217</v>
      </c>
      <c r="BL723" s="250">
        <v>8.7320463814528804</v>
      </c>
      <c r="BM723" s="250">
        <v>9.9713417080212334</v>
      </c>
      <c r="BN723" s="251">
        <v>6.1648840747654496</v>
      </c>
      <c r="BO723" s="251">
        <v>5.9325529667192702</v>
      </c>
      <c r="BP723" s="251">
        <v>7.8975264081274741</v>
      </c>
      <c r="BQ723" s="251">
        <v>8.4681771418850182</v>
      </c>
      <c r="BR723" s="251">
        <v>8.5747474569141495</v>
      </c>
      <c r="BS723" s="250">
        <v>2.9819059964939676</v>
      </c>
      <c r="BT723" s="250">
        <v>3.2018215637353982</v>
      </c>
      <c r="BU723" s="250">
        <v>4.320036312420636</v>
      </c>
      <c r="BV723" s="250">
        <v>4.5697709396270065</v>
      </c>
      <c r="BW723" s="250">
        <v>5.2183354938644442</v>
      </c>
      <c r="BX723" s="251">
        <v>9.6242570042862514</v>
      </c>
      <c r="BY723" s="251">
        <v>10.334045958352361</v>
      </c>
      <c r="BZ723" s="251">
        <v>11.691757457450658</v>
      </c>
      <c r="CA723" s="251">
        <v>14.399918405376068</v>
      </c>
      <c r="CB723" s="251">
        <v>16.832617781093322</v>
      </c>
      <c r="CC723" s="250">
        <v>3.2262893324605852</v>
      </c>
      <c r="CD723" s="250">
        <v>3.1047027192497509</v>
      </c>
      <c r="CE723" s="250">
        <v>4.1330388202533781</v>
      </c>
      <c r="CF723" s="250">
        <v>4.4316793709198263</v>
      </c>
      <c r="CG723" s="250">
        <v>4.487451169118402</v>
      </c>
      <c r="CH723" s="251">
        <v>9.7622447890852033</v>
      </c>
      <c r="CI723" s="251">
        <v>9.3763120832133247</v>
      </c>
      <c r="CJ723" s="251">
        <v>10.273533442437913</v>
      </c>
      <c r="CK723" s="251">
        <v>11.6281476157912</v>
      </c>
      <c r="CL723" s="251">
        <v>13.753063259125049</v>
      </c>
      <c r="CM723" s="250">
        <v>20.190748960041081</v>
      </c>
      <c r="CN723" s="250">
        <v>21.679816695844117</v>
      </c>
      <c r="CO723" s="250">
        <v>24.528162498148227</v>
      </c>
      <c r="CP723" s="250">
        <v>30.209619032257482</v>
      </c>
      <c r="CQ723" s="250">
        <v>35.313184156139833</v>
      </c>
      <c r="CR723" s="246">
        <v>14.556766520409743</v>
      </c>
      <c r="CS723" s="246">
        <v>16.587764303590852</v>
      </c>
      <c r="CT723" s="246">
        <v>22.82129264749808</v>
      </c>
      <c r="CU723" s="246">
        <v>26.003936959649771</v>
      </c>
      <c r="CV723" s="246">
        <v>30.90977888047922</v>
      </c>
      <c r="CW723" s="252">
        <v>36.543950337256256</v>
      </c>
      <c r="CX723" s="252">
        <v>46.560440729422652</v>
      </c>
      <c r="CY723" s="252">
        <v>50.936909190363082</v>
      </c>
      <c r="CZ723" s="252">
        <v>55.295258866487849</v>
      </c>
      <c r="DA723" s="250">
        <v>11.573530504467888</v>
      </c>
      <c r="DB723" s="250">
        <v>13.188299468797352</v>
      </c>
      <c r="DC723" s="250">
        <v>18.144340381972054</v>
      </c>
      <c r="DD723" s="250">
        <v>20.674739628254287</v>
      </c>
      <c r="DE723" s="250">
        <v>24.575187646102805</v>
      </c>
      <c r="DF723" s="252">
        <v>33.21641900114831</v>
      </c>
      <c r="DG723" s="252">
        <v>42.320851847533241</v>
      </c>
      <c r="DH723" s="252">
        <v>47.878510068139704</v>
      </c>
      <c r="DI723" s="252">
        <v>51.975171843768074</v>
      </c>
      <c r="DJ723" s="251">
        <v>6.04540429907098</v>
      </c>
      <c r="DK723" s="251">
        <v>6.8888747712140654</v>
      </c>
      <c r="DL723" s="251">
        <v>9.4776501696379771</v>
      </c>
      <c r="DM723" s="251">
        <v>10.799397796772004</v>
      </c>
      <c r="DN723" s="251">
        <v>12.836786924169381</v>
      </c>
      <c r="DO723" s="252">
        <v>14.976224451517853</v>
      </c>
      <c r="DP723" s="252">
        <v>19.08112298999421</v>
      </c>
      <c r="DQ723" s="252">
        <v>21.01233780233644</v>
      </c>
      <c r="DR723" s="252">
        <v>22.810230864775402</v>
      </c>
      <c r="DS723" s="250">
        <v>40.741598573824916</v>
      </c>
      <c r="DT723" s="250">
        <v>46.425971973005019</v>
      </c>
      <c r="DU723" s="250">
        <v>63.872422675497944</v>
      </c>
      <c r="DV723" s="250">
        <v>72.780033908195051</v>
      </c>
      <c r="DW723" s="250">
        <v>86.510544865064432</v>
      </c>
      <c r="DX723" s="251">
        <v>19.571044870063655</v>
      </c>
      <c r="DY723" s="251">
        <v>27.108279477040877</v>
      </c>
      <c r="DZ723" s="251">
        <v>37.571079786223983</v>
      </c>
      <c r="EA723" s="250">
        <v>14.049967768390765</v>
      </c>
      <c r="EB723" s="250">
        <v>19.460915624977275</v>
      </c>
      <c r="EC723" s="250">
        <v>26.972114341607334</v>
      </c>
      <c r="ED723" s="256">
        <v>8.0990955685210206</v>
      </c>
      <c r="EE723" s="256">
        <v>11.218233244080084</v>
      </c>
      <c r="EF723" s="256">
        <v>15.548059279482237</v>
      </c>
      <c r="EG723" s="250">
        <v>54.359234879787664</v>
      </c>
      <c r="EH723" s="250">
        <v>75.294157315709995</v>
      </c>
      <c r="EI723" s="250">
        <v>104.3549368133429</v>
      </c>
    </row>
  </sheetData>
  <mergeCells count="118">
    <mergeCell ref="A145:A202"/>
    <mergeCell ref="F194:G194"/>
    <mergeCell ref="F195:G195"/>
    <mergeCell ref="F196:G196"/>
    <mergeCell ref="F197:G197"/>
    <mergeCell ref="F198:G198"/>
    <mergeCell ref="F199:G199"/>
    <mergeCell ref="F200:G200"/>
    <mergeCell ref="F201:G201"/>
    <mergeCell ref="F202:G202"/>
    <mergeCell ref="F158:G158"/>
    <mergeCell ref="F171:G171"/>
    <mergeCell ref="F166:G166"/>
    <mergeCell ref="F167:G167"/>
    <mergeCell ref="F168:G168"/>
    <mergeCell ref="F176:G176"/>
    <mergeCell ref="F177:G177"/>
    <mergeCell ref="F179:G179"/>
    <mergeCell ref="F180:G180"/>
    <mergeCell ref="F181:G181"/>
    <mergeCell ref="F175:G175"/>
    <mergeCell ref="F172:G172"/>
    <mergeCell ref="A115:B115"/>
    <mergeCell ref="A116:A119"/>
    <mergeCell ref="M122:N122"/>
    <mergeCell ref="A123:B123"/>
    <mergeCell ref="M123:N123"/>
    <mergeCell ref="A96:A98"/>
    <mergeCell ref="A56:A60"/>
    <mergeCell ref="A61:A65"/>
    <mergeCell ref="A66:A69"/>
    <mergeCell ref="A71:G71"/>
    <mergeCell ref="A72:B72"/>
    <mergeCell ref="A73:A81"/>
    <mergeCell ref="A99:A101"/>
    <mergeCell ref="A102:A104"/>
    <mergeCell ref="D107:G107"/>
    <mergeCell ref="H107:K107"/>
    <mergeCell ref="A108:B108"/>
    <mergeCell ref="A109:A112"/>
    <mergeCell ref="M116:M119"/>
    <mergeCell ref="H122:K122"/>
    <mergeCell ref="M109:M112"/>
    <mergeCell ref="D122:G122"/>
    <mergeCell ref="A6:I6"/>
    <mergeCell ref="A20:B20"/>
    <mergeCell ref="A82:A90"/>
    <mergeCell ref="A91:A92"/>
    <mergeCell ref="A95:B95"/>
    <mergeCell ref="A46:A50"/>
    <mergeCell ref="A51:A55"/>
    <mergeCell ref="D114:G114"/>
    <mergeCell ref="H114:K114"/>
    <mergeCell ref="A9:B9"/>
    <mergeCell ref="A10:A13"/>
    <mergeCell ref="A14:A16"/>
    <mergeCell ref="A21:A25"/>
    <mergeCell ref="A26:A30"/>
    <mergeCell ref="A31:A35"/>
    <mergeCell ref="A36:A40"/>
    <mergeCell ref="A41:A45"/>
    <mergeCell ref="H208:K208"/>
    <mergeCell ref="A143:G143"/>
    <mergeCell ref="A144:B144"/>
    <mergeCell ref="F144:G144"/>
    <mergeCell ref="F145:G145"/>
    <mergeCell ref="F146:G146"/>
    <mergeCell ref="A124:A126"/>
    <mergeCell ref="F147:G147"/>
    <mergeCell ref="F148:G148"/>
    <mergeCell ref="F149:G149"/>
    <mergeCell ref="A135:B135"/>
    <mergeCell ref="A127:A131"/>
    <mergeCell ref="A136:A140"/>
    <mergeCell ref="F154:G154"/>
    <mergeCell ref="F153:G153"/>
    <mergeCell ref="F182:G182"/>
    <mergeCell ref="F161:G161"/>
    <mergeCell ref="F159:G159"/>
    <mergeCell ref="F150:G150"/>
    <mergeCell ref="F151:G151"/>
    <mergeCell ref="F152:G152"/>
    <mergeCell ref="F155:G155"/>
    <mergeCell ref="F156:G156"/>
    <mergeCell ref="F160:G160"/>
    <mergeCell ref="A213:A217"/>
    <mergeCell ref="F163:G163"/>
    <mergeCell ref="F165:G165"/>
    <mergeCell ref="F169:G169"/>
    <mergeCell ref="F173:G173"/>
    <mergeCell ref="F174:G174"/>
    <mergeCell ref="F157:G157"/>
    <mergeCell ref="F178:G178"/>
    <mergeCell ref="F164:G164"/>
    <mergeCell ref="F183:G183"/>
    <mergeCell ref="A210:A212"/>
    <mergeCell ref="F185:G185"/>
    <mergeCell ref="F184:G184"/>
    <mergeCell ref="F192:G192"/>
    <mergeCell ref="F193:G193"/>
    <mergeCell ref="F186:G186"/>
    <mergeCell ref="F187:G187"/>
    <mergeCell ref="F188:G188"/>
    <mergeCell ref="F189:G189"/>
    <mergeCell ref="F190:G190"/>
    <mergeCell ref="F191:G191"/>
    <mergeCell ref="D208:G208"/>
    <mergeCell ref="F162:G162"/>
    <mergeCell ref="F170:G170"/>
    <mergeCell ref="D408:G408"/>
    <mergeCell ref="H408:K408"/>
    <mergeCell ref="A410:A412"/>
    <mergeCell ref="A413:A417"/>
    <mergeCell ref="A424:C424"/>
    <mergeCell ref="H622:I622"/>
    <mergeCell ref="A649:F649"/>
    <mergeCell ref="A296:A297"/>
    <mergeCell ref="A298:A299"/>
  </mergeCells>
  <phoneticPr fontId="193" type="noConversion"/>
  <conditionalFormatting sqref="V21:X23 V46:X69 T145:T202 U109:U112 N106:N109 U116:U119 N113:N116">
    <cfRule type="cellIs" dxfId="72" priority="11" operator="greaterThan">
      <formula>0.25</formula>
    </cfRule>
    <cfRule type="cellIs" dxfId="71" priority="12" operator="greaterThan">
      <formula>0.1</formula>
    </cfRule>
    <cfRule type="cellIs" dxfId="70" priority="13" operator="greaterThan">
      <formula>10</formula>
    </cfRule>
  </conditionalFormatting>
  <conditionalFormatting sqref="T74:T93">
    <cfRule type="cellIs" dxfId="69" priority="8" operator="greaterThan">
      <formula>0.25</formula>
    </cfRule>
    <cfRule type="cellIs" dxfId="68" priority="9" operator="greaterThan">
      <formula>0.1</formula>
    </cfRule>
    <cfRule type="cellIs" dxfId="67" priority="10" operator="greaterThan">
      <formula>10</formula>
    </cfRule>
  </conditionalFormatting>
  <conditionalFormatting sqref="T97:T105">
    <cfRule type="cellIs" dxfId="66" priority="5" operator="greaterThan">
      <formula>0.25</formula>
    </cfRule>
    <cfRule type="cellIs" dxfId="65" priority="6" operator="greaterThan">
      <formula>0.1</formula>
    </cfRule>
    <cfRule type="cellIs" dxfId="64" priority="7" operator="greaterThan">
      <formula>10</formula>
    </cfRule>
  </conditionalFormatting>
  <conditionalFormatting sqref="U124:V131">
    <cfRule type="cellIs" dxfId="63" priority="4" operator="lessThan">
      <formula>-0.1</formula>
    </cfRule>
  </conditionalFormatting>
  <conditionalFormatting sqref="AF25:AH25">
    <cfRule type="cellIs" dxfId="62" priority="1" operator="greaterThan">
      <formula>0.25</formula>
    </cfRule>
    <cfRule type="cellIs" dxfId="61" priority="2" operator="greaterThan">
      <formula>0.1</formula>
    </cfRule>
    <cfRule type="cellIs" dxfId="60" priority="3" operator="greaterThan">
      <formula>10</formula>
    </cfRule>
  </conditionalFormatting>
  <hyperlinks>
    <hyperlink ref="B608" r:id="rId1" xr:uid="{3D4488EA-7AAD-466C-98C6-B165347EBB40}"/>
  </hyperlinks>
  <pageMargins left="0.7" right="0.7" top="0.75" bottom="0.75" header="0.3" footer="0.3"/>
  <pageSetup paperSize="9" orientation="portrait"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8" tint="-0.499984740745262"/>
  </sheetPr>
  <dimension ref="A1:BC209"/>
  <sheetViews>
    <sheetView tabSelected="1" topLeftCell="A115" workbookViewId="0">
      <selection activeCell="D135" sqref="D135"/>
    </sheetView>
  </sheetViews>
  <sheetFormatPr defaultColWidth="9.140625" defaultRowHeight="15"/>
  <cols>
    <col min="1" max="1" width="21.7109375" style="166" customWidth="1"/>
    <col min="2" max="2" width="23.5703125" style="62" customWidth="1"/>
    <col min="3" max="3" width="16.85546875" style="166" customWidth="1"/>
    <col min="4" max="4" width="21.85546875" customWidth="1"/>
    <col min="5" max="5" width="26.28515625" customWidth="1"/>
    <col min="6" max="7" width="25.140625" customWidth="1"/>
    <col min="8" max="8" width="23.42578125" customWidth="1"/>
    <col min="9" max="18" width="20.42578125" customWidth="1"/>
  </cols>
  <sheetData>
    <row r="1" spans="1:18" ht="31.5">
      <c r="A1" s="1446" t="s">
        <v>63</v>
      </c>
    </row>
    <row r="2" spans="1:18" ht="23.25">
      <c r="A2" s="1447" t="s">
        <v>1687</v>
      </c>
    </row>
    <row r="3" spans="1:18">
      <c r="A3" s="1448"/>
    </row>
    <row r="4" spans="1:18">
      <c r="A4" s="166" t="s">
        <v>421</v>
      </c>
    </row>
    <row r="6" spans="1:18" ht="31.5">
      <c r="A6" s="1446" t="s">
        <v>1188</v>
      </c>
    </row>
    <row r="7" spans="1:18">
      <c r="A7" s="1820" t="s">
        <v>66</v>
      </c>
      <c r="B7" s="1820"/>
      <c r="C7" s="1820"/>
      <c r="D7" s="1820"/>
      <c r="E7" s="1820"/>
      <c r="F7" s="1820"/>
      <c r="G7" s="1820"/>
      <c r="H7" s="1820"/>
      <c r="I7" s="1820"/>
      <c r="J7" s="1820"/>
      <c r="K7" s="1820"/>
      <c r="L7" s="1820"/>
      <c r="M7" s="1820"/>
      <c r="N7" s="1820"/>
      <c r="O7" s="1820"/>
      <c r="P7" s="1820"/>
      <c r="Q7" s="1820"/>
      <c r="R7" s="1820"/>
    </row>
    <row r="8" spans="1:18" ht="19.5" customHeight="1">
      <c r="A8" s="1856" t="s">
        <v>433</v>
      </c>
      <c r="B8" s="1907"/>
      <c r="C8" s="1907"/>
      <c r="D8" s="1907"/>
      <c r="E8" s="1907"/>
      <c r="F8" s="1907"/>
      <c r="G8" s="1907"/>
      <c r="H8" s="1907"/>
      <c r="I8" s="1907"/>
      <c r="J8" s="1907"/>
      <c r="K8" s="1907"/>
      <c r="L8" s="1907"/>
      <c r="M8" s="1907"/>
      <c r="N8" s="1907"/>
      <c r="O8" s="1907"/>
      <c r="P8" s="1907"/>
      <c r="Q8" s="1907"/>
      <c r="R8" s="1908"/>
    </row>
    <row r="9" spans="1:18" ht="19.5" customHeight="1">
      <c r="A9" s="499"/>
      <c r="B9" s="499"/>
      <c r="C9" s="499"/>
      <c r="D9" s="499"/>
      <c r="E9" s="1449"/>
      <c r="F9" s="1449"/>
      <c r="G9" s="1449"/>
      <c r="H9" s="1449"/>
      <c r="I9" s="499"/>
    </row>
    <row r="10" spans="1:18" ht="19.5" customHeight="1">
      <c r="A10" s="2067" t="s">
        <v>1688</v>
      </c>
      <c r="B10" s="2067"/>
      <c r="C10" s="2067"/>
      <c r="D10" s="2061"/>
      <c r="E10" s="1375" t="s">
        <v>59</v>
      </c>
      <c r="F10" s="485" t="s">
        <v>425</v>
      </c>
      <c r="G10" s="485" t="s">
        <v>426</v>
      </c>
      <c r="H10" s="485" t="s">
        <v>427</v>
      </c>
      <c r="I10" s="499"/>
    </row>
    <row r="11" spans="1:18" ht="19.5" customHeight="1">
      <c r="A11" s="2068"/>
      <c r="B11" s="2068"/>
      <c r="C11" s="2068"/>
      <c r="D11" s="2062"/>
      <c r="E11" s="1450">
        <f>E78+E104+E118+E129+E153+E23+N129+N153+E207+E139+N139</f>
        <v>0</v>
      </c>
      <c r="F11" s="1451">
        <f>F78+F104+F118+F129+F153+F23+O129+O153+E207+F139+O139</f>
        <v>0</v>
      </c>
      <c r="G11" s="1451">
        <f>G78+G104+G118+G129+G153+G23+P129+P153+G139+P139</f>
        <v>0</v>
      </c>
      <c r="H11" s="1451">
        <f>H78+H104+H118+H129+H153+H23+Q129+Q153+H139+Q139</f>
        <v>0</v>
      </c>
      <c r="I11" s="499"/>
    </row>
    <row r="12" spans="1:18" ht="19.5" customHeight="1">
      <c r="H12" s="499"/>
      <c r="I12" s="499"/>
    </row>
    <row r="13" spans="1:18" ht="16.5" customHeight="1">
      <c r="A13" s="2063" t="s">
        <v>1189</v>
      </c>
      <c r="B13" s="2064"/>
      <c r="C13" s="2064"/>
      <c r="D13" s="2064"/>
      <c r="E13" s="2065"/>
      <c r="F13" s="2065"/>
      <c r="G13" s="2065"/>
      <c r="H13" s="1869"/>
      <c r="I13" s="499"/>
    </row>
    <row r="14" spans="1:18" ht="16.5" customHeight="1">
      <c r="A14" s="2066"/>
      <c r="B14" s="2066"/>
      <c r="C14" s="2066"/>
      <c r="D14" s="2066"/>
      <c r="E14" s="1891" t="s">
        <v>423</v>
      </c>
      <c r="F14" s="1891"/>
      <c r="G14" s="1891"/>
      <c r="H14" s="1891"/>
      <c r="I14" s="499"/>
    </row>
    <row r="15" spans="1:18" ht="18.75" thickBot="1">
      <c r="A15" s="1981" t="s">
        <v>69</v>
      </c>
      <c r="B15" s="1981"/>
      <c r="C15" s="1397" t="s">
        <v>70</v>
      </c>
      <c r="D15" s="1377" t="s">
        <v>424</v>
      </c>
      <c r="E15" s="1375" t="s">
        <v>59</v>
      </c>
      <c r="F15" s="485" t="s">
        <v>425</v>
      </c>
      <c r="G15" s="485" t="s">
        <v>426</v>
      </c>
      <c r="H15" s="485" t="s">
        <v>427</v>
      </c>
    </row>
    <row r="16" spans="1:18" ht="17.25" customHeight="1" thickBot="1">
      <c r="A16" s="2039" t="s">
        <v>1190</v>
      </c>
      <c r="B16" s="813" t="s">
        <v>1191</v>
      </c>
      <c r="C16" s="813" t="s">
        <v>1689</v>
      </c>
      <c r="D16" s="529"/>
      <c r="E16" s="1361">
        <f>SUM(F16:H16)</f>
        <v>0</v>
      </c>
      <c r="F16" s="1452">
        <f>$D$16*'[1]Travel 2022'!E10</f>
        <v>0</v>
      </c>
      <c r="G16" s="1452">
        <f>$D$16*'[1]Travel 2022'!F10</f>
        <v>0</v>
      </c>
      <c r="H16" s="1452">
        <f>$D$16*'[1]Travel 2022'!G10</f>
        <v>0</v>
      </c>
      <c r="I16" s="499"/>
    </row>
    <row r="17" spans="1:18" ht="15.75" thickBot="1">
      <c r="A17" s="2039"/>
      <c r="B17" s="813" t="s">
        <v>1193</v>
      </c>
      <c r="C17" s="813" t="s">
        <v>1689</v>
      </c>
      <c r="D17" s="529"/>
      <c r="E17" s="1361">
        <f t="shared" ref="E17:E22" si="0">SUM(F17:H17)</f>
        <v>0</v>
      </c>
      <c r="F17" s="1452">
        <f>$D$17*'[1]Travel 2022'!E11</f>
        <v>0</v>
      </c>
      <c r="G17" s="1452">
        <f>$D$17*'[1]Travel 2022'!F11</f>
        <v>0</v>
      </c>
      <c r="H17" s="1452">
        <f>$D$17*'[1]Travel 2022'!G11</f>
        <v>0</v>
      </c>
    </row>
    <row r="18" spans="1:18" ht="15" customHeight="1" thickBot="1">
      <c r="A18" s="2039"/>
      <c r="B18" s="813" t="s">
        <v>1195</v>
      </c>
      <c r="C18" s="813" t="s">
        <v>1689</v>
      </c>
      <c r="D18" s="529"/>
      <c r="E18" s="1361">
        <f t="shared" si="0"/>
        <v>0</v>
      </c>
      <c r="F18" s="1452">
        <f>$D$18*'[1]Travel 2022'!E12</f>
        <v>0</v>
      </c>
      <c r="G18" s="1452">
        <f>$D$18*'[1]Travel 2022'!F12</f>
        <v>0</v>
      </c>
      <c r="H18" s="1452">
        <f>$D$18*'[1]Travel 2022'!G12</f>
        <v>0</v>
      </c>
      <c r="I18" s="499"/>
    </row>
    <row r="19" spans="1:18" ht="15.75" thickBot="1">
      <c r="A19" s="2039"/>
      <c r="B19" s="813" t="s">
        <v>1196</v>
      </c>
      <c r="C19" s="813" t="s">
        <v>1689</v>
      </c>
      <c r="D19" s="529"/>
      <c r="E19" s="1361">
        <f t="shared" si="0"/>
        <v>0</v>
      </c>
      <c r="F19" s="1452">
        <f>$D$19*'[1]Travel 2022'!E13</f>
        <v>0</v>
      </c>
      <c r="G19" s="1452">
        <f>$D$19*'[1]Travel 2022'!F13</f>
        <v>0</v>
      </c>
      <c r="H19" s="1452">
        <f>$D$19*'[1]Travel 2022'!G13</f>
        <v>0</v>
      </c>
    </row>
    <row r="20" spans="1:18" ht="15.75" customHeight="1" thickBot="1">
      <c r="A20" s="2039" t="s">
        <v>1197</v>
      </c>
      <c r="B20" s="813" t="s">
        <v>1198</v>
      </c>
      <c r="C20" s="813" t="s">
        <v>1689</v>
      </c>
      <c r="D20" s="529"/>
      <c r="E20" s="1361">
        <f t="shared" si="0"/>
        <v>0</v>
      </c>
      <c r="F20" s="1452">
        <f>$D$20*'[1]Travel 2022'!E14</f>
        <v>0</v>
      </c>
      <c r="G20" s="1452">
        <f>$D$20*'[1]Travel 2022'!F14</f>
        <v>0</v>
      </c>
      <c r="H20" s="1452">
        <f>$D$20*'[1]Travel 2022'!G14</f>
        <v>0</v>
      </c>
      <c r="I20" s="499"/>
    </row>
    <row r="21" spans="1:18" ht="15.75" thickBot="1">
      <c r="A21" s="2039"/>
      <c r="B21" s="813" t="s">
        <v>1199</v>
      </c>
      <c r="C21" s="813" t="s">
        <v>1689</v>
      </c>
      <c r="D21" s="529"/>
      <c r="E21" s="1361">
        <f t="shared" si="0"/>
        <v>0</v>
      </c>
      <c r="F21" s="1452">
        <f>$D$21*'[1]Travel 2022'!E15</f>
        <v>0</v>
      </c>
      <c r="G21" s="1452">
        <f>$D$21*'[1]Travel 2022'!F15</f>
        <v>0</v>
      </c>
      <c r="H21" s="1452">
        <f>$D$21*'[1]Travel 2022'!G15</f>
        <v>0</v>
      </c>
    </row>
    <row r="22" spans="1:18" ht="15" customHeight="1">
      <c r="A22" s="2039"/>
      <c r="B22" s="813" t="s">
        <v>1200</v>
      </c>
      <c r="C22" s="813" t="s">
        <v>1689</v>
      </c>
      <c r="D22" s="1341"/>
      <c r="E22" s="1361">
        <f t="shared" si="0"/>
        <v>0</v>
      </c>
      <c r="F22" s="1452">
        <f>$D$22*'[1]Travel 2022'!E16</f>
        <v>0</v>
      </c>
      <c r="G22" s="1452">
        <f>$D$22*'[1]Travel 2022'!F16</f>
        <v>0</v>
      </c>
      <c r="H22" s="1452">
        <f>$D$22*'[1]Travel 2022'!G16</f>
        <v>0</v>
      </c>
      <c r="I22" s="499"/>
    </row>
    <row r="23" spans="1:18">
      <c r="D23" s="1444" t="s">
        <v>247</v>
      </c>
      <c r="E23" s="1378">
        <f>SUM(E16:E22)</f>
        <v>0</v>
      </c>
      <c r="F23" s="1453">
        <f t="shared" ref="F23:H23" si="1">SUM(F16:F22)</f>
        <v>0</v>
      </c>
      <c r="G23" s="1453">
        <f t="shared" si="1"/>
        <v>0</v>
      </c>
      <c r="H23" s="1453">
        <f t="shared" si="1"/>
        <v>0</v>
      </c>
    </row>
    <row r="25" spans="1:18">
      <c r="A25" s="2055" t="s">
        <v>1201</v>
      </c>
      <c r="B25" s="2056"/>
      <c r="C25" s="2056"/>
      <c r="D25" s="2056"/>
      <c r="E25" s="2056"/>
      <c r="F25" s="2056"/>
      <c r="G25" s="2056"/>
      <c r="H25" s="2056"/>
      <c r="I25" s="2056"/>
      <c r="J25" s="2056"/>
      <c r="K25" s="2056"/>
      <c r="L25" s="2056"/>
      <c r="M25" s="2056"/>
      <c r="N25" s="2056"/>
      <c r="O25" s="2056"/>
      <c r="P25" s="2056"/>
      <c r="Q25" s="2056"/>
      <c r="R25" s="2057"/>
    </row>
    <row r="26" spans="1:18">
      <c r="A26" s="1454"/>
      <c r="B26" s="1455"/>
      <c r="C26" s="1456"/>
      <c r="D26" s="2058" t="s">
        <v>1202</v>
      </c>
      <c r="E26" s="2059"/>
      <c r="F26" s="2059"/>
      <c r="G26" s="2059"/>
      <c r="H26" s="2060"/>
      <c r="I26" s="2058" t="s">
        <v>1690</v>
      </c>
      <c r="J26" s="2059"/>
      <c r="K26" s="2059"/>
      <c r="L26" s="2059"/>
      <c r="M26" s="2060"/>
      <c r="N26" s="2058" t="s">
        <v>1204</v>
      </c>
      <c r="O26" s="2059"/>
      <c r="P26" s="2059"/>
      <c r="Q26" s="2059"/>
      <c r="R26" s="2059"/>
    </row>
    <row r="27" spans="1:18">
      <c r="A27" s="1454"/>
      <c r="B27" s="1455"/>
      <c r="C27" s="1456"/>
      <c r="D27" s="172"/>
      <c r="E27" s="1890" t="s">
        <v>423</v>
      </c>
      <c r="F27" s="1891"/>
      <c r="G27" s="1891"/>
      <c r="H27" s="1891"/>
      <c r="I27" s="172"/>
      <c r="J27" s="1890" t="s">
        <v>423</v>
      </c>
      <c r="K27" s="1891"/>
      <c r="L27" s="1891"/>
      <c r="M27" s="1891"/>
      <c r="N27" s="172"/>
      <c r="O27" s="1890" t="s">
        <v>423</v>
      </c>
      <c r="P27" s="1891"/>
      <c r="Q27" s="1891"/>
      <c r="R27" s="1891"/>
    </row>
    <row r="28" spans="1:18" ht="18.75" customHeight="1" thickBot="1">
      <c r="A28" s="1892" t="s">
        <v>69</v>
      </c>
      <c r="B28" s="1893"/>
      <c r="C28" s="1373" t="s">
        <v>70</v>
      </c>
      <c r="D28" s="1457" t="s">
        <v>424</v>
      </c>
      <c r="E28" s="1458" t="s">
        <v>59</v>
      </c>
      <c r="F28" s="1459" t="s">
        <v>425</v>
      </c>
      <c r="G28" s="1459" t="s">
        <v>426</v>
      </c>
      <c r="H28" s="1459" t="s">
        <v>427</v>
      </c>
      <c r="I28" s="1457" t="s">
        <v>424</v>
      </c>
      <c r="J28" s="1458" t="s">
        <v>59</v>
      </c>
      <c r="K28" s="1459" t="s">
        <v>425</v>
      </c>
      <c r="L28" s="1459" t="s">
        <v>426</v>
      </c>
      <c r="M28" s="1459" t="s">
        <v>427</v>
      </c>
      <c r="N28" s="1457" t="s">
        <v>424</v>
      </c>
      <c r="O28" s="1458" t="s">
        <v>59</v>
      </c>
      <c r="P28" s="1459" t="s">
        <v>425</v>
      </c>
      <c r="Q28" s="1459" t="s">
        <v>426</v>
      </c>
      <c r="R28" s="1459" t="s">
        <v>427</v>
      </c>
    </row>
    <row r="29" spans="1:18" ht="15.75" thickBot="1">
      <c r="A29" s="1894" t="s">
        <v>1209</v>
      </c>
      <c r="B29" s="169" t="s">
        <v>1210</v>
      </c>
      <c r="C29" s="137" t="s">
        <v>1211</v>
      </c>
      <c r="D29" s="529"/>
      <c r="E29" s="1378">
        <f>SUM(F29:H29)</f>
        <v>0</v>
      </c>
      <c r="F29" s="1379">
        <f>D29*'[1]Travel 2022'!E21</f>
        <v>0</v>
      </c>
      <c r="G29" s="1379">
        <f>D29*'[1]Travel 2022'!F21</f>
        <v>0</v>
      </c>
      <c r="H29" s="1380">
        <f>D29*'[1]Travel 2022'!G21</f>
        <v>0</v>
      </c>
      <c r="I29" s="529"/>
      <c r="J29" s="1378">
        <f>SUM(K29:M29)</f>
        <v>0</v>
      </c>
      <c r="K29" s="1379">
        <f>$I$29*'[1]Travel 2022'!I21</f>
        <v>0</v>
      </c>
      <c r="L29" s="1379">
        <f>$I$29*'[1]Travel 2022'!J21</f>
        <v>0</v>
      </c>
      <c r="M29" s="1379">
        <f>$I$29*'[1]Travel 2022'!K21</f>
        <v>0</v>
      </c>
      <c r="N29" s="529"/>
      <c r="O29" s="1378">
        <f>SUM(P29:R29)</f>
        <v>0</v>
      </c>
      <c r="P29" s="1379">
        <f>$N$29*'[1]Travel 2022'!M21</f>
        <v>0</v>
      </c>
      <c r="Q29" s="1379">
        <f>$N$29*'[1]Travel 2022'!N21</f>
        <v>0</v>
      </c>
      <c r="R29" s="1379">
        <f>$N$29*'[1]Travel 2022'!O21</f>
        <v>0</v>
      </c>
    </row>
    <row r="30" spans="1:18" ht="15.75" thickBot="1">
      <c r="A30" s="1894"/>
      <c r="B30" s="169" t="s">
        <v>1691</v>
      </c>
      <c r="C30" s="137" t="s">
        <v>1211</v>
      </c>
      <c r="D30" s="529"/>
      <c r="E30" s="1378">
        <f t="shared" ref="E30:E43" si="2">SUM(F30:H30)</f>
        <v>0</v>
      </c>
      <c r="F30" s="1379">
        <f>D30*'[1]Travel 2022'!E22</f>
        <v>0</v>
      </c>
      <c r="G30" s="1379">
        <f>D30*'[1]Travel 2022'!F22</f>
        <v>0</v>
      </c>
      <c r="H30" s="1380">
        <f>D30*'[1]Travel 2022'!G22</f>
        <v>0</v>
      </c>
      <c r="I30" s="529"/>
      <c r="J30" s="1378">
        <f t="shared" ref="J30:J77" si="3">SUM(K30:M30)</f>
        <v>0</v>
      </c>
      <c r="K30" s="1379">
        <f>$I$30*'[1]Travel 2022'!I22</f>
        <v>0</v>
      </c>
      <c r="L30" s="1379">
        <f>$I$30*'[1]Travel 2022'!J22</f>
        <v>0</v>
      </c>
      <c r="M30" s="1379">
        <f>$I$30*'[1]Travel 2022'!K22</f>
        <v>0</v>
      </c>
      <c r="N30" s="529"/>
      <c r="O30" s="1378">
        <f t="shared" ref="O30:O77" si="4">SUM(P30:R30)</f>
        <v>0</v>
      </c>
      <c r="P30" s="1379">
        <f>$N$30*'[1]Travel 2022'!M22</f>
        <v>0</v>
      </c>
      <c r="Q30" s="1379">
        <f>$N$30*'[1]Travel 2022'!N22</f>
        <v>0</v>
      </c>
      <c r="R30" s="1379">
        <f>$N$30*'[1]Travel 2022'!O22</f>
        <v>0</v>
      </c>
    </row>
    <row r="31" spans="1:18" ht="15.75" thickBot="1">
      <c r="A31" s="1894"/>
      <c r="B31" s="169" t="s">
        <v>1692</v>
      </c>
      <c r="C31" s="137" t="s">
        <v>1211</v>
      </c>
      <c r="D31" s="529"/>
      <c r="E31" s="1378">
        <f t="shared" si="2"/>
        <v>0</v>
      </c>
      <c r="F31" s="1379">
        <f>D31*'[1]Travel 2022'!E23</f>
        <v>0</v>
      </c>
      <c r="G31" s="1379">
        <f>D31*'[1]Travel 2022'!F23</f>
        <v>0</v>
      </c>
      <c r="H31" s="1380">
        <f>D31*'[1]Travel 2022'!G23</f>
        <v>0</v>
      </c>
      <c r="I31" s="529"/>
      <c r="J31" s="1378">
        <f t="shared" si="3"/>
        <v>0</v>
      </c>
      <c r="K31" s="1379">
        <f>$I$31*'[1]Travel 2022'!I23</f>
        <v>0</v>
      </c>
      <c r="L31" s="1379">
        <f>$I$31*'[1]Travel 2022'!J23</f>
        <v>0</v>
      </c>
      <c r="M31" s="1379">
        <f>$I$31*'[1]Travel 2022'!K23</f>
        <v>0</v>
      </c>
      <c r="N31" s="529"/>
      <c r="O31" s="1378">
        <f t="shared" si="4"/>
        <v>0</v>
      </c>
      <c r="P31" s="1379">
        <f>$N$31*'[1]Travel 2022'!M23</f>
        <v>0</v>
      </c>
      <c r="Q31" s="1379">
        <f>$N$31*'[1]Travel 2022'!N23</f>
        <v>0</v>
      </c>
      <c r="R31" s="1379">
        <f>$N$31*'[1]Travel 2022'!O23</f>
        <v>0</v>
      </c>
    </row>
    <row r="32" spans="1:18" ht="15.75" thickBot="1">
      <c r="A32" s="1894"/>
      <c r="B32" s="169" t="s">
        <v>1214</v>
      </c>
      <c r="C32" s="137" t="s">
        <v>1211</v>
      </c>
      <c r="D32" s="529"/>
      <c r="E32" s="1378">
        <f t="shared" si="2"/>
        <v>0</v>
      </c>
      <c r="F32" s="1379">
        <f>D32*'[1]Travel 2022'!E24</f>
        <v>0</v>
      </c>
      <c r="G32" s="1379">
        <f>D32*'[1]Travel 2022'!F24</f>
        <v>0</v>
      </c>
      <c r="H32" s="1380">
        <f>D32*'[1]Travel 2022'!G24</f>
        <v>0</v>
      </c>
      <c r="I32" s="529"/>
      <c r="J32" s="1378">
        <f t="shared" si="3"/>
        <v>0</v>
      </c>
      <c r="K32" s="1379">
        <f>$I$32*'[1]Travel 2022'!I24</f>
        <v>0</v>
      </c>
      <c r="L32" s="1379">
        <f>$I$32*'[1]Travel 2022'!J24</f>
        <v>0</v>
      </c>
      <c r="M32" s="1379">
        <f>$I$32*'[1]Travel 2022'!K24</f>
        <v>0</v>
      </c>
      <c r="N32" s="529"/>
      <c r="O32" s="1378">
        <f t="shared" si="4"/>
        <v>0</v>
      </c>
      <c r="P32" s="1379">
        <f>$N$32*'[1]Travel 2022'!M24</f>
        <v>0</v>
      </c>
      <c r="Q32" s="1379">
        <f>$N$32*'[1]Travel 2022'!N24</f>
        <v>0</v>
      </c>
      <c r="R32" s="1379">
        <f>$N$32*'[1]Travel 2022'!O24</f>
        <v>0</v>
      </c>
    </row>
    <row r="33" spans="1:18" ht="15.75" thickBot="1">
      <c r="A33" s="1894"/>
      <c r="B33" s="1460" t="s">
        <v>1215</v>
      </c>
      <c r="C33" s="137" t="s">
        <v>1211</v>
      </c>
      <c r="D33" s="529"/>
      <c r="E33" s="1378">
        <f t="shared" si="2"/>
        <v>0</v>
      </c>
      <c r="F33" s="1379">
        <f>D33*'[1]Travel 2022'!E25</f>
        <v>0</v>
      </c>
      <c r="G33" s="1379">
        <f>D33*'[1]Travel 2022'!F25</f>
        <v>0</v>
      </c>
      <c r="H33" s="1380">
        <f>D33*'[1]Travel 2022'!G25</f>
        <v>0</v>
      </c>
      <c r="I33" s="529"/>
      <c r="J33" s="1378">
        <f t="shared" si="3"/>
        <v>0</v>
      </c>
      <c r="K33" s="1379">
        <f>$I$33*'[1]Travel 2022'!I25</f>
        <v>0</v>
      </c>
      <c r="L33" s="1379">
        <f>$I$33*'[1]Travel 2022'!J25</f>
        <v>0</v>
      </c>
      <c r="M33" s="1379">
        <f>$I$33*'[1]Travel 2022'!K25</f>
        <v>0</v>
      </c>
      <c r="N33" s="529"/>
      <c r="O33" s="1378">
        <f t="shared" si="4"/>
        <v>0</v>
      </c>
      <c r="P33" s="1379">
        <f>$N$33*'[1]Travel 2022'!M25</f>
        <v>0</v>
      </c>
      <c r="Q33" s="1379">
        <f>$N$33*'[1]Travel 2022'!N25</f>
        <v>0</v>
      </c>
      <c r="R33" s="1379">
        <f>$N$33*'[1]Travel 2022'!O25</f>
        <v>0</v>
      </c>
    </row>
    <row r="34" spans="1:18" ht="15.75" thickBot="1">
      <c r="A34" s="1894" t="s">
        <v>1216</v>
      </c>
      <c r="B34" s="169" t="s">
        <v>1210</v>
      </c>
      <c r="C34" s="137" t="s">
        <v>1211</v>
      </c>
      <c r="D34" s="529"/>
      <c r="E34" s="1378">
        <f t="shared" si="2"/>
        <v>0</v>
      </c>
      <c r="F34" s="1379">
        <f>D34*'[1]Travel 2022'!E26</f>
        <v>0</v>
      </c>
      <c r="G34" s="1379">
        <f>D34*'[1]Travel 2022'!F26</f>
        <v>0</v>
      </c>
      <c r="H34" s="1380">
        <f>D34*'[1]Travel 2022'!G26</f>
        <v>0</v>
      </c>
      <c r="I34" s="529"/>
      <c r="J34" s="1378">
        <f t="shared" si="3"/>
        <v>0</v>
      </c>
      <c r="K34" s="1379">
        <f>$I$34*'[1]Travel 2022'!I26</f>
        <v>0</v>
      </c>
      <c r="L34" s="1379">
        <f>$I$34*'[1]Travel 2022'!J26</f>
        <v>0</v>
      </c>
      <c r="M34" s="1379">
        <f>$I$34*'[1]Travel 2022'!K26</f>
        <v>0</v>
      </c>
      <c r="N34" s="529"/>
      <c r="O34" s="1378">
        <f t="shared" si="4"/>
        <v>0</v>
      </c>
      <c r="P34" s="1379">
        <f>$N$34*'[1]Travel 2022'!M26</f>
        <v>0</v>
      </c>
      <c r="Q34" s="1379">
        <f>$N$34*'[1]Travel 2022'!N26</f>
        <v>0</v>
      </c>
      <c r="R34" s="1379">
        <f>$N$34*'[1]Travel 2022'!O26</f>
        <v>0</v>
      </c>
    </row>
    <row r="35" spans="1:18" ht="15.75" thickBot="1">
      <c r="A35" s="1894"/>
      <c r="B35" s="169" t="s">
        <v>1691</v>
      </c>
      <c r="C35" s="137" t="s">
        <v>1211</v>
      </c>
      <c r="D35" s="529"/>
      <c r="E35" s="1378">
        <f t="shared" si="2"/>
        <v>0</v>
      </c>
      <c r="F35" s="1379">
        <f>D35*'[1]Travel 2022'!E27</f>
        <v>0</v>
      </c>
      <c r="G35" s="1379">
        <f>D35*'[1]Travel 2022'!F27</f>
        <v>0</v>
      </c>
      <c r="H35" s="1380">
        <f>D35*'[1]Travel 2022'!G27</f>
        <v>0</v>
      </c>
      <c r="I35" s="529"/>
      <c r="J35" s="1378">
        <f t="shared" si="3"/>
        <v>0</v>
      </c>
      <c r="K35" s="1379">
        <f>$I$35*'[1]Travel 2022'!I27</f>
        <v>0</v>
      </c>
      <c r="L35" s="1379">
        <f>$I$35*'[1]Travel 2022'!J27</f>
        <v>0</v>
      </c>
      <c r="M35" s="1379">
        <f>$I$35*'[1]Travel 2022'!K27</f>
        <v>0</v>
      </c>
      <c r="N35" s="529"/>
      <c r="O35" s="1378">
        <f t="shared" si="4"/>
        <v>0</v>
      </c>
      <c r="P35" s="1379">
        <f>$N$35*'[1]Travel 2022'!M27</f>
        <v>0</v>
      </c>
      <c r="Q35" s="1379">
        <f>$N$35*'[1]Travel 2022'!N27</f>
        <v>0</v>
      </c>
      <c r="R35" s="1379">
        <f>$N$35*'[1]Travel 2022'!O27</f>
        <v>0</v>
      </c>
    </row>
    <row r="36" spans="1:18" ht="15.75" thickBot="1">
      <c r="A36" s="1894"/>
      <c r="B36" s="169" t="s">
        <v>1692</v>
      </c>
      <c r="C36" s="137" t="s">
        <v>1211</v>
      </c>
      <c r="D36" s="529"/>
      <c r="E36" s="1378">
        <f t="shared" si="2"/>
        <v>0</v>
      </c>
      <c r="F36" s="1379">
        <f>D36*'[1]Travel 2022'!E28</f>
        <v>0</v>
      </c>
      <c r="G36" s="1379">
        <f>D36*'[1]Travel 2022'!F28</f>
        <v>0</v>
      </c>
      <c r="H36" s="1380">
        <f>D36*'[1]Travel 2022'!G28</f>
        <v>0</v>
      </c>
      <c r="I36" s="529"/>
      <c r="J36" s="1378">
        <f t="shared" si="3"/>
        <v>0</v>
      </c>
      <c r="K36" s="1379">
        <f>$I$36*'[1]Travel 2022'!I28</f>
        <v>0</v>
      </c>
      <c r="L36" s="1379">
        <f>$I$36*'[1]Travel 2022'!J28</f>
        <v>0</v>
      </c>
      <c r="M36" s="1379">
        <f>$I$36*'[1]Travel 2022'!K28</f>
        <v>0</v>
      </c>
      <c r="N36" s="529"/>
      <c r="O36" s="1378">
        <f t="shared" si="4"/>
        <v>0</v>
      </c>
      <c r="P36" s="1379">
        <f>$N$36*'[1]Travel 2022'!M28</f>
        <v>0</v>
      </c>
      <c r="Q36" s="1379">
        <f>$N$36*'[1]Travel 2022'!N28</f>
        <v>0</v>
      </c>
      <c r="R36" s="1379">
        <f>$N$36*'[1]Travel 2022'!O28</f>
        <v>0</v>
      </c>
    </row>
    <row r="37" spans="1:18" ht="15.75" thickBot="1">
      <c r="A37" s="1894"/>
      <c r="B37" s="169" t="s">
        <v>1214</v>
      </c>
      <c r="C37" s="137" t="s">
        <v>1211</v>
      </c>
      <c r="D37" s="529"/>
      <c r="E37" s="1378">
        <f t="shared" si="2"/>
        <v>0</v>
      </c>
      <c r="F37" s="1379">
        <f>D37*'[1]Travel 2022'!E29</f>
        <v>0</v>
      </c>
      <c r="G37" s="1379">
        <f>D37*'[1]Travel 2022'!F29</f>
        <v>0</v>
      </c>
      <c r="H37" s="1380">
        <f>D37*'[1]Travel 2022'!G29</f>
        <v>0</v>
      </c>
      <c r="I37" s="529"/>
      <c r="J37" s="1378">
        <f t="shared" si="3"/>
        <v>0</v>
      </c>
      <c r="K37" s="1379">
        <f>$I$37*'[1]Travel 2022'!I29</f>
        <v>0</v>
      </c>
      <c r="L37" s="1379">
        <f>$I$37*'[1]Travel 2022'!J29</f>
        <v>0</v>
      </c>
      <c r="M37" s="1379">
        <f>$I$37*'[1]Travel 2022'!K29</f>
        <v>0</v>
      </c>
      <c r="N37" s="529"/>
      <c r="O37" s="1378">
        <f t="shared" si="4"/>
        <v>0</v>
      </c>
      <c r="P37" s="1379">
        <f>$N$37*'[1]Travel 2022'!M29</f>
        <v>0</v>
      </c>
      <c r="Q37" s="1379">
        <f>$N$37*'[1]Travel 2022'!N29</f>
        <v>0</v>
      </c>
      <c r="R37" s="1379">
        <f>$N$37*'[1]Travel 2022'!O29</f>
        <v>0</v>
      </c>
    </row>
    <row r="38" spans="1:18" ht="15.75" thickBot="1">
      <c r="A38" s="1894"/>
      <c r="B38" s="1460" t="s">
        <v>1215</v>
      </c>
      <c r="C38" s="137" t="s">
        <v>1211</v>
      </c>
      <c r="D38" s="529"/>
      <c r="E38" s="1378">
        <f t="shared" si="2"/>
        <v>0</v>
      </c>
      <c r="F38" s="1379">
        <f>D38*'[1]Travel 2022'!E30</f>
        <v>0</v>
      </c>
      <c r="G38" s="1379">
        <f>D38*'[1]Travel 2022'!F30</f>
        <v>0</v>
      </c>
      <c r="H38" s="1380">
        <f>D38*'[1]Travel 2022'!G30</f>
        <v>0</v>
      </c>
      <c r="I38" s="529"/>
      <c r="J38" s="1378">
        <f t="shared" si="3"/>
        <v>0</v>
      </c>
      <c r="K38" s="1379">
        <f>$I$38*'[1]Travel 2022'!I30</f>
        <v>0</v>
      </c>
      <c r="L38" s="1379">
        <f>$I$38*'[1]Travel 2022'!J30</f>
        <v>0</v>
      </c>
      <c r="M38" s="1379">
        <f>$I$38*'[1]Travel 2022'!K30</f>
        <v>0</v>
      </c>
      <c r="N38" s="529"/>
      <c r="O38" s="1378">
        <f t="shared" si="4"/>
        <v>0</v>
      </c>
      <c r="P38" s="1379">
        <f>$N$38*'[1]Travel 2022'!M30</f>
        <v>0</v>
      </c>
      <c r="Q38" s="1379">
        <f>$N$38*'[1]Travel 2022'!N30</f>
        <v>0</v>
      </c>
      <c r="R38" s="1379">
        <f>$N$38*'[1]Travel 2022'!O30</f>
        <v>0</v>
      </c>
    </row>
    <row r="39" spans="1:18" ht="15" customHeight="1" thickBot="1">
      <c r="A39" s="1894" t="s">
        <v>1218</v>
      </c>
      <c r="B39" s="169" t="s">
        <v>1210</v>
      </c>
      <c r="C39" s="137" t="s">
        <v>1211</v>
      </c>
      <c r="D39" s="529"/>
      <c r="E39" s="1378">
        <f t="shared" si="2"/>
        <v>0</v>
      </c>
      <c r="F39" s="1379">
        <f>D39*'[1]Travel 2022'!E31</f>
        <v>0</v>
      </c>
      <c r="G39" s="1379">
        <f>D39*'[1]Travel 2022'!F31</f>
        <v>0</v>
      </c>
      <c r="H39" s="1380">
        <f>D39*'[1]Travel 2022'!G31</f>
        <v>0</v>
      </c>
      <c r="I39" s="529"/>
      <c r="J39" s="1378">
        <f t="shared" si="3"/>
        <v>0</v>
      </c>
      <c r="K39" s="1379">
        <f>$I$39*'[1]Travel 2022'!I31</f>
        <v>0</v>
      </c>
      <c r="L39" s="1379">
        <f>$I$39*'[1]Travel 2022'!J31</f>
        <v>0</v>
      </c>
      <c r="M39" s="1379">
        <f>$I$39*'[1]Travel 2022'!K31</f>
        <v>0</v>
      </c>
      <c r="N39" s="529"/>
      <c r="O39" s="1378">
        <f t="shared" si="4"/>
        <v>0</v>
      </c>
      <c r="P39" s="1379">
        <f>$N$39*'[1]Travel 2022'!M31</f>
        <v>0</v>
      </c>
      <c r="Q39" s="1379">
        <f>$N$39*'[1]Travel 2022'!N31</f>
        <v>0</v>
      </c>
      <c r="R39" s="1379">
        <f>$N$39*'[1]Travel 2022'!O31</f>
        <v>0</v>
      </c>
    </row>
    <row r="40" spans="1:18" ht="15.75" thickBot="1">
      <c r="A40" s="1894"/>
      <c r="B40" s="169" t="s">
        <v>1691</v>
      </c>
      <c r="C40" s="137" t="s">
        <v>1211</v>
      </c>
      <c r="D40" s="529"/>
      <c r="E40" s="1378">
        <f t="shared" si="2"/>
        <v>0</v>
      </c>
      <c r="F40" s="1379">
        <f>D40*'[1]Travel 2022'!E32</f>
        <v>0</v>
      </c>
      <c r="G40" s="1379">
        <f>D40*'[1]Travel 2022'!F32</f>
        <v>0</v>
      </c>
      <c r="H40" s="1380">
        <f>D40*'[1]Travel 2022'!G32</f>
        <v>0</v>
      </c>
      <c r="I40" s="529"/>
      <c r="J40" s="1378">
        <f t="shared" si="3"/>
        <v>0</v>
      </c>
      <c r="K40" s="1379">
        <f>$I$40*'[1]Travel 2022'!I32</f>
        <v>0</v>
      </c>
      <c r="L40" s="1379">
        <f>$I$40*'[1]Travel 2022'!J32</f>
        <v>0</v>
      </c>
      <c r="M40" s="1379">
        <f>$I$40*'[1]Travel 2022'!K32</f>
        <v>0</v>
      </c>
      <c r="N40" s="529"/>
      <c r="O40" s="1378">
        <f t="shared" si="4"/>
        <v>0</v>
      </c>
      <c r="P40" s="1379">
        <f>$N$40*'[1]Travel 2022'!M32</f>
        <v>0</v>
      </c>
      <c r="Q40" s="1379">
        <f>$N$40*'[1]Travel 2022'!N32</f>
        <v>0</v>
      </c>
      <c r="R40" s="1379">
        <f>$N$40*'[1]Travel 2022'!O32</f>
        <v>0</v>
      </c>
    </row>
    <row r="41" spans="1:18" ht="15.75" thickBot="1">
      <c r="A41" s="1894"/>
      <c r="B41" s="169" t="s">
        <v>1692</v>
      </c>
      <c r="C41" s="137" t="s">
        <v>1211</v>
      </c>
      <c r="D41" s="529"/>
      <c r="E41" s="1378">
        <f t="shared" si="2"/>
        <v>0</v>
      </c>
      <c r="F41" s="1379">
        <f>D41*'[1]Travel 2022'!E33</f>
        <v>0</v>
      </c>
      <c r="G41" s="1379">
        <f>D41*'[1]Travel 2022'!F33</f>
        <v>0</v>
      </c>
      <c r="H41" s="1380">
        <f>D41*'[1]Travel 2022'!G33</f>
        <v>0</v>
      </c>
      <c r="I41" s="529"/>
      <c r="J41" s="1378">
        <f t="shared" si="3"/>
        <v>0</v>
      </c>
      <c r="K41" s="1379">
        <f>$I$41*'[1]Travel 2022'!I33</f>
        <v>0</v>
      </c>
      <c r="L41" s="1379">
        <f>$I$41*'[1]Travel 2022'!J33</f>
        <v>0</v>
      </c>
      <c r="M41" s="1379">
        <f>$I$41*'[1]Travel 2022'!K33</f>
        <v>0</v>
      </c>
      <c r="N41" s="529"/>
      <c r="O41" s="1378">
        <f t="shared" si="4"/>
        <v>0</v>
      </c>
      <c r="P41" s="1379">
        <f>$N$41*'[1]Travel 2022'!M33</f>
        <v>0</v>
      </c>
      <c r="Q41" s="1379">
        <f>$N$41*'[1]Travel 2022'!N33</f>
        <v>0</v>
      </c>
      <c r="R41" s="1379">
        <f>$N$41*'[1]Travel 2022'!O33</f>
        <v>0</v>
      </c>
    </row>
    <row r="42" spans="1:18" ht="15.75" thickBot="1">
      <c r="A42" s="1894"/>
      <c r="B42" s="169" t="s">
        <v>1214</v>
      </c>
      <c r="C42" s="137" t="s">
        <v>1211</v>
      </c>
      <c r="D42" s="529"/>
      <c r="E42" s="1378">
        <f t="shared" si="2"/>
        <v>0</v>
      </c>
      <c r="F42" s="1379">
        <f>D42*'[1]Travel 2022'!E34</f>
        <v>0</v>
      </c>
      <c r="G42" s="1379">
        <f>D42*'[1]Travel 2022'!F34</f>
        <v>0</v>
      </c>
      <c r="H42" s="1380">
        <f>D42*'[1]Travel 2022'!G34</f>
        <v>0</v>
      </c>
      <c r="I42" s="529"/>
      <c r="J42" s="1378">
        <f t="shared" si="3"/>
        <v>0</v>
      </c>
      <c r="K42" s="1379">
        <f>$I$42*'[1]Travel 2022'!I34</f>
        <v>0</v>
      </c>
      <c r="L42" s="1379">
        <f>$I$42*'[1]Travel 2022'!J34</f>
        <v>0</v>
      </c>
      <c r="M42" s="1379">
        <f>$I$42*'[1]Travel 2022'!K34</f>
        <v>0</v>
      </c>
      <c r="N42" s="529"/>
      <c r="O42" s="1378">
        <f t="shared" si="4"/>
        <v>0</v>
      </c>
      <c r="P42" s="1379">
        <f>$N$42*'[1]Travel 2022'!M34</f>
        <v>0</v>
      </c>
      <c r="Q42" s="1379">
        <f>$N$42*'[1]Travel 2022'!N34</f>
        <v>0</v>
      </c>
      <c r="R42" s="1379">
        <f>$N$42*'[1]Travel 2022'!O34</f>
        <v>0</v>
      </c>
    </row>
    <row r="43" spans="1:18" ht="15.75" thickBot="1">
      <c r="A43" s="1894"/>
      <c r="B43" s="1460" t="s">
        <v>1215</v>
      </c>
      <c r="C43" s="137" t="s">
        <v>1211</v>
      </c>
      <c r="D43" s="529"/>
      <c r="E43" s="1378">
        <f t="shared" si="2"/>
        <v>0</v>
      </c>
      <c r="F43" s="1379">
        <f>D43*'[1]Travel 2022'!E35</f>
        <v>0</v>
      </c>
      <c r="G43" s="1379">
        <f>D43*'[1]Travel 2022'!F35</f>
        <v>0</v>
      </c>
      <c r="H43" s="1380">
        <f>D43*'[1]Travel 2022'!G35</f>
        <v>0</v>
      </c>
      <c r="I43" s="529"/>
      <c r="J43" s="1378">
        <f t="shared" si="3"/>
        <v>0</v>
      </c>
      <c r="K43" s="1379">
        <f>$I$43*'[1]Travel 2022'!I35</f>
        <v>0</v>
      </c>
      <c r="L43" s="1379">
        <f>$I$43*'[1]Travel 2022'!J35</f>
        <v>0</v>
      </c>
      <c r="M43" s="1379">
        <f>$I$43*'[1]Travel 2022'!K35</f>
        <v>0</v>
      </c>
      <c r="N43" s="529"/>
      <c r="O43" s="1378">
        <f t="shared" si="4"/>
        <v>0</v>
      </c>
      <c r="P43" s="1379">
        <f>$N$43*'[1]Travel 2022'!M35</f>
        <v>0</v>
      </c>
      <c r="Q43" s="1379">
        <f>$N$43*'[1]Travel 2022'!N35</f>
        <v>0</v>
      </c>
      <c r="R43" s="1379">
        <f>$N$43*'[1]Travel 2022'!O35</f>
        <v>0</v>
      </c>
    </row>
    <row r="44" spans="1:18" ht="15.75" customHeight="1" thickBot="1">
      <c r="A44" s="1894" t="s">
        <v>1219</v>
      </c>
      <c r="B44" s="169" t="s">
        <v>1210</v>
      </c>
      <c r="C44" s="169" t="s">
        <v>1211</v>
      </c>
      <c r="D44" s="2073"/>
      <c r="E44" s="2074"/>
      <c r="F44" s="2074"/>
      <c r="G44" s="2074"/>
      <c r="H44" s="2075"/>
      <c r="I44" s="529"/>
      <c r="J44" s="1378">
        <f t="shared" si="3"/>
        <v>0</v>
      </c>
      <c r="K44" s="1379">
        <f>$I$44*'[1]Travel 2022'!I36</f>
        <v>0</v>
      </c>
      <c r="L44" s="1379">
        <f>$I$44*'[1]Travel 2022'!J36</f>
        <v>0</v>
      </c>
      <c r="M44" s="1379">
        <f>$I$44*'[1]Travel 2022'!K36</f>
        <v>0</v>
      </c>
      <c r="N44" s="529"/>
      <c r="O44" s="1378">
        <f t="shared" si="4"/>
        <v>0</v>
      </c>
      <c r="P44" s="1379">
        <f>$N$44*'[1]Travel 2022'!M36</f>
        <v>0</v>
      </c>
      <c r="Q44" s="1379">
        <f>$N$44*'[1]Travel 2022'!N36</f>
        <v>0</v>
      </c>
      <c r="R44" s="1379">
        <f>$N$44*'[1]Travel 2022'!O36</f>
        <v>0</v>
      </c>
    </row>
    <row r="45" spans="1:18" ht="15.75" thickBot="1">
      <c r="A45" s="1894"/>
      <c r="B45" s="169" t="s">
        <v>1691</v>
      </c>
      <c r="C45" s="169" t="s">
        <v>1211</v>
      </c>
      <c r="D45" s="2074"/>
      <c r="E45" s="2074"/>
      <c r="F45" s="2074"/>
      <c r="G45" s="2074"/>
      <c r="H45" s="2075"/>
      <c r="I45" s="529"/>
      <c r="J45" s="1378">
        <f t="shared" si="3"/>
        <v>0</v>
      </c>
      <c r="K45" s="1379">
        <f>$I$45*'[1]Travel 2022'!I37</f>
        <v>0</v>
      </c>
      <c r="L45" s="1379">
        <f>$I$45*'[1]Travel 2022'!J37</f>
        <v>0</v>
      </c>
      <c r="M45" s="1379">
        <f>$I$45*'[1]Travel 2022'!K37</f>
        <v>0</v>
      </c>
      <c r="N45" s="529"/>
      <c r="O45" s="1378">
        <f t="shared" si="4"/>
        <v>0</v>
      </c>
      <c r="P45" s="1379">
        <f>$N$45*'[1]Travel 2022'!M37</f>
        <v>0</v>
      </c>
      <c r="Q45" s="1379">
        <f>$N$45*'[1]Travel 2022'!N37</f>
        <v>0</v>
      </c>
      <c r="R45" s="1379">
        <f>$N$45*'[1]Travel 2022'!O37</f>
        <v>0</v>
      </c>
    </row>
    <row r="46" spans="1:18" ht="15.75" thickBot="1">
      <c r="A46" s="1894"/>
      <c r="B46" s="169" t="s">
        <v>1692</v>
      </c>
      <c r="C46" s="169" t="s">
        <v>1211</v>
      </c>
      <c r="D46" s="2074"/>
      <c r="E46" s="2074"/>
      <c r="F46" s="2074"/>
      <c r="G46" s="2074"/>
      <c r="H46" s="2075"/>
      <c r="I46" s="529"/>
      <c r="J46" s="1378">
        <f t="shared" si="3"/>
        <v>0</v>
      </c>
      <c r="K46" s="1379">
        <f>$I$46*'[1]Travel 2022'!I38</f>
        <v>0</v>
      </c>
      <c r="L46" s="1379">
        <f>$I$46*'[1]Travel 2022'!J38</f>
        <v>0</v>
      </c>
      <c r="M46" s="1379">
        <f>$I$46*'[1]Travel 2022'!K38</f>
        <v>0</v>
      </c>
      <c r="N46" s="529"/>
      <c r="O46" s="1378">
        <f t="shared" si="4"/>
        <v>0</v>
      </c>
      <c r="P46" s="1379">
        <f>$N$46*'[1]Travel 2022'!M38</f>
        <v>0</v>
      </c>
      <c r="Q46" s="1379">
        <f>$N$46*'[1]Travel 2022'!N38</f>
        <v>0</v>
      </c>
      <c r="R46" s="1379">
        <f>$N$46*'[1]Travel 2022'!O38</f>
        <v>0</v>
      </c>
    </row>
    <row r="47" spans="1:18" ht="15.75" thickBot="1">
      <c r="A47" s="1894"/>
      <c r="B47" s="169" t="s">
        <v>1214</v>
      </c>
      <c r="C47" s="169" t="s">
        <v>1211</v>
      </c>
      <c r="D47" s="2074"/>
      <c r="E47" s="2074"/>
      <c r="F47" s="2074"/>
      <c r="G47" s="2074"/>
      <c r="H47" s="2075"/>
      <c r="I47" s="529"/>
      <c r="J47" s="1378">
        <f t="shared" si="3"/>
        <v>0</v>
      </c>
      <c r="K47" s="1379">
        <f>$I$47*'[1]Travel 2022'!I39</f>
        <v>0</v>
      </c>
      <c r="L47" s="1379">
        <f>$I$47*'[1]Travel 2022'!J39</f>
        <v>0</v>
      </c>
      <c r="M47" s="1379">
        <f>$I$47*'[1]Travel 2022'!K39</f>
        <v>0</v>
      </c>
      <c r="N47" s="529"/>
      <c r="O47" s="1378">
        <f t="shared" si="4"/>
        <v>0</v>
      </c>
      <c r="P47" s="1379">
        <f>$N$47*'[1]Travel 2022'!M39</f>
        <v>0</v>
      </c>
      <c r="Q47" s="1379">
        <f>$N$47*'[1]Travel 2022'!N39</f>
        <v>0</v>
      </c>
      <c r="R47" s="1379">
        <f>$N$47*'[1]Travel 2022'!O39</f>
        <v>0</v>
      </c>
    </row>
    <row r="48" spans="1:18" ht="15.75" thickBot="1">
      <c r="A48" s="1894"/>
      <c r="B48" s="1460" t="s">
        <v>1215</v>
      </c>
      <c r="C48" s="169" t="s">
        <v>1211</v>
      </c>
      <c r="D48" s="2074"/>
      <c r="E48" s="2074"/>
      <c r="F48" s="2074"/>
      <c r="G48" s="2074"/>
      <c r="H48" s="2075"/>
      <c r="I48" s="529"/>
      <c r="J48" s="1378">
        <f t="shared" si="3"/>
        <v>0</v>
      </c>
      <c r="K48" s="1379">
        <f>$I$48*'[1]Travel 2022'!I40</f>
        <v>0</v>
      </c>
      <c r="L48" s="1379">
        <f>$I$48*'[1]Travel 2022'!J40</f>
        <v>0</v>
      </c>
      <c r="M48" s="1379">
        <f>$I$48*'[1]Travel 2022'!K40</f>
        <v>0</v>
      </c>
      <c r="N48" s="529"/>
      <c r="O48" s="1378">
        <f t="shared" si="4"/>
        <v>0</v>
      </c>
      <c r="P48" s="1379">
        <f>$N$48*'[1]Travel 2022'!M40</f>
        <v>0</v>
      </c>
      <c r="Q48" s="1379">
        <f>$N$48*'[1]Travel 2022'!N40</f>
        <v>0</v>
      </c>
      <c r="R48" s="1379">
        <f>$N$48*'[1]Travel 2022'!O40</f>
        <v>0</v>
      </c>
    </row>
    <row r="49" spans="1:18" ht="15.75" customHeight="1" thickBot="1">
      <c r="A49" s="1894" t="s">
        <v>1693</v>
      </c>
      <c r="B49" s="169" t="s">
        <v>1210</v>
      </c>
      <c r="C49" s="169" t="s">
        <v>1211</v>
      </c>
      <c r="D49" s="2074"/>
      <c r="E49" s="2074"/>
      <c r="F49" s="2074"/>
      <c r="G49" s="2074"/>
      <c r="H49" s="2075"/>
      <c r="I49" s="529"/>
      <c r="J49" s="1378">
        <f t="shared" si="3"/>
        <v>0</v>
      </c>
      <c r="K49" s="1379">
        <f>$I$49*'[1]Travel 2022'!I41</f>
        <v>0</v>
      </c>
      <c r="L49" s="1379">
        <f>$I$49*'[1]Travel 2022'!J41</f>
        <v>0</v>
      </c>
      <c r="M49" s="1379">
        <f>$I$49*'[1]Travel 2022'!K41</f>
        <v>0</v>
      </c>
      <c r="N49" s="529"/>
      <c r="O49" s="1378">
        <f t="shared" si="4"/>
        <v>0</v>
      </c>
      <c r="P49" s="1379">
        <f>$N$49*'[1]Travel 2022'!M41</f>
        <v>0</v>
      </c>
      <c r="Q49" s="1379">
        <f>$N$49*'[1]Travel 2022'!N41</f>
        <v>0</v>
      </c>
      <c r="R49" s="1379">
        <f>$N$49*'[1]Travel 2022'!O41</f>
        <v>0</v>
      </c>
    </row>
    <row r="50" spans="1:18" ht="15.75" thickBot="1">
      <c r="A50" s="1894"/>
      <c r="B50" s="169" t="s">
        <v>1691</v>
      </c>
      <c r="C50" s="169" t="s">
        <v>1211</v>
      </c>
      <c r="D50" s="2074"/>
      <c r="E50" s="2074"/>
      <c r="F50" s="2074"/>
      <c r="G50" s="2074"/>
      <c r="H50" s="2075"/>
      <c r="I50" s="529"/>
      <c r="J50" s="1378">
        <f t="shared" si="3"/>
        <v>0</v>
      </c>
      <c r="K50" s="1379">
        <f>$I$50*'[1]Travel 2022'!I42</f>
        <v>0</v>
      </c>
      <c r="L50" s="1379">
        <f>$I$50*'[1]Travel 2022'!J42</f>
        <v>0</v>
      </c>
      <c r="M50" s="1379">
        <f>$I$50*'[1]Travel 2022'!K42</f>
        <v>0</v>
      </c>
      <c r="N50" s="529"/>
      <c r="O50" s="1378">
        <f t="shared" si="4"/>
        <v>0</v>
      </c>
      <c r="P50" s="1379">
        <f>$N$50*'[1]Travel 2022'!M42</f>
        <v>0</v>
      </c>
      <c r="Q50" s="1379">
        <f>$N$50*'[1]Travel 2022'!N42</f>
        <v>0</v>
      </c>
      <c r="R50" s="1379">
        <f>$N$50*'[1]Travel 2022'!O42</f>
        <v>0</v>
      </c>
    </row>
    <row r="51" spans="1:18" ht="15.75" thickBot="1">
      <c r="A51" s="1894"/>
      <c r="B51" s="169" t="s">
        <v>1692</v>
      </c>
      <c r="C51" s="169" t="s">
        <v>1211</v>
      </c>
      <c r="D51" s="2074"/>
      <c r="E51" s="2074"/>
      <c r="F51" s="2074"/>
      <c r="G51" s="2074"/>
      <c r="H51" s="2075"/>
      <c r="I51" s="529"/>
      <c r="J51" s="1378">
        <f t="shared" si="3"/>
        <v>0</v>
      </c>
      <c r="K51" s="1379">
        <f>$I$51*'[1]Travel 2022'!I43</f>
        <v>0</v>
      </c>
      <c r="L51" s="1379">
        <f>$I$51*'[1]Travel 2022'!J43</f>
        <v>0</v>
      </c>
      <c r="M51" s="1379">
        <f>$I$51*'[1]Travel 2022'!K43</f>
        <v>0</v>
      </c>
      <c r="N51" s="529"/>
      <c r="O51" s="1378">
        <f t="shared" si="4"/>
        <v>0</v>
      </c>
      <c r="P51" s="1379">
        <f>$N$51*'[1]Travel 2022'!M43</f>
        <v>0</v>
      </c>
      <c r="Q51" s="1379">
        <f>$N$51*'[1]Travel 2022'!N43</f>
        <v>0</v>
      </c>
      <c r="R51" s="1379">
        <f>$N$51*'[1]Travel 2022'!O43</f>
        <v>0</v>
      </c>
    </row>
    <row r="52" spans="1:18" ht="15.75" thickBot="1">
      <c r="A52" s="1894"/>
      <c r="B52" s="169" t="s">
        <v>1214</v>
      </c>
      <c r="C52" s="169" t="s">
        <v>1211</v>
      </c>
      <c r="D52" s="2074"/>
      <c r="E52" s="2074"/>
      <c r="F52" s="2074"/>
      <c r="G52" s="2074"/>
      <c r="H52" s="2075"/>
      <c r="I52" s="529"/>
      <c r="J52" s="1378">
        <f t="shared" si="3"/>
        <v>0</v>
      </c>
      <c r="K52" s="1379">
        <f>$I$52*'[1]Travel 2022'!I44</f>
        <v>0</v>
      </c>
      <c r="L52" s="1379">
        <f>$I$52*'[1]Travel 2022'!J44</f>
        <v>0</v>
      </c>
      <c r="M52" s="1379">
        <f>$I$52*'[1]Travel 2022'!K44</f>
        <v>0</v>
      </c>
      <c r="N52" s="529"/>
      <c r="O52" s="1378">
        <f t="shared" si="4"/>
        <v>0</v>
      </c>
      <c r="P52" s="1379">
        <f>$N$52*'[1]Travel 2022'!M44</f>
        <v>0</v>
      </c>
      <c r="Q52" s="1379">
        <f>$N$52*'[1]Travel 2022'!N44</f>
        <v>0</v>
      </c>
      <c r="R52" s="1379">
        <f>$N$52*'[1]Travel 2022'!O44</f>
        <v>0</v>
      </c>
    </row>
    <row r="53" spans="1:18" ht="15.75" thickBot="1">
      <c r="A53" s="1894"/>
      <c r="B53" s="1460" t="s">
        <v>1215</v>
      </c>
      <c r="C53" s="169" t="s">
        <v>1211</v>
      </c>
      <c r="D53" s="2074"/>
      <c r="E53" s="2074"/>
      <c r="F53" s="2074"/>
      <c r="G53" s="2074"/>
      <c r="H53" s="2075"/>
      <c r="I53" s="529"/>
      <c r="J53" s="1378">
        <f t="shared" si="3"/>
        <v>0</v>
      </c>
      <c r="K53" s="1379">
        <f>$I$53*'[1]Travel 2022'!I45</f>
        <v>0</v>
      </c>
      <c r="L53" s="1379">
        <f>$I$53*'[1]Travel 2022'!J45</f>
        <v>0</v>
      </c>
      <c r="M53" s="1379">
        <f>$I$53*'[1]Travel 2022'!K45</f>
        <v>0</v>
      </c>
      <c r="N53" s="529"/>
      <c r="O53" s="1378">
        <f t="shared" si="4"/>
        <v>0</v>
      </c>
      <c r="P53" s="1379">
        <f>$N$53*'[1]Travel 2022'!M45</f>
        <v>0</v>
      </c>
      <c r="Q53" s="1379">
        <f>$N$53*'[1]Travel 2022'!N45</f>
        <v>0</v>
      </c>
      <c r="R53" s="1379">
        <f>$N$53*'[1]Travel 2022'!O45</f>
        <v>0</v>
      </c>
    </row>
    <row r="54" spans="1:18" ht="15.75" customHeight="1" thickBot="1">
      <c r="A54" s="1894" t="s">
        <v>1221</v>
      </c>
      <c r="B54" s="169" t="s">
        <v>1210</v>
      </c>
      <c r="C54" s="169" t="s">
        <v>1211</v>
      </c>
      <c r="D54" s="2074"/>
      <c r="E54" s="2074"/>
      <c r="F54" s="2074"/>
      <c r="G54" s="2074"/>
      <c r="H54" s="2075"/>
      <c r="I54" s="529"/>
      <c r="J54" s="1378">
        <f t="shared" si="3"/>
        <v>0</v>
      </c>
      <c r="K54" s="1379">
        <f>$I$54*'[1]Travel 2022'!I46</f>
        <v>0</v>
      </c>
      <c r="L54" s="1379">
        <f>$I$54*'[1]Travel 2022'!J46</f>
        <v>0</v>
      </c>
      <c r="M54" s="1379">
        <f>$I$54*'[1]Travel 2022'!K46</f>
        <v>0</v>
      </c>
      <c r="N54" s="529"/>
      <c r="O54" s="1378">
        <f t="shared" si="4"/>
        <v>0</v>
      </c>
      <c r="P54" s="1379">
        <f>$N$54*'[1]Travel 2022'!M46</f>
        <v>0</v>
      </c>
      <c r="Q54" s="1379">
        <f>$N$54*'[1]Travel 2022'!N46</f>
        <v>0</v>
      </c>
      <c r="R54" s="1379">
        <f>$N$54*'[1]Travel 2022'!O46</f>
        <v>0</v>
      </c>
    </row>
    <row r="55" spans="1:18" ht="15.75" thickBot="1">
      <c r="A55" s="1894"/>
      <c r="B55" s="169" t="s">
        <v>1691</v>
      </c>
      <c r="C55" s="169" t="s">
        <v>1211</v>
      </c>
      <c r="D55" s="2074"/>
      <c r="E55" s="2074"/>
      <c r="F55" s="2074"/>
      <c r="G55" s="2074"/>
      <c r="H55" s="2075"/>
      <c r="I55" s="529"/>
      <c r="J55" s="1378">
        <f t="shared" si="3"/>
        <v>0</v>
      </c>
      <c r="K55" s="1379">
        <f>$I$55*'[1]Travel 2022'!I47</f>
        <v>0</v>
      </c>
      <c r="L55" s="1379">
        <f>$I$55*'[1]Travel 2022'!J47</f>
        <v>0</v>
      </c>
      <c r="M55" s="1379">
        <f>$I$55*'[1]Travel 2022'!K47</f>
        <v>0</v>
      </c>
      <c r="N55" s="529"/>
      <c r="O55" s="1378">
        <f t="shared" si="4"/>
        <v>0</v>
      </c>
      <c r="P55" s="1379">
        <f>$N$55*'[1]Travel 2022'!M47</f>
        <v>0</v>
      </c>
      <c r="Q55" s="1379">
        <f>$N$55*'[1]Travel 2022'!N47</f>
        <v>0</v>
      </c>
      <c r="R55" s="1379">
        <f>$N$55*'[1]Travel 2022'!O47</f>
        <v>0</v>
      </c>
    </row>
    <row r="56" spans="1:18" ht="15.75" thickBot="1">
      <c r="A56" s="1894"/>
      <c r="B56" s="169" t="s">
        <v>1692</v>
      </c>
      <c r="C56" s="169" t="s">
        <v>1211</v>
      </c>
      <c r="D56" s="2074"/>
      <c r="E56" s="2074"/>
      <c r="F56" s="2074"/>
      <c r="G56" s="2074"/>
      <c r="H56" s="2075"/>
      <c r="I56" s="529"/>
      <c r="J56" s="1378">
        <f t="shared" si="3"/>
        <v>0</v>
      </c>
      <c r="K56" s="1379">
        <f>$I$56*'[1]Travel 2022'!I48</f>
        <v>0</v>
      </c>
      <c r="L56" s="1379">
        <f>$I$56*'[1]Travel 2022'!J48</f>
        <v>0</v>
      </c>
      <c r="M56" s="1379">
        <f>$I$56*'[1]Travel 2022'!K48</f>
        <v>0</v>
      </c>
      <c r="N56" s="529"/>
      <c r="O56" s="1378">
        <f t="shared" si="4"/>
        <v>0</v>
      </c>
      <c r="P56" s="1379">
        <f>$N$56*'[1]Travel 2022'!M48</f>
        <v>0</v>
      </c>
      <c r="Q56" s="1379">
        <f>$N$56*'[1]Travel 2022'!N48</f>
        <v>0</v>
      </c>
      <c r="R56" s="1379">
        <f>$N$56*'[1]Travel 2022'!O48</f>
        <v>0</v>
      </c>
    </row>
    <row r="57" spans="1:18" ht="15.75" thickBot="1">
      <c r="A57" s="1894"/>
      <c r="B57" s="169" t="s">
        <v>1214</v>
      </c>
      <c r="C57" s="169" t="s">
        <v>1211</v>
      </c>
      <c r="D57" s="2074"/>
      <c r="E57" s="2074"/>
      <c r="F57" s="2074"/>
      <c r="G57" s="2074"/>
      <c r="H57" s="2075"/>
      <c r="I57" s="529"/>
      <c r="J57" s="1378">
        <f t="shared" si="3"/>
        <v>0</v>
      </c>
      <c r="K57" s="1379">
        <f>$I$57*'[1]Travel 2022'!I49</f>
        <v>0</v>
      </c>
      <c r="L57" s="1379">
        <f>$I$57*'[1]Travel 2022'!J49</f>
        <v>0</v>
      </c>
      <c r="M57" s="1379">
        <f>$I$57*'[1]Travel 2022'!K49</f>
        <v>0</v>
      </c>
      <c r="N57" s="529"/>
      <c r="O57" s="1378">
        <f t="shared" si="4"/>
        <v>0</v>
      </c>
      <c r="P57" s="1379">
        <f>$N$57*'[1]Travel 2022'!M49</f>
        <v>0</v>
      </c>
      <c r="Q57" s="1379">
        <f>$N$57*'[1]Travel 2022'!N49</f>
        <v>0</v>
      </c>
      <c r="R57" s="1379">
        <f>$N$57*'[1]Travel 2022'!O49</f>
        <v>0</v>
      </c>
    </row>
    <row r="58" spans="1:18" ht="15.75" thickBot="1">
      <c r="A58" s="1894"/>
      <c r="B58" s="1460" t="s">
        <v>1215</v>
      </c>
      <c r="C58" s="169" t="s">
        <v>1211</v>
      </c>
      <c r="D58" s="2074"/>
      <c r="E58" s="2074"/>
      <c r="F58" s="2074"/>
      <c r="G58" s="2074"/>
      <c r="H58" s="2075"/>
      <c r="I58" s="529"/>
      <c r="J58" s="1378">
        <f t="shared" si="3"/>
        <v>0</v>
      </c>
      <c r="K58" s="1379">
        <f>$I$58*'[1]Travel 2022'!I50</f>
        <v>0</v>
      </c>
      <c r="L58" s="1379">
        <f>$I$58*'[1]Travel 2022'!J50</f>
        <v>0</v>
      </c>
      <c r="M58" s="1379">
        <f>$I$58*'[1]Travel 2022'!K50</f>
        <v>0</v>
      </c>
      <c r="N58" s="529"/>
      <c r="O58" s="1378">
        <f t="shared" si="4"/>
        <v>0</v>
      </c>
      <c r="P58" s="1379">
        <f>$N$58*'[1]Travel 2022'!M50</f>
        <v>0</v>
      </c>
      <c r="Q58" s="1379">
        <f>$N$58*'[1]Travel 2022'!N50</f>
        <v>0</v>
      </c>
      <c r="R58" s="1379">
        <f>$N$58*'[1]Travel 2022'!O50</f>
        <v>0</v>
      </c>
    </row>
    <row r="59" spans="1:18" ht="15.75" customHeight="1" thickBot="1">
      <c r="A59" s="1894" t="s">
        <v>1222</v>
      </c>
      <c r="B59" s="169" t="s">
        <v>1210</v>
      </c>
      <c r="C59" s="169" t="s">
        <v>1211</v>
      </c>
      <c r="D59" s="2074"/>
      <c r="E59" s="2074"/>
      <c r="F59" s="2074"/>
      <c r="G59" s="2074"/>
      <c r="H59" s="2075"/>
      <c r="I59" s="529"/>
      <c r="J59" s="1378">
        <f t="shared" si="3"/>
        <v>0</v>
      </c>
      <c r="K59" s="1379">
        <f>$I$59*'[1]Travel 2022'!I51</f>
        <v>0</v>
      </c>
      <c r="L59" s="1379">
        <f>$I$59*'[1]Travel 2022'!J51</f>
        <v>0</v>
      </c>
      <c r="M59" s="1379">
        <f>$I$59*'[1]Travel 2022'!K51</f>
        <v>0</v>
      </c>
      <c r="N59" s="529"/>
      <c r="O59" s="1378">
        <f t="shared" si="4"/>
        <v>0</v>
      </c>
      <c r="P59" s="1379">
        <f>$N$59*'[1]Travel 2022'!M51</f>
        <v>0</v>
      </c>
      <c r="Q59" s="1379">
        <f>$N$59*'[1]Travel 2022'!N51</f>
        <v>0</v>
      </c>
      <c r="R59" s="1379">
        <f>$N$59*'[1]Travel 2022'!O51</f>
        <v>0</v>
      </c>
    </row>
    <row r="60" spans="1:18" ht="15.75" thickBot="1">
      <c r="A60" s="1894"/>
      <c r="B60" s="169" t="s">
        <v>1691</v>
      </c>
      <c r="C60" s="169" t="s">
        <v>1211</v>
      </c>
      <c r="D60" s="2074"/>
      <c r="E60" s="2074"/>
      <c r="F60" s="2074"/>
      <c r="G60" s="2074"/>
      <c r="H60" s="2075"/>
      <c r="I60" s="529"/>
      <c r="J60" s="1378">
        <f t="shared" si="3"/>
        <v>0</v>
      </c>
      <c r="K60" s="1379">
        <f>$I$60*'[1]Travel 2022'!I52</f>
        <v>0</v>
      </c>
      <c r="L60" s="1379">
        <f>$I$60*'[1]Travel 2022'!J52</f>
        <v>0</v>
      </c>
      <c r="M60" s="1379">
        <f>$I$60*'[1]Travel 2022'!K52</f>
        <v>0</v>
      </c>
      <c r="N60" s="529"/>
      <c r="O60" s="1378">
        <f t="shared" si="4"/>
        <v>0</v>
      </c>
      <c r="P60" s="1379">
        <f>$N$60*'[1]Travel 2022'!M52</f>
        <v>0</v>
      </c>
      <c r="Q60" s="1379">
        <f>$N$60*'[1]Travel 2022'!N52</f>
        <v>0</v>
      </c>
      <c r="R60" s="1379">
        <f>$N$60*'[1]Travel 2022'!O52</f>
        <v>0</v>
      </c>
    </row>
    <row r="61" spans="1:18" ht="15.75" thickBot="1">
      <c r="A61" s="1894"/>
      <c r="B61" s="169" t="s">
        <v>1692</v>
      </c>
      <c r="C61" s="169" t="s">
        <v>1211</v>
      </c>
      <c r="D61" s="2074"/>
      <c r="E61" s="2074"/>
      <c r="F61" s="2074"/>
      <c r="G61" s="2074"/>
      <c r="H61" s="2075"/>
      <c r="I61" s="529"/>
      <c r="J61" s="1378">
        <f t="shared" si="3"/>
        <v>0</v>
      </c>
      <c r="K61" s="1379">
        <f>$I$61*'[1]Travel 2022'!I53</f>
        <v>0</v>
      </c>
      <c r="L61" s="1379">
        <f>$I$61*'[1]Travel 2022'!J53</f>
        <v>0</v>
      </c>
      <c r="M61" s="1379">
        <f>$I$61*'[1]Travel 2022'!K53</f>
        <v>0</v>
      </c>
      <c r="N61" s="529"/>
      <c r="O61" s="1378">
        <f t="shared" si="4"/>
        <v>0</v>
      </c>
      <c r="P61" s="1379">
        <f>$N$61*'[1]Travel 2022'!M53</f>
        <v>0</v>
      </c>
      <c r="Q61" s="1379">
        <f>$N$61*'[1]Travel 2022'!N53</f>
        <v>0</v>
      </c>
      <c r="R61" s="1379">
        <f>$N$61*'[1]Travel 2022'!O53</f>
        <v>0</v>
      </c>
    </row>
    <row r="62" spans="1:18" ht="15.75" thickBot="1">
      <c r="A62" s="1894"/>
      <c r="B62" s="169" t="s">
        <v>1214</v>
      </c>
      <c r="C62" s="169" t="s">
        <v>1211</v>
      </c>
      <c r="D62" s="2074"/>
      <c r="E62" s="2074"/>
      <c r="F62" s="2074"/>
      <c r="G62" s="2074"/>
      <c r="H62" s="2075"/>
      <c r="I62" s="529"/>
      <c r="J62" s="1378">
        <f t="shared" si="3"/>
        <v>0</v>
      </c>
      <c r="K62" s="1379">
        <f>$I$62*'[1]Travel 2022'!I54</f>
        <v>0</v>
      </c>
      <c r="L62" s="1379">
        <f>$I$62*'[1]Travel 2022'!J54</f>
        <v>0</v>
      </c>
      <c r="M62" s="1379">
        <f>$I$62*'[1]Travel 2022'!K54</f>
        <v>0</v>
      </c>
      <c r="N62" s="529"/>
      <c r="O62" s="1378">
        <f t="shared" si="4"/>
        <v>0</v>
      </c>
      <c r="P62" s="1379">
        <f>$N$62*'[1]Travel 2022'!M54</f>
        <v>0</v>
      </c>
      <c r="Q62" s="1379">
        <f>$N$62*'[1]Travel 2022'!N54</f>
        <v>0</v>
      </c>
      <c r="R62" s="1379">
        <f>$N$62*'[1]Travel 2022'!O54</f>
        <v>0</v>
      </c>
    </row>
    <row r="63" spans="1:18" ht="15.75" thickBot="1">
      <c r="A63" s="1894"/>
      <c r="B63" s="1460" t="s">
        <v>1215</v>
      </c>
      <c r="C63" s="169" t="s">
        <v>1211</v>
      </c>
      <c r="D63" s="2074"/>
      <c r="E63" s="2074"/>
      <c r="F63" s="2074"/>
      <c r="G63" s="2074"/>
      <c r="H63" s="2075"/>
      <c r="I63" s="529"/>
      <c r="J63" s="1378">
        <f t="shared" si="3"/>
        <v>0</v>
      </c>
      <c r="K63" s="1379">
        <f>$I$63*'[1]Travel 2022'!I55</f>
        <v>0</v>
      </c>
      <c r="L63" s="1379">
        <f>$I$63*'[1]Travel 2022'!J55</f>
        <v>0</v>
      </c>
      <c r="M63" s="1379">
        <f>$I$63*'[1]Travel 2022'!K55</f>
        <v>0</v>
      </c>
      <c r="N63" s="529"/>
      <c r="O63" s="1378">
        <f t="shared" si="4"/>
        <v>0</v>
      </c>
      <c r="P63" s="1379">
        <f>$N$63*'[1]Travel 2022'!M55</f>
        <v>0</v>
      </c>
      <c r="Q63" s="1379">
        <f>$N$63*'[1]Travel 2022'!N55</f>
        <v>0</v>
      </c>
      <c r="R63" s="1379">
        <f>$N$63*'[1]Travel 2022'!O55</f>
        <v>0</v>
      </c>
    </row>
    <row r="64" spans="1:18" ht="15.75" customHeight="1" thickBot="1">
      <c r="A64" s="1894" t="s">
        <v>1223</v>
      </c>
      <c r="B64" s="169" t="s">
        <v>1210</v>
      </c>
      <c r="C64" s="169" t="s">
        <v>1211</v>
      </c>
      <c r="D64" s="2074"/>
      <c r="E64" s="2074"/>
      <c r="F64" s="2074"/>
      <c r="G64" s="2074"/>
      <c r="H64" s="2075"/>
      <c r="I64" s="529"/>
      <c r="J64" s="1378">
        <f t="shared" si="3"/>
        <v>0</v>
      </c>
      <c r="K64" s="1379">
        <f>$I$64*'[1]Travel 2022'!I56</f>
        <v>0</v>
      </c>
      <c r="L64" s="1379">
        <f>$I$64*'[1]Travel 2022'!J56</f>
        <v>0</v>
      </c>
      <c r="M64" s="1379">
        <f>$I$64*'[1]Travel 2022'!K56</f>
        <v>0</v>
      </c>
      <c r="N64" s="529"/>
      <c r="O64" s="1378">
        <f t="shared" si="4"/>
        <v>0</v>
      </c>
      <c r="P64" s="1379">
        <f>$N$64*'[1]Travel 2022'!M56</f>
        <v>0</v>
      </c>
      <c r="Q64" s="1379">
        <f>$N$64*'[1]Travel 2022'!N56</f>
        <v>0</v>
      </c>
      <c r="R64" s="1379">
        <f>$N$64*'[1]Travel 2022'!O56</f>
        <v>0</v>
      </c>
    </row>
    <row r="65" spans="1:18" ht="15.75" thickBot="1">
      <c r="A65" s="1894"/>
      <c r="B65" s="169" t="s">
        <v>1691</v>
      </c>
      <c r="C65" s="169" t="s">
        <v>1211</v>
      </c>
      <c r="D65" s="2074"/>
      <c r="E65" s="2074"/>
      <c r="F65" s="2074"/>
      <c r="G65" s="2074"/>
      <c r="H65" s="2075"/>
      <c r="I65" s="529"/>
      <c r="J65" s="1378">
        <f t="shared" si="3"/>
        <v>0</v>
      </c>
      <c r="K65" s="1379">
        <f>$I$65*'[1]Travel 2022'!I57</f>
        <v>0</v>
      </c>
      <c r="L65" s="1379">
        <f>$I$65*'[1]Travel 2022'!J57</f>
        <v>0</v>
      </c>
      <c r="M65" s="1379">
        <f>$I$65*'[1]Travel 2022'!K57</f>
        <v>0</v>
      </c>
      <c r="N65" s="529"/>
      <c r="O65" s="1378">
        <f t="shared" si="4"/>
        <v>0</v>
      </c>
      <c r="P65" s="1379">
        <f>$N$65*'[1]Travel 2022'!M57</f>
        <v>0</v>
      </c>
      <c r="Q65" s="1379">
        <f>$N$65*'[1]Travel 2022'!N57</f>
        <v>0</v>
      </c>
      <c r="R65" s="1379">
        <f>$N$65*'[1]Travel 2022'!O57</f>
        <v>0</v>
      </c>
    </row>
    <row r="66" spans="1:18" ht="15.75" thickBot="1">
      <c r="A66" s="1894"/>
      <c r="B66" s="169" t="s">
        <v>1692</v>
      </c>
      <c r="C66" s="169" t="s">
        <v>1211</v>
      </c>
      <c r="D66" s="2074"/>
      <c r="E66" s="2074"/>
      <c r="F66" s="2074"/>
      <c r="G66" s="2074"/>
      <c r="H66" s="2075"/>
      <c r="I66" s="529"/>
      <c r="J66" s="1378">
        <f t="shared" si="3"/>
        <v>0</v>
      </c>
      <c r="K66" s="1379">
        <f>$I$66*'[1]Travel 2022'!I58</f>
        <v>0</v>
      </c>
      <c r="L66" s="1379">
        <f>$I$66*'[1]Travel 2022'!J58</f>
        <v>0</v>
      </c>
      <c r="M66" s="1379">
        <f>$I$66*'[1]Travel 2022'!K58</f>
        <v>0</v>
      </c>
      <c r="N66" s="529"/>
      <c r="O66" s="1378">
        <f t="shared" si="4"/>
        <v>0</v>
      </c>
      <c r="P66" s="1379">
        <f>$N$66*'[1]Travel 2022'!M58</f>
        <v>0</v>
      </c>
      <c r="Q66" s="1379">
        <f>$N$66*'[1]Travel 2022'!N58</f>
        <v>0</v>
      </c>
      <c r="R66" s="1379">
        <f>$N$66*'[1]Travel 2022'!O58</f>
        <v>0</v>
      </c>
    </row>
    <row r="67" spans="1:18" ht="15.75" thickBot="1">
      <c r="A67" s="1894"/>
      <c r="B67" s="169" t="s">
        <v>1214</v>
      </c>
      <c r="C67" s="169" t="s">
        <v>1211</v>
      </c>
      <c r="D67" s="2074"/>
      <c r="E67" s="2074"/>
      <c r="F67" s="2074"/>
      <c r="G67" s="2074"/>
      <c r="H67" s="2075"/>
      <c r="I67" s="529"/>
      <c r="J67" s="1378">
        <f t="shared" si="3"/>
        <v>0</v>
      </c>
      <c r="K67" s="1379">
        <f>$I$67*'[1]Travel 2022'!I59</f>
        <v>0</v>
      </c>
      <c r="L67" s="1379">
        <f>$I$67*'[1]Travel 2022'!J59</f>
        <v>0</v>
      </c>
      <c r="M67" s="1379">
        <f>$I$67*'[1]Travel 2022'!K59</f>
        <v>0</v>
      </c>
      <c r="N67" s="529"/>
      <c r="O67" s="1378">
        <f t="shared" si="4"/>
        <v>0</v>
      </c>
      <c r="P67" s="1379">
        <f>$N$67*'[1]Travel 2022'!M59</f>
        <v>0</v>
      </c>
      <c r="Q67" s="1379">
        <f>$N$67*'[1]Travel 2022'!N59</f>
        <v>0</v>
      </c>
      <c r="R67" s="1379">
        <f>$N$67*'[1]Travel 2022'!O59</f>
        <v>0</v>
      </c>
    </row>
    <row r="68" spans="1:18" ht="15.75" thickBot="1">
      <c r="A68" s="1894"/>
      <c r="B68" s="1460" t="s">
        <v>1215</v>
      </c>
      <c r="C68" s="169" t="s">
        <v>1211</v>
      </c>
      <c r="D68" s="2074"/>
      <c r="E68" s="2074"/>
      <c r="F68" s="2074"/>
      <c r="G68" s="2074"/>
      <c r="H68" s="2075"/>
      <c r="I68" s="529"/>
      <c r="J68" s="1378">
        <f t="shared" si="3"/>
        <v>0</v>
      </c>
      <c r="K68" s="1379">
        <f>$I$68*'[1]Travel 2022'!I60</f>
        <v>0</v>
      </c>
      <c r="L68" s="1379">
        <f>$I$68*'[1]Travel 2022'!J60</f>
        <v>0</v>
      </c>
      <c r="M68" s="1379">
        <f>$I$68*'[1]Travel 2022'!K60</f>
        <v>0</v>
      </c>
      <c r="N68" s="529"/>
      <c r="O68" s="1378">
        <f t="shared" si="4"/>
        <v>0</v>
      </c>
      <c r="P68" s="1379">
        <f>$N$68*'[1]Travel 2022'!M60</f>
        <v>0</v>
      </c>
      <c r="Q68" s="1379">
        <f>$N$68*'[1]Travel 2022'!N60</f>
        <v>0</v>
      </c>
      <c r="R68" s="1379">
        <f>$N$68*'[1]Travel 2022'!O60</f>
        <v>0</v>
      </c>
    </row>
    <row r="69" spans="1:18" ht="15.75" customHeight="1" thickBot="1">
      <c r="A69" s="1894" t="s">
        <v>1224</v>
      </c>
      <c r="B69" s="169" t="s">
        <v>1210</v>
      </c>
      <c r="C69" s="169" t="s">
        <v>1211</v>
      </c>
      <c r="D69" s="2074"/>
      <c r="E69" s="2074"/>
      <c r="F69" s="2074"/>
      <c r="G69" s="2074"/>
      <c r="H69" s="2075"/>
      <c r="I69" s="529"/>
      <c r="J69" s="1378">
        <f t="shared" si="3"/>
        <v>0</v>
      </c>
      <c r="K69" s="1379">
        <f>$I$69*'[1]Travel 2022'!I61</f>
        <v>0</v>
      </c>
      <c r="L69" s="1379">
        <f>$I$69*'[1]Travel 2022'!J61</f>
        <v>0</v>
      </c>
      <c r="M69" s="1379">
        <f>$I$69*'[1]Travel 2022'!K61</f>
        <v>0</v>
      </c>
      <c r="N69" s="529"/>
      <c r="O69" s="1378">
        <f t="shared" si="4"/>
        <v>0</v>
      </c>
      <c r="P69" s="1379">
        <f>$N$69*'[1]Travel 2022'!M61</f>
        <v>0</v>
      </c>
      <c r="Q69" s="1379">
        <f>$N$69*'[1]Travel 2022'!N61</f>
        <v>0</v>
      </c>
      <c r="R69" s="1379">
        <f>$N$69*'[1]Travel 2022'!O61</f>
        <v>0</v>
      </c>
    </row>
    <row r="70" spans="1:18" ht="15.75" thickBot="1">
      <c r="A70" s="1894"/>
      <c r="B70" s="169" t="s">
        <v>1691</v>
      </c>
      <c r="C70" s="169" t="s">
        <v>1211</v>
      </c>
      <c r="D70" s="2074"/>
      <c r="E70" s="2074"/>
      <c r="F70" s="2074"/>
      <c r="G70" s="2074"/>
      <c r="H70" s="2075"/>
      <c r="I70" s="529"/>
      <c r="J70" s="1378">
        <f t="shared" si="3"/>
        <v>0</v>
      </c>
      <c r="K70" s="1379">
        <f>$I$70*'[1]Travel 2022'!I62</f>
        <v>0</v>
      </c>
      <c r="L70" s="1379">
        <f>$I$70*'[1]Travel 2022'!J62</f>
        <v>0</v>
      </c>
      <c r="M70" s="1379">
        <f>$I$70*'[1]Travel 2022'!K62</f>
        <v>0</v>
      </c>
      <c r="N70" s="529"/>
      <c r="O70" s="1378">
        <f t="shared" si="4"/>
        <v>0</v>
      </c>
      <c r="P70" s="1379">
        <f>$N$70*'[1]Travel 2022'!M62</f>
        <v>0</v>
      </c>
      <c r="Q70" s="1379">
        <f>$N$70*'[1]Travel 2022'!N62</f>
        <v>0</v>
      </c>
      <c r="R70" s="1379">
        <f>$N$70*'[1]Travel 2022'!O62</f>
        <v>0</v>
      </c>
    </row>
    <row r="71" spans="1:18" ht="15.75" thickBot="1">
      <c r="A71" s="1894"/>
      <c r="B71" s="169" t="s">
        <v>1692</v>
      </c>
      <c r="C71" s="169" t="s">
        <v>1211</v>
      </c>
      <c r="D71" s="2074"/>
      <c r="E71" s="2074"/>
      <c r="F71" s="2074"/>
      <c r="G71" s="2074"/>
      <c r="H71" s="2075"/>
      <c r="I71" s="529"/>
      <c r="J71" s="1378">
        <f t="shared" si="3"/>
        <v>0</v>
      </c>
      <c r="K71" s="1379">
        <f>$I$71*'[1]Travel 2022'!I63</f>
        <v>0</v>
      </c>
      <c r="L71" s="1379">
        <f>$I$71*'[1]Travel 2022'!J63</f>
        <v>0</v>
      </c>
      <c r="M71" s="1379">
        <f>$I$71*'[1]Travel 2022'!K63</f>
        <v>0</v>
      </c>
      <c r="N71" s="529"/>
      <c r="O71" s="1378">
        <f t="shared" si="4"/>
        <v>0</v>
      </c>
      <c r="P71" s="1379">
        <f>$N$71*'[1]Travel 2022'!M63</f>
        <v>0</v>
      </c>
      <c r="Q71" s="1379">
        <f>$N$71*'[1]Travel 2022'!N63</f>
        <v>0</v>
      </c>
      <c r="R71" s="1379">
        <f>$N$71*'[1]Travel 2022'!O63</f>
        <v>0</v>
      </c>
    </row>
    <row r="72" spans="1:18" ht="15.75" thickBot="1">
      <c r="A72" s="1894"/>
      <c r="B72" s="169" t="s">
        <v>1214</v>
      </c>
      <c r="C72" s="169" t="s">
        <v>1211</v>
      </c>
      <c r="D72" s="2074"/>
      <c r="E72" s="2074"/>
      <c r="F72" s="2074"/>
      <c r="G72" s="2074"/>
      <c r="H72" s="2075"/>
      <c r="I72" s="529"/>
      <c r="J72" s="1378">
        <f t="shared" si="3"/>
        <v>0</v>
      </c>
      <c r="K72" s="1379">
        <f>$I$72*'[1]Travel 2022'!I64</f>
        <v>0</v>
      </c>
      <c r="L72" s="1379">
        <f>$I$72*'[1]Travel 2022'!J64</f>
        <v>0</v>
      </c>
      <c r="M72" s="1379">
        <f>$I$72*'[1]Travel 2022'!K64</f>
        <v>0</v>
      </c>
      <c r="N72" s="529"/>
      <c r="O72" s="1378">
        <f t="shared" si="4"/>
        <v>0</v>
      </c>
      <c r="P72" s="1379">
        <f>$N$72*'[1]Travel 2022'!M64</f>
        <v>0</v>
      </c>
      <c r="Q72" s="1379">
        <f>$N$72*'[1]Travel 2022'!N64</f>
        <v>0</v>
      </c>
      <c r="R72" s="1379">
        <f>$N$72*'[1]Travel 2022'!O64</f>
        <v>0</v>
      </c>
    </row>
    <row r="73" spans="1:18" ht="15.75" thickBot="1">
      <c r="A73" s="1894"/>
      <c r="B73" s="1460" t="s">
        <v>1215</v>
      </c>
      <c r="C73" s="169" t="s">
        <v>1211</v>
      </c>
      <c r="D73" s="2076"/>
      <c r="E73" s="2074"/>
      <c r="F73" s="2074"/>
      <c r="G73" s="2074"/>
      <c r="H73" s="2075"/>
      <c r="I73" s="529"/>
      <c r="J73" s="1378">
        <f t="shared" si="3"/>
        <v>0</v>
      </c>
      <c r="K73" s="1379">
        <f>$I$73*'[1]Travel 2022'!I65</f>
        <v>0</v>
      </c>
      <c r="L73" s="1379">
        <f>$I$73*'[1]Travel 2022'!J65</f>
        <v>0</v>
      </c>
      <c r="M73" s="1379">
        <f>$I$73*'[1]Travel 2022'!K65</f>
        <v>0</v>
      </c>
      <c r="N73" s="529"/>
      <c r="O73" s="1378">
        <f t="shared" si="4"/>
        <v>0</v>
      </c>
      <c r="P73" s="1379">
        <f>$N$73*'[1]Travel 2022'!M65</f>
        <v>0</v>
      </c>
      <c r="Q73" s="1379">
        <f>$N$73*'[1]Travel 2022'!N65</f>
        <v>0</v>
      </c>
      <c r="R73" s="1379">
        <f>$N$73*'[1]Travel 2022'!O65</f>
        <v>0</v>
      </c>
    </row>
    <row r="74" spans="1:18" ht="15.75" thickBot="1">
      <c r="A74" s="1894" t="s">
        <v>1225</v>
      </c>
      <c r="B74" s="164" t="s">
        <v>1226</v>
      </c>
      <c r="C74" s="137" t="s">
        <v>1211</v>
      </c>
      <c r="D74" s="529"/>
      <c r="E74" s="1378">
        <f>SUM(F74:H74)</f>
        <v>0</v>
      </c>
      <c r="F74" s="1379">
        <f>$D$74*'[1]Travel 2022'!E66</f>
        <v>0</v>
      </c>
      <c r="G74" s="1379">
        <f>$D$74*'[1]Travel 2022'!F66</f>
        <v>0</v>
      </c>
      <c r="H74" s="1379">
        <f>$D$74*'[1]Travel 2022'!G66</f>
        <v>0</v>
      </c>
      <c r="I74" s="529"/>
      <c r="J74" s="1378">
        <f t="shared" si="3"/>
        <v>0</v>
      </c>
      <c r="K74" s="1379">
        <f>$I$74*'[1]Travel 2022'!I66</f>
        <v>0</v>
      </c>
      <c r="L74" s="1379">
        <f>$I$74*'[1]Travel 2022'!J66</f>
        <v>0</v>
      </c>
      <c r="M74" s="1379">
        <f>$I$74*'[1]Travel 2022'!K66</f>
        <v>0</v>
      </c>
      <c r="N74" s="529"/>
      <c r="O74" s="1378">
        <f t="shared" si="4"/>
        <v>0</v>
      </c>
      <c r="P74" s="1379">
        <f>$N$74*'[1]Travel 2022'!M66</f>
        <v>0</v>
      </c>
      <c r="Q74" s="1379">
        <f>$N$74*'[1]Travel 2022'!N66</f>
        <v>0</v>
      </c>
      <c r="R74" s="1379">
        <f>$N$74*'[1]Travel 2022'!O66</f>
        <v>0</v>
      </c>
    </row>
    <row r="75" spans="1:18" ht="15.75" thickBot="1">
      <c r="A75" s="1894"/>
      <c r="B75" s="164" t="s">
        <v>1227</v>
      </c>
      <c r="C75" s="137" t="s">
        <v>1211</v>
      </c>
      <c r="D75" s="529"/>
      <c r="E75" s="1378">
        <f>SUM(F75:H75)</f>
        <v>0</v>
      </c>
      <c r="F75" s="1379">
        <f>$D$75*'[1]Travel 2022'!E67</f>
        <v>0</v>
      </c>
      <c r="G75" s="1379">
        <f>$D$75*'[1]Travel 2022'!F67</f>
        <v>0</v>
      </c>
      <c r="H75" s="1379">
        <f>$D$75*'[1]Travel 2022'!G67</f>
        <v>0</v>
      </c>
      <c r="I75" s="529"/>
      <c r="J75" s="1378">
        <f t="shared" si="3"/>
        <v>0</v>
      </c>
      <c r="K75" s="1379">
        <f>$I$75*'[1]Travel 2022'!I67</f>
        <v>0</v>
      </c>
      <c r="L75" s="1379">
        <f>$I$75*'[1]Travel 2022'!J67</f>
        <v>0</v>
      </c>
      <c r="M75" s="1379">
        <f>$I$75*'[1]Travel 2022'!K67</f>
        <v>0</v>
      </c>
      <c r="N75" s="529"/>
      <c r="O75" s="1378">
        <f t="shared" si="4"/>
        <v>0</v>
      </c>
      <c r="P75" s="1379">
        <f>$N$75*'[1]Travel 2022'!M67</f>
        <v>0</v>
      </c>
      <c r="Q75" s="1379">
        <f>$N$75*'[1]Travel 2022'!N67</f>
        <v>0</v>
      </c>
      <c r="R75" s="1379">
        <f>$N$75*'[1]Travel 2022'!O67</f>
        <v>0</v>
      </c>
    </row>
    <row r="76" spans="1:18" ht="15.75" thickBot="1">
      <c r="A76" s="1894"/>
      <c r="B76" s="164" t="s">
        <v>1228</v>
      </c>
      <c r="C76" s="169" t="s">
        <v>1211</v>
      </c>
      <c r="D76" s="2069"/>
      <c r="E76" s="2070"/>
      <c r="F76" s="2070"/>
      <c r="G76" s="2070"/>
      <c r="H76" s="2071"/>
      <c r="I76" s="529"/>
      <c r="J76" s="1378">
        <f t="shared" si="3"/>
        <v>0</v>
      </c>
      <c r="K76" s="1379">
        <f>$I$76*'[1]Travel 2022'!I68</f>
        <v>0</v>
      </c>
      <c r="L76" s="1379">
        <f>$I$76*'[1]Travel 2022'!J68</f>
        <v>0</v>
      </c>
      <c r="M76" s="1379">
        <f>$I$76*'[1]Travel 2022'!K68</f>
        <v>0</v>
      </c>
      <c r="N76" s="529"/>
      <c r="O76" s="1378">
        <f t="shared" si="4"/>
        <v>0</v>
      </c>
      <c r="P76" s="1379">
        <f>$N$76*'[1]Travel 2022'!M68</f>
        <v>0</v>
      </c>
      <c r="Q76" s="1379">
        <f>$N$76*'[1]Travel 2022'!N68</f>
        <v>0</v>
      </c>
      <c r="R76" s="1379">
        <f>$N$76*'[1]Travel 2022'!O68</f>
        <v>0</v>
      </c>
    </row>
    <row r="77" spans="1:18">
      <c r="A77" s="1894"/>
      <c r="B77" s="164" t="s">
        <v>1229</v>
      </c>
      <c r="C77" s="169" t="s">
        <v>1211</v>
      </c>
      <c r="D77" s="2072"/>
      <c r="E77" s="2070"/>
      <c r="F77" s="2070"/>
      <c r="G77" s="2070"/>
      <c r="H77" s="2071"/>
      <c r="I77" s="529"/>
      <c r="J77" s="1378">
        <f t="shared" si="3"/>
        <v>0</v>
      </c>
      <c r="K77" s="1379">
        <f>$I$77*'[1]Travel 2022'!I69</f>
        <v>0</v>
      </c>
      <c r="L77" s="1379">
        <f>$I$77*'[1]Travel 2022'!J69</f>
        <v>0</v>
      </c>
      <c r="M77" s="1379">
        <f>$I$77*'[1]Travel 2022'!K69</f>
        <v>0</v>
      </c>
      <c r="N77" s="529"/>
      <c r="O77" s="1378">
        <f t="shared" si="4"/>
        <v>0</v>
      </c>
      <c r="P77" s="1379">
        <f>$N$77*'[1]Travel 2022'!M69</f>
        <v>0</v>
      </c>
      <c r="Q77" s="1379">
        <f>$N$77*'[1]Travel 2022'!N69</f>
        <v>0</v>
      </c>
      <c r="R77" s="1379">
        <f>$N$77*'[1]Travel 2022'!O69</f>
        <v>0</v>
      </c>
    </row>
    <row r="78" spans="1:18">
      <c r="A78" s="741"/>
      <c r="D78" s="1444" t="s">
        <v>247</v>
      </c>
      <c r="E78" s="1450">
        <f>SUM(E29:E77,J29:J77,O29:O77)</f>
        <v>0</v>
      </c>
      <c r="F78" s="175">
        <f t="shared" ref="F78:H78" si="5">SUM(F29:F77,K29:K77,P29:P77)</f>
        <v>0</v>
      </c>
      <c r="G78" s="175">
        <f t="shared" si="5"/>
        <v>0</v>
      </c>
      <c r="H78" s="175">
        <f t="shared" si="5"/>
        <v>0</v>
      </c>
      <c r="I78" s="62"/>
      <c r="J78" s="62"/>
      <c r="K78" s="62"/>
      <c r="L78" s="62"/>
      <c r="M78" s="62"/>
      <c r="N78" s="62"/>
      <c r="O78" s="62"/>
      <c r="P78" s="62"/>
      <c r="Q78" s="62"/>
      <c r="R78" s="62"/>
    </row>
    <row r="81" spans="1:8">
      <c r="A81" s="1454" t="s">
        <v>1694</v>
      </c>
      <c r="B81" s="1455"/>
      <c r="C81" s="1456"/>
      <c r="D81" s="66"/>
      <c r="E81" s="66"/>
      <c r="F81" s="66"/>
      <c r="G81" s="66"/>
      <c r="H81" s="497"/>
    </row>
    <row r="82" spans="1:8">
      <c r="A82" s="1454"/>
      <c r="B82" s="1455"/>
      <c r="C82" s="1456"/>
      <c r="D82" s="172"/>
      <c r="E82" s="1890" t="s">
        <v>423</v>
      </c>
      <c r="F82" s="1891"/>
      <c r="G82" s="1891"/>
      <c r="H82" s="1891"/>
    </row>
    <row r="83" spans="1:8" ht="18.75" customHeight="1" thickBot="1">
      <c r="A83" s="1892" t="s">
        <v>69</v>
      </c>
      <c r="B83" s="1893"/>
      <c r="C83" s="1373" t="s">
        <v>70</v>
      </c>
      <c r="D83" s="1457" t="s">
        <v>424</v>
      </c>
      <c r="E83" s="1375" t="s">
        <v>59</v>
      </c>
      <c r="F83" s="485" t="s">
        <v>425</v>
      </c>
      <c r="G83" s="485" t="s">
        <v>426</v>
      </c>
      <c r="H83" s="485" t="s">
        <v>427</v>
      </c>
    </row>
    <row r="84" spans="1:8" ht="15" customHeight="1" thickBot="1">
      <c r="A84" s="2047" t="s">
        <v>1695</v>
      </c>
      <c r="B84" s="164" t="s">
        <v>222</v>
      </c>
      <c r="C84" s="137" t="s">
        <v>1211</v>
      </c>
      <c r="D84" s="524"/>
      <c r="E84" s="1378">
        <f>SUM(F84:H84)</f>
        <v>0</v>
      </c>
      <c r="F84" s="1379">
        <f>$D$84*'[1]Travel 2022'!E73</f>
        <v>0</v>
      </c>
      <c r="G84" s="1379">
        <f>$D$84*'[1]Travel 2022'!F73</f>
        <v>0</v>
      </c>
      <c r="H84" s="1379">
        <f>$D$84*'[1]Travel 2022'!G73</f>
        <v>0</v>
      </c>
    </row>
    <row r="85" spans="1:8" ht="15.75" thickBot="1">
      <c r="A85" s="2047"/>
      <c r="B85" s="164" t="s">
        <v>90</v>
      </c>
      <c r="C85" s="137" t="s">
        <v>1211</v>
      </c>
      <c r="D85" s="524"/>
      <c r="E85" s="1378">
        <f t="shared" ref="E85:E103" si="6">SUM(F85:H85)</f>
        <v>0</v>
      </c>
      <c r="F85" s="1379">
        <f>$D$85*'[1]Travel 2022'!E74</f>
        <v>0</v>
      </c>
      <c r="G85" s="1379">
        <f>$D$85*'[1]Travel 2022'!F74</f>
        <v>0</v>
      </c>
      <c r="H85" s="1379">
        <f>$D$85*'[1]Travel 2022'!G74</f>
        <v>0</v>
      </c>
    </row>
    <row r="86" spans="1:8" ht="15.75" thickBot="1">
      <c r="A86" s="2047"/>
      <c r="B86" s="164" t="s">
        <v>1232</v>
      </c>
      <c r="C86" s="137" t="s">
        <v>1211</v>
      </c>
      <c r="D86" s="524"/>
      <c r="E86" s="1378">
        <f t="shared" si="6"/>
        <v>0</v>
      </c>
      <c r="F86" s="1379">
        <f>$D$86*'[1]Travel 2022'!E75</f>
        <v>0</v>
      </c>
      <c r="G86" s="1379">
        <f>$D$86*'[1]Travel 2022'!F75</f>
        <v>0</v>
      </c>
      <c r="H86" s="1379">
        <f>$D$86*'[1]Travel 2022'!G75</f>
        <v>0</v>
      </c>
    </row>
    <row r="87" spans="1:8" ht="15.75" thickBot="1">
      <c r="A87" s="2047"/>
      <c r="B87" s="164" t="s">
        <v>1233</v>
      </c>
      <c r="C87" s="137" t="s">
        <v>1211</v>
      </c>
      <c r="D87" s="524"/>
      <c r="E87" s="1378">
        <f t="shared" si="6"/>
        <v>0</v>
      </c>
      <c r="F87" s="1379">
        <f>$D$87*'[1]Travel 2022'!E76</f>
        <v>0</v>
      </c>
      <c r="G87" s="1379">
        <f>$D$87*'[1]Travel 2022'!F76</f>
        <v>0</v>
      </c>
      <c r="H87" s="1379">
        <f>$D$87*'[1]Travel 2022'!G76</f>
        <v>0</v>
      </c>
    </row>
    <row r="88" spans="1:8" ht="30.75" thickBot="1">
      <c r="A88" s="2047"/>
      <c r="B88" s="164" t="s">
        <v>1234</v>
      </c>
      <c r="C88" s="137" t="s">
        <v>1211</v>
      </c>
      <c r="D88" s="524"/>
      <c r="E88" s="1378">
        <f t="shared" si="6"/>
        <v>0</v>
      </c>
      <c r="F88" s="1379">
        <f>$D$88*'[1]Travel 2022'!E77</f>
        <v>0</v>
      </c>
      <c r="G88" s="1379">
        <f>$D$88*'[1]Travel 2022'!F77</f>
        <v>0</v>
      </c>
      <c r="H88" s="1379">
        <f>$D$88*'[1]Travel 2022'!G77</f>
        <v>0</v>
      </c>
    </row>
    <row r="89" spans="1:8" ht="30.75" thickBot="1">
      <c r="A89" s="2047"/>
      <c r="B89" s="164" t="s">
        <v>1235</v>
      </c>
      <c r="C89" s="137" t="s">
        <v>1211</v>
      </c>
      <c r="D89" s="524"/>
      <c r="E89" s="1378">
        <f t="shared" si="6"/>
        <v>0</v>
      </c>
      <c r="F89" s="1379">
        <f>$D$89*'[1]Travel 2022'!E78</f>
        <v>0</v>
      </c>
      <c r="G89" s="1379">
        <f>$D$89*'[1]Travel 2022'!F78</f>
        <v>0</v>
      </c>
      <c r="H89" s="1379">
        <f>$D$89*'[1]Travel 2022'!G78</f>
        <v>0</v>
      </c>
    </row>
    <row r="90" spans="1:8" ht="30.75" thickBot="1">
      <c r="A90" s="2047"/>
      <c r="B90" s="164" t="s">
        <v>1236</v>
      </c>
      <c r="C90" s="137" t="s">
        <v>1211</v>
      </c>
      <c r="D90" s="524"/>
      <c r="E90" s="1378">
        <f t="shared" si="6"/>
        <v>0</v>
      </c>
      <c r="F90" s="1379">
        <f>$D$90*'[1]Travel 2022'!E79</f>
        <v>0</v>
      </c>
      <c r="G90" s="1379">
        <f>$D$90*'[1]Travel 2022'!F79</f>
        <v>0</v>
      </c>
      <c r="H90" s="1379">
        <f>$D$90*'[1]Travel 2022'!G79</f>
        <v>0</v>
      </c>
    </row>
    <row r="91" spans="1:8" ht="30.75" thickBot="1">
      <c r="A91" s="2047"/>
      <c r="B91" s="164" t="s">
        <v>1237</v>
      </c>
      <c r="C91" s="137" t="s">
        <v>1211</v>
      </c>
      <c r="D91" s="524"/>
      <c r="E91" s="1378">
        <f t="shared" si="6"/>
        <v>0</v>
      </c>
      <c r="F91" s="1379">
        <f>$D$91*'[1]Travel 2022'!E80</f>
        <v>0</v>
      </c>
      <c r="G91" s="1379">
        <f>$D$91*'[1]Travel 2022'!F80</f>
        <v>0</v>
      </c>
      <c r="H91" s="1379">
        <f>$D$91*'[1]Travel 2022'!G80</f>
        <v>0</v>
      </c>
    </row>
    <row r="92" spans="1:8" ht="15.75" thickBot="1">
      <c r="A92" s="2047"/>
      <c r="B92" s="164" t="s">
        <v>1238</v>
      </c>
      <c r="C92" s="137" t="s">
        <v>1211</v>
      </c>
      <c r="D92" s="524"/>
      <c r="E92" s="1378">
        <f t="shared" si="6"/>
        <v>0</v>
      </c>
      <c r="F92" s="1379">
        <f>$D$92*'[1]Travel 2022'!E81</f>
        <v>0</v>
      </c>
      <c r="G92" s="1379">
        <f>$D$92*'[1]Travel 2022'!F81</f>
        <v>0</v>
      </c>
      <c r="H92" s="1379">
        <f>$D$92*'[1]Travel 2022'!G81</f>
        <v>0</v>
      </c>
    </row>
    <row r="93" spans="1:8" ht="15" customHeight="1" thickBot="1">
      <c r="A93" s="1894" t="s">
        <v>1696</v>
      </c>
      <c r="B93" s="164" t="s">
        <v>222</v>
      </c>
      <c r="C93" s="137" t="s">
        <v>1211</v>
      </c>
      <c r="D93" s="524"/>
      <c r="E93" s="1378">
        <f t="shared" si="6"/>
        <v>0</v>
      </c>
      <c r="F93" s="1379">
        <f>$D$93*'[1]Travel 2022'!E82</f>
        <v>0</v>
      </c>
      <c r="G93" s="1379">
        <f>$D$93*'[1]Travel 2022'!F82</f>
        <v>0</v>
      </c>
      <c r="H93" s="1379">
        <f>$D$93*'[1]Travel 2022'!G82</f>
        <v>0</v>
      </c>
    </row>
    <row r="94" spans="1:8" ht="15.75" thickBot="1">
      <c r="A94" s="1894"/>
      <c r="B94" s="164" t="s">
        <v>90</v>
      </c>
      <c r="C94" s="137" t="s">
        <v>1211</v>
      </c>
      <c r="D94" s="524"/>
      <c r="E94" s="1378">
        <f t="shared" si="6"/>
        <v>0</v>
      </c>
      <c r="F94" s="1379">
        <f>$D$94*'[1]Travel 2022'!E83</f>
        <v>0</v>
      </c>
      <c r="G94" s="1379">
        <f>$D$94*'[1]Travel 2022'!F83</f>
        <v>0</v>
      </c>
      <c r="H94" s="1379">
        <f>$D$94*'[1]Travel 2022'!G83</f>
        <v>0</v>
      </c>
    </row>
    <row r="95" spans="1:8" ht="15.75" thickBot="1">
      <c r="A95" s="1894"/>
      <c r="B95" s="164" t="s">
        <v>1232</v>
      </c>
      <c r="C95" s="137" t="s">
        <v>1211</v>
      </c>
      <c r="D95" s="524"/>
      <c r="E95" s="1378">
        <f t="shared" si="6"/>
        <v>0</v>
      </c>
      <c r="F95" s="1379">
        <f>$D$95*'[1]Travel 2022'!E84</f>
        <v>0</v>
      </c>
      <c r="G95" s="1379">
        <f>$D$95*'[1]Travel 2022'!F84</f>
        <v>0</v>
      </c>
      <c r="H95" s="1379">
        <f>$D$95*'[1]Travel 2022'!G84</f>
        <v>0</v>
      </c>
    </row>
    <row r="96" spans="1:8" ht="15.75" thickBot="1">
      <c r="A96" s="1894"/>
      <c r="B96" s="164" t="s">
        <v>1233</v>
      </c>
      <c r="C96" s="137" t="s">
        <v>1211</v>
      </c>
      <c r="D96" s="524"/>
      <c r="E96" s="1378">
        <f>SUM(F96:H96)</f>
        <v>0</v>
      </c>
      <c r="F96" s="1379">
        <f>$D$96*'[1]Travel 2022'!E85</f>
        <v>0</v>
      </c>
      <c r="G96" s="1379">
        <f>$D$96*'[1]Travel 2022'!F85</f>
        <v>0</v>
      </c>
      <c r="H96" s="1379">
        <f>$D$96*'[1]Travel 2022'!G85</f>
        <v>0</v>
      </c>
    </row>
    <row r="97" spans="1:8" ht="30.75" thickBot="1">
      <c r="A97" s="1894"/>
      <c r="B97" s="164" t="s">
        <v>1234</v>
      </c>
      <c r="C97" s="137" t="s">
        <v>1211</v>
      </c>
      <c r="D97" s="524"/>
      <c r="E97" s="1378">
        <f t="shared" si="6"/>
        <v>0</v>
      </c>
      <c r="F97" s="1379">
        <f>$D$97*'[1]Travel 2022'!E86</f>
        <v>0</v>
      </c>
      <c r="G97" s="1379">
        <f>$D$97*'[1]Travel 2022'!F86</f>
        <v>0</v>
      </c>
      <c r="H97" s="1379">
        <f>$D$97*'[1]Travel 2022'!G86</f>
        <v>0</v>
      </c>
    </row>
    <row r="98" spans="1:8" ht="30.75" thickBot="1">
      <c r="A98" s="1894"/>
      <c r="B98" s="164" t="s">
        <v>1235</v>
      </c>
      <c r="C98" s="137" t="s">
        <v>1211</v>
      </c>
      <c r="D98" s="524"/>
      <c r="E98" s="1378">
        <f t="shared" si="6"/>
        <v>0</v>
      </c>
      <c r="F98" s="1379">
        <f>$D$98*'[1]Travel 2022'!E87</f>
        <v>0</v>
      </c>
      <c r="G98" s="1379">
        <f>$D$98*'[1]Travel 2022'!F87</f>
        <v>0</v>
      </c>
      <c r="H98" s="1379">
        <f>$D$98*'[1]Travel 2022'!G87</f>
        <v>0</v>
      </c>
    </row>
    <row r="99" spans="1:8" ht="30.75" thickBot="1">
      <c r="A99" s="1894"/>
      <c r="B99" s="164" t="s">
        <v>1236</v>
      </c>
      <c r="C99" s="137" t="s">
        <v>1211</v>
      </c>
      <c r="D99" s="524"/>
      <c r="E99" s="1378">
        <f t="shared" si="6"/>
        <v>0</v>
      </c>
      <c r="F99" s="1379">
        <f>$D$99*'[1]Travel 2022'!E88</f>
        <v>0</v>
      </c>
      <c r="G99" s="1379">
        <f>$D$99*'[1]Travel 2022'!F88</f>
        <v>0</v>
      </c>
      <c r="H99" s="1379">
        <f>$D$99*'[1]Travel 2022'!G88</f>
        <v>0</v>
      </c>
    </row>
    <row r="100" spans="1:8" ht="30.75" thickBot="1">
      <c r="A100" s="1894"/>
      <c r="B100" s="164" t="s">
        <v>1237</v>
      </c>
      <c r="C100" s="137" t="s">
        <v>1211</v>
      </c>
      <c r="D100" s="524"/>
      <c r="E100" s="1378">
        <f t="shared" si="6"/>
        <v>0</v>
      </c>
      <c r="F100" s="1379">
        <f>$D$100*'[1]Travel 2022'!E89</f>
        <v>0</v>
      </c>
      <c r="G100" s="1379">
        <f>$D$100*'[1]Travel 2022'!F89</f>
        <v>0</v>
      </c>
      <c r="H100" s="1379">
        <f>$D$100*'[1]Travel 2022'!G89</f>
        <v>0</v>
      </c>
    </row>
    <row r="101" spans="1:8" ht="15.75" thickBot="1">
      <c r="A101" s="1894"/>
      <c r="B101" s="164" t="s">
        <v>1238</v>
      </c>
      <c r="C101" s="137" t="s">
        <v>1211</v>
      </c>
      <c r="D101" s="524"/>
      <c r="E101" s="1378">
        <f t="shared" si="6"/>
        <v>0</v>
      </c>
      <c r="F101" s="1379">
        <f>$D$101*'[1]Travel 2022'!E90</f>
        <v>0</v>
      </c>
      <c r="G101" s="1379">
        <f>$D$101*'[1]Travel 2022'!F90</f>
        <v>0</v>
      </c>
      <c r="H101" s="1379">
        <f>$D$101*'[1]Travel 2022'!G90</f>
        <v>0</v>
      </c>
    </row>
    <row r="102" spans="1:8" ht="75.75" thickBot="1">
      <c r="A102" s="1894" t="s">
        <v>1240</v>
      </c>
      <c r="B102" s="164" t="s">
        <v>1697</v>
      </c>
      <c r="C102" s="137" t="s">
        <v>1211</v>
      </c>
      <c r="D102" s="524"/>
      <c r="E102" s="1378">
        <f t="shared" si="6"/>
        <v>0</v>
      </c>
      <c r="F102" s="1379">
        <f>$D$102*'[1]Travel 2022'!E91</f>
        <v>0</v>
      </c>
      <c r="G102" s="1379">
        <f>$D$102*'[1]Travel 2022'!F91</f>
        <v>0</v>
      </c>
      <c r="H102" s="1379">
        <f>$D$102*'[1]Travel 2022'!G91</f>
        <v>0</v>
      </c>
    </row>
    <row r="103" spans="1:8" ht="30">
      <c r="A103" s="1894"/>
      <c r="B103" s="164" t="s">
        <v>1698</v>
      </c>
      <c r="C103" s="137" t="s">
        <v>1243</v>
      </c>
      <c r="D103" s="1342"/>
      <c r="E103" s="1378">
        <f t="shared" si="6"/>
        <v>0</v>
      </c>
      <c r="F103" s="1379">
        <f>$D$103*'[1]Travel 2022'!E92</f>
        <v>0</v>
      </c>
      <c r="G103" s="1379">
        <f>$D$103*'[1]Travel 2022'!F92</f>
        <v>0</v>
      </c>
      <c r="H103" s="1379">
        <f>$D$103*'[1]Travel 2022'!G92</f>
        <v>0</v>
      </c>
    </row>
    <row r="104" spans="1:8">
      <c r="D104" s="1444" t="s">
        <v>247</v>
      </c>
      <c r="E104" s="1378">
        <f>SUM(E84:E103)</f>
        <v>0</v>
      </c>
      <c r="F104" s="1453">
        <f>SUM(F84:F103)</f>
        <v>0</v>
      </c>
      <c r="G104" s="1453">
        <f t="shared" ref="G104:H104" si="7">SUM(G84:G103)</f>
        <v>0</v>
      </c>
      <c r="H104" s="1453">
        <f t="shared" si="7"/>
        <v>0</v>
      </c>
    </row>
    <row r="106" spans="1:8">
      <c r="A106" s="1454" t="s">
        <v>1244</v>
      </c>
      <c r="B106" s="1455"/>
      <c r="C106" s="1456"/>
      <c r="D106" s="66"/>
      <c r="E106" s="66"/>
      <c r="F106" s="66"/>
      <c r="G106" s="66"/>
      <c r="H106" s="497"/>
    </row>
    <row r="107" spans="1:8">
      <c r="A107" s="1454"/>
      <c r="B107" s="1455"/>
      <c r="C107" s="1456"/>
      <c r="D107" s="172"/>
      <c r="E107" s="2045" t="s">
        <v>423</v>
      </c>
      <c r="F107" s="2045"/>
      <c r="G107" s="2045"/>
      <c r="H107" s="1890"/>
    </row>
    <row r="108" spans="1:8" ht="18.75" thickBot="1">
      <c r="A108" s="1892" t="s">
        <v>69</v>
      </c>
      <c r="B108" s="1893"/>
      <c r="C108" s="1373" t="s">
        <v>70</v>
      </c>
      <c r="D108" s="1457" t="s">
        <v>424</v>
      </c>
      <c r="E108" s="1375" t="s">
        <v>59</v>
      </c>
      <c r="F108" s="485" t="s">
        <v>425</v>
      </c>
      <c r="G108" s="485" t="s">
        <v>426</v>
      </c>
      <c r="H108" s="485" t="s">
        <v>427</v>
      </c>
    </row>
    <row r="109" spans="1:8" ht="15.75" customHeight="1">
      <c r="A109" s="1894" t="s">
        <v>1245</v>
      </c>
      <c r="B109" s="164" t="s">
        <v>1246</v>
      </c>
      <c r="C109" s="137" t="s">
        <v>1211</v>
      </c>
      <c r="D109" s="1411"/>
      <c r="E109" s="1378">
        <f>SUM(F109:H109)</f>
        <v>0</v>
      </c>
      <c r="F109" s="1379">
        <f>$D$109*'[1]Travel 2022'!E96</f>
        <v>0</v>
      </c>
      <c r="G109" s="1379">
        <f>$D$109*'[1]Travel 2022'!F96</f>
        <v>0</v>
      </c>
      <c r="H109" s="1379">
        <f>$D$109*'[1]Travel 2022'!G96</f>
        <v>0</v>
      </c>
    </row>
    <row r="110" spans="1:8" ht="15.75" customHeight="1">
      <c r="A110" s="1894"/>
      <c r="B110" s="164" t="s">
        <v>1248</v>
      </c>
      <c r="C110" s="137" t="s">
        <v>1211</v>
      </c>
      <c r="D110" s="1430"/>
      <c r="E110" s="1378">
        <f t="shared" ref="E110:E117" si="8">SUM(F110:H110)</f>
        <v>0</v>
      </c>
      <c r="F110" s="1379">
        <f>$D$110*'[1]Travel 2022'!E97</f>
        <v>0</v>
      </c>
      <c r="G110" s="1379">
        <f>$D$110*'[1]Travel 2022'!F97</f>
        <v>0</v>
      </c>
      <c r="H110" s="1379">
        <f>$D$110*'[1]Travel 2022'!G97</f>
        <v>0</v>
      </c>
    </row>
    <row r="111" spans="1:8" ht="15.75" customHeight="1">
      <c r="A111" s="1894"/>
      <c r="B111" s="164" t="s">
        <v>1249</v>
      </c>
      <c r="C111" s="137" t="s">
        <v>1211</v>
      </c>
      <c r="D111" s="1430"/>
      <c r="E111" s="1378">
        <f t="shared" si="8"/>
        <v>0</v>
      </c>
      <c r="F111" s="1379">
        <f>$D$111*'[1]Travel 2022'!E98</f>
        <v>0</v>
      </c>
      <c r="G111" s="1379">
        <f>$D$111*'[1]Travel 2022'!F98</f>
        <v>0</v>
      </c>
      <c r="H111" s="1379">
        <f>$D$111*'[1]Travel 2022'!G98</f>
        <v>0</v>
      </c>
    </row>
    <row r="112" spans="1:8" ht="15.75" customHeight="1">
      <c r="A112" s="1894" t="s">
        <v>1699</v>
      </c>
      <c r="B112" s="164" t="s">
        <v>1246</v>
      </c>
      <c r="C112" s="137" t="s">
        <v>1211</v>
      </c>
      <c r="D112" s="1430"/>
      <c r="E112" s="1378">
        <f t="shared" si="8"/>
        <v>0</v>
      </c>
      <c r="F112" s="1379">
        <f>$D$112*'[1]Travel 2022'!E99</f>
        <v>0</v>
      </c>
      <c r="G112" s="1379">
        <f>$D$112*'[1]Travel 2022'!F99</f>
        <v>0</v>
      </c>
      <c r="H112" s="1379">
        <f>$D$112*'[1]Travel 2022'!G99</f>
        <v>0</v>
      </c>
    </row>
    <row r="113" spans="1:17" ht="15.75" customHeight="1">
      <c r="A113" s="1894"/>
      <c r="B113" s="164" t="s">
        <v>1248</v>
      </c>
      <c r="C113" s="137" t="s">
        <v>1211</v>
      </c>
      <c r="D113" s="1430"/>
      <c r="E113" s="1378">
        <f t="shared" si="8"/>
        <v>0</v>
      </c>
      <c r="F113" s="1379">
        <f>$D$113*'[1]Travel 2022'!E100</f>
        <v>0</v>
      </c>
      <c r="G113" s="1379">
        <f>$D$113*'[1]Travel 2022'!F100</f>
        <v>0</v>
      </c>
      <c r="H113" s="1379">
        <f>$D$113*'[1]Travel 2022'!G100</f>
        <v>0</v>
      </c>
    </row>
    <row r="114" spans="1:17" ht="15.75" customHeight="1">
      <c r="A114" s="1894"/>
      <c r="B114" s="164" t="s">
        <v>1249</v>
      </c>
      <c r="C114" s="137" t="s">
        <v>1211</v>
      </c>
      <c r="D114" s="1430"/>
      <c r="E114" s="1378">
        <f t="shared" si="8"/>
        <v>0</v>
      </c>
      <c r="F114" s="1379">
        <f>$D$114*'[1]Travel 2022'!E101</f>
        <v>0</v>
      </c>
      <c r="G114" s="1379">
        <f>$D$114*'[1]Travel 2022'!F101</f>
        <v>0</v>
      </c>
      <c r="H114" s="1379">
        <f>$D$114*'[1]Travel 2022'!G101</f>
        <v>0</v>
      </c>
    </row>
    <row r="115" spans="1:17">
      <c r="A115" s="1894" t="s">
        <v>1700</v>
      </c>
      <c r="B115" s="164" t="s">
        <v>1246</v>
      </c>
      <c r="C115" s="137" t="s">
        <v>1211</v>
      </c>
      <c r="D115" s="1430"/>
      <c r="E115" s="1378">
        <f t="shared" si="8"/>
        <v>0</v>
      </c>
      <c r="F115" s="1379">
        <f>$D$115*'[1]Travel 2022'!E102</f>
        <v>0</v>
      </c>
      <c r="G115" s="1379">
        <f>$D$115*'[1]Travel 2022'!F102</f>
        <v>0</v>
      </c>
      <c r="H115" s="1379">
        <f>$D$115*'[1]Travel 2022'!G102</f>
        <v>0</v>
      </c>
    </row>
    <row r="116" spans="1:17">
      <c r="A116" s="1894"/>
      <c r="B116" s="164" t="s">
        <v>1248</v>
      </c>
      <c r="C116" s="137" t="s">
        <v>1211</v>
      </c>
      <c r="D116" s="1430"/>
      <c r="E116" s="1378">
        <f t="shared" si="8"/>
        <v>0</v>
      </c>
      <c r="F116" s="1379">
        <f>$D$116*'[1]Travel 2022'!E103</f>
        <v>0</v>
      </c>
      <c r="G116" s="1379">
        <f>$D$116*'[1]Travel 2022'!F103</f>
        <v>0</v>
      </c>
      <c r="H116" s="1379">
        <f>$D$116*'[1]Travel 2022'!G103</f>
        <v>0</v>
      </c>
    </row>
    <row r="117" spans="1:17" ht="15.75" thickBot="1">
      <c r="A117" s="1894"/>
      <c r="B117" s="164" t="s">
        <v>1249</v>
      </c>
      <c r="C117" s="137" t="s">
        <v>1211</v>
      </c>
      <c r="D117" s="1431"/>
      <c r="E117" s="1378">
        <f t="shared" si="8"/>
        <v>0</v>
      </c>
      <c r="F117" s="1379">
        <f>$D$117*'[1]Travel 2022'!E104</f>
        <v>0</v>
      </c>
      <c r="G117" s="1379">
        <f>$D$117*'[1]Travel 2022'!F104</f>
        <v>0</v>
      </c>
      <c r="H117" s="1379">
        <f>$D$117*'[1]Travel 2022'!G104</f>
        <v>0</v>
      </c>
    </row>
    <row r="118" spans="1:17">
      <c r="A118" s="741"/>
      <c r="D118" s="1382" t="s">
        <v>247</v>
      </c>
      <c r="E118" s="175">
        <f>SUM(E109:E117)</f>
        <v>0</v>
      </c>
      <c r="F118" s="175">
        <f>SUM(F109:F117)</f>
        <v>0</v>
      </c>
      <c r="G118" s="175">
        <f>SUM(G109:G117)</f>
        <v>0</v>
      </c>
      <c r="H118" s="175">
        <f>SUM(H109:H117)</f>
        <v>0</v>
      </c>
    </row>
    <row r="119" spans="1:17">
      <c r="A119" s="741"/>
      <c r="D119" s="1461"/>
      <c r="E119" s="456"/>
      <c r="F119" s="456"/>
      <c r="G119" s="456"/>
      <c r="H119" s="456"/>
    </row>
    <row r="121" spans="1:17">
      <c r="A121" s="2054">
        <v>2019</v>
      </c>
      <c r="B121" s="2054"/>
      <c r="C121" s="2054"/>
      <c r="D121" s="2054"/>
      <c r="E121" s="2054"/>
      <c r="F121" s="2054"/>
      <c r="G121" s="2054"/>
      <c r="H121" s="2054"/>
      <c r="I121" s="2054"/>
      <c r="J121" s="2054"/>
      <c r="K121" s="2054"/>
      <c r="L121" s="2054"/>
      <c r="M121" s="2054"/>
      <c r="N121" s="2054"/>
      <c r="O121" s="2054"/>
      <c r="P121" s="2054"/>
      <c r="Q121" s="2054"/>
    </row>
    <row r="122" spans="1:17">
      <c r="A122" s="1454" t="s">
        <v>1701</v>
      </c>
      <c r="B122" s="1456"/>
      <c r="C122" s="1456"/>
      <c r="D122" s="66"/>
      <c r="E122" s="66"/>
      <c r="F122" s="66"/>
      <c r="G122" s="66"/>
      <c r="H122" s="497"/>
      <c r="I122" s="497"/>
      <c r="J122" s="1454" t="s">
        <v>1702</v>
      </c>
      <c r="K122" s="1456"/>
      <c r="L122" s="1456"/>
      <c r="M122" s="66"/>
      <c r="N122" s="66"/>
      <c r="O122" s="66"/>
      <c r="P122" s="66"/>
      <c r="Q122" s="497"/>
    </row>
    <row r="123" spans="1:17">
      <c r="A123" s="1454"/>
      <c r="B123" s="1456"/>
      <c r="C123" s="1456"/>
      <c r="D123" s="172"/>
      <c r="E123" s="2045" t="s">
        <v>423</v>
      </c>
      <c r="F123" s="2045"/>
      <c r="G123" s="2045"/>
      <c r="H123" s="1890"/>
      <c r="I123" s="497"/>
      <c r="J123" s="1454"/>
      <c r="K123" s="1456"/>
      <c r="L123" s="1456"/>
      <c r="M123" s="172"/>
      <c r="N123" s="2045" t="s">
        <v>423</v>
      </c>
      <c r="O123" s="2045"/>
      <c r="P123" s="2045"/>
      <c r="Q123" s="1890"/>
    </row>
    <row r="124" spans="1:17" ht="18.75" thickBot="1">
      <c r="A124" s="2046" t="s">
        <v>69</v>
      </c>
      <c r="B124" s="1893"/>
      <c r="C124" s="1373" t="s">
        <v>70</v>
      </c>
      <c r="D124" s="1457" t="s">
        <v>424</v>
      </c>
      <c r="E124" s="1462" t="s">
        <v>59</v>
      </c>
      <c r="F124" s="485" t="s">
        <v>425</v>
      </c>
      <c r="G124" s="485" t="s">
        <v>426</v>
      </c>
      <c r="H124" s="485" t="s">
        <v>427</v>
      </c>
      <c r="J124" s="1892" t="s">
        <v>69</v>
      </c>
      <c r="K124" s="1893"/>
      <c r="L124" s="1373" t="s">
        <v>70</v>
      </c>
      <c r="M124" s="1457" t="s">
        <v>424</v>
      </c>
      <c r="N124" s="1462" t="s">
        <v>59</v>
      </c>
      <c r="O124" s="485" t="s">
        <v>425</v>
      </c>
      <c r="P124" s="485" t="s">
        <v>426</v>
      </c>
      <c r="Q124" s="485" t="s">
        <v>427</v>
      </c>
    </row>
    <row r="125" spans="1:17" ht="15" customHeight="1" thickBot="1">
      <c r="A125" s="2051" t="s">
        <v>1703</v>
      </c>
      <c r="B125" s="432" t="s">
        <v>1256</v>
      </c>
      <c r="C125" s="137" t="s">
        <v>1192</v>
      </c>
      <c r="D125" s="527"/>
      <c r="E125" s="1378">
        <f>SUM(F125:H125)</f>
        <v>0</v>
      </c>
      <c r="F125" s="1379">
        <f>$D$125*'[1]Travel 2022'!E109</f>
        <v>0</v>
      </c>
      <c r="G125" s="1379">
        <f>$D$125*'[1]Travel 2022'!F109</f>
        <v>0</v>
      </c>
      <c r="H125" s="1379">
        <f>$D$125*'[1]Travel 2022'!G109</f>
        <v>0</v>
      </c>
      <c r="J125" s="2051" t="s">
        <v>1703</v>
      </c>
      <c r="K125" s="169" t="s">
        <v>1256</v>
      </c>
      <c r="L125" s="137" t="s">
        <v>1192</v>
      </c>
      <c r="M125" s="527"/>
      <c r="N125" s="1378">
        <f>SUM(O125:Q125)</f>
        <v>0</v>
      </c>
      <c r="O125" s="1379">
        <f>$M$125*'[1]Travel 2022'!I109</f>
        <v>0</v>
      </c>
      <c r="P125" s="1379">
        <f>$M$125*'[1]Travel 2022'!J109</f>
        <v>0</v>
      </c>
      <c r="Q125" s="1379">
        <f>$M$125*'[1]Travel 2022'!K109</f>
        <v>0</v>
      </c>
    </row>
    <row r="126" spans="1:17" ht="15.75" thickBot="1">
      <c r="A126" s="2052"/>
      <c r="B126" s="432" t="s">
        <v>1259</v>
      </c>
      <c r="C126" s="169" t="s">
        <v>1192</v>
      </c>
      <c r="D126" s="527"/>
      <c r="E126" s="1378">
        <f t="shared" ref="E126:E128" si="9">SUM(F126:H126)</f>
        <v>0</v>
      </c>
      <c r="F126" s="1379">
        <f>$D$126*'[1]Travel 2022'!E110</f>
        <v>0</v>
      </c>
      <c r="G126" s="1379">
        <f>$D$126*'[1]Travel 2022'!F110</f>
        <v>0</v>
      </c>
      <c r="H126" s="1379">
        <f>$D$126*'[1]Travel 2022'!G110</f>
        <v>0</v>
      </c>
      <c r="J126" s="2052"/>
      <c r="K126" s="169" t="s">
        <v>1259</v>
      </c>
      <c r="L126" s="169" t="s">
        <v>1192</v>
      </c>
      <c r="M126" s="527"/>
      <c r="N126" s="1378">
        <f t="shared" ref="N126:N128" si="10">SUM(O126:Q126)</f>
        <v>0</v>
      </c>
      <c r="O126" s="1379">
        <f>$M$126*'[1]Travel 2022'!I110</f>
        <v>0</v>
      </c>
      <c r="P126" s="1379">
        <f>$M$126*'[1]Travel 2022'!J110</f>
        <v>0</v>
      </c>
      <c r="Q126" s="1379">
        <f>$M$126*'[1]Travel 2022'!K110</f>
        <v>0</v>
      </c>
    </row>
    <row r="127" spans="1:17" ht="15.75" thickBot="1">
      <c r="A127" s="2052"/>
      <c r="B127" s="432" t="s">
        <v>1260</v>
      </c>
      <c r="C127" s="169" t="s">
        <v>1192</v>
      </c>
      <c r="D127" s="527"/>
      <c r="E127" s="1378">
        <f t="shared" si="9"/>
        <v>0</v>
      </c>
      <c r="F127" s="1379">
        <f>$D$127*'[1]Travel 2022'!E111</f>
        <v>0</v>
      </c>
      <c r="G127" s="1379">
        <f>$D$127*'[1]Travel 2022'!F111</f>
        <v>0</v>
      </c>
      <c r="H127" s="1379">
        <f>$D$127*'[1]Travel 2022'!G111</f>
        <v>0</v>
      </c>
      <c r="J127" s="2052"/>
      <c r="K127" s="169" t="s">
        <v>1260</v>
      </c>
      <c r="L127" s="169" t="s">
        <v>1192</v>
      </c>
      <c r="M127" s="527"/>
      <c r="N127" s="1378">
        <f t="shared" si="10"/>
        <v>0</v>
      </c>
      <c r="O127" s="1379">
        <f>$M$127*'[1]Travel 2022'!I111</f>
        <v>0</v>
      </c>
      <c r="P127" s="1379">
        <f>$M$127*'[1]Travel 2022'!J111</f>
        <v>0</v>
      </c>
      <c r="Q127" s="1379">
        <f>$M$127*'[1]Travel 2022'!K111</f>
        <v>0</v>
      </c>
    </row>
    <row r="128" spans="1:17">
      <c r="A128" s="2053"/>
      <c r="B128" s="432" t="s">
        <v>1261</v>
      </c>
      <c r="C128" s="169" t="s">
        <v>1192</v>
      </c>
      <c r="D128" s="1342"/>
      <c r="E128" s="1378">
        <f t="shared" si="9"/>
        <v>0</v>
      </c>
      <c r="F128" s="1379">
        <f>$D$128*'[1]Travel 2022'!E112</f>
        <v>0</v>
      </c>
      <c r="G128" s="1379">
        <f>$D$128*'[1]Travel 2022'!F112</f>
        <v>0</v>
      </c>
      <c r="H128" s="1379">
        <f>$D$128*'[1]Travel 2022'!G112</f>
        <v>0</v>
      </c>
      <c r="J128" s="2053"/>
      <c r="K128" s="169" t="s">
        <v>1261</v>
      </c>
      <c r="L128" s="169" t="s">
        <v>1192</v>
      </c>
      <c r="M128" s="1342"/>
      <c r="N128" s="1378">
        <f t="shared" si="10"/>
        <v>0</v>
      </c>
      <c r="O128" s="1379">
        <f>$M$128*'[1]Travel 2022'!I112</f>
        <v>0</v>
      </c>
      <c r="P128" s="1379">
        <f>$M$128*'[1]Travel 2022'!J112</f>
        <v>0</v>
      </c>
      <c r="Q128" s="1379">
        <f>$M$128*'[1]Travel 2022'!K112</f>
        <v>0</v>
      </c>
    </row>
    <row r="129" spans="1:17">
      <c r="D129" s="1444" t="s">
        <v>247</v>
      </c>
      <c r="E129" s="1378">
        <f>SUM(E125:E128)</f>
        <v>0</v>
      </c>
      <c r="F129" s="1453">
        <f t="shared" ref="F129:H129" si="11">SUM(F125:F128)</f>
        <v>0</v>
      </c>
      <c r="G129" s="1453">
        <f t="shared" si="11"/>
        <v>0</v>
      </c>
      <c r="H129" s="1453">
        <f t="shared" si="11"/>
        <v>0</v>
      </c>
      <c r="J129" s="166"/>
      <c r="K129" s="62"/>
      <c r="L129" s="166"/>
      <c r="M129" s="1444" t="s">
        <v>247</v>
      </c>
      <c r="N129" s="1450">
        <f>SUM(N125:N128)</f>
        <v>0</v>
      </c>
      <c r="O129" s="175">
        <f t="shared" ref="O129:Q129" si="12">SUM(O125:O128)</f>
        <v>0</v>
      </c>
      <c r="P129" s="175">
        <f t="shared" si="12"/>
        <v>0</v>
      </c>
      <c r="Q129" s="175">
        <f t="shared" si="12"/>
        <v>0</v>
      </c>
    </row>
    <row r="130" spans="1:17">
      <c r="D130" s="1461"/>
      <c r="E130" s="1463"/>
      <c r="F130" s="1463"/>
      <c r="G130" s="1463"/>
      <c r="H130" s="1463"/>
      <c r="J130" s="166"/>
      <c r="K130" s="62"/>
      <c r="L130" s="166"/>
      <c r="M130" s="1461"/>
      <c r="N130" s="456"/>
      <c r="O130" s="456"/>
      <c r="P130" s="456"/>
      <c r="Q130" s="456"/>
    </row>
    <row r="131" spans="1:17">
      <c r="A131" s="2054">
        <v>2020</v>
      </c>
      <c r="B131" s="2054"/>
      <c r="C131" s="2054"/>
      <c r="D131" s="2054"/>
      <c r="E131" s="2054"/>
      <c r="F131" s="2054"/>
      <c r="G131" s="2054"/>
      <c r="H131" s="2054"/>
      <c r="I131" s="2054"/>
      <c r="J131" s="2054"/>
      <c r="K131" s="2054"/>
      <c r="L131" s="2054"/>
      <c r="M131" s="2054"/>
      <c r="N131" s="2054"/>
      <c r="O131" s="2054"/>
      <c r="P131" s="2054"/>
      <c r="Q131" s="2054"/>
    </row>
    <row r="132" spans="1:17">
      <c r="A132" s="1454" t="s">
        <v>1701</v>
      </c>
      <c r="B132" s="1456"/>
      <c r="C132" s="1456"/>
      <c r="D132" s="66"/>
      <c r="E132" s="66"/>
      <c r="F132" s="66"/>
      <c r="G132" s="66"/>
      <c r="H132" s="497"/>
      <c r="I132" s="497"/>
      <c r="J132" s="1454" t="s">
        <v>1702</v>
      </c>
      <c r="K132" s="1456"/>
      <c r="L132" s="1456"/>
      <c r="M132" s="66"/>
      <c r="N132" s="66"/>
      <c r="O132" s="66"/>
      <c r="P132" s="66"/>
      <c r="Q132" s="497"/>
    </row>
    <row r="133" spans="1:17">
      <c r="A133" s="1454"/>
      <c r="B133" s="1456"/>
      <c r="C133" s="1456"/>
      <c r="D133" s="172"/>
      <c r="E133" s="2045" t="s">
        <v>423</v>
      </c>
      <c r="F133" s="2045"/>
      <c r="G133" s="2045"/>
      <c r="H133" s="1890"/>
      <c r="I133" s="497"/>
      <c r="J133" s="1454"/>
      <c r="K133" s="1456"/>
      <c r="L133" s="1456"/>
      <c r="M133" s="172"/>
      <c r="N133" s="2045" t="s">
        <v>423</v>
      </c>
      <c r="O133" s="2045"/>
      <c r="P133" s="2045"/>
      <c r="Q133" s="1890"/>
    </row>
    <row r="134" spans="1:17" ht="18.75" thickBot="1">
      <c r="A134" s="2046" t="s">
        <v>69</v>
      </c>
      <c r="B134" s="1893"/>
      <c r="C134" s="1373" t="s">
        <v>70</v>
      </c>
      <c r="D134" s="1457" t="s">
        <v>424</v>
      </c>
      <c r="E134" s="1462" t="s">
        <v>59</v>
      </c>
      <c r="F134" s="485" t="s">
        <v>425</v>
      </c>
      <c r="G134" s="485" t="s">
        <v>426</v>
      </c>
      <c r="H134" s="485" t="s">
        <v>427</v>
      </c>
      <c r="J134" s="1892" t="s">
        <v>69</v>
      </c>
      <c r="K134" s="1893"/>
      <c r="L134" s="1373" t="s">
        <v>70</v>
      </c>
      <c r="M134" s="1457" t="s">
        <v>424</v>
      </c>
      <c r="N134" s="1462" t="s">
        <v>59</v>
      </c>
      <c r="O134" s="485" t="s">
        <v>425</v>
      </c>
      <c r="P134" s="485" t="s">
        <v>426</v>
      </c>
      <c r="Q134" s="485" t="s">
        <v>427</v>
      </c>
    </row>
    <row r="135" spans="1:17" ht="15" customHeight="1" thickBot="1">
      <c r="A135" s="2051" t="s">
        <v>1703</v>
      </c>
      <c r="B135" s="432" t="s">
        <v>1256</v>
      </c>
      <c r="C135" s="137" t="s">
        <v>1192</v>
      </c>
      <c r="D135" s="527"/>
      <c r="E135" s="1378">
        <f>SUM(F135:H135)</f>
        <v>0</v>
      </c>
      <c r="F135" s="1379">
        <f>D135*'[1]Travel 2022'!E116</f>
        <v>0</v>
      </c>
      <c r="G135" s="1379">
        <f>$D$135*'[1]Travel 2022'!F116</f>
        <v>0</v>
      </c>
      <c r="H135" s="1379">
        <f>D135*'[1]Travel 2022'!G116</f>
        <v>0</v>
      </c>
      <c r="J135" s="2051" t="s">
        <v>1703</v>
      </c>
      <c r="K135" s="169" t="s">
        <v>1256</v>
      </c>
      <c r="L135" s="137" t="s">
        <v>1192</v>
      </c>
      <c r="M135" s="527"/>
      <c r="N135" s="1378">
        <f>SUM(O135:Q135)</f>
        <v>0</v>
      </c>
      <c r="O135" s="1379">
        <f>M135*'[1]Travel 2022'!I116</f>
        <v>0</v>
      </c>
      <c r="P135" s="1379">
        <f>M135*'[1]Travel 2022'!J116</f>
        <v>0</v>
      </c>
      <c r="Q135" s="1379">
        <f>M135*'[1]Travel 2022'!K116</f>
        <v>0</v>
      </c>
    </row>
    <row r="136" spans="1:17" ht="15.75" thickBot="1">
      <c r="A136" s="2052"/>
      <c r="B136" s="432" t="s">
        <v>1259</v>
      </c>
      <c r="C136" s="169" t="s">
        <v>1192</v>
      </c>
      <c r="D136" s="527"/>
      <c r="E136" s="1378">
        <f>SUM(F136:H136)</f>
        <v>0</v>
      </c>
      <c r="F136" s="1379">
        <f>D136*'[1]Travel 2022'!E117</f>
        <v>0</v>
      </c>
      <c r="G136" s="1379">
        <f>$D136*'[1]Travel 2022'!F117</f>
        <v>0</v>
      </c>
      <c r="H136" s="1379">
        <f>D136*'[1]Travel 2022'!G117</f>
        <v>0</v>
      </c>
      <c r="J136" s="2052"/>
      <c r="K136" s="169" t="s">
        <v>1259</v>
      </c>
      <c r="L136" s="169" t="s">
        <v>1192</v>
      </c>
      <c r="M136" s="527"/>
      <c r="N136" s="1378">
        <f t="shared" ref="N136:N138" si="13">SUM(O136:Q136)</f>
        <v>0</v>
      </c>
      <c r="O136" s="1379">
        <f>M136*'[1]Travel 2022'!I117</f>
        <v>0</v>
      </c>
      <c r="P136" s="1379">
        <f>M136*'[1]Travel 2022'!J117</f>
        <v>0</v>
      </c>
      <c r="Q136" s="1379">
        <f>M136*'[1]Travel 2022'!K117</f>
        <v>0</v>
      </c>
    </row>
    <row r="137" spans="1:17" ht="15.75" thickBot="1">
      <c r="A137" s="2052"/>
      <c r="B137" s="432" t="s">
        <v>1260</v>
      </c>
      <c r="C137" s="169" t="s">
        <v>1192</v>
      </c>
      <c r="D137" s="527"/>
      <c r="E137" s="1378">
        <f t="shared" ref="E137:E138" si="14">SUM(F137:H137)</f>
        <v>0</v>
      </c>
      <c r="F137" s="1379">
        <f>D137*'[1]Travel 2022'!E118</f>
        <v>0</v>
      </c>
      <c r="G137" s="1379">
        <f>$D137*'[1]Travel 2022'!F118</f>
        <v>0</v>
      </c>
      <c r="H137" s="1379">
        <f>D137*'[1]Travel 2022'!G118</f>
        <v>0</v>
      </c>
      <c r="J137" s="2052"/>
      <c r="K137" s="169" t="s">
        <v>1260</v>
      </c>
      <c r="L137" s="169" t="s">
        <v>1192</v>
      </c>
      <c r="M137" s="527"/>
      <c r="N137" s="1378">
        <f t="shared" si="13"/>
        <v>0</v>
      </c>
      <c r="O137" s="1379">
        <f>M137*'[1]Travel 2022'!I118</f>
        <v>0</v>
      </c>
      <c r="P137" s="1379">
        <f>M137*'[1]Travel 2022'!J118</f>
        <v>0</v>
      </c>
      <c r="Q137" s="1379">
        <f>M137*'[1]Travel 2022'!K118</f>
        <v>0</v>
      </c>
    </row>
    <row r="138" spans="1:17">
      <c r="A138" s="2053"/>
      <c r="B138" s="432" t="s">
        <v>1261</v>
      </c>
      <c r="C138" s="169" t="s">
        <v>1192</v>
      </c>
      <c r="D138" s="1342"/>
      <c r="E138" s="1378">
        <f t="shared" si="14"/>
        <v>0</v>
      </c>
      <c r="F138" s="1379">
        <f>D138*'[1]Travel 2022'!E119</f>
        <v>0</v>
      </c>
      <c r="G138" s="1379">
        <f>$D138*'[1]Travel 2022'!F119</f>
        <v>0</v>
      </c>
      <c r="H138" s="1379">
        <f>D138*'[1]Travel 2022'!G119</f>
        <v>0</v>
      </c>
      <c r="J138" s="2053"/>
      <c r="K138" s="169" t="s">
        <v>1261</v>
      </c>
      <c r="L138" s="169" t="s">
        <v>1192</v>
      </c>
      <c r="M138" s="1342"/>
      <c r="N138" s="1378">
        <f t="shared" si="13"/>
        <v>0</v>
      </c>
      <c r="O138" s="1379">
        <f>M138*'[1]Travel 2022'!I119</f>
        <v>0</v>
      </c>
      <c r="P138" s="1379">
        <f>M138*'[1]Travel 2022'!J119</f>
        <v>0</v>
      </c>
      <c r="Q138" s="1379">
        <f>M138*'[1]Travel 2022'!K119</f>
        <v>0</v>
      </c>
    </row>
    <row r="139" spans="1:17">
      <c r="D139" s="1444" t="s">
        <v>247</v>
      </c>
      <c r="E139" s="1378">
        <f>SUM(E135:E138)</f>
        <v>0</v>
      </c>
      <c r="F139" s="1453">
        <f t="shared" ref="F139:H139" si="15">SUM(F135:F138)</f>
        <v>0</v>
      </c>
      <c r="G139" s="1453">
        <f t="shared" si="15"/>
        <v>0</v>
      </c>
      <c r="H139" s="1453">
        <f t="shared" si="15"/>
        <v>0</v>
      </c>
      <c r="J139" s="166"/>
      <c r="K139" s="62"/>
      <c r="L139" s="166"/>
      <c r="M139" s="1444" t="s">
        <v>247</v>
      </c>
      <c r="N139" s="1450">
        <f>SUM(N135:N138)</f>
        <v>0</v>
      </c>
      <c r="O139" s="175">
        <f t="shared" ref="O139:Q139" si="16">SUM(O135:O138)</f>
        <v>0</v>
      </c>
      <c r="P139" s="175">
        <f t="shared" si="16"/>
        <v>0</v>
      </c>
      <c r="Q139" s="175">
        <f t="shared" si="16"/>
        <v>0</v>
      </c>
    </row>
    <row r="140" spans="1:17">
      <c r="D140" s="1461"/>
      <c r="E140" s="1463"/>
      <c r="F140" s="1463"/>
      <c r="G140" s="1463"/>
      <c r="H140" s="1463"/>
      <c r="J140" s="166"/>
      <c r="K140" s="62"/>
      <c r="L140" s="166"/>
      <c r="M140" s="1461"/>
      <c r="N140" s="456"/>
      <c r="O140" s="456"/>
      <c r="P140" s="456"/>
      <c r="Q140" s="456"/>
    </row>
    <row r="142" spans="1:17">
      <c r="A142" s="1454" t="s">
        <v>1704</v>
      </c>
      <c r="B142" s="1456"/>
      <c r="C142" s="1456"/>
      <c r="D142" s="66"/>
      <c r="E142" s="66"/>
      <c r="F142" s="66"/>
      <c r="G142" s="66"/>
      <c r="H142" s="497"/>
      <c r="I142" s="497"/>
      <c r="J142" s="1454" t="s">
        <v>1705</v>
      </c>
      <c r="K142" s="1456"/>
      <c r="L142" s="1456"/>
      <c r="M142" s="66"/>
      <c r="N142" s="66"/>
      <c r="O142" s="66"/>
      <c r="P142" s="66"/>
      <c r="Q142" s="497"/>
    </row>
    <row r="143" spans="1:17">
      <c r="A143" s="1454"/>
      <c r="B143" s="1456"/>
      <c r="C143" s="1456"/>
      <c r="D143" s="172"/>
      <c r="E143" s="2045" t="s">
        <v>423</v>
      </c>
      <c r="F143" s="2045"/>
      <c r="G143" s="2045"/>
      <c r="H143" s="1890"/>
      <c r="I143" s="497"/>
      <c r="J143" s="1454"/>
      <c r="K143" s="1456"/>
      <c r="L143" s="1456"/>
      <c r="M143" s="172"/>
      <c r="N143" s="2045" t="s">
        <v>423</v>
      </c>
      <c r="O143" s="2045"/>
      <c r="P143" s="2045"/>
      <c r="Q143" s="1890"/>
    </row>
    <row r="144" spans="1:17" ht="18.75" thickBot="1">
      <c r="A144" s="1892" t="s">
        <v>69</v>
      </c>
      <c r="B144" s="1893"/>
      <c r="C144" s="1373" t="s">
        <v>70</v>
      </c>
      <c r="D144" s="1457" t="s">
        <v>424</v>
      </c>
      <c r="E144" s="1462" t="s">
        <v>59</v>
      </c>
      <c r="F144" s="485" t="s">
        <v>425</v>
      </c>
      <c r="G144" s="485" t="s">
        <v>426</v>
      </c>
      <c r="H144" s="485" t="s">
        <v>427</v>
      </c>
      <c r="J144" s="2046" t="s">
        <v>69</v>
      </c>
      <c r="K144" s="1893"/>
      <c r="L144" s="1373" t="s">
        <v>70</v>
      </c>
      <c r="M144" s="1457" t="s">
        <v>424</v>
      </c>
      <c r="N144" s="1462" t="s">
        <v>59</v>
      </c>
      <c r="O144" s="485" t="s">
        <v>425</v>
      </c>
      <c r="P144" s="485" t="s">
        <v>426</v>
      </c>
      <c r="Q144" s="485" t="s">
        <v>427</v>
      </c>
    </row>
    <row r="145" spans="1:55" ht="15" customHeight="1" thickBot="1">
      <c r="A145" s="2047" t="s">
        <v>1264</v>
      </c>
      <c r="B145" s="169" t="s">
        <v>1265</v>
      </c>
      <c r="C145" s="137" t="s">
        <v>1192</v>
      </c>
      <c r="D145" s="524"/>
      <c r="E145" s="1378">
        <f>SUM(F145:H145)</f>
        <v>0</v>
      </c>
      <c r="F145" s="1379">
        <f>$D$145*'[1]Travel 2022'!E124</f>
        <v>0</v>
      </c>
      <c r="G145" s="1379">
        <f>$D$145*'[1]Travel 2022'!F124</f>
        <v>0</v>
      </c>
      <c r="H145" s="1379">
        <f>$D$145*'[1]Travel 2022'!G124</f>
        <v>0</v>
      </c>
      <c r="J145" s="2048" t="s">
        <v>1264</v>
      </c>
      <c r="K145" s="432" t="s">
        <v>1265</v>
      </c>
      <c r="L145" s="137" t="s">
        <v>1192</v>
      </c>
      <c r="M145" s="524"/>
      <c r="N145" s="1378">
        <f>SUM(O145:Q145)</f>
        <v>0</v>
      </c>
      <c r="O145" s="1379">
        <f>$M$145*'[1]Travel 2022'!I124</f>
        <v>0</v>
      </c>
      <c r="P145" s="1379">
        <f>$M$145*'[1]Travel 2022'!J124</f>
        <v>0</v>
      </c>
      <c r="Q145" s="1379">
        <f>$M$145*'[1]Travel 2022'!K124</f>
        <v>0</v>
      </c>
    </row>
    <row r="146" spans="1:55" ht="15" customHeight="1" thickBot="1">
      <c r="A146" s="2047"/>
      <c r="B146" s="169" t="s">
        <v>1267</v>
      </c>
      <c r="C146" s="137" t="s">
        <v>1192</v>
      </c>
      <c r="D146" s="524"/>
      <c r="E146" s="1378">
        <f t="shared" ref="E146:E152" si="17">SUM(F146:H146)</f>
        <v>0</v>
      </c>
      <c r="F146" s="1379">
        <f>$D$146*'[1]Travel 2022'!E125</f>
        <v>0</v>
      </c>
      <c r="G146" s="1379">
        <f>$D$146*'[1]Travel 2022'!F125</f>
        <v>0</v>
      </c>
      <c r="H146" s="1379">
        <f>$D$146*'[1]Travel 2022'!G125</f>
        <v>0</v>
      </c>
      <c r="J146" s="2049"/>
      <c r="K146" s="432" t="s">
        <v>1267</v>
      </c>
      <c r="L146" s="137" t="s">
        <v>1192</v>
      </c>
      <c r="M146" s="524"/>
      <c r="N146" s="1378">
        <f t="shared" ref="N146" si="18">SUM(O146:Q146)</f>
        <v>0</v>
      </c>
      <c r="O146" s="1379">
        <f>$M$146*'[1]Travel 2022'!I125</f>
        <v>0</v>
      </c>
      <c r="P146" s="1379">
        <f>$M$146*'[1]Travel 2022'!J125</f>
        <v>0</v>
      </c>
      <c r="Q146" s="1379">
        <f>$M$146*'[1]Travel 2022'!K125</f>
        <v>0</v>
      </c>
    </row>
    <row r="147" spans="1:55" ht="15" customHeight="1" thickBot="1">
      <c r="A147" s="2047"/>
      <c r="B147" s="169" t="s">
        <v>1268</v>
      </c>
      <c r="C147" s="137" t="s">
        <v>1192</v>
      </c>
      <c r="D147" s="524"/>
      <c r="E147" s="1378">
        <f>SUM(F147:H147)</f>
        <v>0</v>
      </c>
      <c r="F147" s="1379">
        <f>$D$147*'[1]Travel 2022'!E126</f>
        <v>0</v>
      </c>
      <c r="G147" s="1379">
        <f>$D$147*'[1]Travel 2022'!F126</f>
        <v>0</v>
      </c>
      <c r="H147" s="1379">
        <f>$D$147*'[1]Travel 2022'!G126</f>
        <v>0</v>
      </c>
      <c r="J147" s="2050"/>
      <c r="K147" s="432" t="s">
        <v>1268</v>
      </c>
      <c r="L147" s="137" t="s">
        <v>1192</v>
      </c>
      <c r="M147" s="524"/>
      <c r="N147" s="1378">
        <f>SUM(O147:Q147)</f>
        <v>0</v>
      </c>
      <c r="O147" s="1379">
        <f>$M$147*'[1]Travel 2022'!I126</f>
        <v>0</v>
      </c>
      <c r="P147" s="1379">
        <f>$M$147*'[1]Travel 2022'!J126</f>
        <v>0</v>
      </c>
      <c r="Q147" s="1379">
        <f>$M$147*'[1]Travel 2022'!K126</f>
        <v>0</v>
      </c>
    </row>
    <row r="148" spans="1:55" ht="15" customHeight="1" thickBot="1">
      <c r="A148" s="2047" t="s">
        <v>1269</v>
      </c>
      <c r="B148" s="169" t="s">
        <v>1265</v>
      </c>
      <c r="C148" s="137" t="s">
        <v>1192</v>
      </c>
      <c r="D148" s="524"/>
      <c r="E148" s="1378">
        <f t="shared" si="17"/>
        <v>0</v>
      </c>
      <c r="F148" s="1379">
        <f>$D$148*'[1]Travel 2022'!E127</f>
        <v>0</v>
      </c>
      <c r="G148" s="1379">
        <f>$D$148*'[1]Travel 2022'!F127</f>
        <v>0</v>
      </c>
      <c r="H148" s="1379">
        <f>$D$148*'[1]Travel 2022'!G127</f>
        <v>0</v>
      </c>
      <c r="J148" s="2048" t="s">
        <v>1269</v>
      </c>
      <c r="K148" s="432" t="s">
        <v>1265</v>
      </c>
      <c r="L148" s="137" t="s">
        <v>1192</v>
      </c>
      <c r="M148" s="524"/>
      <c r="N148" s="1378">
        <f t="shared" ref="N148:N152" si="19">SUM(O148:Q148)</f>
        <v>0</v>
      </c>
      <c r="O148" s="1379">
        <f>$M$148*'[1]Travel 2022'!I127</f>
        <v>0</v>
      </c>
      <c r="P148" s="1379">
        <f>$M$148*'[1]Travel 2022'!J127</f>
        <v>0</v>
      </c>
      <c r="Q148" s="1379">
        <f>$M$148*'[1]Travel 2022'!K127</f>
        <v>0</v>
      </c>
    </row>
    <row r="149" spans="1:55" ht="15" customHeight="1" thickBot="1">
      <c r="A149" s="2047"/>
      <c r="B149" s="169" t="s">
        <v>1267</v>
      </c>
      <c r="C149" s="137" t="s">
        <v>1192</v>
      </c>
      <c r="D149" s="524"/>
      <c r="E149" s="1378">
        <f t="shared" si="17"/>
        <v>0</v>
      </c>
      <c r="F149" s="1379">
        <f>$D$149*'[1]Travel 2022'!E128</f>
        <v>0</v>
      </c>
      <c r="G149" s="1379">
        <f>$D$149*'[1]Travel 2022'!F128</f>
        <v>0</v>
      </c>
      <c r="H149" s="1379">
        <f>$D$149*'[1]Travel 2022'!G128</f>
        <v>0</v>
      </c>
      <c r="J149" s="2049"/>
      <c r="K149" s="432" t="s">
        <v>1267</v>
      </c>
      <c r="L149" s="137" t="s">
        <v>1192</v>
      </c>
      <c r="M149" s="524"/>
      <c r="N149" s="1378">
        <f t="shared" si="19"/>
        <v>0</v>
      </c>
      <c r="O149" s="1379">
        <f>$M$149*'[1]Travel 2022'!I128</f>
        <v>0</v>
      </c>
      <c r="P149" s="1379">
        <f>$M$149*'[1]Travel 2022'!J128</f>
        <v>0</v>
      </c>
      <c r="Q149" s="1379">
        <f>$M$149*'[1]Travel 2022'!K128</f>
        <v>0</v>
      </c>
    </row>
    <row r="150" spans="1:55" ht="15" customHeight="1" thickBot="1">
      <c r="A150" s="2047"/>
      <c r="B150" s="169" t="s">
        <v>1270</v>
      </c>
      <c r="C150" s="137" t="s">
        <v>1192</v>
      </c>
      <c r="D150" s="524"/>
      <c r="E150" s="1378">
        <f t="shared" si="17"/>
        <v>0</v>
      </c>
      <c r="F150" s="1379">
        <f>$D$150*'[1]Travel 2022'!E129</f>
        <v>0</v>
      </c>
      <c r="G150" s="1379">
        <f>$D$150*'[1]Travel 2022'!F129</f>
        <v>0</v>
      </c>
      <c r="H150" s="1379">
        <f>$D$150*'[1]Travel 2022'!G129</f>
        <v>0</v>
      </c>
      <c r="J150" s="2049"/>
      <c r="K150" s="432" t="s">
        <v>1270</v>
      </c>
      <c r="L150" s="137" t="s">
        <v>1192</v>
      </c>
      <c r="M150" s="524"/>
      <c r="N150" s="1378">
        <f t="shared" si="19"/>
        <v>0</v>
      </c>
      <c r="O150" s="1379">
        <f>$M$150*'[1]Travel 2022'!I129</f>
        <v>0</v>
      </c>
      <c r="P150" s="1379">
        <f>$M$150*'[1]Travel 2022'!J129</f>
        <v>0</v>
      </c>
      <c r="Q150" s="1379">
        <f>$M$150*'[1]Travel 2022'!K129</f>
        <v>0</v>
      </c>
    </row>
    <row r="151" spans="1:55" ht="15" customHeight="1" thickBot="1">
      <c r="A151" s="2047"/>
      <c r="B151" s="169" t="s">
        <v>1268</v>
      </c>
      <c r="C151" s="137" t="s">
        <v>1192</v>
      </c>
      <c r="D151" s="524"/>
      <c r="E151" s="1378">
        <f t="shared" si="17"/>
        <v>0</v>
      </c>
      <c r="F151" s="1379">
        <f>$D$151*'[1]Travel 2022'!E130</f>
        <v>0</v>
      </c>
      <c r="G151" s="1379">
        <f>$D$151*'[1]Travel 2022'!F130</f>
        <v>0</v>
      </c>
      <c r="H151" s="1379">
        <f>$D$151*'[1]Travel 2022'!G130</f>
        <v>0</v>
      </c>
      <c r="J151" s="2049"/>
      <c r="K151" s="432" t="s">
        <v>1268</v>
      </c>
      <c r="L151" s="137" t="s">
        <v>1192</v>
      </c>
      <c r="M151" s="524"/>
      <c r="N151" s="1378">
        <f t="shared" si="19"/>
        <v>0</v>
      </c>
      <c r="O151" s="1379">
        <f>$M$151*'[1]Travel 2022'!I130</f>
        <v>0</v>
      </c>
      <c r="P151" s="1379">
        <f>$M$151*'[1]Travel 2022'!J130</f>
        <v>0</v>
      </c>
      <c r="Q151" s="1379">
        <f>$M$151*'[1]Travel 2022'!K130</f>
        <v>0</v>
      </c>
    </row>
    <row r="152" spans="1:55" ht="15" customHeight="1">
      <c r="A152" s="2047"/>
      <c r="B152" s="169" t="s">
        <v>1271</v>
      </c>
      <c r="C152" s="137" t="s">
        <v>1192</v>
      </c>
      <c r="D152" s="1342"/>
      <c r="E152" s="1378">
        <f t="shared" si="17"/>
        <v>0</v>
      </c>
      <c r="F152" s="1379">
        <f>$D$152*'[1]Travel 2022'!E131</f>
        <v>0</v>
      </c>
      <c r="G152" s="1379">
        <f>$D$152*'[1]Travel 2022'!F131</f>
        <v>0</v>
      </c>
      <c r="H152" s="1379">
        <f>$D$152*'[1]Travel 2022'!G131</f>
        <v>0</v>
      </c>
      <c r="J152" s="2050"/>
      <c r="K152" s="432" t="s">
        <v>1271</v>
      </c>
      <c r="L152" s="137" t="s">
        <v>1192</v>
      </c>
      <c r="M152" s="1342"/>
      <c r="N152" s="1378">
        <f t="shared" si="19"/>
        <v>0</v>
      </c>
      <c r="O152" s="1379">
        <f>$M$152*'[1]Travel 2022'!I131</f>
        <v>0</v>
      </c>
      <c r="P152" s="1379">
        <f>$M$152*'[1]Travel 2022'!J131</f>
        <v>0</v>
      </c>
      <c r="Q152" s="1379">
        <f>$M$152*'[1]Travel 2022'!K131</f>
        <v>0</v>
      </c>
    </row>
    <row r="153" spans="1:55">
      <c r="D153" s="1444" t="s">
        <v>247</v>
      </c>
      <c r="E153" s="1378">
        <f>SUM(E145:E152)</f>
        <v>0</v>
      </c>
      <c r="F153" s="1379">
        <f>SUM(F145:F152)</f>
        <v>0</v>
      </c>
      <c r="G153" s="1379">
        <f t="shared" ref="G153:H153" si="20">SUM(G145:G152)</f>
        <v>0</v>
      </c>
      <c r="H153" s="1464">
        <f t="shared" si="20"/>
        <v>0</v>
      </c>
      <c r="J153" s="166"/>
      <c r="K153" s="62"/>
      <c r="L153" s="166"/>
      <c r="M153" s="1444" t="s">
        <v>247</v>
      </c>
      <c r="N153" s="1450">
        <f>SUM(N145:N152)</f>
        <v>0</v>
      </c>
      <c r="O153" s="1451">
        <f>SUM(O145:O152)</f>
        <v>0</v>
      </c>
      <c r="P153" s="1451">
        <f t="shared" ref="P153:Q153" si="21">SUM(P145:P152)</f>
        <v>0</v>
      </c>
      <c r="Q153" s="1465">
        <f t="shared" si="21"/>
        <v>0</v>
      </c>
    </row>
    <row r="154" spans="1:55">
      <c r="A154"/>
      <c r="B154"/>
      <c r="C154"/>
    </row>
    <row r="155" spans="1:55" ht="15" customHeight="1">
      <c r="A155" s="1820" t="s">
        <v>1279</v>
      </c>
      <c r="B155" s="1820"/>
      <c r="C155" s="1820"/>
      <c r="D155" s="1820"/>
      <c r="E155" s="1820"/>
      <c r="F155" s="1820"/>
      <c r="G155" s="1820"/>
      <c r="H155" s="470"/>
      <c r="I155" s="50"/>
    </row>
    <row r="156" spans="1:55" s="195" customFormat="1" ht="18.75" thickBot="1">
      <c r="A156" s="2027" t="s">
        <v>69</v>
      </c>
      <c r="B156" s="2028"/>
      <c r="C156" s="494" t="s">
        <v>70</v>
      </c>
      <c r="D156" s="1457" t="s">
        <v>424</v>
      </c>
      <c r="E156" s="1462" t="s">
        <v>59</v>
      </c>
      <c r="F156" s="179" t="s">
        <v>75</v>
      </c>
      <c r="G156" s="1641" t="s">
        <v>76</v>
      </c>
      <c r="H156" s="444"/>
      <c r="I156" s="50"/>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row>
    <row r="157" spans="1:55" s="195" customFormat="1">
      <c r="A157" s="2044" t="s">
        <v>1280</v>
      </c>
      <c r="B157" s="384" t="s">
        <v>1281</v>
      </c>
      <c r="C157" s="198" t="s">
        <v>1282</v>
      </c>
      <c r="D157" s="525"/>
      <c r="E157" s="1466">
        <f>D157*'[1]Travel 2022'!D145</f>
        <v>0</v>
      </c>
      <c r="F157" s="1467" t="s">
        <v>680</v>
      </c>
      <c r="G157" s="1468" t="s">
        <v>1283</v>
      </c>
      <c r="H157" s="1469"/>
      <c r="I157" s="50"/>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row>
    <row r="158" spans="1:55" s="195" customFormat="1">
      <c r="A158" s="2044"/>
      <c r="B158" s="384" t="s">
        <v>1284</v>
      </c>
      <c r="C158" s="198" t="s">
        <v>1282</v>
      </c>
      <c r="D158" s="525"/>
      <c r="E158" s="1466">
        <f>D158*'[1]Travel 2022'!D146</f>
        <v>0</v>
      </c>
      <c r="F158" s="1467" t="s">
        <v>680</v>
      </c>
      <c r="G158" s="1468" t="s">
        <v>1283</v>
      </c>
      <c r="H158" s="1469"/>
      <c r="I158" s="50"/>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row>
    <row r="159" spans="1:55" s="195" customFormat="1">
      <c r="A159" s="2044"/>
      <c r="B159" s="384" t="s">
        <v>1285</v>
      </c>
      <c r="C159" s="198" t="s">
        <v>1282</v>
      </c>
      <c r="D159" s="525"/>
      <c r="E159" s="1466">
        <f>D159*'[1]Travel 2022'!D147</f>
        <v>0</v>
      </c>
      <c r="F159" s="1467" t="s">
        <v>680</v>
      </c>
      <c r="G159" s="1468" t="s">
        <v>1283</v>
      </c>
      <c r="H159" s="1469"/>
      <c r="I159" s="50"/>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row>
    <row r="160" spans="1:55" s="195" customFormat="1">
      <c r="A160" s="2044"/>
      <c r="B160" s="384" t="s">
        <v>1286</v>
      </c>
      <c r="C160" s="198" t="s">
        <v>1282</v>
      </c>
      <c r="D160" s="525"/>
      <c r="E160" s="1466">
        <f>D160*'[1]Travel 2022'!D148</f>
        <v>0</v>
      </c>
      <c r="F160" s="1467" t="s">
        <v>680</v>
      </c>
      <c r="G160" s="1468" t="s">
        <v>1283</v>
      </c>
      <c r="H160" s="1469"/>
      <c r="I160" s="5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row>
    <row r="161" spans="1:55" s="195" customFormat="1">
      <c r="A161" s="2044"/>
      <c r="B161" s="384" t="s">
        <v>1287</v>
      </c>
      <c r="C161" s="198" t="s">
        <v>1282</v>
      </c>
      <c r="D161" s="525"/>
      <c r="E161" s="1466">
        <f>D161*'[1]Travel 2022'!D149</f>
        <v>0</v>
      </c>
      <c r="F161" s="1467" t="s">
        <v>680</v>
      </c>
      <c r="G161" s="1468" t="s">
        <v>1283</v>
      </c>
      <c r="H161" s="1469"/>
      <c r="I161" s="50"/>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row>
    <row r="162" spans="1:55" s="195" customFormat="1">
      <c r="A162" s="2044"/>
      <c r="B162" s="384" t="s">
        <v>1288</v>
      </c>
      <c r="C162" s="198" t="s">
        <v>1282</v>
      </c>
      <c r="D162" s="525"/>
      <c r="E162" s="1466">
        <f>D162*'[1]Travel 2022'!D150</f>
        <v>0</v>
      </c>
      <c r="F162" s="1467" t="s">
        <v>680</v>
      </c>
      <c r="G162" s="1468" t="s">
        <v>1283</v>
      </c>
      <c r="H162" s="1469"/>
      <c r="I162" s="50"/>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row>
    <row r="163" spans="1:55" s="195" customFormat="1">
      <c r="A163" s="2044"/>
      <c r="B163" s="384" t="s">
        <v>1289</v>
      </c>
      <c r="C163" s="198" t="s">
        <v>1282</v>
      </c>
      <c r="D163" s="525"/>
      <c r="E163" s="1466">
        <f>D163*'[1]Travel 2022'!D151</f>
        <v>0</v>
      </c>
      <c r="F163" s="1467" t="s">
        <v>680</v>
      </c>
      <c r="G163" s="1468" t="s">
        <v>1283</v>
      </c>
      <c r="H163" s="1469"/>
      <c r="I163" s="50"/>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row>
    <row r="164" spans="1:55" s="195" customFormat="1">
      <c r="A164" s="2044"/>
      <c r="B164" s="384" t="s">
        <v>1290</v>
      </c>
      <c r="C164" s="198" t="s">
        <v>1282</v>
      </c>
      <c r="D164" s="525"/>
      <c r="E164" s="1466">
        <f>D164*'[1]Travel 2022'!D152</f>
        <v>0</v>
      </c>
      <c r="F164" s="1467" t="s">
        <v>680</v>
      </c>
      <c r="G164" s="1468" t="s">
        <v>1283</v>
      </c>
      <c r="H164" s="1469"/>
      <c r="I164" s="50"/>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row>
    <row r="165" spans="1:55" s="195" customFormat="1">
      <c r="A165" s="2044"/>
      <c r="B165" s="384" t="s">
        <v>1291</v>
      </c>
      <c r="C165" s="198" t="s">
        <v>1282</v>
      </c>
      <c r="D165" s="525"/>
      <c r="E165" s="1466">
        <f>D165*'[1]Travel 2022'!D153</f>
        <v>0</v>
      </c>
      <c r="F165" s="1467" t="s">
        <v>680</v>
      </c>
      <c r="G165" s="1468" t="s">
        <v>1283</v>
      </c>
      <c r="H165" s="1469"/>
      <c r="I165" s="50"/>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row>
    <row r="166" spans="1:55" s="195" customFormat="1">
      <c r="A166" s="2044"/>
      <c r="B166" s="384" t="s">
        <v>1706</v>
      </c>
      <c r="C166" s="198" t="s">
        <v>1282</v>
      </c>
      <c r="D166" s="525"/>
      <c r="E166" s="1466">
        <f>D166*'[1]Travel 2022'!D164</f>
        <v>0</v>
      </c>
      <c r="F166" s="1467" t="s">
        <v>680</v>
      </c>
      <c r="G166" s="1468" t="s">
        <v>1283</v>
      </c>
      <c r="H166" s="1469"/>
      <c r="I166" s="50"/>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row>
    <row r="167" spans="1:55" s="195" customFormat="1">
      <c r="A167" s="2044"/>
      <c r="B167" s="384" t="s">
        <v>1292</v>
      </c>
      <c r="C167" s="198" t="s">
        <v>1282</v>
      </c>
      <c r="D167" s="525"/>
      <c r="E167" s="1466">
        <f>D167*'[1]Travel 2022'!D154</f>
        <v>0</v>
      </c>
      <c r="F167" s="1467" t="s">
        <v>680</v>
      </c>
      <c r="G167" s="1468" t="s">
        <v>1283</v>
      </c>
      <c r="H167" s="1469"/>
      <c r="I167" s="50"/>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row>
    <row r="168" spans="1:55" s="195" customFormat="1">
      <c r="A168" s="2044"/>
      <c r="B168" s="384" t="s">
        <v>1293</v>
      </c>
      <c r="C168" s="198" t="s">
        <v>1282</v>
      </c>
      <c r="D168" s="525"/>
      <c r="E168" s="1466">
        <f>D168*'[1]Travel 2022'!D155</f>
        <v>0</v>
      </c>
      <c r="F168" s="1467" t="s">
        <v>680</v>
      </c>
      <c r="G168" s="1468" t="s">
        <v>1283</v>
      </c>
      <c r="H168" s="1469"/>
      <c r="I168" s="50"/>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row>
    <row r="169" spans="1:55" s="195" customFormat="1">
      <c r="A169" s="2044"/>
      <c r="B169" s="384" t="s">
        <v>1294</v>
      </c>
      <c r="C169" s="198" t="s">
        <v>1282</v>
      </c>
      <c r="D169" s="525"/>
      <c r="E169" s="1466">
        <f>D169*'[1]Travel 2022'!D156</f>
        <v>0</v>
      </c>
      <c r="F169" s="1467" t="s">
        <v>680</v>
      </c>
      <c r="G169" s="1468" t="s">
        <v>1283</v>
      </c>
      <c r="H169" s="1469"/>
      <c r="I169" s="50"/>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row>
    <row r="170" spans="1:55" s="195" customFormat="1">
      <c r="A170" s="2044"/>
      <c r="B170" s="384" t="s">
        <v>1295</v>
      </c>
      <c r="C170" s="198" t="s">
        <v>1282</v>
      </c>
      <c r="D170" s="525"/>
      <c r="E170" s="1466">
        <f>D170*'[1]Travel 2022'!D157</f>
        <v>0</v>
      </c>
      <c r="F170" s="1467" t="s">
        <v>680</v>
      </c>
      <c r="G170" s="1468" t="s">
        <v>1283</v>
      </c>
      <c r="H170" s="1469"/>
      <c r="I170" s="5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row>
    <row r="171" spans="1:55" s="195" customFormat="1">
      <c r="A171" s="2044"/>
      <c r="B171" s="384" t="s">
        <v>1297</v>
      </c>
      <c r="C171" s="198" t="s">
        <v>1282</v>
      </c>
      <c r="D171" s="525"/>
      <c r="E171" s="1466">
        <f>D171*'[1]Travel 2022'!D159</f>
        <v>0</v>
      </c>
      <c r="F171" s="1467" t="s">
        <v>680</v>
      </c>
      <c r="G171" s="1468" t="s">
        <v>1283</v>
      </c>
      <c r="H171" s="1469"/>
      <c r="I171" s="50"/>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row>
    <row r="172" spans="1:55" s="195" customFormat="1">
      <c r="A172" s="2044"/>
      <c r="B172" s="384" t="s">
        <v>1298</v>
      </c>
      <c r="C172" s="198" t="s">
        <v>1282</v>
      </c>
      <c r="D172" s="525"/>
      <c r="E172" s="1466">
        <f>D172*'[1]Travel 2022'!D160</f>
        <v>0</v>
      </c>
      <c r="F172" s="1467" t="s">
        <v>680</v>
      </c>
      <c r="G172" s="1468" t="s">
        <v>1283</v>
      </c>
      <c r="H172" s="1469"/>
      <c r="I172" s="50"/>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row>
    <row r="173" spans="1:55" s="195" customFormat="1">
      <c r="A173" s="2044"/>
      <c r="B173" s="384" t="s">
        <v>1299</v>
      </c>
      <c r="C173" s="198" t="s">
        <v>1282</v>
      </c>
      <c r="D173" s="525"/>
      <c r="E173" s="1466">
        <f>D173*'[1]Travel 2022'!D161</f>
        <v>0</v>
      </c>
      <c r="F173" s="1467" t="s">
        <v>680</v>
      </c>
      <c r="G173" s="1468" t="s">
        <v>1283</v>
      </c>
      <c r="H173" s="1469"/>
      <c r="I173" s="50"/>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row>
    <row r="174" spans="1:55" s="195" customFormat="1">
      <c r="A174" s="2044"/>
      <c r="B174" s="384" t="s">
        <v>1300</v>
      </c>
      <c r="C174" s="198" t="s">
        <v>1282</v>
      </c>
      <c r="D174" s="525"/>
      <c r="E174" s="1466">
        <f>D174*'[1]Travel 2022'!D162</f>
        <v>0</v>
      </c>
      <c r="F174" s="1467" t="s">
        <v>680</v>
      </c>
      <c r="G174" s="1468" t="s">
        <v>1283</v>
      </c>
      <c r="H174" s="1469"/>
      <c r="I174" s="50"/>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row>
    <row r="175" spans="1:55" s="195" customFormat="1">
      <c r="A175" s="2044"/>
      <c r="B175" s="384" t="s">
        <v>1304</v>
      </c>
      <c r="C175" s="198" t="s">
        <v>1282</v>
      </c>
      <c r="D175" s="525"/>
      <c r="E175" s="1466">
        <f>D175*'[1]Travel 2022'!D166</f>
        <v>0</v>
      </c>
      <c r="F175" s="1467" t="s">
        <v>680</v>
      </c>
      <c r="G175" s="1468" t="s">
        <v>1283</v>
      </c>
      <c r="H175" s="1469"/>
      <c r="I175" s="50"/>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row>
    <row r="176" spans="1:55" s="195" customFormat="1">
      <c r="A176" s="2044"/>
      <c r="B176" s="384" t="s">
        <v>1305</v>
      </c>
      <c r="C176" s="198" t="s">
        <v>1282</v>
      </c>
      <c r="D176" s="525"/>
      <c r="E176" s="1466">
        <f>D176*'[1]Travel 2022'!D167</f>
        <v>0</v>
      </c>
      <c r="F176" s="1467" t="s">
        <v>680</v>
      </c>
      <c r="G176" s="1468" t="s">
        <v>1283</v>
      </c>
      <c r="H176" s="1469"/>
      <c r="I176" s="50"/>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row>
    <row r="177" spans="1:55" s="195" customFormat="1">
      <c r="A177" s="2044"/>
      <c r="B177" s="384" t="s">
        <v>1306</v>
      </c>
      <c r="C177" s="198" t="s">
        <v>1282</v>
      </c>
      <c r="D177" s="525"/>
      <c r="E177" s="1466">
        <f>D177*'[1]Travel 2022'!D168</f>
        <v>0</v>
      </c>
      <c r="F177" s="1467" t="s">
        <v>680</v>
      </c>
      <c r="G177" s="1468" t="s">
        <v>1283</v>
      </c>
      <c r="H177" s="1469"/>
      <c r="I177" s="50"/>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row>
    <row r="178" spans="1:55" s="195" customFormat="1">
      <c r="A178" s="2044"/>
      <c r="B178" s="384" t="s">
        <v>1308</v>
      </c>
      <c r="C178" s="198" t="s">
        <v>1282</v>
      </c>
      <c r="D178" s="525"/>
      <c r="E178" s="1466">
        <f>D178*'[1]Travel 2022'!D170</f>
        <v>0</v>
      </c>
      <c r="F178" s="1467" t="s">
        <v>680</v>
      </c>
      <c r="G178" s="1468" t="s">
        <v>1283</v>
      </c>
      <c r="H178" s="1469"/>
      <c r="I178" s="50"/>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row>
    <row r="179" spans="1:55" s="195" customFormat="1">
      <c r="A179" s="2044"/>
      <c r="B179" s="384" t="s">
        <v>1309</v>
      </c>
      <c r="C179" s="198" t="s">
        <v>1282</v>
      </c>
      <c r="D179" s="525"/>
      <c r="E179" s="1466">
        <f>D179*'[1]Travel 2022'!D171</f>
        <v>0</v>
      </c>
      <c r="F179" s="1467" t="s">
        <v>680</v>
      </c>
      <c r="G179" s="1468" t="s">
        <v>1283</v>
      </c>
      <c r="H179" s="1469"/>
      <c r="I179" s="50"/>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row>
    <row r="180" spans="1:55" s="195" customFormat="1">
      <c r="A180" s="2044"/>
      <c r="B180" s="384" t="s">
        <v>1310</v>
      </c>
      <c r="C180" s="198" t="s">
        <v>1282</v>
      </c>
      <c r="D180" s="525"/>
      <c r="E180" s="1466">
        <f>D180*'[1]Travel 2022'!D172</f>
        <v>0</v>
      </c>
      <c r="F180" s="1467" t="s">
        <v>680</v>
      </c>
      <c r="G180" s="1468" t="s">
        <v>1283</v>
      </c>
      <c r="H180" s="1469"/>
      <c r="I180" s="5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row>
    <row r="181" spans="1:55" s="195" customFormat="1">
      <c r="A181" s="2044"/>
      <c r="B181" s="384" t="s">
        <v>1313</v>
      </c>
      <c r="C181" s="198" t="s">
        <v>1282</v>
      </c>
      <c r="D181" s="525"/>
      <c r="E181" s="1466">
        <f>D181*'[1]Travel 2022'!D175</f>
        <v>0</v>
      </c>
      <c r="F181" s="1467" t="s">
        <v>680</v>
      </c>
      <c r="G181" s="1468" t="s">
        <v>1283</v>
      </c>
      <c r="H181" s="1469"/>
      <c r="I181" s="50"/>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row>
    <row r="182" spans="1:55" s="195" customFormat="1">
      <c r="A182" s="2044"/>
      <c r="B182" s="384" t="s">
        <v>1314</v>
      </c>
      <c r="C182" s="198" t="s">
        <v>1282</v>
      </c>
      <c r="D182" s="525"/>
      <c r="E182" s="1466">
        <f>D182*'[1]Travel 2022'!D176</f>
        <v>0</v>
      </c>
      <c r="F182" s="1467" t="s">
        <v>680</v>
      </c>
      <c r="G182" s="1468" t="s">
        <v>1283</v>
      </c>
      <c r="H182" s="1469"/>
      <c r="I182" s="50"/>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row>
    <row r="183" spans="1:55" s="195" customFormat="1">
      <c r="A183" s="2044"/>
      <c r="B183" s="384" t="s">
        <v>1315</v>
      </c>
      <c r="C183" s="198" t="s">
        <v>1282</v>
      </c>
      <c r="D183" s="525"/>
      <c r="E183" s="1466">
        <f>D183*'[1]Travel 2022'!D177</f>
        <v>0</v>
      </c>
      <c r="F183" s="1467" t="s">
        <v>680</v>
      </c>
      <c r="G183" s="1468" t="s">
        <v>1283</v>
      </c>
      <c r="H183" s="1469"/>
      <c r="I183" s="50"/>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row>
    <row r="184" spans="1:55" s="195" customFormat="1">
      <c r="A184" s="2044"/>
      <c r="B184" s="384" t="s">
        <v>1317</v>
      </c>
      <c r="C184" s="198" t="s">
        <v>1282</v>
      </c>
      <c r="D184" s="525"/>
      <c r="E184" s="1466">
        <f>D184*'[1]Travel 2022'!D179</f>
        <v>0</v>
      </c>
      <c r="F184" s="1467" t="s">
        <v>680</v>
      </c>
      <c r="G184" s="1468" t="s">
        <v>1283</v>
      </c>
      <c r="H184" s="1469"/>
      <c r="I184" s="50"/>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row>
    <row r="185" spans="1:55" s="195" customFormat="1">
      <c r="A185" s="2044"/>
      <c r="B185" s="384" t="s">
        <v>1318</v>
      </c>
      <c r="C185" s="198" t="s">
        <v>1282</v>
      </c>
      <c r="D185" s="525"/>
      <c r="E185" s="1466">
        <f>D185*'[1]Travel 2022'!D180</f>
        <v>0</v>
      </c>
      <c r="F185" s="1467" t="s">
        <v>680</v>
      </c>
      <c r="G185" s="1468" t="s">
        <v>1283</v>
      </c>
      <c r="H185" s="1469"/>
      <c r="I185" s="50"/>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row>
    <row r="186" spans="1:55" s="195" customFormat="1">
      <c r="A186" s="2044"/>
      <c r="B186" s="384" t="s">
        <v>1319</v>
      </c>
      <c r="C186" s="198" t="s">
        <v>1282</v>
      </c>
      <c r="D186" s="525"/>
      <c r="E186" s="1466">
        <f>D186*'[1]Travel 2022'!D181</f>
        <v>0</v>
      </c>
      <c r="F186" s="1467" t="s">
        <v>680</v>
      </c>
      <c r="G186" s="1468" t="s">
        <v>1283</v>
      </c>
      <c r="H186" s="1469"/>
      <c r="I186" s="50"/>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row>
    <row r="187" spans="1:55" s="195" customFormat="1">
      <c r="A187" s="2044"/>
      <c r="B187" s="384" t="s">
        <v>1320</v>
      </c>
      <c r="C187" s="198" t="s">
        <v>1282</v>
      </c>
      <c r="D187" s="525"/>
      <c r="E187" s="1466">
        <f>D187*'[1]Travel 2022'!D182</f>
        <v>0</v>
      </c>
      <c r="F187" s="1467" t="s">
        <v>680</v>
      </c>
      <c r="G187" s="1468" t="s">
        <v>1283</v>
      </c>
      <c r="H187" s="1469"/>
      <c r="I187" s="50"/>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row>
    <row r="188" spans="1:55" s="195" customFormat="1">
      <c r="A188" s="2044"/>
      <c r="B188" s="384" t="s">
        <v>1322</v>
      </c>
      <c r="C188" s="198" t="s">
        <v>1282</v>
      </c>
      <c r="D188" s="525"/>
      <c r="E188" s="1466">
        <f>D188*'[1]Travel 2022'!D184</f>
        <v>0</v>
      </c>
      <c r="F188" s="1467" t="s">
        <v>680</v>
      </c>
      <c r="G188" s="1468" t="s">
        <v>1283</v>
      </c>
      <c r="H188" s="1469"/>
      <c r="I188" s="50"/>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row>
    <row r="189" spans="1:55" s="195" customFormat="1">
      <c r="A189" s="2044"/>
      <c r="B189" s="384" t="s">
        <v>1323</v>
      </c>
      <c r="C189" s="198" t="s">
        <v>1282</v>
      </c>
      <c r="D189" s="525"/>
      <c r="E189" s="1466">
        <f>D189*'[1]Travel 2022'!D185</f>
        <v>0</v>
      </c>
      <c r="F189" s="1467" t="s">
        <v>680</v>
      </c>
      <c r="G189" s="1468" t="s">
        <v>1283</v>
      </c>
      <c r="H189" s="1469"/>
      <c r="I189" s="50"/>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row>
    <row r="190" spans="1:55" s="195" customFormat="1">
      <c r="A190" s="2044"/>
      <c r="B190" s="384" t="s">
        <v>1324</v>
      </c>
      <c r="C190" s="198" t="s">
        <v>1282</v>
      </c>
      <c r="D190" s="525"/>
      <c r="E190" s="1466">
        <f>D190*'[1]Travel 2022'!D186</f>
        <v>0</v>
      </c>
      <c r="F190" s="1467" t="s">
        <v>680</v>
      </c>
      <c r="G190" s="1468" t="s">
        <v>1283</v>
      </c>
      <c r="H190" s="1469"/>
      <c r="I190" s="5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row>
    <row r="191" spans="1:55" s="195" customFormat="1">
      <c r="A191" s="2044"/>
      <c r="B191" s="384" t="s">
        <v>1325</v>
      </c>
      <c r="C191" s="198" t="s">
        <v>1282</v>
      </c>
      <c r="D191" s="525"/>
      <c r="E191" s="1466">
        <f>D191*'[1]Travel 2022'!D187</f>
        <v>0</v>
      </c>
      <c r="F191" s="1467" t="s">
        <v>680</v>
      </c>
      <c r="G191" s="1468" t="s">
        <v>1283</v>
      </c>
      <c r="H191" s="1469"/>
      <c r="I191" s="50"/>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row>
    <row r="192" spans="1:55" s="195" customFormat="1">
      <c r="A192" s="2044"/>
      <c r="B192" s="384" t="s">
        <v>1326</v>
      </c>
      <c r="C192" s="198" t="s">
        <v>1282</v>
      </c>
      <c r="D192" s="525"/>
      <c r="E192" s="1466">
        <f>D192*'[1]Travel 2022'!D188</f>
        <v>0</v>
      </c>
      <c r="F192" s="1467" t="s">
        <v>680</v>
      </c>
      <c r="G192" s="1468" t="s">
        <v>1283</v>
      </c>
      <c r="H192" s="1469"/>
      <c r="I192" s="50"/>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row>
    <row r="193" spans="1:55" s="195" customFormat="1">
      <c r="A193" s="2044"/>
      <c r="B193" s="384" t="s">
        <v>1327</v>
      </c>
      <c r="C193" s="198" t="s">
        <v>1282</v>
      </c>
      <c r="D193" s="525"/>
      <c r="E193" s="1466">
        <f>D193*'[1]Travel 2022'!D189</f>
        <v>0</v>
      </c>
      <c r="F193" s="1467" t="s">
        <v>680</v>
      </c>
      <c r="G193" s="1468" t="s">
        <v>1283</v>
      </c>
      <c r="H193" s="1469"/>
      <c r="I193" s="50"/>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row>
    <row r="194" spans="1:55" s="195" customFormat="1">
      <c r="A194" s="2044"/>
      <c r="B194" s="384" t="s">
        <v>1328</v>
      </c>
      <c r="C194" s="198" t="s">
        <v>1282</v>
      </c>
      <c r="D194" s="525"/>
      <c r="E194" s="1466">
        <f>D194*'[1]Travel 2022'!D190</f>
        <v>0</v>
      </c>
      <c r="F194" s="1467" t="s">
        <v>680</v>
      </c>
      <c r="G194" s="1468" t="s">
        <v>1283</v>
      </c>
      <c r="H194" s="1469"/>
      <c r="I194" s="50"/>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row>
    <row r="195" spans="1:55" s="195" customFormat="1">
      <c r="A195" s="2044"/>
      <c r="B195" s="384" t="s">
        <v>1329</v>
      </c>
      <c r="C195" s="198" t="s">
        <v>1282</v>
      </c>
      <c r="D195" s="525"/>
      <c r="E195" s="1466">
        <f>D195*'[1]Travel 2022'!D191</f>
        <v>0</v>
      </c>
      <c r="F195" s="1467" t="s">
        <v>680</v>
      </c>
      <c r="G195" s="1468" t="s">
        <v>1283</v>
      </c>
      <c r="H195" s="1469"/>
      <c r="I195" s="50"/>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row>
    <row r="196" spans="1:55" s="195" customFormat="1">
      <c r="A196" s="2044"/>
      <c r="B196" s="384" t="s">
        <v>1330</v>
      </c>
      <c r="C196" s="198" t="s">
        <v>1282</v>
      </c>
      <c r="D196" s="525"/>
      <c r="E196" s="1466">
        <f>D196*'[1]Travel 2022'!D192</f>
        <v>0</v>
      </c>
      <c r="F196" s="1467" t="s">
        <v>680</v>
      </c>
      <c r="G196" s="1468" t="s">
        <v>1283</v>
      </c>
      <c r="H196" s="1469"/>
      <c r="I196" s="50"/>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row>
    <row r="197" spans="1:55" s="195" customFormat="1">
      <c r="A197" s="2044"/>
      <c r="B197" s="385" t="s">
        <v>1331</v>
      </c>
      <c r="C197" s="198" t="s">
        <v>1282</v>
      </c>
      <c r="D197" s="525"/>
      <c r="E197" s="1466">
        <f>D197*'[1]Travel 2022'!D193</f>
        <v>0</v>
      </c>
      <c r="F197" s="1467" t="s">
        <v>680</v>
      </c>
      <c r="G197" s="1468" t="s">
        <v>1283</v>
      </c>
      <c r="H197" s="1469"/>
      <c r="I197" s="50"/>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row>
    <row r="198" spans="1:55" s="195" customFormat="1">
      <c r="A198" s="2044"/>
      <c r="B198" s="1607" t="s">
        <v>1332</v>
      </c>
      <c r="C198" s="383" t="s">
        <v>1282</v>
      </c>
      <c r="D198" s="525"/>
      <c r="E198" s="1466">
        <f>D198*'[1]Travel 2022'!D194</f>
        <v>0</v>
      </c>
      <c r="F198" s="1467" t="s">
        <v>680</v>
      </c>
      <c r="G198" s="1468" t="s">
        <v>1283</v>
      </c>
      <c r="H198" s="1469"/>
      <c r="I198" s="50"/>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row>
    <row r="199" spans="1:55" s="195" customFormat="1">
      <c r="A199" s="2044"/>
      <c r="B199" s="1607" t="s">
        <v>1333</v>
      </c>
      <c r="C199" s="383" t="s">
        <v>1282</v>
      </c>
      <c r="D199" s="525"/>
      <c r="E199" s="1466">
        <f>D199*'[1]Travel 2022'!D195</f>
        <v>0</v>
      </c>
      <c r="F199" s="1467" t="s">
        <v>680</v>
      </c>
      <c r="G199" s="1468" t="s">
        <v>1283</v>
      </c>
      <c r="H199" s="1469"/>
      <c r="I199" s="50"/>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row>
    <row r="200" spans="1:55">
      <c r="A200" s="2044"/>
      <c r="B200" s="1607" t="s">
        <v>1334</v>
      </c>
      <c r="C200" s="383" t="s">
        <v>1282</v>
      </c>
      <c r="D200" s="525"/>
      <c r="E200" s="1466">
        <f>D200*'[1]Travel 2022'!D196</f>
        <v>0</v>
      </c>
      <c r="F200" s="1467" t="s">
        <v>680</v>
      </c>
      <c r="G200" s="1468" t="s">
        <v>1283</v>
      </c>
      <c r="H200" s="1469"/>
    </row>
    <row r="201" spans="1:55">
      <c r="A201" s="2044"/>
      <c r="B201" s="1607" t="s">
        <v>1335</v>
      </c>
      <c r="C201" s="383" t="s">
        <v>1282</v>
      </c>
      <c r="D201" s="525"/>
      <c r="E201" s="1466">
        <f>D201*'[1]Travel 2022'!D197</f>
        <v>0</v>
      </c>
      <c r="F201" s="1467" t="s">
        <v>680</v>
      </c>
      <c r="G201" s="1468" t="s">
        <v>1283</v>
      </c>
      <c r="H201" s="1469"/>
    </row>
    <row r="202" spans="1:55">
      <c r="A202" s="2044"/>
      <c r="B202" s="1607" t="s">
        <v>1336</v>
      </c>
      <c r="C202" s="383" t="s">
        <v>1282</v>
      </c>
      <c r="D202" s="525"/>
      <c r="E202" s="1466">
        <f>D202*'[1]Travel 2022'!D198</f>
        <v>0</v>
      </c>
      <c r="F202" s="1467" t="s">
        <v>680</v>
      </c>
      <c r="G202" s="1468" t="s">
        <v>1283</v>
      </c>
      <c r="H202" s="1469"/>
    </row>
    <row r="203" spans="1:55">
      <c r="A203" s="2044"/>
      <c r="B203" s="1607" t="s">
        <v>1337</v>
      </c>
      <c r="C203" s="383" t="s">
        <v>1282</v>
      </c>
      <c r="D203" s="525"/>
      <c r="E203" s="1466">
        <f>D203*'[1]Travel 2022'!D199</f>
        <v>0</v>
      </c>
      <c r="F203" s="1467" t="s">
        <v>680</v>
      </c>
      <c r="G203" s="1468" t="s">
        <v>1283</v>
      </c>
      <c r="H203" s="1469"/>
    </row>
    <row r="204" spans="1:55">
      <c r="A204" s="2044"/>
      <c r="B204" s="1607" t="s">
        <v>1338</v>
      </c>
      <c r="C204" s="383" t="s">
        <v>1282</v>
      </c>
      <c r="D204" s="525"/>
      <c r="E204" s="1466">
        <f>D204*'[1]Travel 2022'!D200</f>
        <v>0</v>
      </c>
      <c r="F204" s="1467" t="s">
        <v>680</v>
      </c>
      <c r="G204" s="1468" t="s">
        <v>1283</v>
      </c>
      <c r="H204" s="1469"/>
    </row>
    <row r="205" spans="1:55">
      <c r="A205" s="2044"/>
      <c r="B205" s="1610" t="s">
        <v>1339</v>
      </c>
      <c r="C205" s="383" t="s">
        <v>1282</v>
      </c>
      <c r="D205" s="525"/>
      <c r="E205" s="1466">
        <f>D205*'[1]Travel 2022'!D201</f>
        <v>0</v>
      </c>
      <c r="F205" s="1467" t="s">
        <v>680</v>
      </c>
      <c r="G205" s="1468" t="s">
        <v>1283</v>
      </c>
      <c r="H205" s="1469"/>
    </row>
    <row r="206" spans="1:55">
      <c r="A206" s="2044"/>
      <c r="B206" s="1610" t="s">
        <v>1340</v>
      </c>
      <c r="C206" s="383" t="s">
        <v>1282</v>
      </c>
      <c r="D206" s="1343"/>
      <c r="E206" s="1466">
        <f>D206*'[1]Travel 2022'!D202</f>
        <v>0</v>
      </c>
      <c r="F206" s="1467" t="s">
        <v>680</v>
      </c>
      <c r="G206" s="1470" t="s">
        <v>1283</v>
      </c>
      <c r="H206" s="1469"/>
    </row>
    <row r="207" spans="1:55">
      <c r="D207" s="1444" t="s">
        <v>247</v>
      </c>
      <c r="E207" s="1471">
        <f>SUM(E157:E206)</f>
        <v>0</v>
      </c>
    </row>
    <row r="209" spans="1:3" s="102" customFormat="1" ht="15.75" thickBot="1">
      <c r="A209" s="1472"/>
      <c r="B209" s="1261"/>
      <c r="C209" s="1472"/>
    </row>
  </sheetData>
  <sheetProtection sheet="1" objects="1" scenarios="1" selectLockedCells="1"/>
  <mergeCells count="65">
    <mergeCell ref="A74:A77"/>
    <mergeCell ref="D76:H77"/>
    <mergeCell ref="E82:H82"/>
    <mergeCell ref="A34:A38"/>
    <mergeCell ref="E27:H27"/>
    <mergeCell ref="A39:A43"/>
    <mergeCell ref="A44:A48"/>
    <mergeCell ref="D44:H73"/>
    <mergeCell ref="A49:A53"/>
    <mergeCell ref="A54:A58"/>
    <mergeCell ref="A59:A63"/>
    <mergeCell ref="A64:A68"/>
    <mergeCell ref="A69:A73"/>
    <mergeCell ref="D10:D11"/>
    <mergeCell ref="A7:R7"/>
    <mergeCell ref="A8:R8"/>
    <mergeCell ref="A13:H13"/>
    <mergeCell ref="A14:D14"/>
    <mergeCell ref="E14:H14"/>
    <mergeCell ref="A10:C11"/>
    <mergeCell ref="J27:M27"/>
    <mergeCell ref="O27:R27"/>
    <mergeCell ref="A28:B28"/>
    <mergeCell ref="A29:A33"/>
    <mergeCell ref="A15:B15"/>
    <mergeCell ref="A16:A19"/>
    <mergeCell ref="A20:A22"/>
    <mergeCell ref="A25:R25"/>
    <mergeCell ref="D26:H26"/>
    <mergeCell ref="I26:M26"/>
    <mergeCell ref="N26:R26"/>
    <mergeCell ref="A83:B83"/>
    <mergeCell ref="A84:A92"/>
    <mergeCell ref="A93:A101"/>
    <mergeCell ref="A102:A103"/>
    <mergeCell ref="E107:H107"/>
    <mergeCell ref="A108:B108"/>
    <mergeCell ref="A109:A111"/>
    <mergeCell ref="A112:A114"/>
    <mergeCell ref="E123:H123"/>
    <mergeCell ref="N123:Q123"/>
    <mergeCell ref="A121:Q121"/>
    <mergeCell ref="A115:A117"/>
    <mergeCell ref="A156:B156"/>
    <mergeCell ref="A157:A206"/>
    <mergeCell ref="A155:G155"/>
    <mergeCell ref="A124:B124"/>
    <mergeCell ref="J124:K124"/>
    <mergeCell ref="A125:A128"/>
    <mergeCell ref="J125:J128"/>
    <mergeCell ref="A148:A152"/>
    <mergeCell ref="J148:J152"/>
    <mergeCell ref="E133:H133"/>
    <mergeCell ref="A131:Q131"/>
    <mergeCell ref="N133:Q133"/>
    <mergeCell ref="A134:B134"/>
    <mergeCell ref="J134:K134"/>
    <mergeCell ref="A135:A138"/>
    <mergeCell ref="J135:J138"/>
    <mergeCell ref="E143:H143"/>
    <mergeCell ref="N143:Q143"/>
    <mergeCell ref="A144:B144"/>
    <mergeCell ref="J144:K144"/>
    <mergeCell ref="A145:A147"/>
    <mergeCell ref="J145:J14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SUB483"/>
  <sheetViews>
    <sheetView topLeftCell="A256" zoomScaleNormal="100" workbookViewId="0">
      <selection activeCell="B126" sqref="B126"/>
    </sheetView>
  </sheetViews>
  <sheetFormatPr defaultColWidth="9.140625" defaultRowHeight="15"/>
  <cols>
    <col min="1" max="1" width="29.7109375" customWidth="1"/>
    <col min="2" max="2" width="34.140625" customWidth="1"/>
    <col min="3" max="3" width="26.85546875" bestFit="1" customWidth="1"/>
    <col min="4" max="4" width="29.85546875" customWidth="1"/>
    <col min="5" max="5" width="31.28515625" customWidth="1"/>
    <col min="6" max="6" width="13.28515625" customWidth="1"/>
    <col min="7" max="7" width="14.42578125" bestFit="1" customWidth="1"/>
    <col min="8" max="8" width="13.28515625" customWidth="1"/>
    <col min="9" max="9" width="14.140625" bestFit="1" customWidth="1"/>
    <col min="10" max="10" width="13.85546875" customWidth="1"/>
    <col min="11" max="14" width="13.28515625" customWidth="1"/>
    <col min="15" max="15" width="24" customWidth="1"/>
    <col min="16" max="16" width="13.42578125" bestFit="1" customWidth="1"/>
    <col min="22" max="22" width="12.7109375" bestFit="1" customWidth="1"/>
  </cols>
  <sheetData>
    <row r="1" spans="1:19" ht="31.5">
      <c r="A1" s="64" t="s">
        <v>63</v>
      </c>
      <c r="Q1" s="228"/>
      <c r="R1" s="228"/>
    </row>
    <row r="2" spans="1:19" ht="23.25">
      <c r="A2" s="65" t="s">
        <v>1187</v>
      </c>
    </row>
    <row r="3" spans="1:19" ht="17.25" customHeight="1">
      <c r="A3" s="65"/>
    </row>
    <row r="4" spans="1:19" ht="31.5">
      <c r="A4" s="64" t="s">
        <v>1707</v>
      </c>
    </row>
    <row r="5" spans="1:19" ht="17.25" customHeight="1">
      <c r="A5" s="1905" t="s">
        <v>66</v>
      </c>
      <c r="B5" s="1905"/>
      <c r="C5" s="1905"/>
      <c r="D5" s="1905"/>
      <c r="E5" s="1905"/>
      <c r="F5" s="1905"/>
      <c r="G5" s="1905"/>
      <c r="H5" s="1905"/>
      <c r="I5" s="1905"/>
    </row>
    <row r="6" spans="1:19" ht="17.25" customHeight="1">
      <c r="A6" s="1906" t="s">
        <v>433</v>
      </c>
      <c r="B6" s="1906"/>
      <c r="C6" s="1906"/>
      <c r="D6" s="1906"/>
      <c r="E6" s="1906"/>
      <c r="F6" s="1906"/>
      <c r="G6" s="1906"/>
      <c r="H6" s="1906"/>
      <c r="I6" s="1906"/>
    </row>
    <row r="8" spans="1:19">
      <c r="A8" s="1886" t="s">
        <v>1708</v>
      </c>
      <c r="B8" s="1887"/>
      <c r="C8" s="1887"/>
      <c r="D8" s="1887"/>
      <c r="E8" s="1887"/>
      <c r="F8" s="1887"/>
      <c r="G8" s="1887"/>
      <c r="H8" s="1887"/>
      <c r="I8" s="1887"/>
      <c r="J8" s="1887"/>
      <c r="K8" s="1887"/>
      <c r="L8" s="1887"/>
      <c r="M8" s="1887"/>
      <c r="N8" s="1888"/>
    </row>
    <row r="9" spans="1:19" ht="18">
      <c r="A9" s="1900" t="s">
        <v>69</v>
      </c>
      <c r="B9" s="1901"/>
      <c r="C9" s="492" t="s">
        <v>70</v>
      </c>
      <c r="D9" s="156" t="s">
        <v>71</v>
      </c>
      <c r="E9" s="492" t="s">
        <v>1709</v>
      </c>
      <c r="F9" s="492" t="s">
        <v>1710</v>
      </c>
      <c r="G9" s="492" t="s">
        <v>438</v>
      </c>
      <c r="H9" s="492" t="s">
        <v>75</v>
      </c>
      <c r="I9" s="1901" t="s">
        <v>76</v>
      </c>
      <c r="J9" s="1901"/>
      <c r="K9" s="1901"/>
      <c r="L9" s="1901"/>
      <c r="M9" s="1901"/>
      <c r="N9" s="2094"/>
    </row>
    <row r="10" spans="1:19" ht="20.25" customHeight="1">
      <c r="A10" s="917" t="s">
        <v>1711</v>
      </c>
      <c r="B10" s="711" t="s">
        <v>1711</v>
      </c>
      <c r="C10" s="169" t="s">
        <v>1712</v>
      </c>
      <c r="D10" s="847">
        <v>0.10499999999999998</v>
      </c>
      <c r="E10" s="848">
        <v>0.10321771875918379</v>
      </c>
      <c r="F10" s="852">
        <v>1.3794746445945858E-4</v>
      </c>
      <c r="G10" s="848">
        <v>1.644333776356746E-3</v>
      </c>
      <c r="H10" s="961"/>
      <c r="I10" s="2112" t="s">
        <v>1713</v>
      </c>
      <c r="J10" s="2112"/>
      <c r="K10" s="2112"/>
      <c r="L10" s="2112"/>
      <c r="M10" s="2112"/>
      <c r="N10" s="2113"/>
    </row>
    <row r="11" spans="1:19" ht="20.25" customHeight="1">
      <c r="A11" s="917" t="s">
        <v>1714</v>
      </c>
      <c r="B11" s="711" t="s">
        <v>1714</v>
      </c>
      <c r="C11" s="169" t="s">
        <v>1712</v>
      </c>
      <c r="D11" s="847">
        <v>0.38999999999999996</v>
      </c>
      <c r="E11" s="848">
        <v>0.38338009824839692</v>
      </c>
      <c r="F11" s="852">
        <v>5.1237629656370332E-4</v>
      </c>
      <c r="G11" s="848">
        <v>6.1075254550393429E-3</v>
      </c>
      <c r="H11" s="961"/>
      <c r="I11" s="2112" t="s">
        <v>1715</v>
      </c>
      <c r="J11" s="2112"/>
      <c r="K11" s="2112"/>
      <c r="L11" s="2112"/>
      <c r="M11" s="2112"/>
      <c r="N11" s="2113"/>
    </row>
    <row r="12" spans="1:19">
      <c r="A12" s="917" t="s">
        <v>1716</v>
      </c>
      <c r="B12" s="711" t="s">
        <v>1716</v>
      </c>
      <c r="C12" s="169" t="s">
        <v>1712</v>
      </c>
      <c r="D12" s="847">
        <v>0.13499999999999998</v>
      </c>
      <c r="E12" s="848">
        <v>0.13270849554752201</v>
      </c>
      <c r="F12" s="852">
        <v>1.7736102573358961E-4</v>
      </c>
      <c r="G12" s="848">
        <v>2.1141434267443878E-3</v>
      </c>
      <c r="H12" s="961"/>
      <c r="I12" s="2112" t="s">
        <v>1717</v>
      </c>
      <c r="J12" s="2112"/>
      <c r="K12" s="2112"/>
      <c r="L12" s="2112"/>
      <c r="M12" s="2112"/>
      <c r="N12" s="2113"/>
      <c r="R12" s="447"/>
    </row>
    <row r="14" spans="1:19">
      <c r="A14" s="1886" t="s">
        <v>1718</v>
      </c>
      <c r="B14" s="1887"/>
      <c r="C14" s="1887"/>
      <c r="D14" s="1887"/>
      <c r="E14" s="1887"/>
      <c r="F14" s="1887"/>
      <c r="G14" s="1887"/>
      <c r="H14" s="1887"/>
      <c r="I14" s="1887"/>
      <c r="J14" s="1887"/>
      <c r="K14" s="1887"/>
      <c r="L14" s="1887"/>
      <c r="M14" s="1887"/>
      <c r="N14" s="1887"/>
      <c r="O14" s="491"/>
    </row>
    <row r="15" spans="1:19">
      <c r="A15" s="2105"/>
      <c r="B15" s="2106"/>
      <c r="C15" s="2106"/>
      <c r="D15" s="2108" t="s">
        <v>1202</v>
      </c>
      <c r="E15" s="2108"/>
      <c r="F15" s="2108"/>
      <c r="G15" s="2108"/>
      <c r="H15" s="2108" t="s">
        <v>1719</v>
      </c>
      <c r="I15" s="2108"/>
      <c r="J15" s="2108"/>
      <c r="K15" s="2108"/>
      <c r="L15" s="2108" t="s">
        <v>1204</v>
      </c>
      <c r="M15" s="2108"/>
      <c r="N15" s="2108"/>
      <c r="O15" s="2114"/>
    </row>
    <row r="16" spans="1:19" ht="24" customHeight="1">
      <c r="A16" s="1900" t="s">
        <v>69</v>
      </c>
      <c r="B16" s="1901"/>
      <c r="C16" s="492" t="s">
        <v>70</v>
      </c>
      <c r="D16" s="944" t="s">
        <v>1205</v>
      </c>
      <c r="E16" s="846" t="s">
        <v>1206</v>
      </c>
      <c r="F16" s="846" t="s">
        <v>1207</v>
      </c>
      <c r="G16" s="846" t="s">
        <v>1208</v>
      </c>
      <c r="H16" s="944" t="s">
        <v>1205</v>
      </c>
      <c r="I16" s="846" t="s">
        <v>1206</v>
      </c>
      <c r="J16" s="846" t="s">
        <v>1207</v>
      </c>
      <c r="K16" s="846" t="s">
        <v>1208</v>
      </c>
      <c r="L16" s="944" t="s">
        <v>1205</v>
      </c>
      <c r="M16" s="846" t="s">
        <v>1206</v>
      </c>
      <c r="N16" s="846" t="s">
        <v>1207</v>
      </c>
      <c r="O16" s="846" t="s">
        <v>1208</v>
      </c>
      <c r="Q16" s="444"/>
      <c r="R16" s="444"/>
      <c r="S16" s="444"/>
    </row>
    <row r="17" spans="1:22" ht="15" customHeight="1">
      <c r="A17" s="2047" t="s">
        <v>222</v>
      </c>
      <c r="B17" s="169" t="s">
        <v>1720</v>
      </c>
      <c r="C17" s="169" t="s">
        <v>1211</v>
      </c>
      <c r="D17" s="847">
        <v>0.2066628155465243</v>
      </c>
      <c r="E17" s="848">
        <v>0.19761314215060102</v>
      </c>
      <c r="F17" s="848">
        <v>2.3265754289924327E-3</v>
      </c>
      <c r="G17" s="848">
        <v>6.7230979669308617E-3</v>
      </c>
      <c r="H17" s="847">
        <v>0.19485305564163172</v>
      </c>
      <c r="I17" s="848">
        <v>0.18632052641477878</v>
      </c>
      <c r="J17" s="848">
        <v>2.1936231262554284E-3</v>
      </c>
      <c r="K17" s="848">
        <v>6.3389061005975061E-3</v>
      </c>
      <c r="L17" s="847">
        <v>0.18406067340854881</v>
      </c>
      <c r="M17" s="848">
        <v>0.17527400722888747</v>
      </c>
      <c r="N17" s="873">
        <v>2.0635682127304882E-3</v>
      </c>
      <c r="O17" s="945">
        <v>6.7230979669308617E-3</v>
      </c>
      <c r="Q17" s="455"/>
      <c r="R17" s="455"/>
      <c r="S17" s="455"/>
      <c r="T17" s="447"/>
      <c r="U17" s="447"/>
      <c r="V17" s="447"/>
    </row>
    <row r="18" spans="1:22" ht="15" customHeight="1">
      <c r="A18" s="2047"/>
      <c r="B18" s="169" t="s">
        <v>1721</v>
      </c>
      <c r="C18" s="169" t="s">
        <v>1211</v>
      </c>
      <c r="D18" s="847">
        <v>0.22190419819308019</v>
      </c>
      <c r="E18" s="848">
        <v>0.21218711138420757</v>
      </c>
      <c r="F18" s="848">
        <v>2.4981603668806211E-3</v>
      </c>
      <c r="G18" s="848">
        <v>7.2189264419920025E-3</v>
      </c>
      <c r="H18" s="847">
        <v>0.2092234684952019</v>
      </c>
      <c r="I18" s="848">
        <v>0.20006166523786859</v>
      </c>
      <c r="J18" s="848">
        <v>2.3554028318167651E-3</v>
      </c>
      <c r="K18" s="848">
        <v>6.8064004255165679E-3</v>
      </c>
      <c r="L18" s="847">
        <v>0.19763514807242924</v>
      </c>
      <c r="M18" s="848">
        <v>0.18820046526201786</v>
      </c>
      <c r="N18" s="873">
        <v>2.2157563684193611E-3</v>
      </c>
      <c r="O18" s="945">
        <v>7.2189264419920025E-3</v>
      </c>
      <c r="Q18" s="455"/>
      <c r="R18" s="455"/>
      <c r="S18" s="455"/>
      <c r="T18" s="447"/>
      <c r="U18" s="447"/>
      <c r="V18" s="447"/>
    </row>
    <row r="19" spans="1:22">
      <c r="A19" s="2047"/>
      <c r="B19" s="169" t="s">
        <v>1722</v>
      </c>
      <c r="C19" s="169" t="s">
        <v>1211</v>
      </c>
      <c r="D19" s="847">
        <v>0.2994027540230273</v>
      </c>
      <c r="E19" s="848">
        <v>0.2862920396906834</v>
      </c>
      <c r="F19" s="848">
        <v>3.3706261527527885E-3</v>
      </c>
      <c r="G19" s="848">
        <v>9.7400881795910894E-3</v>
      </c>
      <c r="H19" s="847">
        <v>0.28229336436081415</v>
      </c>
      <c r="I19" s="848">
        <v>0.2699318626434109</v>
      </c>
      <c r="J19" s="848">
        <v>3.1780115041625543E-3</v>
      </c>
      <c r="K19" s="848">
        <v>9.1834902132406429E-3</v>
      </c>
      <c r="L19" s="847">
        <v>0.2666579006006351</v>
      </c>
      <c r="M19" s="848">
        <v>0.2539282179728507</v>
      </c>
      <c r="N19" s="873">
        <v>2.989594448193294E-3</v>
      </c>
      <c r="O19" s="945">
        <v>9.7400881795910894E-3</v>
      </c>
      <c r="Q19" s="455"/>
      <c r="R19" s="455"/>
      <c r="S19" s="455"/>
      <c r="T19" s="447"/>
      <c r="U19" s="447"/>
      <c r="V19" s="447"/>
    </row>
    <row r="20" spans="1:22">
      <c r="A20" s="2047"/>
      <c r="B20" s="169" t="s">
        <v>1723</v>
      </c>
      <c r="C20" s="169" t="s">
        <v>1211</v>
      </c>
      <c r="D20" s="847">
        <v>0.31671076482504879</v>
      </c>
      <c r="E20" s="848">
        <v>0.30284214034579632</v>
      </c>
      <c r="F20" s="848">
        <v>3.5654768449309062E-3</v>
      </c>
      <c r="G20" s="848">
        <v>1.0303147634321554E-2</v>
      </c>
      <c r="H20" s="847">
        <v>0.29861230777080094</v>
      </c>
      <c r="I20" s="848">
        <v>0.28553620673064878</v>
      </c>
      <c r="J20" s="848">
        <v>3.361727440986448E-3</v>
      </c>
      <c r="K20" s="848">
        <v>9.7143735991656877E-3</v>
      </c>
      <c r="L20" s="847">
        <v>0.28207298199860104</v>
      </c>
      <c r="M20" s="848">
        <v>0.26860741607826999</v>
      </c>
      <c r="N20" s="873">
        <v>3.1624182860094719E-3</v>
      </c>
      <c r="O20" s="945">
        <v>1.0303147634321554E-2</v>
      </c>
      <c r="Q20" s="455"/>
      <c r="R20" s="455"/>
      <c r="S20" s="455"/>
      <c r="T20" s="447"/>
      <c r="U20" s="447"/>
      <c r="V20" s="447"/>
    </row>
    <row r="21" spans="1:22">
      <c r="A21" s="2047"/>
      <c r="B21" s="169" t="s">
        <v>1215</v>
      </c>
      <c r="C21" s="169" t="s">
        <v>1211</v>
      </c>
      <c r="D21" s="847">
        <v>0.36165992720641754</v>
      </c>
      <c r="E21" s="848">
        <v>0.34582299876355177</v>
      </c>
      <c r="F21" s="848">
        <v>4.0715070007367564E-3</v>
      </c>
      <c r="G21" s="848">
        <v>1.1765421442129005E-2</v>
      </c>
      <c r="H21" s="847">
        <v>0.34099284737285551</v>
      </c>
      <c r="I21" s="848">
        <v>0.32606092122586289</v>
      </c>
      <c r="J21" s="848">
        <v>3.8388404709470002E-3</v>
      </c>
      <c r="K21" s="848">
        <v>1.1093085676045635E-2</v>
      </c>
      <c r="L21" s="847">
        <v>0.32210617846496031</v>
      </c>
      <c r="M21" s="848">
        <v>0.30672951265055298</v>
      </c>
      <c r="N21" s="873">
        <v>3.6112443722783531E-3</v>
      </c>
      <c r="O21" s="945">
        <v>1.1765421442129005E-2</v>
      </c>
      <c r="Q21" s="455"/>
      <c r="R21" s="455"/>
      <c r="S21" s="455"/>
      <c r="T21" s="447"/>
      <c r="U21" s="447"/>
      <c r="V21" s="447"/>
    </row>
    <row r="22" spans="1:22">
      <c r="A22" s="2047" t="s">
        <v>99</v>
      </c>
      <c r="B22" s="169" t="s">
        <v>1720</v>
      </c>
      <c r="C22" s="169" t="s">
        <v>1211</v>
      </c>
      <c r="D22" s="847">
        <v>0.21549870217003167</v>
      </c>
      <c r="E22" s="848">
        <v>0.21184080412909945</v>
      </c>
      <c r="F22" s="852">
        <v>2.8311904341580857E-4</v>
      </c>
      <c r="G22" s="852">
        <v>3.3747789975164377E-3</v>
      </c>
      <c r="H22" s="847">
        <v>0.19856781479305941</v>
      </c>
      <c r="I22" s="848">
        <v>0.19519730344700667</v>
      </c>
      <c r="J22" s="852">
        <v>2.6087549118055157E-4</v>
      </c>
      <c r="K22" s="848">
        <v>3.1096358548721747E-3</v>
      </c>
      <c r="L22" s="847">
        <v>0.18861837546244112</v>
      </c>
      <c r="M22" s="848">
        <v>0.18541674696472743</v>
      </c>
      <c r="N22" s="946">
        <v>2.478040632905325E-4</v>
      </c>
      <c r="O22" s="947">
        <v>2.9538244344231471E-3</v>
      </c>
      <c r="Q22" s="455"/>
      <c r="R22" s="455"/>
      <c r="S22" s="455"/>
      <c r="T22" s="447"/>
      <c r="U22" s="447"/>
      <c r="V22" s="447"/>
    </row>
    <row r="23" spans="1:22">
      <c r="A23" s="2047"/>
      <c r="B23" s="169" t="s">
        <v>1721</v>
      </c>
      <c r="C23" s="169" t="s">
        <v>1211</v>
      </c>
      <c r="D23" s="847">
        <v>0.20737737309871754</v>
      </c>
      <c r="E23" s="848">
        <v>0.20385732736687384</v>
      </c>
      <c r="F23" s="852">
        <v>2.7244936004982114E-4</v>
      </c>
      <c r="G23" s="852">
        <v>3.2475963717938676E-3</v>
      </c>
      <c r="H23" s="847">
        <v>0.19108454667744051</v>
      </c>
      <c r="I23" s="848">
        <v>0.1878410571255065</v>
      </c>
      <c r="J23" s="852">
        <v>2.5104408296702839E-4</v>
      </c>
      <c r="K23" s="848">
        <v>2.9924454689669784E-3</v>
      </c>
      <c r="L23" s="847">
        <v>0.18151006399419567</v>
      </c>
      <c r="M23" s="848">
        <v>0.17842909273632707</v>
      </c>
      <c r="N23" s="946">
        <v>2.3846526763688915E-4</v>
      </c>
      <c r="O23" s="947">
        <v>2.8425059902317186E-3</v>
      </c>
      <c r="Q23" s="455"/>
      <c r="R23" s="455"/>
      <c r="S23" s="455"/>
      <c r="T23" s="447"/>
      <c r="U23" s="447"/>
      <c r="V23" s="447"/>
    </row>
    <row r="24" spans="1:22">
      <c r="A24" s="2047"/>
      <c r="B24" s="169" t="s">
        <v>1722</v>
      </c>
      <c r="C24" s="169" t="s">
        <v>1211</v>
      </c>
      <c r="D24" s="847">
        <v>0.27606467058665257</v>
      </c>
      <c r="E24" s="848">
        <v>0.27137871931390306</v>
      </c>
      <c r="F24" s="852">
        <v>3.6268972699299426E-4</v>
      </c>
      <c r="G24" s="852">
        <v>4.3232615457564913E-3</v>
      </c>
      <c r="H24" s="847">
        <v>0.25437535274205714</v>
      </c>
      <c r="I24" s="848">
        <v>0.25005755827236026</v>
      </c>
      <c r="J24" s="852">
        <v>3.3419461839759215E-4</v>
      </c>
      <c r="K24" s="848">
        <v>3.9835998512992975E-3</v>
      </c>
      <c r="L24" s="847">
        <v>0.24162962080181635</v>
      </c>
      <c r="M24" s="848">
        <v>0.23752817375057245</v>
      </c>
      <c r="N24" s="946">
        <v>3.1744946217058113E-4</v>
      </c>
      <c r="O24" s="947">
        <v>3.7839975890733269E-3</v>
      </c>
      <c r="Q24" s="455"/>
      <c r="R24" s="455"/>
      <c r="S24" s="455"/>
      <c r="T24" s="447"/>
      <c r="U24" s="447"/>
      <c r="V24" s="447"/>
    </row>
    <row r="25" spans="1:22">
      <c r="A25" s="2047"/>
      <c r="B25" s="169" t="s">
        <v>1723</v>
      </c>
      <c r="C25" s="169" t="s">
        <v>1211</v>
      </c>
      <c r="D25" s="847">
        <v>0.29601224640896162</v>
      </c>
      <c r="E25" s="848">
        <v>0.29098770284870873</v>
      </c>
      <c r="F25" s="852">
        <v>3.888965603910927E-4</v>
      </c>
      <c r="G25" s="852">
        <v>4.6356469998618246E-3</v>
      </c>
      <c r="H25" s="847">
        <v>0.27275572580959212</v>
      </c>
      <c r="I25" s="848">
        <v>0.2681259409197288</v>
      </c>
      <c r="J25" s="852">
        <v>3.5834248373554798E-4</v>
      </c>
      <c r="K25" s="848">
        <v>4.2714424061277316E-3</v>
      </c>
      <c r="L25" s="847">
        <v>0.25908902685916274</v>
      </c>
      <c r="M25" s="848">
        <v>0.25469122198037786</v>
      </c>
      <c r="N25" s="946">
        <v>3.4038737451895295E-4</v>
      </c>
      <c r="O25" s="947">
        <v>4.0574175042659187E-3</v>
      </c>
      <c r="Q25" s="455"/>
      <c r="R25" s="455"/>
      <c r="S25" s="455"/>
      <c r="T25" s="447"/>
      <c r="U25" s="447"/>
      <c r="V25" s="447"/>
    </row>
    <row r="26" spans="1:22" ht="15" customHeight="1">
      <c r="A26" s="2047"/>
      <c r="B26" s="169" t="s">
        <v>1215</v>
      </c>
      <c r="C26" s="169" t="s">
        <v>1211</v>
      </c>
      <c r="D26" s="847">
        <v>0.29973750130428573</v>
      </c>
      <c r="E26" s="848">
        <v>0.29464972486863095</v>
      </c>
      <c r="F26" s="852">
        <v>3.9379074579371312E-4</v>
      </c>
      <c r="G26" s="852">
        <v>4.6939856898610601E-3</v>
      </c>
      <c r="H26" s="847">
        <v>0.27618830204630657</v>
      </c>
      <c r="I26" s="848">
        <v>0.27150025223992552</v>
      </c>
      <c r="J26" s="852">
        <v>3.6285215219667707E-4</v>
      </c>
      <c r="K26" s="848">
        <v>4.3251976541843901E-3</v>
      </c>
      <c r="L26" s="847">
        <v>0.26234961042400129</v>
      </c>
      <c r="M26" s="848">
        <v>0.25789646005072381</v>
      </c>
      <c r="N26" s="946">
        <v>3.4467108152302591E-4</v>
      </c>
      <c r="O26" s="947">
        <v>4.1084792917544686E-3</v>
      </c>
      <c r="Q26" s="455"/>
      <c r="R26" s="455"/>
      <c r="S26" s="455"/>
      <c r="T26" s="447"/>
      <c r="U26" s="447"/>
      <c r="V26" s="447"/>
    </row>
    <row r="27" spans="1:22" ht="15" customHeight="1">
      <c r="A27" s="2047" t="s">
        <v>1232</v>
      </c>
      <c r="B27" s="169" t="s">
        <v>1720</v>
      </c>
      <c r="C27" s="169" t="s">
        <v>1211</v>
      </c>
      <c r="D27" s="847">
        <v>0.16315485437883509</v>
      </c>
      <c r="E27" s="848">
        <v>0.15601037538205353</v>
      </c>
      <c r="F27" s="848">
        <v>1.836770075520343E-3</v>
      </c>
      <c r="G27" s="848">
        <v>5.3077089212612101E-3</v>
      </c>
      <c r="H27" s="847">
        <v>0.153730110216866</v>
      </c>
      <c r="I27" s="848">
        <v>0.14699833660339398</v>
      </c>
      <c r="J27" s="848">
        <v>1.7306678813070794E-3</v>
      </c>
      <c r="K27" s="848">
        <v>5.0011057321649429E-3</v>
      </c>
      <c r="L27" s="847">
        <v>0.1439105870354902</v>
      </c>
      <c r="M27" s="848">
        <v>0.1376088060041871</v>
      </c>
      <c r="N27" s="873">
        <v>1.6201213308897043E-3</v>
      </c>
      <c r="O27" s="945">
        <v>4.6816597004134004E-3</v>
      </c>
      <c r="Q27" s="455"/>
      <c r="R27" s="455"/>
      <c r="S27" s="455"/>
      <c r="T27" s="447"/>
      <c r="U27" s="447"/>
      <c r="V27" s="447"/>
    </row>
    <row r="28" spans="1:22" ht="15" customHeight="1">
      <c r="A28" s="2047"/>
      <c r="B28" s="169" t="s">
        <v>1721</v>
      </c>
      <c r="C28" s="169" t="s">
        <v>1211</v>
      </c>
      <c r="D28" s="847">
        <v>0.17518752488927414</v>
      </c>
      <c r="E28" s="848">
        <v>0.16751614056647995</v>
      </c>
      <c r="F28" s="848">
        <v>1.9722318685899678E-3</v>
      </c>
      <c r="G28" s="848">
        <v>5.6991524542042227E-3</v>
      </c>
      <c r="H28" s="847">
        <v>0.16506770584535985</v>
      </c>
      <c r="I28" s="848">
        <v>0.15783946392789425</v>
      </c>
      <c r="J28" s="848">
        <v>1.858304637553476E-3</v>
      </c>
      <c r="K28" s="848">
        <v>5.3699372799121056E-3</v>
      </c>
      <c r="L28" s="847">
        <v>0.15452399282935758</v>
      </c>
      <c r="M28" s="848">
        <v>0.14775745544699587</v>
      </c>
      <c r="N28" s="873">
        <v>1.7396052790428199E-3</v>
      </c>
      <c r="O28" s="945">
        <v>5.0269321033188886E-3</v>
      </c>
      <c r="Q28" s="455"/>
      <c r="R28" s="455"/>
      <c r="S28" s="455"/>
      <c r="T28" s="447"/>
      <c r="U28" s="447"/>
      <c r="V28" s="447"/>
    </row>
    <row r="29" spans="1:22" ht="15" customHeight="1">
      <c r="A29" s="2047"/>
      <c r="B29" s="169" t="s">
        <v>1722</v>
      </c>
      <c r="C29" s="169" t="s">
        <v>1211</v>
      </c>
      <c r="D29" s="847">
        <v>0.23637059528133703</v>
      </c>
      <c r="E29" s="848">
        <v>0.22602003133474977</v>
      </c>
      <c r="F29" s="848">
        <v>2.6610206469100933E-3</v>
      </c>
      <c r="G29" s="848">
        <v>7.6895432996771668E-3</v>
      </c>
      <c r="H29" s="847">
        <v>0.22271649717668435</v>
      </c>
      <c r="I29" s="848">
        <v>0.21296384015416678</v>
      </c>
      <c r="J29" s="848">
        <v>2.5073050930436284E-3</v>
      </c>
      <c r="K29" s="848">
        <v>7.2453519294739524E-3</v>
      </c>
      <c r="L29" s="847">
        <v>0.20849046296766649</v>
      </c>
      <c r="M29" s="848">
        <v>0.19936075769856609</v>
      </c>
      <c r="N29" s="873">
        <v>2.3471507781264596E-3</v>
      </c>
      <c r="O29" s="945">
        <v>6.7825544909739157E-3</v>
      </c>
      <c r="Q29" s="455"/>
      <c r="R29" s="455"/>
      <c r="S29" s="455"/>
      <c r="T29" s="447"/>
      <c r="U29" s="447"/>
      <c r="V29" s="447"/>
    </row>
    <row r="30" spans="1:22" ht="15" customHeight="1">
      <c r="A30" s="2047"/>
      <c r="B30" s="169" t="s">
        <v>1723</v>
      </c>
      <c r="C30" s="169" t="s">
        <v>1211</v>
      </c>
      <c r="D30" s="847">
        <v>0.2500348143355649</v>
      </c>
      <c r="E30" s="848">
        <v>0.23908590027299714</v>
      </c>
      <c r="F30" s="848">
        <v>2.8148501407349266E-3</v>
      </c>
      <c r="G30" s="848">
        <v>8.1340639218328067E-3</v>
      </c>
      <c r="H30" s="847">
        <v>0.23559139390734701</v>
      </c>
      <c r="I30" s="848">
        <v>0.22527495084470134</v>
      </c>
      <c r="J30" s="848">
        <v>2.6522485281031002E-3</v>
      </c>
      <c r="K30" s="848">
        <v>7.6641945345427773E-3</v>
      </c>
      <c r="L30" s="847">
        <v>0.22054297463188879</v>
      </c>
      <c r="M30" s="848">
        <v>0.21088549520141678</v>
      </c>
      <c r="N30" s="873">
        <v>2.4828359395884722E-3</v>
      </c>
      <c r="O30" s="945">
        <v>7.1746434908835383E-3</v>
      </c>
      <c r="Q30" s="455"/>
      <c r="R30" s="455"/>
      <c r="S30" s="455"/>
      <c r="T30" s="447"/>
      <c r="U30" s="447"/>
      <c r="V30" s="447"/>
    </row>
    <row r="31" spans="1:22" ht="15" customHeight="1">
      <c r="A31" s="2047"/>
      <c r="B31" s="169" t="s">
        <v>1215</v>
      </c>
      <c r="C31" s="169" t="s">
        <v>1211</v>
      </c>
      <c r="D31" s="847">
        <v>0.28552099516296076</v>
      </c>
      <c r="E31" s="848">
        <v>0.27301815691859305</v>
      </c>
      <c r="F31" s="848">
        <v>3.2143476321605923E-3</v>
      </c>
      <c r="G31" s="848">
        <v>9.288490612207094E-3</v>
      </c>
      <c r="H31" s="847">
        <v>0.269027692879515</v>
      </c>
      <c r="I31" s="848">
        <v>0.25724708905593902</v>
      </c>
      <c r="J31" s="848">
        <v>3.0286687922873833E-3</v>
      </c>
      <c r="K31" s="848">
        <v>8.7519350312886338E-3</v>
      </c>
      <c r="L31" s="847">
        <v>0.25184352731210791</v>
      </c>
      <c r="M31" s="848">
        <v>0.24081541050732747</v>
      </c>
      <c r="N31" s="873">
        <v>2.8352123290569832E-3</v>
      </c>
      <c r="O31" s="945">
        <v>8.1929044757234528E-3</v>
      </c>
      <c r="Q31" s="455"/>
      <c r="R31" s="455"/>
      <c r="S31" s="455"/>
      <c r="T31" s="447"/>
      <c r="U31" s="447"/>
      <c r="V31" s="447"/>
    </row>
    <row r="32" spans="1:22" ht="15" customHeight="1">
      <c r="A32" s="2047" t="s">
        <v>1724</v>
      </c>
      <c r="B32" s="169" t="s">
        <v>1720</v>
      </c>
      <c r="C32" s="169" t="s">
        <v>1211</v>
      </c>
      <c r="D32" s="847">
        <v>0.1931791937309929</v>
      </c>
      <c r="E32" s="848">
        <v>0.18990014941572864</v>
      </c>
      <c r="F32" s="852">
        <v>2.5379599963345725E-4</v>
      </c>
      <c r="G32" s="848">
        <v>3.02524831563081E-3</v>
      </c>
      <c r="H32" s="847">
        <v>0.17807109537691646</v>
      </c>
      <c r="I32" s="848">
        <v>0.17504849754051768</v>
      </c>
      <c r="J32" s="852">
        <v>2.3394720095965758E-4</v>
      </c>
      <c r="K32" s="848">
        <v>2.7886506354391181E-3</v>
      </c>
      <c r="L32" s="847">
        <v>0.16963692117299406</v>
      </c>
      <c r="M32" s="848">
        <v>0.16675748591245648</v>
      </c>
      <c r="N32" s="873">
        <v>2.2286650623355787E-4</v>
      </c>
      <c r="O32" s="945">
        <v>2.6565687543040097E-3</v>
      </c>
      <c r="Q32" s="455"/>
      <c r="R32" s="455"/>
      <c r="S32" s="455"/>
      <c r="T32" s="447"/>
      <c r="U32" s="447"/>
      <c r="V32" s="447"/>
    </row>
    <row r="33" spans="1:22" ht="15" customHeight="1">
      <c r="A33" s="2047"/>
      <c r="B33" s="169" t="s">
        <v>1721</v>
      </c>
      <c r="C33" s="169" t="s">
        <v>1211</v>
      </c>
      <c r="D33" s="847">
        <v>0.18589900231349341</v>
      </c>
      <c r="E33" s="848">
        <v>0.18274353274673352</v>
      </c>
      <c r="F33" s="852">
        <v>2.442313906160899E-4</v>
      </c>
      <c r="G33" s="848">
        <v>2.9112381761437918E-3</v>
      </c>
      <c r="H33" s="847">
        <v>0.17136027090752237</v>
      </c>
      <c r="I33" s="848">
        <v>0.16845158332409704</v>
      </c>
      <c r="J33" s="852">
        <v>2.2513061791217751E-4</v>
      </c>
      <c r="K33" s="848">
        <v>2.6835569655131557E-3</v>
      </c>
      <c r="L33" s="847">
        <v>0.16324394875312523</v>
      </c>
      <c r="M33" s="848">
        <v>0.16047302849084469</v>
      </c>
      <c r="N33" s="873">
        <v>2.1446751256041355E-4</v>
      </c>
      <c r="O33" s="945">
        <v>2.5564527497201292E-3</v>
      </c>
      <c r="Q33" s="455"/>
      <c r="R33" s="455"/>
      <c r="S33" s="455"/>
      <c r="T33" s="447"/>
      <c r="U33" s="447"/>
      <c r="V33" s="447"/>
    </row>
    <row r="34" spans="1:22" ht="15" customHeight="1">
      <c r="A34" s="2047"/>
      <c r="B34" s="169" t="s">
        <v>1722</v>
      </c>
      <c r="C34" s="169" t="s">
        <v>1211</v>
      </c>
      <c r="D34" s="847">
        <v>0.24747225827589273</v>
      </c>
      <c r="E34" s="848">
        <v>0.243271637670678</v>
      </c>
      <c r="F34" s="852">
        <v>3.2512543384014919E-4</v>
      </c>
      <c r="G34" s="848">
        <v>3.8754951713745782E-3</v>
      </c>
      <c r="H34" s="847">
        <v>0.22811802480112203</v>
      </c>
      <c r="I34" s="848">
        <v>0.22424592502688312</v>
      </c>
      <c r="J34" s="852">
        <v>2.9969812494109213E-4</v>
      </c>
      <c r="K34" s="848">
        <v>3.5724016492978184E-3</v>
      </c>
      <c r="L34" s="847">
        <v>0.21731342366046516</v>
      </c>
      <c r="M34" s="848">
        <v>0.21362472234267857</v>
      </c>
      <c r="N34" s="873">
        <v>2.8550319797109795E-4</v>
      </c>
      <c r="O34" s="945">
        <v>3.4031981198154875E-3</v>
      </c>
      <c r="Q34" s="455"/>
      <c r="R34" s="455"/>
      <c r="S34" s="455"/>
      <c r="T34" s="447"/>
      <c r="U34" s="447"/>
      <c r="V34" s="447"/>
    </row>
    <row r="35" spans="1:22" ht="15" customHeight="1">
      <c r="A35" s="2047"/>
      <c r="B35" s="169" t="s">
        <v>1723</v>
      </c>
      <c r="C35" s="169" t="s">
        <v>1211</v>
      </c>
      <c r="D35" s="847">
        <v>0.26535383517374728</v>
      </c>
      <c r="E35" s="848">
        <v>0.26084969076794917</v>
      </c>
      <c r="F35" s="852">
        <v>3.4861798806487185E-4</v>
      </c>
      <c r="G35" s="848">
        <v>4.1555264177332721E-3</v>
      </c>
      <c r="H35" s="847">
        <v>0.24460112488953839</v>
      </c>
      <c r="I35" s="848">
        <v>0.24044923920979394</v>
      </c>
      <c r="J35" s="852">
        <v>3.2135338078517322E-4</v>
      </c>
      <c r="K35" s="848">
        <v>3.8305322989592647E-3</v>
      </c>
      <c r="L35" s="847">
        <v>0.23301581682240358</v>
      </c>
      <c r="M35" s="848">
        <v>0.2290605814020604</v>
      </c>
      <c r="N35" s="873">
        <v>3.0613277247238318E-4</v>
      </c>
      <c r="O35" s="945">
        <v>3.6491026478708069E-3</v>
      </c>
      <c r="Q35" s="455"/>
      <c r="R35" s="455"/>
      <c r="S35" s="455"/>
      <c r="T35" s="447"/>
      <c r="U35" s="447"/>
      <c r="V35" s="447"/>
    </row>
    <row r="36" spans="1:22" ht="15" customHeight="1">
      <c r="A36" s="2047"/>
      <c r="B36" s="169" t="s">
        <v>1215</v>
      </c>
      <c r="C36" s="169" t="s">
        <v>1211</v>
      </c>
      <c r="D36" s="847">
        <v>0.26869326009777056</v>
      </c>
      <c r="E36" s="848">
        <v>0.2641324319358086</v>
      </c>
      <c r="F36" s="852">
        <v>3.5300527569365013E-4</v>
      </c>
      <c r="G36" s="848">
        <v>4.2078228862683096E-3</v>
      </c>
      <c r="H36" s="847">
        <v>0.24767938110680926</v>
      </c>
      <c r="I36" s="848">
        <v>0.24347524477648894</v>
      </c>
      <c r="J36" s="852">
        <v>3.2539754878640255E-4</v>
      </c>
      <c r="K36" s="848">
        <v>3.8787387815339184E-3</v>
      </c>
      <c r="L36" s="847">
        <v>0.23594827425562231</v>
      </c>
      <c r="M36" s="848">
        <v>0.2319432629888723</v>
      </c>
      <c r="N36" s="873">
        <v>3.0998539216331471E-4</v>
      </c>
      <c r="O36" s="945">
        <v>3.6950258745867114E-3</v>
      </c>
      <c r="Q36" s="455"/>
      <c r="R36" s="455"/>
      <c r="S36" s="455"/>
      <c r="T36" s="447"/>
      <c r="U36" s="447"/>
      <c r="V36" s="447"/>
    </row>
    <row r="37" spans="1:22" ht="15" customHeight="1">
      <c r="A37" s="2047" t="s">
        <v>1725</v>
      </c>
      <c r="B37" s="169" t="s">
        <v>1720</v>
      </c>
      <c r="C37" s="169" t="s">
        <v>1211</v>
      </c>
      <c r="D37" s="948"/>
      <c r="E37" s="949"/>
      <c r="F37" s="949"/>
      <c r="G37" s="950"/>
      <c r="H37" s="847">
        <v>8.0452091013493085E-2</v>
      </c>
      <c r="I37" s="848">
        <v>7.6929129489109391E-2</v>
      </c>
      <c r="J37" s="848">
        <v>9.0571619121737016E-4</v>
      </c>
      <c r="K37" s="848">
        <v>2.617245333166316E-3</v>
      </c>
      <c r="L37" s="847">
        <v>7.5313207215239847E-2</v>
      </c>
      <c r="M37" s="848">
        <v>7.2015275142191221E-2</v>
      </c>
      <c r="N37" s="873">
        <v>8.4786349649894495E-4</v>
      </c>
      <c r="O37" s="945">
        <v>2.4500685765496788E-3</v>
      </c>
      <c r="R37" s="455"/>
      <c r="S37" s="455"/>
      <c r="T37" s="447"/>
      <c r="U37" s="447"/>
      <c r="V37" s="447"/>
    </row>
    <row r="38" spans="1:22" ht="15" customHeight="1">
      <c r="A38" s="2047"/>
      <c r="B38" s="169" t="s">
        <v>1721</v>
      </c>
      <c r="C38" s="169" t="s">
        <v>1211</v>
      </c>
      <c r="D38" s="951"/>
      <c r="E38" s="952"/>
      <c r="F38" s="952"/>
      <c r="G38" s="953"/>
      <c r="H38" s="847">
        <v>8.6385432725738273E-2</v>
      </c>
      <c r="I38" s="848">
        <v>8.2602652788931294E-2</v>
      </c>
      <c r="J38" s="848">
        <v>9.725127603196521E-4</v>
      </c>
      <c r="K38" s="848">
        <v>2.8102671764873347E-3</v>
      </c>
      <c r="L38" s="847">
        <v>8.0867556247363803E-2</v>
      </c>
      <c r="M38" s="848">
        <v>7.7326401683927834E-2</v>
      </c>
      <c r="N38" s="873">
        <v>9.1039342936574219E-4</v>
      </c>
      <c r="O38" s="945">
        <v>2.6307611340702177E-3</v>
      </c>
      <c r="R38" s="455"/>
      <c r="S38" s="455"/>
      <c r="T38" s="447"/>
      <c r="U38" s="447"/>
      <c r="V38" s="447"/>
    </row>
    <row r="39" spans="1:22" ht="15" customHeight="1">
      <c r="A39" s="2047"/>
      <c r="B39" s="169" t="s">
        <v>1722</v>
      </c>
      <c r="C39" s="169" t="s">
        <v>1211</v>
      </c>
      <c r="D39" s="951"/>
      <c r="E39" s="952"/>
      <c r="F39" s="952"/>
      <c r="G39" s="953"/>
      <c r="H39" s="847">
        <v>0.11655496685579812</v>
      </c>
      <c r="I39" s="848">
        <v>0.11145107634734726</v>
      </c>
      <c r="J39" s="848">
        <v>1.3121563320261651E-3</v>
      </c>
      <c r="K39" s="848">
        <v>3.791734176424701E-3</v>
      </c>
      <c r="L39" s="847">
        <v>0.10911000895307874</v>
      </c>
      <c r="M39" s="848">
        <v>0.10433212986224955</v>
      </c>
      <c r="N39" s="873">
        <v>1.2283422405528466E-3</v>
      </c>
      <c r="O39" s="945">
        <v>3.5495368502763479E-3</v>
      </c>
      <c r="R39" s="455"/>
      <c r="S39" s="455"/>
      <c r="T39" s="447"/>
      <c r="U39" s="447"/>
      <c r="V39" s="447"/>
    </row>
    <row r="40" spans="1:22" ht="15" customHeight="1">
      <c r="A40" s="2047"/>
      <c r="B40" s="169" t="s">
        <v>1723</v>
      </c>
      <c r="C40" s="169" t="s">
        <v>1211</v>
      </c>
      <c r="D40" s="951"/>
      <c r="E40" s="952"/>
      <c r="F40" s="952"/>
      <c r="G40" s="953"/>
      <c r="H40" s="847">
        <v>0.12329282947817809</v>
      </c>
      <c r="I40" s="848">
        <v>0.11789389094206008</v>
      </c>
      <c r="J40" s="848">
        <v>1.3880100630406188E-3</v>
      </c>
      <c r="K40" s="848">
        <v>4.0109284730773772E-3</v>
      </c>
      <c r="L40" s="847">
        <v>0.11541749005735506</v>
      </c>
      <c r="M40" s="848">
        <v>0.11036340915540806</v>
      </c>
      <c r="N40" s="873">
        <v>1.2993508083846332E-3</v>
      </c>
      <c r="O40" s="945">
        <v>3.7547300935623831E-3</v>
      </c>
      <c r="R40" s="455"/>
      <c r="S40" s="455"/>
      <c r="T40" s="447"/>
      <c r="U40" s="447"/>
      <c r="V40" s="447"/>
    </row>
    <row r="41" spans="1:22" ht="15" customHeight="1">
      <c r="A41" s="2047"/>
      <c r="B41" s="169" t="s">
        <v>1215</v>
      </c>
      <c r="C41" s="169" t="s">
        <v>1211</v>
      </c>
      <c r="D41" s="951"/>
      <c r="E41" s="952"/>
      <c r="F41" s="952"/>
      <c r="G41" s="953"/>
      <c r="H41" s="847">
        <v>0.14079115927361294</v>
      </c>
      <c r="I41" s="848">
        <v>0.13462597660594147</v>
      </c>
      <c r="J41" s="848">
        <v>1.585003334630398E-3</v>
      </c>
      <c r="K41" s="848">
        <v>4.5801793330410541E-3</v>
      </c>
      <c r="L41" s="847">
        <v>0.13179811262666977</v>
      </c>
      <c r="M41" s="848">
        <v>0.12602673149883467</v>
      </c>
      <c r="N41" s="873">
        <v>1.4837611188731538E-3</v>
      </c>
      <c r="O41" s="945">
        <v>4.2876200089619386E-3</v>
      </c>
      <c r="R41" s="455"/>
      <c r="S41" s="455"/>
      <c r="T41" s="447"/>
      <c r="U41" s="447"/>
      <c r="V41" s="447"/>
    </row>
    <row r="42" spans="1:22" ht="15" customHeight="1">
      <c r="A42" s="2047" t="s">
        <v>1726</v>
      </c>
      <c r="B42" s="169" t="s">
        <v>1720</v>
      </c>
      <c r="C42" s="169" t="s">
        <v>1211</v>
      </c>
      <c r="D42" s="951"/>
      <c r="E42" s="952"/>
      <c r="F42" s="952"/>
      <c r="G42" s="953"/>
      <c r="H42" s="847">
        <v>1.0229673272060924E-2</v>
      </c>
      <c r="I42" s="848">
        <v>9.824573636693262E-3</v>
      </c>
      <c r="J42" s="848">
        <v>3.9106258064998227E-4</v>
      </c>
      <c r="K42" s="860">
        <v>1.4037054717680188E-5</v>
      </c>
      <c r="L42" s="847">
        <v>9.9000728954892498E-3</v>
      </c>
      <c r="M42" s="848">
        <v>9.5080255824016059E-3</v>
      </c>
      <c r="N42" s="946">
        <v>3.7846253268976457E-4</v>
      </c>
      <c r="O42" s="954">
        <v>1.3584780397879506E-5</v>
      </c>
      <c r="R42" s="455"/>
      <c r="S42" s="455"/>
      <c r="T42" s="447"/>
      <c r="U42" s="447"/>
      <c r="V42" s="447"/>
    </row>
    <row r="43" spans="1:22" ht="15" customHeight="1">
      <c r="A43" s="2047"/>
      <c r="B43" s="169" t="s">
        <v>1721</v>
      </c>
      <c r="C43" s="169" t="s">
        <v>1211</v>
      </c>
      <c r="D43" s="951"/>
      <c r="E43" s="952"/>
      <c r="F43" s="952"/>
      <c r="G43" s="953"/>
      <c r="H43" s="847">
        <v>1.0984111675875404E-2</v>
      </c>
      <c r="I43" s="848">
        <v>1.0549135942399377E-2</v>
      </c>
      <c r="J43" s="848">
        <v>4.1990344597291795E-4</v>
      </c>
      <c r="K43" s="860">
        <v>1.5072287503109084E-5</v>
      </c>
      <c r="L43" s="847">
        <v>1.0630203271531587E-2</v>
      </c>
      <c r="M43" s="848">
        <v>1.0209242469103728E-2</v>
      </c>
      <c r="N43" s="946">
        <v>4.0637414447563483E-4</v>
      </c>
      <c r="O43" s="954">
        <v>1.4586657952223124E-5</v>
      </c>
      <c r="R43" s="455"/>
      <c r="S43" s="455"/>
      <c r="T43" s="447"/>
      <c r="U43" s="447"/>
      <c r="V43" s="447"/>
    </row>
    <row r="44" spans="1:22" ht="15" customHeight="1">
      <c r="A44" s="2047"/>
      <c r="B44" s="169" t="s">
        <v>1722</v>
      </c>
      <c r="C44" s="169" t="s">
        <v>1211</v>
      </c>
      <c r="D44" s="951"/>
      <c r="E44" s="952"/>
      <c r="F44" s="952"/>
      <c r="G44" s="953"/>
      <c r="H44" s="847">
        <v>1.2427230352705217E-2</v>
      </c>
      <c r="I44" s="848">
        <v>1.1935106474393255E-2</v>
      </c>
      <c r="J44" s="848">
        <v>4.7507135788332023E-4</v>
      </c>
      <c r="K44" s="860">
        <v>1.705252042864075E-5</v>
      </c>
      <c r="L44" s="847">
        <v>1.2026824621743953E-2</v>
      </c>
      <c r="M44" s="848">
        <v>1.1550556989403655E-2</v>
      </c>
      <c r="N44" s="946">
        <v>4.5976454462620366E-4</v>
      </c>
      <c r="O44" s="954">
        <v>1.6503087714095838E-5</v>
      </c>
      <c r="R44" s="455"/>
      <c r="S44" s="455"/>
      <c r="T44" s="447"/>
      <c r="U44" s="447"/>
      <c r="V44" s="447"/>
    </row>
    <row r="45" spans="1:22" ht="15" customHeight="1">
      <c r="A45" s="2047"/>
      <c r="B45" s="169" t="s">
        <v>1723</v>
      </c>
      <c r="C45" s="169" t="s">
        <v>1211</v>
      </c>
      <c r="D45" s="951"/>
      <c r="E45" s="952"/>
      <c r="F45" s="952"/>
      <c r="G45" s="953"/>
      <c r="H45" s="847">
        <v>1.5305748835024793E-2</v>
      </c>
      <c r="I45" s="848">
        <v>1.4699634337797219E-2</v>
      </c>
      <c r="J45" s="848">
        <v>5.8511210270544489E-4</v>
      </c>
      <c r="K45" s="860">
        <v>2.1002394522130076E-5</v>
      </c>
      <c r="L45" s="847">
        <v>1.4812597153092435E-2</v>
      </c>
      <c r="M45" s="848">
        <v>1.4226011682962662E-2</v>
      </c>
      <c r="N45" s="946">
        <v>5.6625977338276121E-4</v>
      </c>
      <c r="O45" s="954">
        <v>2.0325696747010821E-5</v>
      </c>
      <c r="R45" s="455"/>
      <c r="S45" s="455"/>
      <c r="T45" s="447"/>
      <c r="U45" s="447"/>
      <c r="V45" s="447"/>
    </row>
    <row r="46" spans="1:22" ht="15" customHeight="1">
      <c r="A46" s="2047"/>
      <c r="B46" s="169" t="s">
        <v>1215</v>
      </c>
      <c r="C46" s="169" t="s">
        <v>1211</v>
      </c>
      <c r="D46" s="951"/>
      <c r="E46" s="952"/>
      <c r="F46" s="952"/>
      <c r="G46" s="953"/>
      <c r="H46" s="847">
        <v>1.7891477766790769E-2</v>
      </c>
      <c r="I46" s="848">
        <v>1.7182967247758776E-2</v>
      </c>
      <c r="J46" s="848">
        <v>6.8396001329115665E-4</v>
      </c>
      <c r="K46" s="860">
        <v>2.4550505740835241E-5</v>
      </c>
      <c r="L46" s="847">
        <v>1.7315013821899806E-2</v>
      </c>
      <c r="M46" s="848">
        <v>1.6629331532828563E-2</v>
      </c>
      <c r="N46" s="946">
        <v>6.619228013543465E-4</v>
      </c>
      <c r="O46" s="954">
        <v>2.3759487716896536E-5</v>
      </c>
      <c r="R46" s="455"/>
      <c r="S46" s="455"/>
      <c r="T46" s="447"/>
      <c r="U46" s="447"/>
      <c r="V46" s="447"/>
    </row>
    <row r="47" spans="1:22" ht="15" customHeight="1">
      <c r="A47" s="2047" t="s">
        <v>1727</v>
      </c>
      <c r="B47" s="169" t="s">
        <v>1720</v>
      </c>
      <c r="C47" s="169" t="s">
        <v>1211</v>
      </c>
      <c r="D47" s="951"/>
      <c r="E47" s="952"/>
      <c r="F47" s="952"/>
      <c r="G47" s="953"/>
      <c r="H47" s="847">
        <v>9.3190539913919651E-2</v>
      </c>
      <c r="I47" s="848">
        <v>9.1608713712870965E-2</v>
      </c>
      <c r="J47" s="852">
        <v>1.2243236850222085E-4</v>
      </c>
      <c r="K47" s="852">
        <v>1.4593938325464725E-3</v>
      </c>
      <c r="L47" s="847">
        <v>8.8776655413866881E-2</v>
      </c>
      <c r="M47" s="848">
        <v>8.7269750960852224E-2</v>
      </c>
      <c r="N47" s="946">
        <v>1.1663347159556195E-4</v>
      </c>
      <c r="O47" s="945">
        <v>1.3902709814190984E-3</v>
      </c>
      <c r="R47" s="455"/>
      <c r="S47" s="455"/>
      <c r="T47" s="447"/>
      <c r="U47" s="447"/>
      <c r="V47" s="447"/>
    </row>
    <row r="48" spans="1:22" ht="15" customHeight="1">
      <c r="A48" s="2047"/>
      <c r="B48" s="169" t="s">
        <v>1721</v>
      </c>
      <c r="C48" s="169" t="s">
        <v>1211</v>
      </c>
      <c r="D48" s="951"/>
      <c r="E48" s="952"/>
      <c r="F48" s="952"/>
      <c r="G48" s="953"/>
      <c r="H48" s="847">
        <v>8.9678541774936574E-2</v>
      </c>
      <c r="I48" s="848">
        <v>8.8156328606277312E-2</v>
      </c>
      <c r="J48" s="852">
        <v>1.1781835670737271E-4</v>
      </c>
      <c r="K48" s="852">
        <v>1.4043948119518827E-3</v>
      </c>
      <c r="L48" s="847">
        <v>8.5430999847468866E-2</v>
      </c>
      <c r="M48" s="848">
        <v>8.398088491020872E-2</v>
      </c>
      <c r="N48" s="946">
        <v>1.1223799823994976E-4</v>
      </c>
      <c r="O48" s="945">
        <v>1.337876939020201E-3</v>
      </c>
      <c r="R48" s="455"/>
      <c r="S48" s="455"/>
      <c r="T48" s="447"/>
      <c r="U48" s="447"/>
      <c r="V48" s="447"/>
    </row>
    <row r="49" spans="1:22" ht="15" customHeight="1">
      <c r="A49" s="2047"/>
      <c r="B49" s="169" t="s">
        <v>1722</v>
      </c>
      <c r="C49" s="169" t="s">
        <v>1211</v>
      </c>
      <c r="D49" s="951"/>
      <c r="E49" s="952"/>
      <c r="F49" s="952"/>
      <c r="G49" s="953"/>
      <c r="H49" s="847">
        <v>0.11938176631258693</v>
      </c>
      <c r="I49" s="848">
        <v>0.11735536743073524</v>
      </c>
      <c r="J49" s="852">
        <v>1.5684201871917121E-4</v>
      </c>
      <c r="K49" s="852">
        <v>1.8695568631325206E-3</v>
      </c>
      <c r="L49" s="847">
        <v>0.11372735838231014</v>
      </c>
      <c r="M49" s="848">
        <v>0.11179693802600182</v>
      </c>
      <c r="N49" s="946">
        <v>1.4941334027154129E-4</v>
      </c>
      <c r="O49" s="945">
        <v>1.7810070160367722E-3</v>
      </c>
      <c r="R49" s="455"/>
      <c r="S49" s="455"/>
      <c r="T49" s="447"/>
      <c r="U49" s="447"/>
      <c r="V49" s="447"/>
    </row>
    <row r="50" spans="1:22" ht="15" customHeight="1">
      <c r="A50" s="2047"/>
      <c r="B50" s="169" t="s">
        <v>1723</v>
      </c>
      <c r="C50" s="169" t="s">
        <v>1211</v>
      </c>
      <c r="D50" s="951"/>
      <c r="E50" s="952"/>
      <c r="F50" s="952"/>
      <c r="G50" s="953"/>
      <c r="H50" s="847">
        <v>0.12800792202552513</v>
      </c>
      <c r="I50" s="848">
        <v>0.12583510185312555</v>
      </c>
      <c r="J50" s="852">
        <v>1.6817493594424072E-4</v>
      </c>
      <c r="K50" s="852">
        <v>2.0046452364553494E-3</v>
      </c>
      <c r="L50" s="847">
        <v>0.12194494413705786</v>
      </c>
      <c r="M50" s="848">
        <v>0.1198750376004116</v>
      </c>
      <c r="N50" s="946">
        <v>1.6020948426054719E-4</v>
      </c>
      <c r="O50" s="945">
        <v>1.9096970523857222E-3</v>
      </c>
      <c r="R50" s="455"/>
      <c r="S50" s="455"/>
      <c r="T50" s="447"/>
      <c r="U50" s="447"/>
      <c r="V50" s="447"/>
    </row>
    <row r="51" spans="1:22" ht="15" customHeight="1">
      <c r="A51" s="2047"/>
      <c r="B51" s="169" t="s">
        <v>1215</v>
      </c>
      <c r="C51" s="169" t="s">
        <v>1211</v>
      </c>
      <c r="D51" s="951"/>
      <c r="E51" s="952"/>
      <c r="F51" s="952"/>
      <c r="G51" s="953"/>
      <c r="H51" s="847">
        <v>0.12961887611256342</v>
      </c>
      <c r="I51" s="848">
        <v>0.12741871143302913</v>
      </c>
      <c r="J51" s="852">
        <v>1.702913838648839E-4</v>
      </c>
      <c r="K51" s="852">
        <v>2.0298732956694162E-3</v>
      </c>
      <c r="L51" s="847">
        <v>0.12347959686044228</v>
      </c>
      <c r="M51" s="848">
        <v>0.12138364096417643</v>
      </c>
      <c r="N51" s="946">
        <v>1.6222568856546796E-4</v>
      </c>
      <c r="O51" s="945">
        <v>1.933730207700378E-3</v>
      </c>
      <c r="R51" s="455"/>
      <c r="S51" s="455"/>
      <c r="T51" s="447"/>
      <c r="U51" s="447"/>
      <c r="V51" s="447"/>
    </row>
    <row r="52" spans="1:22" ht="15" customHeight="1">
      <c r="A52" s="2047" t="s">
        <v>1728</v>
      </c>
      <c r="B52" s="169" t="s">
        <v>1720</v>
      </c>
      <c r="C52" s="169" t="s">
        <v>1211</v>
      </c>
      <c r="D52" s="951"/>
      <c r="E52" s="952"/>
      <c r="F52" s="952"/>
      <c r="G52" s="953"/>
      <c r="H52" s="847">
        <v>1.0383773854953831E-2</v>
      </c>
      <c r="I52" s="848">
        <v>9.9725717676036243E-3</v>
      </c>
      <c r="J52" s="852">
        <v>3.969535773634702E-4</v>
      </c>
      <c r="K52" s="860">
        <v>1.424850998673575E-5</v>
      </c>
      <c r="L52" s="847">
        <v>1.0042015190628329E-2</v>
      </c>
      <c r="M52" s="848">
        <v>9.6443468991892906E-3</v>
      </c>
      <c r="N52" s="946">
        <v>3.8388873925220414E-4</v>
      </c>
      <c r="O52" s="954">
        <v>1.3779552186834104E-5</v>
      </c>
      <c r="R52" s="455"/>
      <c r="S52" s="455"/>
      <c r="T52" s="447"/>
      <c r="U52" s="447"/>
      <c r="V52" s="447"/>
    </row>
    <row r="53" spans="1:22">
      <c r="A53" s="2047"/>
      <c r="B53" s="169" t="s">
        <v>1721</v>
      </c>
      <c r="C53" s="169" t="s">
        <v>1211</v>
      </c>
      <c r="D53" s="951"/>
      <c r="E53" s="952"/>
      <c r="F53" s="952"/>
      <c r="G53" s="953"/>
      <c r="H53" s="847">
        <v>9.9732701206606076E-3</v>
      </c>
      <c r="I53" s="848">
        <v>9.5783241647289328E-3</v>
      </c>
      <c r="J53" s="852">
        <v>3.8126073503803588E-4</v>
      </c>
      <c r="K53" s="860">
        <v>1.3685220893639904E-5</v>
      </c>
      <c r="L53" s="847">
        <v>9.6450222675192078E-3</v>
      </c>
      <c r="M53" s="848">
        <v>9.2630750733349847E-3</v>
      </c>
      <c r="N53" s="946">
        <v>3.687123916913445E-4</v>
      </c>
      <c r="O53" s="954">
        <v>1.3234802492879134E-5</v>
      </c>
      <c r="R53" s="455"/>
      <c r="S53" s="455"/>
      <c r="T53" s="447"/>
      <c r="U53" s="447"/>
      <c r="V53" s="447"/>
    </row>
    <row r="54" spans="1:22">
      <c r="A54" s="2047"/>
      <c r="B54" s="169" t="s">
        <v>1722</v>
      </c>
      <c r="C54" s="169" t="s">
        <v>1211</v>
      </c>
      <c r="D54" s="951"/>
      <c r="E54" s="952"/>
      <c r="F54" s="952"/>
      <c r="G54" s="953"/>
      <c r="H54" s="847">
        <v>1.0927614525385917E-2</v>
      </c>
      <c r="I54" s="848">
        <v>1.0494876104329741E-2</v>
      </c>
      <c r="J54" s="852">
        <v>4.1774365837440961E-4</v>
      </c>
      <c r="K54" s="860">
        <v>1.4994762681766069E-5</v>
      </c>
      <c r="L54" s="847">
        <v>1.0567956563201197E-2</v>
      </c>
      <c r="M54" s="848">
        <v>1.0149460758254377E-2</v>
      </c>
      <c r="N54" s="946">
        <v>4.0399456130134793E-4</v>
      </c>
      <c r="O54" s="954">
        <v>1.4501243645471456E-5</v>
      </c>
      <c r="R54" s="455"/>
      <c r="S54" s="455"/>
      <c r="T54" s="447"/>
      <c r="U54" s="447"/>
      <c r="V54" s="447"/>
    </row>
    <row r="55" spans="1:22">
      <c r="A55" s="2047"/>
      <c r="B55" s="169" t="s">
        <v>1723</v>
      </c>
      <c r="C55" s="169" t="s">
        <v>1211</v>
      </c>
      <c r="D55" s="951"/>
      <c r="E55" s="952"/>
      <c r="F55" s="952"/>
      <c r="G55" s="953"/>
      <c r="H55" s="847">
        <v>1.2368472395754277E-2</v>
      </c>
      <c r="I55" s="848">
        <v>1.187867535880887E-2</v>
      </c>
      <c r="J55" s="852">
        <v>4.7282514359398296E-4</v>
      </c>
      <c r="K55" s="860">
        <v>1.6971893351422938E-5</v>
      </c>
      <c r="L55" s="847">
        <v>1.1961391823241305E-2</v>
      </c>
      <c r="M55" s="848">
        <v>1.1487715358977401E-2</v>
      </c>
      <c r="N55" s="946">
        <v>4.5726316277743217E-4</v>
      </c>
      <c r="O55" s="954">
        <v>1.6413301486472994E-5</v>
      </c>
      <c r="R55" s="455"/>
      <c r="S55" s="455"/>
      <c r="T55" s="447"/>
      <c r="U55" s="447"/>
      <c r="V55" s="447"/>
    </row>
    <row r="56" spans="1:22">
      <c r="A56" s="2047"/>
      <c r="B56" s="169" t="s">
        <v>1215</v>
      </c>
      <c r="C56" s="169" t="s">
        <v>1211</v>
      </c>
      <c r="D56" s="951"/>
      <c r="E56" s="952"/>
      <c r="F56" s="952"/>
      <c r="G56" s="953"/>
      <c r="H56" s="847">
        <v>1.4628674222070072E-2</v>
      </c>
      <c r="I56" s="848">
        <v>1.4049372182242654E-2</v>
      </c>
      <c r="J56" s="852">
        <v>5.5922872027544892E-4</v>
      </c>
      <c r="K56" s="860">
        <v>2.0073319551969005E-5</v>
      </c>
      <c r="L56" s="847">
        <v>1.4147204167654139E-2</v>
      </c>
      <c r="M56" s="848">
        <v>1.3586968557251895E-2</v>
      </c>
      <c r="N56" s="873">
        <v>5.408229592136736E-4</v>
      </c>
      <c r="O56" s="954">
        <v>1.9412651188569813E-5</v>
      </c>
      <c r="R56" s="455"/>
      <c r="S56" s="455"/>
      <c r="T56" s="447"/>
      <c r="U56" s="447"/>
      <c r="V56" s="447"/>
    </row>
    <row r="57" spans="1:22">
      <c r="A57" s="2047" t="s">
        <v>1729</v>
      </c>
      <c r="B57" s="169" t="s">
        <v>1720</v>
      </c>
      <c r="C57" s="169" t="s">
        <v>1211</v>
      </c>
      <c r="D57" s="951"/>
      <c r="E57" s="952"/>
      <c r="F57" s="952"/>
      <c r="G57" s="953"/>
      <c r="H57" s="847">
        <v>2.1460853018309606E-2</v>
      </c>
      <c r="I57" s="848">
        <v>2.0610993643412415E-2</v>
      </c>
      <c r="J57" s="848">
        <v>8.2041100835660529E-4</v>
      </c>
      <c r="K57" s="860">
        <v>2.9448366540587775E-5</v>
      </c>
      <c r="L57" s="847">
        <v>2.0769383696830596E-2</v>
      </c>
      <c r="M57" s="848">
        <v>1.9946906816227145E-2</v>
      </c>
      <c r="N57" s="873">
        <v>7.939773413071984E-4</v>
      </c>
      <c r="O57" s="954">
        <v>2.8499539296250709E-5</v>
      </c>
      <c r="R57" s="455"/>
      <c r="S57" s="455"/>
      <c r="T57" s="447"/>
      <c r="U57" s="447"/>
      <c r="V57" s="447"/>
    </row>
    <row r="58" spans="1:22">
      <c r="A58" s="2047"/>
      <c r="B58" s="169" t="s">
        <v>1721</v>
      </c>
      <c r="C58" s="169" t="s">
        <v>1211</v>
      </c>
      <c r="D58" s="951"/>
      <c r="E58" s="952"/>
      <c r="F58" s="952"/>
      <c r="G58" s="953"/>
      <c r="H58" s="847">
        <v>2.3043590928409956E-2</v>
      </c>
      <c r="I58" s="848">
        <v>2.2131054424614095E-2</v>
      </c>
      <c r="J58" s="848">
        <v>8.8091632022290552E-4</v>
      </c>
      <c r="K58" s="860">
        <v>3.1620183572956145E-5</v>
      </c>
      <c r="L58" s="847">
        <v>2.2301125744471854E-2</v>
      </c>
      <c r="M58" s="848">
        <v>2.1417991193923899E-2</v>
      </c>
      <c r="N58" s="873">
        <v>8.5253317022860426E-4</v>
      </c>
      <c r="O58" s="954">
        <v>3.0601380319349202E-5</v>
      </c>
      <c r="R58" s="455"/>
      <c r="S58" s="455"/>
      <c r="T58" s="447"/>
      <c r="U58" s="447"/>
      <c r="V58" s="447"/>
    </row>
    <row r="59" spans="1:22">
      <c r="A59" s="2047"/>
      <c r="B59" s="169" t="s">
        <v>1722</v>
      </c>
      <c r="C59" s="169" t="s">
        <v>1211</v>
      </c>
      <c r="D59" s="951"/>
      <c r="E59" s="952"/>
      <c r="F59" s="952"/>
      <c r="G59" s="953"/>
      <c r="H59" s="847">
        <v>2.6071112628052895E-2</v>
      </c>
      <c r="I59" s="848">
        <v>2.5038684911314515E-2</v>
      </c>
      <c r="J59" s="848">
        <v>9.9665319835661576E-4</v>
      </c>
      <c r="K59" s="860">
        <v>3.5774518381763804E-5</v>
      </c>
      <c r="L59" s="847">
        <v>2.523110060505724E-2</v>
      </c>
      <c r="M59" s="848">
        <v>2.4231937740007661E-2</v>
      </c>
      <c r="N59" s="873">
        <v>9.6454100271231515E-4</v>
      </c>
      <c r="O59" s="954">
        <v>3.4621862337263987E-5</v>
      </c>
      <c r="R59" s="455"/>
      <c r="S59" s="455"/>
      <c r="T59" s="447"/>
      <c r="U59" s="447"/>
      <c r="V59" s="447"/>
    </row>
    <row r="60" spans="1:22">
      <c r="A60" s="2047"/>
      <c r="B60" s="169" t="s">
        <v>1723</v>
      </c>
      <c r="C60" s="169" t="s">
        <v>1211</v>
      </c>
      <c r="D60" s="951"/>
      <c r="E60" s="952"/>
      <c r="F60" s="952"/>
      <c r="G60" s="953"/>
      <c r="H60" s="847">
        <v>3.2109962590961071E-2</v>
      </c>
      <c r="I60" s="848">
        <v>3.0838393715658469E-2</v>
      </c>
      <c r="J60" s="848">
        <v>1.2275079077736593E-3</v>
      </c>
      <c r="K60" s="860">
        <v>4.4060967528944171E-5</v>
      </c>
      <c r="L60" s="847">
        <v>3.1075378642851256E-2</v>
      </c>
      <c r="M60" s="848">
        <v>2.9844779754467119E-2</v>
      </c>
      <c r="N60" s="873">
        <v>1.187957566537261E-3</v>
      </c>
      <c r="O60" s="954">
        <v>4.2641321846875845E-5</v>
      </c>
      <c r="R60" s="455"/>
      <c r="S60" s="455"/>
      <c r="T60" s="447"/>
      <c r="U60" s="447"/>
      <c r="V60" s="447"/>
    </row>
    <row r="61" spans="1:22">
      <c r="A61" s="2047"/>
      <c r="B61" s="169" t="s">
        <v>1215</v>
      </c>
      <c r="C61" s="169" t="s">
        <v>1211</v>
      </c>
      <c r="D61" s="955"/>
      <c r="E61" s="956"/>
      <c r="F61" s="956"/>
      <c r="G61" s="957"/>
      <c r="H61" s="847">
        <v>3.7534568741519031E-2</v>
      </c>
      <c r="I61" s="848">
        <v>3.6048183037256112E-2</v>
      </c>
      <c r="J61" s="848">
        <v>1.4348811467646619E-3</v>
      </c>
      <c r="K61" s="860">
        <v>5.150455749825567E-5</v>
      </c>
      <c r="L61" s="847">
        <v>3.6325203822167418E-2</v>
      </c>
      <c r="M61" s="848">
        <v>3.4886709509430541E-2</v>
      </c>
      <c r="N61" s="873">
        <v>1.3886492336105168E-3</v>
      </c>
      <c r="O61" s="954">
        <v>4.9845079126356361E-5</v>
      </c>
      <c r="R61" s="455"/>
      <c r="S61" s="455"/>
      <c r="T61" s="447"/>
      <c r="U61" s="447"/>
      <c r="V61" s="447"/>
    </row>
    <row r="62" spans="1:22">
      <c r="A62" s="176"/>
      <c r="B62" s="176"/>
      <c r="C62" s="176"/>
      <c r="D62" s="176"/>
      <c r="E62" s="176"/>
      <c r="F62" s="176"/>
      <c r="G62" s="176"/>
      <c r="H62" s="176"/>
      <c r="I62" s="176"/>
      <c r="J62" s="176"/>
      <c r="K62" s="176"/>
      <c r="L62" s="176"/>
      <c r="M62" s="176"/>
      <c r="N62" s="176"/>
      <c r="O62" s="176"/>
    </row>
    <row r="63" spans="1:22">
      <c r="A63" s="496" t="s">
        <v>1730</v>
      </c>
      <c r="B63" s="66"/>
      <c r="C63" s="66"/>
      <c r="D63" s="66"/>
      <c r="E63" s="66"/>
      <c r="F63" s="66"/>
      <c r="G63" s="66"/>
    </row>
    <row r="64" spans="1:22">
      <c r="A64" s="2105"/>
      <c r="B64" s="2106"/>
      <c r="C64" s="2106"/>
      <c r="D64" s="2108" t="s">
        <v>1731</v>
      </c>
      <c r="E64" s="2108"/>
      <c r="F64" s="2108"/>
      <c r="G64" s="2108"/>
    </row>
    <row r="65" spans="1:22" ht="24" customHeight="1">
      <c r="A65" s="2027" t="s">
        <v>69</v>
      </c>
      <c r="B65" s="2028"/>
      <c r="C65" s="494" t="s">
        <v>70</v>
      </c>
      <c r="D65" s="196" t="s">
        <v>71</v>
      </c>
      <c r="E65" s="492" t="s">
        <v>1709</v>
      </c>
      <c r="F65" s="492" t="s">
        <v>1710</v>
      </c>
      <c r="G65" s="492" t="s">
        <v>438</v>
      </c>
    </row>
    <row r="66" spans="1:22">
      <c r="A66" s="2109" t="s">
        <v>222</v>
      </c>
      <c r="B66" s="2110"/>
      <c r="C66" s="918" t="s">
        <v>1211</v>
      </c>
      <c r="D66" s="958">
        <v>0.31671076482504879</v>
      </c>
      <c r="E66" s="959">
        <v>0.30284214034579632</v>
      </c>
      <c r="F66" s="959">
        <v>3.5654768449309062E-3</v>
      </c>
      <c r="G66" s="959">
        <v>1.0303147634321554E-2</v>
      </c>
      <c r="H66" s="176"/>
      <c r="I66" s="176"/>
      <c r="J66" s="176"/>
      <c r="K66" s="176"/>
      <c r="L66" s="176"/>
      <c r="M66" s="176"/>
      <c r="N66" s="176"/>
      <c r="O66" s="176"/>
      <c r="Q66" s="455"/>
      <c r="R66" s="447"/>
    </row>
    <row r="67" spans="1:22">
      <c r="A67" s="2107" t="s">
        <v>90</v>
      </c>
      <c r="B67" s="2107"/>
      <c r="C67" s="918" t="s">
        <v>1211</v>
      </c>
      <c r="D67" s="958">
        <v>0.29601224640896162</v>
      </c>
      <c r="E67" s="959">
        <v>0.29098770284870873</v>
      </c>
      <c r="F67" s="960">
        <v>3.888965603910927E-4</v>
      </c>
      <c r="G67" s="959">
        <v>4.6356469998618246E-3</v>
      </c>
      <c r="H67" s="176"/>
      <c r="I67" s="176"/>
      <c r="J67" s="176"/>
      <c r="K67" s="176"/>
      <c r="L67" s="176"/>
      <c r="M67" s="176"/>
      <c r="N67" s="176"/>
      <c r="O67" s="176"/>
      <c r="Q67" s="455"/>
      <c r="R67" s="447"/>
    </row>
    <row r="68" spans="1:22">
      <c r="A68" s="2107" t="s">
        <v>1732</v>
      </c>
      <c r="B68" s="2107"/>
      <c r="C68" s="918" t="s">
        <v>1211</v>
      </c>
      <c r="D68" s="958">
        <v>0.2500348143355649</v>
      </c>
      <c r="E68" s="959">
        <v>0.23908590027299714</v>
      </c>
      <c r="F68" s="959">
        <v>2.8148501407349266E-3</v>
      </c>
      <c r="G68" s="959">
        <v>8.1340639218328067E-3</v>
      </c>
      <c r="H68" s="176"/>
      <c r="I68" s="176"/>
      <c r="J68" s="176"/>
      <c r="K68" s="176"/>
      <c r="L68" s="176"/>
      <c r="M68" s="176"/>
      <c r="N68" s="176"/>
      <c r="O68" s="176"/>
      <c r="Q68" s="455"/>
      <c r="R68" s="447"/>
    </row>
    <row r="69" spans="1:22">
      <c r="A69" s="2107" t="s">
        <v>1733</v>
      </c>
      <c r="B69" s="2107"/>
      <c r="C69" s="918" t="s">
        <v>1211</v>
      </c>
      <c r="D69" s="958">
        <v>0.26535383517374728</v>
      </c>
      <c r="E69" s="959">
        <v>0.26084969076794917</v>
      </c>
      <c r="F69" s="960">
        <v>3.4861798806487185E-4</v>
      </c>
      <c r="G69" s="959">
        <v>4.1555264177332721E-3</v>
      </c>
      <c r="H69" s="176"/>
      <c r="I69" s="176"/>
      <c r="J69" s="176"/>
      <c r="K69" s="176"/>
      <c r="L69" s="176"/>
      <c r="M69" s="176"/>
      <c r="N69" s="176"/>
      <c r="O69" s="176"/>
      <c r="Q69" s="455"/>
      <c r="R69" s="447"/>
    </row>
    <row r="70" spans="1:22">
      <c r="A70" s="176"/>
      <c r="B70" s="176"/>
      <c r="C70" s="176"/>
      <c r="D70" s="176"/>
      <c r="E70" s="176"/>
      <c r="F70" s="176"/>
      <c r="G70" s="176"/>
      <c r="H70" s="176"/>
      <c r="I70" s="176"/>
      <c r="J70" s="176"/>
      <c r="K70" s="176"/>
      <c r="L70" s="176"/>
      <c r="M70" s="176"/>
      <c r="N70" s="176"/>
      <c r="O70" s="176"/>
    </row>
    <row r="72" spans="1:22" ht="15" customHeight="1">
      <c r="A72" s="1961" t="s">
        <v>1734</v>
      </c>
      <c r="B72" s="1961"/>
      <c r="C72" s="1961"/>
      <c r="D72" s="1961"/>
      <c r="E72" s="1961"/>
      <c r="F72" s="1961"/>
      <c r="G72" s="1961"/>
      <c r="H72" s="1961"/>
      <c r="I72" s="1961"/>
      <c r="J72" s="1961"/>
      <c r="K72" s="1961"/>
      <c r="L72" s="1961"/>
      <c r="M72" s="1961"/>
      <c r="N72" s="1961"/>
      <c r="O72" s="1961"/>
    </row>
    <row r="73" spans="1:22">
      <c r="A73" s="2105"/>
      <c r="B73" s="2106"/>
      <c r="C73" s="2106"/>
      <c r="D73" s="2108" t="s">
        <v>1202</v>
      </c>
      <c r="E73" s="2108"/>
      <c r="F73" s="2108"/>
      <c r="G73" s="2108"/>
      <c r="H73" s="2108" t="s">
        <v>1719</v>
      </c>
      <c r="I73" s="2108"/>
      <c r="J73" s="2108"/>
      <c r="K73" s="2108"/>
      <c r="L73" s="2108" t="s">
        <v>1204</v>
      </c>
      <c r="M73" s="2108"/>
      <c r="N73" s="2108"/>
      <c r="O73" s="2111"/>
    </row>
    <row r="74" spans="1:22" ht="19.5" customHeight="1">
      <c r="A74" s="1900" t="s">
        <v>69</v>
      </c>
      <c r="B74" s="1901"/>
      <c r="C74" s="492" t="s">
        <v>70</v>
      </c>
      <c r="D74" s="492" t="s">
        <v>71</v>
      </c>
      <c r="E74" s="492" t="s">
        <v>1709</v>
      </c>
      <c r="F74" s="492" t="s">
        <v>1710</v>
      </c>
      <c r="G74" s="492" t="s">
        <v>438</v>
      </c>
      <c r="H74" s="492" t="s">
        <v>71</v>
      </c>
      <c r="I74" s="492" t="s">
        <v>1709</v>
      </c>
      <c r="J74" s="492" t="s">
        <v>1710</v>
      </c>
      <c r="K74" s="492" t="s">
        <v>438</v>
      </c>
      <c r="L74" s="492" t="s">
        <v>71</v>
      </c>
      <c r="M74" s="492" t="s">
        <v>1709</v>
      </c>
      <c r="N74" s="492" t="s">
        <v>1710</v>
      </c>
      <c r="O74" s="492" t="s">
        <v>438</v>
      </c>
    </row>
    <row r="75" spans="1:22">
      <c r="A75" s="2100" t="s">
        <v>1735</v>
      </c>
      <c r="B75" s="169" t="s">
        <v>1736</v>
      </c>
      <c r="C75" s="169" t="s">
        <v>1211</v>
      </c>
      <c r="D75" s="835">
        <v>0.44552164285599</v>
      </c>
      <c r="E75" s="1199">
        <v>0.43889678571314994</v>
      </c>
      <c r="F75" s="1199">
        <v>5.8629985714134009E-4</v>
      </c>
      <c r="G75" s="1199">
        <v>6.9892242856962007E-3</v>
      </c>
      <c r="H75" s="835">
        <v>0.42276234195942003</v>
      </c>
      <c r="I75" s="1199">
        <v>0.41647591308270004</v>
      </c>
      <c r="J75" s="1199">
        <v>5.5634895558972E-4</v>
      </c>
      <c r="K75" s="1199">
        <v>6.6321824649396002E-3</v>
      </c>
      <c r="L75" s="835">
        <v>0.42121662942786003</v>
      </c>
      <c r="M75" s="1199">
        <v>0.41495318512410001</v>
      </c>
      <c r="N75" s="1207">
        <v>5.5431482088275997E-4</v>
      </c>
      <c r="O75" s="1207">
        <v>6.6079337404668006E-3</v>
      </c>
      <c r="Q75" s="455"/>
      <c r="R75" s="455"/>
      <c r="S75" s="455"/>
      <c r="T75" s="447"/>
      <c r="U75" s="447"/>
      <c r="V75" s="447"/>
    </row>
    <row r="76" spans="1:22">
      <c r="A76" s="2101"/>
      <c r="B76" s="169" t="s">
        <v>1737</v>
      </c>
      <c r="C76" s="169" t="s">
        <v>1211</v>
      </c>
      <c r="D76" s="835">
        <v>0.51042269642933991</v>
      </c>
      <c r="E76" s="1199">
        <v>0.50283276785789999</v>
      </c>
      <c r="F76" s="1199">
        <v>6.7170867857243991E-4</v>
      </c>
      <c r="G76" s="1199">
        <v>8.0073746428692E-3</v>
      </c>
      <c r="H76" s="835">
        <v>0.48434795029859001</v>
      </c>
      <c r="I76" s="1199">
        <v>0.47714575029415002</v>
      </c>
      <c r="J76" s="1199">
        <v>6.3739470039294005E-4</v>
      </c>
      <c r="K76" s="1199">
        <v>7.5983210046842008E-3</v>
      </c>
      <c r="L76" s="835">
        <v>0.47706049696657005</v>
      </c>
      <c r="M76" s="1199">
        <v>0.46996666058045</v>
      </c>
      <c r="N76" s="1207">
        <v>6.2780452017162011E-4</v>
      </c>
      <c r="O76" s="1207">
        <v>7.4839973873566E-3</v>
      </c>
      <c r="Q76" s="455"/>
      <c r="R76" s="455"/>
      <c r="S76" s="455"/>
      <c r="T76" s="447"/>
      <c r="U76" s="447"/>
      <c r="V76" s="447"/>
    </row>
    <row r="77" spans="1:22">
      <c r="A77" s="2101"/>
      <c r="B77" s="169" t="s">
        <v>1738</v>
      </c>
      <c r="C77" s="169" t="s">
        <v>1211</v>
      </c>
      <c r="D77" s="835">
        <v>0.62407039285598997</v>
      </c>
      <c r="E77" s="1199">
        <v>0.6147905357131499</v>
      </c>
      <c r="F77" s="1199">
        <v>8.2126735714133992E-4</v>
      </c>
      <c r="G77" s="1199">
        <v>9.7902492856962002E-3</v>
      </c>
      <c r="H77" s="835">
        <v>0.59218999808837991</v>
      </c>
      <c r="I77" s="1199">
        <v>0.58338419886029991</v>
      </c>
      <c r="J77" s="1199">
        <v>7.7931323168507999E-4</v>
      </c>
      <c r="K77" s="1199">
        <v>9.2901181856243995E-3</v>
      </c>
      <c r="L77" s="835">
        <v>0.58327996352992995</v>
      </c>
      <c r="M77" s="1199">
        <v>0.57460665552205004</v>
      </c>
      <c r="N77" s="1207">
        <v>7.6758775869738001E-4</v>
      </c>
      <c r="O77" s="1207">
        <v>9.1503399483134004E-3</v>
      </c>
      <c r="Q77" s="455"/>
      <c r="R77" s="455"/>
      <c r="S77" s="455"/>
      <c r="T77" s="447"/>
      <c r="U77" s="447"/>
      <c r="V77" s="447"/>
    </row>
    <row r="78" spans="1:22">
      <c r="A78" s="2101"/>
      <c r="B78" s="169" t="s">
        <v>1739</v>
      </c>
      <c r="C78" s="169" t="s">
        <v>1211</v>
      </c>
      <c r="D78" s="835">
        <v>0.73998537499999995</v>
      </c>
      <c r="E78" s="1199">
        <v>0.72898187499999989</v>
      </c>
      <c r="F78" s="1199">
        <v>9.7380975000000011E-4</v>
      </c>
      <c r="G78" s="1199">
        <v>1.16086925E-2</v>
      </c>
      <c r="H78" s="835">
        <v>0.70218350817944997</v>
      </c>
      <c r="I78" s="1199">
        <v>0.69174211772324989</v>
      </c>
      <c r="J78" s="1199">
        <v>9.2406305537370002E-4</v>
      </c>
      <c r="K78" s="1199">
        <v>1.1015666931291E-2</v>
      </c>
      <c r="L78" s="835">
        <v>0.69161852169853011</v>
      </c>
      <c r="M78" s="1199">
        <v>0.68133423141305005</v>
      </c>
      <c r="N78" s="1207">
        <v>9.1015969026497995E-4</v>
      </c>
      <c r="O78" s="1207">
        <v>1.0849926251181401E-2</v>
      </c>
      <c r="Q78" s="455"/>
      <c r="R78" s="455"/>
      <c r="S78" s="455"/>
      <c r="T78" s="447"/>
      <c r="U78" s="447"/>
      <c r="V78" s="447"/>
    </row>
    <row r="79" spans="1:22">
      <c r="A79" s="2101"/>
      <c r="B79" s="169" t="s">
        <v>1740</v>
      </c>
      <c r="C79" s="169" t="s">
        <v>1211</v>
      </c>
      <c r="D79" s="835">
        <v>0.84087958928533002</v>
      </c>
      <c r="E79" s="1199">
        <v>0.82837580357105001</v>
      </c>
      <c r="F79" s="1199">
        <v>1.10658503571378E-3</v>
      </c>
      <c r="G79" s="1199">
        <v>1.3191493928565398E-2</v>
      </c>
      <c r="H79" s="835">
        <v>0.79792358052991996</v>
      </c>
      <c r="I79" s="1199">
        <v>0.78605854587519997</v>
      </c>
      <c r="J79" s="1199">
        <v>1.05005556694272E-3</v>
      </c>
      <c r="K79" s="1199">
        <v>1.25176115607296E-2</v>
      </c>
      <c r="L79" s="835">
        <v>0.78591809799989998</v>
      </c>
      <c r="M79" s="1199">
        <v>0.77423158353150001</v>
      </c>
      <c r="N79" s="1207">
        <v>1.0342565304534001E-3</v>
      </c>
      <c r="O79" s="1207">
        <v>1.2329272764162E-2</v>
      </c>
      <c r="Q79" s="455"/>
      <c r="R79" s="455"/>
      <c r="S79" s="455"/>
      <c r="T79" s="447"/>
      <c r="U79" s="447"/>
      <c r="V79" s="447"/>
    </row>
    <row r="80" spans="1:22">
      <c r="A80" s="2101"/>
      <c r="B80" s="169" t="s">
        <v>1741</v>
      </c>
      <c r="C80" s="169" t="s">
        <v>1211</v>
      </c>
      <c r="D80" s="835">
        <v>0.98218625000000004</v>
      </c>
      <c r="E80" s="1199">
        <v>0.96758125000000006</v>
      </c>
      <c r="F80" s="1199">
        <v>1.2925425000000002E-3</v>
      </c>
      <c r="G80" s="1199">
        <v>1.5408275000000003E-2</v>
      </c>
      <c r="H80" s="835">
        <v>0.95724726000000004</v>
      </c>
      <c r="I80" s="1199">
        <v>0.94301310000000005</v>
      </c>
      <c r="J80" s="1199">
        <v>1.2597231599999999E-3</v>
      </c>
      <c r="K80" s="1199">
        <v>1.50170388E-2</v>
      </c>
      <c r="L80" s="835">
        <v>0.95497132014376007</v>
      </c>
      <c r="M80" s="1199">
        <v>0.94077100311560002</v>
      </c>
      <c r="N80" s="1207">
        <v>1.2567280569921603E-3</v>
      </c>
      <c r="O80" s="1207">
        <v>1.4981334464708802E-2</v>
      </c>
      <c r="Q80" s="455"/>
      <c r="R80" s="455"/>
      <c r="S80" s="455"/>
      <c r="T80" s="447"/>
      <c r="U80" s="447"/>
      <c r="V80" s="447"/>
    </row>
    <row r="81" spans="1:22">
      <c r="A81" s="2101"/>
      <c r="B81" s="169" t="s">
        <v>1742</v>
      </c>
      <c r="C81" s="169" t="s">
        <v>1211</v>
      </c>
      <c r="D81" s="835">
        <v>1.30755616071467</v>
      </c>
      <c r="E81" s="1199">
        <v>1.28811294642895</v>
      </c>
      <c r="F81" s="1199">
        <v>1.7207244642862202E-3</v>
      </c>
      <c r="G81" s="1199">
        <v>2.0512591071434601E-2</v>
      </c>
      <c r="H81" s="835">
        <v>1.2743556042853299</v>
      </c>
      <c r="I81" s="1199">
        <v>1.2554060785710499</v>
      </c>
      <c r="J81" s="1199">
        <v>1.6770330257137799E-3</v>
      </c>
      <c r="K81" s="1199">
        <v>1.9991749628565401E-2</v>
      </c>
      <c r="L81" s="835">
        <v>1.2713257113501399</v>
      </c>
      <c r="M81" s="1199">
        <v>1.2524212398059</v>
      </c>
      <c r="N81" s="1207">
        <v>1.6730457316652401E-3</v>
      </c>
      <c r="O81" s="1207">
        <v>1.9944217479173201E-2</v>
      </c>
      <c r="Q81" s="455"/>
      <c r="R81" s="455"/>
      <c r="S81" s="455"/>
      <c r="T81" s="447"/>
      <c r="U81" s="447"/>
      <c r="V81" s="447"/>
    </row>
    <row r="82" spans="1:22">
      <c r="A82" s="2101"/>
      <c r="B82" s="169" t="s">
        <v>1743</v>
      </c>
      <c r="C82" s="169" t="s">
        <v>1211</v>
      </c>
      <c r="D82" s="835">
        <v>1.4600215178559899</v>
      </c>
      <c r="E82" s="1199">
        <v>1.43831116071315</v>
      </c>
      <c r="F82" s="1199">
        <v>1.9213666071413399E-3</v>
      </c>
      <c r="G82" s="1199">
        <v>2.2904426785696201E-2</v>
      </c>
      <c r="H82" s="835">
        <v>1.4229496671440101</v>
      </c>
      <c r="I82" s="1199">
        <v>1.4017905642868498</v>
      </c>
      <c r="J82" s="1199">
        <v>1.8725806028586601E-3</v>
      </c>
      <c r="K82" s="1199">
        <v>2.2322853514303801E-2</v>
      </c>
      <c r="L82" s="835">
        <v>1.4195664787063997</v>
      </c>
      <c r="M82" s="1199">
        <v>1.3984576834839999</v>
      </c>
      <c r="N82" s="1207">
        <v>1.8681283771824E-3</v>
      </c>
      <c r="O82" s="1207">
        <v>2.2269778959631999E-2</v>
      </c>
      <c r="Q82" s="455"/>
      <c r="R82" s="455"/>
      <c r="S82" s="455"/>
      <c r="T82" s="447"/>
      <c r="U82" s="447"/>
      <c r="V82" s="447"/>
    </row>
    <row r="83" spans="1:22">
      <c r="A83" s="2102"/>
      <c r="B83" s="169" t="s">
        <v>1744</v>
      </c>
      <c r="C83" s="169" t="s">
        <v>1211</v>
      </c>
      <c r="D83" s="835">
        <v>1.5381876339293399</v>
      </c>
      <c r="E83" s="1199">
        <v>1.5153149553579</v>
      </c>
      <c r="F83" s="1199">
        <v>2.0242320535724403E-3</v>
      </c>
      <c r="G83" s="1199">
        <v>2.4130675892869199E-2</v>
      </c>
      <c r="H83" s="835">
        <v>1.4991310435706597</v>
      </c>
      <c r="I83" s="1199">
        <v>1.4768391321420997</v>
      </c>
      <c r="J83" s="1199">
        <v>1.9728341614275598E-3</v>
      </c>
      <c r="K83" s="1199">
        <v>2.3517966557130801E-2</v>
      </c>
      <c r="L83" s="835">
        <v>1.49556672718684</v>
      </c>
      <c r="M83" s="1199">
        <v>1.4733278167454</v>
      </c>
      <c r="N83" s="1207">
        <v>1.9681435740674402E-3</v>
      </c>
      <c r="O83" s="1207">
        <v>2.3462050515719205E-2</v>
      </c>
      <c r="Q83" s="455"/>
      <c r="R83" s="455"/>
      <c r="S83" s="455"/>
      <c r="T83" s="447"/>
      <c r="U83" s="447"/>
      <c r="V83" s="447"/>
    </row>
    <row r="84" spans="1:22">
      <c r="A84" s="2100" t="s">
        <v>1745</v>
      </c>
      <c r="B84" s="169" t="s">
        <v>1736</v>
      </c>
      <c r="C84" s="169" t="s">
        <v>1211</v>
      </c>
      <c r="D84" s="835">
        <v>0.35907714498844995</v>
      </c>
      <c r="E84" s="1199">
        <v>0.35373770788824999</v>
      </c>
      <c r="F84" s="1207">
        <v>4.7254018336770001E-4</v>
      </c>
      <c r="G84" s="1199">
        <v>5.6331061407110007E-3</v>
      </c>
      <c r="H84" s="835">
        <v>0.34033824687412995</v>
      </c>
      <c r="I84" s="1199">
        <v>0.33527745509904994</v>
      </c>
      <c r="J84" s="1207">
        <v>4.4788007209458004E-4</v>
      </c>
      <c r="K84" s="1207">
        <v>5.3391353227093992E-3</v>
      </c>
      <c r="L84" s="835">
        <v>0.33204021708591003</v>
      </c>
      <c r="M84" s="1199">
        <v>0.32710281608835001</v>
      </c>
      <c r="N84" s="1207">
        <v>4.3695998828406006E-4</v>
      </c>
      <c r="O84" s="1207">
        <v>5.2089580524258003E-3</v>
      </c>
      <c r="Q84" s="455"/>
      <c r="R84" s="455"/>
      <c r="S84" s="455"/>
      <c r="T84" s="447"/>
      <c r="U84" s="447"/>
      <c r="V84" s="447"/>
    </row>
    <row r="85" spans="1:22">
      <c r="A85" s="2101"/>
      <c r="B85" s="169" t="s">
        <v>1737</v>
      </c>
      <c r="C85" s="169" t="s">
        <v>1211</v>
      </c>
      <c r="D85" s="835">
        <v>0.41138545682172001</v>
      </c>
      <c r="E85" s="1199">
        <v>0.40526820095819999</v>
      </c>
      <c r="F85" s="1207">
        <v>5.4137714392152E-4</v>
      </c>
      <c r="G85" s="1199">
        <v>6.4537049360136002E-3</v>
      </c>
      <c r="H85" s="835">
        <v>0.38991678283948</v>
      </c>
      <c r="I85" s="1199">
        <v>0.3841187637638</v>
      </c>
      <c r="J85" s="1207">
        <v>5.1312468819768005E-4</v>
      </c>
      <c r="K85" s="1207">
        <v>6.1169101248424E-3</v>
      </c>
      <c r="L85" s="835">
        <v>0.38040994336387002</v>
      </c>
      <c r="M85" s="1199">
        <v>0.37475328993094997</v>
      </c>
      <c r="N85" s="1207">
        <v>5.0061382881342003E-4</v>
      </c>
      <c r="O85" s="1207">
        <v>5.9677693717305998E-3</v>
      </c>
      <c r="Q85" s="455"/>
      <c r="R85" s="455"/>
      <c r="S85" s="455"/>
      <c r="T85" s="447"/>
      <c r="U85" s="447"/>
      <c r="V85" s="447"/>
    </row>
    <row r="86" spans="1:22">
      <c r="A86" s="2101"/>
      <c r="B86" s="169" t="s">
        <v>1738</v>
      </c>
      <c r="C86" s="169" t="s">
        <v>1211</v>
      </c>
      <c r="D86" s="835">
        <v>0.50298210767578</v>
      </c>
      <c r="E86" s="1199">
        <v>0.49550281982929995</v>
      </c>
      <c r="F86" s="1207">
        <v>6.6191697441348005E-4</v>
      </c>
      <c r="G86" s="1199">
        <v>7.8906486780363997E-3</v>
      </c>
      <c r="H86" s="835">
        <v>0.47673334581356003</v>
      </c>
      <c r="I86" s="1199">
        <v>0.4696443741286</v>
      </c>
      <c r="J86" s="1207">
        <v>6.2737399411895997E-4</v>
      </c>
      <c r="K86" s="1207">
        <v>7.4788651276328014E-3</v>
      </c>
      <c r="L86" s="835">
        <v>0.46510976973356</v>
      </c>
      <c r="M86" s="1199">
        <v>0.45819363932860002</v>
      </c>
      <c r="N86" s="1207">
        <v>6.1207754083896003E-4</v>
      </c>
      <c r="O86" s="1207">
        <v>7.2965175772328004E-3</v>
      </c>
      <c r="Q86" s="455"/>
      <c r="R86" s="455"/>
      <c r="S86" s="455"/>
      <c r="T86" s="447"/>
      <c r="U86" s="447"/>
      <c r="V86" s="447"/>
    </row>
    <row r="87" spans="1:22">
      <c r="A87" s="2101"/>
      <c r="B87" s="169" t="s">
        <v>1739</v>
      </c>
      <c r="C87" s="169" t="s">
        <v>1211</v>
      </c>
      <c r="D87" s="835">
        <v>0.59640612313477004</v>
      </c>
      <c r="E87" s="1199">
        <v>0.58753763059745001</v>
      </c>
      <c r="F87" s="1207">
        <v>7.8486158955282006E-4</v>
      </c>
      <c r="G87" s="1199">
        <v>9.3562596268726012E-3</v>
      </c>
      <c r="H87" s="835">
        <v>0.56528191004385997</v>
      </c>
      <c r="I87" s="1199">
        <v>0.5568762310841</v>
      </c>
      <c r="J87" s="1207">
        <v>7.4390258793876002E-4</v>
      </c>
      <c r="K87" s="1207">
        <v>8.8679913025468005E-3</v>
      </c>
      <c r="L87" s="835">
        <v>0.55149936819809997</v>
      </c>
      <c r="M87" s="1199">
        <v>0.54329863409849999</v>
      </c>
      <c r="N87" s="1207">
        <v>7.257649678146E-4</v>
      </c>
      <c r="O87" s="1207">
        <v>8.6517744750780005E-3</v>
      </c>
      <c r="Q87" s="455"/>
      <c r="R87" s="455"/>
      <c r="S87" s="455"/>
      <c r="T87" s="447"/>
      <c r="U87" s="447"/>
      <c r="V87" s="447"/>
    </row>
    <row r="88" spans="1:22">
      <c r="A88" s="2101"/>
      <c r="B88" s="169" t="s">
        <v>1740</v>
      </c>
      <c r="C88" s="169" t="s">
        <v>1211</v>
      </c>
      <c r="D88" s="835">
        <v>0.67772384807970998</v>
      </c>
      <c r="E88" s="1199">
        <v>0.66764617004134985</v>
      </c>
      <c r="F88" s="1207">
        <v>8.9187450639486004E-4</v>
      </c>
      <c r="G88" s="1199">
        <v>1.0631950330469798E-2</v>
      </c>
      <c r="H88" s="835">
        <v>0.64235596595372002</v>
      </c>
      <c r="I88" s="1199">
        <v>0.63280420437819995</v>
      </c>
      <c r="J88" s="1207">
        <v>8.4533089943352E-4</v>
      </c>
      <c r="K88" s="1207">
        <v>1.0077108462173601E-2</v>
      </c>
      <c r="L88" s="835">
        <v>0.6266942265198</v>
      </c>
      <c r="M88" s="1199">
        <v>0.61737535326300008</v>
      </c>
      <c r="N88" s="1207">
        <v>8.2472028322680012E-4</v>
      </c>
      <c r="O88" s="1207">
        <v>9.8314112859240015E-3</v>
      </c>
      <c r="Q88" s="455"/>
      <c r="R88" s="455"/>
      <c r="S88" s="455"/>
      <c r="T88" s="447"/>
      <c r="U88" s="447"/>
      <c r="V88" s="447"/>
    </row>
    <row r="89" spans="1:22">
      <c r="A89" s="2101"/>
      <c r="B89" s="169" t="s">
        <v>1741</v>
      </c>
      <c r="C89" s="169" t="s">
        <v>1211</v>
      </c>
      <c r="D89" s="835">
        <v>0.89275269137707991</v>
      </c>
      <c r="E89" s="1199">
        <v>0.8794775584197998</v>
      </c>
      <c r="F89" s="1207">
        <v>1.1748492667192801E-3</v>
      </c>
      <c r="G89" s="1199">
        <v>1.40052652699304E-2</v>
      </c>
      <c r="H89" s="835">
        <v>0.87008453608406999</v>
      </c>
      <c r="I89" s="1199">
        <v>0.85714647606795002</v>
      </c>
      <c r="J89" s="1207">
        <v>1.14501831142662E-3</v>
      </c>
      <c r="K89" s="1207">
        <v>1.3649653317006601E-2</v>
      </c>
      <c r="L89" s="835">
        <v>0.86801583329790011</v>
      </c>
      <c r="M89" s="1199">
        <v>0.85510853466149994</v>
      </c>
      <c r="N89" s="1207">
        <v>1.1422959293214E-3</v>
      </c>
      <c r="O89" s="1207">
        <v>1.3617200061402001E-2</v>
      </c>
      <c r="Q89" s="455"/>
      <c r="R89" s="455"/>
      <c r="S89" s="455"/>
      <c r="T89" s="447"/>
      <c r="U89" s="447"/>
      <c r="V89" s="447"/>
    </row>
    <row r="90" spans="1:22">
      <c r="A90" s="2101"/>
      <c r="B90" s="169" t="s">
        <v>1742</v>
      </c>
      <c r="C90" s="169" t="s">
        <v>1211</v>
      </c>
      <c r="D90" s="835">
        <v>1.18849584954442</v>
      </c>
      <c r="E90" s="1199">
        <v>1.1708230488077001</v>
      </c>
      <c r="F90" s="1207">
        <v>1.5640428651997201E-3</v>
      </c>
      <c r="G90" s="1199">
        <v>1.86448047772396E-2</v>
      </c>
      <c r="H90" s="835">
        <v>1.15831838971416</v>
      </c>
      <c r="I90" s="1199">
        <v>1.1410943244395999</v>
      </c>
      <c r="J90" s="1207">
        <v>1.52432977679856E-3</v>
      </c>
      <c r="K90" s="1207">
        <v>1.8171388864660801E-2</v>
      </c>
      <c r="L90" s="835">
        <v>1.1555643854977498</v>
      </c>
      <c r="M90" s="1199">
        <v>1.1383812719587498</v>
      </c>
      <c r="N90" s="1207">
        <v>1.5207055482015001E-3</v>
      </c>
      <c r="O90" s="1207">
        <v>1.8128184783644998E-2</v>
      </c>
      <c r="Q90" s="455"/>
      <c r="R90" s="455"/>
      <c r="S90" s="455"/>
      <c r="T90" s="447"/>
      <c r="U90" s="447"/>
      <c r="V90" s="447"/>
    </row>
    <row r="91" spans="1:22">
      <c r="A91" s="2101"/>
      <c r="B91" s="169" t="s">
        <v>1743</v>
      </c>
      <c r="C91" s="169" t="s">
        <v>1211</v>
      </c>
      <c r="D91" s="835">
        <v>1.3723576097077699</v>
      </c>
      <c r="E91" s="1199">
        <v>1.35195080510245</v>
      </c>
      <c r="F91" s="1207">
        <v>1.80600220757082E-3</v>
      </c>
      <c r="G91" s="1199">
        <v>2.1529178858612597E-2</v>
      </c>
      <c r="H91" s="835">
        <v>1.3375116599669901</v>
      </c>
      <c r="I91" s="1199">
        <v>1.3176230107481501</v>
      </c>
      <c r="J91" s="1207">
        <v>1.7601454558673403E-3</v>
      </c>
      <c r="K91" s="1207">
        <v>2.0982524925876201E-2</v>
      </c>
      <c r="L91" s="835">
        <v>1.33433160793117</v>
      </c>
      <c r="M91" s="1199">
        <v>1.31449024573145</v>
      </c>
      <c r="N91" s="1207">
        <v>1.7559605546752202E-3</v>
      </c>
      <c r="O91" s="1207">
        <v>2.0932637120704603E-2</v>
      </c>
      <c r="Q91" s="455"/>
      <c r="R91" s="455"/>
      <c r="S91" s="455"/>
      <c r="T91" s="447"/>
      <c r="U91" s="447"/>
      <c r="V91" s="447"/>
    </row>
    <row r="92" spans="1:22">
      <c r="A92" s="2102"/>
      <c r="B92" s="169" t="s">
        <v>1744</v>
      </c>
      <c r="C92" s="169" t="s">
        <v>1211</v>
      </c>
      <c r="D92" s="835">
        <v>1.4458304064442999</v>
      </c>
      <c r="E92" s="1199">
        <v>1.4243310695455</v>
      </c>
      <c r="F92" s="1207">
        <v>1.9026913155438E-3</v>
      </c>
      <c r="G92" s="1199">
        <v>2.2681800428233999E-2</v>
      </c>
      <c r="H92" s="835">
        <v>1.40911888655852</v>
      </c>
      <c r="I92" s="1199">
        <v>1.3881654458662001</v>
      </c>
      <c r="J92" s="1207">
        <v>1.8543795012703201E-3</v>
      </c>
      <c r="K92" s="1207">
        <v>2.2105879930397601E-2</v>
      </c>
      <c r="L92" s="835">
        <v>1.40576858202322</v>
      </c>
      <c r="M92" s="1199">
        <v>1.3848649599857001</v>
      </c>
      <c r="N92" s="1207">
        <v>1.8499705503205203E-3</v>
      </c>
      <c r="O92" s="1207">
        <v>2.2053321249583601E-2</v>
      </c>
      <c r="Q92" s="455"/>
      <c r="R92" s="455"/>
      <c r="S92" s="455"/>
      <c r="T92" s="447"/>
      <c r="U92" s="447"/>
      <c r="V92" s="447"/>
    </row>
    <row r="93" spans="1:22">
      <c r="A93" s="2103" t="s">
        <v>1746</v>
      </c>
      <c r="B93" s="169" t="s">
        <v>1736</v>
      </c>
      <c r="C93" s="169" t="s">
        <v>1211</v>
      </c>
      <c r="D93" s="173" t="s">
        <v>48</v>
      </c>
      <c r="E93" s="173" t="s">
        <v>48</v>
      </c>
      <c r="F93" s="174" t="s">
        <v>48</v>
      </c>
      <c r="G93" s="174" t="s">
        <v>48</v>
      </c>
      <c r="H93" s="835">
        <v>4.5007423561774999E-2</v>
      </c>
      <c r="I93" s="1199">
        <v>4.3225109465438283E-2</v>
      </c>
      <c r="J93" s="1199">
        <v>1.7205553626571119E-3</v>
      </c>
      <c r="K93" s="1207">
        <v>6.1758733679591338E-5</v>
      </c>
      <c r="L93" s="835">
        <v>4.4026561579084536E-2</v>
      </c>
      <c r="M93" s="1199">
        <v>4.2283090055816028E-2</v>
      </c>
      <c r="N93" s="1199">
        <v>1.6830587185306556E-3</v>
      </c>
      <c r="O93" s="1207">
        <v>6.0412804737840842E-5</v>
      </c>
      <c r="Q93" s="459"/>
      <c r="R93" s="455"/>
      <c r="S93" s="455"/>
      <c r="T93" s="447"/>
      <c r="U93" s="447"/>
      <c r="V93" s="447"/>
    </row>
    <row r="94" spans="1:22">
      <c r="A94" s="2101"/>
      <c r="B94" s="169" t="s">
        <v>1737</v>
      </c>
      <c r="C94" s="169" t="s">
        <v>1211</v>
      </c>
      <c r="D94" s="173" t="s">
        <v>48</v>
      </c>
      <c r="E94" s="173" t="s">
        <v>48</v>
      </c>
      <c r="F94" s="174" t="s">
        <v>48</v>
      </c>
      <c r="G94" s="174" t="s">
        <v>48</v>
      </c>
      <c r="H94" s="835">
        <v>5.1563848495327844E-2</v>
      </c>
      <c r="I94" s="1199">
        <v>4.9521897040176191E-2</v>
      </c>
      <c r="J94" s="1199">
        <v>1.971196061158767E-3</v>
      </c>
      <c r="K94" s="1207">
        <v>7.0755393992878398E-5</v>
      </c>
      <c r="L94" s="835">
        <v>5.044010012964837E-2</v>
      </c>
      <c r="M94" s="1199">
        <v>4.8442649612217288E-2</v>
      </c>
      <c r="N94" s="1199">
        <v>1.9282371196367493E-3</v>
      </c>
      <c r="O94" s="1207">
        <v>6.9213397794326453E-5</v>
      </c>
      <c r="Q94" s="459"/>
      <c r="R94" s="455"/>
      <c r="S94" s="455"/>
      <c r="T94" s="447"/>
      <c r="U94" s="447"/>
      <c r="V94" s="447"/>
    </row>
    <row r="95" spans="1:22">
      <c r="A95" s="2101"/>
      <c r="B95" s="169" t="s">
        <v>1738</v>
      </c>
      <c r="C95" s="169" t="s">
        <v>1211</v>
      </c>
      <c r="D95" s="173" t="s">
        <v>48</v>
      </c>
      <c r="E95" s="173" t="s">
        <v>48</v>
      </c>
      <c r="F95" s="174" t="s">
        <v>48</v>
      </c>
      <c r="G95" s="174" t="s">
        <v>48</v>
      </c>
      <c r="H95" s="835">
        <v>6.3044749798369645E-2</v>
      </c>
      <c r="I95" s="1199">
        <v>6.0548149518386322E-2</v>
      </c>
      <c r="J95" s="1199">
        <v>2.4100909087603601E-3</v>
      </c>
      <c r="K95" s="1207">
        <v>8.6509371222946461E-5</v>
      </c>
      <c r="L95" s="835">
        <v>6.1670794272894548E-2</v>
      </c>
      <c r="M95" s="1199">
        <v>5.9228603246029944E-2</v>
      </c>
      <c r="N95" s="1199">
        <v>2.3575669835869078E-3</v>
      </c>
      <c r="O95" s="1207">
        <v>8.4624043277680872E-5</v>
      </c>
      <c r="Q95" s="459"/>
      <c r="R95" s="455"/>
      <c r="S95" s="455"/>
      <c r="T95" s="447"/>
      <c r="U95" s="447"/>
      <c r="V95" s="447"/>
    </row>
    <row r="96" spans="1:22">
      <c r="A96" s="2101"/>
      <c r="B96" s="169" t="s">
        <v>1739</v>
      </c>
      <c r="C96" s="169" t="s">
        <v>1211</v>
      </c>
      <c r="D96" s="173" t="s">
        <v>48</v>
      </c>
      <c r="E96" s="173" t="s">
        <v>48</v>
      </c>
      <c r="F96" s="174" t="s">
        <v>48</v>
      </c>
      <c r="G96" s="174" t="s">
        <v>48</v>
      </c>
      <c r="H96" s="835">
        <v>7.4754696513806659E-2</v>
      </c>
      <c r="I96" s="1199">
        <v>7.1794377108252233E-2</v>
      </c>
      <c r="J96" s="1199">
        <v>2.8577417632915146E-3</v>
      </c>
      <c r="K96" s="1207">
        <v>1.025776422629064E-4</v>
      </c>
      <c r="L96" s="835">
        <v>8.3095933972629613E-2</v>
      </c>
      <c r="M96" s="1199">
        <v>7.9805297834251179E-2</v>
      </c>
      <c r="N96" s="1199">
        <v>3.17661273401651E-3</v>
      </c>
      <c r="O96" s="1207">
        <v>1.140234043619214E-4</v>
      </c>
      <c r="Q96" s="459"/>
      <c r="R96" s="455"/>
      <c r="S96" s="455"/>
      <c r="T96" s="447"/>
      <c r="U96" s="447"/>
      <c r="V96" s="447"/>
    </row>
    <row r="97" spans="1:22">
      <c r="A97" s="2104"/>
      <c r="B97" s="169" t="s">
        <v>1740</v>
      </c>
      <c r="C97" s="169" t="s">
        <v>1211</v>
      </c>
      <c r="D97" s="173" t="s">
        <v>48</v>
      </c>
      <c r="E97" s="173" t="s">
        <v>48</v>
      </c>
      <c r="F97" s="174" t="s">
        <v>48</v>
      </c>
      <c r="G97" s="174" t="s">
        <v>48</v>
      </c>
      <c r="H97" s="835">
        <v>8.4947217371326697E-2</v>
      </c>
      <c r="I97" s="1199">
        <v>8.1583269582631651E-2</v>
      </c>
      <c r="J97" s="1199">
        <v>3.2473840718837944E-3</v>
      </c>
      <c r="K97" s="1207">
        <v>1.1656371681123664E-4</v>
      </c>
      <c r="L97" s="835">
        <v>8.3095933972629613E-2</v>
      </c>
      <c r="M97" s="1199">
        <v>7.9805297834251179E-2</v>
      </c>
      <c r="N97" s="1199">
        <v>3.17661273401651E-3</v>
      </c>
      <c r="O97" s="1207">
        <v>1.140234043619214E-4</v>
      </c>
      <c r="Q97" s="459"/>
      <c r="R97" s="455"/>
      <c r="S97" s="455"/>
      <c r="T97" s="447"/>
      <c r="U97" s="447"/>
      <c r="V97" s="447"/>
    </row>
    <row r="98" spans="1:22">
      <c r="A98" s="219"/>
    </row>
    <row r="99" spans="1:22">
      <c r="A99" s="496" t="s">
        <v>1730</v>
      </c>
      <c r="B99" s="66"/>
      <c r="C99" s="66"/>
      <c r="D99" s="66"/>
      <c r="E99" s="66"/>
      <c r="F99" s="66"/>
      <c r="G99" s="66"/>
    </row>
    <row r="100" spans="1:22">
      <c r="A100" s="2105"/>
      <c r="B100" s="2106"/>
      <c r="C100" s="2106"/>
      <c r="D100" s="2108" t="s">
        <v>1747</v>
      </c>
      <c r="E100" s="2108"/>
      <c r="F100" s="2108"/>
      <c r="G100" s="2108"/>
    </row>
    <row r="101" spans="1:22" ht="24" customHeight="1">
      <c r="A101" s="2027" t="s">
        <v>69</v>
      </c>
      <c r="B101" s="2028"/>
      <c r="C101" s="494" t="s">
        <v>70</v>
      </c>
      <c r="D101" s="156" t="s">
        <v>71</v>
      </c>
      <c r="E101" s="492" t="s">
        <v>1709</v>
      </c>
      <c r="F101" s="492" t="s">
        <v>1710</v>
      </c>
      <c r="G101" s="492" t="s">
        <v>438</v>
      </c>
    </row>
    <row r="102" spans="1:22">
      <c r="A102" s="2107" t="s">
        <v>1748</v>
      </c>
      <c r="B102" s="2107"/>
      <c r="C102" s="918" t="s">
        <v>1211</v>
      </c>
      <c r="D102" s="958">
        <v>0.48012534078942309</v>
      </c>
      <c r="E102" s="945">
        <v>0.47197564185485669</v>
      </c>
      <c r="F102" s="945">
        <v>6.3078165128223221E-4</v>
      </c>
      <c r="G102" s="945">
        <v>7.5189172832842077E-3</v>
      </c>
      <c r="H102" s="176"/>
      <c r="I102" s="176"/>
      <c r="J102" s="176"/>
      <c r="K102" s="176"/>
      <c r="L102" s="176"/>
      <c r="M102" s="176"/>
      <c r="N102" s="176"/>
      <c r="O102" s="176"/>
      <c r="Q102" s="455"/>
    </row>
    <row r="103" spans="1:22">
      <c r="A103" s="2107" t="s">
        <v>1749</v>
      </c>
      <c r="B103" s="2107"/>
      <c r="C103" s="918" t="s">
        <v>1211</v>
      </c>
      <c r="D103" s="958">
        <v>0.38696669257655009</v>
      </c>
      <c r="E103" s="945">
        <v>0.38039827850988461</v>
      </c>
      <c r="F103" s="947">
        <v>5.0839118163045608E-4</v>
      </c>
      <c r="G103" s="945">
        <v>6.0600228850350357E-3</v>
      </c>
      <c r="H103" s="176"/>
      <c r="I103" s="176"/>
      <c r="J103" s="176"/>
      <c r="K103" s="176"/>
      <c r="L103" s="176"/>
      <c r="M103" s="176"/>
      <c r="N103" s="176"/>
      <c r="O103" s="176"/>
      <c r="Q103" s="455"/>
    </row>
    <row r="104" spans="1:22">
      <c r="A104" s="219"/>
    </row>
    <row r="105" spans="1:22" ht="15" customHeight="1"/>
    <row r="106" spans="1:22">
      <c r="A106" s="496" t="s">
        <v>1750</v>
      </c>
      <c r="B106" s="66"/>
      <c r="C106" s="66"/>
      <c r="D106" s="2036" t="s">
        <v>1751</v>
      </c>
      <c r="E106" s="2037"/>
      <c r="F106" s="2037"/>
      <c r="G106" s="2038"/>
      <c r="H106" s="2036" t="s">
        <v>1752</v>
      </c>
      <c r="I106" s="2037"/>
      <c r="J106" s="2037"/>
      <c r="K106" s="2038"/>
      <c r="L106" s="66"/>
      <c r="M106" s="497"/>
    </row>
    <row r="107" spans="1:22" ht="18">
      <c r="A107" s="1900" t="s">
        <v>69</v>
      </c>
      <c r="B107" s="1901"/>
      <c r="C107" s="492" t="s">
        <v>70</v>
      </c>
      <c r="D107" s="156" t="s">
        <v>71</v>
      </c>
      <c r="E107" s="492" t="s">
        <v>1709</v>
      </c>
      <c r="F107" s="492" t="s">
        <v>1710</v>
      </c>
      <c r="G107" s="492" t="s">
        <v>438</v>
      </c>
      <c r="H107" s="156" t="s">
        <v>71</v>
      </c>
      <c r="I107" s="492" t="s">
        <v>1709</v>
      </c>
      <c r="J107" s="492" t="s">
        <v>1710</v>
      </c>
      <c r="K107" s="492" t="s">
        <v>438</v>
      </c>
      <c r="L107" s="492" t="s">
        <v>75</v>
      </c>
      <c r="M107" s="498" t="s">
        <v>76</v>
      </c>
    </row>
    <row r="108" spans="1:22">
      <c r="A108" s="2047" t="s">
        <v>1753</v>
      </c>
      <c r="B108" s="169" t="s">
        <v>1754</v>
      </c>
      <c r="C108" s="169" t="s">
        <v>1712</v>
      </c>
      <c r="D108" s="835">
        <v>4.4936299999999996</v>
      </c>
      <c r="E108" s="1199">
        <v>4.4694900000000004</v>
      </c>
      <c r="F108" s="1208">
        <v>1.8799999999999999E-3</v>
      </c>
      <c r="G108" s="1199">
        <v>2.2259999999999999E-2</v>
      </c>
      <c r="H108" s="835">
        <v>2.3765000000000001</v>
      </c>
      <c r="I108" s="1199">
        <v>2.35236</v>
      </c>
      <c r="J108" s="1207">
        <v>1.8799999999999999E-3</v>
      </c>
      <c r="K108" s="1199">
        <v>2.2259999999999999E-2</v>
      </c>
      <c r="L108" s="169" t="s">
        <v>680</v>
      </c>
      <c r="M108" s="137" t="s">
        <v>1755</v>
      </c>
      <c r="Q108" s="455"/>
      <c r="R108" s="455"/>
      <c r="S108" s="447"/>
      <c r="T108" s="447"/>
    </row>
    <row r="109" spans="1:22" ht="15" customHeight="1">
      <c r="A109" s="2047"/>
      <c r="B109" s="169" t="s">
        <v>1756</v>
      </c>
      <c r="C109" s="169" t="s">
        <v>1712</v>
      </c>
      <c r="D109" s="835">
        <v>2.3022900000000002</v>
      </c>
      <c r="E109" s="1199">
        <v>2.2907999999999999</v>
      </c>
      <c r="F109" s="1208">
        <v>8.0000000000000007E-5</v>
      </c>
      <c r="G109" s="1199">
        <v>1.141E-2</v>
      </c>
      <c r="H109" s="835">
        <v>1.2171700000000001</v>
      </c>
      <c r="I109" s="1199">
        <v>1.2056800000000001</v>
      </c>
      <c r="J109" s="1207">
        <v>8.0000000000000007E-5</v>
      </c>
      <c r="K109" s="1199">
        <v>1.141E-2</v>
      </c>
      <c r="L109" s="169" t="s">
        <v>680</v>
      </c>
      <c r="M109" s="137" t="s">
        <v>1755</v>
      </c>
      <c r="Q109" s="455"/>
      <c r="R109" s="455"/>
      <c r="S109" s="447"/>
      <c r="T109" s="447"/>
    </row>
    <row r="110" spans="1:22" ht="15" customHeight="1">
      <c r="A110" s="2047"/>
      <c r="B110" s="169" t="s">
        <v>1757</v>
      </c>
      <c r="C110" s="169" t="s">
        <v>1712</v>
      </c>
      <c r="D110" s="835">
        <v>1.0188999999999999</v>
      </c>
      <c r="E110" s="1199">
        <v>1.0138100000000001</v>
      </c>
      <c r="F110" s="1208">
        <v>4.0000000000000003E-5</v>
      </c>
      <c r="G110" s="1199">
        <v>5.0499999999999998E-3</v>
      </c>
      <c r="H110" s="835">
        <v>0.53866999999999998</v>
      </c>
      <c r="I110" s="1199">
        <v>0.53358000000000005</v>
      </c>
      <c r="J110" s="1208">
        <v>4.0000000000000003E-5</v>
      </c>
      <c r="K110" s="1199">
        <v>5.0499999999999998E-3</v>
      </c>
      <c r="L110" s="169" t="s">
        <v>680</v>
      </c>
      <c r="M110" s="137" t="s">
        <v>1755</v>
      </c>
      <c r="Q110" s="455"/>
      <c r="R110" s="455"/>
      <c r="S110" s="447"/>
      <c r="T110" s="447"/>
    </row>
    <row r="112" spans="1:22">
      <c r="A112" s="1820" t="s">
        <v>1758</v>
      </c>
      <c r="B112" s="1820"/>
      <c r="C112" s="1820"/>
      <c r="D112" s="1820"/>
      <c r="E112" s="1820"/>
      <c r="F112" s="1820"/>
      <c r="G112" s="1820"/>
      <c r="H112" s="1820"/>
      <c r="I112" s="1820"/>
      <c r="J112" s="1820"/>
      <c r="K112" s="1820"/>
    </row>
    <row r="113" spans="1:18" ht="18">
      <c r="A113" s="1900" t="s">
        <v>69</v>
      </c>
      <c r="B113" s="1901"/>
      <c r="C113" s="492" t="s">
        <v>70</v>
      </c>
      <c r="D113" s="156" t="s">
        <v>71</v>
      </c>
      <c r="E113" s="492" t="s">
        <v>1709</v>
      </c>
      <c r="F113" s="492" t="s">
        <v>1710</v>
      </c>
      <c r="G113" s="492" t="s">
        <v>438</v>
      </c>
      <c r="H113" s="492" t="s">
        <v>75</v>
      </c>
      <c r="I113" s="2094" t="s">
        <v>76</v>
      </c>
      <c r="J113" s="2095"/>
      <c r="K113" s="2095"/>
    </row>
    <row r="114" spans="1:18">
      <c r="A114" s="2096" t="s">
        <v>1759</v>
      </c>
      <c r="B114" s="169" t="s">
        <v>1760</v>
      </c>
      <c r="C114" s="169" t="s">
        <v>1712</v>
      </c>
      <c r="D114" s="847">
        <v>1.6E-2</v>
      </c>
      <c r="E114" s="848">
        <v>1.5842310306041413E-2</v>
      </c>
      <c r="F114" s="860">
        <v>3.579208358333696E-5</v>
      </c>
      <c r="G114" s="852">
        <v>1.2189761037525044E-4</v>
      </c>
      <c r="H114" s="961" t="s">
        <v>441</v>
      </c>
      <c r="I114" s="2098" t="s">
        <v>1761</v>
      </c>
      <c r="J114" s="2099"/>
      <c r="K114" s="2099"/>
      <c r="N114">
        <v>6.8999999999999995</v>
      </c>
      <c r="R114" s="447"/>
    </row>
    <row r="115" spans="1:18">
      <c r="A115" s="2097"/>
      <c r="B115" s="169" t="s">
        <v>1762</v>
      </c>
      <c r="C115" s="169" t="s">
        <v>1712</v>
      </c>
      <c r="D115" s="847">
        <v>0.03</v>
      </c>
      <c r="E115" s="848">
        <v>2.9704331823827645E-2</v>
      </c>
      <c r="F115" s="860">
        <v>6.7110156718756787E-5</v>
      </c>
      <c r="G115" s="852">
        <v>2.2855801945359454E-4</v>
      </c>
      <c r="H115" s="961" t="s">
        <v>441</v>
      </c>
      <c r="I115" s="2098" t="s">
        <v>1761</v>
      </c>
      <c r="J115" s="2099"/>
      <c r="K115" s="2099"/>
      <c r="R115" s="447"/>
    </row>
    <row r="116" spans="1:18">
      <c r="A116" s="2097"/>
      <c r="B116" s="169" t="s">
        <v>1763</v>
      </c>
      <c r="C116" s="169" t="s">
        <v>1712</v>
      </c>
      <c r="D116" s="847">
        <v>4.5999999999999999E-2</v>
      </c>
      <c r="E116" s="848">
        <v>4.5546642129869058E-2</v>
      </c>
      <c r="F116" s="852">
        <v>1.0290224030209375E-4</v>
      </c>
      <c r="G116" s="852">
        <v>3.5045562982884501E-4</v>
      </c>
      <c r="H116" s="961" t="s">
        <v>441</v>
      </c>
      <c r="I116" s="2098" t="s">
        <v>1761</v>
      </c>
      <c r="J116" s="2099"/>
      <c r="K116" s="2099"/>
      <c r="R116" s="447"/>
    </row>
    <row r="118" spans="1:18">
      <c r="A118" s="1886" t="s">
        <v>1764</v>
      </c>
      <c r="B118" s="1887"/>
      <c r="C118" s="1887"/>
      <c r="D118" s="1887"/>
      <c r="E118" s="1887"/>
      <c r="F118" s="1887"/>
      <c r="G118" s="1887"/>
      <c r="H118" s="1887"/>
      <c r="I118" s="1887"/>
      <c r="J118" s="1887"/>
      <c r="K118" s="1887"/>
      <c r="L118" s="1887"/>
      <c r="M118" s="1888"/>
    </row>
    <row r="119" spans="1:18" ht="18">
      <c r="A119" s="1900" t="s">
        <v>69</v>
      </c>
      <c r="B119" s="1901"/>
      <c r="C119" s="492" t="s">
        <v>70</v>
      </c>
      <c r="D119" s="156" t="s">
        <v>71</v>
      </c>
      <c r="E119" s="492" t="s">
        <v>1709</v>
      </c>
      <c r="F119" s="492" t="s">
        <v>1710</v>
      </c>
      <c r="G119" s="492" t="s">
        <v>438</v>
      </c>
      <c r="H119" s="492" t="s">
        <v>75</v>
      </c>
      <c r="I119" s="2094" t="s">
        <v>76</v>
      </c>
      <c r="J119" s="2095"/>
      <c r="K119" s="2095"/>
      <c r="L119" s="2095"/>
      <c r="M119" s="2095"/>
    </row>
    <row r="120" spans="1:18" ht="15" customHeight="1">
      <c r="A120" s="2047" t="s">
        <v>1765</v>
      </c>
      <c r="B120" s="169" t="s">
        <v>1766</v>
      </c>
      <c r="C120" s="169" t="s">
        <v>1712</v>
      </c>
      <c r="D120" s="835">
        <v>2.5400000000000002E-3</v>
      </c>
      <c r="E120" s="1209">
        <v>2.5000000000000001E-3</v>
      </c>
      <c r="F120" s="1210">
        <v>0</v>
      </c>
      <c r="G120" s="1211">
        <v>3.0000000000000001E-5</v>
      </c>
      <c r="H120" s="169" t="s">
        <v>441</v>
      </c>
      <c r="I120" s="1882" t="s">
        <v>1767</v>
      </c>
      <c r="J120" s="1882"/>
      <c r="K120" s="1882"/>
      <c r="L120" s="1882"/>
      <c r="M120" s="2077"/>
      <c r="Q120" s="455"/>
      <c r="R120" s="447"/>
    </row>
    <row r="121" spans="1:18" ht="15" customHeight="1">
      <c r="A121" s="2047"/>
      <c r="B121" s="169" t="s">
        <v>1768</v>
      </c>
      <c r="C121" s="169" t="s">
        <v>1712</v>
      </c>
      <c r="D121" s="835">
        <v>3.0400000000000002E-3</v>
      </c>
      <c r="E121" s="1212">
        <v>3.0000000000000001E-3</v>
      </c>
      <c r="F121" s="1213">
        <v>0</v>
      </c>
      <c r="G121" s="1214">
        <v>4.0000000000000003E-5</v>
      </c>
      <c r="H121" s="169" t="s">
        <v>441</v>
      </c>
      <c r="I121" s="1882" t="s">
        <v>1767</v>
      </c>
      <c r="J121" s="1882"/>
      <c r="K121" s="1882"/>
      <c r="L121" s="1882"/>
      <c r="M121" s="2077"/>
      <c r="Q121" s="455"/>
      <c r="R121" s="447"/>
    </row>
    <row r="122" spans="1:18" ht="15" customHeight="1">
      <c r="A122" s="2047"/>
      <c r="B122" s="169" t="s">
        <v>1769</v>
      </c>
      <c r="C122" s="169" t="s">
        <v>1712</v>
      </c>
      <c r="D122" s="835">
        <v>4.1599999999999996E-3</v>
      </c>
      <c r="E122" s="1212">
        <v>4.1000000000000003E-3</v>
      </c>
      <c r="F122" s="1213">
        <v>0</v>
      </c>
      <c r="G122" s="1214">
        <v>6.0000000000000002E-5</v>
      </c>
      <c r="H122" s="169" t="s">
        <v>441</v>
      </c>
      <c r="I122" s="1882" t="s">
        <v>1767</v>
      </c>
      <c r="J122" s="1882"/>
      <c r="K122" s="1882"/>
      <c r="L122" s="1882"/>
      <c r="M122" s="2077"/>
      <c r="Q122" s="455"/>
      <c r="R122" s="447"/>
    </row>
    <row r="123" spans="1:18" ht="15" customHeight="1">
      <c r="A123" s="2047"/>
      <c r="B123" s="169" t="s">
        <v>1770</v>
      </c>
      <c r="C123" s="169" t="s">
        <v>1712</v>
      </c>
      <c r="D123" s="835">
        <v>5.7800000000000004E-3</v>
      </c>
      <c r="E123" s="1212">
        <v>5.7000000000000002E-3</v>
      </c>
      <c r="F123" s="1213">
        <v>0</v>
      </c>
      <c r="G123" s="1214">
        <v>8.0000000000000007E-5</v>
      </c>
      <c r="H123" s="169" t="s">
        <v>441</v>
      </c>
      <c r="I123" s="1882" t="s">
        <v>1767</v>
      </c>
      <c r="J123" s="1882"/>
      <c r="K123" s="1882"/>
      <c r="L123" s="1882"/>
      <c r="M123" s="2077"/>
      <c r="Q123" s="455"/>
      <c r="R123" s="447"/>
    </row>
    <row r="124" spans="1:18" ht="15" customHeight="1">
      <c r="A124" s="2047"/>
      <c r="B124" s="169" t="s">
        <v>1771</v>
      </c>
      <c r="C124" s="169" t="s">
        <v>1712</v>
      </c>
      <c r="D124" s="835">
        <v>8.0099999999999998E-3</v>
      </c>
      <c r="E124" s="1212">
        <v>7.9000000000000008E-3</v>
      </c>
      <c r="F124" s="1213">
        <v>0</v>
      </c>
      <c r="G124" s="1214">
        <v>1.1E-4</v>
      </c>
      <c r="H124" s="169" t="s">
        <v>441</v>
      </c>
      <c r="I124" s="1882" t="s">
        <v>1767</v>
      </c>
      <c r="J124" s="1882"/>
      <c r="K124" s="1882"/>
      <c r="L124" s="1882"/>
      <c r="M124" s="2077"/>
      <c r="Q124" s="455"/>
      <c r="R124" s="447"/>
    </row>
    <row r="125" spans="1:18" ht="15" customHeight="1">
      <c r="A125" s="2047"/>
      <c r="B125" s="169" t="s">
        <v>1772</v>
      </c>
      <c r="C125" s="169" t="s">
        <v>1712</v>
      </c>
      <c r="D125" s="835">
        <v>2.9610000000000001E-2</v>
      </c>
      <c r="E125" s="1212">
        <v>2.92E-2</v>
      </c>
      <c r="F125" s="1213">
        <v>1.0000000000000001E-5</v>
      </c>
      <c r="G125" s="1214">
        <v>4.0000000000000002E-4</v>
      </c>
      <c r="H125" s="169" t="s">
        <v>441</v>
      </c>
      <c r="I125" s="1882" t="s">
        <v>1767</v>
      </c>
      <c r="J125" s="1882"/>
      <c r="K125" s="1882"/>
      <c r="L125" s="1882"/>
      <c r="M125" s="2077"/>
      <c r="Q125" s="455"/>
      <c r="R125" s="447"/>
    </row>
    <row r="126" spans="1:18" ht="15" customHeight="1">
      <c r="A126" s="2047"/>
      <c r="B126" s="169" t="s">
        <v>1773</v>
      </c>
      <c r="C126" s="169" t="s">
        <v>1712</v>
      </c>
      <c r="D126" s="835">
        <v>3.5400000000000002E-3</v>
      </c>
      <c r="E126" s="1212">
        <v>3.49E-3</v>
      </c>
      <c r="F126" s="1213">
        <v>0</v>
      </c>
      <c r="G126" s="1214">
        <v>5.0000000000000002E-5</v>
      </c>
      <c r="H126" s="169" t="s">
        <v>441</v>
      </c>
      <c r="I126" s="1882" t="s">
        <v>1767</v>
      </c>
      <c r="J126" s="1882"/>
      <c r="K126" s="1882"/>
      <c r="L126" s="1882"/>
      <c r="M126" s="2077"/>
      <c r="Q126" s="455"/>
      <c r="R126" s="447"/>
    </row>
    <row r="127" spans="1:18" ht="15" customHeight="1">
      <c r="A127" s="2047" t="s">
        <v>1774</v>
      </c>
      <c r="B127" s="169" t="s">
        <v>1775</v>
      </c>
      <c r="C127" s="169" t="s">
        <v>1712</v>
      </c>
      <c r="D127" s="835">
        <v>1.2070000000000001E-2</v>
      </c>
      <c r="E127" s="1212">
        <v>1.1900000000000001E-2</v>
      </c>
      <c r="F127" s="1213">
        <v>0</v>
      </c>
      <c r="G127" s="1214">
        <v>1.6000000000000001E-4</v>
      </c>
      <c r="H127" s="169" t="s">
        <v>441</v>
      </c>
      <c r="I127" s="1882" t="s">
        <v>1767</v>
      </c>
      <c r="J127" s="1882"/>
      <c r="K127" s="1882"/>
      <c r="L127" s="1882"/>
      <c r="M127" s="2077"/>
      <c r="Q127" s="455"/>
      <c r="R127" s="447"/>
    </row>
    <row r="128" spans="1:18" ht="15" customHeight="1">
      <c r="A128" s="2047"/>
      <c r="B128" s="169" t="s">
        <v>1776</v>
      </c>
      <c r="C128" s="169" t="s">
        <v>1712</v>
      </c>
      <c r="D128" s="835">
        <v>1.602E-2</v>
      </c>
      <c r="E128" s="1212">
        <v>1.5800000000000002E-2</v>
      </c>
      <c r="F128" s="1213">
        <v>1.0000000000000001E-5</v>
      </c>
      <c r="G128" s="1214">
        <v>2.2000000000000001E-4</v>
      </c>
      <c r="H128" s="169" t="s">
        <v>441</v>
      </c>
      <c r="I128" s="1882" t="s">
        <v>1767</v>
      </c>
      <c r="J128" s="1882"/>
      <c r="K128" s="1882"/>
      <c r="L128" s="1882"/>
      <c r="M128" s="2077"/>
      <c r="Q128" s="455"/>
      <c r="R128" s="447"/>
    </row>
    <row r="129" spans="1:18" ht="15" customHeight="1">
      <c r="A129" s="2047"/>
      <c r="B129" s="169" t="s">
        <v>1777</v>
      </c>
      <c r="C129" s="169" t="s">
        <v>1712</v>
      </c>
      <c r="D129" s="835">
        <v>1.409E-2</v>
      </c>
      <c r="E129" s="1212">
        <v>1.3899999999999999E-2</v>
      </c>
      <c r="F129" s="1213">
        <v>0</v>
      </c>
      <c r="G129" s="1214">
        <v>1.9000000000000001E-4</v>
      </c>
      <c r="H129" s="169" t="s">
        <v>441</v>
      </c>
      <c r="I129" s="1882" t="s">
        <v>1767</v>
      </c>
      <c r="J129" s="1882"/>
      <c r="K129" s="1882"/>
      <c r="L129" s="1882"/>
      <c r="M129" s="2077"/>
      <c r="Q129" s="455"/>
      <c r="R129" s="447"/>
    </row>
    <row r="130" spans="1:18" ht="15" customHeight="1">
      <c r="A130" s="2047"/>
      <c r="B130" s="169" t="s">
        <v>1778</v>
      </c>
      <c r="C130" s="169" t="s">
        <v>1712</v>
      </c>
      <c r="D130" s="835">
        <v>1.115E-2</v>
      </c>
      <c r="E130" s="1212">
        <v>1.0999999999999999E-2</v>
      </c>
      <c r="F130" s="1213">
        <v>0</v>
      </c>
      <c r="G130" s="1214">
        <v>1.4999999999999999E-4</v>
      </c>
      <c r="H130" s="169" t="s">
        <v>441</v>
      </c>
      <c r="I130" s="1882" t="s">
        <v>1767</v>
      </c>
      <c r="J130" s="1882"/>
      <c r="K130" s="1882"/>
      <c r="L130" s="1882"/>
      <c r="M130" s="2077"/>
      <c r="Q130" s="455"/>
      <c r="R130" s="447"/>
    </row>
    <row r="131" spans="1:18" ht="15" customHeight="1">
      <c r="A131" s="2047"/>
      <c r="B131" s="169" t="s">
        <v>1779</v>
      </c>
      <c r="C131" s="169" t="s">
        <v>1712</v>
      </c>
      <c r="D131" s="835">
        <v>1.7739999999999999E-2</v>
      </c>
      <c r="E131" s="1212">
        <v>1.7500000000000002E-2</v>
      </c>
      <c r="F131" s="1213">
        <v>1.0000000000000001E-5</v>
      </c>
      <c r="G131" s="1214">
        <v>2.4000000000000001E-4</v>
      </c>
      <c r="H131" s="169" t="s">
        <v>441</v>
      </c>
      <c r="I131" s="1882" t="s">
        <v>1767</v>
      </c>
      <c r="J131" s="1882"/>
      <c r="K131" s="1882"/>
      <c r="L131" s="1882"/>
      <c r="M131" s="2077"/>
      <c r="Q131" s="455"/>
      <c r="R131" s="447"/>
    </row>
    <row r="132" spans="1:18" ht="15" customHeight="1">
      <c r="A132" s="2047"/>
      <c r="B132" s="169" t="s">
        <v>1780</v>
      </c>
      <c r="C132" s="169" t="s">
        <v>1712</v>
      </c>
      <c r="D132" s="835">
        <v>2.0080000000000001E-2</v>
      </c>
      <c r="E132" s="1212">
        <v>1.9800000000000002E-2</v>
      </c>
      <c r="F132" s="1213">
        <v>1.0000000000000001E-5</v>
      </c>
      <c r="G132" s="1214">
        <v>2.7E-4</v>
      </c>
      <c r="H132" s="169" t="s">
        <v>441</v>
      </c>
      <c r="I132" s="1882" t="s">
        <v>1767</v>
      </c>
      <c r="J132" s="1882"/>
      <c r="K132" s="1882"/>
      <c r="L132" s="1882"/>
      <c r="M132" s="2077"/>
      <c r="Q132" s="455"/>
      <c r="R132" s="447"/>
    </row>
    <row r="133" spans="1:18" ht="15" customHeight="1">
      <c r="A133" s="2047"/>
      <c r="B133" s="169" t="s">
        <v>1773</v>
      </c>
      <c r="C133" s="169" t="s">
        <v>1712</v>
      </c>
      <c r="D133" s="835">
        <v>1.323E-2</v>
      </c>
      <c r="E133" s="1212">
        <v>1.3050000000000001E-2</v>
      </c>
      <c r="F133" s="1213">
        <v>0</v>
      </c>
      <c r="G133" s="1214">
        <v>1.8000000000000001E-4</v>
      </c>
      <c r="H133" s="169" t="s">
        <v>441</v>
      </c>
      <c r="I133" s="1882" t="s">
        <v>1767</v>
      </c>
      <c r="J133" s="1882"/>
      <c r="K133" s="1882"/>
      <c r="L133" s="1882"/>
      <c r="M133" s="2077"/>
      <c r="Q133" s="455"/>
      <c r="R133" s="447"/>
    </row>
    <row r="134" spans="1:18" ht="15" customHeight="1">
      <c r="A134" s="2047" t="s">
        <v>1781</v>
      </c>
      <c r="B134" s="169" t="s">
        <v>1782</v>
      </c>
      <c r="C134" s="169" t="s">
        <v>1712</v>
      </c>
      <c r="D134" s="835">
        <v>1.2670000000000001E-2</v>
      </c>
      <c r="E134" s="1212">
        <v>1.2500000000000001E-2</v>
      </c>
      <c r="F134" s="1213">
        <v>0</v>
      </c>
      <c r="G134" s="1214">
        <v>1.7000000000000001E-4</v>
      </c>
      <c r="H134" s="169" t="s">
        <v>441</v>
      </c>
      <c r="I134" s="1882" t="s">
        <v>1767</v>
      </c>
      <c r="J134" s="1882"/>
      <c r="K134" s="1882"/>
      <c r="L134" s="1882"/>
      <c r="M134" s="2077"/>
      <c r="Q134" s="455"/>
      <c r="R134" s="447"/>
    </row>
    <row r="135" spans="1:18" ht="15" customHeight="1">
      <c r="A135" s="2047"/>
      <c r="B135" s="169" t="s">
        <v>1783</v>
      </c>
      <c r="C135" s="169" t="s">
        <v>1712</v>
      </c>
      <c r="D135" s="835">
        <v>1.6830000000000001E-2</v>
      </c>
      <c r="E135" s="1212">
        <v>1.66E-2</v>
      </c>
      <c r="F135" s="1213">
        <v>1.0000000000000001E-5</v>
      </c>
      <c r="G135" s="1214">
        <v>2.3000000000000001E-4</v>
      </c>
      <c r="H135" s="169" t="s">
        <v>441</v>
      </c>
      <c r="I135" s="1882" t="s">
        <v>1767</v>
      </c>
      <c r="J135" s="1882"/>
      <c r="K135" s="1882"/>
      <c r="L135" s="1882"/>
      <c r="M135" s="2077"/>
      <c r="Q135" s="455"/>
      <c r="R135" s="447"/>
    </row>
    <row r="136" spans="1:18" ht="15" customHeight="1">
      <c r="A136" s="2047"/>
      <c r="B136" s="169" t="s">
        <v>1784</v>
      </c>
      <c r="C136" s="169" t="s">
        <v>1712</v>
      </c>
      <c r="D136" s="835">
        <v>1.6830000000000001E-2</v>
      </c>
      <c r="E136" s="1212">
        <v>1.66E-2</v>
      </c>
      <c r="F136" s="1213">
        <v>1.0000000000000001E-5</v>
      </c>
      <c r="G136" s="1214">
        <v>2.3000000000000001E-4</v>
      </c>
      <c r="H136" s="169" t="s">
        <v>441</v>
      </c>
      <c r="I136" s="1882" t="s">
        <v>1767</v>
      </c>
      <c r="J136" s="1882"/>
      <c r="K136" s="1882"/>
      <c r="L136" s="1882"/>
      <c r="M136" s="2077"/>
      <c r="Q136" s="455"/>
      <c r="R136" s="447"/>
    </row>
    <row r="137" spans="1:18" ht="15" customHeight="1">
      <c r="A137" s="2047"/>
      <c r="B137" s="169" t="s">
        <v>1785</v>
      </c>
      <c r="C137" s="169" t="s">
        <v>1712</v>
      </c>
      <c r="D137" s="835">
        <v>2.0279999999999999E-2</v>
      </c>
      <c r="E137" s="1212">
        <v>0.02</v>
      </c>
      <c r="F137" s="1213">
        <v>1.0000000000000001E-5</v>
      </c>
      <c r="G137" s="1214">
        <v>2.7E-4</v>
      </c>
      <c r="H137" s="169" t="s">
        <v>441</v>
      </c>
      <c r="I137" s="1882" t="s">
        <v>1767</v>
      </c>
      <c r="J137" s="1882"/>
      <c r="K137" s="1882"/>
      <c r="L137" s="1882"/>
      <c r="M137" s="2077"/>
      <c r="Q137" s="455"/>
      <c r="R137" s="447"/>
    </row>
    <row r="138" spans="1:18" ht="15" customHeight="1">
      <c r="A138" s="2047"/>
      <c r="B138" s="169" t="s">
        <v>1786</v>
      </c>
      <c r="C138" s="169" t="s">
        <v>1712</v>
      </c>
      <c r="D138" s="835">
        <v>3.2550000000000003E-2</v>
      </c>
      <c r="E138" s="1212">
        <v>3.2099999999999997E-2</v>
      </c>
      <c r="F138" s="1213">
        <v>1.0000000000000001E-5</v>
      </c>
      <c r="G138" s="1214">
        <v>4.4000000000000002E-4</v>
      </c>
      <c r="H138" s="169" t="s">
        <v>441</v>
      </c>
      <c r="I138" s="1882" t="s">
        <v>1767</v>
      </c>
      <c r="J138" s="1882"/>
      <c r="K138" s="1882"/>
      <c r="L138" s="1882"/>
      <c r="M138" s="2077"/>
      <c r="Q138" s="455"/>
      <c r="R138" s="447"/>
    </row>
    <row r="139" spans="1:18" ht="15" customHeight="1">
      <c r="A139" s="2047"/>
      <c r="B139" s="169" t="s">
        <v>1787</v>
      </c>
      <c r="C139" s="169" t="s">
        <v>1712</v>
      </c>
      <c r="D139" s="835">
        <v>3.6810000000000002E-2</v>
      </c>
      <c r="E139" s="1212">
        <v>3.6299999999999999E-2</v>
      </c>
      <c r="F139" s="1213">
        <v>1.0000000000000001E-5</v>
      </c>
      <c r="G139" s="1214">
        <v>4.8999999999999998E-4</v>
      </c>
      <c r="H139" s="169" t="s">
        <v>441</v>
      </c>
      <c r="I139" s="1882" t="s">
        <v>1767</v>
      </c>
      <c r="J139" s="1882"/>
      <c r="K139" s="1882"/>
      <c r="L139" s="1882"/>
      <c r="M139" s="2077"/>
      <c r="Q139" s="455"/>
      <c r="R139" s="447"/>
    </row>
    <row r="140" spans="1:18" ht="15" customHeight="1">
      <c r="A140" s="2047"/>
      <c r="B140" s="169" t="s">
        <v>1773</v>
      </c>
      <c r="C140" s="169" t="s">
        <v>1712</v>
      </c>
      <c r="D140" s="835">
        <v>1.6140000000000002E-2</v>
      </c>
      <c r="E140" s="1212">
        <v>1.592E-2</v>
      </c>
      <c r="F140" s="1213">
        <v>1.0000000000000001E-5</v>
      </c>
      <c r="G140" s="1214">
        <v>2.2000000000000001E-4</v>
      </c>
      <c r="H140" s="169" t="s">
        <v>441</v>
      </c>
      <c r="I140" s="1882" t="s">
        <v>1767</v>
      </c>
      <c r="J140" s="1882"/>
      <c r="K140" s="1882"/>
      <c r="L140" s="1882"/>
      <c r="M140" s="2077"/>
      <c r="Q140" s="455"/>
      <c r="R140" s="447"/>
    </row>
    <row r="141" spans="1:18" ht="15" customHeight="1">
      <c r="A141" s="2047" t="s">
        <v>1788</v>
      </c>
      <c r="B141" s="169" t="s">
        <v>1789</v>
      </c>
      <c r="C141" s="169" t="s">
        <v>1712</v>
      </c>
      <c r="D141" s="835">
        <v>3.245E-2</v>
      </c>
      <c r="E141" s="1212">
        <v>3.2000000000000001E-2</v>
      </c>
      <c r="F141" s="1213">
        <v>1.0000000000000001E-5</v>
      </c>
      <c r="G141" s="1214">
        <v>4.4000000000000002E-4</v>
      </c>
      <c r="H141" s="169" t="s">
        <v>441</v>
      </c>
      <c r="I141" s="1882" t="s">
        <v>1767</v>
      </c>
      <c r="J141" s="1882"/>
      <c r="K141" s="1882"/>
      <c r="L141" s="1882"/>
      <c r="M141" s="2077"/>
      <c r="Q141" s="455"/>
      <c r="R141" s="447"/>
    </row>
    <row r="142" spans="1:18" ht="15" customHeight="1">
      <c r="A142" s="2047"/>
      <c r="B142" s="169" t="s">
        <v>1790</v>
      </c>
      <c r="C142" s="169" t="s">
        <v>1712</v>
      </c>
      <c r="D142" s="835">
        <v>5.8400000000000001E-2</v>
      </c>
      <c r="E142" s="1212">
        <v>5.7599999999999998E-2</v>
      </c>
      <c r="F142" s="1213">
        <v>2.0000000000000002E-5</v>
      </c>
      <c r="G142" s="1214">
        <v>7.7999999999999999E-4</v>
      </c>
      <c r="H142" s="169" t="s">
        <v>441</v>
      </c>
      <c r="I142" s="1882" t="s">
        <v>1767</v>
      </c>
      <c r="J142" s="1882"/>
      <c r="K142" s="1882"/>
      <c r="L142" s="1882"/>
      <c r="M142" s="2077"/>
      <c r="Q142" s="455"/>
      <c r="R142" s="447"/>
    </row>
    <row r="143" spans="1:18" ht="15" customHeight="1">
      <c r="A143" s="2047"/>
      <c r="B143" s="169" t="s">
        <v>1773</v>
      </c>
      <c r="C143" s="169" t="s">
        <v>1712</v>
      </c>
      <c r="D143" s="835">
        <v>3.8580000000000003E-2</v>
      </c>
      <c r="E143" s="1212">
        <v>3.805E-2</v>
      </c>
      <c r="F143" s="1213">
        <v>1.0000000000000001E-5</v>
      </c>
      <c r="G143" s="1214">
        <v>5.1999999999999995E-4</v>
      </c>
      <c r="H143" s="169" t="s">
        <v>441</v>
      </c>
      <c r="I143" s="1882" t="s">
        <v>1767</v>
      </c>
      <c r="J143" s="1882"/>
      <c r="K143" s="1882"/>
      <c r="L143" s="1882"/>
      <c r="M143" s="2077"/>
      <c r="Q143" s="455"/>
      <c r="R143" s="447"/>
    </row>
    <row r="144" spans="1:18" ht="15" customHeight="1">
      <c r="A144" s="1962" t="s">
        <v>1791</v>
      </c>
      <c r="B144" s="169" t="s">
        <v>1792</v>
      </c>
      <c r="C144" s="169" t="s">
        <v>1712</v>
      </c>
      <c r="D144" s="835">
        <v>5.0189999999999999E-2</v>
      </c>
      <c r="E144" s="1212">
        <v>4.9500000000000002E-2</v>
      </c>
      <c r="F144" s="1213">
        <v>2.0000000000000002E-5</v>
      </c>
      <c r="G144" s="1214">
        <v>6.7000000000000002E-4</v>
      </c>
      <c r="H144" s="169" t="s">
        <v>441</v>
      </c>
      <c r="I144" s="1882" t="s">
        <v>1767</v>
      </c>
      <c r="J144" s="1882"/>
      <c r="K144" s="1882"/>
      <c r="L144" s="1882"/>
      <c r="M144" s="2077"/>
      <c r="Q144" s="455"/>
      <c r="R144" s="447"/>
    </row>
    <row r="145" spans="1:18" ht="15" customHeight="1">
      <c r="A145" s="1963"/>
      <c r="B145" s="169" t="s">
        <v>1793</v>
      </c>
      <c r="C145" s="169" t="s">
        <v>1712</v>
      </c>
      <c r="D145" s="835">
        <v>6.114E-2</v>
      </c>
      <c r="E145" s="1212">
        <v>6.0299999999999999E-2</v>
      </c>
      <c r="F145" s="1213">
        <v>2.0000000000000002E-5</v>
      </c>
      <c r="G145" s="1214">
        <v>8.1999999999999998E-4</v>
      </c>
      <c r="H145" s="169" t="s">
        <v>441</v>
      </c>
      <c r="I145" s="1882" t="s">
        <v>1767</v>
      </c>
      <c r="J145" s="1882"/>
      <c r="K145" s="1882"/>
      <c r="L145" s="1882"/>
      <c r="M145" s="2077"/>
      <c r="Q145" s="455"/>
      <c r="R145" s="447"/>
    </row>
    <row r="146" spans="1:18" ht="15" customHeight="1">
      <c r="A146" s="1963"/>
      <c r="B146" s="169" t="s">
        <v>1773</v>
      </c>
      <c r="C146" s="169" t="s">
        <v>1712</v>
      </c>
      <c r="D146" s="835">
        <v>5.1659999999999998E-2</v>
      </c>
      <c r="E146" s="1212">
        <v>5.0950000000000002E-2</v>
      </c>
      <c r="F146" s="1213">
        <v>2.0000000000000002E-5</v>
      </c>
      <c r="G146" s="1214">
        <v>6.8999999999999997E-4</v>
      </c>
      <c r="H146" s="169" t="s">
        <v>441</v>
      </c>
      <c r="I146" s="1882" t="s">
        <v>1767</v>
      </c>
      <c r="J146" s="1882"/>
      <c r="K146" s="1882"/>
      <c r="L146" s="1882"/>
      <c r="M146" s="2077"/>
      <c r="Q146" s="455"/>
      <c r="R146" s="447"/>
    </row>
    <row r="147" spans="1:18" ht="15" customHeight="1">
      <c r="A147" s="2031"/>
      <c r="B147" s="680" t="s">
        <v>1794</v>
      </c>
      <c r="C147" s="169" t="s">
        <v>1712</v>
      </c>
      <c r="D147" s="835">
        <v>0.37667</v>
      </c>
      <c r="E147" s="1212">
        <v>0.3715</v>
      </c>
      <c r="F147" s="1213">
        <v>1.1E-4</v>
      </c>
      <c r="G147" s="1214">
        <v>5.0600000000000003E-3</v>
      </c>
      <c r="H147" s="169" t="s">
        <v>441</v>
      </c>
      <c r="I147" s="1882" t="s">
        <v>1767</v>
      </c>
      <c r="J147" s="1882"/>
      <c r="K147" s="1882"/>
      <c r="L147" s="1882"/>
      <c r="M147" s="2077"/>
      <c r="Q147" s="455"/>
      <c r="R147" s="447"/>
    </row>
    <row r="148" spans="1:18">
      <c r="A148" s="495" t="s">
        <v>1795</v>
      </c>
      <c r="B148" s="169" t="s">
        <v>1796</v>
      </c>
      <c r="C148" s="169" t="s">
        <v>1712</v>
      </c>
      <c r="D148" s="835">
        <v>1.308E-2</v>
      </c>
      <c r="E148" s="1212">
        <v>1.29E-2</v>
      </c>
      <c r="F148" s="1213">
        <v>0</v>
      </c>
      <c r="G148" s="1214">
        <v>1.8000000000000001E-4</v>
      </c>
      <c r="H148" s="169" t="s">
        <v>441</v>
      </c>
      <c r="I148" s="1882" t="s">
        <v>1767</v>
      </c>
      <c r="J148" s="1882"/>
      <c r="K148" s="1882"/>
      <c r="L148" s="1882"/>
      <c r="M148" s="2077"/>
      <c r="Q148" s="455"/>
      <c r="R148" s="447"/>
    </row>
    <row r="150" spans="1:18">
      <c r="A150" s="1886" t="s">
        <v>1797</v>
      </c>
      <c r="B150" s="1887"/>
      <c r="C150" s="1887"/>
      <c r="D150" s="1887"/>
      <c r="E150" s="1887"/>
      <c r="F150" s="1887"/>
      <c r="G150" s="1887"/>
      <c r="H150" s="1887"/>
      <c r="I150" s="1888"/>
    </row>
    <row r="151" spans="1:18" ht="18">
      <c r="A151" s="1900" t="s">
        <v>69</v>
      </c>
      <c r="B151" s="1901"/>
      <c r="C151" s="492" t="s">
        <v>70</v>
      </c>
      <c r="D151" s="156" t="s">
        <v>71</v>
      </c>
      <c r="E151" s="492" t="s">
        <v>1709</v>
      </c>
      <c r="F151" s="492" t="s">
        <v>1710</v>
      </c>
      <c r="G151" s="492" t="s">
        <v>438</v>
      </c>
      <c r="H151" s="492" t="s">
        <v>75</v>
      </c>
      <c r="I151" s="498" t="s">
        <v>76</v>
      </c>
    </row>
    <row r="152" spans="1:18">
      <c r="A152" s="495" t="s">
        <v>1798</v>
      </c>
      <c r="B152" s="169" t="s">
        <v>1799</v>
      </c>
      <c r="C152" s="169" t="s">
        <v>1712</v>
      </c>
      <c r="D152" s="835">
        <v>2.7E-2</v>
      </c>
      <c r="E152" s="1215">
        <v>2.7E-2</v>
      </c>
      <c r="F152" s="836">
        <v>9.0000000000000006E-5</v>
      </c>
      <c r="G152" s="1216">
        <v>6.9999999999999994E-5</v>
      </c>
      <c r="H152" s="169"/>
      <c r="I152" s="137"/>
    </row>
    <row r="155" spans="1:18" s="611" customFormat="1" ht="33.75" customHeight="1">
      <c r="A155" s="610" t="s">
        <v>1800</v>
      </c>
    </row>
    <row r="157" spans="1:18" ht="31.5">
      <c r="A157" s="962" t="s">
        <v>1801</v>
      </c>
    </row>
    <row r="159" spans="1:18" ht="30">
      <c r="A159" s="1" t="s">
        <v>1734</v>
      </c>
      <c r="E159" t="s">
        <v>1026</v>
      </c>
    </row>
    <row r="160" spans="1:18" ht="15" customHeight="1">
      <c r="A160" s="2085"/>
      <c r="B160" s="2086"/>
      <c r="C160" s="2087"/>
      <c r="D160" s="2088" t="s">
        <v>1202</v>
      </c>
      <c r="E160" s="2089"/>
      <c r="F160" s="2089"/>
      <c r="G160" s="2090"/>
      <c r="H160" s="2088" t="s">
        <v>1719</v>
      </c>
      <c r="I160" s="2089"/>
      <c r="J160" s="2089"/>
      <c r="K160" s="2090"/>
      <c r="L160" s="2088" t="s">
        <v>1204</v>
      </c>
      <c r="M160" s="2089"/>
      <c r="N160" s="2089"/>
      <c r="O160" s="2090"/>
    </row>
    <row r="161" spans="1:15" ht="18" customHeight="1">
      <c r="A161" s="397" t="s">
        <v>69</v>
      </c>
      <c r="B161" s="397"/>
      <c r="C161" s="397" t="s">
        <v>70</v>
      </c>
      <c r="D161" s="397" t="s">
        <v>71</v>
      </c>
      <c r="E161" s="397" t="s">
        <v>1802</v>
      </c>
      <c r="F161" s="397" t="s">
        <v>1803</v>
      </c>
      <c r="G161" s="397" t="s">
        <v>1804</v>
      </c>
      <c r="H161" s="397" t="s">
        <v>1805</v>
      </c>
      <c r="I161" s="397" t="s">
        <v>1802</v>
      </c>
      <c r="J161" s="397" t="s">
        <v>1803</v>
      </c>
      <c r="K161" s="397" t="s">
        <v>1804</v>
      </c>
      <c r="L161" s="397" t="s">
        <v>1805</v>
      </c>
      <c r="M161" s="397" t="s">
        <v>1802</v>
      </c>
      <c r="N161" s="397" t="s">
        <v>1803</v>
      </c>
      <c r="O161" s="397" t="s">
        <v>1804</v>
      </c>
    </row>
    <row r="162" spans="1:15">
      <c r="A162" s="2091" t="s">
        <v>1735</v>
      </c>
      <c r="B162" s="169" t="s">
        <v>1736</v>
      </c>
      <c r="C162" s="169" t="s">
        <v>1211</v>
      </c>
      <c r="D162" s="659">
        <f>(C188*I206)/100</f>
        <v>0.44552164285599</v>
      </c>
      <c r="E162" s="660">
        <f>(C188*J206)/100</f>
        <v>0.43889678571314994</v>
      </c>
      <c r="F162" s="660">
        <f>(C188*K206)/100</f>
        <v>5.8629985714134009E-4</v>
      </c>
      <c r="G162" s="660">
        <f>(C188*L206)/100</f>
        <v>6.9892242856962007E-3</v>
      </c>
      <c r="H162" s="659">
        <f>(D188*I206)/100</f>
        <v>0.42276234195942003</v>
      </c>
      <c r="I162" s="660">
        <f>(D188*J206)/100</f>
        <v>0.41647591308270004</v>
      </c>
      <c r="J162" s="660">
        <f>(D188*K206)/100</f>
        <v>5.5634895558972E-4</v>
      </c>
      <c r="K162" s="660">
        <f>(D188*L206)/100</f>
        <v>6.6321824649396002E-3</v>
      </c>
      <c r="L162" s="659">
        <f>(E188*I206)/100</f>
        <v>0.42121662942786003</v>
      </c>
      <c r="M162" s="660">
        <f>(E188*J206)/100</f>
        <v>0.41495318512410001</v>
      </c>
      <c r="N162" s="666">
        <f>(E188*K206)/100</f>
        <v>5.5431482088275997E-4</v>
      </c>
      <c r="O162" s="666">
        <f>(E188*L206)/100</f>
        <v>6.6079337404668006E-3</v>
      </c>
    </row>
    <row r="163" spans="1:15">
      <c r="A163" s="2092"/>
      <c r="B163" s="169" t="s">
        <v>1737</v>
      </c>
      <c r="C163" s="169" t="s">
        <v>1211</v>
      </c>
      <c r="D163" s="659">
        <f>(C189*I206)/100</f>
        <v>0.51042269642933991</v>
      </c>
      <c r="E163" s="660">
        <f>(C189*J206)/100</f>
        <v>0.50283276785789999</v>
      </c>
      <c r="F163" s="660">
        <f>(C189*K206)/100</f>
        <v>6.7170867857243991E-4</v>
      </c>
      <c r="G163" s="660">
        <f>(C189*L206)/100</f>
        <v>8.0073746428692E-3</v>
      </c>
      <c r="H163" s="659">
        <f>(D189*I206)/100</f>
        <v>0.48434795029859001</v>
      </c>
      <c r="I163" s="660">
        <f>(D189*J206)/100</f>
        <v>0.47714575029415002</v>
      </c>
      <c r="J163" s="660">
        <f>(D189*K206)/100</f>
        <v>6.3739470039294005E-4</v>
      </c>
      <c r="K163" s="660">
        <f>(D189*L206)/100</f>
        <v>7.5983210046842008E-3</v>
      </c>
      <c r="L163" s="659">
        <f>(E189*I206)/100</f>
        <v>0.47706049696657005</v>
      </c>
      <c r="M163" s="660">
        <f>(E189*J206)/100</f>
        <v>0.46996666058045</v>
      </c>
      <c r="N163" s="666">
        <f>(E189*K206)/100</f>
        <v>6.2780452017162011E-4</v>
      </c>
      <c r="O163" s="666">
        <f>(E189*L206)/100</f>
        <v>7.4839973873566E-3</v>
      </c>
    </row>
    <row r="164" spans="1:15">
      <c r="A164" s="2092"/>
      <c r="B164" s="169" t="s">
        <v>1738</v>
      </c>
      <c r="C164" s="169" t="s">
        <v>1211</v>
      </c>
      <c r="D164" s="659">
        <f>(C190*I206)/100</f>
        <v>0.62407039285598997</v>
      </c>
      <c r="E164" s="660">
        <f>(C190*J206)/100</f>
        <v>0.6147905357131499</v>
      </c>
      <c r="F164" s="660">
        <f>(C190*K206)/100</f>
        <v>8.2126735714133992E-4</v>
      </c>
      <c r="G164" s="660">
        <f>(C190*L206)/100</f>
        <v>9.7902492856962002E-3</v>
      </c>
      <c r="H164" s="659">
        <f>(D190*I206)/100</f>
        <v>0.59218999808837991</v>
      </c>
      <c r="I164" s="660">
        <f>(D190*J206)/100</f>
        <v>0.58338419886029991</v>
      </c>
      <c r="J164" s="660">
        <f>(D190*K206)/100</f>
        <v>7.7931323168507999E-4</v>
      </c>
      <c r="K164" s="660">
        <f>(D190*L206)/100</f>
        <v>9.2901181856243995E-3</v>
      </c>
      <c r="L164" s="659">
        <f>(E190*I206)/100</f>
        <v>0.58327996352992995</v>
      </c>
      <c r="M164" s="660">
        <f>(E190*J206)/100</f>
        <v>0.57460665552205004</v>
      </c>
      <c r="N164" s="666">
        <f>(E190*K206)/100</f>
        <v>7.6758775869738001E-4</v>
      </c>
      <c r="O164" s="666">
        <f>(E190*L206)/100</f>
        <v>9.1503399483134004E-3</v>
      </c>
    </row>
    <row r="165" spans="1:15">
      <c r="A165" s="2092"/>
      <c r="B165" s="169" t="s">
        <v>1739</v>
      </c>
      <c r="C165" s="169" t="s">
        <v>1211</v>
      </c>
      <c r="D165" s="659">
        <f>(C191*I206)/100</f>
        <v>0.73998537499999995</v>
      </c>
      <c r="E165" s="660">
        <f>(C191*J206)/100</f>
        <v>0.72898187499999989</v>
      </c>
      <c r="F165" s="660">
        <f>(C191*K206)/100</f>
        <v>9.7380975000000011E-4</v>
      </c>
      <c r="G165" s="660">
        <f>(C191*L206)/100</f>
        <v>1.16086925E-2</v>
      </c>
      <c r="H165" s="659">
        <f>(D191*I206)/100</f>
        <v>0.70218350817944997</v>
      </c>
      <c r="I165" s="660">
        <f>(D191*J206)/100</f>
        <v>0.69174211772324989</v>
      </c>
      <c r="J165" s="660">
        <f>(D191*K206)/100</f>
        <v>9.2406305537370002E-4</v>
      </c>
      <c r="K165" s="660">
        <f>(D191*L206)/100</f>
        <v>1.1015666931291E-2</v>
      </c>
      <c r="L165" s="659">
        <f>(E191*I206)/100</f>
        <v>0.69161852169853011</v>
      </c>
      <c r="M165" s="660">
        <f>(E191*J206)/100</f>
        <v>0.68133423141305005</v>
      </c>
      <c r="N165" s="666">
        <f>(E191*K206)/100</f>
        <v>9.1015969026497995E-4</v>
      </c>
      <c r="O165" s="666">
        <f>(E191*L206)/100</f>
        <v>1.0849926251181401E-2</v>
      </c>
    </row>
    <row r="166" spans="1:15">
      <c r="A166" s="2092"/>
      <c r="B166" s="169" t="s">
        <v>1740</v>
      </c>
      <c r="C166" s="169" t="s">
        <v>1211</v>
      </c>
      <c r="D166" s="659">
        <f>(C192*I206)/100</f>
        <v>0.84087958928533002</v>
      </c>
      <c r="E166" s="660">
        <f>(C192*J206)/100</f>
        <v>0.82837580357105001</v>
      </c>
      <c r="F166" s="660">
        <f>(C192*K206)/100</f>
        <v>1.10658503571378E-3</v>
      </c>
      <c r="G166" s="660">
        <f>(C192*L206)/100</f>
        <v>1.3191493928565398E-2</v>
      </c>
      <c r="H166" s="659">
        <f>(D192*I206)/100</f>
        <v>0.79792358052991996</v>
      </c>
      <c r="I166" s="660">
        <f>(D192*J206)/100</f>
        <v>0.78605854587519997</v>
      </c>
      <c r="J166" s="660">
        <f>(D192*K206)/100</f>
        <v>1.05005556694272E-3</v>
      </c>
      <c r="K166" s="660">
        <f>(D192*L206)/100</f>
        <v>1.25176115607296E-2</v>
      </c>
      <c r="L166" s="659">
        <f>(E192*I206)/100</f>
        <v>0.78591809799989998</v>
      </c>
      <c r="M166" s="660">
        <f>(E192*J206)/100</f>
        <v>0.77423158353150001</v>
      </c>
      <c r="N166" s="666">
        <f>(E192*K206)/100</f>
        <v>1.0342565304534001E-3</v>
      </c>
      <c r="O166" s="666">
        <f>(E192*L206)/100</f>
        <v>1.2329272764162E-2</v>
      </c>
    </row>
    <row r="167" spans="1:15">
      <c r="A167" s="2092"/>
      <c r="B167" s="169" t="s">
        <v>1741</v>
      </c>
      <c r="C167" s="169" t="s">
        <v>1211</v>
      </c>
      <c r="D167" s="659">
        <f>(C193*I206)/100</f>
        <v>0.98218625000000004</v>
      </c>
      <c r="E167" s="660">
        <f>(C193*J206)/100</f>
        <v>0.96758125000000006</v>
      </c>
      <c r="F167" s="660">
        <f>(C193*K206)/100</f>
        <v>1.2925425000000002E-3</v>
      </c>
      <c r="G167" s="660">
        <f>(C193*L206)/100</f>
        <v>1.5408275000000003E-2</v>
      </c>
      <c r="H167" s="659">
        <f>(D193*I206)/100</f>
        <v>0.95724726000000004</v>
      </c>
      <c r="I167" s="660">
        <f>(D193*J206)/100</f>
        <v>0.94301310000000005</v>
      </c>
      <c r="J167" s="660">
        <f>(D193*K206)/100</f>
        <v>1.2597231599999999E-3</v>
      </c>
      <c r="K167" s="660">
        <f>(D193*L206)/100</f>
        <v>1.50170388E-2</v>
      </c>
      <c r="L167" s="659">
        <f>(E193*I206)/100</f>
        <v>0.95497132014376007</v>
      </c>
      <c r="M167" s="660">
        <f>(E193*J206)/100</f>
        <v>0.94077100311560002</v>
      </c>
      <c r="N167" s="666">
        <f>(E193*K206)/100</f>
        <v>1.2567280569921603E-3</v>
      </c>
      <c r="O167" s="666">
        <f>(E193*L206)/100</f>
        <v>1.4981334464708802E-2</v>
      </c>
    </row>
    <row r="168" spans="1:15">
      <c r="A168" s="2092"/>
      <c r="B168" s="169" t="s">
        <v>1742</v>
      </c>
      <c r="C168" s="169" t="s">
        <v>1211</v>
      </c>
      <c r="D168" s="659">
        <f>(C194*I206)/100</f>
        <v>1.30755616071467</v>
      </c>
      <c r="E168" s="660">
        <f>(C194*J206)/100</f>
        <v>1.28811294642895</v>
      </c>
      <c r="F168" s="660">
        <f>(C194*K206)/100</f>
        <v>1.7207244642862202E-3</v>
      </c>
      <c r="G168" s="660">
        <f>(C194*L206)/100</f>
        <v>2.0512591071434601E-2</v>
      </c>
      <c r="H168" s="659">
        <f>(D194*I206)/100</f>
        <v>1.2743556042853299</v>
      </c>
      <c r="I168" s="660">
        <f>(D194*J206)/100</f>
        <v>1.2554060785710499</v>
      </c>
      <c r="J168" s="660">
        <f>(D194*K206)/100</f>
        <v>1.6770330257137799E-3</v>
      </c>
      <c r="K168" s="660">
        <f>(D194*L206)/100</f>
        <v>1.9991749628565401E-2</v>
      </c>
      <c r="L168" s="659">
        <f>(E194*I206)/100</f>
        <v>1.2713257113501399</v>
      </c>
      <c r="M168" s="660">
        <f>(E194*J206)/100</f>
        <v>1.2524212398059</v>
      </c>
      <c r="N168" s="666">
        <f>(E194*K206)/100</f>
        <v>1.6730457316652401E-3</v>
      </c>
      <c r="O168" s="666">
        <f>(E194*L206)/100</f>
        <v>1.9944217479173201E-2</v>
      </c>
    </row>
    <row r="169" spans="1:15">
      <c r="A169" s="2092"/>
      <c r="B169" s="169" t="s">
        <v>1743</v>
      </c>
      <c r="C169" s="169" t="s">
        <v>1211</v>
      </c>
      <c r="D169" s="659">
        <f>(C195*I206)/100</f>
        <v>1.4600215178559899</v>
      </c>
      <c r="E169" s="660">
        <f>(C195*J206)/100</f>
        <v>1.43831116071315</v>
      </c>
      <c r="F169" s="660">
        <f>(C195*K206)/100</f>
        <v>1.9213666071413399E-3</v>
      </c>
      <c r="G169" s="660">
        <f>(C195*L206)/100</f>
        <v>2.2904426785696201E-2</v>
      </c>
      <c r="H169" s="659">
        <f>(D195*I206)/100</f>
        <v>1.4229496671440101</v>
      </c>
      <c r="I169" s="660">
        <f>(D195*J206)/100</f>
        <v>1.4017905642868498</v>
      </c>
      <c r="J169" s="660">
        <f>(D195*K206)/100</f>
        <v>1.8725806028586601E-3</v>
      </c>
      <c r="K169" s="660">
        <f>(D195*L206)/100</f>
        <v>2.2322853514303801E-2</v>
      </c>
      <c r="L169" s="659">
        <f>(E195*I206)/100</f>
        <v>1.4195664787063997</v>
      </c>
      <c r="M169" s="660">
        <f>(E195*J206)/100</f>
        <v>1.3984576834839999</v>
      </c>
      <c r="N169" s="666">
        <f>(E195*K206)/100</f>
        <v>1.8681283771824E-3</v>
      </c>
      <c r="O169" s="666">
        <f>(E195*L206)/100</f>
        <v>2.2269778959631999E-2</v>
      </c>
    </row>
    <row r="170" spans="1:15">
      <c r="A170" s="2093"/>
      <c r="B170" s="169" t="s">
        <v>1744</v>
      </c>
      <c r="C170" s="169" t="s">
        <v>1211</v>
      </c>
      <c r="D170" s="659">
        <f>(C196*I206)/100</f>
        <v>1.5381876339293399</v>
      </c>
      <c r="E170" s="660">
        <f>(C196*J206)/100</f>
        <v>1.5153149553579</v>
      </c>
      <c r="F170" s="660">
        <f>(C196*K206)/100</f>
        <v>2.0242320535724403E-3</v>
      </c>
      <c r="G170" s="660">
        <f>(C196*L206)/100</f>
        <v>2.4130675892869199E-2</v>
      </c>
      <c r="H170" s="659">
        <f>(D196*I206)/100</f>
        <v>1.4991310435706597</v>
      </c>
      <c r="I170" s="660">
        <f>(D196*J206)/100</f>
        <v>1.4768391321420997</v>
      </c>
      <c r="J170" s="660">
        <f>(D196*K206)/100</f>
        <v>1.9728341614275598E-3</v>
      </c>
      <c r="K170" s="660">
        <f>(D196*L206)/100</f>
        <v>2.3517966557130801E-2</v>
      </c>
      <c r="L170" s="659">
        <f>(E196*I206)/100</f>
        <v>1.49556672718684</v>
      </c>
      <c r="M170" s="660">
        <f>(E196*J206)/100</f>
        <v>1.4733278167454</v>
      </c>
      <c r="N170" s="666">
        <f>(E196*K206)/100</f>
        <v>1.9681435740674402E-3</v>
      </c>
      <c r="O170" s="666">
        <f>(E196*L206)/100</f>
        <v>2.3462050515719205E-2</v>
      </c>
    </row>
    <row r="171" spans="1:15">
      <c r="A171" s="2091" t="s">
        <v>1745</v>
      </c>
      <c r="B171" s="169" t="s">
        <v>1736</v>
      </c>
      <c r="C171" s="169" t="s">
        <v>1211</v>
      </c>
      <c r="D171" s="659">
        <f>(C197*I206)/100</f>
        <v>0.35907714498844995</v>
      </c>
      <c r="E171" s="660">
        <f>(C197*J206)/100</f>
        <v>0.35373770788824999</v>
      </c>
      <c r="F171" s="666">
        <f>(C197*K206)/100</f>
        <v>4.7254018336770001E-4</v>
      </c>
      <c r="G171" s="660">
        <f>(C197*L206)/100</f>
        <v>5.6331061407110007E-3</v>
      </c>
      <c r="H171" s="659">
        <f>(D197*I206)/100</f>
        <v>0.34033824687412995</v>
      </c>
      <c r="I171" s="660">
        <f>(D197*J206)/100</f>
        <v>0.33527745509904994</v>
      </c>
      <c r="J171" s="666">
        <f>(D197*K206)/100</f>
        <v>4.4788007209458004E-4</v>
      </c>
      <c r="K171" s="666">
        <f>(D197*L206)/100</f>
        <v>5.3391353227093992E-3</v>
      </c>
      <c r="L171" s="659">
        <f>(E197*I206)/100</f>
        <v>0.33204021708591003</v>
      </c>
      <c r="M171" s="660">
        <f>(E197*J206)/100</f>
        <v>0.32710281608835001</v>
      </c>
      <c r="N171" s="666">
        <f>(E197*K206)/100</f>
        <v>4.3695998828406006E-4</v>
      </c>
      <c r="O171" s="666">
        <f>(E197*L206)/100</f>
        <v>5.2089580524258003E-3</v>
      </c>
    </row>
    <row r="172" spans="1:15">
      <c r="A172" s="2092"/>
      <c r="B172" s="169" t="s">
        <v>1737</v>
      </c>
      <c r="C172" s="169" t="s">
        <v>1211</v>
      </c>
      <c r="D172" s="659">
        <f>(C198*I206)/100</f>
        <v>0.41138545682172001</v>
      </c>
      <c r="E172" s="660">
        <f>(C198*J206)/100</f>
        <v>0.40526820095819999</v>
      </c>
      <c r="F172" s="666">
        <f>(C198*K206)/100</f>
        <v>5.4137714392152E-4</v>
      </c>
      <c r="G172" s="660">
        <f>(C198*L206)/100</f>
        <v>6.4537049360136002E-3</v>
      </c>
      <c r="H172" s="659">
        <f>(D198*I206)/100</f>
        <v>0.38991678283948</v>
      </c>
      <c r="I172" s="660">
        <f>(D198*J206)/100</f>
        <v>0.3841187637638</v>
      </c>
      <c r="J172" s="666">
        <f>(D198*K206)/100</f>
        <v>5.1312468819768005E-4</v>
      </c>
      <c r="K172" s="666">
        <f>(D198*L206)/100</f>
        <v>6.1169101248424E-3</v>
      </c>
      <c r="L172" s="659">
        <f>(E198*I206)/100</f>
        <v>0.38040994336387002</v>
      </c>
      <c r="M172" s="660">
        <f>(E198*J206)/100</f>
        <v>0.37475328993094997</v>
      </c>
      <c r="N172" s="666">
        <f>(E198*K206)/100</f>
        <v>5.0061382881342003E-4</v>
      </c>
      <c r="O172" s="666">
        <f>(E198*L206)/100</f>
        <v>5.9677693717305998E-3</v>
      </c>
    </row>
    <row r="173" spans="1:15">
      <c r="A173" s="2092"/>
      <c r="B173" s="169" t="s">
        <v>1738</v>
      </c>
      <c r="C173" s="169" t="s">
        <v>1211</v>
      </c>
      <c r="D173" s="659">
        <f>(C199*I206)/100</f>
        <v>0.50298210767578</v>
      </c>
      <c r="E173" s="660">
        <f>(C199*J206)/100</f>
        <v>0.49550281982929995</v>
      </c>
      <c r="F173" s="666">
        <f>(C199*K206)/100</f>
        <v>6.6191697441348005E-4</v>
      </c>
      <c r="G173" s="660">
        <f>(C199*L206)/100</f>
        <v>7.8906486780363997E-3</v>
      </c>
      <c r="H173" s="659">
        <f>(D199*I206)/100</f>
        <v>0.47673334581356003</v>
      </c>
      <c r="I173" s="660">
        <f>(D199*J206)/100</f>
        <v>0.4696443741286</v>
      </c>
      <c r="J173" s="666">
        <f>(D199*K206)/100</f>
        <v>6.2737399411895997E-4</v>
      </c>
      <c r="K173" s="666">
        <f>(D199*L206)/100</f>
        <v>7.4788651276328014E-3</v>
      </c>
      <c r="L173" s="659">
        <f>(E199*I206)/100</f>
        <v>0.46510976973356</v>
      </c>
      <c r="M173" s="660">
        <f>(E199*J206)/100</f>
        <v>0.45819363932860002</v>
      </c>
      <c r="N173" s="666">
        <f>(E199*K206)/100</f>
        <v>6.1207754083896003E-4</v>
      </c>
      <c r="O173" s="666">
        <f>(E199*L206)/100</f>
        <v>7.2965175772328004E-3</v>
      </c>
    </row>
    <row r="174" spans="1:15">
      <c r="A174" s="2092"/>
      <c r="B174" s="169" t="s">
        <v>1739</v>
      </c>
      <c r="C174" s="169" t="s">
        <v>1211</v>
      </c>
      <c r="D174" s="659">
        <f>(C200*I206)/100</f>
        <v>0.59640612313477004</v>
      </c>
      <c r="E174" s="660">
        <f>(C200*J206)/100</f>
        <v>0.58753763059745001</v>
      </c>
      <c r="F174" s="666">
        <f>(C200*K206)/100</f>
        <v>7.8486158955282006E-4</v>
      </c>
      <c r="G174" s="660">
        <f>(C200*L206)/100</f>
        <v>9.3562596268726012E-3</v>
      </c>
      <c r="H174" s="659">
        <f>(D200*I206)/100</f>
        <v>0.56528191004385997</v>
      </c>
      <c r="I174" s="660">
        <f>(D200*J206)/100</f>
        <v>0.5568762310841</v>
      </c>
      <c r="J174" s="666">
        <f>(D200*K206)/100</f>
        <v>7.4390258793876002E-4</v>
      </c>
      <c r="K174" s="666">
        <f>(D200*L206)/100</f>
        <v>8.8679913025468005E-3</v>
      </c>
      <c r="L174" s="659">
        <f>(E200*I206)/100</f>
        <v>0.55149936819809997</v>
      </c>
      <c r="M174" s="660">
        <f>(E200*J206)/100</f>
        <v>0.54329863409849999</v>
      </c>
      <c r="N174" s="666">
        <f>(E200*K206)/100</f>
        <v>7.257649678146E-4</v>
      </c>
      <c r="O174" s="666">
        <f>(E200*L206)/100</f>
        <v>8.6517744750780005E-3</v>
      </c>
    </row>
    <row r="175" spans="1:15">
      <c r="A175" s="2092"/>
      <c r="B175" s="169" t="s">
        <v>1740</v>
      </c>
      <c r="C175" s="169" t="s">
        <v>1211</v>
      </c>
      <c r="D175" s="659">
        <f>(C201*I206)/100</f>
        <v>0.67772384807970998</v>
      </c>
      <c r="E175" s="660">
        <f>(C201*J206)/100</f>
        <v>0.66764617004134985</v>
      </c>
      <c r="F175" s="666">
        <f>(C201*K206)/100</f>
        <v>8.9187450639486004E-4</v>
      </c>
      <c r="G175" s="660">
        <f>(C201*L206)/100</f>
        <v>1.0631950330469798E-2</v>
      </c>
      <c r="H175" s="659">
        <f>(D201*I206)/100</f>
        <v>0.64235596595372002</v>
      </c>
      <c r="I175" s="660">
        <f>(D201*J206)/100</f>
        <v>0.63280420437819995</v>
      </c>
      <c r="J175" s="666">
        <f>(D201*K206)/100</f>
        <v>8.4533089943352E-4</v>
      </c>
      <c r="K175" s="666">
        <f>(D201*L206)/100</f>
        <v>1.0077108462173601E-2</v>
      </c>
      <c r="L175" s="659">
        <f>(E201*I206)/100</f>
        <v>0.6266942265198</v>
      </c>
      <c r="M175" s="660">
        <f>(E201*J206)/100</f>
        <v>0.61737535326300008</v>
      </c>
      <c r="N175" s="666">
        <f>(E201*K206)/100</f>
        <v>8.2472028322680012E-4</v>
      </c>
      <c r="O175" s="666">
        <f>(E201*L206)/100</f>
        <v>9.8314112859240015E-3</v>
      </c>
    </row>
    <row r="176" spans="1:15">
      <c r="A176" s="2092"/>
      <c r="B176" s="169" t="s">
        <v>1741</v>
      </c>
      <c r="C176" s="169" t="s">
        <v>1211</v>
      </c>
      <c r="D176" s="659">
        <f>(C202*I206)/100</f>
        <v>0.89275269137707991</v>
      </c>
      <c r="E176" s="660">
        <f>(C202*J206)/100</f>
        <v>0.8794775584197998</v>
      </c>
      <c r="F176" s="666">
        <f>(C202*K206)/100</f>
        <v>1.1748492667192801E-3</v>
      </c>
      <c r="G176" s="660">
        <f>(C202*L206)/100</f>
        <v>1.40052652699304E-2</v>
      </c>
      <c r="H176" s="659">
        <f>(D202*I206)/100</f>
        <v>0.87008453608406999</v>
      </c>
      <c r="I176" s="660">
        <f>(D202*J206)/100</f>
        <v>0.85714647606795002</v>
      </c>
      <c r="J176" s="666">
        <f>(D202*K206)/100</f>
        <v>1.14501831142662E-3</v>
      </c>
      <c r="K176" s="666">
        <f>(D202*L206)/100</f>
        <v>1.3649653317006601E-2</v>
      </c>
      <c r="L176" s="659">
        <f>(E202*I206)/100</f>
        <v>0.86801583329790011</v>
      </c>
      <c r="M176" s="660">
        <f>(E202*J206)/100</f>
        <v>0.85510853466149994</v>
      </c>
      <c r="N176" s="666">
        <f>(E202*K206)/100</f>
        <v>1.1422959293214E-3</v>
      </c>
      <c r="O176" s="666">
        <f>(E202*L206)/100</f>
        <v>1.3617200061402001E-2</v>
      </c>
    </row>
    <row r="177" spans="1:15">
      <c r="A177" s="2092"/>
      <c r="B177" s="169" t="s">
        <v>1742</v>
      </c>
      <c r="C177" s="169" t="s">
        <v>1211</v>
      </c>
      <c r="D177" s="659">
        <f>(C203*I206)/100</f>
        <v>1.18849584954442</v>
      </c>
      <c r="E177" s="660">
        <f>(C203*J206)/100</f>
        <v>1.1708230488077001</v>
      </c>
      <c r="F177" s="666">
        <f>(C203*K206)/100</f>
        <v>1.5640428651997201E-3</v>
      </c>
      <c r="G177" s="660">
        <f>(C203*L206)/100</f>
        <v>1.86448047772396E-2</v>
      </c>
      <c r="H177" s="659">
        <f>(D203*I206)/100</f>
        <v>1.15831838971416</v>
      </c>
      <c r="I177" s="660">
        <f>(D203*J206)/100</f>
        <v>1.1410943244395999</v>
      </c>
      <c r="J177" s="666">
        <f>(D203*K206)/100</f>
        <v>1.52432977679856E-3</v>
      </c>
      <c r="K177" s="666">
        <f>(D203*L206)/100</f>
        <v>1.8171388864660801E-2</v>
      </c>
      <c r="L177" s="659">
        <f>(E203*I206)/100</f>
        <v>1.1555643854977498</v>
      </c>
      <c r="M177" s="660">
        <f>(E203*J206)/100</f>
        <v>1.1383812719587498</v>
      </c>
      <c r="N177" s="666">
        <f>(E203*K206)/100</f>
        <v>1.5207055482015001E-3</v>
      </c>
      <c r="O177" s="666">
        <f>(E203*L206)/100</f>
        <v>1.8128184783644998E-2</v>
      </c>
    </row>
    <row r="178" spans="1:15">
      <c r="A178" s="2092"/>
      <c r="B178" s="169" t="s">
        <v>1743</v>
      </c>
      <c r="C178" s="169" t="s">
        <v>1211</v>
      </c>
      <c r="D178" s="659">
        <f>(C204*I206)/100</f>
        <v>1.3723576097077699</v>
      </c>
      <c r="E178" s="660">
        <f>(C204*J206)/100</f>
        <v>1.35195080510245</v>
      </c>
      <c r="F178" s="666">
        <f>(C204*K206)/100</f>
        <v>1.80600220757082E-3</v>
      </c>
      <c r="G178" s="660">
        <f>(C204*L206)/100</f>
        <v>2.1529178858612597E-2</v>
      </c>
      <c r="H178" s="659">
        <f>(D204*I206)/100</f>
        <v>1.3375116599669901</v>
      </c>
      <c r="I178" s="660">
        <f>(D204*J206)/100</f>
        <v>1.3176230107481501</v>
      </c>
      <c r="J178" s="666">
        <f>(D204*K206)/100</f>
        <v>1.7601454558673403E-3</v>
      </c>
      <c r="K178" s="666">
        <f>(D204*L206)/100</f>
        <v>2.0982524925876201E-2</v>
      </c>
      <c r="L178" s="659">
        <f>(E204*I206)/100</f>
        <v>1.33433160793117</v>
      </c>
      <c r="M178" s="660">
        <f>(E204*J206)/100</f>
        <v>1.31449024573145</v>
      </c>
      <c r="N178" s="666">
        <f>(E204*K206)/100</f>
        <v>1.7559605546752202E-3</v>
      </c>
      <c r="O178" s="666">
        <f>(E204*L206)/100</f>
        <v>2.0932637120704603E-2</v>
      </c>
    </row>
    <row r="179" spans="1:15">
      <c r="A179" s="2093"/>
      <c r="B179" s="169" t="s">
        <v>1744</v>
      </c>
      <c r="C179" s="169" t="s">
        <v>1211</v>
      </c>
      <c r="D179" s="659">
        <f>(C205*I206)/100</f>
        <v>1.4458304064442999</v>
      </c>
      <c r="E179" s="660">
        <f>(C205*J206)/100</f>
        <v>1.4243310695455</v>
      </c>
      <c r="F179" s="666">
        <f>(C205*K206)/100</f>
        <v>1.9026913155438E-3</v>
      </c>
      <c r="G179" s="660">
        <f>(C205*L206)/100</f>
        <v>2.2681800428233999E-2</v>
      </c>
      <c r="H179" s="659">
        <f>(D205*I206)/100</f>
        <v>1.40911888655852</v>
      </c>
      <c r="I179" s="660">
        <f>(D205*J206)/100</f>
        <v>1.3881654458662001</v>
      </c>
      <c r="J179" s="666">
        <f>(D205*K206)/100</f>
        <v>1.8543795012703201E-3</v>
      </c>
      <c r="K179" s="666">
        <f>(D205*L206)/100</f>
        <v>2.2105879930397601E-2</v>
      </c>
      <c r="L179" s="659">
        <f>(E205*I206)/100</f>
        <v>1.40576858202322</v>
      </c>
      <c r="M179" s="660">
        <f>(E205*J206)/100</f>
        <v>1.3848649599857001</v>
      </c>
      <c r="N179" s="666">
        <f>(E205*K206)/100</f>
        <v>1.8499705503205203E-3</v>
      </c>
      <c r="O179" s="666">
        <f>(E205*L206)/100</f>
        <v>2.2053321249583601E-2</v>
      </c>
    </row>
    <row r="180" spans="1:15">
      <c r="A180" s="2091" t="s">
        <v>1746</v>
      </c>
      <c r="B180" s="169" t="s">
        <v>1736</v>
      </c>
      <c r="C180" s="169" t="s">
        <v>1211</v>
      </c>
      <c r="D180" s="661" t="s">
        <v>48</v>
      </c>
      <c r="E180" s="661" t="s">
        <v>48</v>
      </c>
      <c r="F180" s="661" t="s">
        <v>48</v>
      </c>
      <c r="G180" s="661" t="s">
        <v>48</v>
      </c>
      <c r="H180" s="659">
        <f>(D215*G217)/100</f>
        <v>4.5007423561774999E-2</v>
      </c>
      <c r="I180" s="660">
        <f>(D215*H217)/100</f>
        <v>4.3225109465438283E-2</v>
      </c>
      <c r="J180" s="660">
        <f>(D215*I217)/100</f>
        <v>1.7205553626571119E-3</v>
      </c>
      <c r="K180" s="666">
        <f>(D215*J217)/100</f>
        <v>6.1758733679591338E-5</v>
      </c>
      <c r="L180" s="659">
        <f>(E215*G217)/100</f>
        <v>4.4026561579084536E-2</v>
      </c>
      <c r="M180" s="660">
        <f>(E215*H217)/100</f>
        <v>4.2283090055816028E-2</v>
      </c>
      <c r="N180" s="660">
        <f>(E215*I217)/100</f>
        <v>1.6830587185306556E-3</v>
      </c>
      <c r="O180" s="666">
        <f>(E215*J217)/100</f>
        <v>6.0412804737840842E-5</v>
      </c>
    </row>
    <row r="181" spans="1:15">
      <c r="A181" s="2092"/>
      <c r="B181" s="169" t="s">
        <v>1737</v>
      </c>
      <c r="C181" s="169" t="s">
        <v>1211</v>
      </c>
      <c r="D181" s="661" t="s">
        <v>48</v>
      </c>
      <c r="E181" s="661" t="s">
        <v>48</v>
      </c>
      <c r="F181" s="661" t="s">
        <v>48</v>
      </c>
      <c r="G181" s="661" t="s">
        <v>48</v>
      </c>
      <c r="H181" s="659">
        <f>(D216*G217)/100</f>
        <v>5.1563848495327844E-2</v>
      </c>
      <c r="I181" s="660">
        <f>(D216*H217)/100</f>
        <v>4.9521897040176191E-2</v>
      </c>
      <c r="J181" s="660">
        <f>(D216*I217)/100</f>
        <v>1.971196061158767E-3</v>
      </c>
      <c r="K181" s="666">
        <f>(D216*J217)/100</f>
        <v>7.0755393992878398E-5</v>
      </c>
      <c r="L181" s="659">
        <f>(E216*G217)/100</f>
        <v>5.044010012964837E-2</v>
      </c>
      <c r="M181" s="660">
        <f>(E216*H217)/100</f>
        <v>4.8442649612217288E-2</v>
      </c>
      <c r="N181" s="660">
        <f>(E216*I217)/100</f>
        <v>1.9282371196367493E-3</v>
      </c>
      <c r="O181" s="666">
        <f>(E216*J217)/100</f>
        <v>6.9213397794326453E-5</v>
      </c>
    </row>
    <row r="182" spans="1:15">
      <c r="A182" s="2092"/>
      <c r="B182" s="169" t="s">
        <v>1738</v>
      </c>
      <c r="C182" s="169" t="s">
        <v>1211</v>
      </c>
      <c r="D182" s="661" t="s">
        <v>48</v>
      </c>
      <c r="E182" s="661" t="s">
        <v>48</v>
      </c>
      <c r="F182" s="661" t="s">
        <v>48</v>
      </c>
      <c r="G182" s="661" t="s">
        <v>48</v>
      </c>
      <c r="H182" s="659">
        <f>(D217*G217)/100</f>
        <v>6.3044749798369645E-2</v>
      </c>
      <c r="I182" s="660">
        <f>(D217*H217)/100</f>
        <v>6.0548149518386322E-2</v>
      </c>
      <c r="J182" s="660">
        <f>(D217*I217)/100</f>
        <v>2.4100909087603601E-3</v>
      </c>
      <c r="K182" s="666">
        <f>(D217*J217)/100</f>
        <v>8.6509371222946461E-5</v>
      </c>
      <c r="L182" s="659">
        <f>(E217*G217)/100</f>
        <v>6.1670794272894548E-2</v>
      </c>
      <c r="M182" s="660">
        <f>(E217*H217)/100</f>
        <v>5.9228603246029944E-2</v>
      </c>
      <c r="N182" s="660">
        <f>(E217*I217)/100</f>
        <v>2.3575669835869078E-3</v>
      </c>
      <c r="O182" s="666">
        <f>(E217*J217)/100</f>
        <v>8.4624043277680872E-5</v>
      </c>
    </row>
    <row r="183" spans="1:15">
      <c r="A183" s="2092"/>
      <c r="B183" s="169" t="s">
        <v>1739</v>
      </c>
      <c r="C183" s="169" t="s">
        <v>1211</v>
      </c>
      <c r="D183" s="661" t="s">
        <v>48</v>
      </c>
      <c r="E183" s="661" t="s">
        <v>48</v>
      </c>
      <c r="F183" s="661" t="s">
        <v>48</v>
      </c>
      <c r="G183" s="661" t="s">
        <v>48</v>
      </c>
      <c r="H183" s="659">
        <f>(D218*G217)/100</f>
        <v>7.4754696513806659E-2</v>
      </c>
      <c r="I183" s="660">
        <f>(D218*H217)/100</f>
        <v>7.1794377108252233E-2</v>
      </c>
      <c r="J183" s="660">
        <f>(D218*I217)/100</f>
        <v>2.8577417632915146E-3</v>
      </c>
      <c r="K183" s="666">
        <f>(D218*J217)/100</f>
        <v>1.025776422629064E-4</v>
      </c>
      <c r="L183" s="659">
        <f>(E218*G217)/100</f>
        <v>8.3095933972629613E-2</v>
      </c>
      <c r="M183" s="660">
        <f>(E218*H217)/100</f>
        <v>7.9805297834251179E-2</v>
      </c>
      <c r="N183" s="660">
        <f>(E218*I217)/100</f>
        <v>3.17661273401651E-3</v>
      </c>
      <c r="O183" s="666">
        <f>(E218*J217)/100</f>
        <v>1.140234043619214E-4</v>
      </c>
    </row>
    <row r="184" spans="1:15">
      <c r="A184" s="2092"/>
      <c r="B184" s="169" t="s">
        <v>1740</v>
      </c>
      <c r="C184" s="169" t="s">
        <v>1211</v>
      </c>
      <c r="D184" s="661" t="s">
        <v>48</v>
      </c>
      <c r="E184" s="661" t="s">
        <v>48</v>
      </c>
      <c r="F184" s="661" t="s">
        <v>48</v>
      </c>
      <c r="G184" s="661" t="s">
        <v>48</v>
      </c>
      <c r="H184" s="659">
        <f>(D219*G217)/100</f>
        <v>8.4947217371326697E-2</v>
      </c>
      <c r="I184" s="660">
        <f>(D219*H217)/100</f>
        <v>8.1583269582631651E-2</v>
      </c>
      <c r="J184" s="660">
        <f>(D219*I217)/100</f>
        <v>3.2473840718837944E-3</v>
      </c>
      <c r="K184" s="666">
        <f>(D219*J217)/100</f>
        <v>1.1656371681123664E-4</v>
      </c>
      <c r="L184" s="659">
        <f>(E219*G217)/100</f>
        <v>8.3095933972629613E-2</v>
      </c>
      <c r="M184" s="660">
        <f>(E219*H217)/100</f>
        <v>7.9805297834251179E-2</v>
      </c>
      <c r="N184" s="660">
        <f>(E219*I217)/100</f>
        <v>3.17661273401651E-3</v>
      </c>
      <c r="O184" s="666">
        <f>(E219*J217)/100</f>
        <v>1.140234043619214E-4</v>
      </c>
    </row>
    <row r="187" spans="1:15">
      <c r="A187" s="139" t="s">
        <v>1806</v>
      </c>
      <c r="C187" t="s">
        <v>1807</v>
      </c>
      <c r="D187" t="s">
        <v>1808</v>
      </c>
      <c r="E187" t="s">
        <v>1809</v>
      </c>
      <c r="G187" s="664" t="s">
        <v>1810</v>
      </c>
      <c r="H187" s="664"/>
    </row>
    <row r="188" spans="1:15">
      <c r="A188" s="254" t="s">
        <v>1496</v>
      </c>
      <c r="B188" s="261" t="s">
        <v>1546</v>
      </c>
      <c r="C188" s="686">
        <v>16.5621428571</v>
      </c>
      <c r="D188" s="686">
        <v>15.7160721918</v>
      </c>
      <c r="E188" s="686">
        <v>15.6586107594</v>
      </c>
    </row>
    <row r="189" spans="1:15">
      <c r="A189" s="254" t="s">
        <v>1496</v>
      </c>
      <c r="B189" s="261" t="s">
        <v>1547</v>
      </c>
      <c r="C189" s="686">
        <v>18.974821428599999</v>
      </c>
      <c r="D189" s="686">
        <v>18.005500011100001</v>
      </c>
      <c r="E189" s="686">
        <v>17.734590965300001</v>
      </c>
    </row>
    <row r="190" spans="1:15">
      <c r="A190" s="254" t="s">
        <v>1496</v>
      </c>
      <c r="B190" s="261" t="s">
        <v>1548</v>
      </c>
      <c r="C190" s="686">
        <v>23.199642857099999</v>
      </c>
      <c r="D190" s="686">
        <v>22.014498070199998</v>
      </c>
      <c r="E190" s="686">
        <v>21.6832700197</v>
      </c>
    </row>
    <row r="191" spans="1:15">
      <c r="A191" s="254" t="s">
        <v>1496</v>
      </c>
      <c r="B191" s="261" t="s">
        <v>1549</v>
      </c>
      <c r="C191" s="686">
        <v>27.508749999999999</v>
      </c>
      <c r="D191" s="686">
        <v>26.1034761405</v>
      </c>
      <c r="E191" s="686">
        <v>25.7107257137</v>
      </c>
    </row>
    <row r="192" spans="1:15">
      <c r="A192" s="254" t="s">
        <v>1496</v>
      </c>
      <c r="B192" s="261" t="s">
        <v>1550</v>
      </c>
      <c r="C192" s="686">
        <v>31.259464285699998</v>
      </c>
      <c r="D192" s="686">
        <v>29.6625866368</v>
      </c>
      <c r="E192" s="686">
        <v>29.216286171</v>
      </c>
    </row>
    <row r="193" spans="1:13">
      <c r="A193" s="254" t="s">
        <v>1496</v>
      </c>
      <c r="B193" s="261" t="s">
        <v>1551</v>
      </c>
      <c r="C193" s="686">
        <v>36.512500000000003</v>
      </c>
      <c r="D193" s="686">
        <v>35.5854</v>
      </c>
      <c r="E193" s="686">
        <v>35.500792570400002</v>
      </c>
    </row>
    <row r="194" spans="1:13">
      <c r="A194" s="254" t="s">
        <v>1496</v>
      </c>
      <c r="B194" s="261" t="s">
        <v>1552</v>
      </c>
      <c r="C194" s="686">
        <v>48.608035714300001</v>
      </c>
      <c r="D194" s="686">
        <v>47.3738142857</v>
      </c>
      <c r="E194" s="686">
        <v>47.261178860599998</v>
      </c>
    </row>
    <row r="195" spans="1:13">
      <c r="A195" s="254" t="s">
        <v>1496</v>
      </c>
      <c r="B195" s="261" t="s">
        <v>1553</v>
      </c>
      <c r="C195" s="686">
        <v>54.275892857099997</v>
      </c>
      <c r="D195" s="686">
        <v>52.897757142899998</v>
      </c>
      <c r="E195" s="686">
        <v>52.771988055999998</v>
      </c>
    </row>
    <row r="196" spans="1:13">
      <c r="A196" s="254" t="s">
        <v>1496</v>
      </c>
      <c r="B196" s="261" t="s">
        <v>1554</v>
      </c>
      <c r="C196" s="686">
        <v>57.181696428599999</v>
      </c>
      <c r="D196" s="686">
        <v>55.729778571399997</v>
      </c>
      <c r="E196" s="686">
        <v>55.597276103600002</v>
      </c>
    </row>
    <row r="197" spans="1:13">
      <c r="A197" s="254" t="s">
        <v>1496</v>
      </c>
      <c r="B197" s="261" t="s">
        <v>1555</v>
      </c>
      <c r="C197" s="686">
        <v>13.3485927505</v>
      </c>
      <c r="D197" s="686">
        <v>12.6519794377</v>
      </c>
      <c r="E197" s="686">
        <v>12.343502493900001</v>
      </c>
    </row>
    <row r="198" spans="1:13">
      <c r="A198" s="254" t="s">
        <v>1496</v>
      </c>
      <c r="B198" s="261" t="s">
        <v>1556</v>
      </c>
      <c r="C198" s="686">
        <v>15.293139658799999</v>
      </c>
      <c r="D198" s="686">
        <v>14.4950476892</v>
      </c>
      <c r="E198" s="686">
        <v>14.141633582300001</v>
      </c>
    </row>
    <row r="199" spans="1:13">
      <c r="A199" s="254" t="s">
        <v>1496</v>
      </c>
      <c r="B199" s="261" t="s">
        <v>1557</v>
      </c>
      <c r="C199" s="686">
        <v>18.698219616199999</v>
      </c>
      <c r="D199" s="686">
        <v>17.722429212400002</v>
      </c>
      <c r="E199" s="686">
        <v>17.290326012400001</v>
      </c>
    </row>
    <row r="200" spans="1:13">
      <c r="A200" s="254" t="s">
        <v>1496</v>
      </c>
      <c r="B200" s="261" t="s">
        <v>1558</v>
      </c>
      <c r="C200" s="686">
        <v>22.171231343300001</v>
      </c>
      <c r="D200" s="686">
        <v>21.0141973994</v>
      </c>
      <c r="E200" s="686">
        <v>20.501835248999999</v>
      </c>
    </row>
    <row r="201" spans="1:13">
      <c r="A201" s="254" t="s">
        <v>1496</v>
      </c>
      <c r="B201" s="261" t="s">
        <v>1559</v>
      </c>
      <c r="C201" s="686">
        <v>25.1941950959</v>
      </c>
      <c r="D201" s="686">
        <v>23.879403938799999</v>
      </c>
      <c r="E201" s="686">
        <v>23.297183142000002</v>
      </c>
      <c r="G201" s="664" t="s">
        <v>1811</v>
      </c>
      <c r="H201" s="664"/>
      <c r="I201" s="664"/>
      <c r="J201" s="664"/>
      <c r="K201" s="664"/>
      <c r="L201" s="664"/>
      <c r="M201" s="965"/>
    </row>
    <row r="202" spans="1:13">
      <c r="A202" s="254" t="s">
        <v>1496</v>
      </c>
      <c r="B202" s="261" t="s">
        <v>1560</v>
      </c>
      <c r="C202" s="686">
        <v>33.187832393199997</v>
      </c>
      <c r="D202" s="686">
        <v>32.345150040299998</v>
      </c>
      <c r="E202" s="686">
        <v>32.268246591</v>
      </c>
      <c r="G202" t="s">
        <v>1812</v>
      </c>
      <c r="H202" t="s">
        <v>70</v>
      </c>
      <c r="I202" t="s">
        <v>1813</v>
      </c>
      <c r="J202" t="s">
        <v>1814</v>
      </c>
      <c r="K202" t="s">
        <v>1815</v>
      </c>
      <c r="L202" t="s">
        <v>1816</v>
      </c>
    </row>
    <row r="203" spans="1:13">
      <c r="A203" s="254" t="s">
        <v>1496</v>
      </c>
      <c r="B203" s="261" t="s">
        <v>1561</v>
      </c>
      <c r="C203" s="686">
        <v>44.182001841800002</v>
      </c>
      <c r="D203" s="686">
        <v>43.060163186399997</v>
      </c>
      <c r="E203" s="686">
        <v>42.957783847499996</v>
      </c>
      <c r="G203" t="s">
        <v>319</v>
      </c>
      <c r="H203" t="s">
        <v>91</v>
      </c>
      <c r="I203" s="966">
        <v>2.46</v>
      </c>
      <c r="J203" s="1642">
        <v>2.35</v>
      </c>
      <c r="K203" s="1642">
        <v>2.76E-2</v>
      </c>
      <c r="L203" s="1642">
        <v>7.9699999999999993E-2</v>
      </c>
      <c r="M203" s="663"/>
    </row>
    <row r="204" spans="1:13">
      <c r="A204" s="254" t="s">
        <v>1496</v>
      </c>
      <c r="B204" s="261" t="s">
        <v>1562</v>
      </c>
      <c r="C204" s="686">
        <v>51.017011513299998</v>
      </c>
      <c r="D204" s="686">
        <v>49.721623047100003</v>
      </c>
      <c r="E204" s="686">
        <v>49.603405499300003</v>
      </c>
      <c r="G204" t="s">
        <v>320</v>
      </c>
      <c r="H204" t="s">
        <v>91</v>
      </c>
      <c r="I204" s="964">
        <v>2.48</v>
      </c>
      <c r="J204" s="963">
        <v>2.37</v>
      </c>
      <c r="K204" s="963">
        <v>2.7699999999999999E-2</v>
      </c>
      <c r="L204" s="963">
        <v>8.0100000000000005E-2</v>
      </c>
      <c r="M204" s="663"/>
    </row>
    <row r="205" spans="1:13">
      <c r="A205" s="254" t="s">
        <v>1496</v>
      </c>
      <c r="B205" s="261" t="s">
        <v>1563</v>
      </c>
      <c r="C205" s="686">
        <v>53.748342246999997</v>
      </c>
      <c r="D205" s="686">
        <v>52.383601730800002</v>
      </c>
      <c r="E205" s="686">
        <v>52.259055093800001</v>
      </c>
      <c r="G205" t="s">
        <v>1817</v>
      </c>
      <c r="H205" t="s">
        <v>91</v>
      </c>
      <c r="I205" s="964">
        <v>2.4500000000000002</v>
      </c>
      <c r="J205" s="963">
        <v>2.34</v>
      </c>
      <c r="K205" s="963">
        <v>2.76E-2</v>
      </c>
      <c r="L205" s="963">
        <v>7.9799999999999996E-2</v>
      </c>
      <c r="M205" s="663"/>
    </row>
    <row r="206" spans="1:13">
      <c r="A206" s="254" t="s">
        <v>1496</v>
      </c>
      <c r="B206" s="261" t="s">
        <v>1564</v>
      </c>
      <c r="C206" s="686">
        <v>6.8782342211999996</v>
      </c>
      <c r="D206" s="686">
        <v>6.526862285</v>
      </c>
      <c r="E206" s="686">
        <v>6.4286597339</v>
      </c>
      <c r="G206" t="s">
        <v>90</v>
      </c>
      <c r="H206" t="s">
        <v>91</v>
      </c>
      <c r="I206" s="964">
        <v>2.69</v>
      </c>
      <c r="J206" s="963">
        <v>2.65</v>
      </c>
      <c r="K206" s="963">
        <v>3.5400000000000002E-3</v>
      </c>
      <c r="L206" s="963">
        <v>4.2200000000000001E-2</v>
      </c>
      <c r="M206" s="663"/>
    </row>
    <row r="207" spans="1:13">
      <c r="A207" s="254" t="s">
        <v>1496</v>
      </c>
      <c r="B207" s="261" t="s">
        <v>1565</v>
      </c>
      <c r="C207" s="686">
        <v>7.8802161783000004</v>
      </c>
      <c r="D207" s="686">
        <v>7.4776583812000004</v>
      </c>
      <c r="E207" s="686">
        <v>7.3651502422000004</v>
      </c>
      <c r="G207" t="s">
        <v>1818</v>
      </c>
      <c r="H207" t="s">
        <v>91</v>
      </c>
      <c r="I207" s="964">
        <v>1.64</v>
      </c>
      <c r="J207" s="963">
        <v>1.6</v>
      </c>
      <c r="K207" s="963">
        <v>3.9100000000000003E-2</v>
      </c>
      <c r="L207" s="963">
        <v>1.5E-3</v>
      </c>
      <c r="M207" s="663"/>
    </row>
    <row r="208" spans="1:13">
      <c r="A208" s="254" t="s">
        <v>1496</v>
      </c>
      <c r="B208" s="261" t="s">
        <v>1566</v>
      </c>
      <c r="C208" s="686">
        <v>9.6347784701000005</v>
      </c>
      <c r="D208" s="686">
        <v>9.1425895365999992</v>
      </c>
      <c r="E208" s="686">
        <v>9.0050310013000008</v>
      </c>
      <c r="G208" t="s">
        <v>309</v>
      </c>
      <c r="H208" t="s">
        <v>91</v>
      </c>
      <c r="I208" s="964">
        <v>3.04</v>
      </c>
      <c r="J208" s="963">
        <v>3.01</v>
      </c>
      <c r="K208" s="963">
        <v>6.7999999999999996E-3</v>
      </c>
      <c r="L208" s="963">
        <v>2.3199999999999998E-2</v>
      </c>
      <c r="M208" s="663"/>
    </row>
    <row r="209" spans="1:13">
      <c r="A209" s="254" t="s">
        <v>1496</v>
      </c>
      <c r="B209" s="261" t="s">
        <v>1567</v>
      </c>
      <c r="C209" s="686">
        <v>11.4243444984</v>
      </c>
      <c r="D209" s="686">
        <v>10.840736276099999</v>
      </c>
      <c r="E209" s="686">
        <v>10.677627586</v>
      </c>
      <c r="G209" t="s">
        <v>310</v>
      </c>
      <c r="H209" t="s">
        <v>91</v>
      </c>
      <c r="I209" s="964">
        <v>2.94</v>
      </c>
      <c r="J209" s="963">
        <v>2.92</v>
      </c>
      <c r="K209" s="963">
        <v>6.7000000000000002E-3</v>
      </c>
      <c r="L209" s="963">
        <v>2.2800000000000001E-2</v>
      </c>
      <c r="M209" s="663"/>
    </row>
    <row r="210" spans="1:13">
      <c r="A210" s="254" t="s">
        <v>1496</v>
      </c>
      <c r="B210" s="261" t="s">
        <v>1568</v>
      </c>
      <c r="C210" s="686">
        <v>12.982010772400001</v>
      </c>
      <c r="D210" s="686">
        <v>12.318829770600001</v>
      </c>
      <c r="E210" s="686">
        <v>12.133481826000001</v>
      </c>
      <c r="G210" t="s">
        <v>1819</v>
      </c>
      <c r="H210" t="s">
        <v>97</v>
      </c>
      <c r="I210" s="964">
        <v>70.599999999999994</v>
      </c>
      <c r="J210" s="963">
        <v>68.2</v>
      </c>
      <c r="K210" s="963">
        <v>0.48</v>
      </c>
      <c r="L210" s="963">
        <v>1.9</v>
      </c>
      <c r="M210" s="663"/>
    </row>
    <row r="211" spans="1:13">
      <c r="A211" s="254" t="s">
        <v>1496</v>
      </c>
      <c r="B211" s="261" t="s">
        <v>1569</v>
      </c>
      <c r="C211" s="686">
        <v>14.9633356613</v>
      </c>
      <c r="D211" s="686">
        <v>14.5833970515</v>
      </c>
      <c r="E211" s="686">
        <v>14.5487237377</v>
      </c>
      <c r="H211" t="s">
        <v>91</v>
      </c>
      <c r="I211" s="964">
        <v>2.63</v>
      </c>
      <c r="J211" s="963">
        <v>2.54</v>
      </c>
      <c r="K211" s="963">
        <v>1.7899999999999999E-2</v>
      </c>
      <c r="L211" s="963">
        <v>7.0699999999999999E-2</v>
      </c>
      <c r="M211" s="663"/>
    </row>
    <row r="212" spans="1:13">
      <c r="A212" s="254" t="s">
        <v>1496</v>
      </c>
      <c r="B212" s="261" t="s">
        <v>1570</v>
      </c>
      <c r="C212" s="686">
        <v>19.920256192499998</v>
      </c>
      <c r="D212" s="686">
        <v>19.414454904799999</v>
      </c>
      <c r="E212" s="686">
        <v>19.368295324599998</v>
      </c>
      <c r="G212" t="s">
        <v>1820</v>
      </c>
      <c r="H212" t="s">
        <v>97</v>
      </c>
      <c r="I212" s="964">
        <v>68.3</v>
      </c>
      <c r="J212" s="963">
        <v>65.900000000000006</v>
      </c>
      <c r="K212" s="963">
        <v>0.48</v>
      </c>
      <c r="L212" s="963">
        <v>1.9</v>
      </c>
      <c r="M212" s="663"/>
    </row>
    <row r="213" spans="1:13">
      <c r="A213" s="254" t="s">
        <v>1496</v>
      </c>
      <c r="B213" s="261" t="s">
        <v>1571</v>
      </c>
      <c r="C213" s="686">
        <v>22.3897251201</v>
      </c>
      <c r="D213" s="686">
        <v>21.8212207953</v>
      </c>
      <c r="E213" s="686">
        <v>21.769338916700001</v>
      </c>
      <c r="H213" t="s">
        <v>91</v>
      </c>
      <c r="I213" s="964">
        <v>2.31</v>
      </c>
      <c r="J213" s="963">
        <v>2.23</v>
      </c>
      <c r="K213" s="963">
        <v>1.6299999999999999E-2</v>
      </c>
      <c r="L213" s="963">
        <v>6.4399999999999999E-2</v>
      </c>
      <c r="M213" s="663"/>
    </row>
    <row r="214" spans="1:13">
      <c r="A214" s="254" t="s">
        <v>1496</v>
      </c>
      <c r="B214" s="261" t="s">
        <v>1572</v>
      </c>
      <c r="C214" s="686">
        <v>23.5884183113</v>
      </c>
      <c r="D214" s="686">
        <v>22.989477602899999</v>
      </c>
      <c r="E214" s="686">
        <v>22.9348180906</v>
      </c>
    </row>
    <row r="215" spans="1:13">
      <c r="A215" s="254" t="s">
        <v>1496</v>
      </c>
      <c r="B215" s="261" t="s">
        <v>1573</v>
      </c>
      <c r="C215" s="686">
        <v>46.812378801800001</v>
      </c>
      <c r="D215" s="686">
        <v>44.383750659999997</v>
      </c>
      <c r="E215" s="686">
        <v>43.416480591499997</v>
      </c>
      <c r="G215" s="664" t="s">
        <v>1821</v>
      </c>
      <c r="H215" s="664"/>
      <c r="I215" s="664"/>
      <c r="J215" s="664"/>
    </row>
    <row r="216" spans="1:13">
      <c r="A216" s="254" t="s">
        <v>1496</v>
      </c>
      <c r="B216" s="261" t="s">
        <v>1574</v>
      </c>
      <c r="C216" s="686">
        <v>53.631739326999998</v>
      </c>
      <c r="D216" s="686">
        <v>50.849322479999998</v>
      </c>
      <c r="E216" s="686">
        <v>49.7411460211</v>
      </c>
      <c r="G216" t="s">
        <v>1813</v>
      </c>
      <c r="H216" t="s">
        <v>1822</v>
      </c>
      <c r="I216" t="s">
        <v>1823</v>
      </c>
      <c r="J216" t="s">
        <v>1824</v>
      </c>
    </row>
    <row r="217" spans="1:13">
      <c r="A217" s="254" t="s">
        <v>1496</v>
      </c>
      <c r="B217" s="261" t="s">
        <v>1575</v>
      </c>
      <c r="C217" s="686">
        <v>65.573064962900006</v>
      </c>
      <c r="D217" s="686">
        <v>62.171131649700001</v>
      </c>
      <c r="E217" s="686">
        <v>60.8162151796</v>
      </c>
      <c r="G217">
        <v>0.10140518296110805</v>
      </c>
      <c r="H217">
        <v>9.7389492376528886E-2</v>
      </c>
      <c r="I217">
        <v>3.8765434130102242E-3</v>
      </c>
      <c r="J217">
        <v>1.3914717156891882E-4</v>
      </c>
    </row>
    <row r="218" spans="1:13">
      <c r="A218" s="254" t="s">
        <v>1496</v>
      </c>
      <c r="B218" s="261" t="s">
        <v>1576</v>
      </c>
      <c r="C218" s="686">
        <v>77.752621534100001</v>
      </c>
      <c r="D218" s="686">
        <v>73.718812323899996</v>
      </c>
      <c r="E218" s="686">
        <v>81.944464322399995</v>
      </c>
    </row>
    <row r="219" spans="1:13">
      <c r="A219" s="254" t="s">
        <v>1496</v>
      </c>
      <c r="B219" s="261" t="s">
        <v>1577</v>
      </c>
      <c r="C219" s="686">
        <v>88.3538981584</v>
      </c>
      <c r="D219" s="686">
        <v>83.770094279999995</v>
      </c>
      <c r="E219" s="686">
        <v>81.944464322399995</v>
      </c>
    </row>
    <row r="222" spans="1:13" ht="15.75">
      <c r="A222" s="387" t="s">
        <v>1825</v>
      </c>
      <c r="B222" s="598" t="s">
        <v>1826</v>
      </c>
      <c r="D222" s="50"/>
    </row>
    <row r="223" spans="1:13">
      <c r="B223" s="396"/>
      <c r="C223" s="195"/>
      <c r="D223" s="2078" t="s">
        <v>1344</v>
      </c>
      <c r="E223" s="2079"/>
      <c r="F223" s="2079"/>
      <c r="G223" s="2080"/>
      <c r="H223" s="2079" t="s">
        <v>1345</v>
      </c>
      <c r="I223" s="2079"/>
      <c r="J223" s="2079"/>
      <c r="K223" s="2080"/>
    </row>
    <row r="224" spans="1:13" ht="18">
      <c r="A224" s="397" t="s">
        <v>447</v>
      </c>
      <c r="B224" s="398" t="s">
        <v>1827</v>
      </c>
      <c r="C224" s="399" t="s">
        <v>70</v>
      </c>
      <c r="D224" s="615" t="s">
        <v>1349</v>
      </c>
      <c r="E224" s="616" t="s">
        <v>1350</v>
      </c>
      <c r="F224" s="616" t="s">
        <v>1351</v>
      </c>
      <c r="G224" s="616" t="s">
        <v>1352</v>
      </c>
      <c r="H224" s="616" t="s">
        <v>1349</v>
      </c>
      <c r="I224" s="616" t="s">
        <v>1350</v>
      </c>
      <c r="J224" s="616" t="s">
        <v>1351</v>
      </c>
      <c r="K224" s="616" t="s">
        <v>1352</v>
      </c>
    </row>
    <row r="225" spans="1:11">
      <c r="A225" s="2081" t="s">
        <v>1753</v>
      </c>
      <c r="B225" s="612" t="s">
        <v>1828</v>
      </c>
      <c r="C225" s="613" t="s">
        <v>1712</v>
      </c>
      <c r="D225" s="617">
        <v>4.4936299999999996</v>
      </c>
      <c r="E225" s="618">
        <v>4.4694900000000004</v>
      </c>
      <c r="F225" s="618">
        <v>1.8799999999999999E-3</v>
      </c>
      <c r="G225" s="618">
        <v>2.2259999999999999E-2</v>
      </c>
      <c r="H225" s="618">
        <v>2.3765000000000001</v>
      </c>
      <c r="I225" s="618">
        <v>2.35236</v>
      </c>
      <c r="J225" s="618">
        <v>1.8799999999999999E-3</v>
      </c>
      <c r="K225" s="618">
        <v>2.2259999999999999E-2</v>
      </c>
    </row>
    <row r="226" spans="1:11">
      <c r="A226" s="2082"/>
      <c r="B226" s="612" t="s">
        <v>1353</v>
      </c>
      <c r="C226" s="613" t="s">
        <v>1712</v>
      </c>
      <c r="D226" s="617">
        <v>2.3022900000000002</v>
      </c>
      <c r="E226" s="618">
        <v>2.2907999999999999</v>
      </c>
      <c r="F226" s="618">
        <v>8.0000000000000007E-5</v>
      </c>
      <c r="G226" s="618">
        <v>1.141E-2</v>
      </c>
      <c r="H226" s="618">
        <v>1.2171700000000001</v>
      </c>
      <c r="I226" s="618">
        <v>1.2056800000000001</v>
      </c>
      <c r="J226" s="618">
        <v>8.0000000000000007E-5</v>
      </c>
      <c r="K226" s="618">
        <v>1.141E-2</v>
      </c>
    </row>
    <row r="227" spans="1:11">
      <c r="A227" s="2083"/>
      <c r="B227" s="612" t="s">
        <v>1354</v>
      </c>
      <c r="C227" s="613" t="s">
        <v>1712</v>
      </c>
      <c r="D227" s="617">
        <v>1.0188999999999999</v>
      </c>
      <c r="E227" s="618">
        <v>1.0138100000000001</v>
      </c>
      <c r="F227" s="618">
        <v>4.0000000000000003E-5</v>
      </c>
      <c r="G227" s="618">
        <v>5.0499999999999998E-3</v>
      </c>
      <c r="H227" s="618">
        <v>0.53866999999999998</v>
      </c>
      <c r="I227" s="618">
        <v>0.53358000000000005</v>
      </c>
      <c r="J227" s="618">
        <v>4.0000000000000003E-5</v>
      </c>
      <c r="K227" s="618">
        <v>5.0499999999999998E-3</v>
      </c>
    </row>
    <row r="230" spans="1:11" ht="15.75">
      <c r="A230" s="387" t="s">
        <v>1829</v>
      </c>
      <c r="B230" t="s">
        <v>1830</v>
      </c>
    </row>
    <row r="231" spans="1:11">
      <c r="A231" t="s">
        <v>1831</v>
      </c>
    </row>
    <row r="234" spans="1:11" ht="15.75">
      <c r="A234" s="387" t="s">
        <v>1832</v>
      </c>
      <c r="B234" s="598" t="s">
        <v>1826</v>
      </c>
    </row>
    <row r="235" spans="1:11" ht="18">
      <c r="A235" s="397" t="s">
        <v>447</v>
      </c>
      <c r="B235" s="398" t="s">
        <v>1827</v>
      </c>
      <c r="C235" s="399" t="s">
        <v>1833</v>
      </c>
      <c r="D235" s="399" t="s">
        <v>70</v>
      </c>
      <c r="E235" s="613" t="s">
        <v>1485</v>
      </c>
      <c r="F235" s="613" t="s">
        <v>1486</v>
      </c>
      <c r="G235" s="613" t="s">
        <v>1487</v>
      </c>
      <c r="H235" s="681" t="s">
        <v>1488</v>
      </c>
      <c r="I235" s="684"/>
    </row>
    <row r="236" spans="1:11">
      <c r="A236" s="621" t="s">
        <v>1834</v>
      </c>
      <c r="B236" s="2081" t="s">
        <v>1765</v>
      </c>
      <c r="C236" s="613" t="s">
        <v>1766</v>
      </c>
      <c r="D236" s="613" t="s">
        <v>1712</v>
      </c>
      <c r="E236" s="619">
        <v>2.5400000000000002E-3</v>
      </c>
      <c r="F236" s="620">
        <v>2.5000000000000001E-3</v>
      </c>
      <c r="G236" s="620">
        <v>0</v>
      </c>
      <c r="H236" s="682">
        <v>3.0000000000000001E-5</v>
      </c>
      <c r="I236" s="685"/>
    </row>
    <row r="237" spans="1:11">
      <c r="A237" s="622"/>
      <c r="B237" s="2082"/>
      <c r="C237" s="613" t="s">
        <v>1768</v>
      </c>
      <c r="D237" s="613" t="s">
        <v>1712</v>
      </c>
      <c r="E237" s="617">
        <v>3.0400000000000002E-3</v>
      </c>
      <c r="F237" s="618">
        <v>3.0000000000000001E-3</v>
      </c>
      <c r="G237" s="618">
        <v>0</v>
      </c>
      <c r="H237" s="683">
        <v>4.0000000000000003E-5</v>
      </c>
      <c r="I237" s="685"/>
    </row>
    <row r="238" spans="1:11">
      <c r="A238" s="622"/>
      <c r="B238" s="2082"/>
      <c r="C238" s="613" t="s">
        <v>1769</v>
      </c>
      <c r="D238" s="613" t="s">
        <v>1712</v>
      </c>
      <c r="E238" s="617">
        <v>4.1599999999999996E-3</v>
      </c>
      <c r="F238" s="618">
        <v>4.1000000000000003E-3</v>
      </c>
      <c r="G238" s="618">
        <v>0</v>
      </c>
      <c r="H238" s="683">
        <v>6.0000000000000002E-5</v>
      </c>
      <c r="I238" s="685"/>
    </row>
    <row r="239" spans="1:11">
      <c r="A239" s="622"/>
      <c r="B239" s="2082"/>
      <c r="C239" s="613" t="s">
        <v>1770</v>
      </c>
      <c r="D239" s="613" t="s">
        <v>1712</v>
      </c>
      <c r="E239" s="617">
        <v>5.7800000000000004E-3</v>
      </c>
      <c r="F239" s="618">
        <v>5.7000000000000002E-3</v>
      </c>
      <c r="G239" s="618">
        <v>0</v>
      </c>
      <c r="H239" s="683">
        <v>8.0000000000000007E-5</v>
      </c>
      <c r="I239" s="685"/>
    </row>
    <row r="240" spans="1:11">
      <c r="A240" s="622"/>
      <c r="B240" s="2082"/>
      <c r="C240" s="613" t="s">
        <v>1771</v>
      </c>
      <c r="D240" s="613" t="s">
        <v>1712</v>
      </c>
      <c r="E240" s="617">
        <v>8.0099999999999998E-3</v>
      </c>
      <c r="F240" s="618">
        <v>7.9000000000000008E-3</v>
      </c>
      <c r="G240" s="618">
        <v>0</v>
      </c>
      <c r="H240" s="683">
        <v>1.1E-4</v>
      </c>
      <c r="I240" s="685"/>
    </row>
    <row r="241" spans="1:9">
      <c r="A241" s="622"/>
      <c r="B241" s="2082"/>
      <c r="C241" s="613" t="s">
        <v>1772</v>
      </c>
      <c r="D241" s="613" t="s">
        <v>1712</v>
      </c>
      <c r="E241" s="617">
        <v>2.9610000000000001E-2</v>
      </c>
      <c r="F241" s="618">
        <v>2.92E-2</v>
      </c>
      <c r="G241" s="618">
        <v>1.0000000000000001E-5</v>
      </c>
      <c r="H241" s="683">
        <v>4.0000000000000002E-4</v>
      </c>
      <c r="I241" s="685"/>
    </row>
    <row r="242" spans="1:9">
      <c r="A242" s="622"/>
      <c r="B242" s="2084"/>
      <c r="C242" s="613" t="s">
        <v>1773</v>
      </c>
      <c r="D242" s="613" t="s">
        <v>1712</v>
      </c>
      <c r="E242" s="617">
        <v>3.5400000000000002E-3</v>
      </c>
      <c r="F242" s="618">
        <v>3.49E-3</v>
      </c>
      <c r="G242" s="618">
        <v>0</v>
      </c>
      <c r="H242" s="683">
        <v>5.0000000000000002E-5</v>
      </c>
      <c r="I242" s="685"/>
    </row>
    <row r="243" spans="1:9">
      <c r="A243" s="622"/>
      <c r="B243" s="2082" t="s">
        <v>1774</v>
      </c>
      <c r="C243" s="613" t="s">
        <v>1775</v>
      </c>
      <c r="D243" s="613" t="s">
        <v>1712</v>
      </c>
      <c r="E243" s="617">
        <v>1.2070000000000001E-2</v>
      </c>
      <c r="F243" s="618">
        <v>1.1900000000000001E-2</v>
      </c>
      <c r="G243" s="618">
        <v>0</v>
      </c>
      <c r="H243" s="683">
        <v>1.6000000000000001E-4</v>
      </c>
      <c r="I243" s="685"/>
    </row>
    <row r="244" spans="1:9">
      <c r="A244" s="622"/>
      <c r="B244" s="2082"/>
      <c r="C244" s="613" t="s">
        <v>1776</v>
      </c>
      <c r="D244" s="613" t="s">
        <v>1712</v>
      </c>
      <c r="E244" s="617">
        <v>1.602E-2</v>
      </c>
      <c r="F244" s="618">
        <v>1.5800000000000002E-2</v>
      </c>
      <c r="G244" s="618">
        <v>1.0000000000000001E-5</v>
      </c>
      <c r="H244" s="683">
        <v>2.2000000000000001E-4</v>
      </c>
      <c r="I244" s="685"/>
    </row>
    <row r="245" spans="1:9">
      <c r="A245" s="622"/>
      <c r="B245" s="2082"/>
      <c r="C245" s="613" t="s">
        <v>1777</v>
      </c>
      <c r="D245" s="613" t="s">
        <v>1712</v>
      </c>
      <c r="E245" s="617">
        <v>1.409E-2</v>
      </c>
      <c r="F245" s="618">
        <v>1.3899999999999999E-2</v>
      </c>
      <c r="G245" s="618">
        <v>0</v>
      </c>
      <c r="H245" s="683">
        <v>1.9000000000000001E-4</v>
      </c>
      <c r="I245" s="685"/>
    </row>
    <row r="246" spans="1:9">
      <c r="A246" s="622"/>
      <c r="B246" s="2082"/>
      <c r="C246" s="613" t="s">
        <v>1778</v>
      </c>
      <c r="D246" s="613" t="s">
        <v>1712</v>
      </c>
      <c r="E246" s="617">
        <v>1.115E-2</v>
      </c>
      <c r="F246" s="618">
        <v>1.0999999999999999E-2</v>
      </c>
      <c r="G246" s="618">
        <v>0</v>
      </c>
      <c r="H246" s="683">
        <v>1.4999999999999999E-4</v>
      </c>
      <c r="I246" s="685"/>
    </row>
    <row r="247" spans="1:9">
      <c r="A247" s="622"/>
      <c r="B247" s="2082"/>
      <c r="C247" s="613" t="s">
        <v>1779</v>
      </c>
      <c r="D247" s="613" t="s">
        <v>1712</v>
      </c>
      <c r="E247" s="617">
        <v>1.7739999999999999E-2</v>
      </c>
      <c r="F247" s="618">
        <v>1.7500000000000002E-2</v>
      </c>
      <c r="G247" s="618">
        <v>1.0000000000000001E-5</v>
      </c>
      <c r="H247" s="683">
        <v>2.4000000000000001E-4</v>
      </c>
      <c r="I247" s="685"/>
    </row>
    <row r="248" spans="1:9">
      <c r="A248" s="622"/>
      <c r="B248" s="2082"/>
      <c r="C248" s="613" t="s">
        <v>1780</v>
      </c>
      <c r="D248" s="613" t="s">
        <v>1712</v>
      </c>
      <c r="E248" s="617">
        <v>2.0080000000000001E-2</v>
      </c>
      <c r="F248" s="618">
        <v>1.9800000000000002E-2</v>
      </c>
      <c r="G248" s="618">
        <v>1.0000000000000001E-5</v>
      </c>
      <c r="H248" s="683">
        <v>2.7E-4</v>
      </c>
      <c r="I248" s="685"/>
    </row>
    <row r="249" spans="1:9">
      <c r="A249" s="622"/>
      <c r="B249" s="2083"/>
      <c r="C249" s="613" t="s">
        <v>1773</v>
      </c>
      <c r="D249" s="613" t="s">
        <v>1712</v>
      </c>
      <c r="E249" s="617">
        <v>1.323E-2</v>
      </c>
      <c r="F249" s="618">
        <v>1.3050000000000001E-2</v>
      </c>
      <c r="G249" s="618">
        <v>0</v>
      </c>
      <c r="H249" s="683">
        <v>1.8000000000000001E-4</v>
      </c>
      <c r="I249" s="685"/>
    </row>
    <row r="250" spans="1:9">
      <c r="A250" s="622"/>
      <c r="B250" s="2081" t="s">
        <v>1781</v>
      </c>
      <c r="C250" s="613" t="s">
        <v>1782</v>
      </c>
      <c r="D250" s="613" t="s">
        <v>1712</v>
      </c>
      <c r="E250" s="617">
        <v>1.2670000000000001E-2</v>
      </c>
      <c r="F250" s="618">
        <v>1.2500000000000001E-2</v>
      </c>
      <c r="G250" s="618">
        <v>0</v>
      </c>
      <c r="H250" s="683">
        <v>1.7000000000000001E-4</v>
      </c>
      <c r="I250" s="685"/>
    </row>
    <row r="251" spans="1:9">
      <c r="A251" s="622"/>
      <c r="B251" s="2082"/>
      <c r="C251" s="613" t="s">
        <v>1783</v>
      </c>
      <c r="D251" s="613" t="s">
        <v>1712</v>
      </c>
      <c r="E251" s="617">
        <v>1.6830000000000001E-2</v>
      </c>
      <c r="F251" s="618">
        <v>1.66E-2</v>
      </c>
      <c r="G251" s="618">
        <v>1.0000000000000001E-5</v>
      </c>
      <c r="H251" s="683">
        <v>2.3000000000000001E-4</v>
      </c>
      <c r="I251" s="685"/>
    </row>
    <row r="252" spans="1:9">
      <c r="A252" s="622"/>
      <c r="B252" s="2082"/>
      <c r="C252" s="613" t="s">
        <v>1784</v>
      </c>
      <c r="D252" s="613" t="s">
        <v>1712</v>
      </c>
      <c r="E252" s="617">
        <v>1.6830000000000001E-2</v>
      </c>
      <c r="F252" s="618">
        <v>1.66E-2</v>
      </c>
      <c r="G252" s="618">
        <v>1.0000000000000001E-5</v>
      </c>
      <c r="H252" s="683">
        <v>2.3000000000000001E-4</v>
      </c>
      <c r="I252" s="685"/>
    </row>
    <row r="253" spans="1:9">
      <c r="A253" s="622"/>
      <c r="B253" s="2082"/>
      <c r="C253" s="613" t="s">
        <v>1785</v>
      </c>
      <c r="D253" s="613" t="s">
        <v>1712</v>
      </c>
      <c r="E253" s="617">
        <v>2.0279999999999999E-2</v>
      </c>
      <c r="F253" s="618">
        <v>0.02</v>
      </c>
      <c r="G253" s="618">
        <v>1.0000000000000001E-5</v>
      </c>
      <c r="H253" s="683">
        <v>2.7E-4</v>
      </c>
      <c r="I253" s="685"/>
    </row>
    <row r="254" spans="1:9">
      <c r="A254" s="622"/>
      <c r="B254" s="2082"/>
      <c r="C254" s="613" t="s">
        <v>1786</v>
      </c>
      <c r="D254" s="613" t="s">
        <v>1712</v>
      </c>
      <c r="E254" s="617">
        <v>3.2550000000000003E-2</v>
      </c>
      <c r="F254" s="618">
        <v>3.2099999999999997E-2</v>
      </c>
      <c r="G254" s="618">
        <v>1.0000000000000001E-5</v>
      </c>
      <c r="H254" s="683">
        <v>4.4000000000000002E-4</v>
      </c>
      <c r="I254" s="685"/>
    </row>
    <row r="255" spans="1:9">
      <c r="A255" s="622"/>
      <c r="B255" s="2082"/>
      <c r="C255" s="613" t="s">
        <v>1787</v>
      </c>
      <c r="D255" s="613" t="s">
        <v>1712</v>
      </c>
      <c r="E255" s="617">
        <v>3.6810000000000002E-2</v>
      </c>
      <c r="F255" s="618">
        <v>3.6299999999999999E-2</v>
      </c>
      <c r="G255" s="618">
        <v>1.0000000000000001E-5</v>
      </c>
      <c r="H255" s="683">
        <v>4.8999999999999998E-4</v>
      </c>
      <c r="I255" s="685"/>
    </row>
    <row r="256" spans="1:9">
      <c r="A256" s="622"/>
      <c r="B256" s="2083"/>
      <c r="C256" s="613" t="s">
        <v>1773</v>
      </c>
      <c r="D256" s="613" t="s">
        <v>1712</v>
      </c>
      <c r="E256" s="617">
        <v>1.6140000000000002E-2</v>
      </c>
      <c r="F256" s="618">
        <v>1.592E-2</v>
      </c>
      <c r="G256" s="618">
        <v>1.0000000000000001E-5</v>
      </c>
      <c r="H256" s="683">
        <v>2.2000000000000001E-4</v>
      </c>
      <c r="I256" s="685"/>
    </row>
    <row r="257" spans="1:16">
      <c r="A257" s="622"/>
      <c r="B257" s="2081" t="s">
        <v>1788</v>
      </c>
      <c r="C257" s="613" t="s">
        <v>1789</v>
      </c>
      <c r="D257" s="613" t="s">
        <v>1712</v>
      </c>
      <c r="E257" s="617">
        <v>3.245E-2</v>
      </c>
      <c r="F257" s="618">
        <v>3.2000000000000001E-2</v>
      </c>
      <c r="G257" s="618">
        <v>1.0000000000000001E-5</v>
      </c>
      <c r="H257" s="683">
        <v>4.4000000000000002E-4</v>
      </c>
      <c r="I257" s="685"/>
    </row>
    <row r="258" spans="1:16">
      <c r="A258" s="622"/>
      <c r="B258" s="2082"/>
      <c r="C258" s="613" t="s">
        <v>1790</v>
      </c>
      <c r="D258" s="613" t="s">
        <v>1712</v>
      </c>
      <c r="E258" s="617">
        <v>5.8400000000000001E-2</v>
      </c>
      <c r="F258" s="618">
        <v>5.7599999999999998E-2</v>
      </c>
      <c r="G258" s="618">
        <v>2.0000000000000002E-5</v>
      </c>
      <c r="H258" s="683">
        <v>7.7999999999999999E-4</v>
      </c>
      <c r="I258" s="685"/>
    </row>
    <row r="259" spans="1:16">
      <c r="A259" s="622"/>
      <c r="B259" s="2083"/>
      <c r="C259" s="613" t="s">
        <v>1773</v>
      </c>
      <c r="D259" s="613" t="s">
        <v>1712</v>
      </c>
      <c r="E259" s="617">
        <v>3.8580000000000003E-2</v>
      </c>
      <c r="F259" s="618">
        <v>3.805E-2</v>
      </c>
      <c r="G259" s="618">
        <v>1.0000000000000001E-5</v>
      </c>
      <c r="H259" s="683">
        <v>5.1999999999999995E-4</v>
      </c>
      <c r="I259" s="685"/>
    </row>
    <row r="260" spans="1:16">
      <c r="A260" s="622"/>
      <c r="B260" s="2081" t="s">
        <v>1791</v>
      </c>
      <c r="C260" s="613" t="s">
        <v>1792</v>
      </c>
      <c r="D260" s="613" t="s">
        <v>1712</v>
      </c>
      <c r="E260" s="617">
        <v>5.0189999999999999E-2</v>
      </c>
      <c r="F260" s="618">
        <v>4.9500000000000002E-2</v>
      </c>
      <c r="G260" s="618">
        <v>2.0000000000000002E-5</v>
      </c>
      <c r="H260" s="683">
        <v>6.7000000000000002E-4</v>
      </c>
      <c r="I260" s="685"/>
    </row>
    <row r="261" spans="1:16">
      <c r="A261" s="622"/>
      <c r="B261" s="2082"/>
      <c r="C261" s="613" t="s">
        <v>1793</v>
      </c>
      <c r="D261" s="613" t="s">
        <v>1712</v>
      </c>
      <c r="E261" s="617">
        <v>6.114E-2</v>
      </c>
      <c r="F261" s="618">
        <v>6.0299999999999999E-2</v>
      </c>
      <c r="G261" s="618">
        <v>2.0000000000000002E-5</v>
      </c>
      <c r="H261" s="683">
        <v>8.1999999999999998E-4</v>
      </c>
      <c r="I261" s="685"/>
    </row>
    <row r="262" spans="1:16">
      <c r="A262" s="622"/>
      <c r="B262" s="2083"/>
      <c r="C262" s="613" t="s">
        <v>1773</v>
      </c>
      <c r="D262" s="613" t="s">
        <v>1712</v>
      </c>
      <c r="E262" s="617">
        <v>5.1659999999999998E-2</v>
      </c>
      <c r="F262" s="618">
        <v>5.0950000000000002E-2</v>
      </c>
      <c r="G262" s="618">
        <v>2.0000000000000002E-5</v>
      </c>
      <c r="H262" s="683">
        <v>6.8999999999999997E-4</v>
      </c>
      <c r="I262" s="685"/>
    </row>
    <row r="263" spans="1:16">
      <c r="A263" s="622"/>
      <c r="B263" s="614" t="s">
        <v>1794</v>
      </c>
      <c r="C263" s="613" t="s">
        <v>1773</v>
      </c>
      <c r="D263" s="613" t="s">
        <v>1712</v>
      </c>
      <c r="E263" s="617">
        <v>0.37667</v>
      </c>
      <c r="F263" s="618">
        <v>0.3715</v>
      </c>
      <c r="G263" s="618">
        <v>1.1E-4</v>
      </c>
      <c r="H263" s="683">
        <v>5.0600000000000003E-3</v>
      </c>
      <c r="I263" s="684"/>
    </row>
    <row r="264" spans="1:16">
      <c r="A264" s="623"/>
      <c r="B264" s="612" t="s">
        <v>1795</v>
      </c>
      <c r="C264" s="613" t="s">
        <v>1796</v>
      </c>
      <c r="D264" s="613" t="s">
        <v>1712</v>
      </c>
      <c r="E264" s="617">
        <v>1.308E-2</v>
      </c>
      <c r="F264" s="618">
        <v>1.29E-2</v>
      </c>
      <c r="G264" s="618">
        <v>0</v>
      </c>
      <c r="H264" s="683">
        <v>1.8000000000000001E-4</v>
      </c>
      <c r="I264" s="685"/>
    </row>
    <row r="266" spans="1:16">
      <c r="A266" s="61" t="s">
        <v>1798</v>
      </c>
    </row>
    <row r="268" spans="1:16">
      <c r="A268" s="2116" t="s">
        <v>1835</v>
      </c>
      <c r="B268" s="2116"/>
      <c r="C268" s="2116"/>
      <c r="D268" s="2116"/>
      <c r="E268" s="2116"/>
      <c r="F268" s="2116"/>
      <c r="G268" s="2116"/>
      <c r="H268" s="2116"/>
      <c r="I268" s="2116"/>
      <c r="J268" s="2116"/>
      <c r="K268" s="2116"/>
      <c r="L268" s="2116"/>
      <c r="M268" s="2116"/>
      <c r="N268" s="2116"/>
      <c r="O268" s="2116"/>
      <c r="P268" s="2116"/>
    </row>
    <row r="269" spans="1:16" ht="15.75" thickBot="1">
      <c r="A269" s="625"/>
      <c r="B269" s="625"/>
      <c r="C269" s="625"/>
      <c r="D269" s="625"/>
      <c r="E269" s="625"/>
      <c r="F269" s="625"/>
      <c r="G269" s="625"/>
      <c r="H269" s="625"/>
      <c r="I269" s="625"/>
      <c r="J269" s="625"/>
      <c r="K269" s="625"/>
      <c r="L269" s="625"/>
      <c r="M269" s="625"/>
      <c r="N269" s="625"/>
      <c r="O269" s="625"/>
      <c r="P269" s="625"/>
    </row>
    <row r="270" spans="1:16" ht="15.75" thickBot="1">
      <c r="A270" s="626"/>
      <c r="B270" s="627" t="s">
        <v>1669</v>
      </c>
      <c r="C270" s="667">
        <v>43831</v>
      </c>
      <c r="D270" s="667">
        <v>43862</v>
      </c>
      <c r="E270" s="667">
        <v>43891</v>
      </c>
      <c r="F270" s="667">
        <v>43922</v>
      </c>
      <c r="G270" s="667">
        <v>43952</v>
      </c>
      <c r="H270" s="667">
        <v>43983</v>
      </c>
      <c r="I270" s="667">
        <v>44013</v>
      </c>
      <c r="J270" s="667">
        <v>44044</v>
      </c>
      <c r="K270" s="667">
        <v>44075</v>
      </c>
      <c r="L270" s="667">
        <v>44105</v>
      </c>
      <c r="M270" s="667">
        <v>44136</v>
      </c>
      <c r="N270" s="667">
        <v>44166</v>
      </c>
      <c r="O270" s="668">
        <v>2020</v>
      </c>
      <c r="P270" s="440"/>
    </row>
    <row r="271" spans="1:16">
      <c r="A271" s="631" t="s">
        <v>1836</v>
      </c>
      <c r="B271" s="632" t="s">
        <v>1673</v>
      </c>
      <c r="C271" s="669">
        <v>3470702.0100000007</v>
      </c>
      <c r="D271" s="669">
        <v>3448347.94</v>
      </c>
      <c r="E271" s="669">
        <v>3398526.4800000009</v>
      </c>
      <c r="F271" s="669">
        <v>2159854.59</v>
      </c>
      <c r="G271" s="669">
        <v>3563316.060000001</v>
      </c>
      <c r="H271" s="669">
        <v>3305610.92</v>
      </c>
      <c r="I271" s="669">
        <v>3255686.1799999992</v>
      </c>
      <c r="J271" s="669">
        <v>3172108.3800000018</v>
      </c>
      <c r="K271" s="669">
        <v>3430726.5900000026</v>
      </c>
      <c r="L271" s="669">
        <v>3636289.9099999997</v>
      </c>
      <c r="M271" s="669">
        <v>3606558.6500000022</v>
      </c>
      <c r="N271" s="669">
        <v>3549118.4400000018</v>
      </c>
      <c r="O271" s="670">
        <v>39996846</v>
      </c>
      <c r="P271" s="440"/>
    </row>
    <row r="272" spans="1:16">
      <c r="A272" s="919" t="s">
        <v>1837</v>
      </c>
      <c r="B272" s="1643" t="s">
        <v>1838</v>
      </c>
      <c r="C272" s="1644">
        <v>344028.50012699998</v>
      </c>
      <c r="D272" s="1644">
        <v>335387.28629100003</v>
      </c>
      <c r="E272" s="1644">
        <v>337602.67972299998</v>
      </c>
      <c r="F272" s="1644">
        <v>210440.148116</v>
      </c>
      <c r="G272" s="1644">
        <v>330912.82974800002</v>
      </c>
      <c r="H272" s="1644">
        <v>321507.96580100001</v>
      </c>
      <c r="I272" s="1644">
        <v>310040.96500000003</v>
      </c>
      <c r="J272" s="1644">
        <v>306104.158</v>
      </c>
      <c r="K272" s="1644">
        <v>350079.51500000001</v>
      </c>
      <c r="L272" s="1644">
        <v>376736.01</v>
      </c>
      <c r="M272" s="1644">
        <v>382165.86499999999</v>
      </c>
      <c r="N272" s="1644">
        <v>356897.57900000003</v>
      </c>
      <c r="O272" s="671">
        <v>3961904</v>
      </c>
      <c r="P272" s="440"/>
    </row>
    <row r="273" spans="1:16">
      <c r="A273" s="919" t="s">
        <v>1839</v>
      </c>
      <c r="B273" s="1643" t="s">
        <v>1840</v>
      </c>
      <c r="C273" s="1644">
        <v>603740</v>
      </c>
      <c r="D273" s="1644">
        <v>515055</v>
      </c>
      <c r="E273" s="1644">
        <v>530271</v>
      </c>
      <c r="F273" s="1644">
        <v>212051</v>
      </c>
      <c r="G273" s="1644">
        <v>131147</v>
      </c>
      <c r="H273" s="1644">
        <v>101889</v>
      </c>
      <c r="I273" s="1644">
        <v>453326</v>
      </c>
      <c r="J273" s="1644">
        <v>298813</v>
      </c>
      <c r="K273" s="1644">
        <v>605808</v>
      </c>
      <c r="L273" s="1644">
        <v>847471</v>
      </c>
      <c r="M273" s="1644">
        <v>1070054</v>
      </c>
      <c r="N273" s="1644">
        <v>1003687</v>
      </c>
      <c r="O273" s="671">
        <v>6373312</v>
      </c>
      <c r="P273" s="440"/>
    </row>
    <row r="274" spans="1:16">
      <c r="A274" s="638"/>
      <c r="B274" s="639"/>
      <c r="C274" s="672"/>
      <c r="D274" s="672"/>
      <c r="E274" s="672"/>
      <c r="F274" s="672"/>
      <c r="G274" s="672"/>
      <c r="H274" s="672"/>
      <c r="I274" s="672"/>
      <c r="J274" s="672"/>
      <c r="K274" s="672"/>
      <c r="L274" s="672"/>
      <c r="M274" s="672"/>
      <c r="N274" s="672"/>
      <c r="O274" s="673"/>
      <c r="P274" s="440"/>
    </row>
    <row r="275" spans="1:16">
      <c r="A275" s="642" t="s">
        <v>1841</v>
      </c>
      <c r="B275" s="643"/>
      <c r="C275" s="645"/>
      <c r="D275" s="645">
        <v>2013</v>
      </c>
      <c r="E275" s="645">
        <v>2014</v>
      </c>
      <c r="F275" s="645">
        <v>2015</v>
      </c>
      <c r="G275" s="645">
        <v>2016</v>
      </c>
      <c r="H275" s="645">
        <v>2017</v>
      </c>
      <c r="I275" s="645">
        <v>2018</v>
      </c>
      <c r="J275" s="674">
        <v>2019</v>
      </c>
      <c r="K275" s="675">
        <v>2020</v>
      </c>
      <c r="L275" s="672"/>
      <c r="M275" s="672"/>
      <c r="N275" s="672"/>
      <c r="O275" s="676"/>
      <c r="P275" s="440"/>
    </row>
    <row r="276" spans="1:16">
      <c r="A276" s="631" t="s">
        <v>90</v>
      </c>
      <c r="B276" s="632"/>
      <c r="C276" s="677"/>
      <c r="D276" s="649">
        <v>2.7</v>
      </c>
      <c r="E276" s="649">
        <v>2.7</v>
      </c>
      <c r="F276" s="649">
        <v>2.72</v>
      </c>
      <c r="G276" s="649">
        <v>2.72</v>
      </c>
      <c r="H276" s="649">
        <v>2.72</v>
      </c>
      <c r="I276" s="649">
        <v>2.72</v>
      </c>
      <c r="J276" s="677"/>
      <c r="K276" s="677">
        <v>2.69</v>
      </c>
      <c r="L276" s="672"/>
      <c r="M276" s="672"/>
      <c r="N276" s="672"/>
      <c r="O276" s="676"/>
      <c r="P276" s="440"/>
    </row>
    <row r="277" spans="1:16">
      <c r="A277" s="631" t="s">
        <v>265</v>
      </c>
      <c r="B277" s="632"/>
      <c r="C277" s="677"/>
      <c r="D277" s="649">
        <v>0.13500000000000001</v>
      </c>
      <c r="E277" s="649">
        <v>0.12</v>
      </c>
      <c r="F277" s="649">
        <v>0.13</v>
      </c>
      <c r="G277" s="649">
        <v>0.12</v>
      </c>
      <c r="H277" s="649">
        <v>0.12</v>
      </c>
      <c r="I277" s="649">
        <v>0.12</v>
      </c>
      <c r="J277" s="677"/>
      <c r="K277" s="677">
        <v>0.10100000000000001</v>
      </c>
      <c r="L277" s="672"/>
      <c r="M277" s="672"/>
      <c r="N277" s="672"/>
      <c r="O277" s="676"/>
      <c r="P277" s="440"/>
    </row>
    <row r="278" spans="1:16">
      <c r="A278" s="631" t="s">
        <v>1842</v>
      </c>
      <c r="B278" s="632"/>
      <c r="C278" s="677"/>
      <c r="D278" s="649">
        <v>1.5299999999999999E-2</v>
      </c>
      <c r="E278" s="649">
        <v>1.5299999999999999E-2</v>
      </c>
      <c r="F278" s="649">
        <v>1.5299999999999999E-2</v>
      </c>
      <c r="G278" s="649">
        <v>9.7000000000000003E-3</v>
      </c>
      <c r="H278" s="649">
        <v>9.7000000000000003E-3</v>
      </c>
      <c r="I278" s="649">
        <v>9.7000000000000003E-3</v>
      </c>
      <c r="J278" s="677"/>
      <c r="K278" s="677">
        <v>8.6999999999999994E-3</v>
      </c>
      <c r="L278" s="672"/>
      <c r="M278" s="672"/>
      <c r="N278" s="672"/>
      <c r="O278" s="676"/>
      <c r="P278" s="440"/>
    </row>
    <row r="279" spans="1:16" ht="15.75" thickBot="1">
      <c r="A279" s="638"/>
      <c r="B279" s="639"/>
      <c r="C279" s="672"/>
      <c r="D279" s="672"/>
      <c r="E279" s="672"/>
      <c r="F279" s="672"/>
      <c r="G279" s="672"/>
      <c r="H279" s="672"/>
      <c r="I279" s="672"/>
      <c r="J279" s="672"/>
      <c r="K279" s="672"/>
      <c r="L279" s="672"/>
      <c r="M279" s="672"/>
      <c r="N279" s="672"/>
      <c r="O279" s="678"/>
      <c r="P279" s="440"/>
    </row>
    <row r="280" spans="1:16" ht="15.75" thickBot="1">
      <c r="A280" s="651" t="s">
        <v>1843</v>
      </c>
      <c r="B280" s="627" t="s">
        <v>1844</v>
      </c>
      <c r="C280" s="679"/>
      <c r="D280" s="679"/>
      <c r="E280" s="679"/>
      <c r="F280" s="679"/>
      <c r="G280" s="679"/>
      <c r="H280" s="679"/>
      <c r="I280" s="679"/>
      <c r="J280" s="679"/>
      <c r="K280" s="679"/>
      <c r="L280" s="679"/>
      <c r="M280" s="679"/>
      <c r="N280" s="679"/>
      <c r="O280" s="668">
        <v>27.33</v>
      </c>
      <c r="P280" s="440"/>
    </row>
    <row r="281" spans="1:16">
      <c r="B281" s="627" t="s">
        <v>1845</v>
      </c>
      <c r="O281" s="967">
        <v>2.7E-2</v>
      </c>
    </row>
    <row r="307" spans="1:7" s="70" customFormat="1"/>
    <row r="308" spans="1:7" s="224" customFormat="1" ht="33.75" customHeight="1">
      <c r="A308" s="609" t="s">
        <v>1846</v>
      </c>
      <c r="B308" s="224" t="s">
        <v>275</v>
      </c>
    </row>
    <row r="311" spans="1:7" s="224" customFormat="1">
      <c r="A311" s="224" t="s">
        <v>1847</v>
      </c>
    </row>
    <row r="313" spans="1:7">
      <c r="A313" s="920" t="s">
        <v>1848</v>
      </c>
      <c r="B313" s="921" t="s">
        <v>1849</v>
      </c>
    </row>
    <row r="314" spans="1:7">
      <c r="A314" s="920" t="s">
        <v>1850</v>
      </c>
      <c r="B314" s="711" t="s">
        <v>1851</v>
      </c>
    </row>
    <row r="315" spans="1:7">
      <c r="A315" s="711"/>
      <c r="B315" s="711"/>
    </row>
    <row r="316" spans="1:7" ht="18">
      <c r="A316" s="922" t="s">
        <v>1620</v>
      </c>
      <c r="B316" s="922" t="s">
        <v>1852</v>
      </c>
      <c r="C316" s="922" t="s">
        <v>1853</v>
      </c>
      <c r="D316" s="922" t="s">
        <v>1854</v>
      </c>
      <c r="E316" s="922" t="s">
        <v>1853</v>
      </c>
      <c r="G316" s="1"/>
    </row>
    <row r="317" spans="1:7">
      <c r="A317" s="711" t="s">
        <v>1855</v>
      </c>
      <c r="B317" s="711">
        <v>16</v>
      </c>
      <c r="C317" s="923">
        <f>B317/1000*(B337)</f>
        <v>1.5842310306041413E-2</v>
      </c>
      <c r="D317" s="923">
        <f>B317/1000*B338</f>
        <v>3.579208358333696E-5</v>
      </c>
      <c r="E317" s="923">
        <f>B317/1000*B339</f>
        <v>1.2189761037525044E-4</v>
      </c>
    </row>
    <row r="318" spans="1:7">
      <c r="A318" s="711" t="s">
        <v>1856</v>
      </c>
      <c r="B318" s="711">
        <v>30</v>
      </c>
      <c r="C318" s="923">
        <f>B318/1000*(B337)</f>
        <v>2.9704331823827645E-2</v>
      </c>
      <c r="D318" s="923">
        <f>B318/1000*B338</f>
        <v>6.7110156718756787E-5</v>
      </c>
      <c r="E318" s="923">
        <f>B318/1000*B339</f>
        <v>2.2855801945359454E-4</v>
      </c>
    </row>
    <row r="319" spans="1:7">
      <c r="A319" s="711" t="s">
        <v>1857</v>
      </c>
      <c r="B319" s="711">
        <v>46</v>
      </c>
      <c r="C319" s="923">
        <f>B319/1000*(B337)</f>
        <v>4.5546642129869058E-2</v>
      </c>
      <c r="D319" s="923">
        <f>B319/1000*B338</f>
        <v>1.0290224030209375E-4</v>
      </c>
      <c r="E319" s="923">
        <f>B319/1000*B339</f>
        <v>3.5045562982884501E-4</v>
      </c>
    </row>
    <row r="320" spans="1:7">
      <c r="A320" s="711" t="s">
        <v>1858</v>
      </c>
      <c r="B320" s="711">
        <v>7</v>
      </c>
      <c r="C320" s="923"/>
      <c r="D320" s="923"/>
      <c r="E320" s="923"/>
    </row>
    <row r="321" spans="1:10">
      <c r="A321" s="711" t="s">
        <v>1859</v>
      </c>
      <c r="B321" s="711">
        <v>29</v>
      </c>
      <c r="C321" s="923"/>
      <c r="D321" s="923"/>
      <c r="E321" s="923"/>
    </row>
    <row r="322" spans="1:10">
      <c r="A322" s="711" t="s">
        <v>1860</v>
      </c>
      <c r="B322" s="711">
        <v>28</v>
      </c>
      <c r="C322" s="923"/>
      <c r="D322" s="923"/>
      <c r="E322" s="923"/>
    </row>
    <row r="323" spans="1:10">
      <c r="A323" s="711" t="s">
        <v>1711</v>
      </c>
      <c r="B323" s="711">
        <v>105</v>
      </c>
      <c r="C323" s="923">
        <f>(B323/1000)*$B$331</f>
        <v>0.10321771875918379</v>
      </c>
      <c r="D323" s="923">
        <f>B323/1000*$B$332</f>
        <v>1.3794746445945858E-4</v>
      </c>
      <c r="E323" s="923">
        <f>B323/1000*$B$333</f>
        <v>1.644333776356746E-3</v>
      </c>
    </row>
    <row r="324" spans="1:10">
      <c r="A324" s="711" t="s">
        <v>1714</v>
      </c>
      <c r="B324" s="711">
        <v>390</v>
      </c>
      <c r="C324" s="923">
        <f>(B324/1000)*$B$331</f>
        <v>0.38338009824839692</v>
      </c>
      <c r="D324" s="923">
        <f>B324/1000*$B$332</f>
        <v>5.1237629656370332E-4</v>
      </c>
      <c r="E324" s="923">
        <f>B324/1000*$B$333</f>
        <v>6.1075254550393429E-3</v>
      </c>
    </row>
    <row r="325" spans="1:10">
      <c r="A325" s="711" t="s">
        <v>1716</v>
      </c>
      <c r="B325" s="711">
        <v>135</v>
      </c>
      <c r="C325" s="923">
        <f>(B325/1000)*$B$331</f>
        <v>0.13270849554752201</v>
      </c>
      <c r="D325" s="923">
        <f>B325/1000*$B$332</f>
        <v>1.7736102573358961E-4</v>
      </c>
      <c r="E325" s="923">
        <f>B325/1000*$B$333</f>
        <v>2.1141434267443878E-3</v>
      </c>
    </row>
    <row r="327" spans="1:10">
      <c r="A327" t="s">
        <v>1861</v>
      </c>
      <c r="J327" s="662" t="s">
        <v>1862</v>
      </c>
    </row>
    <row r="329" spans="1:10">
      <c r="A329" t="s">
        <v>1863</v>
      </c>
    </row>
    <row r="330" spans="1:10">
      <c r="A330" s="711"/>
      <c r="B330" s="711" t="s">
        <v>1864</v>
      </c>
    </row>
    <row r="331" spans="1:10">
      <c r="A331" s="711" t="s">
        <v>144</v>
      </c>
      <c r="B331" s="711">
        <f>'Fuel 2022'!E48/'Fuel 2022'!D48</f>
        <v>0.98302589294460752</v>
      </c>
    </row>
    <row r="332" spans="1:10">
      <c r="A332" s="711" t="s">
        <v>292</v>
      </c>
      <c r="B332" s="711">
        <f>'Fuel 2022'!F48/'Fuel 2022'!D48</f>
        <v>1.3137853758043675E-3</v>
      </c>
    </row>
    <row r="333" spans="1:10">
      <c r="A333" s="711" t="s">
        <v>293</v>
      </c>
      <c r="B333" s="711">
        <f>'Fuel 2022'!G48/'Fuel 2022'!D48</f>
        <v>1.5660321679588057E-2</v>
      </c>
    </row>
    <row r="335" spans="1:10">
      <c r="A335" t="s">
        <v>1865</v>
      </c>
    </row>
    <row r="336" spans="1:10">
      <c r="A336" s="711"/>
      <c r="B336" s="711" t="s">
        <v>1866</v>
      </c>
    </row>
    <row r="337" spans="1:22">
      <c r="A337" s="711" t="s">
        <v>144</v>
      </c>
      <c r="B337" s="711">
        <f>'Fuel 2022'!E50/'Fuel 2022'!$D$50</f>
        <v>0.99014439412758826</v>
      </c>
    </row>
    <row r="338" spans="1:22">
      <c r="A338" s="711" t="s">
        <v>292</v>
      </c>
      <c r="B338" s="711">
        <f>'Fuel 2022'!F50/'Fuel 2022'!$D$50</f>
        <v>2.2370052239585598E-3</v>
      </c>
    </row>
    <row r="339" spans="1:22">
      <c r="A339" s="711" t="s">
        <v>293</v>
      </c>
      <c r="B339" s="711">
        <f>'Fuel 2022'!G50/'Fuel 2022'!$D$50</f>
        <v>7.618600648453152E-3</v>
      </c>
    </row>
    <row r="342" spans="1:22">
      <c r="A342" s="2119" t="s">
        <v>1867</v>
      </c>
      <c r="B342" s="2119"/>
      <c r="C342" s="2119"/>
      <c r="D342" s="2119"/>
      <c r="E342" s="2119"/>
      <c r="F342" s="2119"/>
      <c r="G342" s="2119"/>
      <c r="H342" s="2119"/>
      <c r="I342" s="2119"/>
      <c r="J342" s="2119"/>
      <c r="K342" s="2119"/>
      <c r="L342" s="2119"/>
      <c r="M342" s="2119"/>
      <c r="N342" s="2119"/>
      <c r="O342" s="2119"/>
      <c r="P342" s="2119"/>
    </row>
    <row r="343" spans="1:22" ht="15.75" thickBot="1"/>
    <row r="344" spans="1:22" s="57" customFormat="1" ht="15.75" thickBot="1">
      <c r="A344" s="287"/>
      <c r="B344" s="288" t="s">
        <v>1669</v>
      </c>
      <c r="C344" s="289">
        <v>43101</v>
      </c>
      <c r="D344" s="289">
        <v>43132</v>
      </c>
      <c r="E344" s="289">
        <v>43160</v>
      </c>
      <c r="F344" s="289">
        <v>43191</v>
      </c>
      <c r="G344" s="289">
        <v>43221</v>
      </c>
      <c r="H344" s="289">
        <v>43252</v>
      </c>
      <c r="I344" s="289">
        <v>43282</v>
      </c>
      <c r="J344" s="289">
        <v>43313</v>
      </c>
      <c r="K344" s="289">
        <v>43344</v>
      </c>
      <c r="L344" s="289">
        <v>43374</v>
      </c>
      <c r="M344" s="289">
        <v>43405</v>
      </c>
      <c r="N344" s="289">
        <v>43435</v>
      </c>
      <c r="O344" s="290">
        <v>2018</v>
      </c>
      <c r="P344" s="56"/>
      <c r="Q344" s="56"/>
      <c r="R344" s="56"/>
      <c r="S344" s="56"/>
      <c r="T344" s="56"/>
      <c r="U344" s="56"/>
      <c r="V344" s="56"/>
    </row>
    <row r="345" spans="1:22" s="57" customFormat="1">
      <c r="A345" s="291" t="s">
        <v>1836</v>
      </c>
      <c r="B345" s="292" t="s">
        <v>1673</v>
      </c>
      <c r="C345" s="293">
        <v>3449442.22</v>
      </c>
      <c r="D345" s="293">
        <v>3057351.2485647388</v>
      </c>
      <c r="E345" s="293">
        <v>3932387.4800000023</v>
      </c>
      <c r="F345" s="293">
        <v>3410509.8400000003</v>
      </c>
      <c r="G345" s="293">
        <v>3956744.9800000023</v>
      </c>
      <c r="H345" s="293">
        <v>3379997.1500000041</v>
      </c>
      <c r="I345" s="293">
        <v>3404520.56</v>
      </c>
      <c r="J345" s="293">
        <v>3391824.68</v>
      </c>
      <c r="K345" s="293">
        <v>3659969.42</v>
      </c>
      <c r="L345" s="293">
        <v>3997744.78</v>
      </c>
      <c r="M345" s="293">
        <v>3979255.1</v>
      </c>
      <c r="N345" s="293">
        <v>3770855.58</v>
      </c>
      <c r="O345" s="294">
        <v>43390603.038564749</v>
      </c>
      <c r="P345" s="56"/>
      <c r="Q345" s="56"/>
      <c r="R345" s="56"/>
      <c r="S345" s="56"/>
      <c r="T345" s="56"/>
      <c r="U345" s="56"/>
      <c r="V345" s="56"/>
    </row>
    <row r="346" spans="1:22" s="57" customFormat="1">
      <c r="A346" s="924" t="s">
        <v>1837</v>
      </c>
      <c r="B346" s="1645" t="s">
        <v>1838</v>
      </c>
      <c r="C346" s="1646">
        <v>329792.64000000001</v>
      </c>
      <c r="D346" s="1646">
        <v>322434.17700000003</v>
      </c>
      <c r="E346" s="1646">
        <v>363129.685</v>
      </c>
      <c r="F346" s="1646">
        <v>330163.505</v>
      </c>
      <c r="G346" s="1646">
        <v>373224.77299999999</v>
      </c>
      <c r="H346" s="1646">
        <v>314538.63</v>
      </c>
      <c r="I346" s="1646">
        <v>324601.07342699997</v>
      </c>
      <c r="J346" s="1646">
        <v>321669.26911299996</v>
      </c>
      <c r="K346" s="1646">
        <v>349130.31323699997</v>
      </c>
      <c r="L346" s="1646">
        <v>409003.37653299997</v>
      </c>
      <c r="M346" s="1646">
        <v>403604.32464099996</v>
      </c>
      <c r="N346" s="1646">
        <v>368864.68066000001</v>
      </c>
      <c r="O346" s="592">
        <v>4210156.4476109995</v>
      </c>
      <c r="P346" s="56"/>
      <c r="Q346" s="56"/>
      <c r="R346" s="56"/>
      <c r="S346" s="56"/>
      <c r="T346" s="56"/>
      <c r="U346" s="56"/>
      <c r="V346" s="56"/>
    </row>
    <row r="347" spans="1:22" s="57" customFormat="1">
      <c r="A347" s="291"/>
      <c r="B347" s="292"/>
      <c r="C347" s="295"/>
      <c r="D347" s="295"/>
      <c r="E347" s="295"/>
      <c r="F347" s="295"/>
      <c r="G347" s="295"/>
      <c r="H347" s="295"/>
      <c r="I347" s="295"/>
      <c r="J347" s="295"/>
      <c r="K347" s="295"/>
      <c r="L347" s="295"/>
      <c r="M347" s="295"/>
      <c r="N347" s="295"/>
      <c r="O347" s="296"/>
      <c r="P347" s="56"/>
      <c r="Q347" s="56"/>
      <c r="R347" s="56"/>
      <c r="S347" s="56"/>
      <c r="T347" s="56"/>
      <c r="U347" s="56"/>
      <c r="V347" s="56"/>
    </row>
    <row r="348" spans="1:22" s="57" customFormat="1">
      <c r="A348" s="291"/>
      <c r="B348" s="292"/>
      <c r="C348" s="297"/>
      <c r="D348" s="297"/>
      <c r="E348" s="297"/>
      <c r="F348" s="297"/>
      <c r="G348" s="297"/>
      <c r="H348" s="297"/>
      <c r="I348" s="297"/>
      <c r="J348" s="297"/>
      <c r="K348" s="297"/>
      <c r="L348" s="297"/>
      <c r="M348" s="297"/>
      <c r="N348" s="297"/>
      <c r="O348" s="298"/>
      <c r="P348" s="56"/>
      <c r="Q348" s="56"/>
      <c r="R348" s="56"/>
      <c r="S348" s="56"/>
      <c r="T348" s="56"/>
      <c r="U348" s="56"/>
      <c r="V348" s="56"/>
    </row>
    <row r="349" spans="1:22" s="57" customFormat="1">
      <c r="A349" s="924" t="s">
        <v>1839</v>
      </c>
      <c r="B349" s="1645" t="s">
        <v>1840</v>
      </c>
      <c r="C349" s="1647">
        <v>911369</v>
      </c>
      <c r="D349" s="1647">
        <v>844035</v>
      </c>
      <c r="E349" s="1647">
        <v>835632</v>
      </c>
      <c r="F349" s="1647">
        <v>491766</v>
      </c>
      <c r="G349" s="1647">
        <v>761069</v>
      </c>
      <c r="H349" s="1647">
        <v>733124</v>
      </c>
      <c r="I349" s="1647">
        <v>781636</v>
      </c>
      <c r="J349" s="1647">
        <v>781189</v>
      </c>
      <c r="K349" s="1647">
        <v>819905</v>
      </c>
      <c r="L349" s="1647">
        <v>1066798</v>
      </c>
      <c r="M349" s="1647">
        <v>1240661</v>
      </c>
      <c r="N349" s="1647">
        <v>1001831</v>
      </c>
      <c r="O349" s="592">
        <v>10269015</v>
      </c>
      <c r="P349" s="56"/>
      <c r="Q349" s="56"/>
      <c r="R349" s="56"/>
      <c r="S349" s="56"/>
      <c r="T349" s="56"/>
      <c r="U349" s="56"/>
      <c r="V349" s="56"/>
    </row>
    <row r="350" spans="1:22" s="57" customFormat="1">
      <c r="A350" s="291"/>
      <c r="B350" s="292"/>
      <c r="C350" s="153"/>
      <c r="D350" s="153"/>
      <c r="E350" s="153"/>
      <c r="F350" s="153"/>
      <c r="G350" s="153"/>
      <c r="H350" s="153"/>
      <c r="I350" s="153"/>
      <c r="J350" s="153"/>
      <c r="K350" s="153"/>
      <c r="L350" s="153"/>
      <c r="M350" s="153"/>
      <c r="N350" s="153"/>
      <c r="O350" s="299"/>
      <c r="P350" s="56"/>
      <c r="Q350" s="56"/>
      <c r="R350" s="56"/>
      <c r="S350" s="56"/>
      <c r="T350" s="56"/>
      <c r="U350" s="56"/>
      <c r="V350" s="56"/>
    </row>
    <row r="351" spans="1:22" s="57" customFormat="1">
      <c r="A351" s="300" t="s">
        <v>1841</v>
      </c>
      <c r="B351" s="301"/>
      <c r="C351" s="302"/>
      <c r="D351" s="302">
        <v>2013</v>
      </c>
      <c r="E351" s="302">
        <v>2014</v>
      </c>
      <c r="F351" s="302">
        <v>2015</v>
      </c>
      <c r="G351" s="302">
        <v>2016</v>
      </c>
      <c r="H351" s="302">
        <v>2017</v>
      </c>
      <c r="I351" s="303">
        <v>2018</v>
      </c>
      <c r="J351" s="153"/>
      <c r="K351" s="153"/>
      <c r="L351" s="153"/>
      <c r="M351" s="153"/>
      <c r="N351" s="153"/>
      <c r="O351" s="296"/>
      <c r="P351" s="56"/>
      <c r="Q351" s="56"/>
      <c r="R351" s="56"/>
      <c r="S351" s="56"/>
      <c r="T351" s="56"/>
      <c r="U351" s="56"/>
      <c r="V351" s="56"/>
    </row>
    <row r="352" spans="1:22" s="57" customFormat="1">
      <c r="A352" s="291" t="s">
        <v>90</v>
      </c>
      <c r="B352" s="292"/>
      <c r="C352" s="153"/>
      <c r="D352" s="304">
        <v>2.7</v>
      </c>
      <c r="E352" s="304">
        <v>2.7</v>
      </c>
      <c r="F352" s="304">
        <v>2.72</v>
      </c>
      <c r="G352" s="304">
        <v>2.72</v>
      </c>
      <c r="H352" s="304">
        <v>2.72</v>
      </c>
      <c r="I352" s="305">
        <v>2.72</v>
      </c>
      <c r="J352" s="153"/>
      <c r="K352" s="153"/>
      <c r="L352" s="153"/>
      <c r="M352" s="153"/>
      <c r="N352" s="153"/>
      <c r="O352" s="296"/>
      <c r="P352" s="56"/>
      <c r="Q352" s="56"/>
      <c r="R352" s="56"/>
      <c r="S352" s="56"/>
      <c r="T352" s="56"/>
      <c r="U352" s="56"/>
      <c r="V352" s="56"/>
    </row>
    <row r="353" spans="1:13392" s="57" customFormat="1">
      <c r="A353" s="291" t="s">
        <v>265</v>
      </c>
      <c r="B353" s="292"/>
      <c r="C353" s="153"/>
      <c r="D353" s="304">
        <v>0.13500000000000001</v>
      </c>
      <c r="E353" s="306">
        <v>0.12</v>
      </c>
      <c r="F353" s="306">
        <v>0.13</v>
      </c>
      <c r="G353" s="306">
        <v>0.12</v>
      </c>
      <c r="H353" s="306">
        <v>0.11899999999999999</v>
      </c>
      <c r="I353" s="307">
        <v>0.11899999999999999</v>
      </c>
      <c r="J353" s="153"/>
      <c r="K353" s="153"/>
      <c r="L353" s="153"/>
      <c r="M353" s="153"/>
      <c r="N353" s="153"/>
      <c r="O353" s="296"/>
      <c r="P353" s="56"/>
      <c r="Q353" s="56"/>
      <c r="R353" s="56"/>
      <c r="S353" s="56"/>
      <c r="T353" s="56"/>
      <c r="U353" s="56"/>
      <c r="V353" s="56"/>
    </row>
    <row r="354" spans="1:13392" s="57" customFormat="1">
      <c r="A354" s="291" t="s">
        <v>1842</v>
      </c>
      <c r="B354" s="292"/>
      <c r="C354" s="153"/>
      <c r="D354" s="304">
        <v>1.5299999999999999E-2</v>
      </c>
      <c r="E354" s="304">
        <v>1.5299999999999999E-2</v>
      </c>
      <c r="F354" s="304">
        <v>1.5299999999999999E-2</v>
      </c>
      <c r="G354" s="308">
        <v>9.7000000000000003E-3</v>
      </c>
      <c r="H354" s="308">
        <v>9.7000000000000003E-3</v>
      </c>
      <c r="I354" s="309">
        <v>9.7000000000000003E-3</v>
      </c>
      <c r="J354" s="153"/>
      <c r="K354" s="153"/>
      <c r="L354" s="153"/>
      <c r="M354" s="153"/>
      <c r="N354" s="153"/>
      <c r="O354" s="296"/>
      <c r="P354" s="56"/>
      <c r="Q354" s="56"/>
      <c r="R354" s="56"/>
      <c r="S354" s="56"/>
      <c r="T354" s="56"/>
      <c r="U354" s="56"/>
      <c r="V354" s="56"/>
    </row>
    <row r="355" spans="1:13392" s="57" customFormat="1" ht="15.75" thickBot="1">
      <c r="A355" s="291"/>
      <c r="B355" s="292"/>
      <c r="C355" s="153"/>
      <c r="D355" s="153"/>
      <c r="E355" s="153"/>
      <c r="F355" s="153"/>
      <c r="G355" s="153"/>
      <c r="H355" s="153"/>
      <c r="I355" s="153"/>
      <c r="J355" s="153"/>
      <c r="K355" s="153"/>
      <c r="L355" s="153"/>
      <c r="M355" s="153"/>
      <c r="N355" s="153"/>
      <c r="O355" s="310"/>
      <c r="P355" s="56"/>
      <c r="Q355" s="56"/>
      <c r="R355" s="56"/>
      <c r="S355" s="56"/>
      <c r="T355" s="56"/>
      <c r="U355" s="56"/>
      <c r="V355" s="56"/>
    </row>
    <row r="356" spans="1:13392" s="57" customFormat="1" ht="15.75" thickBot="1">
      <c r="A356" s="311" t="s">
        <v>1843</v>
      </c>
      <c r="B356" s="288" t="s">
        <v>1844</v>
      </c>
      <c r="C356" s="312">
        <v>28.805300290206603</v>
      </c>
      <c r="D356" s="312">
        <v>26.128193912260393</v>
      </c>
      <c r="E356" s="312">
        <v>29.751464091953835</v>
      </c>
      <c r="F356" s="312">
        <v>28.288641559581215</v>
      </c>
      <c r="G356" s="312">
        <v>29.09853983861893</v>
      </c>
      <c r="H356" s="312">
        <v>29.528790491648078</v>
      </c>
      <c r="I356" s="312">
        <v>28.838143933326169</v>
      </c>
      <c r="J356" s="312">
        <v>28.993450880829222</v>
      </c>
      <c r="K356" s="312">
        <v>28.816284964263588</v>
      </c>
      <c r="L356" s="312">
        <v>26.921935944730706</v>
      </c>
      <c r="M356" s="312">
        <v>27.212906978807613</v>
      </c>
      <c r="N356" s="312">
        <v>28.155752968045636</v>
      </c>
      <c r="O356" s="313">
        <v>28.346704921883941</v>
      </c>
      <c r="P356" s="56"/>
      <c r="Q356" s="56"/>
      <c r="R356" s="56"/>
      <c r="S356" s="56"/>
      <c r="T356" s="56"/>
      <c r="U356" s="56"/>
      <c r="V356" s="56"/>
    </row>
    <row r="357" spans="1:13392" s="57" customFormat="1">
      <c r="A357" s="654"/>
      <c r="B357" s="654"/>
      <c r="C357" s="306"/>
      <c r="D357" s="306"/>
      <c r="E357" s="306"/>
      <c r="F357" s="306"/>
      <c r="G357" s="306"/>
      <c r="H357" s="306"/>
      <c r="I357" s="306"/>
      <c r="J357" s="306"/>
      <c r="K357" s="306"/>
      <c r="L357" s="306"/>
      <c r="M357" s="306"/>
      <c r="N357" s="306"/>
      <c r="O357" s="655"/>
      <c r="P357" s="56"/>
      <c r="Q357" s="56"/>
      <c r="R357" s="56"/>
      <c r="S357" s="56"/>
      <c r="T357" s="56"/>
      <c r="U357" s="56"/>
      <c r="V357" s="56"/>
    </row>
    <row r="358" spans="1:13392" s="57" customFormat="1">
      <c r="A358" s="654"/>
      <c r="B358" s="654"/>
      <c r="C358" s="306"/>
      <c r="D358" s="306"/>
      <c r="E358" s="306"/>
      <c r="F358" s="306"/>
      <c r="G358" s="306"/>
      <c r="H358" s="306"/>
      <c r="I358" s="306"/>
      <c r="J358" s="306"/>
      <c r="K358" s="306"/>
      <c r="L358" s="306"/>
      <c r="M358" s="306"/>
      <c r="N358" s="306"/>
      <c r="O358" s="655"/>
      <c r="P358" s="56"/>
      <c r="Q358" s="56"/>
      <c r="R358" s="56"/>
      <c r="S358" s="56"/>
      <c r="T358" s="56"/>
      <c r="U358" s="56"/>
      <c r="V358" s="56"/>
    </row>
    <row r="359" spans="1:13392" s="57" customFormat="1">
      <c r="A359" s="2116" t="s">
        <v>1868</v>
      </c>
      <c r="B359" s="2116"/>
      <c r="C359" s="2116"/>
      <c r="D359" s="2116"/>
      <c r="E359" s="2116"/>
      <c r="F359" s="2116"/>
      <c r="G359" s="2116"/>
      <c r="H359" s="2116"/>
      <c r="I359" s="2116"/>
      <c r="J359" s="2116"/>
      <c r="K359" s="2116"/>
      <c r="L359" s="2116"/>
      <c r="M359" s="2116"/>
      <c r="N359" s="2116"/>
      <c r="O359" s="2116"/>
      <c r="P359" s="2116"/>
      <c r="Q359" s="2115" t="s">
        <v>1869</v>
      </c>
      <c r="R359" s="2115"/>
      <c r="S359" s="2115"/>
      <c r="T359" s="2115"/>
      <c r="U359" s="2115"/>
      <c r="V359" s="2115"/>
      <c r="W359" s="2115"/>
      <c r="X359" s="2115"/>
      <c r="Y359" s="2115"/>
      <c r="Z359" s="2115"/>
      <c r="AA359" s="2115"/>
      <c r="AB359" s="2115"/>
      <c r="AC359" s="2115"/>
      <c r="AD359" s="2115"/>
      <c r="AE359" s="2115"/>
      <c r="AF359" s="2115"/>
      <c r="AG359" s="2116" t="s">
        <v>1869</v>
      </c>
      <c r="AH359" s="2116"/>
      <c r="AI359" s="2116"/>
      <c r="AJ359" s="2116"/>
      <c r="AK359" s="2116"/>
      <c r="AL359" s="2116"/>
      <c r="AM359" s="2116"/>
      <c r="AN359" s="2116"/>
      <c r="AO359" s="2116"/>
      <c r="AP359" s="2116"/>
      <c r="AQ359" s="2116"/>
      <c r="AR359" s="2116"/>
      <c r="AS359" s="2116"/>
      <c r="AT359" s="2116"/>
      <c r="AU359" s="2116"/>
      <c r="AV359" s="2116"/>
      <c r="AW359" s="2116" t="s">
        <v>1869</v>
      </c>
      <c r="AX359" s="2116"/>
      <c r="AY359" s="2116"/>
      <c r="AZ359" s="2116"/>
      <c r="BA359" s="2116"/>
      <c r="BB359" s="2116"/>
      <c r="BC359" s="2116"/>
      <c r="BD359" s="2116"/>
      <c r="BE359" s="2116"/>
      <c r="BF359" s="2116"/>
      <c r="BG359" s="2116"/>
      <c r="BH359" s="2116"/>
      <c r="BI359" s="2116"/>
      <c r="BJ359" s="2116"/>
      <c r="BK359" s="2116"/>
      <c r="BL359" s="2116"/>
      <c r="BM359" s="2116" t="s">
        <v>1869</v>
      </c>
      <c r="BN359" s="2116"/>
      <c r="BO359" s="2116"/>
      <c r="BP359" s="2116"/>
      <c r="BQ359" s="2116"/>
      <c r="BR359" s="2116"/>
      <c r="BS359" s="2116"/>
      <c r="BT359" s="2116"/>
      <c r="BU359" s="2116"/>
      <c r="BV359" s="2116"/>
      <c r="BW359" s="2116"/>
      <c r="BX359" s="2116"/>
      <c r="BY359" s="2116"/>
      <c r="BZ359" s="2116"/>
      <c r="CA359" s="2116"/>
      <c r="CB359" s="2116"/>
      <c r="CC359" s="2116" t="s">
        <v>1869</v>
      </c>
      <c r="CD359" s="2116"/>
      <c r="CE359" s="2116"/>
      <c r="CF359" s="2116"/>
      <c r="CG359" s="2116"/>
      <c r="CH359" s="2116"/>
      <c r="CI359" s="2116"/>
      <c r="CJ359" s="2116"/>
      <c r="CK359" s="2116"/>
      <c r="CL359" s="2116"/>
      <c r="CM359" s="2116"/>
      <c r="CN359" s="2116"/>
      <c r="CO359" s="2116"/>
      <c r="CP359" s="2116"/>
      <c r="CQ359" s="2116"/>
      <c r="CR359" s="2116"/>
      <c r="CS359" s="2116" t="s">
        <v>1869</v>
      </c>
      <c r="CT359" s="2116"/>
      <c r="CU359" s="2116"/>
      <c r="CV359" s="2116"/>
      <c r="CW359" s="2116"/>
      <c r="CX359" s="2116"/>
      <c r="CY359" s="2116"/>
      <c r="CZ359" s="2116"/>
      <c r="DA359" s="2116"/>
      <c r="DB359" s="2116"/>
      <c r="DC359" s="2116"/>
      <c r="DD359" s="2116"/>
      <c r="DE359" s="2116"/>
      <c r="DF359" s="2116"/>
      <c r="DG359" s="2116"/>
      <c r="DH359" s="2116"/>
      <c r="DI359" s="2116" t="s">
        <v>1869</v>
      </c>
      <c r="DJ359" s="2116"/>
      <c r="DK359" s="2116"/>
      <c r="DL359" s="2116"/>
      <c r="DM359" s="2116"/>
      <c r="DN359" s="2116"/>
      <c r="DO359" s="2116"/>
      <c r="DP359" s="2116"/>
      <c r="DQ359" s="2116"/>
      <c r="DR359" s="2116"/>
      <c r="DS359" s="2116"/>
      <c r="DT359" s="2116"/>
      <c r="DU359" s="2116"/>
      <c r="DV359" s="2116"/>
      <c r="DW359" s="2116"/>
      <c r="DX359" s="2116"/>
      <c r="DY359" s="2116" t="s">
        <v>1869</v>
      </c>
      <c r="DZ359" s="2116"/>
      <c r="EA359" s="2116"/>
      <c r="EB359" s="2116"/>
      <c r="EC359" s="2116"/>
      <c r="ED359" s="2116"/>
      <c r="EE359" s="2116"/>
      <c r="EF359" s="2116"/>
      <c r="EG359" s="2116"/>
      <c r="EH359" s="2116"/>
      <c r="EI359" s="2116"/>
      <c r="EJ359" s="2116"/>
      <c r="EK359" s="2116"/>
      <c r="EL359" s="2116"/>
      <c r="EM359" s="2116"/>
      <c r="EN359" s="2116"/>
      <c r="EO359" s="2116" t="s">
        <v>1869</v>
      </c>
      <c r="EP359" s="2116"/>
      <c r="EQ359" s="2116"/>
      <c r="ER359" s="2116"/>
      <c r="ES359" s="2116"/>
      <c r="ET359" s="2116"/>
      <c r="EU359" s="2116"/>
      <c r="EV359" s="2116"/>
      <c r="EW359" s="2116"/>
      <c r="EX359" s="2116"/>
      <c r="EY359" s="2116"/>
      <c r="EZ359" s="2116"/>
      <c r="FA359" s="2116"/>
      <c r="FB359" s="2116"/>
      <c r="FC359" s="2116"/>
      <c r="FD359" s="2116"/>
      <c r="FE359" s="2116" t="s">
        <v>1869</v>
      </c>
      <c r="FF359" s="2116"/>
      <c r="FG359" s="2116"/>
      <c r="FH359" s="2116"/>
      <c r="FI359" s="2116"/>
      <c r="FJ359" s="2116"/>
      <c r="FK359" s="2116"/>
      <c r="FL359" s="2116"/>
      <c r="FM359" s="2116"/>
      <c r="FN359" s="2116"/>
      <c r="FO359" s="2116"/>
      <c r="FP359" s="2116"/>
      <c r="FQ359" s="2116"/>
      <c r="FR359" s="2116"/>
      <c r="FS359" s="2116"/>
      <c r="FT359" s="2116"/>
      <c r="FU359" s="2116" t="s">
        <v>1869</v>
      </c>
      <c r="FV359" s="2116"/>
      <c r="FW359" s="2116"/>
      <c r="FX359" s="2116"/>
      <c r="FY359" s="2116"/>
      <c r="FZ359" s="2116"/>
      <c r="GA359" s="2116"/>
      <c r="GB359" s="2116"/>
      <c r="GC359" s="2116"/>
      <c r="GD359" s="2116"/>
      <c r="GE359" s="2116"/>
      <c r="GF359" s="2116"/>
      <c r="GG359" s="2116"/>
      <c r="GH359" s="2116"/>
      <c r="GI359" s="2116"/>
      <c r="GJ359" s="2116"/>
      <c r="GK359" s="2116" t="s">
        <v>1869</v>
      </c>
      <c r="GL359" s="2116"/>
      <c r="GM359" s="2116"/>
      <c r="GN359" s="2116"/>
      <c r="GO359" s="2116"/>
      <c r="GP359" s="2116"/>
      <c r="GQ359" s="2116"/>
      <c r="GR359" s="2116"/>
      <c r="GS359" s="2116"/>
      <c r="GT359" s="2116"/>
      <c r="GU359" s="2116"/>
      <c r="GV359" s="2116"/>
      <c r="GW359" s="2116"/>
      <c r="GX359" s="2116"/>
      <c r="GY359" s="2116"/>
      <c r="GZ359" s="2116"/>
      <c r="HA359" s="2116" t="s">
        <v>1869</v>
      </c>
      <c r="HB359" s="2116"/>
      <c r="HC359" s="2116"/>
      <c r="HD359" s="2116"/>
      <c r="HE359" s="2116"/>
      <c r="HF359" s="2116"/>
      <c r="HG359" s="2116"/>
      <c r="HH359" s="2116"/>
      <c r="HI359" s="2116"/>
      <c r="HJ359" s="2116"/>
      <c r="HK359" s="2116"/>
      <c r="HL359" s="2116"/>
      <c r="HM359" s="2116"/>
      <c r="HN359" s="2116"/>
      <c r="HO359" s="2116"/>
      <c r="HP359" s="2116"/>
      <c r="HQ359" s="2116" t="s">
        <v>1869</v>
      </c>
      <c r="HR359" s="2116"/>
      <c r="HS359" s="2116"/>
      <c r="HT359" s="2116"/>
      <c r="HU359" s="2116"/>
      <c r="HV359" s="2116"/>
      <c r="HW359" s="2116"/>
      <c r="HX359" s="2116"/>
      <c r="HY359" s="2116"/>
      <c r="HZ359" s="2116"/>
      <c r="IA359" s="2116"/>
      <c r="IB359" s="2116"/>
      <c r="IC359" s="2116"/>
      <c r="ID359" s="2116"/>
      <c r="IE359" s="2116"/>
      <c r="IF359" s="2116"/>
      <c r="IG359" s="2116" t="s">
        <v>1869</v>
      </c>
      <c r="IH359" s="2116"/>
      <c r="II359" s="2116"/>
      <c r="IJ359" s="2116"/>
      <c r="IK359" s="2116"/>
      <c r="IL359" s="2116"/>
      <c r="IM359" s="2116"/>
      <c r="IN359" s="2116"/>
      <c r="IO359" s="2116"/>
      <c r="IP359" s="2116"/>
      <c r="IQ359" s="2116"/>
      <c r="IR359" s="2116"/>
      <c r="IS359" s="2116"/>
      <c r="IT359" s="2116"/>
      <c r="IU359" s="2116"/>
      <c r="IV359" s="2116"/>
      <c r="IW359" s="2116" t="s">
        <v>1869</v>
      </c>
      <c r="IX359" s="2116"/>
      <c r="IY359" s="2116"/>
      <c r="IZ359" s="2116"/>
      <c r="JA359" s="2116"/>
      <c r="JB359" s="2116"/>
      <c r="JC359" s="2116"/>
      <c r="JD359" s="2116"/>
      <c r="JE359" s="2116"/>
      <c r="JF359" s="2116"/>
      <c r="JG359" s="2116"/>
      <c r="JH359" s="2116"/>
      <c r="JI359" s="2116"/>
      <c r="JJ359" s="2116"/>
      <c r="JK359" s="2116"/>
      <c r="JL359" s="2116"/>
      <c r="JM359" s="2116" t="s">
        <v>1869</v>
      </c>
      <c r="JN359" s="2116"/>
      <c r="JO359" s="2116"/>
      <c r="JP359" s="2116"/>
      <c r="JQ359" s="2116"/>
      <c r="JR359" s="2116"/>
      <c r="JS359" s="2116"/>
      <c r="JT359" s="2116"/>
      <c r="JU359" s="2116"/>
      <c r="JV359" s="2116"/>
      <c r="JW359" s="2116"/>
      <c r="JX359" s="2116"/>
      <c r="JY359" s="2116"/>
      <c r="JZ359" s="2116"/>
      <c r="KA359" s="2116"/>
      <c r="KB359" s="2116"/>
      <c r="KC359" s="2116" t="s">
        <v>1869</v>
      </c>
      <c r="KD359" s="2116"/>
      <c r="KE359" s="2116"/>
      <c r="KF359" s="2116"/>
      <c r="KG359" s="2116"/>
      <c r="KH359" s="2116"/>
      <c r="KI359" s="2116"/>
      <c r="KJ359" s="2116"/>
      <c r="KK359" s="2116"/>
      <c r="KL359" s="2116"/>
      <c r="KM359" s="2116"/>
      <c r="KN359" s="2116"/>
      <c r="KO359" s="2116"/>
      <c r="KP359" s="2116"/>
      <c r="KQ359" s="2116"/>
      <c r="KR359" s="2116"/>
      <c r="KS359" s="2116" t="s">
        <v>1869</v>
      </c>
      <c r="KT359" s="2116"/>
      <c r="KU359" s="2116"/>
      <c r="KV359" s="2116"/>
      <c r="KW359" s="2116"/>
      <c r="KX359" s="2116"/>
      <c r="KY359" s="2116"/>
      <c r="KZ359" s="2116"/>
      <c r="LA359" s="2116"/>
      <c r="LB359" s="2116"/>
      <c r="LC359" s="2116"/>
      <c r="LD359" s="2116"/>
      <c r="LE359" s="2116"/>
      <c r="LF359" s="2116"/>
      <c r="LG359" s="2116"/>
      <c r="LH359" s="2116"/>
      <c r="LI359" s="2116" t="s">
        <v>1869</v>
      </c>
      <c r="LJ359" s="2116"/>
      <c r="LK359" s="2116"/>
      <c r="LL359" s="2116"/>
      <c r="LM359" s="2116"/>
      <c r="LN359" s="2116"/>
      <c r="LO359" s="2116"/>
      <c r="LP359" s="2116"/>
      <c r="LQ359" s="2116"/>
      <c r="LR359" s="2116"/>
      <c r="LS359" s="2116"/>
      <c r="LT359" s="2116"/>
      <c r="LU359" s="2116"/>
      <c r="LV359" s="2116"/>
      <c r="LW359" s="2116"/>
      <c r="LX359" s="2116"/>
      <c r="LY359" s="2116" t="s">
        <v>1869</v>
      </c>
      <c r="LZ359" s="2116"/>
      <c r="MA359" s="2116"/>
      <c r="MB359" s="2116"/>
      <c r="MC359" s="2116"/>
      <c r="MD359" s="2116"/>
      <c r="ME359" s="2116"/>
      <c r="MF359" s="2116"/>
      <c r="MG359" s="2116"/>
      <c r="MH359" s="2116"/>
      <c r="MI359" s="2116"/>
      <c r="MJ359" s="2116"/>
      <c r="MK359" s="2116"/>
      <c r="ML359" s="2116"/>
      <c r="MM359" s="2116"/>
      <c r="MN359" s="2116"/>
      <c r="MO359" s="2116" t="s">
        <v>1869</v>
      </c>
      <c r="MP359" s="2116"/>
      <c r="MQ359" s="2116"/>
      <c r="MR359" s="2116"/>
      <c r="MS359" s="2116"/>
      <c r="MT359" s="2116"/>
      <c r="MU359" s="2116"/>
      <c r="MV359" s="2116"/>
      <c r="MW359" s="2116"/>
      <c r="MX359" s="2116"/>
      <c r="MY359" s="2116"/>
      <c r="MZ359" s="2116"/>
      <c r="NA359" s="2116"/>
      <c r="NB359" s="2116"/>
      <c r="NC359" s="2116"/>
      <c r="ND359" s="2116"/>
      <c r="NE359" s="2116" t="s">
        <v>1869</v>
      </c>
      <c r="NF359" s="2116"/>
      <c r="NG359" s="2116"/>
      <c r="NH359" s="2116"/>
      <c r="NI359" s="2116"/>
      <c r="NJ359" s="2116"/>
      <c r="NK359" s="2116"/>
      <c r="NL359" s="2116"/>
      <c r="NM359" s="2116"/>
      <c r="NN359" s="2116"/>
      <c r="NO359" s="2116"/>
      <c r="NP359" s="2116"/>
      <c r="NQ359" s="2116"/>
      <c r="NR359" s="2116"/>
      <c r="NS359" s="2116"/>
      <c r="NT359" s="2116"/>
      <c r="NU359" s="2116" t="s">
        <v>1869</v>
      </c>
      <c r="NV359" s="2116"/>
      <c r="NW359" s="2116"/>
      <c r="NX359" s="2116"/>
      <c r="NY359" s="2116"/>
      <c r="NZ359" s="2116"/>
      <c r="OA359" s="2116"/>
      <c r="OB359" s="2116"/>
      <c r="OC359" s="2116"/>
      <c r="OD359" s="2116"/>
      <c r="OE359" s="2116"/>
      <c r="OF359" s="2116"/>
      <c r="OG359" s="2116"/>
      <c r="OH359" s="2116"/>
      <c r="OI359" s="2116"/>
      <c r="OJ359" s="2116"/>
      <c r="OK359" s="2116" t="s">
        <v>1869</v>
      </c>
      <c r="OL359" s="2116"/>
      <c r="OM359" s="2116"/>
      <c r="ON359" s="2116"/>
      <c r="OO359" s="2116"/>
      <c r="OP359" s="2116"/>
      <c r="OQ359" s="2116"/>
      <c r="OR359" s="2116"/>
      <c r="OS359" s="2116"/>
      <c r="OT359" s="2116"/>
      <c r="OU359" s="2116"/>
      <c r="OV359" s="2116"/>
      <c r="OW359" s="2116"/>
      <c r="OX359" s="2116"/>
      <c r="OY359" s="2116"/>
      <c r="OZ359" s="2116"/>
      <c r="PA359" s="2116" t="s">
        <v>1869</v>
      </c>
      <c r="PB359" s="2116"/>
      <c r="PC359" s="2116"/>
      <c r="PD359" s="2116"/>
      <c r="PE359" s="2116"/>
      <c r="PF359" s="2116"/>
      <c r="PG359" s="2116"/>
      <c r="PH359" s="2116"/>
      <c r="PI359" s="2116"/>
      <c r="PJ359" s="2116"/>
      <c r="PK359" s="2116"/>
      <c r="PL359" s="2116"/>
      <c r="PM359" s="2116"/>
      <c r="PN359" s="2116"/>
      <c r="PO359" s="2116"/>
      <c r="PP359" s="2116"/>
      <c r="PQ359" s="2116" t="s">
        <v>1869</v>
      </c>
      <c r="PR359" s="2116"/>
      <c r="PS359" s="2116"/>
      <c r="PT359" s="2116"/>
      <c r="PU359" s="2116"/>
      <c r="PV359" s="2116"/>
      <c r="PW359" s="2116"/>
      <c r="PX359" s="2116"/>
      <c r="PY359" s="2116"/>
      <c r="PZ359" s="2116"/>
      <c r="QA359" s="2116"/>
      <c r="QB359" s="2116"/>
      <c r="QC359" s="2116"/>
      <c r="QD359" s="2116"/>
      <c r="QE359" s="2116"/>
      <c r="QF359" s="2116"/>
      <c r="QG359" s="2116" t="s">
        <v>1869</v>
      </c>
      <c r="QH359" s="2116"/>
      <c r="QI359" s="2116"/>
      <c r="QJ359" s="2116"/>
      <c r="QK359" s="2116"/>
      <c r="QL359" s="2116"/>
      <c r="QM359" s="2116"/>
      <c r="QN359" s="2116"/>
      <c r="QO359" s="2116"/>
      <c r="QP359" s="2116"/>
      <c r="QQ359" s="2116"/>
      <c r="QR359" s="2116"/>
      <c r="QS359" s="2116"/>
      <c r="QT359" s="2116"/>
      <c r="QU359" s="2116"/>
      <c r="QV359" s="2116"/>
      <c r="QW359" s="2116" t="s">
        <v>1869</v>
      </c>
      <c r="QX359" s="2116"/>
      <c r="QY359" s="2116"/>
      <c r="QZ359" s="2116"/>
      <c r="RA359" s="2116"/>
      <c r="RB359" s="2116"/>
      <c r="RC359" s="2116"/>
      <c r="RD359" s="2116"/>
      <c r="RE359" s="2116"/>
      <c r="RF359" s="2116"/>
      <c r="RG359" s="2116"/>
      <c r="RH359" s="2116"/>
      <c r="RI359" s="2116"/>
      <c r="RJ359" s="2116"/>
      <c r="RK359" s="2116"/>
      <c r="RL359" s="2116"/>
      <c r="RM359" s="2116" t="s">
        <v>1869</v>
      </c>
      <c r="RN359" s="2116"/>
      <c r="RO359" s="2116"/>
      <c r="RP359" s="2116"/>
      <c r="RQ359" s="2116"/>
      <c r="RR359" s="2116"/>
      <c r="RS359" s="2116"/>
      <c r="RT359" s="2116"/>
      <c r="RU359" s="2116"/>
      <c r="RV359" s="2116"/>
      <c r="RW359" s="2116"/>
      <c r="RX359" s="2116"/>
      <c r="RY359" s="2116"/>
      <c r="RZ359" s="2116"/>
      <c r="SA359" s="2116"/>
      <c r="SB359" s="2116"/>
      <c r="SC359" s="2116" t="s">
        <v>1869</v>
      </c>
      <c r="SD359" s="2116"/>
      <c r="SE359" s="2116"/>
      <c r="SF359" s="2116"/>
      <c r="SG359" s="2116"/>
      <c r="SH359" s="2116"/>
      <c r="SI359" s="2116"/>
      <c r="SJ359" s="2116"/>
      <c r="SK359" s="2116"/>
      <c r="SL359" s="2116"/>
      <c r="SM359" s="2116"/>
      <c r="SN359" s="2116"/>
      <c r="SO359" s="2116"/>
      <c r="SP359" s="2116"/>
      <c r="SQ359" s="2116"/>
      <c r="SR359" s="2116"/>
      <c r="SS359" s="2116" t="s">
        <v>1869</v>
      </c>
      <c r="ST359" s="2116"/>
      <c r="SU359" s="2116"/>
      <c r="SV359" s="2116"/>
      <c r="SW359" s="2116"/>
      <c r="SX359" s="2116"/>
      <c r="SY359" s="2116"/>
      <c r="SZ359" s="2116"/>
      <c r="TA359" s="2116"/>
      <c r="TB359" s="2116"/>
      <c r="TC359" s="2116"/>
      <c r="TD359" s="2116"/>
      <c r="TE359" s="2116"/>
      <c r="TF359" s="2116"/>
      <c r="TG359" s="2116"/>
      <c r="TH359" s="2116"/>
      <c r="TI359" s="2116" t="s">
        <v>1869</v>
      </c>
      <c r="TJ359" s="2116"/>
      <c r="TK359" s="2116"/>
      <c r="TL359" s="2116"/>
      <c r="TM359" s="2116"/>
      <c r="TN359" s="2116"/>
      <c r="TO359" s="2116"/>
      <c r="TP359" s="2116"/>
      <c r="TQ359" s="2116"/>
      <c r="TR359" s="2116"/>
      <c r="TS359" s="2116"/>
      <c r="TT359" s="2116"/>
      <c r="TU359" s="2116"/>
      <c r="TV359" s="2116"/>
      <c r="TW359" s="2116"/>
      <c r="TX359" s="2116"/>
      <c r="TY359" s="2116" t="s">
        <v>1869</v>
      </c>
      <c r="TZ359" s="2116"/>
      <c r="UA359" s="2116"/>
      <c r="UB359" s="2116"/>
      <c r="UC359" s="2116"/>
      <c r="UD359" s="2116"/>
      <c r="UE359" s="2116"/>
      <c r="UF359" s="2116"/>
      <c r="UG359" s="2116"/>
      <c r="UH359" s="2116"/>
      <c r="UI359" s="2116"/>
      <c r="UJ359" s="2116"/>
      <c r="UK359" s="2116"/>
      <c r="UL359" s="2116"/>
      <c r="UM359" s="2116"/>
      <c r="UN359" s="2116"/>
      <c r="UO359" s="2116" t="s">
        <v>1869</v>
      </c>
      <c r="UP359" s="2116"/>
      <c r="UQ359" s="2116"/>
      <c r="UR359" s="2116"/>
      <c r="US359" s="2116"/>
      <c r="UT359" s="2116"/>
      <c r="UU359" s="2116"/>
      <c r="UV359" s="2116"/>
      <c r="UW359" s="2116"/>
      <c r="UX359" s="2116"/>
      <c r="UY359" s="2116"/>
      <c r="UZ359" s="2116"/>
      <c r="VA359" s="2116"/>
      <c r="VB359" s="2116"/>
      <c r="VC359" s="2116"/>
      <c r="VD359" s="2116"/>
      <c r="VE359" s="2116" t="s">
        <v>1869</v>
      </c>
      <c r="VF359" s="2116"/>
      <c r="VG359" s="2116"/>
      <c r="VH359" s="2116"/>
      <c r="VI359" s="2116"/>
      <c r="VJ359" s="2116"/>
      <c r="VK359" s="2116"/>
      <c r="VL359" s="2116"/>
      <c r="VM359" s="2116"/>
      <c r="VN359" s="2116"/>
      <c r="VO359" s="2116"/>
      <c r="VP359" s="2116"/>
      <c r="VQ359" s="2116"/>
      <c r="VR359" s="2116"/>
      <c r="VS359" s="2116"/>
      <c r="VT359" s="2116"/>
      <c r="VU359" s="2116" t="s">
        <v>1869</v>
      </c>
      <c r="VV359" s="2116"/>
      <c r="VW359" s="2116"/>
      <c r="VX359" s="2116"/>
      <c r="VY359" s="2116"/>
      <c r="VZ359" s="2116"/>
      <c r="WA359" s="2116"/>
      <c r="WB359" s="2116"/>
      <c r="WC359" s="2116"/>
      <c r="WD359" s="2116"/>
      <c r="WE359" s="2116"/>
      <c r="WF359" s="2116"/>
      <c r="WG359" s="2116"/>
      <c r="WH359" s="2116"/>
      <c r="WI359" s="2116"/>
      <c r="WJ359" s="2116"/>
      <c r="WK359" s="2116" t="s">
        <v>1869</v>
      </c>
      <c r="WL359" s="2116"/>
      <c r="WM359" s="2116"/>
      <c r="WN359" s="2116"/>
      <c r="WO359" s="2116"/>
      <c r="WP359" s="2116"/>
      <c r="WQ359" s="2116"/>
      <c r="WR359" s="2116"/>
      <c r="WS359" s="2116"/>
      <c r="WT359" s="2116"/>
      <c r="WU359" s="2116"/>
      <c r="WV359" s="2116"/>
      <c r="WW359" s="2116"/>
      <c r="WX359" s="2116"/>
      <c r="WY359" s="2116"/>
      <c r="WZ359" s="2116"/>
      <c r="XA359" s="2116" t="s">
        <v>1869</v>
      </c>
      <c r="XB359" s="2116"/>
      <c r="XC359" s="2116"/>
      <c r="XD359" s="2116"/>
      <c r="XE359" s="2116"/>
      <c r="XF359" s="2116"/>
      <c r="XG359" s="2116"/>
      <c r="XH359" s="2116"/>
      <c r="XI359" s="2116"/>
      <c r="XJ359" s="2116"/>
      <c r="XK359" s="2116"/>
      <c r="XL359" s="2116"/>
      <c r="XM359" s="2116"/>
      <c r="XN359" s="2116"/>
      <c r="XO359" s="2116"/>
      <c r="XP359" s="2116"/>
      <c r="XQ359" s="2116" t="s">
        <v>1869</v>
      </c>
      <c r="XR359" s="2116"/>
      <c r="XS359" s="2116"/>
      <c r="XT359" s="2116"/>
      <c r="XU359" s="2116"/>
      <c r="XV359" s="2116"/>
      <c r="XW359" s="2116"/>
      <c r="XX359" s="2116"/>
      <c r="XY359" s="2116"/>
      <c r="XZ359" s="2116"/>
      <c r="YA359" s="2116"/>
      <c r="YB359" s="2116"/>
      <c r="YC359" s="2116"/>
      <c r="YD359" s="2116"/>
      <c r="YE359" s="2116"/>
      <c r="YF359" s="2116"/>
      <c r="YG359" s="2116" t="s">
        <v>1869</v>
      </c>
      <c r="YH359" s="2116"/>
      <c r="YI359" s="2116"/>
      <c r="YJ359" s="2116"/>
      <c r="YK359" s="2116"/>
      <c r="YL359" s="2116"/>
      <c r="YM359" s="2116"/>
      <c r="YN359" s="2116"/>
      <c r="YO359" s="2116"/>
      <c r="YP359" s="2116"/>
      <c r="YQ359" s="2116"/>
      <c r="YR359" s="2116"/>
      <c r="YS359" s="2116"/>
      <c r="YT359" s="2116"/>
      <c r="YU359" s="2116"/>
      <c r="YV359" s="2116"/>
      <c r="YW359" s="2116" t="s">
        <v>1869</v>
      </c>
      <c r="YX359" s="2116"/>
      <c r="YY359" s="2116"/>
      <c r="YZ359" s="2116"/>
      <c r="ZA359" s="2116"/>
      <c r="ZB359" s="2116"/>
      <c r="ZC359" s="2116"/>
      <c r="ZD359" s="2116"/>
      <c r="ZE359" s="2116"/>
      <c r="ZF359" s="2116"/>
      <c r="ZG359" s="2116"/>
      <c r="ZH359" s="2116"/>
      <c r="ZI359" s="2116"/>
      <c r="ZJ359" s="2116"/>
      <c r="ZK359" s="2116"/>
      <c r="ZL359" s="2116"/>
      <c r="ZM359" s="2116" t="s">
        <v>1869</v>
      </c>
      <c r="ZN359" s="2116"/>
      <c r="ZO359" s="2116"/>
      <c r="ZP359" s="2116"/>
      <c r="ZQ359" s="2116"/>
      <c r="ZR359" s="2116"/>
      <c r="ZS359" s="2116"/>
      <c r="ZT359" s="2116"/>
      <c r="ZU359" s="2116"/>
      <c r="ZV359" s="2116"/>
      <c r="ZW359" s="2116"/>
      <c r="ZX359" s="2116"/>
      <c r="ZY359" s="2116"/>
      <c r="ZZ359" s="2116"/>
      <c r="AAA359" s="2116"/>
      <c r="AAB359" s="2116"/>
      <c r="AAC359" s="2116" t="s">
        <v>1869</v>
      </c>
      <c r="AAD359" s="2116"/>
      <c r="AAE359" s="2116"/>
      <c r="AAF359" s="2116"/>
      <c r="AAG359" s="2116"/>
      <c r="AAH359" s="2116"/>
      <c r="AAI359" s="2116"/>
      <c r="AAJ359" s="2116"/>
      <c r="AAK359" s="2116"/>
      <c r="AAL359" s="2116"/>
      <c r="AAM359" s="2116"/>
      <c r="AAN359" s="2116"/>
      <c r="AAO359" s="2116"/>
      <c r="AAP359" s="2116"/>
      <c r="AAQ359" s="2116"/>
      <c r="AAR359" s="2116"/>
      <c r="AAS359" s="2116" t="s">
        <v>1869</v>
      </c>
      <c r="AAT359" s="2116"/>
      <c r="AAU359" s="2116"/>
      <c r="AAV359" s="2116"/>
      <c r="AAW359" s="2116"/>
      <c r="AAX359" s="2116"/>
      <c r="AAY359" s="2116"/>
      <c r="AAZ359" s="2116"/>
      <c r="ABA359" s="2116"/>
      <c r="ABB359" s="2116"/>
      <c r="ABC359" s="2116"/>
      <c r="ABD359" s="2116"/>
      <c r="ABE359" s="2116"/>
      <c r="ABF359" s="2116"/>
      <c r="ABG359" s="2116"/>
      <c r="ABH359" s="2116"/>
      <c r="ABI359" s="2116" t="s">
        <v>1869</v>
      </c>
      <c r="ABJ359" s="2116"/>
      <c r="ABK359" s="2116"/>
      <c r="ABL359" s="2116"/>
      <c r="ABM359" s="2116"/>
      <c r="ABN359" s="2116"/>
      <c r="ABO359" s="2116"/>
      <c r="ABP359" s="2116"/>
      <c r="ABQ359" s="2116"/>
      <c r="ABR359" s="2116"/>
      <c r="ABS359" s="2116"/>
      <c r="ABT359" s="2116"/>
      <c r="ABU359" s="2116"/>
      <c r="ABV359" s="2116"/>
      <c r="ABW359" s="2116"/>
      <c r="ABX359" s="2116"/>
      <c r="ABY359" s="2116" t="s">
        <v>1869</v>
      </c>
      <c r="ABZ359" s="2116"/>
      <c r="ACA359" s="2116"/>
      <c r="ACB359" s="2116"/>
      <c r="ACC359" s="2116"/>
      <c r="ACD359" s="2116"/>
      <c r="ACE359" s="2116"/>
      <c r="ACF359" s="2116"/>
      <c r="ACG359" s="2116"/>
      <c r="ACH359" s="2116"/>
      <c r="ACI359" s="2116"/>
      <c r="ACJ359" s="2116"/>
      <c r="ACK359" s="2116"/>
      <c r="ACL359" s="2116"/>
      <c r="ACM359" s="2116"/>
      <c r="ACN359" s="2116"/>
      <c r="ACO359" s="2116" t="s">
        <v>1869</v>
      </c>
      <c r="ACP359" s="2116"/>
      <c r="ACQ359" s="2116"/>
      <c r="ACR359" s="2116"/>
      <c r="ACS359" s="2116"/>
      <c r="ACT359" s="2116"/>
      <c r="ACU359" s="2116"/>
      <c r="ACV359" s="2116"/>
      <c r="ACW359" s="2116"/>
      <c r="ACX359" s="2116"/>
      <c r="ACY359" s="2116"/>
      <c r="ACZ359" s="2116"/>
      <c r="ADA359" s="2116"/>
      <c r="ADB359" s="2116"/>
      <c r="ADC359" s="2116"/>
      <c r="ADD359" s="2116"/>
      <c r="ADE359" s="2116" t="s">
        <v>1869</v>
      </c>
      <c r="ADF359" s="2116"/>
      <c r="ADG359" s="2116"/>
      <c r="ADH359" s="2116"/>
      <c r="ADI359" s="2116"/>
      <c r="ADJ359" s="2116"/>
      <c r="ADK359" s="2116"/>
      <c r="ADL359" s="2116"/>
      <c r="ADM359" s="2116"/>
      <c r="ADN359" s="2116"/>
      <c r="ADO359" s="2116"/>
      <c r="ADP359" s="2116"/>
      <c r="ADQ359" s="2116"/>
      <c r="ADR359" s="2116"/>
      <c r="ADS359" s="2116"/>
      <c r="ADT359" s="2116"/>
      <c r="ADU359" s="2116" t="s">
        <v>1869</v>
      </c>
      <c r="ADV359" s="2116"/>
      <c r="ADW359" s="2116"/>
      <c r="ADX359" s="2116"/>
      <c r="ADY359" s="2116"/>
      <c r="ADZ359" s="2116"/>
      <c r="AEA359" s="2116"/>
      <c r="AEB359" s="2116"/>
      <c r="AEC359" s="2116"/>
      <c r="AED359" s="2116"/>
      <c r="AEE359" s="2116"/>
      <c r="AEF359" s="2116"/>
      <c r="AEG359" s="2116"/>
      <c r="AEH359" s="2116"/>
      <c r="AEI359" s="2116"/>
      <c r="AEJ359" s="2116"/>
      <c r="AEK359" s="2116" t="s">
        <v>1869</v>
      </c>
      <c r="AEL359" s="2116"/>
      <c r="AEM359" s="2116"/>
      <c r="AEN359" s="2116"/>
      <c r="AEO359" s="2116"/>
      <c r="AEP359" s="2116"/>
      <c r="AEQ359" s="2116"/>
      <c r="AER359" s="2116"/>
      <c r="AES359" s="2116"/>
      <c r="AET359" s="2116"/>
      <c r="AEU359" s="2116"/>
      <c r="AEV359" s="2116"/>
      <c r="AEW359" s="2116"/>
      <c r="AEX359" s="2116"/>
      <c r="AEY359" s="2116"/>
      <c r="AEZ359" s="2116"/>
      <c r="AFA359" s="2116" t="s">
        <v>1869</v>
      </c>
      <c r="AFB359" s="2116"/>
      <c r="AFC359" s="2116"/>
      <c r="AFD359" s="2116"/>
      <c r="AFE359" s="2116"/>
      <c r="AFF359" s="2116"/>
      <c r="AFG359" s="2116"/>
      <c r="AFH359" s="2116"/>
      <c r="AFI359" s="2116"/>
      <c r="AFJ359" s="2116"/>
      <c r="AFK359" s="2116"/>
      <c r="AFL359" s="2116"/>
      <c r="AFM359" s="2116"/>
      <c r="AFN359" s="2116"/>
      <c r="AFO359" s="2116"/>
      <c r="AFP359" s="2116"/>
      <c r="AFQ359" s="2116" t="s">
        <v>1869</v>
      </c>
      <c r="AFR359" s="2116"/>
      <c r="AFS359" s="2116"/>
      <c r="AFT359" s="2116"/>
      <c r="AFU359" s="2116"/>
      <c r="AFV359" s="2116"/>
      <c r="AFW359" s="2116"/>
      <c r="AFX359" s="2116"/>
      <c r="AFY359" s="2116"/>
      <c r="AFZ359" s="2116"/>
      <c r="AGA359" s="2116"/>
      <c r="AGB359" s="2116"/>
      <c r="AGC359" s="2116"/>
      <c r="AGD359" s="2116"/>
      <c r="AGE359" s="2116"/>
      <c r="AGF359" s="2116"/>
      <c r="AGG359" s="2116" t="s">
        <v>1869</v>
      </c>
      <c r="AGH359" s="2116"/>
      <c r="AGI359" s="2116"/>
      <c r="AGJ359" s="2116"/>
      <c r="AGK359" s="2116"/>
      <c r="AGL359" s="2116"/>
      <c r="AGM359" s="2116"/>
      <c r="AGN359" s="2116"/>
      <c r="AGO359" s="2116"/>
      <c r="AGP359" s="2116"/>
      <c r="AGQ359" s="2116"/>
      <c r="AGR359" s="2116"/>
      <c r="AGS359" s="2116"/>
      <c r="AGT359" s="2116"/>
      <c r="AGU359" s="2116"/>
      <c r="AGV359" s="2116"/>
      <c r="AGW359" s="2116" t="s">
        <v>1869</v>
      </c>
      <c r="AGX359" s="2116"/>
      <c r="AGY359" s="2116"/>
      <c r="AGZ359" s="2116"/>
      <c r="AHA359" s="2116"/>
      <c r="AHB359" s="2116"/>
      <c r="AHC359" s="2116"/>
      <c r="AHD359" s="2116"/>
      <c r="AHE359" s="2116"/>
      <c r="AHF359" s="2116"/>
      <c r="AHG359" s="2116"/>
      <c r="AHH359" s="2116"/>
      <c r="AHI359" s="2116"/>
      <c r="AHJ359" s="2116"/>
      <c r="AHK359" s="2116"/>
      <c r="AHL359" s="2116"/>
      <c r="AHM359" s="2116" t="s">
        <v>1869</v>
      </c>
      <c r="AHN359" s="2116"/>
      <c r="AHO359" s="2116"/>
      <c r="AHP359" s="2116"/>
      <c r="AHQ359" s="2116"/>
      <c r="AHR359" s="2116"/>
      <c r="AHS359" s="2116"/>
      <c r="AHT359" s="2116"/>
      <c r="AHU359" s="2116"/>
      <c r="AHV359" s="2116"/>
      <c r="AHW359" s="2116"/>
      <c r="AHX359" s="2116"/>
      <c r="AHY359" s="2116"/>
      <c r="AHZ359" s="2116"/>
      <c r="AIA359" s="2116"/>
      <c r="AIB359" s="2116"/>
      <c r="AIC359" s="2116" t="s">
        <v>1869</v>
      </c>
      <c r="AID359" s="2116"/>
      <c r="AIE359" s="2116"/>
      <c r="AIF359" s="2116"/>
      <c r="AIG359" s="2116"/>
      <c r="AIH359" s="2116"/>
      <c r="AII359" s="2116"/>
      <c r="AIJ359" s="2116"/>
      <c r="AIK359" s="2116"/>
      <c r="AIL359" s="2116"/>
      <c r="AIM359" s="2116"/>
      <c r="AIN359" s="2116"/>
      <c r="AIO359" s="2116"/>
      <c r="AIP359" s="2116"/>
      <c r="AIQ359" s="2116"/>
      <c r="AIR359" s="2116"/>
      <c r="AIS359" s="2116" t="s">
        <v>1869</v>
      </c>
      <c r="AIT359" s="2116"/>
      <c r="AIU359" s="2116"/>
      <c r="AIV359" s="2116"/>
      <c r="AIW359" s="2116"/>
      <c r="AIX359" s="2116"/>
      <c r="AIY359" s="2116"/>
      <c r="AIZ359" s="2116"/>
      <c r="AJA359" s="2116"/>
      <c r="AJB359" s="2116"/>
      <c r="AJC359" s="2116"/>
      <c r="AJD359" s="2116"/>
      <c r="AJE359" s="2116"/>
      <c r="AJF359" s="2116"/>
      <c r="AJG359" s="2116"/>
      <c r="AJH359" s="2116"/>
      <c r="AJI359" s="2116" t="s">
        <v>1869</v>
      </c>
      <c r="AJJ359" s="2116"/>
      <c r="AJK359" s="2116"/>
      <c r="AJL359" s="2116"/>
      <c r="AJM359" s="2116"/>
      <c r="AJN359" s="2116"/>
      <c r="AJO359" s="2116"/>
      <c r="AJP359" s="2116"/>
      <c r="AJQ359" s="2116"/>
      <c r="AJR359" s="2116"/>
      <c r="AJS359" s="2116"/>
      <c r="AJT359" s="2116"/>
      <c r="AJU359" s="2116"/>
      <c r="AJV359" s="2116"/>
      <c r="AJW359" s="2116"/>
      <c r="AJX359" s="2116"/>
      <c r="AJY359" s="2116" t="s">
        <v>1869</v>
      </c>
      <c r="AJZ359" s="2116"/>
      <c r="AKA359" s="2116"/>
      <c r="AKB359" s="2116"/>
      <c r="AKC359" s="2116"/>
      <c r="AKD359" s="2116"/>
      <c r="AKE359" s="2116"/>
      <c r="AKF359" s="2116"/>
      <c r="AKG359" s="2116"/>
      <c r="AKH359" s="2116"/>
      <c r="AKI359" s="2116"/>
      <c r="AKJ359" s="2116"/>
      <c r="AKK359" s="2116"/>
      <c r="AKL359" s="2116"/>
      <c r="AKM359" s="2116"/>
      <c r="AKN359" s="2116"/>
      <c r="AKO359" s="2116" t="s">
        <v>1869</v>
      </c>
      <c r="AKP359" s="2116"/>
      <c r="AKQ359" s="2116"/>
      <c r="AKR359" s="2116"/>
      <c r="AKS359" s="2116"/>
      <c r="AKT359" s="2116"/>
      <c r="AKU359" s="2116"/>
      <c r="AKV359" s="2116"/>
      <c r="AKW359" s="2116"/>
      <c r="AKX359" s="2116"/>
      <c r="AKY359" s="2116"/>
      <c r="AKZ359" s="2116"/>
      <c r="ALA359" s="2116"/>
      <c r="ALB359" s="2116"/>
      <c r="ALC359" s="2116"/>
      <c r="ALD359" s="2116"/>
      <c r="ALE359" s="2116" t="s">
        <v>1869</v>
      </c>
      <c r="ALF359" s="2116"/>
      <c r="ALG359" s="2116"/>
      <c r="ALH359" s="2116"/>
      <c r="ALI359" s="2116"/>
      <c r="ALJ359" s="2116"/>
      <c r="ALK359" s="2116"/>
      <c r="ALL359" s="2116"/>
      <c r="ALM359" s="2116"/>
      <c r="ALN359" s="2116"/>
      <c r="ALO359" s="2116"/>
      <c r="ALP359" s="2116"/>
      <c r="ALQ359" s="2116"/>
      <c r="ALR359" s="2116"/>
      <c r="ALS359" s="2116"/>
      <c r="ALT359" s="2116"/>
      <c r="ALU359" s="2116" t="s">
        <v>1869</v>
      </c>
      <c r="ALV359" s="2116"/>
      <c r="ALW359" s="2116"/>
      <c r="ALX359" s="2116"/>
      <c r="ALY359" s="2116"/>
      <c r="ALZ359" s="2116"/>
      <c r="AMA359" s="2116"/>
      <c r="AMB359" s="2116"/>
      <c r="AMC359" s="2116"/>
      <c r="AMD359" s="2116"/>
      <c r="AME359" s="2116"/>
      <c r="AMF359" s="2116"/>
      <c r="AMG359" s="2116"/>
      <c r="AMH359" s="2116"/>
      <c r="AMI359" s="2116"/>
      <c r="AMJ359" s="2116"/>
      <c r="AMK359" s="2116" t="s">
        <v>1869</v>
      </c>
      <c r="AML359" s="2116"/>
      <c r="AMM359" s="2116"/>
      <c r="AMN359" s="2116"/>
      <c r="AMO359" s="2116"/>
      <c r="AMP359" s="2116"/>
      <c r="AMQ359" s="2116"/>
      <c r="AMR359" s="2116"/>
      <c r="AMS359" s="2116"/>
      <c r="AMT359" s="2116"/>
      <c r="AMU359" s="2116"/>
      <c r="AMV359" s="2116"/>
      <c r="AMW359" s="2116"/>
      <c r="AMX359" s="2116"/>
      <c r="AMY359" s="2116"/>
      <c r="AMZ359" s="2116"/>
      <c r="ANA359" s="2116" t="s">
        <v>1869</v>
      </c>
      <c r="ANB359" s="2116"/>
      <c r="ANC359" s="2116"/>
      <c r="AND359" s="2116"/>
      <c r="ANE359" s="2116"/>
      <c r="ANF359" s="2116"/>
      <c r="ANG359" s="2116"/>
      <c r="ANH359" s="2116"/>
      <c r="ANI359" s="2116"/>
      <c r="ANJ359" s="2116"/>
      <c r="ANK359" s="2116"/>
      <c r="ANL359" s="2116"/>
      <c r="ANM359" s="2116"/>
      <c r="ANN359" s="2116"/>
      <c r="ANO359" s="2116"/>
      <c r="ANP359" s="2116"/>
      <c r="ANQ359" s="2116" t="s">
        <v>1869</v>
      </c>
      <c r="ANR359" s="2116"/>
      <c r="ANS359" s="2116"/>
      <c r="ANT359" s="2116"/>
      <c r="ANU359" s="2116"/>
      <c r="ANV359" s="2116"/>
      <c r="ANW359" s="2116"/>
      <c r="ANX359" s="2116"/>
      <c r="ANY359" s="2116"/>
      <c r="ANZ359" s="2116"/>
      <c r="AOA359" s="2116"/>
      <c r="AOB359" s="2116"/>
      <c r="AOC359" s="2116"/>
      <c r="AOD359" s="2116"/>
      <c r="AOE359" s="2116"/>
      <c r="AOF359" s="2116"/>
      <c r="AOG359" s="2116" t="s">
        <v>1869</v>
      </c>
      <c r="AOH359" s="2116"/>
      <c r="AOI359" s="2116"/>
      <c r="AOJ359" s="2116"/>
      <c r="AOK359" s="2116"/>
      <c r="AOL359" s="2116"/>
      <c r="AOM359" s="2116"/>
      <c r="AON359" s="2116"/>
      <c r="AOO359" s="2116"/>
      <c r="AOP359" s="2116"/>
      <c r="AOQ359" s="2116"/>
      <c r="AOR359" s="2116"/>
      <c r="AOS359" s="2116"/>
      <c r="AOT359" s="2116"/>
      <c r="AOU359" s="2116"/>
      <c r="AOV359" s="2116"/>
      <c r="AOW359" s="2116" t="s">
        <v>1869</v>
      </c>
      <c r="AOX359" s="2116"/>
      <c r="AOY359" s="2116"/>
      <c r="AOZ359" s="2116"/>
      <c r="APA359" s="2116"/>
      <c r="APB359" s="2116"/>
      <c r="APC359" s="2116"/>
      <c r="APD359" s="2116"/>
      <c r="APE359" s="2116"/>
      <c r="APF359" s="2116"/>
      <c r="APG359" s="2116"/>
      <c r="APH359" s="2116"/>
      <c r="API359" s="2116"/>
      <c r="APJ359" s="2116"/>
      <c r="APK359" s="2116"/>
      <c r="APL359" s="2116"/>
      <c r="APM359" s="2116" t="s">
        <v>1869</v>
      </c>
      <c r="APN359" s="2116"/>
      <c r="APO359" s="2116"/>
      <c r="APP359" s="2116"/>
      <c r="APQ359" s="2116"/>
      <c r="APR359" s="2116"/>
      <c r="APS359" s="2116"/>
      <c r="APT359" s="2116"/>
      <c r="APU359" s="2116"/>
      <c r="APV359" s="2116"/>
      <c r="APW359" s="2116"/>
      <c r="APX359" s="2116"/>
      <c r="APY359" s="2116"/>
      <c r="APZ359" s="2116"/>
      <c r="AQA359" s="2116"/>
      <c r="AQB359" s="2116"/>
      <c r="AQC359" s="2116" t="s">
        <v>1869</v>
      </c>
      <c r="AQD359" s="2116"/>
      <c r="AQE359" s="2116"/>
      <c r="AQF359" s="2116"/>
      <c r="AQG359" s="2116"/>
      <c r="AQH359" s="2116"/>
      <c r="AQI359" s="2116"/>
      <c r="AQJ359" s="2116"/>
      <c r="AQK359" s="2116"/>
      <c r="AQL359" s="2116"/>
      <c r="AQM359" s="2116"/>
      <c r="AQN359" s="2116"/>
      <c r="AQO359" s="2116"/>
      <c r="AQP359" s="2116"/>
      <c r="AQQ359" s="2116"/>
      <c r="AQR359" s="2116"/>
      <c r="AQS359" s="2116" t="s">
        <v>1869</v>
      </c>
      <c r="AQT359" s="2116"/>
      <c r="AQU359" s="2116"/>
      <c r="AQV359" s="2116"/>
      <c r="AQW359" s="2116"/>
      <c r="AQX359" s="2116"/>
      <c r="AQY359" s="2116"/>
      <c r="AQZ359" s="2116"/>
      <c r="ARA359" s="2116"/>
      <c r="ARB359" s="2116"/>
      <c r="ARC359" s="2116"/>
      <c r="ARD359" s="2116"/>
      <c r="ARE359" s="2116"/>
      <c r="ARF359" s="2116"/>
      <c r="ARG359" s="2116"/>
      <c r="ARH359" s="2116"/>
      <c r="ARI359" s="2116" t="s">
        <v>1869</v>
      </c>
      <c r="ARJ359" s="2116"/>
      <c r="ARK359" s="2116"/>
      <c r="ARL359" s="2116"/>
      <c r="ARM359" s="2116"/>
      <c r="ARN359" s="2116"/>
      <c r="ARO359" s="2116"/>
      <c r="ARP359" s="2116"/>
      <c r="ARQ359" s="2116"/>
      <c r="ARR359" s="2116"/>
      <c r="ARS359" s="2116"/>
      <c r="ART359" s="2116"/>
      <c r="ARU359" s="2116"/>
      <c r="ARV359" s="2116"/>
      <c r="ARW359" s="2116"/>
      <c r="ARX359" s="2116"/>
      <c r="ARY359" s="2116" t="s">
        <v>1869</v>
      </c>
      <c r="ARZ359" s="2116"/>
      <c r="ASA359" s="2116"/>
      <c r="ASB359" s="2116"/>
      <c r="ASC359" s="2116"/>
      <c r="ASD359" s="2116"/>
      <c r="ASE359" s="2116"/>
      <c r="ASF359" s="2116"/>
      <c r="ASG359" s="2116"/>
      <c r="ASH359" s="2116"/>
      <c r="ASI359" s="2116"/>
      <c r="ASJ359" s="2116"/>
      <c r="ASK359" s="2116"/>
      <c r="ASL359" s="2116"/>
      <c r="ASM359" s="2116"/>
      <c r="ASN359" s="2116"/>
      <c r="ASO359" s="2116" t="s">
        <v>1869</v>
      </c>
      <c r="ASP359" s="2116"/>
      <c r="ASQ359" s="2116"/>
      <c r="ASR359" s="2116"/>
      <c r="ASS359" s="2116"/>
      <c r="AST359" s="2116"/>
      <c r="ASU359" s="2116"/>
      <c r="ASV359" s="2116"/>
      <c r="ASW359" s="2116"/>
      <c r="ASX359" s="2116"/>
      <c r="ASY359" s="2116"/>
      <c r="ASZ359" s="2116"/>
      <c r="ATA359" s="2116"/>
      <c r="ATB359" s="2116"/>
      <c r="ATC359" s="2116"/>
      <c r="ATD359" s="2116"/>
      <c r="ATE359" s="2116" t="s">
        <v>1869</v>
      </c>
      <c r="ATF359" s="2116"/>
      <c r="ATG359" s="2116"/>
      <c r="ATH359" s="2116"/>
      <c r="ATI359" s="2116"/>
      <c r="ATJ359" s="2116"/>
      <c r="ATK359" s="2116"/>
      <c r="ATL359" s="2116"/>
      <c r="ATM359" s="2116"/>
      <c r="ATN359" s="2116"/>
      <c r="ATO359" s="2116"/>
      <c r="ATP359" s="2116"/>
      <c r="ATQ359" s="2116"/>
      <c r="ATR359" s="2116"/>
      <c r="ATS359" s="2116"/>
      <c r="ATT359" s="2116"/>
      <c r="ATU359" s="2116" t="s">
        <v>1869</v>
      </c>
      <c r="ATV359" s="2116"/>
      <c r="ATW359" s="2116"/>
      <c r="ATX359" s="2116"/>
      <c r="ATY359" s="2116"/>
      <c r="ATZ359" s="2116"/>
      <c r="AUA359" s="2116"/>
      <c r="AUB359" s="2116"/>
      <c r="AUC359" s="2116"/>
      <c r="AUD359" s="2116"/>
      <c r="AUE359" s="2116"/>
      <c r="AUF359" s="2116"/>
      <c r="AUG359" s="2116"/>
      <c r="AUH359" s="2116"/>
      <c r="AUI359" s="2116"/>
      <c r="AUJ359" s="2116"/>
      <c r="AUK359" s="2116" t="s">
        <v>1869</v>
      </c>
      <c r="AUL359" s="2116"/>
      <c r="AUM359" s="2116"/>
      <c r="AUN359" s="2116"/>
      <c r="AUO359" s="2116"/>
      <c r="AUP359" s="2116"/>
      <c r="AUQ359" s="2116"/>
      <c r="AUR359" s="2116"/>
      <c r="AUS359" s="2116"/>
      <c r="AUT359" s="2116"/>
      <c r="AUU359" s="2116"/>
      <c r="AUV359" s="2116"/>
      <c r="AUW359" s="2116"/>
      <c r="AUX359" s="2116"/>
      <c r="AUY359" s="2116"/>
      <c r="AUZ359" s="2116"/>
      <c r="AVA359" s="2116" t="s">
        <v>1869</v>
      </c>
      <c r="AVB359" s="2116"/>
      <c r="AVC359" s="2116"/>
      <c r="AVD359" s="2116"/>
      <c r="AVE359" s="2116"/>
      <c r="AVF359" s="2116"/>
      <c r="AVG359" s="2116"/>
      <c r="AVH359" s="2116"/>
      <c r="AVI359" s="2116"/>
      <c r="AVJ359" s="2116"/>
      <c r="AVK359" s="2116"/>
      <c r="AVL359" s="2116"/>
      <c r="AVM359" s="2116"/>
      <c r="AVN359" s="2116"/>
      <c r="AVO359" s="2116"/>
      <c r="AVP359" s="2116"/>
      <c r="AVQ359" s="2116" t="s">
        <v>1869</v>
      </c>
      <c r="AVR359" s="2116"/>
      <c r="AVS359" s="2116"/>
      <c r="AVT359" s="2116"/>
      <c r="AVU359" s="2116"/>
      <c r="AVV359" s="2116"/>
      <c r="AVW359" s="2116"/>
      <c r="AVX359" s="2116"/>
      <c r="AVY359" s="2116"/>
      <c r="AVZ359" s="2116"/>
      <c r="AWA359" s="2116"/>
      <c r="AWB359" s="2116"/>
      <c r="AWC359" s="2116"/>
      <c r="AWD359" s="2116"/>
      <c r="AWE359" s="2116"/>
      <c r="AWF359" s="2116"/>
      <c r="AWG359" s="2116" t="s">
        <v>1869</v>
      </c>
      <c r="AWH359" s="2116"/>
      <c r="AWI359" s="2116"/>
      <c r="AWJ359" s="2116"/>
      <c r="AWK359" s="2116"/>
      <c r="AWL359" s="2116"/>
      <c r="AWM359" s="2116"/>
      <c r="AWN359" s="2116"/>
      <c r="AWO359" s="2116"/>
      <c r="AWP359" s="2116"/>
      <c r="AWQ359" s="2116"/>
      <c r="AWR359" s="2116"/>
      <c r="AWS359" s="2116"/>
      <c r="AWT359" s="2116"/>
      <c r="AWU359" s="2116"/>
      <c r="AWV359" s="2116"/>
      <c r="AWW359" s="2116" t="s">
        <v>1869</v>
      </c>
      <c r="AWX359" s="2116"/>
      <c r="AWY359" s="2116"/>
      <c r="AWZ359" s="2116"/>
      <c r="AXA359" s="2116"/>
      <c r="AXB359" s="2116"/>
      <c r="AXC359" s="2116"/>
      <c r="AXD359" s="2116"/>
      <c r="AXE359" s="2116"/>
      <c r="AXF359" s="2116"/>
      <c r="AXG359" s="2116"/>
      <c r="AXH359" s="2116"/>
      <c r="AXI359" s="2116"/>
      <c r="AXJ359" s="2116"/>
      <c r="AXK359" s="2116"/>
      <c r="AXL359" s="2116"/>
      <c r="AXM359" s="2116" t="s">
        <v>1869</v>
      </c>
      <c r="AXN359" s="2116"/>
      <c r="AXO359" s="2116"/>
      <c r="AXP359" s="2116"/>
      <c r="AXQ359" s="2116"/>
      <c r="AXR359" s="2116"/>
      <c r="AXS359" s="2116"/>
      <c r="AXT359" s="2116"/>
      <c r="AXU359" s="2116"/>
      <c r="AXV359" s="2116"/>
      <c r="AXW359" s="2116"/>
      <c r="AXX359" s="2116"/>
      <c r="AXY359" s="2116"/>
      <c r="AXZ359" s="2116"/>
      <c r="AYA359" s="2116"/>
      <c r="AYB359" s="2116"/>
      <c r="AYC359" s="2116" t="s">
        <v>1869</v>
      </c>
      <c r="AYD359" s="2116"/>
      <c r="AYE359" s="2116"/>
      <c r="AYF359" s="2116"/>
      <c r="AYG359" s="2116"/>
      <c r="AYH359" s="2116"/>
      <c r="AYI359" s="2116"/>
      <c r="AYJ359" s="2116"/>
      <c r="AYK359" s="2116"/>
      <c r="AYL359" s="2116"/>
      <c r="AYM359" s="2116"/>
      <c r="AYN359" s="2116"/>
      <c r="AYO359" s="2116"/>
      <c r="AYP359" s="2116"/>
      <c r="AYQ359" s="2116"/>
      <c r="AYR359" s="2116"/>
      <c r="AYS359" s="2116" t="s">
        <v>1869</v>
      </c>
      <c r="AYT359" s="2116"/>
      <c r="AYU359" s="2116"/>
      <c r="AYV359" s="2116"/>
      <c r="AYW359" s="2116"/>
      <c r="AYX359" s="2116"/>
      <c r="AYY359" s="2116"/>
      <c r="AYZ359" s="2116"/>
      <c r="AZA359" s="2116"/>
      <c r="AZB359" s="2116"/>
      <c r="AZC359" s="2116"/>
      <c r="AZD359" s="2116"/>
      <c r="AZE359" s="2116"/>
      <c r="AZF359" s="2116"/>
      <c r="AZG359" s="2116"/>
      <c r="AZH359" s="2116"/>
      <c r="AZI359" s="2116" t="s">
        <v>1869</v>
      </c>
      <c r="AZJ359" s="2116"/>
      <c r="AZK359" s="2116"/>
      <c r="AZL359" s="2116"/>
      <c r="AZM359" s="2116"/>
      <c r="AZN359" s="2116"/>
      <c r="AZO359" s="2116"/>
      <c r="AZP359" s="2116"/>
      <c r="AZQ359" s="2116"/>
      <c r="AZR359" s="2116"/>
      <c r="AZS359" s="2116"/>
      <c r="AZT359" s="2116"/>
      <c r="AZU359" s="2116"/>
      <c r="AZV359" s="2116"/>
      <c r="AZW359" s="2116"/>
      <c r="AZX359" s="2116"/>
      <c r="AZY359" s="2116" t="s">
        <v>1869</v>
      </c>
      <c r="AZZ359" s="2116"/>
      <c r="BAA359" s="2116"/>
      <c r="BAB359" s="2116"/>
      <c r="BAC359" s="2116"/>
      <c r="BAD359" s="2116"/>
      <c r="BAE359" s="2116"/>
      <c r="BAF359" s="2116"/>
      <c r="BAG359" s="2116"/>
      <c r="BAH359" s="2116"/>
      <c r="BAI359" s="2116"/>
      <c r="BAJ359" s="2116"/>
      <c r="BAK359" s="2116"/>
      <c r="BAL359" s="2116"/>
      <c r="BAM359" s="2116"/>
      <c r="BAN359" s="2116"/>
      <c r="BAO359" s="2116" t="s">
        <v>1869</v>
      </c>
      <c r="BAP359" s="2116"/>
      <c r="BAQ359" s="2116"/>
      <c r="BAR359" s="2116"/>
      <c r="BAS359" s="2116"/>
      <c r="BAT359" s="2116"/>
      <c r="BAU359" s="2116"/>
      <c r="BAV359" s="2116"/>
      <c r="BAW359" s="2116"/>
      <c r="BAX359" s="2116"/>
      <c r="BAY359" s="2116"/>
      <c r="BAZ359" s="2116"/>
      <c r="BBA359" s="2116"/>
      <c r="BBB359" s="2116"/>
      <c r="BBC359" s="2116"/>
      <c r="BBD359" s="2116"/>
      <c r="BBE359" s="2116" t="s">
        <v>1869</v>
      </c>
      <c r="BBF359" s="2116"/>
      <c r="BBG359" s="2116"/>
      <c r="BBH359" s="2116"/>
      <c r="BBI359" s="2116"/>
      <c r="BBJ359" s="2116"/>
      <c r="BBK359" s="2116"/>
      <c r="BBL359" s="2116"/>
      <c r="BBM359" s="2116"/>
      <c r="BBN359" s="2116"/>
      <c r="BBO359" s="2116"/>
      <c r="BBP359" s="2116"/>
      <c r="BBQ359" s="2116"/>
      <c r="BBR359" s="2116"/>
      <c r="BBS359" s="2116"/>
      <c r="BBT359" s="2116"/>
      <c r="BBU359" s="2116" t="s">
        <v>1869</v>
      </c>
      <c r="BBV359" s="2116"/>
      <c r="BBW359" s="2116"/>
      <c r="BBX359" s="2116"/>
      <c r="BBY359" s="2116"/>
      <c r="BBZ359" s="2116"/>
      <c r="BCA359" s="2116"/>
      <c r="BCB359" s="2116"/>
      <c r="BCC359" s="2116"/>
      <c r="BCD359" s="2116"/>
      <c r="BCE359" s="2116"/>
      <c r="BCF359" s="2116"/>
      <c r="BCG359" s="2116"/>
      <c r="BCH359" s="2116"/>
      <c r="BCI359" s="2116"/>
      <c r="BCJ359" s="2116"/>
      <c r="BCK359" s="2116" t="s">
        <v>1869</v>
      </c>
      <c r="BCL359" s="2116"/>
      <c r="BCM359" s="2116"/>
      <c r="BCN359" s="2116"/>
      <c r="BCO359" s="2116"/>
      <c r="BCP359" s="2116"/>
      <c r="BCQ359" s="2116"/>
      <c r="BCR359" s="2116"/>
      <c r="BCS359" s="2116"/>
      <c r="BCT359" s="2116"/>
      <c r="BCU359" s="2116"/>
      <c r="BCV359" s="2116"/>
      <c r="BCW359" s="2116"/>
      <c r="BCX359" s="2116"/>
      <c r="BCY359" s="2116"/>
      <c r="BCZ359" s="2116"/>
      <c r="BDA359" s="2116" t="s">
        <v>1869</v>
      </c>
      <c r="BDB359" s="2116"/>
      <c r="BDC359" s="2116"/>
      <c r="BDD359" s="2116"/>
      <c r="BDE359" s="2116"/>
      <c r="BDF359" s="2116"/>
      <c r="BDG359" s="2116"/>
      <c r="BDH359" s="2116"/>
      <c r="BDI359" s="2116"/>
      <c r="BDJ359" s="2116"/>
      <c r="BDK359" s="2116"/>
      <c r="BDL359" s="2116"/>
      <c r="BDM359" s="2116"/>
      <c r="BDN359" s="2116"/>
      <c r="BDO359" s="2116"/>
      <c r="BDP359" s="2116"/>
      <c r="BDQ359" s="2116" t="s">
        <v>1869</v>
      </c>
      <c r="BDR359" s="2116"/>
      <c r="BDS359" s="2116"/>
      <c r="BDT359" s="2116"/>
      <c r="BDU359" s="2116"/>
      <c r="BDV359" s="2116"/>
      <c r="BDW359" s="2116"/>
      <c r="BDX359" s="2116"/>
      <c r="BDY359" s="2116"/>
      <c r="BDZ359" s="2116"/>
      <c r="BEA359" s="2116"/>
      <c r="BEB359" s="2116"/>
      <c r="BEC359" s="2116"/>
      <c r="BED359" s="2116"/>
      <c r="BEE359" s="2116"/>
      <c r="BEF359" s="2116"/>
      <c r="BEG359" s="2116" t="s">
        <v>1869</v>
      </c>
      <c r="BEH359" s="2116"/>
      <c r="BEI359" s="2116"/>
      <c r="BEJ359" s="2116"/>
      <c r="BEK359" s="2116"/>
      <c r="BEL359" s="2116"/>
      <c r="BEM359" s="2116"/>
      <c r="BEN359" s="2116"/>
      <c r="BEO359" s="2116"/>
      <c r="BEP359" s="2116"/>
      <c r="BEQ359" s="2116"/>
      <c r="BER359" s="2116"/>
      <c r="BES359" s="2116"/>
      <c r="BET359" s="2116"/>
      <c r="BEU359" s="2116"/>
      <c r="BEV359" s="2116"/>
      <c r="BEW359" s="2116" t="s">
        <v>1869</v>
      </c>
      <c r="BEX359" s="2116"/>
      <c r="BEY359" s="2116"/>
      <c r="BEZ359" s="2116"/>
      <c r="BFA359" s="2116"/>
      <c r="BFB359" s="2116"/>
      <c r="BFC359" s="2116"/>
      <c r="BFD359" s="2116"/>
      <c r="BFE359" s="2116"/>
      <c r="BFF359" s="2116"/>
      <c r="BFG359" s="2116"/>
      <c r="BFH359" s="2116"/>
      <c r="BFI359" s="2116"/>
      <c r="BFJ359" s="2116"/>
      <c r="BFK359" s="2116"/>
      <c r="BFL359" s="2116"/>
      <c r="BFM359" s="2116" t="s">
        <v>1869</v>
      </c>
      <c r="BFN359" s="2116"/>
      <c r="BFO359" s="2116"/>
      <c r="BFP359" s="2116"/>
      <c r="BFQ359" s="2116"/>
      <c r="BFR359" s="2116"/>
      <c r="BFS359" s="2116"/>
      <c r="BFT359" s="2116"/>
      <c r="BFU359" s="2116"/>
      <c r="BFV359" s="2116"/>
      <c r="BFW359" s="2116"/>
      <c r="BFX359" s="2116"/>
      <c r="BFY359" s="2116"/>
      <c r="BFZ359" s="2116"/>
      <c r="BGA359" s="2116"/>
      <c r="BGB359" s="2116"/>
      <c r="BGC359" s="2116" t="s">
        <v>1869</v>
      </c>
      <c r="BGD359" s="2116"/>
      <c r="BGE359" s="2116"/>
      <c r="BGF359" s="2116"/>
      <c r="BGG359" s="2116"/>
      <c r="BGH359" s="2116"/>
      <c r="BGI359" s="2116"/>
      <c r="BGJ359" s="2116"/>
      <c r="BGK359" s="2116"/>
      <c r="BGL359" s="2116"/>
      <c r="BGM359" s="2116"/>
      <c r="BGN359" s="2116"/>
      <c r="BGO359" s="2116"/>
      <c r="BGP359" s="2116"/>
      <c r="BGQ359" s="2116"/>
      <c r="BGR359" s="2116"/>
      <c r="BGS359" s="2116" t="s">
        <v>1869</v>
      </c>
      <c r="BGT359" s="2116"/>
      <c r="BGU359" s="2116"/>
      <c r="BGV359" s="2116"/>
      <c r="BGW359" s="2116"/>
      <c r="BGX359" s="2116"/>
      <c r="BGY359" s="2116"/>
      <c r="BGZ359" s="2116"/>
      <c r="BHA359" s="2116"/>
      <c r="BHB359" s="2116"/>
      <c r="BHC359" s="2116"/>
      <c r="BHD359" s="2116"/>
      <c r="BHE359" s="2116"/>
      <c r="BHF359" s="2116"/>
      <c r="BHG359" s="2116"/>
      <c r="BHH359" s="2116"/>
      <c r="BHI359" s="2116" t="s">
        <v>1869</v>
      </c>
      <c r="BHJ359" s="2116"/>
      <c r="BHK359" s="2116"/>
      <c r="BHL359" s="2116"/>
      <c r="BHM359" s="2116"/>
      <c r="BHN359" s="2116"/>
      <c r="BHO359" s="2116"/>
      <c r="BHP359" s="2116"/>
      <c r="BHQ359" s="2116"/>
      <c r="BHR359" s="2116"/>
      <c r="BHS359" s="2116"/>
      <c r="BHT359" s="2116"/>
      <c r="BHU359" s="2116"/>
      <c r="BHV359" s="2116"/>
      <c r="BHW359" s="2116"/>
      <c r="BHX359" s="2116"/>
      <c r="BHY359" s="2116" t="s">
        <v>1869</v>
      </c>
      <c r="BHZ359" s="2116"/>
      <c r="BIA359" s="2116"/>
      <c r="BIB359" s="2116"/>
      <c r="BIC359" s="2116"/>
      <c r="BID359" s="2116"/>
      <c r="BIE359" s="2116"/>
      <c r="BIF359" s="2116"/>
      <c r="BIG359" s="2116"/>
      <c r="BIH359" s="2116"/>
      <c r="BII359" s="2116"/>
      <c r="BIJ359" s="2116"/>
      <c r="BIK359" s="2116"/>
      <c r="BIL359" s="2116"/>
      <c r="BIM359" s="2116"/>
      <c r="BIN359" s="2116"/>
      <c r="BIO359" s="2116" t="s">
        <v>1869</v>
      </c>
      <c r="BIP359" s="2116"/>
      <c r="BIQ359" s="2116"/>
      <c r="BIR359" s="2116"/>
      <c r="BIS359" s="2116"/>
      <c r="BIT359" s="2116"/>
      <c r="BIU359" s="2116"/>
      <c r="BIV359" s="2116"/>
      <c r="BIW359" s="2116"/>
      <c r="BIX359" s="2116"/>
      <c r="BIY359" s="2116"/>
      <c r="BIZ359" s="2116"/>
      <c r="BJA359" s="2116"/>
      <c r="BJB359" s="2116"/>
      <c r="BJC359" s="2116"/>
      <c r="BJD359" s="2116"/>
      <c r="BJE359" s="2116" t="s">
        <v>1869</v>
      </c>
      <c r="BJF359" s="2116"/>
      <c r="BJG359" s="2116"/>
      <c r="BJH359" s="2116"/>
      <c r="BJI359" s="2116"/>
      <c r="BJJ359" s="2116"/>
      <c r="BJK359" s="2116"/>
      <c r="BJL359" s="2116"/>
      <c r="BJM359" s="2116"/>
      <c r="BJN359" s="2116"/>
      <c r="BJO359" s="2116"/>
      <c r="BJP359" s="2116"/>
      <c r="BJQ359" s="2116"/>
      <c r="BJR359" s="2116"/>
      <c r="BJS359" s="2116"/>
      <c r="BJT359" s="2116"/>
      <c r="BJU359" s="2116" t="s">
        <v>1869</v>
      </c>
      <c r="BJV359" s="2116"/>
      <c r="BJW359" s="2116"/>
      <c r="BJX359" s="2116"/>
      <c r="BJY359" s="2116"/>
      <c r="BJZ359" s="2116"/>
      <c r="BKA359" s="2116"/>
      <c r="BKB359" s="2116"/>
      <c r="BKC359" s="2116"/>
      <c r="BKD359" s="2116"/>
      <c r="BKE359" s="2116"/>
      <c r="BKF359" s="2116"/>
      <c r="BKG359" s="2116"/>
      <c r="BKH359" s="2116"/>
      <c r="BKI359" s="2116"/>
      <c r="BKJ359" s="2116"/>
      <c r="BKK359" s="2116" t="s">
        <v>1869</v>
      </c>
      <c r="BKL359" s="2116"/>
      <c r="BKM359" s="2116"/>
      <c r="BKN359" s="2116"/>
      <c r="BKO359" s="2116"/>
      <c r="BKP359" s="2116"/>
      <c r="BKQ359" s="2116"/>
      <c r="BKR359" s="2116"/>
      <c r="BKS359" s="2116"/>
      <c r="BKT359" s="2116"/>
      <c r="BKU359" s="2116"/>
      <c r="BKV359" s="2116"/>
      <c r="BKW359" s="2116"/>
      <c r="BKX359" s="2116"/>
      <c r="BKY359" s="2116"/>
      <c r="BKZ359" s="2116"/>
      <c r="BLA359" s="2116" t="s">
        <v>1869</v>
      </c>
      <c r="BLB359" s="2116"/>
      <c r="BLC359" s="2116"/>
      <c r="BLD359" s="2116"/>
      <c r="BLE359" s="2116"/>
      <c r="BLF359" s="2116"/>
      <c r="BLG359" s="2116"/>
      <c r="BLH359" s="2116"/>
      <c r="BLI359" s="2116"/>
      <c r="BLJ359" s="2116"/>
      <c r="BLK359" s="2116"/>
      <c r="BLL359" s="2116"/>
      <c r="BLM359" s="2116"/>
      <c r="BLN359" s="2116"/>
      <c r="BLO359" s="2116"/>
      <c r="BLP359" s="2116"/>
      <c r="BLQ359" s="2116" t="s">
        <v>1869</v>
      </c>
      <c r="BLR359" s="2116"/>
      <c r="BLS359" s="2116"/>
      <c r="BLT359" s="2116"/>
      <c r="BLU359" s="2116"/>
      <c r="BLV359" s="2116"/>
      <c r="BLW359" s="2116"/>
      <c r="BLX359" s="2116"/>
      <c r="BLY359" s="2116"/>
      <c r="BLZ359" s="2116"/>
      <c r="BMA359" s="2116"/>
      <c r="BMB359" s="2116"/>
      <c r="BMC359" s="2116"/>
      <c r="BMD359" s="2116"/>
      <c r="BME359" s="2116"/>
      <c r="BMF359" s="2116"/>
      <c r="BMG359" s="2116" t="s">
        <v>1869</v>
      </c>
      <c r="BMH359" s="2116"/>
      <c r="BMI359" s="2116"/>
      <c r="BMJ359" s="2116"/>
      <c r="BMK359" s="2116"/>
      <c r="BML359" s="2116"/>
      <c r="BMM359" s="2116"/>
      <c r="BMN359" s="2116"/>
      <c r="BMO359" s="2116"/>
      <c r="BMP359" s="2116"/>
      <c r="BMQ359" s="2116"/>
      <c r="BMR359" s="2116"/>
      <c r="BMS359" s="2116"/>
      <c r="BMT359" s="2116"/>
      <c r="BMU359" s="2116"/>
      <c r="BMV359" s="2116"/>
      <c r="BMW359" s="2116" t="s">
        <v>1869</v>
      </c>
      <c r="BMX359" s="2116"/>
      <c r="BMY359" s="2116"/>
      <c r="BMZ359" s="2116"/>
      <c r="BNA359" s="2116"/>
      <c r="BNB359" s="2116"/>
      <c r="BNC359" s="2116"/>
      <c r="BND359" s="2116"/>
      <c r="BNE359" s="2116"/>
      <c r="BNF359" s="2116"/>
      <c r="BNG359" s="2116"/>
      <c r="BNH359" s="2116"/>
      <c r="BNI359" s="2116"/>
      <c r="BNJ359" s="2116"/>
      <c r="BNK359" s="2116"/>
      <c r="BNL359" s="2116"/>
      <c r="BNM359" s="2116" t="s">
        <v>1869</v>
      </c>
      <c r="BNN359" s="2116"/>
      <c r="BNO359" s="2116"/>
      <c r="BNP359" s="2116"/>
      <c r="BNQ359" s="2116"/>
      <c r="BNR359" s="2116"/>
      <c r="BNS359" s="2116"/>
      <c r="BNT359" s="2116"/>
      <c r="BNU359" s="2116"/>
      <c r="BNV359" s="2116"/>
      <c r="BNW359" s="2116"/>
      <c r="BNX359" s="2116"/>
      <c r="BNY359" s="2116"/>
      <c r="BNZ359" s="2116"/>
      <c r="BOA359" s="2116"/>
      <c r="BOB359" s="2116"/>
      <c r="BOC359" s="2116" t="s">
        <v>1869</v>
      </c>
      <c r="BOD359" s="2116"/>
      <c r="BOE359" s="2116"/>
      <c r="BOF359" s="2116"/>
      <c r="BOG359" s="2116"/>
      <c r="BOH359" s="2116"/>
      <c r="BOI359" s="2116"/>
      <c r="BOJ359" s="2116"/>
      <c r="BOK359" s="2116"/>
      <c r="BOL359" s="2116"/>
      <c r="BOM359" s="2116"/>
      <c r="BON359" s="2116"/>
      <c r="BOO359" s="2116"/>
      <c r="BOP359" s="2116"/>
      <c r="BOQ359" s="2116"/>
      <c r="BOR359" s="2116"/>
      <c r="BOS359" s="2116" t="s">
        <v>1869</v>
      </c>
      <c r="BOT359" s="2116"/>
      <c r="BOU359" s="2116"/>
      <c r="BOV359" s="2116"/>
      <c r="BOW359" s="2116"/>
      <c r="BOX359" s="2116"/>
      <c r="BOY359" s="2116"/>
      <c r="BOZ359" s="2116"/>
      <c r="BPA359" s="2116"/>
      <c r="BPB359" s="2116"/>
      <c r="BPC359" s="2116"/>
      <c r="BPD359" s="2116"/>
      <c r="BPE359" s="2116"/>
      <c r="BPF359" s="2116"/>
      <c r="BPG359" s="2116"/>
      <c r="BPH359" s="2116"/>
      <c r="BPI359" s="2116" t="s">
        <v>1869</v>
      </c>
      <c r="BPJ359" s="2116"/>
      <c r="BPK359" s="2116"/>
      <c r="BPL359" s="2116"/>
      <c r="BPM359" s="2116"/>
      <c r="BPN359" s="2116"/>
      <c r="BPO359" s="2116"/>
      <c r="BPP359" s="2116"/>
      <c r="BPQ359" s="2116"/>
      <c r="BPR359" s="2116"/>
      <c r="BPS359" s="2116"/>
      <c r="BPT359" s="2116"/>
      <c r="BPU359" s="2116"/>
      <c r="BPV359" s="2116"/>
      <c r="BPW359" s="2116"/>
      <c r="BPX359" s="2116"/>
      <c r="BPY359" s="2116" t="s">
        <v>1869</v>
      </c>
      <c r="BPZ359" s="2116"/>
      <c r="BQA359" s="2116"/>
      <c r="BQB359" s="2116"/>
      <c r="BQC359" s="2116"/>
      <c r="BQD359" s="2116"/>
      <c r="BQE359" s="2116"/>
      <c r="BQF359" s="2116"/>
      <c r="BQG359" s="2116"/>
      <c r="BQH359" s="2116"/>
      <c r="BQI359" s="2116"/>
      <c r="BQJ359" s="2116"/>
      <c r="BQK359" s="2116"/>
      <c r="BQL359" s="2116"/>
      <c r="BQM359" s="2116"/>
      <c r="BQN359" s="2116"/>
      <c r="BQO359" s="2116" t="s">
        <v>1869</v>
      </c>
      <c r="BQP359" s="2116"/>
      <c r="BQQ359" s="2116"/>
      <c r="BQR359" s="2116"/>
      <c r="BQS359" s="2116"/>
      <c r="BQT359" s="2116"/>
      <c r="BQU359" s="2116"/>
      <c r="BQV359" s="2116"/>
      <c r="BQW359" s="2116"/>
      <c r="BQX359" s="2116"/>
      <c r="BQY359" s="2116"/>
      <c r="BQZ359" s="2116"/>
      <c r="BRA359" s="2116"/>
      <c r="BRB359" s="2116"/>
      <c r="BRC359" s="2116"/>
      <c r="BRD359" s="2116"/>
      <c r="BRE359" s="2116" t="s">
        <v>1869</v>
      </c>
      <c r="BRF359" s="2116"/>
      <c r="BRG359" s="2116"/>
      <c r="BRH359" s="2116"/>
      <c r="BRI359" s="2116"/>
      <c r="BRJ359" s="2116"/>
      <c r="BRK359" s="2116"/>
      <c r="BRL359" s="2116"/>
      <c r="BRM359" s="2116"/>
      <c r="BRN359" s="2116"/>
      <c r="BRO359" s="2116"/>
      <c r="BRP359" s="2116"/>
      <c r="BRQ359" s="2116"/>
      <c r="BRR359" s="2116"/>
      <c r="BRS359" s="2116"/>
      <c r="BRT359" s="2116"/>
      <c r="BRU359" s="2116" t="s">
        <v>1869</v>
      </c>
      <c r="BRV359" s="2116"/>
      <c r="BRW359" s="2116"/>
      <c r="BRX359" s="2116"/>
      <c r="BRY359" s="2116"/>
      <c r="BRZ359" s="2116"/>
      <c r="BSA359" s="2116"/>
      <c r="BSB359" s="2116"/>
      <c r="BSC359" s="2116"/>
      <c r="BSD359" s="2116"/>
      <c r="BSE359" s="2116"/>
      <c r="BSF359" s="2116"/>
      <c r="BSG359" s="2116"/>
      <c r="BSH359" s="2116"/>
      <c r="BSI359" s="2116"/>
      <c r="BSJ359" s="2116"/>
      <c r="BSK359" s="2116" t="s">
        <v>1869</v>
      </c>
      <c r="BSL359" s="2116"/>
      <c r="BSM359" s="2116"/>
      <c r="BSN359" s="2116"/>
      <c r="BSO359" s="2116"/>
      <c r="BSP359" s="2116"/>
      <c r="BSQ359" s="2116"/>
      <c r="BSR359" s="2116"/>
      <c r="BSS359" s="2116"/>
      <c r="BST359" s="2116"/>
      <c r="BSU359" s="2116"/>
      <c r="BSV359" s="2116"/>
      <c r="BSW359" s="2116"/>
      <c r="BSX359" s="2116"/>
      <c r="BSY359" s="2116"/>
      <c r="BSZ359" s="2116"/>
      <c r="BTA359" s="2116" t="s">
        <v>1869</v>
      </c>
      <c r="BTB359" s="2116"/>
      <c r="BTC359" s="2116"/>
      <c r="BTD359" s="2116"/>
      <c r="BTE359" s="2116"/>
      <c r="BTF359" s="2116"/>
      <c r="BTG359" s="2116"/>
      <c r="BTH359" s="2116"/>
      <c r="BTI359" s="2116"/>
      <c r="BTJ359" s="2116"/>
      <c r="BTK359" s="2116"/>
      <c r="BTL359" s="2116"/>
      <c r="BTM359" s="2116"/>
      <c r="BTN359" s="2116"/>
      <c r="BTO359" s="2116"/>
      <c r="BTP359" s="2116"/>
      <c r="BTQ359" s="2116" t="s">
        <v>1869</v>
      </c>
      <c r="BTR359" s="2116"/>
      <c r="BTS359" s="2116"/>
      <c r="BTT359" s="2116"/>
      <c r="BTU359" s="2116"/>
      <c r="BTV359" s="2116"/>
      <c r="BTW359" s="2116"/>
      <c r="BTX359" s="2116"/>
      <c r="BTY359" s="2116"/>
      <c r="BTZ359" s="2116"/>
      <c r="BUA359" s="2116"/>
      <c r="BUB359" s="2116"/>
      <c r="BUC359" s="2116"/>
      <c r="BUD359" s="2116"/>
      <c r="BUE359" s="2116"/>
      <c r="BUF359" s="2116"/>
      <c r="BUG359" s="2116" t="s">
        <v>1869</v>
      </c>
      <c r="BUH359" s="2116"/>
      <c r="BUI359" s="2116"/>
      <c r="BUJ359" s="2116"/>
      <c r="BUK359" s="2116"/>
      <c r="BUL359" s="2116"/>
      <c r="BUM359" s="2116"/>
      <c r="BUN359" s="2116"/>
      <c r="BUO359" s="2116"/>
      <c r="BUP359" s="2116"/>
      <c r="BUQ359" s="2116"/>
      <c r="BUR359" s="2116"/>
      <c r="BUS359" s="2116"/>
      <c r="BUT359" s="2116"/>
      <c r="BUU359" s="2116"/>
      <c r="BUV359" s="2116"/>
      <c r="BUW359" s="2116" t="s">
        <v>1869</v>
      </c>
      <c r="BUX359" s="2116"/>
      <c r="BUY359" s="2116"/>
      <c r="BUZ359" s="2116"/>
      <c r="BVA359" s="2116"/>
      <c r="BVB359" s="2116"/>
      <c r="BVC359" s="2116"/>
      <c r="BVD359" s="2116"/>
      <c r="BVE359" s="2116"/>
      <c r="BVF359" s="2116"/>
      <c r="BVG359" s="2116"/>
      <c r="BVH359" s="2116"/>
      <c r="BVI359" s="2116"/>
      <c r="BVJ359" s="2116"/>
      <c r="BVK359" s="2116"/>
      <c r="BVL359" s="2116"/>
      <c r="BVM359" s="2116" t="s">
        <v>1869</v>
      </c>
      <c r="BVN359" s="2116"/>
      <c r="BVO359" s="2116"/>
      <c r="BVP359" s="2116"/>
      <c r="BVQ359" s="2116"/>
      <c r="BVR359" s="2116"/>
      <c r="BVS359" s="2116"/>
      <c r="BVT359" s="2116"/>
      <c r="BVU359" s="2116"/>
      <c r="BVV359" s="2116"/>
      <c r="BVW359" s="2116"/>
      <c r="BVX359" s="2116"/>
      <c r="BVY359" s="2116"/>
      <c r="BVZ359" s="2116"/>
      <c r="BWA359" s="2116"/>
      <c r="BWB359" s="2116"/>
      <c r="BWC359" s="2116" t="s">
        <v>1869</v>
      </c>
      <c r="BWD359" s="2116"/>
      <c r="BWE359" s="2116"/>
      <c r="BWF359" s="2116"/>
      <c r="BWG359" s="2116"/>
      <c r="BWH359" s="2116"/>
      <c r="BWI359" s="2116"/>
      <c r="BWJ359" s="2116"/>
      <c r="BWK359" s="2116"/>
      <c r="BWL359" s="2116"/>
      <c r="BWM359" s="2116"/>
      <c r="BWN359" s="2116"/>
      <c r="BWO359" s="2116"/>
      <c r="BWP359" s="2116"/>
      <c r="BWQ359" s="2116"/>
      <c r="BWR359" s="2116"/>
      <c r="BWS359" s="2116" t="s">
        <v>1869</v>
      </c>
      <c r="BWT359" s="2116"/>
      <c r="BWU359" s="2116"/>
      <c r="BWV359" s="2116"/>
      <c r="BWW359" s="2116"/>
      <c r="BWX359" s="2116"/>
      <c r="BWY359" s="2116"/>
      <c r="BWZ359" s="2116"/>
      <c r="BXA359" s="2116"/>
      <c r="BXB359" s="2116"/>
      <c r="BXC359" s="2116"/>
      <c r="BXD359" s="2116"/>
      <c r="BXE359" s="2116"/>
      <c r="BXF359" s="2116"/>
      <c r="BXG359" s="2116"/>
      <c r="BXH359" s="2116"/>
      <c r="BXI359" s="2116" t="s">
        <v>1869</v>
      </c>
      <c r="BXJ359" s="2116"/>
      <c r="BXK359" s="2116"/>
      <c r="BXL359" s="2116"/>
      <c r="BXM359" s="2116"/>
      <c r="BXN359" s="2116"/>
      <c r="BXO359" s="2116"/>
      <c r="BXP359" s="2116"/>
      <c r="BXQ359" s="2116"/>
      <c r="BXR359" s="2116"/>
      <c r="BXS359" s="2116"/>
      <c r="BXT359" s="2116"/>
      <c r="BXU359" s="2116"/>
      <c r="BXV359" s="2116"/>
      <c r="BXW359" s="2116"/>
      <c r="BXX359" s="2116"/>
      <c r="BXY359" s="2116" t="s">
        <v>1869</v>
      </c>
      <c r="BXZ359" s="2116"/>
      <c r="BYA359" s="2116"/>
      <c r="BYB359" s="2116"/>
      <c r="BYC359" s="2116"/>
      <c r="BYD359" s="2116"/>
      <c r="BYE359" s="2116"/>
      <c r="BYF359" s="2116"/>
      <c r="BYG359" s="2116"/>
      <c r="BYH359" s="2116"/>
      <c r="BYI359" s="2116"/>
      <c r="BYJ359" s="2116"/>
      <c r="BYK359" s="2116"/>
      <c r="BYL359" s="2116"/>
      <c r="BYM359" s="2116"/>
      <c r="BYN359" s="2116"/>
      <c r="BYO359" s="2116" t="s">
        <v>1869</v>
      </c>
      <c r="BYP359" s="2116"/>
      <c r="BYQ359" s="2116"/>
      <c r="BYR359" s="2116"/>
      <c r="BYS359" s="2116"/>
      <c r="BYT359" s="2116"/>
      <c r="BYU359" s="2116"/>
      <c r="BYV359" s="2116"/>
      <c r="BYW359" s="2116"/>
      <c r="BYX359" s="2116"/>
      <c r="BYY359" s="2116"/>
      <c r="BYZ359" s="2116"/>
      <c r="BZA359" s="2116"/>
      <c r="BZB359" s="2116"/>
      <c r="BZC359" s="2116"/>
      <c r="BZD359" s="2116"/>
      <c r="BZE359" s="2116" t="s">
        <v>1869</v>
      </c>
      <c r="BZF359" s="2116"/>
      <c r="BZG359" s="2116"/>
      <c r="BZH359" s="2116"/>
      <c r="BZI359" s="2116"/>
      <c r="BZJ359" s="2116"/>
      <c r="BZK359" s="2116"/>
      <c r="BZL359" s="2116"/>
      <c r="BZM359" s="2116"/>
      <c r="BZN359" s="2116"/>
      <c r="BZO359" s="2116"/>
      <c r="BZP359" s="2116"/>
      <c r="BZQ359" s="2116"/>
      <c r="BZR359" s="2116"/>
      <c r="BZS359" s="2116"/>
      <c r="BZT359" s="2116"/>
      <c r="BZU359" s="2116" t="s">
        <v>1869</v>
      </c>
      <c r="BZV359" s="2116"/>
      <c r="BZW359" s="2116"/>
      <c r="BZX359" s="2116"/>
      <c r="BZY359" s="2116"/>
      <c r="BZZ359" s="2116"/>
      <c r="CAA359" s="2116"/>
      <c r="CAB359" s="2116"/>
      <c r="CAC359" s="2116"/>
      <c r="CAD359" s="2116"/>
      <c r="CAE359" s="2116"/>
      <c r="CAF359" s="2116"/>
      <c r="CAG359" s="2116"/>
      <c r="CAH359" s="2116"/>
      <c r="CAI359" s="2116"/>
      <c r="CAJ359" s="2116"/>
      <c r="CAK359" s="2116" t="s">
        <v>1869</v>
      </c>
      <c r="CAL359" s="2116"/>
      <c r="CAM359" s="2116"/>
      <c r="CAN359" s="2116"/>
      <c r="CAO359" s="2116"/>
      <c r="CAP359" s="2116"/>
      <c r="CAQ359" s="2116"/>
      <c r="CAR359" s="2116"/>
      <c r="CAS359" s="2116"/>
      <c r="CAT359" s="2116"/>
      <c r="CAU359" s="2116"/>
      <c r="CAV359" s="2116"/>
      <c r="CAW359" s="2116"/>
      <c r="CAX359" s="2116"/>
      <c r="CAY359" s="2116"/>
      <c r="CAZ359" s="2116"/>
      <c r="CBA359" s="2116" t="s">
        <v>1869</v>
      </c>
      <c r="CBB359" s="2116"/>
      <c r="CBC359" s="2116"/>
      <c r="CBD359" s="2116"/>
      <c r="CBE359" s="2116"/>
      <c r="CBF359" s="2116"/>
      <c r="CBG359" s="2116"/>
      <c r="CBH359" s="2116"/>
      <c r="CBI359" s="2116"/>
      <c r="CBJ359" s="2116"/>
      <c r="CBK359" s="2116"/>
      <c r="CBL359" s="2116"/>
      <c r="CBM359" s="2116"/>
      <c r="CBN359" s="2116"/>
      <c r="CBO359" s="2116"/>
      <c r="CBP359" s="2116"/>
      <c r="CBQ359" s="2116" t="s">
        <v>1869</v>
      </c>
      <c r="CBR359" s="2116"/>
      <c r="CBS359" s="2116"/>
      <c r="CBT359" s="2116"/>
      <c r="CBU359" s="2116"/>
      <c r="CBV359" s="2116"/>
      <c r="CBW359" s="2116"/>
      <c r="CBX359" s="2116"/>
      <c r="CBY359" s="2116"/>
      <c r="CBZ359" s="2116"/>
      <c r="CCA359" s="2116"/>
      <c r="CCB359" s="2116"/>
      <c r="CCC359" s="2116"/>
      <c r="CCD359" s="2116"/>
      <c r="CCE359" s="2116"/>
      <c r="CCF359" s="2116"/>
      <c r="CCG359" s="2116" t="s">
        <v>1869</v>
      </c>
      <c r="CCH359" s="2116"/>
      <c r="CCI359" s="2116"/>
      <c r="CCJ359" s="2116"/>
      <c r="CCK359" s="2116"/>
      <c r="CCL359" s="2116"/>
      <c r="CCM359" s="2116"/>
      <c r="CCN359" s="2116"/>
      <c r="CCO359" s="2116"/>
      <c r="CCP359" s="2116"/>
      <c r="CCQ359" s="2116"/>
      <c r="CCR359" s="2116"/>
      <c r="CCS359" s="2116"/>
      <c r="CCT359" s="2116"/>
      <c r="CCU359" s="2116"/>
      <c r="CCV359" s="2116"/>
      <c r="CCW359" s="2116" t="s">
        <v>1869</v>
      </c>
      <c r="CCX359" s="2116"/>
      <c r="CCY359" s="2116"/>
      <c r="CCZ359" s="2116"/>
      <c r="CDA359" s="2116"/>
      <c r="CDB359" s="2116"/>
      <c r="CDC359" s="2116"/>
      <c r="CDD359" s="2116"/>
      <c r="CDE359" s="2116"/>
      <c r="CDF359" s="2116"/>
      <c r="CDG359" s="2116"/>
      <c r="CDH359" s="2116"/>
      <c r="CDI359" s="2116"/>
      <c r="CDJ359" s="2116"/>
      <c r="CDK359" s="2116"/>
      <c r="CDL359" s="2116"/>
      <c r="CDM359" s="2116" t="s">
        <v>1869</v>
      </c>
      <c r="CDN359" s="2116"/>
      <c r="CDO359" s="2116"/>
      <c r="CDP359" s="2116"/>
      <c r="CDQ359" s="2116"/>
      <c r="CDR359" s="2116"/>
      <c r="CDS359" s="2116"/>
      <c r="CDT359" s="2116"/>
      <c r="CDU359" s="2116"/>
      <c r="CDV359" s="2116"/>
      <c r="CDW359" s="2116"/>
      <c r="CDX359" s="2116"/>
      <c r="CDY359" s="2116"/>
      <c r="CDZ359" s="2116"/>
      <c r="CEA359" s="2116"/>
      <c r="CEB359" s="2116"/>
      <c r="CEC359" s="2116" t="s">
        <v>1869</v>
      </c>
      <c r="CED359" s="2116"/>
      <c r="CEE359" s="2116"/>
      <c r="CEF359" s="2116"/>
      <c r="CEG359" s="2116"/>
      <c r="CEH359" s="2116"/>
      <c r="CEI359" s="2116"/>
      <c r="CEJ359" s="2116"/>
      <c r="CEK359" s="2116"/>
      <c r="CEL359" s="2116"/>
      <c r="CEM359" s="2116"/>
      <c r="CEN359" s="2116"/>
      <c r="CEO359" s="2116"/>
      <c r="CEP359" s="2116"/>
      <c r="CEQ359" s="2116"/>
      <c r="CER359" s="2116"/>
      <c r="CES359" s="2116" t="s">
        <v>1869</v>
      </c>
      <c r="CET359" s="2116"/>
      <c r="CEU359" s="2116"/>
      <c r="CEV359" s="2116"/>
      <c r="CEW359" s="2116"/>
      <c r="CEX359" s="2116"/>
      <c r="CEY359" s="2116"/>
      <c r="CEZ359" s="2116"/>
      <c r="CFA359" s="2116"/>
      <c r="CFB359" s="2116"/>
      <c r="CFC359" s="2116"/>
      <c r="CFD359" s="2116"/>
      <c r="CFE359" s="2116"/>
      <c r="CFF359" s="2116"/>
      <c r="CFG359" s="2116"/>
      <c r="CFH359" s="2116"/>
      <c r="CFI359" s="2116" t="s">
        <v>1869</v>
      </c>
      <c r="CFJ359" s="2116"/>
      <c r="CFK359" s="2116"/>
      <c r="CFL359" s="2116"/>
      <c r="CFM359" s="2116"/>
      <c r="CFN359" s="2116"/>
      <c r="CFO359" s="2116"/>
      <c r="CFP359" s="2116"/>
      <c r="CFQ359" s="2116"/>
      <c r="CFR359" s="2116"/>
      <c r="CFS359" s="2116"/>
      <c r="CFT359" s="2116"/>
      <c r="CFU359" s="2116"/>
      <c r="CFV359" s="2116"/>
      <c r="CFW359" s="2116"/>
      <c r="CFX359" s="2116"/>
      <c r="CFY359" s="2116" t="s">
        <v>1869</v>
      </c>
      <c r="CFZ359" s="2116"/>
      <c r="CGA359" s="2116"/>
      <c r="CGB359" s="2116"/>
      <c r="CGC359" s="2116"/>
      <c r="CGD359" s="2116"/>
      <c r="CGE359" s="2116"/>
      <c r="CGF359" s="2116"/>
      <c r="CGG359" s="2116"/>
      <c r="CGH359" s="2116"/>
      <c r="CGI359" s="2116"/>
      <c r="CGJ359" s="2116"/>
      <c r="CGK359" s="2116"/>
      <c r="CGL359" s="2116"/>
      <c r="CGM359" s="2116"/>
      <c r="CGN359" s="2116"/>
      <c r="CGO359" s="2116" t="s">
        <v>1869</v>
      </c>
      <c r="CGP359" s="2116"/>
      <c r="CGQ359" s="2116"/>
      <c r="CGR359" s="2116"/>
      <c r="CGS359" s="2116"/>
      <c r="CGT359" s="2116"/>
      <c r="CGU359" s="2116"/>
      <c r="CGV359" s="2116"/>
      <c r="CGW359" s="2116"/>
      <c r="CGX359" s="2116"/>
      <c r="CGY359" s="2116"/>
      <c r="CGZ359" s="2116"/>
      <c r="CHA359" s="2116"/>
      <c r="CHB359" s="2116"/>
      <c r="CHC359" s="2116"/>
      <c r="CHD359" s="2116"/>
      <c r="CHE359" s="2116" t="s">
        <v>1869</v>
      </c>
      <c r="CHF359" s="2116"/>
      <c r="CHG359" s="2116"/>
      <c r="CHH359" s="2116"/>
      <c r="CHI359" s="2116"/>
      <c r="CHJ359" s="2116"/>
      <c r="CHK359" s="2116"/>
      <c r="CHL359" s="2116"/>
      <c r="CHM359" s="2116"/>
      <c r="CHN359" s="2116"/>
      <c r="CHO359" s="2116"/>
      <c r="CHP359" s="2116"/>
      <c r="CHQ359" s="2116"/>
      <c r="CHR359" s="2116"/>
      <c r="CHS359" s="2116"/>
      <c r="CHT359" s="2116"/>
      <c r="CHU359" s="2116" t="s">
        <v>1869</v>
      </c>
      <c r="CHV359" s="2116"/>
      <c r="CHW359" s="2116"/>
      <c r="CHX359" s="2116"/>
      <c r="CHY359" s="2116"/>
      <c r="CHZ359" s="2116"/>
      <c r="CIA359" s="2116"/>
      <c r="CIB359" s="2116"/>
      <c r="CIC359" s="2116"/>
      <c r="CID359" s="2116"/>
      <c r="CIE359" s="2116"/>
      <c r="CIF359" s="2116"/>
      <c r="CIG359" s="2116"/>
      <c r="CIH359" s="2116"/>
      <c r="CII359" s="2116"/>
      <c r="CIJ359" s="2116"/>
      <c r="CIK359" s="2116" t="s">
        <v>1869</v>
      </c>
      <c r="CIL359" s="2116"/>
      <c r="CIM359" s="2116"/>
      <c r="CIN359" s="2116"/>
      <c r="CIO359" s="2116"/>
      <c r="CIP359" s="2116"/>
      <c r="CIQ359" s="2116"/>
      <c r="CIR359" s="2116"/>
      <c r="CIS359" s="2116"/>
      <c r="CIT359" s="2116"/>
      <c r="CIU359" s="2116"/>
      <c r="CIV359" s="2116"/>
      <c r="CIW359" s="2116"/>
      <c r="CIX359" s="2116"/>
      <c r="CIY359" s="2116"/>
      <c r="CIZ359" s="2116"/>
      <c r="CJA359" s="2116" t="s">
        <v>1869</v>
      </c>
      <c r="CJB359" s="2116"/>
      <c r="CJC359" s="2116"/>
      <c r="CJD359" s="2116"/>
      <c r="CJE359" s="2116"/>
      <c r="CJF359" s="2116"/>
      <c r="CJG359" s="2116"/>
      <c r="CJH359" s="2116"/>
      <c r="CJI359" s="2116"/>
      <c r="CJJ359" s="2116"/>
      <c r="CJK359" s="2116"/>
      <c r="CJL359" s="2116"/>
      <c r="CJM359" s="2116"/>
      <c r="CJN359" s="2116"/>
      <c r="CJO359" s="2116"/>
      <c r="CJP359" s="2116"/>
      <c r="CJQ359" s="2116" t="s">
        <v>1869</v>
      </c>
      <c r="CJR359" s="2116"/>
      <c r="CJS359" s="2116"/>
      <c r="CJT359" s="2116"/>
      <c r="CJU359" s="2116"/>
      <c r="CJV359" s="2116"/>
      <c r="CJW359" s="2116"/>
      <c r="CJX359" s="2116"/>
      <c r="CJY359" s="2116"/>
      <c r="CJZ359" s="2116"/>
      <c r="CKA359" s="2116"/>
      <c r="CKB359" s="2116"/>
      <c r="CKC359" s="2116"/>
      <c r="CKD359" s="2116"/>
      <c r="CKE359" s="2116"/>
      <c r="CKF359" s="2116"/>
      <c r="CKG359" s="2116" t="s">
        <v>1869</v>
      </c>
      <c r="CKH359" s="2116"/>
      <c r="CKI359" s="2116"/>
      <c r="CKJ359" s="2116"/>
      <c r="CKK359" s="2116"/>
      <c r="CKL359" s="2116"/>
      <c r="CKM359" s="2116"/>
      <c r="CKN359" s="2116"/>
      <c r="CKO359" s="2116"/>
      <c r="CKP359" s="2116"/>
      <c r="CKQ359" s="2116"/>
      <c r="CKR359" s="2116"/>
      <c r="CKS359" s="2116"/>
      <c r="CKT359" s="2116"/>
      <c r="CKU359" s="2116"/>
      <c r="CKV359" s="2116"/>
      <c r="CKW359" s="2116" t="s">
        <v>1869</v>
      </c>
      <c r="CKX359" s="2116"/>
      <c r="CKY359" s="2116"/>
      <c r="CKZ359" s="2116"/>
      <c r="CLA359" s="2116"/>
      <c r="CLB359" s="2116"/>
      <c r="CLC359" s="2116"/>
      <c r="CLD359" s="2116"/>
      <c r="CLE359" s="2116"/>
      <c r="CLF359" s="2116"/>
      <c r="CLG359" s="2116"/>
      <c r="CLH359" s="2116"/>
      <c r="CLI359" s="2116"/>
      <c r="CLJ359" s="2116"/>
      <c r="CLK359" s="2116"/>
      <c r="CLL359" s="2116"/>
      <c r="CLM359" s="2116" t="s">
        <v>1869</v>
      </c>
      <c r="CLN359" s="2116"/>
      <c r="CLO359" s="2116"/>
      <c r="CLP359" s="2116"/>
      <c r="CLQ359" s="2116"/>
      <c r="CLR359" s="2116"/>
      <c r="CLS359" s="2116"/>
      <c r="CLT359" s="2116"/>
      <c r="CLU359" s="2116"/>
      <c r="CLV359" s="2116"/>
      <c r="CLW359" s="2116"/>
      <c r="CLX359" s="2116"/>
      <c r="CLY359" s="2116"/>
      <c r="CLZ359" s="2116"/>
      <c r="CMA359" s="2116"/>
      <c r="CMB359" s="2116"/>
      <c r="CMC359" s="2116" t="s">
        <v>1869</v>
      </c>
      <c r="CMD359" s="2116"/>
      <c r="CME359" s="2116"/>
      <c r="CMF359" s="2116"/>
      <c r="CMG359" s="2116"/>
      <c r="CMH359" s="2116"/>
      <c r="CMI359" s="2116"/>
      <c r="CMJ359" s="2116"/>
      <c r="CMK359" s="2116"/>
      <c r="CML359" s="2116"/>
      <c r="CMM359" s="2116"/>
      <c r="CMN359" s="2116"/>
      <c r="CMO359" s="2116"/>
      <c r="CMP359" s="2116"/>
      <c r="CMQ359" s="2116"/>
      <c r="CMR359" s="2116"/>
      <c r="CMS359" s="2116" t="s">
        <v>1869</v>
      </c>
      <c r="CMT359" s="2116"/>
      <c r="CMU359" s="2116"/>
      <c r="CMV359" s="2116"/>
      <c r="CMW359" s="2116"/>
      <c r="CMX359" s="2116"/>
      <c r="CMY359" s="2116"/>
      <c r="CMZ359" s="2116"/>
      <c r="CNA359" s="2116"/>
      <c r="CNB359" s="2116"/>
      <c r="CNC359" s="2116"/>
      <c r="CND359" s="2116"/>
      <c r="CNE359" s="2116"/>
      <c r="CNF359" s="2116"/>
      <c r="CNG359" s="2116"/>
      <c r="CNH359" s="2116"/>
      <c r="CNI359" s="2116" t="s">
        <v>1869</v>
      </c>
      <c r="CNJ359" s="2116"/>
      <c r="CNK359" s="2116"/>
      <c r="CNL359" s="2116"/>
      <c r="CNM359" s="2116"/>
      <c r="CNN359" s="2116"/>
      <c r="CNO359" s="2116"/>
      <c r="CNP359" s="2116"/>
      <c r="CNQ359" s="2116"/>
      <c r="CNR359" s="2116"/>
      <c r="CNS359" s="2116"/>
      <c r="CNT359" s="2116"/>
      <c r="CNU359" s="2116"/>
      <c r="CNV359" s="2116"/>
      <c r="CNW359" s="2116"/>
      <c r="CNX359" s="2116"/>
      <c r="CNY359" s="2116" t="s">
        <v>1869</v>
      </c>
      <c r="CNZ359" s="2116"/>
      <c r="COA359" s="2116"/>
      <c r="COB359" s="2116"/>
      <c r="COC359" s="2116"/>
      <c r="COD359" s="2116"/>
      <c r="COE359" s="2116"/>
      <c r="COF359" s="2116"/>
      <c r="COG359" s="2116"/>
      <c r="COH359" s="2116"/>
      <c r="COI359" s="2116"/>
      <c r="COJ359" s="2116"/>
      <c r="COK359" s="2116"/>
      <c r="COL359" s="2116"/>
      <c r="COM359" s="2116"/>
      <c r="CON359" s="2116"/>
      <c r="COO359" s="2116" t="s">
        <v>1869</v>
      </c>
      <c r="COP359" s="2116"/>
      <c r="COQ359" s="2116"/>
      <c r="COR359" s="2116"/>
      <c r="COS359" s="2116"/>
      <c r="COT359" s="2116"/>
      <c r="COU359" s="2116"/>
      <c r="COV359" s="2116"/>
      <c r="COW359" s="2116"/>
      <c r="COX359" s="2116"/>
      <c r="COY359" s="2116"/>
      <c r="COZ359" s="2116"/>
      <c r="CPA359" s="2116"/>
      <c r="CPB359" s="2116"/>
      <c r="CPC359" s="2116"/>
      <c r="CPD359" s="2116"/>
      <c r="CPE359" s="2116" t="s">
        <v>1869</v>
      </c>
      <c r="CPF359" s="2116"/>
      <c r="CPG359" s="2116"/>
      <c r="CPH359" s="2116"/>
      <c r="CPI359" s="2116"/>
      <c r="CPJ359" s="2116"/>
      <c r="CPK359" s="2116"/>
      <c r="CPL359" s="2116"/>
      <c r="CPM359" s="2116"/>
      <c r="CPN359" s="2116"/>
      <c r="CPO359" s="2116"/>
      <c r="CPP359" s="2116"/>
      <c r="CPQ359" s="2116"/>
      <c r="CPR359" s="2116"/>
      <c r="CPS359" s="2116"/>
      <c r="CPT359" s="2116"/>
      <c r="CPU359" s="2116" t="s">
        <v>1869</v>
      </c>
      <c r="CPV359" s="2116"/>
      <c r="CPW359" s="2116"/>
      <c r="CPX359" s="2116"/>
      <c r="CPY359" s="2116"/>
      <c r="CPZ359" s="2116"/>
      <c r="CQA359" s="2116"/>
      <c r="CQB359" s="2116"/>
      <c r="CQC359" s="2116"/>
      <c r="CQD359" s="2116"/>
      <c r="CQE359" s="2116"/>
      <c r="CQF359" s="2116"/>
      <c r="CQG359" s="2116"/>
      <c r="CQH359" s="2116"/>
      <c r="CQI359" s="2116"/>
      <c r="CQJ359" s="2116"/>
      <c r="CQK359" s="2116" t="s">
        <v>1869</v>
      </c>
      <c r="CQL359" s="2116"/>
      <c r="CQM359" s="2116"/>
      <c r="CQN359" s="2116"/>
      <c r="CQO359" s="2116"/>
      <c r="CQP359" s="2116"/>
      <c r="CQQ359" s="2116"/>
      <c r="CQR359" s="2116"/>
      <c r="CQS359" s="2116"/>
      <c r="CQT359" s="2116"/>
      <c r="CQU359" s="2116"/>
      <c r="CQV359" s="2116"/>
      <c r="CQW359" s="2116"/>
      <c r="CQX359" s="2116"/>
      <c r="CQY359" s="2116"/>
      <c r="CQZ359" s="2116"/>
      <c r="CRA359" s="2116" t="s">
        <v>1869</v>
      </c>
      <c r="CRB359" s="2116"/>
      <c r="CRC359" s="2116"/>
      <c r="CRD359" s="2116"/>
      <c r="CRE359" s="2116"/>
      <c r="CRF359" s="2116"/>
      <c r="CRG359" s="2116"/>
      <c r="CRH359" s="2116"/>
      <c r="CRI359" s="2116"/>
      <c r="CRJ359" s="2116"/>
      <c r="CRK359" s="2116"/>
      <c r="CRL359" s="2116"/>
      <c r="CRM359" s="2116"/>
      <c r="CRN359" s="2116"/>
      <c r="CRO359" s="2116"/>
      <c r="CRP359" s="2116"/>
      <c r="CRQ359" s="2116" t="s">
        <v>1869</v>
      </c>
      <c r="CRR359" s="2116"/>
      <c r="CRS359" s="2116"/>
      <c r="CRT359" s="2116"/>
      <c r="CRU359" s="2116"/>
      <c r="CRV359" s="2116"/>
      <c r="CRW359" s="2116"/>
      <c r="CRX359" s="2116"/>
      <c r="CRY359" s="2116"/>
      <c r="CRZ359" s="2116"/>
      <c r="CSA359" s="2116"/>
      <c r="CSB359" s="2116"/>
      <c r="CSC359" s="2116"/>
      <c r="CSD359" s="2116"/>
      <c r="CSE359" s="2116"/>
      <c r="CSF359" s="2116"/>
      <c r="CSG359" s="2116" t="s">
        <v>1869</v>
      </c>
      <c r="CSH359" s="2116"/>
      <c r="CSI359" s="2116"/>
      <c r="CSJ359" s="2116"/>
      <c r="CSK359" s="2116"/>
      <c r="CSL359" s="2116"/>
      <c r="CSM359" s="2116"/>
      <c r="CSN359" s="2116"/>
      <c r="CSO359" s="2116"/>
      <c r="CSP359" s="2116"/>
      <c r="CSQ359" s="2116"/>
      <c r="CSR359" s="2116"/>
      <c r="CSS359" s="2116"/>
      <c r="CST359" s="2116"/>
      <c r="CSU359" s="2116"/>
      <c r="CSV359" s="2116"/>
      <c r="CSW359" s="2116" t="s">
        <v>1869</v>
      </c>
      <c r="CSX359" s="2116"/>
      <c r="CSY359" s="2116"/>
      <c r="CSZ359" s="2116"/>
      <c r="CTA359" s="2116"/>
      <c r="CTB359" s="2116"/>
      <c r="CTC359" s="2116"/>
      <c r="CTD359" s="2116"/>
      <c r="CTE359" s="2116"/>
      <c r="CTF359" s="2116"/>
      <c r="CTG359" s="2116"/>
      <c r="CTH359" s="2116"/>
      <c r="CTI359" s="2116"/>
      <c r="CTJ359" s="2116"/>
      <c r="CTK359" s="2116"/>
      <c r="CTL359" s="2116"/>
      <c r="CTM359" s="2116" t="s">
        <v>1869</v>
      </c>
      <c r="CTN359" s="2116"/>
      <c r="CTO359" s="2116"/>
      <c r="CTP359" s="2116"/>
      <c r="CTQ359" s="2116"/>
      <c r="CTR359" s="2116"/>
      <c r="CTS359" s="2116"/>
      <c r="CTT359" s="2116"/>
      <c r="CTU359" s="2116"/>
      <c r="CTV359" s="2116"/>
      <c r="CTW359" s="2116"/>
      <c r="CTX359" s="2116"/>
      <c r="CTY359" s="2116"/>
      <c r="CTZ359" s="2116"/>
      <c r="CUA359" s="2116"/>
      <c r="CUB359" s="2116"/>
      <c r="CUC359" s="2116" t="s">
        <v>1869</v>
      </c>
      <c r="CUD359" s="2116"/>
      <c r="CUE359" s="2116"/>
      <c r="CUF359" s="2116"/>
      <c r="CUG359" s="2116"/>
      <c r="CUH359" s="2116"/>
      <c r="CUI359" s="2116"/>
      <c r="CUJ359" s="2116"/>
      <c r="CUK359" s="2116"/>
      <c r="CUL359" s="2116"/>
      <c r="CUM359" s="2116"/>
      <c r="CUN359" s="2116"/>
      <c r="CUO359" s="2116"/>
      <c r="CUP359" s="2116"/>
      <c r="CUQ359" s="2116"/>
      <c r="CUR359" s="2116"/>
      <c r="CUS359" s="2116" t="s">
        <v>1869</v>
      </c>
      <c r="CUT359" s="2116"/>
      <c r="CUU359" s="2116"/>
      <c r="CUV359" s="2116"/>
      <c r="CUW359" s="2116"/>
      <c r="CUX359" s="2116"/>
      <c r="CUY359" s="2116"/>
      <c r="CUZ359" s="2116"/>
      <c r="CVA359" s="2116"/>
      <c r="CVB359" s="2116"/>
      <c r="CVC359" s="2116"/>
      <c r="CVD359" s="2116"/>
      <c r="CVE359" s="2116"/>
      <c r="CVF359" s="2116"/>
      <c r="CVG359" s="2116"/>
      <c r="CVH359" s="2116"/>
      <c r="CVI359" s="2116" t="s">
        <v>1869</v>
      </c>
      <c r="CVJ359" s="2116"/>
      <c r="CVK359" s="2116"/>
      <c r="CVL359" s="2116"/>
      <c r="CVM359" s="2116"/>
      <c r="CVN359" s="2116"/>
      <c r="CVO359" s="2116"/>
      <c r="CVP359" s="2116"/>
      <c r="CVQ359" s="2116"/>
      <c r="CVR359" s="2116"/>
      <c r="CVS359" s="2116"/>
      <c r="CVT359" s="2116"/>
      <c r="CVU359" s="2116"/>
      <c r="CVV359" s="2116"/>
      <c r="CVW359" s="2116"/>
      <c r="CVX359" s="2116"/>
      <c r="CVY359" s="2116" t="s">
        <v>1869</v>
      </c>
      <c r="CVZ359" s="2116"/>
      <c r="CWA359" s="2116"/>
      <c r="CWB359" s="2116"/>
      <c r="CWC359" s="2116"/>
      <c r="CWD359" s="2116"/>
      <c r="CWE359" s="2116"/>
      <c r="CWF359" s="2116"/>
      <c r="CWG359" s="2116"/>
      <c r="CWH359" s="2116"/>
      <c r="CWI359" s="2116"/>
      <c r="CWJ359" s="2116"/>
      <c r="CWK359" s="2116"/>
      <c r="CWL359" s="2116"/>
      <c r="CWM359" s="2116"/>
      <c r="CWN359" s="2116"/>
      <c r="CWO359" s="2116" t="s">
        <v>1869</v>
      </c>
      <c r="CWP359" s="2116"/>
      <c r="CWQ359" s="2116"/>
      <c r="CWR359" s="2116"/>
      <c r="CWS359" s="2116"/>
      <c r="CWT359" s="2116"/>
      <c r="CWU359" s="2116"/>
      <c r="CWV359" s="2116"/>
      <c r="CWW359" s="2116"/>
      <c r="CWX359" s="2116"/>
      <c r="CWY359" s="2116"/>
      <c r="CWZ359" s="2116"/>
      <c r="CXA359" s="2116"/>
      <c r="CXB359" s="2116"/>
      <c r="CXC359" s="2116"/>
      <c r="CXD359" s="2116"/>
      <c r="CXE359" s="2116" t="s">
        <v>1869</v>
      </c>
      <c r="CXF359" s="2116"/>
      <c r="CXG359" s="2116"/>
      <c r="CXH359" s="2116"/>
      <c r="CXI359" s="2116"/>
      <c r="CXJ359" s="2116"/>
      <c r="CXK359" s="2116"/>
      <c r="CXL359" s="2116"/>
      <c r="CXM359" s="2116"/>
      <c r="CXN359" s="2116"/>
      <c r="CXO359" s="2116"/>
      <c r="CXP359" s="2116"/>
      <c r="CXQ359" s="2116"/>
      <c r="CXR359" s="2116"/>
      <c r="CXS359" s="2116"/>
      <c r="CXT359" s="2116"/>
      <c r="CXU359" s="2116" t="s">
        <v>1869</v>
      </c>
      <c r="CXV359" s="2116"/>
      <c r="CXW359" s="2116"/>
      <c r="CXX359" s="2116"/>
      <c r="CXY359" s="2116"/>
      <c r="CXZ359" s="2116"/>
      <c r="CYA359" s="2116"/>
      <c r="CYB359" s="2116"/>
      <c r="CYC359" s="2116"/>
      <c r="CYD359" s="2116"/>
      <c r="CYE359" s="2116"/>
      <c r="CYF359" s="2116"/>
      <c r="CYG359" s="2116"/>
      <c r="CYH359" s="2116"/>
      <c r="CYI359" s="2116"/>
      <c r="CYJ359" s="2116"/>
      <c r="CYK359" s="2116" t="s">
        <v>1869</v>
      </c>
      <c r="CYL359" s="2116"/>
      <c r="CYM359" s="2116"/>
      <c r="CYN359" s="2116"/>
      <c r="CYO359" s="2116"/>
      <c r="CYP359" s="2116"/>
      <c r="CYQ359" s="2116"/>
      <c r="CYR359" s="2116"/>
      <c r="CYS359" s="2116"/>
      <c r="CYT359" s="2116"/>
      <c r="CYU359" s="2116"/>
      <c r="CYV359" s="2116"/>
      <c r="CYW359" s="2116"/>
      <c r="CYX359" s="2116"/>
      <c r="CYY359" s="2116"/>
      <c r="CYZ359" s="2116"/>
      <c r="CZA359" s="2116" t="s">
        <v>1869</v>
      </c>
      <c r="CZB359" s="2116"/>
      <c r="CZC359" s="2116"/>
      <c r="CZD359" s="2116"/>
      <c r="CZE359" s="2116"/>
      <c r="CZF359" s="2116"/>
      <c r="CZG359" s="2116"/>
      <c r="CZH359" s="2116"/>
      <c r="CZI359" s="2116"/>
      <c r="CZJ359" s="2116"/>
      <c r="CZK359" s="2116"/>
      <c r="CZL359" s="2116"/>
      <c r="CZM359" s="2116"/>
      <c r="CZN359" s="2116"/>
      <c r="CZO359" s="2116"/>
      <c r="CZP359" s="2116"/>
      <c r="CZQ359" s="2116" t="s">
        <v>1869</v>
      </c>
      <c r="CZR359" s="2116"/>
      <c r="CZS359" s="2116"/>
      <c r="CZT359" s="2116"/>
      <c r="CZU359" s="2116"/>
      <c r="CZV359" s="2116"/>
      <c r="CZW359" s="2116"/>
      <c r="CZX359" s="2116"/>
      <c r="CZY359" s="2116"/>
      <c r="CZZ359" s="2116"/>
      <c r="DAA359" s="2116"/>
      <c r="DAB359" s="2116"/>
      <c r="DAC359" s="2116"/>
      <c r="DAD359" s="2116"/>
      <c r="DAE359" s="2116"/>
      <c r="DAF359" s="2116"/>
      <c r="DAG359" s="2116" t="s">
        <v>1869</v>
      </c>
      <c r="DAH359" s="2116"/>
      <c r="DAI359" s="2116"/>
      <c r="DAJ359" s="2116"/>
      <c r="DAK359" s="2116"/>
      <c r="DAL359" s="2116"/>
      <c r="DAM359" s="2116"/>
      <c r="DAN359" s="2116"/>
      <c r="DAO359" s="2116"/>
      <c r="DAP359" s="2116"/>
      <c r="DAQ359" s="2116"/>
      <c r="DAR359" s="2116"/>
      <c r="DAS359" s="2116"/>
      <c r="DAT359" s="2116"/>
      <c r="DAU359" s="2116"/>
      <c r="DAV359" s="2116"/>
      <c r="DAW359" s="2116" t="s">
        <v>1869</v>
      </c>
      <c r="DAX359" s="2116"/>
      <c r="DAY359" s="2116"/>
      <c r="DAZ359" s="2116"/>
      <c r="DBA359" s="2116"/>
      <c r="DBB359" s="2116"/>
      <c r="DBC359" s="2116"/>
      <c r="DBD359" s="2116"/>
      <c r="DBE359" s="2116"/>
      <c r="DBF359" s="2116"/>
      <c r="DBG359" s="2116"/>
      <c r="DBH359" s="2116"/>
      <c r="DBI359" s="2116"/>
      <c r="DBJ359" s="2116"/>
      <c r="DBK359" s="2116"/>
      <c r="DBL359" s="2116"/>
      <c r="DBM359" s="2116" t="s">
        <v>1869</v>
      </c>
      <c r="DBN359" s="2116"/>
      <c r="DBO359" s="2116"/>
      <c r="DBP359" s="2116"/>
      <c r="DBQ359" s="2116"/>
      <c r="DBR359" s="2116"/>
      <c r="DBS359" s="2116"/>
      <c r="DBT359" s="2116"/>
      <c r="DBU359" s="2116"/>
      <c r="DBV359" s="2116"/>
      <c r="DBW359" s="2116"/>
      <c r="DBX359" s="2116"/>
      <c r="DBY359" s="2116"/>
      <c r="DBZ359" s="2116"/>
      <c r="DCA359" s="2116"/>
      <c r="DCB359" s="2116"/>
      <c r="DCC359" s="2116" t="s">
        <v>1869</v>
      </c>
      <c r="DCD359" s="2116"/>
      <c r="DCE359" s="2116"/>
      <c r="DCF359" s="2116"/>
      <c r="DCG359" s="2116"/>
      <c r="DCH359" s="2116"/>
      <c r="DCI359" s="2116"/>
      <c r="DCJ359" s="2116"/>
      <c r="DCK359" s="2116"/>
      <c r="DCL359" s="2116"/>
      <c r="DCM359" s="2116"/>
      <c r="DCN359" s="2116"/>
      <c r="DCO359" s="2116"/>
      <c r="DCP359" s="2116"/>
      <c r="DCQ359" s="2116"/>
      <c r="DCR359" s="2116"/>
      <c r="DCS359" s="2116" t="s">
        <v>1869</v>
      </c>
      <c r="DCT359" s="2116"/>
      <c r="DCU359" s="2116"/>
      <c r="DCV359" s="2116"/>
      <c r="DCW359" s="2116"/>
      <c r="DCX359" s="2116"/>
      <c r="DCY359" s="2116"/>
      <c r="DCZ359" s="2116"/>
      <c r="DDA359" s="2116"/>
      <c r="DDB359" s="2116"/>
      <c r="DDC359" s="2116"/>
      <c r="DDD359" s="2116"/>
      <c r="DDE359" s="2116"/>
      <c r="DDF359" s="2116"/>
      <c r="DDG359" s="2116"/>
      <c r="DDH359" s="2116"/>
      <c r="DDI359" s="2116" t="s">
        <v>1869</v>
      </c>
      <c r="DDJ359" s="2116"/>
      <c r="DDK359" s="2116"/>
      <c r="DDL359" s="2116"/>
      <c r="DDM359" s="2116"/>
      <c r="DDN359" s="2116"/>
      <c r="DDO359" s="2116"/>
      <c r="DDP359" s="2116"/>
      <c r="DDQ359" s="2116"/>
      <c r="DDR359" s="2116"/>
      <c r="DDS359" s="2116"/>
      <c r="DDT359" s="2116"/>
      <c r="DDU359" s="2116"/>
      <c r="DDV359" s="2116"/>
      <c r="DDW359" s="2116"/>
      <c r="DDX359" s="2116"/>
      <c r="DDY359" s="2116" t="s">
        <v>1869</v>
      </c>
      <c r="DDZ359" s="2116"/>
      <c r="DEA359" s="2116"/>
      <c r="DEB359" s="2116"/>
      <c r="DEC359" s="2116"/>
      <c r="DED359" s="2116"/>
      <c r="DEE359" s="2116"/>
      <c r="DEF359" s="2116"/>
      <c r="DEG359" s="2116"/>
      <c r="DEH359" s="2116"/>
      <c r="DEI359" s="2116"/>
      <c r="DEJ359" s="2116"/>
      <c r="DEK359" s="2116"/>
      <c r="DEL359" s="2116"/>
      <c r="DEM359" s="2116"/>
      <c r="DEN359" s="2116"/>
      <c r="DEO359" s="2116" t="s">
        <v>1869</v>
      </c>
      <c r="DEP359" s="2116"/>
      <c r="DEQ359" s="2116"/>
      <c r="DER359" s="2116"/>
      <c r="DES359" s="2116"/>
      <c r="DET359" s="2116"/>
      <c r="DEU359" s="2116"/>
      <c r="DEV359" s="2116"/>
      <c r="DEW359" s="2116"/>
      <c r="DEX359" s="2116"/>
      <c r="DEY359" s="2116"/>
      <c r="DEZ359" s="2116"/>
      <c r="DFA359" s="2116"/>
      <c r="DFB359" s="2116"/>
      <c r="DFC359" s="2116"/>
      <c r="DFD359" s="2116"/>
      <c r="DFE359" s="2116" t="s">
        <v>1869</v>
      </c>
      <c r="DFF359" s="2116"/>
      <c r="DFG359" s="2116"/>
      <c r="DFH359" s="2116"/>
      <c r="DFI359" s="2116"/>
      <c r="DFJ359" s="2116"/>
      <c r="DFK359" s="2116"/>
      <c r="DFL359" s="2116"/>
      <c r="DFM359" s="2116"/>
      <c r="DFN359" s="2116"/>
      <c r="DFO359" s="2116"/>
      <c r="DFP359" s="2116"/>
      <c r="DFQ359" s="2116"/>
      <c r="DFR359" s="2116"/>
      <c r="DFS359" s="2116"/>
      <c r="DFT359" s="2116"/>
      <c r="DFU359" s="2116" t="s">
        <v>1869</v>
      </c>
      <c r="DFV359" s="2116"/>
      <c r="DFW359" s="2116"/>
      <c r="DFX359" s="2116"/>
      <c r="DFY359" s="2116"/>
      <c r="DFZ359" s="2116"/>
      <c r="DGA359" s="2116"/>
      <c r="DGB359" s="2116"/>
      <c r="DGC359" s="2116"/>
      <c r="DGD359" s="2116"/>
      <c r="DGE359" s="2116"/>
      <c r="DGF359" s="2116"/>
      <c r="DGG359" s="2116"/>
      <c r="DGH359" s="2116"/>
      <c r="DGI359" s="2116"/>
      <c r="DGJ359" s="2116"/>
      <c r="DGK359" s="2116" t="s">
        <v>1869</v>
      </c>
      <c r="DGL359" s="2116"/>
      <c r="DGM359" s="2116"/>
      <c r="DGN359" s="2116"/>
      <c r="DGO359" s="2116"/>
      <c r="DGP359" s="2116"/>
      <c r="DGQ359" s="2116"/>
      <c r="DGR359" s="2116"/>
      <c r="DGS359" s="2116"/>
      <c r="DGT359" s="2116"/>
      <c r="DGU359" s="2116"/>
      <c r="DGV359" s="2116"/>
      <c r="DGW359" s="2116"/>
      <c r="DGX359" s="2116"/>
      <c r="DGY359" s="2116"/>
      <c r="DGZ359" s="2116"/>
      <c r="DHA359" s="2116" t="s">
        <v>1869</v>
      </c>
      <c r="DHB359" s="2116"/>
      <c r="DHC359" s="2116"/>
      <c r="DHD359" s="2116"/>
      <c r="DHE359" s="2116"/>
      <c r="DHF359" s="2116"/>
      <c r="DHG359" s="2116"/>
      <c r="DHH359" s="2116"/>
      <c r="DHI359" s="2116"/>
      <c r="DHJ359" s="2116"/>
      <c r="DHK359" s="2116"/>
      <c r="DHL359" s="2116"/>
      <c r="DHM359" s="2116"/>
      <c r="DHN359" s="2116"/>
      <c r="DHO359" s="2116"/>
      <c r="DHP359" s="2116"/>
      <c r="DHQ359" s="2116" t="s">
        <v>1869</v>
      </c>
      <c r="DHR359" s="2116"/>
      <c r="DHS359" s="2116"/>
      <c r="DHT359" s="2116"/>
      <c r="DHU359" s="2116"/>
      <c r="DHV359" s="2116"/>
      <c r="DHW359" s="2116"/>
      <c r="DHX359" s="2116"/>
      <c r="DHY359" s="2116"/>
      <c r="DHZ359" s="2116"/>
      <c r="DIA359" s="2116"/>
      <c r="DIB359" s="2116"/>
      <c r="DIC359" s="2116"/>
      <c r="DID359" s="2116"/>
      <c r="DIE359" s="2116"/>
      <c r="DIF359" s="2116"/>
      <c r="DIG359" s="2116" t="s">
        <v>1869</v>
      </c>
      <c r="DIH359" s="2116"/>
      <c r="DII359" s="2116"/>
      <c r="DIJ359" s="2116"/>
      <c r="DIK359" s="2116"/>
      <c r="DIL359" s="2116"/>
      <c r="DIM359" s="2116"/>
      <c r="DIN359" s="2116"/>
      <c r="DIO359" s="2116"/>
      <c r="DIP359" s="2116"/>
      <c r="DIQ359" s="2116"/>
      <c r="DIR359" s="2116"/>
      <c r="DIS359" s="2116"/>
      <c r="DIT359" s="2116"/>
      <c r="DIU359" s="2116"/>
      <c r="DIV359" s="2116"/>
      <c r="DIW359" s="2116" t="s">
        <v>1869</v>
      </c>
      <c r="DIX359" s="2116"/>
      <c r="DIY359" s="2116"/>
      <c r="DIZ359" s="2116"/>
      <c r="DJA359" s="2116"/>
      <c r="DJB359" s="2116"/>
      <c r="DJC359" s="2116"/>
      <c r="DJD359" s="2116"/>
      <c r="DJE359" s="2116"/>
      <c r="DJF359" s="2116"/>
      <c r="DJG359" s="2116"/>
      <c r="DJH359" s="2116"/>
      <c r="DJI359" s="2116"/>
      <c r="DJJ359" s="2116"/>
      <c r="DJK359" s="2116"/>
      <c r="DJL359" s="2116"/>
      <c r="DJM359" s="2116" t="s">
        <v>1869</v>
      </c>
      <c r="DJN359" s="2116"/>
      <c r="DJO359" s="2116"/>
      <c r="DJP359" s="2116"/>
      <c r="DJQ359" s="2116"/>
      <c r="DJR359" s="2116"/>
      <c r="DJS359" s="2116"/>
      <c r="DJT359" s="2116"/>
      <c r="DJU359" s="2116"/>
      <c r="DJV359" s="2116"/>
      <c r="DJW359" s="2116"/>
      <c r="DJX359" s="2116"/>
      <c r="DJY359" s="2116"/>
      <c r="DJZ359" s="2116"/>
      <c r="DKA359" s="2116"/>
      <c r="DKB359" s="2116"/>
      <c r="DKC359" s="2116" t="s">
        <v>1869</v>
      </c>
      <c r="DKD359" s="2116"/>
      <c r="DKE359" s="2116"/>
      <c r="DKF359" s="2116"/>
      <c r="DKG359" s="2116"/>
      <c r="DKH359" s="2116"/>
      <c r="DKI359" s="2116"/>
      <c r="DKJ359" s="2116"/>
      <c r="DKK359" s="2116"/>
      <c r="DKL359" s="2116"/>
      <c r="DKM359" s="2116"/>
      <c r="DKN359" s="2116"/>
      <c r="DKO359" s="2116"/>
      <c r="DKP359" s="2116"/>
      <c r="DKQ359" s="2116"/>
      <c r="DKR359" s="2116"/>
      <c r="DKS359" s="2116" t="s">
        <v>1869</v>
      </c>
      <c r="DKT359" s="2116"/>
      <c r="DKU359" s="2116"/>
      <c r="DKV359" s="2116"/>
      <c r="DKW359" s="2116"/>
      <c r="DKX359" s="2116"/>
      <c r="DKY359" s="2116"/>
      <c r="DKZ359" s="2116"/>
      <c r="DLA359" s="2116"/>
      <c r="DLB359" s="2116"/>
      <c r="DLC359" s="2116"/>
      <c r="DLD359" s="2116"/>
      <c r="DLE359" s="2116"/>
      <c r="DLF359" s="2116"/>
      <c r="DLG359" s="2116"/>
      <c r="DLH359" s="2116"/>
      <c r="DLI359" s="2116" t="s">
        <v>1869</v>
      </c>
      <c r="DLJ359" s="2116"/>
      <c r="DLK359" s="2116"/>
      <c r="DLL359" s="2116"/>
      <c r="DLM359" s="2116"/>
      <c r="DLN359" s="2116"/>
      <c r="DLO359" s="2116"/>
      <c r="DLP359" s="2116"/>
      <c r="DLQ359" s="2116"/>
      <c r="DLR359" s="2116"/>
      <c r="DLS359" s="2116"/>
      <c r="DLT359" s="2116"/>
      <c r="DLU359" s="2116"/>
      <c r="DLV359" s="2116"/>
      <c r="DLW359" s="2116"/>
      <c r="DLX359" s="2116"/>
      <c r="DLY359" s="2116" t="s">
        <v>1869</v>
      </c>
      <c r="DLZ359" s="2116"/>
      <c r="DMA359" s="2116"/>
      <c r="DMB359" s="2116"/>
      <c r="DMC359" s="2116"/>
      <c r="DMD359" s="2116"/>
      <c r="DME359" s="2116"/>
      <c r="DMF359" s="2116"/>
      <c r="DMG359" s="2116"/>
      <c r="DMH359" s="2116"/>
      <c r="DMI359" s="2116"/>
      <c r="DMJ359" s="2116"/>
      <c r="DMK359" s="2116"/>
      <c r="DML359" s="2116"/>
      <c r="DMM359" s="2116"/>
      <c r="DMN359" s="2116"/>
      <c r="DMO359" s="2116" t="s">
        <v>1869</v>
      </c>
      <c r="DMP359" s="2116"/>
      <c r="DMQ359" s="2116"/>
      <c r="DMR359" s="2116"/>
      <c r="DMS359" s="2116"/>
      <c r="DMT359" s="2116"/>
      <c r="DMU359" s="2116"/>
      <c r="DMV359" s="2116"/>
      <c r="DMW359" s="2116"/>
      <c r="DMX359" s="2116"/>
      <c r="DMY359" s="2116"/>
      <c r="DMZ359" s="2116"/>
      <c r="DNA359" s="2116"/>
      <c r="DNB359" s="2116"/>
      <c r="DNC359" s="2116"/>
      <c r="DND359" s="2116"/>
      <c r="DNE359" s="2116" t="s">
        <v>1869</v>
      </c>
      <c r="DNF359" s="2116"/>
      <c r="DNG359" s="2116"/>
      <c r="DNH359" s="2116"/>
      <c r="DNI359" s="2116"/>
      <c r="DNJ359" s="2116"/>
      <c r="DNK359" s="2116"/>
      <c r="DNL359" s="2116"/>
      <c r="DNM359" s="2116"/>
      <c r="DNN359" s="2116"/>
      <c r="DNO359" s="2116"/>
      <c r="DNP359" s="2116"/>
      <c r="DNQ359" s="2116"/>
      <c r="DNR359" s="2116"/>
      <c r="DNS359" s="2116"/>
      <c r="DNT359" s="2116"/>
      <c r="DNU359" s="2116" t="s">
        <v>1869</v>
      </c>
      <c r="DNV359" s="2116"/>
      <c r="DNW359" s="2116"/>
      <c r="DNX359" s="2116"/>
      <c r="DNY359" s="2116"/>
      <c r="DNZ359" s="2116"/>
      <c r="DOA359" s="2116"/>
      <c r="DOB359" s="2116"/>
      <c r="DOC359" s="2116"/>
      <c r="DOD359" s="2116"/>
      <c r="DOE359" s="2116"/>
      <c r="DOF359" s="2116"/>
      <c r="DOG359" s="2116"/>
      <c r="DOH359" s="2116"/>
      <c r="DOI359" s="2116"/>
      <c r="DOJ359" s="2116"/>
      <c r="DOK359" s="2116" t="s">
        <v>1869</v>
      </c>
      <c r="DOL359" s="2116"/>
      <c r="DOM359" s="2116"/>
      <c r="DON359" s="2116"/>
      <c r="DOO359" s="2116"/>
      <c r="DOP359" s="2116"/>
      <c r="DOQ359" s="2116"/>
      <c r="DOR359" s="2116"/>
      <c r="DOS359" s="2116"/>
      <c r="DOT359" s="2116"/>
      <c r="DOU359" s="2116"/>
      <c r="DOV359" s="2116"/>
      <c r="DOW359" s="2116"/>
      <c r="DOX359" s="2116"/>
      <c r="DOY359" s="2116"/>
      <c r="DOZ359" s="2116"/>
      <c r="DPA359" s="2116" t="s">
        <v>1869</v>
      </c>
      <c r="DPB359" s="2116"/>
      <c r="DPC359" s="2116"/>
      <c r="DPD359" s="2116"/>
      <c r="DPE359" s="2116"/>
      <c r="DPF359" s="2116"/>
      <c r="DPG359" s="2116"/>
      <c r="DPH359" s="2116"/>
      <c r="DPI359" s="2116"/>
      <c r="DPJ359" s="2116"/>
      <c r="DPK359" s="2116"/>
      <c r="DPL359" s="2116"/>
      <c r="DPM359" s="2116"/>
      <c r="DPN359" s="2116"/>
      <c r="DPO359" s="2116"/>
      <c r="DPP359" s="2116"/>
      <c r="DPQ359" s="2116" t="s">
        <v>1869</v>
      </c>
      <c r="DPR359" s="2116"/>
      <c r="DPS359" s="2116"/>
      <c r="DPT359" s="2116"/>
      <c r="DPU359" s="2116"/>
      <c r="DPV359" s="2116"/>
      <c r="DPW359" s="2116"/>
      <c r="DPX359" s="2116"/>
      <c r="DPY359" s="2116"/>
      <c r="DPZ359" s="2116"/>
      <c r="DQA359" s="2116"/>
      <c r="DQB359" s="2116"/>
      <c r="DQC359" s="2116"/>
      <c r="DQD359" s="2116"/>
      <c r="DQE359" s="2116"/>
      <c r="DQF359" s="2116"/>
      <c r="DQG359" s="2116" t="s">
        <v>1869</v>
      </c>
      <c r="DQH359" s="2116"/>
      <c r="DQI359" s="2116"/>
      <c r="DQJ359" s="2116"/>
      <c r="DQK359" s="2116"/>
      <c r="DQL359" s="2116"/>
      <c r="DQM359" s="2116"/>
      <c r="DQN359" s="2116"/>
      <c r="DQO359" s="2116"/>
      <c r="DQP359" s="2116"/>
      <c r="DQQ359" s="2116"/>
      <c r="DQR359" s="2116"/>
      <c r="DQS359" s="2116"/>
      <c r="DQT359" s="2116"/>
      <c r="DQU359" s="2116"/>
      <c r="DQV359" s="2116"/>
      <c r="DQW359" s="2116" t="s">
        <v>1869</v>
      </c>
      <c r="DQX359" s="2116"/>
      <c r="DQY359" s="2116"/>
      <c r="DQZ359" s="2116"/>
      <c r="DRA359" s="2116"/>
      <c r="DRB359" s="2116"/>
      <c r="DRC359" s="2116"/>
      <c r="DRD359" s="2116"/>
      <c r="DRE359" s="2116"/>
      <c r="DRF359" s="2116"/>
      <c r="DRG359" s="2116"/>
      <c r="DRH359" s="2116"/>
      <c r="DRI359" s="2116"/>
      <c r="DRJ359" s="2116"/>
      <c r="DRK359" s="2116"/>
      <c r="DRL359" s="2116"/>
      <c r="DRM359" s="2116" t="s">
        <v>1869</v>
      </c>
      <c r="DRN359" s="2116"/>
      <c r="DRO359" s="2116"/>
      <c r="DRP359" s="2116"/>
      <c r="DRQ359" s="2116"/>
      <c r="DRR359" s="2116"/>
      <c r="DRS359" s="2116"/>
      <c r="DRT359" s="2116"/>
      <c r="DRU359" s="2116"/>
      <c r="DRV359" s="2116"/>
      <c r="DRW359" s="2116"/>
      <c r="DRX359" s="2116"/>
      <c r="DRY359" s="2116"/>
      <c r="DRZ359" s="2116"/>
      <c r="DSA359" s="2116"/>
      <c r="DSB359" s="2116"/>
      <c r="DSC359" s="2116" t="s">
        <v>1869</v>
      </c>
      <c r="DSD359" s="2116"/>
      <c r="DSE359" s="2116"/>
      <c r="DSF359" s="2116"/>
      <c r="DSG359" s="2116"/>
      <c r="DSH359" s="2116"/>
      <c r="DSI359" s="2116"/>
      <c r="DSJ359" s="2116"/>
      <c r="DSK359" s="2116"/>
      <c r="DSL359" s="2116"/>
      <c r="DSM359" s="2116"/>
      <c r="DSN359" s="2116"/>
      <c r="DSO359" s="2116"/>
      <c r="DSP359" s="2116"/>
      <c r="DSQ359" s="2116"/>
      <c r="DSR359" s="2116"/>
      <c r="DSS359" s="2116" t="s">
        <v>1869</v>
      </c>
      <c r="DST359" s="2116"/>
      <c r="DSU359" s="2116"/>
      <c r="DSV359" s="2116"/>
      <c r="DSW359" s="2116"/>
      <c r="DSX359" s="2116"/>
      <c r="DSY359" s="2116"/>
      <c r="DSZ359" s="2116"/>
      <c r="DTA359" s="2116"/>
      <c r="DTB359" s="2116"/>
      <c r="DTC359" s="2116"/>
      <c r="DTD359" s="2116"/>
      <c r="DTE359" s="2116"/>
      <c r="DTF359" s="2116"/>
      <c r="DTG359" s="2116"/>
      <c r="DTH359" s="2116"/>
      <c r="DTI359" s="2116" t="s">
        <v>1869</v>
      </c>
      <c r="DTJ359" s="2116"/>
      <c r="DTK359" s="2116"/>
      <c r="DTL359" s="2116"/>
      <c r="DTM359" s="2116"/>
      <c r="DTN359" s="2116"/>
      <c r="DTO359" s="2116"/>
      <c r="DTP359" s="2116"/>
      <c r="DTQ359" s="2116"/>
      <c r="DTR359" s="2116"/>
      <c r="DTS359" s="2116"/>
      <c r="DTT359" s="2116"/>
      <c r="DTU359" s="2116"/>
      <c r="DTV359" s="2116"/>
      <c r="DTW359" s="2116"/>
      <c r="DTX359" s="2116"/>
      <c r="DTY359" s="2116" t="s">
        <v>1869</v>
      </c>
      <c r="DTZ359" s="2116"/>
      <c r="DUA359" s="2116"/>
      <c r="DUB359" s="2116"/>
      <c r="DUC359" s="2116"/>
      <c r="DUD359" s="2116"/>
      <c r="DUE359" s="2116"/>
      <c r="DUF359" s="2116"/>
      <c r="DUG359" s="2116"/>
      <c r="DUH359" s="2116"/>
      <c r="DUI359" s="2116"/>
      <c r="DUJ359" s="2116"/>
      <c r="DUK359" s="2116"/>
      <c r="DUL359" s="2116"/>
      <c r="DUM359" s="2116"/>
      <c r="DUN359" s="2116"/>
      <c r="DUO359" s="2116" t="s">
        <v>1869</v>
      </c>
      <c r="DUP359" s="2116"/>
      <c r="DUQ359" s="2116"/>
      <c r="DUR359" s="2116"/>
      <c r="DUS359" s="2116"/>
      <c r="DUT359" s="2116"/>
      <c r="DUU359" s="2116"/>
      <c r="DUV359" s="2116"/>
      <c r="DUW359" s="2116"/>
      <c r="DUX359" s="2116"/>
      <c r="DUY359" s="2116"/>
      <c r="DUZ359" s="2116"/>
      <c r="DVA359" s="2116"/>
      <c r="DVB359" s="2116"/>
      <c r="DVC359" s="2116"/>
      <c r="DVD359" s="2116"/>
      <c r="DVE359" s="2116" t="s">
        <v>1869</v>
      </c>
      <c r="DVF359" s="2116"/>
      <c r="DVG359" s="2116"/>
      <c r="DVH359" s="2116"/>
      <c r="DVI359" s="2116"/>
      <c r="DVJ359" s="2116"/>
      <c r="DVK359" s="2116"/>
      <c r="DVL359" s="2116"/>
      <c r="DVM359" s="2116"/>
      <c r="DVN359" s="2116"/>
      <c r="DVO359" s="2116"/>
      <c r="DVP359" s="2116"/>
      <c r="DVQ359" s="2116"/>
      <c r="DVR359" s="2116"/>
      <c r="DVS359" s="2116"/>
      <c r="DVT359" s="2116"/>
      <c r="DVU359" s="2116" t="s">
        <v>1869</v>
      </c>
      <c r="DVV359" s="2116"/>
      <c r="DVW359" s="2116"/>
      <c r="DVX359" s="2116"/>
      <c r="DVY359" s="2116"/>
      <c r="DVZ359" s="2116"/>
      <c r="DWA359" s="2116"/>
      <c r="DWB359" s="2116"/>
      <c r="DWC359" s="2116"/>
      <c r="DWD359" s="2116"/>
      <c r="DWE359" s="2116"/>
      <c r="DWF359" s="2116"/>
      <c r="DWG359" s="2116"/>
      <c r="DWH359" s="2116"/>
      <c r="DWI359" s="2116"/>
      <c r="DWJ359" s="2116"/>
      <c r="DWK359" s="2116" t="s">
        <v>1869</v>
      </c>
      <c r="DWL359" s="2116"/>
      <c r="DWM359" s="2116"/>
      <c r="DWN359" s="2116"/>
      <c r="DWO359" s="2116"/>
      <c r="DWP359" s="2116"/>
      <c r="DWQ359" s="2116"/>
      <c r="DWR359" s="2116"/>
      <c r="DWS359" s="2116"/>
      <c r="DWT359" s="2116"/>
      <c r="DWU359" s="2116"/>
      <c r="DWV359" s="2116"/>
      <c r="DWW359" s="2116"/>
      <c r="DWX359" s="2116"/>
      <c r="DWY359" s="2116"/>
      <c r="DWZ359" s="2116"/>
      <c r="DXA359" s="2116" t="s">
        <v>1869</v>
      </c>
      <c r="DXB359" s="2116"/>
      <c r="DXC359" s="2116"/>
      <c r="DXD359" s="2116"/>
      <c r="DXE359" s="2116"/>
      <c r="DXF359" s="2116"/>
      <c r="DXG359" s="2116"/>
      <c r="DXH359" s="2116"/>
      <c r="DXI359" s="2116"/>
      <c r="DXJ359" s="2116"/>
      <c r="DXK359" s="2116"/>
      <c r="DXL359" s="2116"/>
      <c r="DXM359" s="2116"/>
      <c r="DXN359" s="2116"/>
      <c r="DXO359" s="2116"/>
      <c r="DXP359" s="2116"/>
      <c r="DXQ359" s="2116" t="s">
        <v>1869</v>
      </c>
      <c r="DXR359" s="2116"/>
      <c r="DXS359" s="2116"/>
      <c r="DXT359" s="2116"/>
      <c r="DXU359" s="2116"/>
      <c r="DXV359" s="2116"/>
      <c r="DXW359" s="2116"/>
      <c r="DXX359" s="2116"/>
      <c r="DXY359" s="2116"/>
      <c r="DXZ359" s="2116"/>
      <c r="DYA359" s="2116"/>
      <c r="DYB359" s="2116"/>
      <c r="DYC359" s="2116"/>
      <c r="DYD359" s="2116"/>
      <c r="DYE359" s="2116"/>
      <c r="DYF359" s="2116"/>
      <c r="DYG359" s="2116" t="s">
        <v>1869</v>
      </c>
      <c r="DYH359" s="2116"/>
      <c r="DYI359" s="2116"/>
      <c r="DYJ359" s="2116"/>
      <c r="DYK359" s="2116"/>
      <c r="DYL359" s="2116"/>
      <c r="DYM359" s="2116"/>
      <c r="DYN359" s="2116"/>
      <c r="DYO359" s="2116"/>
      <c r="DYP359" s="2116"/>
      <c r="DYQ359" s="2116"/>
      <c r="DYR359" s="2116"/>
      <c r="DYS359" s="2116"/>
      <c r="DYT359" s="2116"/>
      <c r="DYU359" s="2116"/>
      <c r="DYV359" s="2116"/>
      <c r="DYW359" s="2116" t="s">
        <v>1869</v>
      </c>
      <c r="DYX359" s="2116"/>
      <c r="DYY359" s="2116"/>
      <c r="DYZ359" s="2116"/>
      <c r="DZA359" s="2116"/>
      <c r="DZB359" s="2116"/>
      <c r="DZC359" s="2116"/>
      <c r="DZD359" s="2116"/>
      <c r="DZE359" s="2116"/>
      <c r="DZF359" s="2116"/>
      <c r="DZG359" s="2116"/>
      <c r="DZH359" s="2116"/>
      <c r="DZI359" s="2116"/>
      <c r="DZJ359" s="2116"/>
      <c r="DZK359" s="2116"/>
      <c r="DZL359" s="2116"/>
      <c r="DZM359" s="2116" t="s">
        <v>1869</v>
      </c>
      <c r="DZN359" s="2116"/>
      <c r="DZO359" s="2116"/>
      <c r="DZP359" s="2116"/>
      <c r="DZQ359" s="2116"/>
      <c r="DZR359" s="2116"/>
      <c r="DZS359" s="2116"/>
      <c r="DZT359" s="2116"/>
      <c r="DZU359" s="2116"/>
      <c r="DZV359" s="2116"/>
      <c r="DZW359" s="2116"/>
      <c r="DZX359" s="2116"/>
      <c r="DZY359" s="2116"/>
      <c r="DZZ359" s="2116"/>
      <c r="EAA359" s="2116"/>
      <c r="EAB359" s="2116"/>
      <c r="EAC359" s="2116" t="s">
        <v>1869</v>
      </c>
      <c r="EAD359" s="2116"/>
      <c r="EAE359" s="2116"/>
      <c r="EAF359" s="2116"/>
      <c r="EAG359" s="2116"/>
      <c r="EAH359" s="2116"/>
      <c r="EAI359" s="2116"/>
      <c r="EAJ359" s="2116"/>
      <c r="EAK359" s="2116"/>
      <c r="EAL359" s="2116"/>
      <c r="EAM359" s="2116"/>
      <c r="EAN359" s="2116"/>
      <c r="EAO359" s="2116"/>
      <c r="EAP359" s="2116"/>
      <c r="EAQ359" s="2116"/>
      <c r="EAR359" s="2116"/>
      <c r="EAS359" s="2116" t="s">
        <v>1869</v>
      </c>
      <c r="EAT359" s="2116"/>
      <c r="EAU359" s="2116"/>
      <c r="EAV359" s="2116"/>
      <c r="EAW359" s="2116"/>
      <c r="EAX359" s="2116"/>
      <c r="EAY359" s="2116"/>
      <c r="EAZ359" s="2116"/>
      <c r="EBA359" s="2116"/>
      <c r="EBB359" s="2116"/>
      <c r="EBC359" s="2116"/>
      <c r="EBD359" s="2116"/>
      <c r="EBE359" s="2116"/>
      <c r="EBF359" s="2116"/>
      <c r="EBG359" s="2116"/>
      <c r="EBH359" s="2116"/>
      <c r="EBI359" s="2116" t="s">
        <v>1869</v>
      </c>
      <c r="EBJ359" s="2116"/>
      <c r="EBK359" s="2116"/>
      <c r="EBL359" s="2116"/>
      <c r="EBM359" s="2116"/>
      <c r="EBN359" s="2116"/>
      <c r="EBO359" s="2116"/>
      <c r="EBP359" s="2116"/>
      <c r="EBQ359" s="2116"/>
      <c r="EBR359" s="2116"/>
      <c r="EBS359" s="2116"/>
      <c r="EBT359" s="2116"/>
      <c r="EBU359" s="2116"/>
      <c r="EBV359" s="2116"/>
      <c r="EBW359" s="2116"/>
      <c r="EBX359" s="2116"/>
      <c r="EBY359" s="2116" t="s">
        <v>1869</v>
      </c>
      <c r="EBZ359" s="2116"/>
      <c r="ECA359" s="2116"/>
      <c r="ECB359" s="2116"/>
      <c r="ECC359" s="2116"/>
      <c r="ECD359" s="2116"/>
      <c r="ECE359" s="2116"/>
      <c r="ECF359" s="2116"/>
      <c r="ECG359" s="2116"/>
      <c r="ECH359" s="2116"/>
      <c r="ECI359" s="2116"/>
      <c r="ECJ359" s="2116"/>
      <c r="ECK359" s="2116"/>
      <c r="ECL359" s="2116"/>
      <c r="ECM359" s="2116"/>
      <c r="ECN359" s="2116"/>
      <c r="ECO359" s="2116" t="s">
        <v>1869</v>
      </c>
      <c r="ECP359" s="2116"/>
      <c r="ECQ359" s="2116"/>
      <c r="ECR359" s="2116"/>
      <c r="ECS359" s="2116"/>
      <c r="ECT359" s="2116"/>
      <c r="ECU359" s="2116"/>
      <c r="ECV359" s="2116"/>
      <c r="ECW359" s="2116"/>
      <c r="ECX359" s="2116"/>
      <c r="ECY359" s="2116"/>
      <c r="ECZ359" s="2116"/>
      <c r="EDA359" s="2116"/>
      <c r="EDB359" s="2116"/>
      <c r="EDC359" s="2116"/>
      <c r="EDD359" s="2116"/>
      <c r="EDE359" s="2116" t="s">
        <v>1869</v>
      </c>
      <c r="EDF359" s="2116"/>
      <c r="EDG359" s="2116"/>
      <c r="EDH359" s="2116"/>
      <c r="EDI359" s="2116"/>
      <c r="EDJ359" s="2116"/>
      <c r="EDK359" s="2116"/>
      <c r="EDL359" s="2116"/>
      <c r="EDM359" s="2116"/>
      <c r="EDN359" s="2116"/>
      <c r="EDO359" s="2116"/>
      <c r="EDP359" s="2116"/>
      <c r="EDQ359" s="2116"/>
      <c r="EDR359" s="2116"/>
      <c r="EDS359" s="2116"/>
      <c r="EDT359" s="2116"/>
      <c r="EDU359" s="2116" t="s">
        <v>1869</v>
      </c>
      <c r="EDV359" s="2116"/>
      <c r="EDW359" s="2116"/>
      <c r="EDX359" s="2116"/>
      <c r="EDY359" s="2116"/>
      <c r="EDZ359" s="2116"/>
      <c r="EEA359" s="2116"/>
      <c r="EEB359" s="2116"/>
      <c r="EEC359" s="2116"/>
      <c r="EED359" s="2116"/>
      <c r="EEE359" s="2116"/>
      <c r="EEF359" s="2116"/>
      <c r="EEG359" s="2116"/>
      <c r="EEH359" s="2116"/>
      <c r="EEI359" s="2116"/>
      <c r="EEJ359" s="2116"/>
      <c r="EEK359" s="2116" t="s">
        <v>1869</v>
      </c>
      <c r="EEL359" s="2116"/>
      <c r="EEM359" s="2116"/>
      <c r="EEN359" s="2116"/>
      <c r="EEO359" s="2116"/>
      <c r="EEP359" s="2116"/>
      <c r="EEQ359" s="2116"/>
      <c r="EER359" s="2116"/>
      <c r="EES359" s="2116"/>
      <c r="EET359" s="2116"/>
      <c r="EEU359" s="2116"/>
      <c r="EEV359" s="2116"/>
      <c r="EEW359" s="2116"/>
      <c r="EEX359" s="2116"/>
      <c r="EEY359" s="2116"/>
      <c r="EEZ359" s="2116"/>
      <c r="EFA359" s="2116" t="s">
        <v>1869</v>
      </c>
      <c r="EFB359" s="2116"/>
      <c r="EFC359" s="2116"/>
      <c r="EFD359" s="2116"/>
      <c r="EFE359" s="2116"/>
      <c r="EFF359" s="2116"/>
      <c r="EFG359" s="2116"/>
      <c r="EFH359" s="2116"/>
      <c r="EFI359" s="2116"/>
      <c r="EFJ359" s="2116"/>
      <c r="EFK359" s="2116"/>
      <c r="EFL359" s="2116"/>
      <c r="EFM359" s="2116"/>
      <c r="EFN359" s="2116"/>
      <c r="EFO359" s="2116"/>
      <c r="EFP359" s="2116"/>
      <c r="EFQ359" s="2116" t="s">
        <v>1869</v>
      </c>
      <c r="EFR359" s="2116"/>
      <c r="EFS359" s="2116"/>
      <c r="EFT359" s="2116"/>
      <c r="EFU359" s="2116"/>
      <c r="EFV359" s="2116"/>
      <c r="EFW359" s="2116"/>
      <c r="EFX359" s="2116"/>
      <c r="EFY359" s="2116"/>
      <c r="EFZ359" s="2116"/>
      <c r="EGA359" s="2116"/>
      <c r="EGB359" s="2116"/>
      <c r="EGC359" s="2116"/>
      <c r="EGD359" s="2116"/>
      <c r="EGE359" s="2116"/>
      <c r="EGF359" s="2116"/>
      <c r="EGG359" s="2116" t="s">
        <v>1869</v>
      </c>
      <c r="EGH359" s="2116"/>
      <c r="EGI359" s="2116"/>
      <c r="EGJ359" s="2116"/>
      <c r="EGK359" s="2116"/>
      <c r="EGL359" s="2116"/>
      <c r="EGM359" s="2116"/>
      <c r="EGN359" s="2116"/>
      <c r="EGO359" s="2116"/>
      <c r="EGP359" s="2116"/>
      <c r="EGQ359" s="2116"/>
      <c r="EGR359" s="2116"/>
      <c r="EGS359" s="2116"/>
      <c r="EGT359" s="2116"/>
      <c r="EGU359" s="2116"/>
      <c r="EGV359" s="2116"/>
      <c r="EGW359" s="2116" t="s">
        <v>1869</v>
      </c>
      <c r="EGX359" s="2116"/>
      <c r="EGY359" s="2116"/>
      <c r="EGZ359" s="2116"/>
      <c r="EHA359" s="2116"/>
      <c r="EHB359" s="2116"/>
      <c r="EHC359" s="2116"/>
      <c r="EHD359" s="2116"/>
      <c r="EHE359" s="2116"/>
      <c r="EHF359" s="2116"/>
      <c r="EHG359" s="2116"/>
      <c r="EHH359" s="2116"/>
      <c r="EHI359" s="2116"/>
      <c r="EHJ359" s="2116"/>
      <c r="EHK359" s="2116"/>
      <c r="EHL359" s="2116"/>
      <c r="EHM359" s="2116" t="s">
        <v>1869</v>
      </c>
      <c r="EHN359" s="2116"/>
      <c r="EHO359" s="2116"/>
      <c r="EHP359" s="2116"/>
      <c r="EHQ359" s="2116"/>
      <c r="EHR359" s="2116"/>
      <c r="EHS359" s="2116"/>
      <c r="EHT359" s="2116"/>
      <c r="EHU359" s="2116"/>
      <c r="EHV359" s="2116"/>
      <c r="EHW359" s="2116"/>
      <c r="EHX359" s="2116"/>
      <c r="EHY359" s="2116"/>
      <c r="EHZ359" s="2116"/>
      <c r="EIA359" s="2116"/>
      <c r="EIB359" s="2116"/>
      <c r="EIC359" s="2116" t="s">
        <v>1869</v>
      </c>
      <c r="EID359" s="2116"/>
      <c r="EIE359" s="2116"/>
      <c r="EIF359" s="2116"/>
      <c r="EIG359" s="2116"/>
      <c r="EIH359" s="2116"/>
      <c r="EII359" s="2116"/>
      <c r="EIJ359" s="2116"/>
      <c r="EIK359" s="2116"/>
      <c r="EIL359" s="2116"/>
      <c r="EIM359" s="2116"/>
      <c r="EIN359" s="2116"/>
      <c r="EIO359" s="2116"/>
      <c r="EIP359" s="2116"/>
      <c r="EIQ359" s="2116"/>
      <c r="EIR359" s="2116"/>
      <c r="EIS359" s="2116" t="s">
        <v>1869</v>
      </c>
      <c r="EIT359" s="2116"/>
      <c r="EIU359" s="2116"/>
      <c r="EIV359" s="2116"/>
      <c r="EIW359" s="2116"/>
      <c r="EIX359" s="2116"/>
      <c r="EIY359" s="2116"/>
      <c r="EIZ359" s="2116"/>
      <c r="EJA359" s="2116"/>
      <c r="EJB359" s="2116"/>
      <c r="EJC359" s="2116"/>
      <c r="EJD359" s="2116"/>
      <c r="EJE359" s="2116"/>
      <c r="EJF359" s="2116"/>
      <c r="EJG359" s="2116"/>
      <c r="EJH359" s="2116"/>
      <c r="EJI359" s="2116" t="s">
        <v>1869</v>
      </c>
      <c r="EJJ359" s="2116"/>
      <c r="EJK359" s="2116"/>
      <c r="EJL359" s="2116"/>
      <c r="EJM359" s="2116"/>
      <c r="EJN359" s="2116"/>
      <c r="EJO359" s="2116"/>
      <c r="EJP359" s="2116"/>
      <c r="EJQ359" s="2116"/>
      <c r="EJR359" s="2116"/>
      <c r="EJS359" s="2116"/>
      <c r="EJT359" s="2116"/>
      <c r="EJU359" s="2116"/>
      <c r="EJV359" s="2116"/>
      <c r="EJW359" s="2116"/>
      <c r="EJX359" s="2116"/>
      <c r="EJY359" s="2116" t="s">
        <v>1869</v>
      </c>
      <c r="EJZ359" s="2116"/>
      <c r="EKA359" s="2116"/>
      <c r="EKB359" s="2116"/>
      <c r="EKC359" s="2116"/>
      <c r="EKD359" s="2116"/>
      <c r="EKE359" s="2116"/>
      <c r="EKF359" s="2116"/>
      <c r="EKG359" s="2116"/>
      <c r="EKH359" s="2116"/>
      <c r="EKI359" s="2116"/>
      <c r="EKJ359" s="2116"/>
      <c r="EKK359" s="2116"/>
      <c r="EKL359" s="2116"/>
      <c r="EKM359" s="2116"/>
      <c r="EKN359" s="2116"/>
      <c r="EKO359" s="2116" t="s">
        <v>1869</v>
      </c>
      <c r="EKP359" s="2116"/>
      <c r="EKQ359" s="2116"/>
      <c r="EKR359" s="2116"/>
      <c r="EKS359" s="2116"/>
      <c r="EKT359" s="2116"/>
      <c r="EKU359" s="2116"/>
      <c r="EKV359" s="2116"/>
      <c r="EKW359" s="2116"/>
      <c r="EKX359" s="2116"/>
      <c r="EKY359" s="2116"/>
      <c r="EKZ359" s="2116"/>
      <c r="ELA359" s="2116"/>
      <c r="ELB359" s="2116"/>
      <c r="ELC359" s="2116"/>
      <c r="ELD359" s="2116"/>
      <c r="ELE359" s="2116" t="s">
        <v>1869</v>
      </c>
      <c r="ELF359" s="2116"/>
      <c r="ELG359" s="2116"/>
      <c r="ELH359" s="2116"/>
      <c r="ELI359" s="2116"/>
      <c r="ELJ359" s="2116"/>
      <c r="ELK359" s="2116"/>
      <c r="ELL359" s="2116"/>
      <c r="ELM359" s="2116"/>
      <c r="ELN359" s="2116"/>
      <c r="ELO359" s="2116"/>
      <c r="ELP359" s="2116"/>
      <c r="ELQ359" s="2116"/>
      <c r="ELR359" s="2116"/>
      <c r="ELS359" s="2116"/>
      <c r="ELT359" s="2116"/>
      <c r="ELU359" s="2116" t="s">
        <v>1869</v>
      </c>
      <c r="ELV359" s="2116"/>
      <c r="ELW359" s="2116"/>
      <c r="ELX359" s="2116"/>
      <c r="ELY359" s="2116"/>
      <c r="ELZ359" s="2116"/>
      <c r="EMA359" s="2116"/>
      <c r="EMB359" s="2116"/>
      <c r="EMC359" s="2116"/>
      <c r="EMD359" s="2116"/>
      <c r="EME359" s="2116"/>
      <c r="EMF359" s="2116"/>
      <c r="EMG359" s="2116"/>
      <c r="EMH359" s="2116"/>
      <c r="EMI359" s="2116"/>
      <c r="EMJ359" s="2116"/>
      <c r="EMK359" s="2116" t="s">
        <v>1869</v>
      </c>
      <c r="EML359" s="2116"/>
      <c r="EMM359" s="2116"/>
      <c r="EMN359" s="2116"/>
      <c r="EMO359" s="2116"/>
      <c r="EMP359" s="2116"/>
      <c r="EMQ359" s="2116"/>
      <c r="EMR359" s="2116"/>
      <c r="EMS359" s="2116"/>
      <c r="EMT359" s="2116"/>
      <c r="EMU359" s="2116"/>
      <c r="EMV359" s="2116"/>
      <c r="EMW359" s="2116"/>
      <c r="EMX359" s="2116"/>
      <c r="EMY359" s="2116"/>
      <c r="EMZ359" s="2116"/>
      <c r="ENA359" s="2116" t="s">
        <v>1869</v>
      </c>
      <c r="ENB359" s="2116"/>
      <c r="ENC359" s="2116"/>
      <c r="END359" s="2116"/>
      <c r="ENE359" s="2116"/>
      <c r="ENF359" s="2116"/>
      <c r="ENG359" s="2116"/>
      <c r="ENH359" s="2116"/>
      <c r="ENI359" s="2116"/>
      <c r="ENJ359" s="2116"/>
      <c r="ENK359" s="2116"/>
      <c r="ENL359" s="2116"/>
      <c r="ENM359" s="2116"/>
      <c r="ENN359" s="2116"/>
      <c r="ENO359" s="2116"/>
      <c r="ENP359" s="2116"/>
      <c r="ENQ359" s="2116" t="s">
        <v>1869</v>
      </c>
      <c r="ENR359" s="2116"/>
      <c r="ENS359" s="2116"/>
      <c r="ENT359" s="2116"/>
      <c r="ENU359" s="2116"/>
      <c r="ENV359" s="2116"/>
      <c r="ENW359" s="2116"/>
      <c r="ENX359" s="2116"/>
      <c r="ENY359" s="2116"/>
      <c r="ENZ359" s="2116"/>
      <c r="EOA359" s="2116"/>
      <c r="EOB359" s="2116"/>
      <c r="EOC359" s="2116"/>
      <c r="EOD359" s="2116"/>
      <c r="EOE359" s="2116"/>
      <c r="EOF359" s="2116"/>
      <c r="EOG359" s="2116" t="s">
        <v>1869</v>
      </c>
      <c r="EOH359" s="2116"/>
      <c r="EOI359" s="2116"/>
      <c r="EOJ359" s="2116"/>
      <c r="EOK359" s="2116"/>
      <c r="EOL359" s="2116"/>
      <c r="EOM359" s="2116"/>
      <c r="EON359" s="2116"/>
      <c r="EOO359" s="2116"/>
      <c r="EOP359" s="2116"/>
      <c r="EOQ359" s="2116"/>
      <c r="EOR359" s="2116"/>
      <c r="EOS359" s="2116"/>
      <c r="EOT359" s="2116"/>
      <c r="EOU359" s="2116"/>
      <c r="EOV359" s="2116"/>
      <c r="EOW359" s="2116" t="s">
        <v>1869</v>
      </c>
      <c r="EOX359" s="2116"/>
      <c r="EOY359" s="2116"/>
      <c r="EOZ359" s="2116"/>
      <c r="EPA359" s="2116"/>
      <c r="EPB359" s="2116"/>
      <c r="EPC359" s="2116"/>
      <c r="EPD359" s="2116"/>
      <c r="EPE359" s="2116"/>
      <c r="EPF359" s="2116"/>
      <c r="EPG359" s="2116"/>
      <c r="EPH359" s="2116"/>
      <c r="EPI359" s="2116"/>
      <c r="EPJ359" s="2116"/>
      <c r="EPK359" s="2116"/>
      <c r="EPL359" s="2116"/>
      <c r="EPM359" s="2116" t="s">
        <v>1869</v>
      </c>
      <c r="EPN359" s="2116"/>
      <c r="EPO359" s="2116"/>
      <c r="EPP359" s="2116"/>
      <c r="EPQ359" s="2116"/>
      <c r="EPR359" s="2116"/>
      <c r="EPS359" s="2116"/>
      <c r="EPT359" s="2116"/>
      <c r="EPU359" s="2116"/>
      <c r="EPV359" s="2116"/>
      <c r="EPW359" s="2116"/>
      <c r="EPX359" s="2116"/>
      <c r="EPY359" s="2116"/>
      <c r="EPZ359" s="2116"/>
      <c r="EQA359" s="2116"/>
      <c r="EQB359" s="2116"/>
      <c r="EQC359" s="2116" t="s">
        <v>1869</v>
      </c>
      <c r="EQD359" s="2116"/>
      <c r="EQE359" s="2116"/>
      <c r="EQF359" s="2116"/>
      <c r="EQG359" s="2116"/>
      <c r="EQH359" s="2116"/>
      <c r="EQI359" s="2116"/>
      <c r="EQJ359" s="2116"/>
      <c r="EQK359" s="2116"/>
      <c r="EQL359" s="2116"/>
      <c r="EQM359" s="2116"/>
      <c r="EQN359" s="2116"/>
      <c r="EQO359" s="2116"/>
      <c r="EQP359" s="2116"/>
      <c r="EQQ359" s="2116"/>
      <c r="EQR359" s="2116"/>
      <c r="EQS359" s="2116" t="s">
        <v>1869</v>
      </c>
      <c r="EQT359" s="2116"/>
      <c r="EQU359" s="2116"/>
      <c r="EQV359" s="2116"/>
      <c r="EQW359" s="2116"/>
      <c r="EQX359" s="2116"/>
      <c r="EQY359" s="2116"/>
      <c r="EQZ359" s="2116"/>
      <c r="ERA359" s="2116"/>
      <c r="ERB359" s="2116"/>
      <c r="ERC359" s="2116"/>
      <c r="ERD359" s="2116"/>
      <c r="ERE359" s="2116"/>
      <c r="ERF359" s="2116"/>
      <c r="ERG359" s="2116"/>
      <c r="ERH359" s="2116"/>
      <c r="ERI359" s="2116" t="s">
        <v>1869</v>
      </c>
      <c r="ERJ359" s="2116"/>
      <c r="ERK359" s="2116"/>
      <c r="ERL359" s="2116"/>
      <c r="ERM359" s="2116"/>
      <c r="ERN359" s="2116"/>
      <c r="ERO359" s="2116"/>
      <c r="ERP359" s="2116"/>
      <c r="ERQ359" s="2116"/>
      <c r="ERR359" s="2116"/>
      <c r="ERS359" s="2116"/>
      <c r="ERT359" s="2116"/>
      <c r="ERU359" s="2116"/>
      <c r="ERV359" s="2116"/>
      <c r="ERW359" s="2116"/>
      <c r="ERX359" s="2116"/>
      <c r="ERY359" s="2116" t="s">
        <v>1869</v>
      </c>
      <c r="ERZ359" s="2116"/>
      <c r="ESA359" s="2116"/>
      <c r="ESB359" s="2116"/>
      <c r="ESC359" s="2116"/>
      <c r="ESD359" s="2116"/>
      <c r="ESE359" s="2116"/>
      <c r="ESF359" s="2116"/>
      <c r="ESG359" s="2116"/>
      <c r="ESH359" s="2116"/>
      <c r="ESI359" s="2116"/>
      <c r="ESJ359" s="2116"/>
      <c r="ESK359" s="2116"/>
      <c r="ESL359" s="2116"/>
      <c r="ESM359" s="2116"/>
      <c r="ESN359" s="2116"/>
      <c r="ESO359" s="2116" t="s">
        <v>1869</v>
      </c>
      <c r="ESP359" s="2116"/>
      <c r="ESQ359" s="2116"/>
      <c r="ESR359" s="2116"/>
      <c r="ESS359" s="2116"/>
      <c r="EST359" s="2116"/>
      <c r="ESU359" s="2116"/>
      <c r="ESV359" s="2116"/>
      <c r="ESW359" s="2116"/>
      <c r="ESX359" s="2116"/>
      <c r="ESY359" s="2116"/>
      <c r="ESZ359" s="2116"/>
      <c r="ETA359" s="2116"/>
      <c r="ETB359" s="2116"/>
      <c r="ETC359" s="2116"/>
      <c r="ETD359" s="2116"/>
      <c r="ETE359" s="2116" t="s">
        <v>1869</v>
      </c>
      <c r="ETF359" s="2116"/>
      <c r="ETG359" s="2116"/>
      <c r="ETH359" s="2116"/>
      <c r="ETI359" s="2116"/>
      <c r="ETJ359" s="2116"/>
      <c r="ETK359" s="2116"/>
      <c r="ETL359" s="2116"/>
      <c r="ETM359" s="2116"/>
      <c r="ETN359" s="2116"/>
      <c r="ETO359" s="2116"/>
      <c r="ETP359" s="2116"/>
      <c r="ETQ359" s="2116"/>
      <c r="ETR359" s="2116"/>
      <c r="ETS359" s="2116"/>
      <c r="ETT359" s="2116"/>
      <c r="ETU359" s="2116" t="s">
        <v>1869</v>
      </c>
      <c r="ETV359" s="2116"/>
      <c r="ETW359" s="2116"/>
      <c r="ETX359" s="2116"/>
      <c r="ETY359" s="2116"/>
      <c r="ETZ359" s="2116"/>
      <c r="EUA359" s="2116"/>
      <c r="EUB359" s="2116"/>
      <c r="EUC359" s="2116"/>
      <c r="EUD359" s="2116"/>
      <c r="EUE359" s="2116"/>
      <c r="EUF359" s="2116"/>
      <c r="EUG359" s="2116"/>
      <c r="EUH359" s="2116"/>
      <c r="EUI359" s="2116"/>
      <c r="EUJ359" s="2116"/>
      <c r="EUK359" s="2116" t="s">
        <v>1869</v>
      </c>
      <c r="EUL359" s="2116"/>
      <c r="EUM359" s="2116"/>
      <c r="EUN359" s="2116"/>
      <c r="EUO359" s="2116"/>
      <c r="EUP359" s="2116"/>
      <c r="EUQ359" s="2116"/>
      <c r="EUR359" s="2116"/>
      <c r="EUS359" s="2116"/>
      <c r="EUT359" s="2116"/>
      <c r="EUU359" s="2116"/>
      <c r="EUV359" s="2116"/>
      <c r="EUW359" s="2116"/>
      <c r="EUX359" s="2116"/>
      <c r="EUY359" s="2116"/>
      <c r="EUZ359" s="2116"/>
      <c r="EVA359" s="2116" t="s">
        <v>1869</v>
      </c>
      <c r="EVB359" s="2116"/>
      <c r="EVC359" s="2116"/>
      <c r="EVD359" s="2116"/>
      <c r="EVE359" s="2116"/>
      <c r="EVF359" s="2116"/>
      <c r="EVG359" s="2116"/>
      <c r="EVH359" s="2116"/>
      <c r="EVI359" s="2116"/>
      <c r="EVJ359" s="2116"/>
      <c r="EVK359" s="2116"/>
      <c r="EVL359" s="2116"/>
      <c r="EVM359" s="2116"/>
      <c r="EVN359" s="2116"/>
      <c r="EVO359" s="2116"/>
      <c r="EVP359" s="2116"/>
      <c r="EVQ359" s="2116" t="s">
        <v>1869</v>
      </c>
      <c r="EVR359" s="2116"/>
      <c r="EVS359" s="2116"/>
      <c r="EVT359" s="2116"/>
      <c r="EVU359" s="2116"/>
      <c r="EVV359" s="2116"/>
      <c r="EVW359" s="2116"/>
      <c r="EVX359" s="2116"/>
      <c r="EVY359" s="2116"/>
      <c r="EVZ359" s="2116"/>
      <c r="EWA359" s="2116"/>
      <c r="EWB359" s="2116"/>
      <c r="EWC359" s="2116"/>
      <c r="EWD359" s="2116"/>
      <c r="EWE359" s="2116"/>
      <c r="EWF359" s="2116"/>
      <c r="EWG359" s="2116" t="s">
        <v>1869</v>
      </c>
      <c r="EWH359" s="2116"/>
      <c r="EWI359" s="2116"/>
      <c r="EWJ359" s="2116"/>
      <c r="EWK359" s="2116"/>
      <c r="EWL359" s="2116"/>
      <c r="EWM359" s="2116"/>
      <c r="EWN359" s="2116"/>
      <c r="EWO359" s="2116"/>
      <c r="EWP359" s="2116"/>
      <c r="EWQ359" s="2116"/>
      <c r="EWR359" s="2116"/>
      <c r="EWS359" s="2116"/>
      <c r="EWT359" s="2116"/>
      <c r="EWU359" s="2116"/>
      <c r="EWV359" s="2116"/>
      <c r="EWW359" s="2116" t="s">
        <v>1869</v>
      </c>
      <c r="EWX359" s="2116"/>
      <c r="EWY359" s="2116"/>
      <c r="EWZ359" s="2116"/>
      <c r="EXA359" s="2116"/>
      <c r="EXB359" s="2116"/>
      <c r="EXC359" s="2116"/>
      <c r="EXD359" s="2116"/>
      <c r="EXE359" s="2116"/>
      <c r="EXF359" s="2116"/>
      <c r="EXG359" s="2116"/>
      <c r="EXH359" s="2116"/>
      <c r="EXI359" s="2116"/>
      <c r="EXJ359" s="2116"/>
      <c r="EXK359" s="2116"/>
      <c r="EXL359" s="2116"/>
      <c r="EXM359" s="2116" t="s">
        <v>1869</v>
      </c>
      <c r="EXN359" s="2116"/>
      <c r="EXO359" s="2116"/>
      <c r="EXP359" s="2116"/>
      <c r="EXQ359" s="2116"/>
      <c r="EXR359" s="2116"/>
      <c r="EXS359" s="2116"/>
      <c r="EXT359" s="2116"/>
      <c r="EXU359" s="2116"/>
      <c r="EXV359" s="2116"/>
      <c r="EXW359" s="2116"/>
      <c r="EXX359" s="2116"/>
      <c r="EXY359" s="2116"/>
      <c r="EXZ359" s="2116"/>
      <c r="EYA359" s="2116"/>
      <c r="EYB359" s="2116"/>
      <c r="EYC359" s="2116" t="s">
        <v>1869</v>
      </c>
      <c r="EYD359" s="2116"/>
      <c r="EYE359" s="2116"/>
      <c r="EYF359" s="2116"/>
      <c r="EYG359" s="2116"/>
      <c r="EYH359" s="2116"/>
      <c r="EYI359" s="2116"/>
      <c r="EYJ359" s="2116"/>
      <c r="EYK359" s="2116"/>
      <c r="EYL359" s="2116"/>
      <c r="EYM359" s="2116"/>
      <c r="EYN359" s="2116"/>
      <c r="EYO359" s="2116"/>
      <c r="EYP359" s="2116"/>
      <c r="EYQ359" s="2116"/>
      <c r="EYR359" s="2116"/>
      <c r="EYS359" s="2116" t="s">
        <v>1869</v>
      </c>
      <c r="EYT359" s="2116"/>
      <c r="EYU359" s="2116"/>
      <c r="EYV359" s="2116"/>
      <c r="EYW359" s="2116"/>
      <c r="EYX359" s="2116"/>
      <c r="EYY359" s="2116"/>
      <c r="EYZ359" s="2116"/>
      <c r="EZA359" s="2116"/>
      <c r="EZB359" s="2116"/>
      <c r="EZC359" s="2116"/>
      <c r="EZD359" s="2116"/>
      <c r="EZE359" s="2116"/>
      <c r="EZF359" s="2116"/>
      <c r="EZG359" s="2116"/>
      <c r="EZH359" s="2116"/>
      <c r="EZI359" s="2116" t="s">
        <v>1869</v>
      </c>
      <c r="EZJ359" s="2116"/>
      <c r="EZK359" s="2116"/>
      <c r="EZL359" s="2116"/>
      <c r="EZM359" s="2116"/>
      <c r="EZN359" s="2116"/>
      <c r="EZO359" s="2116"/>
      <c r="EZP359" s="2116"/>
      <c r="EZQ359" s="2116"/>
      <c r="EZR359" s="2116"/>
      <c r="EZS359" s="2116"/>
      <c r="EZT359" s="2116"/>
      <c r="EZU359" s="2116"/>
      <c r="EZV359" s="2116"/>
      <c r="EZW359" s="2116"/>
      <c r="EZX359" s="2116"/>
      <c r="EZY359" s="2116" t="s">
        <v>1869</v>
      </c>
      <c r="EZZ359" s="2116"/>
      <c r="FAA359" s="2116"/>
      <c r="FAB359" s="2116"/>
      <c r="FAC359" s="2116"/>
      <c r="FAD359" s="2116"/>
      <c r="FAE359" s="2116"/>
      <c r="FAF359" s="2116"/>
      <c r="FAG359" s="2116"/>
      <c r="FAH359" s="2116"/>
      <c r="FAI359" s="2116"/>
      <c r="FAJ359" s="2116"/>
      <c r="FAK359" s="2116"/>
      <c r="FAL359" s="2116"/>
      <c r="FAM359" s="2116"/>
      <c r="FAN359" s="2116"/>
      <c r="FAO359" s="2116" t="s">
        <v>1869</v>
      </c>
      <c r="FAP359" s="2116"/>
      <c r="FAQ359" s="2116"/>
      <c r="FAR359" s="2116"/>
      <c r="FAS359" s="2116"/>
      <c r="FAT359" s="2116"/>
      <c r="FAU359" s="2116"/>
      <c r="FAV359" s="2116"/>
      <c r="FAW359" s="2116"/>
      <c r="FAX359" s="2116"/>
      <c r="FAY359" s="2116"/>
      <c r="FAZ359" s="2116"/>
      <c r="FBA359" s="2116"/>
      <c r="FBB359" s="2116"/>
      <c r="FBC359" s="2116"/>
      <c r="FBD359" s="2116"/>
      <c r="FBE359" s="2116" t="s">
        <v>1869</v>
      </c>
      <c r="FBF359" s="2116"/>
      <c r="FBG359" s="2116"/>
      <c r="FBH359" s="2116"/>
      <c r="FBI359" s="2116"/>
      <c r="FBJ359" s="2116"/>
      <c r="FBK359" s="2116"/>
      <c r="FBL359" s="2116"/>
      <c r="FBM359" s="2116"/>
      <c r="FBN359" s="2116"/>
      <c r="FBO359" s="2116"/>
      <c r="FBP359" s="2116"/>
      <c r="FBQ359" s="2116"/>
      <c r="FBR359" s="2116"/>
      <c r="FBS359" s="2116"/>
      <c r="FBT359" s="2116"/>
      <c r="FBU359" s="2116" t="s">
        <v>1869</v>
      </c>
      <c r="FBV359" s="2116"/>
      <c r="FBW359" s="2116"/>
      <c r="FBX359" s="2116"/>
      <c r="FBY359" s="2116"/>
      <c r="FBZ359" s="2116"/>
      <c r="FCA359" s="2116"/>
      <c r="FCB359" s="2116"/>
      <c r="FCC359" s="2116"/>
      <c r="FCD359" s="2116"/>
      <c r="FCE359" s="2116"/>
      <c r="FCF359" s="2116"/>
      <c r="FCG359" s="2116"/>
      <c r="FCH359" s="2116"/>
      <c r="FCI359" s="2116"/>
      <c r="FCJ359" s="2116"/>
      <c r="FCK359" s="2116" t="s">
        <v>1869</v>
      </c>
      <c r="FCL359" s="2116"/>
      <c r="FCM359" s="2116"/>
      <c r="FCN359" s="2116"/>
      <c r="FCO359" s="2116"/>
      <c r="FCP359" s="2116"/>
      <c r="FCQ359" s="2116"/>
      <c r="FCR359" s="2116"/>
      <c r="FCS359" s="2116"/>
      <c r="FCT359" s="2116"/>
      <c r="FCU359" s="2116"/>
      <c r="FCV359" s="2116"/>
      <c r="FCW359" s="2116"/>
      <c r="FCX359" s="2116"/>
      <c r="FCY359" s="2116"/>
      <c r="FCZ359" s="2116"/>
      <c r="FDA359" s="2116" t="s">
        <v>1869</v>
      </c>
      <c r="FDB359" s="2116"/>
      <c r="FDC359" s="2116"/>
      <c r="FDD359" s="2116"/>
      <c r="FDE359" s="2116"/>
      <c r="FDF359" s="2116"/>
      <c r="FDG359" s="2116"/>
      <c r="FDH359" s="2116"/>
      <c r="FDI359" s="2116"/>
      <c r="FDJ359" s="2116"/>
      <c r="FDK359" s="2116"/>
      <c r="FDL359" s="2116"/>
      <c r="FDM359" s="2116"/>
      <c r="FDN359" s="2116"/>
      <c r="FDO359" s="2116"/>
      <c r="FDP359" s="2116"/>
      <c r="FDQ359" s="2116" t="s">
        <v>1869</v>
      </c>
      <c r="FDR359" s="2116"/>
      <c r="FDS359" s="2116"/>
      <c r="FDT359" s="2116"/>
      <c r="FDU359" s="2116"/>
      <c r="FDV359" s="2116"/>
      <c r="FDW359" s="2116"/>
      <c r="FDX359" s="2116"/>
      <c r="FDY359" s="2116"/>
      <c r="FDZ359" s="2116"/>
      <c r="FEA359" s="2116"/>
      <c r="FEB359" s="2116"/>
      <c r="FEC359" s="2116"/>
      <c r="FED359" s="2116"/>
      <c r="FEE359" s="2116"/>
      <c r="FEF359" s="2116"/>
      <c r="FEG359" s="2116" t="s">
        <v>1869</v>
      </c>
      <c r="FEH359" s="2116"/>
      <c r="FEI359" s="2116"/>
      <c r="FEJ359" s="2116"/>
      <c r="FEK359" s="2116"/>
      <c r="FEL359" s="2116"/>
      <c r="FEM359" s="2116"/>
      <c r="FEN359" s="2116"/>
      <c r="FEO359" s="2116"/>
      <c r="FEP359" s="2116"/>
      <c r="FEQ359" s="2116"/>
      <c r="FER359" s="2116"/>
      <c r="FES359" s="2116"/>
      <c r="FET359" s="2116"/>
      <c r="FEU359" s="2116"/>
      <c r="FEV359" s="2116"/>
      <c r="FEW359" s="2116" t="s">
        <v>1869</v>
      </c>
      <c r="FEX359" s="2116"/>
      <c r="FEY359" s="2116"/>
      <c r="FEZ359" s="2116"/>
      <c r="FFA359" s="2116"/>
      <c r="FFB359" s="2116"/>
      <c r="FFC359" s="2116"/>
      <c r="FFD359" s="2116"/>
      <c r="FFE359" s="2116"/>
      <c r="FFF359" s="2116"/>
      <c r="FFG359" s="2116"/>
      <c r="FFH359" s="2116"/>
      <c r="FFI359" s="2116"/>
      <c r="FFJ359" s="2116"/>
      <c r="FFK359" s="2116"/>
      <c r="FFL359" s="2116"/>
      <c r="FFM359" s="2116" t="s">
        <v>1869</v>
      </c>
      <c r="FFN359" s="2116"/>
      <c r="FFO359" s="2116"/>
      <c r="FFP359" s="2116"/>
      <c r="FFQ359" s="2116"/>
      <c r="FFR359" s="2116"/>
      <c r="FFS359" s="2116"/>
      <c r="FFT359" s="2116"/>
      <c r="FFU359" s="2116"/>
      <c r="FFV359" s="2116"/>
      <c r="FFW359" s="2116"/>
      <c r="FFX359" s="2116"/>
      <c r="FFY359" s="2116"/>
      <c r="FFZ359" s="2116"/>
      <c r="FGA359" s="2116"/>
      <c r="FGB359" s="2116"/>
      <c r="FGC359" s="2116" t="s">
        <v>1869</v>
      </c>
      <c r="FGD359" s="2116"/>
      <c r="FGE359" s="2116"/>
      <c r="FGF359" s="2116"/>
      <c r="FGG359" s="2116"/>
      <c r="FGH359" s="2116"/>
      <c r="FGI359" s="2116"/>
      <c r="FGJ359" s="2116"/>
      <c r="FGK359" s="2116"/>
      <c r="FGL359" s="2116"/>
      <c r="FGM359" s="2116"/>
      <c r="FGN359" s="2116"/>
      <c r="FGO359" s="2116"/>
      <c r="FGP359" s="2116"/>
      <c r="FGQ359" s="2116"/>
      <c r="FGR359" s="2116"/>
      <c r="FGS359" s="2116" t="s">
        <v>1869</v>
      </c>
      <c r="FGT359" s="2116"/>
      <c r="FGU359" s="2116"/>
      <c r="FGV359" s="2116"/>
      <c r="FGW359" s="2116"/>
      <c r="FGX359" s="2116"/>
      <c r="FGY359" s="2116"/>
      <c r="FGZ359" s="2116"/>
      <c r="FHA359" s="2116"/>
      <c r="FHB359" s="2116"/>
      <c r="FHC359" s="2116"/>
      <c r="FHD359" s="2116"/>
      <c r="FHE359" s="2116"/>
      <c r="FHF359" s="2116"/>
      <c r="FHG359" s="2116"/>
      <c r="FHH359" s="2116"/>
      <c r="FHI359" s="2116" t="s">
        <v>1869</v>
      </c>
      <c r="FHJ359" s="2116"/>
      <c r="FHK359" s="2116"/>
      <c r="FHL359" s="2116"/>
      <c r="FHM359" s="2116"/>
      <c r="FHN359" s="2116"/>
      <c r="FHO359" s="2116"/>
      <c r="FHP359" s="2116"/>
      <c r="FHQ359" s="2116"/>
      <c r="FHR359" s="2116"/>
      <c r="FHS359" s="2116"/>
      <c r="FHT359" s="2116"/>
      <c r="FHU359" s="2116"/>
      <c r="FHV359" s="2116"/>
      <c r="FHW359" s="2116"/>
      <c r="FHX359" s="2116"/>
      <c r="FHY359" s="2116" t="s">
        <v>1869</v>
      </c>
      <c r="FHZ359" s="2116"/>
      <c r="FIA359" s="2116"/>
      <c r="FIB359" s="2116"/>
      <c r="FIC359" s="2116"/>
      <c r="FID359" s="2116"/>
      <c r="FIE359" s="2116"/>
      <c r="FIF359" s="2116"/>
      <c r="FIG359" s="2116"/>
      <c r="FIH359" s="2116"/>
      <c r="FII359" s="2116"/>
      <c r="FIJ359" s="2116"/>
      <c r="FIK359" s="2116"/>
      <c r="FIL359" s="2116"/>
      <c r="FIM359" s="2116"/>
      <c r="FIN359" s="2116"/>
      <c r="FIO359" s="2116" t="s">
        <v>1869</v>
      </c>
      <c r="FIP359" s="2116"/>
      <c r="FIQ359" s="2116"/>
      <c r="FIR359" s="2116"/>
      <c r="FIS359" s="2116"/>
      <c r="FIT359" s="2116"/>
      <c r="FIU359" s="2116"/>
      <c r="FIV359" s="2116"/>
      <c r="FIW359" s="2116"/>
      <c r="FIX359" s="2116"/>
      <c r="FIY359" s="2116"/>
      <c r="FIZ359" s="2116"/>
      <c r="FJA359" s="2116"/>
      <c r="FJB359" s="2116"/>
      <c r="FJC359" s="2116"/>
      <c r="FJD359" s="2116"/>
      <c r="FJE359" s="2116" t="s">
        <v>1869</v>
      </c>
      <c r="FJF359" s="2116"/>
      <c r="FJG359" s="2116"/>
      <c r="FJH359" s="2116"/>
      <c r="FJI359" s="2116"/>
      <c r="FJJ359" s="2116"/>
      <c r="FJK359" s="2116"/>
      <c r="FJL359" s="2116"/>
      <c r="FJM359" s="2116"/>
      <c r="FJN359" s="2116"/>
      <c r="FJO359" s="2116"/>
      <c r="FJP359" s="2116"/>
      <c r="FJQ359" s="2116"/>
      <c r="FJR359" s="2116"/>
      <c r="FJS359" s="2116"/>
      <c r="FJT359" s="2116"/>
      <c r="FJU359" s="2116" t="s">
        <v>1869</v>
      </c>
      <c r="FJV359" s="2116"/>
      <c r="FJW359" s="2116"/>
      <c r="FJX359" s="2116"/>
      <c r="FJY359" s="2116"/>
      <c r="FJZ359" s="2116"/>
      <c r="FKA359" s="2116"/>
      <c r="FKB359" s="2116"/>
      <c r="FKC359" s="2116"/>
      <c r="FKD359" s="2116"/>
      <c r="FKE359" s="2116"/>
      <c r="FKF359" s="2116"/>
      <c r="FKG359" s="2116"/>
      <c r="FKH359" s="2116"/>
      <c r="FKI359" s="2116"/>
      <c r="FKJ359" s="2116"/>
      <c r="FKK359" s="2116" t="s">
        <v>1869</v>
      </c>
      <c r="FKL359" s="2116"/>
      <c r="FKM359" s="2116"/>
      <c r="FKN359" s="2116"/>
      <c r="FKO359" s="2116"/>
      <c r="FKP359" s="2116"/>
      <c r="FKQ359" s="2116"/>
      <c r="FKR359" s="2116"/>
      <c r="FKS359" s="2116"/>
      <c r="FKT359" s="2116"/>
      <c r="FKU359" s="2116"/>
      <c r="FKV359" s="2116"/>
      <c r="FKW359" s="2116"/>
      <c r="FKX359" s="2116"/>
      <c r="FKY359" s="2116"/>
      <c r="FKZ359" s="2116"/>
      <c r="FLA359" s="2116" t="s">
        <v>1869</v>
      </c>
      <c r="FLB359" s="2116"/>
      <c r="FLC359" s="2116"/>
      <c r="FLD359" s="2116"/>
      <c r="FLE359" s="2116"/>
      <c r="FLF359" s="2116"/>
      <c r="FLG359" s="2116"/>
      <c r="FLH359" s="2116"/>
      <c r="FLI359" s="2116"/>
      <c r="FLJ359" s="2116"/>
      <c r="FLK359" s="2116"/>
      <c r="FLL359" s="2116"/>
      <c r="FLM359" s="2116"/>
      <c r="FLN359" s="2116"/>
      <c r="FLO359" s="2116"/>
      <c r="FLP359" s="2116"/>
      <c r="FLQ359" s="2116" t="s">
        <v>1869</v>
      </c>
      <c r="FLR359" s="2116"/>
      <c r="FLS359" s="2116"/>
      <c r="FLT359" s="2116"/>
      <c r="FLU359" s="2116"/>
      <c r="FLV359" s="2116"/>
      <c r="FLW359" s="2116"/>
      <c r="FLX359" s="2116"/>
      <c r="FLY359" s="2116"/>
      <c r="FLZ359" s="2116"/>
      <c r="FMA359" s="2116"/>
      <c r="FMB359" s="2116"/>
      <c r="FMC359" s="2116"/>
      <c r="FMD359" s="2116"/>
      <c r="FME359" s="2116"/>
      <c r="FMF359" s="2116"/>
      <c r="FMG359" s="2116" t="s">
        <v>1869</v>
      </c>
      <c r="FMH359" s="2116"/>
      <c r="FMI359" s="2116"/>
      <c r="FMJ359" s="2116"/>
      <c r="FMK359" s="2116"/>
      <c r="FML359" s="2116"/>
      <c r="FMM359" s="2116"/>
      <c r="FMN359" s="2116"/>
      <c r="FMO359" s="2116"/>
      <c r="FMP359" s="2116"/>
      <c r="FMQ359" s="2116"/>
      <c r="FMR359" s="2116"/>
      <c r="FMS359" s="2116"/>
      <c r="FMT359" s="2116"/>
      <c r="FMU359" s="2116"/>
      <c r="FMV359" s="2116"/>
      <c r="FMW359" s="2116" t="s">
        <v>1869</v>
      </c>
      <c r="FMX359" s="2116"/>
      <c r="FMY359" s="2116"/>
      <c r="FMZ359" s="2116"/>
      <c r="FNA359" s="2116"/>
      <c r="FNB359" s="2116"/>
      <c r="FNC359" s="2116"/>
      <c r="FND359" s="2116"/>
      <c r="FNE359" s="2116"/>
      <c r="FNF359" s="2116"/>
      <c r="FNG359" s="2116"/>
      <c r="FNH359" s="2116"/>
      <c r="FNI359" s="2116"/>
      <c r="FNJ359" s="2116"/>
      <c r="FNK359" s="2116"/>
      <c r="FNL359" s="2116"/>
      <c r="FNM359" s="2116" t="s">
        <v>1869</v>
      </c>
      <c r="FNN359" s="2116"/>
      <c r="FNO359" s="2116"/>
      <c r="FNP359" s="2116"/>
      <c r="FNQ359" s="2116"/>
      <c r="FNR359" s="2116"/>
      <c r="FNS359" s="2116"/>
      <c r="FNT359" s="2116"/>
      <c r="FNU359" s="2116"/>
      <c r="FNV359" s="2116"/>
      <c r="FNW359" s="2116"/>
      <c r="FNX359" s="2116"/>
      <c r="FNY359" s="2116"/>
      <c r="FNZ359" s="2116"/>
      <c r="FOA359" s="2116"/>
      <c r="FOB359" s="2116"/>
      <c r="FOC359" s="2116" t="s">
        <v>1869</v>
      </c>
      <c r="FOD359" s="2116"/>
      <c r="FOE359" s="2116"/>
      <c r="FOF359" s="2116"/>
      <c r="FOG359" s="2116"/>
      <c r="FOH359" s="2116"/>
      <c r="FOI359" s="2116"/>
      <c r="FOJ359" s="2116"/>
      <c r="FOK359" s="2116"/>
      <c r="FOL359" s="2116"/>
      <c r="FOM359" s="2116"/>
      <c r="FON359" s="2116"/>
      <c r="FOO359" s="2116"/>
      <c r="FOP359" s="2116"/>
      <c r="FOQ359" s="2116"/>
      <c r="FOR359" s="2116"/>
      <c r="FOS359" s="2116" t="s">
        <v>1869</v>
      </c>
      <c r="FOT359" s="2116"/>
      <c r="FOU359" s="2116"/>
      <c r="FOV359" s="2116"/>
      <c r="FOW359" s="2116"/>
      <c r="FOX359" s="2116"/>
      <c r="FOY359" s="2116"/>
      <c r="FOZ359" s="2116"/>
      <c r="FPA359" s="2116"/>
      <c r="FPB359" s="2116"/>
      <c r="FPC359" s="2116"/>
      <c r="FPD359" s="2116"/>
      <c r="FPE359" s="2116"/>
      <c r="FPF359" s="2116"/>
      <c r="FPG359" s="2116"/>
      <c r="FPH359" s="2116"/>
      <c r="FPI359" s="2116" t="s">
        <v>1869</v>
      </c>
      <c r="FPJ359" s="2116"/>
      <c r="FPK359" s="2116"/>
      <c r="FPL359" s="2116"/>
      <c r="FPM359" s="2116"/>
      <c r="FPN359" s="2116"/>
      <c r="FPO359" s="2116"/>
      <c r="FPP359" s="2116"/>
      <c r="FPQ359" s="2116"/>
      <c r="FPR359" s="2116"/>
      <c r="FPS359" s="2116"/>
      <c r="FPT359" s="2116"/>
      <c r="FPU359" s="2116"/>
      <c r="FPV359" s="2116"/>
      <c r="FPW359" s="2116"/>
      <c r="FPX359" s="2116"/>
      <c r="FPY359" s="2116" t="s">
        <v>1869</v>
      </c>
      <c r="FPZ359" s="2116"/>
      <c r="FQA359" s="2116"/>
      <c r="FQB359" s="2116"/>
      <c r="FQC359" s="2116"/>
      <c r="FQD359" s="2116"/>
      <c r="FQE359" s="2116"/>
      <c r="FQF359" s="2116"/>
      <c r="FQG359" s="2116"/>
      <c r="FQH359" s="2116"/>
      <c r="FQI359" s="2116"/>
      <c r="FQJ359" s="2116"/>
      <c r="FQK359" s="2116"/>
      <c r="FQL359" s="2116"/>
      <c r="FQM359" s="2116"/>
      <c r="FQN359" s="2116"/>
      <c r="FQO359" s="2116" t="s">
        <v>1869</v>
      </c>
      <c r="FQP359" s="2116"/>
      <c r="FQQ359" s="2116"/>
      <c r="FQR359" s="2116"/>
      <c r="FQS359" s="2116"/>
      <c r="FQT359" s="2116"/>
      <c r="FQU359" s="2116"/>
      <c r="FQV359" s="2116"/>
      <c r="FQW359" s="2116"/>
      <c r="FQX359" s="2116"/>
      <c r="FQY359" s="2116"/>
      <c r="FQZ359" s="2116"/>
      <c r="FRA359" s="2116"/>
      <c r="FRB359" s="2116"/>
      <c r="FRC359" s="2116"/>
      <c r="FRD359" s="2116"/>
      <c r="FRE359" s="2116" t="s">
        <v>1869</v>
      </c>
      <c r="FRF359" s="2116"/>
      <c r="FRG359" s="2116"/>
      <c r="FRH359" s="2116"/>
      <c r="FRI359" s="2116"/>
      <c r="FRJ359" s="2116"/>
      <c r="FRK359" s="2116"/>
      <c r="FRL359" s="2116"/>
      <c r="FRM359" s="2116"/>
      <c r="FRN359" s="2116"/>
      <c r="FRO359" s="2116"/>
      <c r="FRP359" s="2116"/>
      <c r="FRQ359" s="2116"/>
      <c r="FRR359" s="2116"/>
      <c r="FRS359" s="2116"/>
      <c r="FRT359" s="2116"/>
      <c r="FRU359" s="2116" t="s">
        <v>1869</v>
      </c>
      <c r="FRV359" s="2116"/>
      <c r="FRW359" s="2116"/>
      <c r="FRX359" s="2116"/>
      <c r="FRY359" s="2116"/>
      <c r="FRZ359" s="2116"/>
      <c r="FSA359" s="2116"/>
      <c r="FSB359" s="2116"/>
      <c r="FSC359" s="2116"/>
      <c r="FSD359" s="2116"/>
      <c r="FSE359" s="2116"/>
      <c r="FSF359" s="2116"/>
      <c r="FSG359" s="2116"/>
      <c r="FSH359" s="2116"/>
      <c r="FSI359" s="2116"/>
      <c r="FSJ359" s="2116"/>
      <c r="FSK359" s="2116" t="s">
        <v>1869</v>
      </c>
      <c r="FSL359" s="2116"/>
      <c r="FSM359" s="2116"/>
      <c r="FSN359" s="2116"/>
      <c r="FSO359" s="2116"/>
      <c r="FSP359" s="2116"/>
      <c r="FSQ359" s="2116"/>
      <c r="FSR359" s="2116"/>
      <c r="FSS359" s="2116"/>
      <c r="FST359" s="2116"/>
      <c r="FSU359" s="2116"/>
      <c r="FSV359" s="2116"/>
      <c r="FSW359" s="2116"/>
      <c r="FSX359" s="2116"/>
      <c r="FSY359" s="2116"/>
      <c r="FSZ359" s="2116"/>
      <c r="FTA359" s="2116" t="s">
        <v>1869</v>
      </c>
      <c r="FTB359" s="2116"/>
      <c r="FTC359" s="2116"/>
      <c r="FTD359" s="2116"/>
      <c r="FTE359" s="2116"/>
      <c r="FTF359" s="2116"/>
      <c r="FTG359" s="2116"/>
      <c r="FTH359" s="2116"/>
      <c r="FTI359" s="2116"/>
      <c r="FTJ359" s="2116"/>
      <c r="FTK359" s="2116"/>
      <c r="FTL359" s="2116"/>
      <c r="FTM359" s="2116"/>
      <c r="FTN359" s="2116"/>
      <c r="FTO359" s="2116"/>
      <c r="FTP359" s="2116"/>
      <c r="FTQ359" s="2116" t="s">
        <v>1869</v>
      </c>
      <c r="FTR359" s="2116"/>
      <c r="FTS359" s="2116"/>
      <c r="FTT359" s="2116"/>
      <c r="FTU359" s="2116"/>
      <c r="FTV359" s="2116"/>
      <c r="FTW359" s="2116"/>
      <c r="FTX359" s="2116"/>
      <c r="FTY359" s="2116"/>
      <c r="FTZ359" s="2116"/>
      <c r="FUA359" s="2116"/>
      <c r="FUB359" s="2116"/>
      <c r="FUC359" s="2116"/>
      <c r="FUD359" s="2116"/>
      <c r="FUE359" s="2116"/>
      <c r="FUF359" s="2116"/>
      <c r="FUG359" s="2116" t="s">
        <v>1869</v>
      </c>
      <c r="FUH359" s="2116"/>
      <c r="FUI359" s="2116"/>
      <c r="FUJ359" s="2116"/>
      <c r="FUK359" s="2116"/>
      <c r="FUL359" s="2116"/>
      <c r="FUM359" s="2116"/>
      <c r="FUN359" s="2116"/>
      <c r="FUO359" s="2116"/>
      <c r="FUP359" s="2116"/>
      <c r="FUQ359" s="2116"/>
      <c r="FUR359" s="2116"/>
      <c r="FUS359" s="2116"/>
      <c r="FUT359" s="2116"/>
      <c r="FUU359" s="2116"/>
      <c r="FUV359" s="2116"/>
      <c r="FUW359" s="2116" t="s">
        <v>1869</v>
      </c>
      <c r="FUX359" s="2116"/>
      <c r="FUY359" s="2116"/>
      <c r="FUZ359" s="2116"/>
      <c r="FVA359" s="2116"/>
      <c r="FVB359" s="2116"/>
      <c r="FVC359" s="2116"/>
      <c r="FVD359" s="2116"/>
      <c r="FVE359" s="2116"/>
      <c r="FVF359" s="2116"/>
      <c r="FVG359" s="2116"/>
      <c r="FVH359" s="2116"/>
      <c r="FVI359" s="2116"/>
      <c r="FVJ359" s="2116"/>
      <c r="FVK359" s="2116"/>
      <c r="FVL359" s="2116"/>
      <c r="FVM359" s="2116" t="s">
        <v>1869</v>
      </c>
      <c r="FVN359" s="2116"/>
      <c r="FVO359" s="2116"/>
      <c r="FVP359" s="2116"/>
      <c r="FVQ359" s="2116"/>
      <c r="FVR359" s="2116"/>
      <c r="FVS359" s="2116"/>
      <c r="FVT359" s="2116"/>
      <c r="FVU359" s="2116"/>
      <c r="FVV359" s="2116"/>
      <c r="FVW359" s="2116"/>
      <c r="FVX359" s="2116"/>
      <c r="FVY359" s="2116"/>
      <c r="FVZ359" s="2116"/>
      <c r="FWA359" s="2116"/>
      <c r="FWB359" s="2116"/>
      <c r="FWC359" s="2116" t="s">
        <v>1869</v>
      </c>
      <c r="FWD359" s="2116"/>
      <c r="FWE359" s="2116"/>
      <c r="FWF359" s="2116"/>
      <c r="FWG359" s="2116"/>
      <c r="FWH359" s="2116"/>
      <c r="FWI359" s="2116"/>
      <c r="FWJ359" s="2116"/>
      <c r="FWK359" s="2116"/>
      <c r="FWL359" s="2116"/>
      <c r="FWM359" s="2116"/>
      <c r="FWN359" s="2116"/>
      <c r="FWO359" s="2116"/>
      <c r="FWP359" s="2116"/>
      <c r="FWQ359" s="2116"/>
      <c r="FWR359" s="2116"/>
      <c r="FWS359" s="2116" t="s">
        <v>1869</v>
      </c>
      <c r="FWT359" s="2116"/>
      <c r="FWU359" s="2116"/>
      <c r="FWV359" s="2116"/>
      <c r="FWW359" s="2116"/>
      <c r="FWX359" s="2116"/>
      <c r="FWY359" s="2116"/>
      <c r="FWZ359" s="2116"/>
      <c r="FXA359" s="2116"/>
      <c r="FXB359" s="2116"/>
      <c r="FXC359" s="2116"/>
      <c r="FXD359" s="2116"/>
      <c r="FXE359" s="2116"/>
      <c r="FXF359" s="2116"/>
      <c r="FXG359" s="2116"/>
      <c r="FXH359" s="2116"/>
      <c r="FXI359" s="2116" t="s">
        <v>1869</v>
      </c>
      <c r="FXJ359" s="2116"/>
      <c r="FXK359" s="2116"/>
      <c r="FXL359" s="2116"/>
      <c r="FXM359" s="2116"/>
      <c r="FXN359" s="2116"/>
      <c r="FXO359" s="2116"/>
      <c r="FXP359" s="2116"/>
      <c r="FXQ359" s="2116"/>
      <c r="FXR359" s="2116"/>
      <c r="FXS359" s="2116"/>
      <c r="FXT359" s="2116"/>
      <c r="FXU359" s="2116"/>
      <c r="FXV359" s="2116"/>
      <c r="FXW359" s="2116"/>
      <c r="FXX359" s="2116"/>
      <c r="FXY359" s="2116" t="s">
        <v>1869</v>
      </c>
      <c r="FXZ359" s="2116"/>
      <c r="FYA359" s="2116"/>
      <c r="FYB359" s="2116"/>
      <c r="FYC359" s="2116"/>
      <c r="FYD359" s="2116"/>
      <c r="FYE359" s="2116"/>
      <c r="FYF359" s="2116"/>
      <c r="FYG359" s="2116"/>
      <c r="FYH359" s="2116"/>
      <c r="FYI359" s="2116"/>
      <c r="FYJ359" s="2116"/>
      <c r="FYK359" s="2116"/>
      <c r="FYL359" s="2116"/>
      <c r="FYM359" s="2116"/>
      <c r="FYN359" s="2116"/>
      <c r="FYO359" s="2116" t="s">
        <v>1869</v>
      </c>
      <c r="FYP359" s="2116"/>
      <c r="FYQ359" s="2116"/>
      <c r="FYR359" s="2116"/>
      <c r="FYS359" s="2116"/>
      <c r="FYT359" s="2116"/>
      <c r="FYU359" s="2116"/>
      <c r="FYV359" s="2116"/>
      <c r="FYW359" s="2116"/>
      <c r="FYX359" s="2116"/>
      <c r="FYY359" s="2116"/>
      <c r="FYZ359" s="2116"/>
      <c r="FZA359" s="2116"/>
      <c r="FZB359" s="2116"/>
      <c r="FZC359" s="2116"/>
      <c r="FZD359" s="2116"/>
      <c r="FZE359" s="2116" t="s">
        <v>1869</v>
      </c>
      <c r="FZF359" s="2116"/>
      <c r="FZG359" s="2116"/>
      <c r="FZH359" s="2116"/>
      <c r="FZI359" s="2116"/>
      <c r="FZJ359" s="2116"/>
      <c r="FZK359" s="2116"/>
      <c r="FZL359" s="2116"/>
      <c r="FZM359" s="2116"/>
      <c r="FZN359" s="2116"/>
      <c r="FZO359" s="2116"/>
      <c r="FZP359" s="2116"/>
      <c r="FZQ359" s="2116"/>
      <c r="FZR359" s="2116"/>
      <c r="FZS359" s="2116"/>
      <c r="FZT359" s="2116"/>
      <c r="FZU359" s="2116" t="s">
        <v>1869</v>
      </c>
      <c r="FZV359" s="2116"/>
      <c r="FZW359" s="2116"/>
      <c r="FZX359" s="2116"/>
      <c r="FZY359" s="2116"/>
      <c r="FZZ359" s="2116"/>
      <c r="GAA359" s="2116"/>
      <c r="GAB359" s="2116"/>
      <c r="GAC359" s="2116"/>
      <c r="GAD359" s="2116"/>
      <c r="GAE359" s="2116"/>
      <c r="GAF359" s="2116"/>
      <c r="GAG359" s="2116"/>
      <c r="GAH359" s="2116"/>
      <c r="GAI359" s="2116"/>
      <c r="GAJ359" s="2116"/>
      <c r="GAK359" s="2116" t="s">
        <v>1869</v>
      </c>
      <c r="GAL359" s="2116"/>
      <c r="GAM359" s="2116"/>
      <c r="GAN359" s="2116"/>
      <c r="GAO359" s="2116"/>
      <c r="GAP359" s="2116"/>
      <c r="GAQ359" s="2116"/>
      <c r="GAR359" s="2116"/>
      <c r="GAS359" s="2116"/>
      <c r="GAT359" s="2116"/>
      <c r="GAU359" s="2116"/>
      <c r="GAV359" s="2116"/>
      <c r="GAW359" s="2116"/>
      <c r="GAX359" s="2116"/>
      <c r="GAY359" s="2116"/>
      <c r="GAZ359" s="2116"/>
      <c r="GBA359" s="2116" t="s">
        <v>1869</v>
      </c>
      <c r="GBB359" s="2116"/>
      <c r="GBC359" s="2116"/>
      <c r="GBD359" s="2116"/>
      <c r="GBE359" s="2116"/>
      <c r="GBF359" s="2116"/>
      <c r="GBG359" s="2116"/>
      <c r="GBH359" s="2116"/>
      <c r="GBI359" s="2116"/>
      <c r="GBJ359" s="2116"/>
      <c r="GBK359" s="2116"/>
      <c r="GBL359" s="2116"/>
      <c r="GBM359" s="2116"/>
      <c r="GBN359" s="2116"/>
      <c r="GBO359" s="2116"/>
      <c r="GBP359" s="2116"/>
      <c r="GBQ359" s="2116" t="s">
        <v>1869</v>
      </c>
      <c r="GBR359" s="2116"/>
      <c r="GBS359" s="2116"/>
      <c r="GBT359" s="2116"/>
      <c r="GBU359" s="2116"/>
      <c r="GBV359" s="2116"/>
      <c r="GBW359" s="2116"/>
      <c r="GBX359" s="2116"/>
      <c r="GBY359" s="2116"/>
      <c r="GBZ359" s="2116"/>
      <c r="GCA359" s="2116"/>
      <c r="GCB359" s="2116"/>
      <c r="GCC359" s="2116"/>
      <c r="GCD359" s="2116"/>
      <c r="GCE359" s="2116"/>
      <c r="GCF359" s="2116"/>
      <c r="GCG359" s="2116" t="s">
        <v>1869</v>
      </c>
      <c r="GCH359" s="2116"/>
      <c r="GCI359" s="2116"/>
      <c r="GCJ359" s="2116"/>
      <c r="GCK359" s="2116"/>
      <c r="GCL359" s="2116"/>
      <c r="GCM359" s="2116"/>
      <c r="GCN359" s="2116"/>
      <c r="GCO359" s="2116"/>
      <c r="GCP359" s="2116"/>
      <c r="GCQ359" s="2116"/>
      <c r="GCR359" s="2116"/>
      <c r="GCS359" s="2116"/>
      <c r="GCT359" s="2116"/>
      <c r="GCU359" s="2116"/>
      <c r="GCV359" s="2116"/>
      <c r="GCW359" s="2116" t="s">
        <v>1869</v>
      </c>
      <c r="GCX359" s="2116"/>
      <c r="GCY359" s="2116"/>
      <c r="GCZ359" s="2116"/>
      <c r="GDA359" s="2116"/>
      <c r="GDB359" s="2116"/>
      <c r="GDC359" s="2116"/>
      <c r="GDD359" s="2116"/>
      <c r="GDE359" s="2116"/>
      <c r="GDF359" s="2116"/>
      <c r="GDG359" s="2116"/>
      <c r="GDH359" s="2116"/>
      <c r="GDI359" s="2116"/>
      <c r="GDJ359" s="2116"/>
      <c r="GDK359" s="2116"/>
      <c r="GDL359" s="2116"/>
      <c r="GDM359" s="2116" t="s">
        <v>1869</v>
      </c>
      <c r="GDN359" s="2116"/>
      <c r="GDO359" s="2116"/>
      <c r="GDP359" s="2116"/>
      <c r="GDQ359" s="2116"/>
      <c r="GDR359" s="2116"/>
      <c r="GDS359" s="2116"/>
      <c r="GDT359" s="2116"/>
      <c r="GDU359" s="2116"/>
      <c r="GDV359" s="2116"/>
      <c r="GDW359" s="2116"/>
      <c r="GDX359" s="2116"/>
      <c r="GDY359" s="2116"/>
      <c r="GDZ359" s="2116"/>
      <c r="GEA359" s="2116"/>
      <c r="GEB359" s="2116"/>
      <c r="GEC359" s="2116" t="s">
        <v>1869</v>
      </c>
      <c r="GED359" s="2116"/>
      <c r="GEE359" s="2116"/>
      <c r="GEF359" s="2116"/>
      <c r="GEG359" s="2116"/>
      <c r="GEH359" s="2116"/>
      <c r="GEI359" s="2116"/>
      <c r="GEJ359" s="2116"/>
      <c r="GEK359" s="2116"/>
      <c r="GEL359" s="2116"/>
      <c r="GEM359" s="2116"/>
      <c r="GEN359" s="2116"/>
      <c r="GEO359" s="2116"/>
      <c r="GEP359" s="2116"/>
      <c r="GEQ359" s="2116"/>
      <c r="GER359" s="2116"/>
      <c r="GES359" s="2116" t="s">
        <v>1869</v>
      </c>
      <c r="GET359" s="2116"/>
      <c r="GEU359" s="2116"/>
      <c r="GEV359" s="2116"/>
      <c r="GEW359" s="2116"/>
      <c r="GEX359" s="2116"/>
      <c r="GEY359" s="2116"/>
      <c r="GEZ359" s="2116"/>
      <c r="GFA359" s="2116"/>
      <c r="GFB359" s="2116"/>
      <c r="GFC359" s="2116"/>
      <c r="GFD359" s="2116"/>
      <c r="GFE359" s="2116"/>
      <c r="GFF359" s="2116"/>
      <c r="GFG359" s="2116"/>
      <c r="GFH359" s="2116"/>
      <c r="GFI359" s="2116" t="s">
        <v>1869</v>
      </c>
      <c r="GFJ359" s="2116"/>
      <c r="GFK359" s="2116"/>
      <c r="GFL359" s="2116"/>
      <c r="GFM359" s="2116"/>
      <c r="GFN359" s="2116"/>
      <c r="GFO359" s="2116"/>
      <c r="GFP359" s="2116"/>
      <c r="GFQ359" s="2116"/>
      <c r="GFR359" s="2116"/>
      <c r="GFS359" s="2116"/>
      <c r="GFT359" s="2116"/>
      <c r="GFU359" s="2116"/>
      <c r="GFV359" s="2116"/>
      <c r="GFW359" s="2116"/>
      <c r="GFX359" s="2116"/>
      <c r="GFY359" s="2116" t="s">
        <v>1869</v>
      </c>
      <c r="GFZ359" s="2116"/>
      <c r="GGA359" s="2116"/>
      <c r="GGB359" s="2116"/>
      <c r="GGC359" s="2116"/>
      <c r="GGD359" s="2116"/>
      <c r="GGE359" s="2116"/>
      <c r="GGF359" s="2116"/>
      <c r="GGG359" s="2116"/>
      <c r="GGH359" s="2116"/>
      <c r="GGI359" s="2116"/>
      <c r="GGJ359" s="2116"/>
      <c r="GGK359" s="2116"/>
      <c r="GGL359" s="2116"/>
      <c r="GGM359" s="2116"/>
      <c r="GGN359" s="2116"/>
      <c r="GGO359" s="2116" t="s">
        <v>1869</v>
      </c>
      <c r="GGP359" s="2116"/>
      <c r="GGQ359" s="2116"/>
      <c r="GGR359" s="2116"/>
      <c r="GGS359" s="2116"/>
      <c r="GGT359" s="2116"/>
      <c r="GGU359" s="2116"/>
      <c r="GGV359" s="2116"/>
      <c r="GGW359" s="2116"/>
      <c r="GGX359" s="2116"/>
      <c r="GGY359" s="2116"/>
      <c r="GGZ359" s="2116"/>
      <c r="GHA359" s="2116"/>
      <c r="GHB359" s="2116"/>
      <c r="GHC359" s="2116"/>
      <c r="GHD359" s="2116"/>
      <c r="GHE359" s="2116" t="s">
        <v>1869</v>
      </c>
      <c r="GHF359" s="2116"/>
      <c r="GHG359" s="2116"/>
      <c r="GHH359" s="2116"/>
      <c r="GHI359" s="2116"/>
      <c r="GHJ359" s="2116"/>
      <c r="GHK359" s="2116"/>
      <c r="GHL359" s="2116"/>
      <c r="GHM359" s="2116"/>
      <c r="GHN359" s="2116"/>
      <c r="GHO359" s="2116"/>
      <c r="GHP359" s="2116"/>
      <c r="GHQ359" s="2116"/>
      <c r="GHR359" s="2116"/>
      <c r="GHS359" s="2116"/>
      <c r="GHT359" s="2116"/>
      <c r="GHU359" s="2116" t="s">
        <v>1869</v>
      </c>
      <c r="GHV359" s="2116"/>
      <c r="GHW359" s="2116"/>
      <c r="GHX359" s="2116"/>
      <c r="GHY359" s="2116"/>
      <c r="GHZ359" s="2116"/>
      <c r="GIA359" s="2116"/>
      <c r="GIB359" s="2116"/>
      <c r="GIC359" s="2116"/>
      <c r="GID359" s="2116"/>
      <c r="GIE359" s="2116"/>
      <c r="GIF359" s="2116"/>
      <c r="GIG359" s="2116"/>
      <c r="GIH359" s="2116"/>
      <c r="GII359" s="2116"/>
      <c r="GIJ359" s="2116"/>
      <c r="GIK359" s="2116" t="s">
        <v>1869</v>
      </c>
      <c r="GIL359" s="2116"/>
      <c r="GIM359" s="2116"/>
      <c r="GIN359" s="2116"/>
      <c r="GIO359" s="2116"/>
      <c r="GIP359" s="2116"/>
      <c r="GIQ359" s="2116"/>
      <c r="GIR359" s="2116"/>
      <c r="GIS359" s="2116"/>
      <c r="GIT359" s="2116"/>
      <c r="GIU359" s="2116"/>
      <c r="GIV359" s="2116"/>
      <c r="GIW359" s="2116"/>
      <c r="GIX359" s="2116"/>
      <c r="GIY359" s="2116"/>
      <c r="GIZ359" s="2116"/>
      <c r="GJA359" s="2116" t="s">
        <v>1869</v>
      </c>
      <c r="GJB359" s="2116"/>
      <c r="GJC359" s="2116"/>
      <c r="GJD359" s="2116"/>
      <c r="GJE359" s="2116"/>
      <c r="GJF359" s="2116"/>
      <c r="GJG359" s="2116"/>
      <c r="GJH359" s="2116"/>
      <c r="GJI359" s="2116"/>
      <c r="GJJ359" s="2116"/>
      <c r="GJK359" s="2116"/>
      <c r="GJL359" s="2116"/>
      <c r="GJM359" s="2116"/>
      <c r="GJN359" s="2116"/>
      <c r="GJO359" s="2116"/>
      <c r="GJP359" s="2116"/>
      <c r="GJQ359" s="2116" t="s">
        <v>1869</v>
      </c>
      <c r="GJR359" s="2116"/>
      <c r="GJS359" s="2116"/>
      <c r="GJT359" s="2116"/>
      <c r="GJU359" s="2116"/>
      <c r="GJV359" s="2116"/>
      <c r="GJW359" s="2116"/>
      <c r="GJX359" s="2116"/>
      <c r="GJY359" s="2116"/>
      <c r="GJZ359" s="2116"/>
      <c r="GKA359" s="2116"/>
      <c r="GKB359" s="2116"/>
      <c r="GKC359" s="2116"/>
      <c r="GKD359" s="2116"/>
      <c r="GKE359" s="2116"/>
      <c r="GKF359" s="2116"/>
      <c r="GKG359" s="2116" t="s">
        <v>1869</v>
      </c>
      <c r="GKH359" s="2116"/>
      <c r="GKI359" s="2116"/>
      <c r="GKJ359" s="2116"/>
      <c r="GKK359" s="2116"/>
      <c r="GKL359" s="2116"/>
      <c r="GKM359" s="2116"/>
      <c r="GKN359" s="2116"/>
      <c r="GKO359" s="2116"/>
      <c r="GKP359" s="2116"/>
      <c r="GKQ359" s="2116"/>
      <c r="GKR359" s="2116"/>
      <c r="GKS359" s="2116"/>
      <c r="GKT359" s="2116"/>
      <c r="GKU359" s="2116"/>
      <c r="GKV359" s="2116"/>
      <c r="GKW359" s="2116" t="s">
        <v>1869</v>
      </c>
      <c r="GKX359" s="2116"/>
      <c r="GKY359" s="2116"/>
      <c r="GKZ359" s="2116"/>
      <c r="GLA359" s="2116"/>
      <c r="GLB359" s="2116"/>
      <c r="GLC359" s="2116"/>
      <c r="GLD359" s="2116"/>
      <c r="GLE359" s="2116"/>
      <c r="GLF359" s="2116"/>
      <c r="GLG359" s="2116"/>
      <c r="GLH359" s="2116"/>
      <c r="GLI359" s="2116"/>
      <c r="GLJ359" s="2116"/>
      <c r="GLK359" s="2116"/>
      <c r="GLL359" s="2116"/>
      <c r="GLM359" s="2116" t="s">
        <v>1869</v>
      </c>
      <c r="GLN359" s="2116"/>
      <c r="GLO359" s="2116"/>
      <c r="GLP359" s="2116"/>
      <c r="GLQ359" s="2116"/>
      <c r="GLR359" s="2116"/>
      <c r="GLS359" s="2116"/>
      <c r="GLT359" s="2116"/>
      <c r="GLU359" s="2116"/>
      <c r="GLV359" s="2116"/>
      <c r="GLW359" s="2116"/>
      <c r="GLX359" s="2116"/>
      <c r="GLY359" s="2116"/>
      <c r="GLZ359" s="2116"/>
      <c r="GMA359" s="2116"/>
      <c r="GMB359" s="2116"/>
      <c r="GMC359" s="2116" t="s">
        <v>1869</v>
      </c>
      <c r="GMD359" s="2116"/>
      <c r="GME359" s="2116"/>
      <c r="GMF359" s="2116"/>
      <c r="GMG359" s="2116"/>
      <c r="GMH359" s="2116"/>
      <c r="GMI359" s="2116"/>
      <c r="GMJ359" s="2116"/>
      <c r="GMK359" s="2116"/>
      <c r="GML359" s="2116"/>
      <c r="GMM359" s="2116"/>
      <c r="GMN359" s="2116"/>
      <c r="GMO359" s="2116"/>
      <c r="GMP359" s="2116"/>
      <c r="GMQ359" s="2116"/>
      <c r="GMR359" s="2116"/>
      <c r="GMS359" s="2116" t="s">
        <v>1869</v>
      </c>
      <c r="GMT359" s="2116"/>
      <c r="GMU359" s="2116"/>
      <c r="GMV359" s="2116"/>
      <c r="GMW359" s="2116"/>
      <c r="GMX359" s="2116"/>
      <c r="GMY359" s="2116"/>
      <c r="GMZ359" s="2116"/>
      <c r="GNA359" s="2116"/>
      <c r="GNB359" s="2116"/>
      <c r="GNC359" s="2116"/>
      <c r="GND359" s="2116"/>
      <c r="GNE359" s="2116"/>
      <c r="GNF359" s="2116"/>
      <c r="GNG359" s="2116"/>
      <c r="GNH359" s="2116"/>
      <c r="GNI359" s="2116" t="s">
        <v>1869</v>
      </c>
      <c r="GNJ359" s="2116"/>
      <c r="GNK359" s="2116"/>
      <c r="GNL359" s="2116"/>
      <c r="GNM359" s="2116"/>
      <c r="GNN359" s="2116"/>
      <c r="GNO359" s="2116"/>
      <c r="GNP359" s="2116"/>
      <c r="GNQ359" s="2116"/>
      <c r="GNR359" s="2116"/>
      <c r="GNS359" s="2116"/>
      <c r="GNT359" s="2116"/>
      <c r="GNU359" s="2116"/>
      <c r="GNV359" s="2116"/>
      <c r="GNW359" s="2116"/>
      <c r="GNX359" s="2116"/>
      <c r="GNY359" s="2116" t="s">
        <v>1869</v>
      </c>
      <c r="GNZ359" s="2116"/>
      <c r="GOA359" s="2116"/>
      <c r="GOB359" s="2116"/>
      <c r="GOC359" s="2116"/>
      <c r="GOD359" s="2116"/>
      <c r="GOE359" s="2116"/>
      <c r="GOF359" s="2116"/>
      <c r="GOG359" s="2116"/>
      <c r="GOH359" s="2116"/>
      <c r="GOI359" s="2116"/>
      <c r="GOJ359" s="2116"/>
      <c r="GOK359" s="2116"/>
      <c r="GOL359" s="2116"/>
      <c r="GOM359" s="2116"/>
      <c r="GON359" s="2116"/>
      <c r="GOO359" s="2116" t="s">
        <v>1869</v>
      </c>
      <c r="GOP359" s="2116"/>
      <c r="GOQ359" s="2116"/>
      <c r="GOR359" s="2116"/>
      <c r="GOS359" s="2116"/>
      <c r="GOT359" s="2116"/>
      <c r="GOU359" s="2116"/>
      <c r="GOV359" s="2116"/>
      <c r="GOW359" s="2116"/>
      <c r="GOX359" s="2116"/>
      <c r="GOY359" s="2116"/>
      <c r="GOZ359" s="2116"/>
      <c r="GPA359" s="2116"/>
      <c r="GPB359" s="2116"/>
      <c r="GPC359" s="2116"/>
      <c r="GPD359" s="2116"/>
      <c r="GPE359" s="2116" t="s">
        <v>1869</v>
      </c>
      <c r="GPF359" s="2116"/>
      <c r="GPG359" s="2116"/>
      <c r="GPH359" s="2116"/>
      <c r="GPI359" s="2116"/>
      <c r="GPJ359" s="2116"/>
      <c r="GPK359" s="2116"/>
      <c r="GPL359" s="2116"/>
      <c r="GPM359" s="2116"/>
      <c r="GPN359" s="2116"/>
      <c r="GPO359" s="2116"/>
      <c r="GPP359" s="2116"/>
      <c r="GPQ359" s="2116"/>
      <c r="GPR359" s="2116"/>
      <c r="GPS359" s="2116"/>
      <c r="GPT359" s="2116"/>
      <c r="GPU359" s="2116" t="s">
        <v>1869</v>
      </c>
      <c r="GPV359" s="2116"/>
      <c r="GPW359" s="2116"/>
      <c r="GPX359" s="2116"/>
      <c r="GPY359" s="2116"/>
      <c r="GPZ359" s="2116"/>
      <c r="GQA359" s="2116"/>
      <c r="GQB359" s="2116"/>
      <c r="GQC359" s="2116"/>
      <c r="GQD359" s="2116"/>
      <c r="GQE359" s="2116"/>
      <c r="GQF359" s="2116"/>
      <c r="GQG359" s="2116"/>
      <c r="GQH359" s="2116"/>
      <c r="GQI359" s="2116"/>
      <c r="GQJ359" s="2116"/>
      <c r="GQK359" s="2116" t="s">
        <v>1869</v>
      </c>
      <c r="GQL359" s="2116"/>
      <c r="GQM359" s="2116"/>
      <c r="GQN359" s="2116"/>
      <c r="GQO359" s="2116"/>
      <c r="GQP359" s="2116"/>
      <c r="GQQ359" s="2116"/>
      <c r="GQR359" s="2116"/>
      <c r="GQS359" s="2116"/>
      <c r="GQT359" s="2116"/>
      <c r="GQU359" s="2116"/>
      <c r="GQV359" s="2116"/>
      <c r="GQW359" s="2116"/>
      <c r="GQX359" s="2116"/>
      <c r="GQY359" s="2116"/>
      <c r="GQZ359" s="2116"/>
      <c r="GRA359" s="2116" t="s">
        <v>1869</v>
      </c>
      <c r="GRB359" s="2116"/>
      <c r="GRC359" s="2116"/>
      <c r="GRD359" s="2116"/>
      <c r="GRE359" s="2116"/>
      <c r="GRF359" s="2116"/>
      <c r="GRG359" s="2116"/>
      <c r="GRH359" s="2116"/>
      <c r="GRI359" s="2116"/>
      <c r="GRJ359" s="2116"/>
      <c r="GRK359" s="2116"/>
      <c r="GRL359" s="2116"/>
      <c r="GRM359" s="2116"/>
      <c r="GRN359" s="2116"/>
      <c r="GRO359" s="2116"/>
      <c r="GRP359" s="2116"/>
      <c r="GRQ359" s="2116" t="s">
        <v>1869</v>
      </c>
      <c r="GRR359" s="2116"/>
      <c r="GRS359" s="2116"/>
      <c r="GRT359" s="2116"/>
      <c r="GRU359" s="2116"/>
      <c r="GRV359" s="2116"/>
      <c r="GRW359" s="2116"/>
      <c r="GRX359" s="2116"/>
      <c r="GRY359" s="2116"/>
      <c r="GRZ359" s="2116"/>
      <c r="GSA359" s="2116"/>
      <c r="GSB359" s="2116"/>
      <c r="GSC359" s="2116"/>
      <c r="GSD359" s="2116"/>
      <c r="GSE359" s="2116"/>
      <c r="GSF359" s="2116"/>
      <c r="GSG359" s="2116" t="s">
        <v>1869</v>
      </c>
      <c r="GSH359" s="2116"/>
      <c r="GSI359" s="2116"/>
      <c r="GSJ359" s="2116"/>
      <c r="GSK359" s="2116"/>
      <c r="GSL359" s="2116"/>
      <c r="GSM359" s="2116"/>
      <c r="GSN359" s="2116"/>
      <c r="GSO359" s="2116"/>
      <c r="GSP359" s="2116"/>
      <c r="GSQ359" s="2116"/>
      <c r="GSR359" s="2116"/>
      <c r="GSS359" s="2116"/>
      <c r="GST359" s="2116"/>
      <c r="GSU359" s="2116"/>
      <c r="GSV359" s="2116"/>
      <c r="GSW359" s="2116" t="s">
        <v>1869</v>
      </c>
      <c r="GSX359" s="2116"/>
      <c r="GSY359" s="2116"/>
      <c r="GSZ359" s="2116"/>
      <c r="GTA359" s="2116"/>
      <c r="GTB359" s="2116"/>
      <c r="GTC359" s="2116"/>
      <c r="GTD359" s="2116"/>
      <c r="GTE359" s="2116"/>
      <c r="GTF359" s="2116"/>
      <c r="GTG359" s="2116"/>
      <c r="GTH359" s="2116"/>
      <c r="GTI359" s="2116"/>
      <c r="GTJ359" s="2116"/>
      <c r="GTK359" s="2116"/>
      <c r="GTL359" s="2116"/>
      <c r="GTM359" s="2116" t="s">
        <v>1869</v>
      </c>
      <c r="GTN359" s="2116"/>
      <c r="GTO359" s="2116"/>
      <c r="GTP359" s="2116"/>
      <c r="GTQ359" s="2116"/>
      <c r="GTR359" s="2116"/>
      <c r="GTS359" s="2116"/>
      <c r="GTT359" s="2116"/>
      <c r="GTU359" s="2116"/>
      <c r="GTV359" s="2116"/>
      <c r="GTW359" s="2116"/>
      <c r="GTX359" s="2116"/>
      <c r="GTY359" s="2116"/>
      <c r="GTZ359" s="2116"/>
      <c r="GUA359" s="2116"/>
      <c r="GUB359" s="2116"/>
      <c r="GUC359" s="2116" t="s">
        <v>1869</v>
      </c>
      <c r="GUD359" s="2116"/>
      <c r="GUE359" s="2116"/>
      <c r="GUF359" s="2116"/>
      <c r="GUG359" s="2116"/>
      <c r="GUH359" s="2116"/>
      <c r="GUI359" s="2116"/>
      <c r="GUJ359" s="2116"/>
      <c r="GUK359" s="2116"/>
      <c r="GUL359" s="2116"/>
      <c r="GUM359" s="2116"/>
      <c r="GUN359" s="2116"/>
      <c r="GUO359" s="2116"/>
      <c r="GUP359" s="2116"/>
      <c r="GUQ359" s="2116"/>
      <c r="GUR359" s="2116"/>
      <c r="GUS359" s="2116" t="s">
        <v>1869</v>
      </c>
      <c r="GUT359" s="2116"/>
      <c r="GUU359" s="2116"/>
      <c r="GUV359" s="2116"/>
      <c r="GUW359" s="2116"/>
      <c r="GUX359" s="2116"/>
      <c r="GUY359" s="2116"/>
      <c r="GUZ359" s="2116"/>
      <c r="GVA359" s="2116"/>
      <c r="GVB359" s="2116"/>
      <c r="GVC359" s="2116"/>
      <c r="GVD359" s="2116"/>
      <c r="GVE359" s="2116"/>
      <c r="GVF359" s="2116"/>
      <c r="GVG359" s="2116"/>
      <c r="GVH359" s="2116"/>
      <c r="GVI359" s="2116" t="s">
        <v>1869</v>
      </c>
      <c r="GVJ359" s="2116"/>
      <c r="GVK359" s="2116"/>
      <c r="GVL359" s="2116"/>
      <c r="GVM359" s="2116"/>
      <c r="GVN359" s="2116"/>
      <c r="GVO359" s="2116"/>
      <c r="GVP359" s="2116"/>
      <c r="GVQ359" s="2116"/>
      <c r="GVR359" s="2116"/>
      <c r="GVS359" s="2116"/>
      <c r="GVT359" s="2116"/>
      <c r="GVU359" s="2116"/>
      <c r="GVV359" s="2116"/>
      <c r="GVW359" s="2116"/>
      <c r="GVX359" s="2116"/>
      <c r="GVY359" s="2116" t="s">
        <v>1869</v>
      </c>
      <c r="GVZ359" s="2116"/>
      <c r="GWA359" s="2116"/>
      <c r="GWB359" s="2116"/>
      <c r="GWC359" s="2116"/>
      <c r="GWD359" s="2116"/>
      <c r="GWE359" s="2116"/>
      <c r="GWF359" s="2116"/>
      <c r="GWG359" s="2116"/>
      <c r="GWH359" s="2116"/>
      <c r="GWI359" s="2116"/>
      <c r="GWJ359" s="2116"/>
      <c r="GWK359" s="2116"/>
      <c r="GWL359" s="2116"/>
      <c r="GWM359" s="2116"/>
      <c r="GWN359" s="2116"/>
      <c r="GWO359" s="2116" t="s">
        <v>1869</v>
      </c>
      <c r="GWP359" s="2116"/>
      <c r="GWQ359" s="2116"/>
      <c r="GWR359" s="2116"/>
      <c r="GWS359" s="2116"/>
      <c r="GWT359" s="2116"/>
      <c r="GWU359" s="2116"/>
      <c r="GWV359" s="2116"/>
      <c r="GWW359" s="2116"/>
      <c r="GWX359" s="2116"/>
      <c r="GWY359" s="2116"/>
      <c r="GWZ359" s="2116"/>
      <c r="GXA359" s="2116"/>
      <c r="GXB359" s="2116"/>
      <c r="GXC359" s="2116"/>
      <c r="GXD359" s="2116"/>
      <c r="GXE359" s="2116" t="s">
        <v>1869</v>
      </c>
      <c r="GXF359" s="2116"/>
      <c r="GXG359" s="2116"/>
      <c r="GXH359" s="2116"/>
      <c r="GXI359" s="2116"/>
      <c r="GXJ359" s="2116"/>
      <c r="GXK359" s="2116"/>
      <c r="GXL359" s="2116"/>
      <c r="GXM359" s="2116"/>
      <c r="GXN359" s="2116"/>
      <c r="GXO359" s="2116"/>
      <c r="GXP359" s="2116"/>
      <c r="GXQ359" s="2116"/>
      <c r="GXR359" s="2116"/>
      <c r="GXS359" s="2116"/>
      <c r="GXT359" s="2116"/>
      <c r="GXU359" s="2116" t="s">
        <v>1869</v>
      </c>
      <c r="GXV359" s="2116"/>
      <c r="GXW359" s="2116"/>
      <c r="GXX359" s="2116"/>
      <c r="GXY359" s="2116"/>
      <c r="GXZ359" s="2116"/>
      <c r="GYA359" s="2116"/>
      <c r="GYB359" s="2116"/>
      <c r="GYC359" s="2116"/>
      <c r="GYD359" s="2116"/>
      <c r="GYE359" s="2116"/>
      <c r="GYF359" s="2116"/>
      <c r="GYG359" s="2116"/>
      <c r="GYH359" s="2116"/>
      <c r="GYI359" s="2116"/>
      <c r="GYJ359" s="2116"/>
      <c r="GYK359" s="2116" t="s">
        <v>1869</v>
      </c>
      <c r="GYL359" s="2116"/>
      <c r="GYM359" s="2116"/>
      <c r="GYN359" s="2116"/>
      <c r="GYO359" s="2116"/>
      <c r="GYP359" s="2116"/>
      <c r="GYQ359" s="2116"/>
      <c r="GYR359" s="2116"/>
      <c r="GYS359" s="2116"/>
      <c r="GYT359" s="2116"/>
      <c r="GYU359" s="2116"/>
      <c r="GYV359" s="2116"/>
      <c r="GYW359" s="2116"/>
      <c r="GYX359" s="2116"/>
      <c r="GYY359" s="2116"/>
      <c r="GYZ359" s="2116"/>
      <c r="GZA359" s="2116" t="s">
        <v>1869</v>
      </c>
      <c r="GZB359" s="2116"/>
      <c r="GZC359" s="2116"/>
      <c r="GZD359" s="2116"/>
      <c r="GZE359" s="2116"/>
      <c r="GZF359" s="2116"/>
      <c r="GZG359" s="2116"/>
      <c r="GZH359" s="2116"/>
      <c r="GZI359" s="2116"/>
      <c r="GZJ359" s="2116"/>
      <c r="GZK359" s="2116"/>
      <c r="GZL359" s="2116"/>
      <c r="GZM359" s="2116"/>
      <c r="GZN359" s="2116"/>
      <c r="GZO359" s="2116"/>
      <c r="GZP359" s="2116"/>
      <c r="GZQ359" s="2116" t="s">
        <v>1869</v>
      </c>
      <c r="GZR359" s="2116"/>
      <c r="GZS359" s="2116"/>
      <c r="GZT359" s="2116"/>
      <c r="GZU359" s="2116"/>
      <c r="GZV359" s="2116"/>
      <c r="GZW359" s="2116"/>
      <c r="GZX359" s="2116"/>
      <c r="GZY359" s="2116"/>
      <c r="GZZ359" s="2116"/>
      <c r="HAA359" s="2116"/>
      <c r="HAB359" s="2116"/>
      <c r="HAC359" s="2116"/>
      <c r="HAD359" s="2116"/>
      <c r="HAE359" s="2116"/>
      <c r="HAF359" s="2116"/>
      <c r="HAG359" s="2116" t="s">
        <v>1869</v>
      </c>
      <c r="HAH359" s="2116"/>
      <c r="HAI359" s="2116"/>
      <c r="HAJ359" s="2116"/>
      <c r="HAK359" s="2116"/>
      <c r="HAL359" s="2116"/>
      <c r="HAM359" s="2116"/>
      <c r="HAN359" s="2116"/>
      <c r="HAO359" s="2116"/>
      <c r="HAP359" s="2116"/>
      <c r="HAQ359" s="2116"/>
      <c r="HAR359" s="2116"/>
      <c r="HAS359" s="2116"/>
      <c r="HAT359" s="2116"/>
      <c r="HAU359" s="2116"/>
      <c r="HAV359" s="2116"/>
      <c r="HAW359" s="2116" t="s">
        <v>1869</v>
      </c>
      <c r="HAX359" s="2116"/>
      <c r="HAY359" s="2116"/>
      <c r="HAZ359" s="2116"/>
      <c r="HBA359" s="2116"/>
      <c r="HBB359" s="2116"/>
      <c r="HBC359" s="2116"/>
      <c r="HBD359" s="2116"/>
      <c r="HBE359" s="2116"/>
      <c r="HBF359" s="2116"/>
      <c r="HBG359" s="2116"/>
      <c r="HBH359" s="2116"/>
      <c r="HBI359" s="2116"/>
      <c r="HBJ359" s="2116"/>
      <c r="HBK359" s="2116"/>
      <c r="HBL359" s="2116"/>
      <c r="HBM359" s="2116" t="s">
        <v>1869</v>
      </c>
      <c r="HBN359" s="2116"/>
      <c r="HBO359" s="2116"/>
      <c r="HBP359" s="2116"/>
      <c r="HBQ359" s="2116"/>
      <c r="HBR359" s="2116"/>
      <c r="HBS359" s="2116"/>
      <c r="HBT359" s="2116"/>
      <c r="HBU359" s="2116"/>
      <c r="HBV359" s="2116"/>
      <c r="HBW359" s="2116"/>
      <c r="HBX359" s="2116"/>
      <c r="HBY359" s="2116"/>
      <c r="HBZ359" s="2116"/>
      <c r="HCA359" s="2116"/>
      <c r="HCB359" s="2116"/>
      <c r="HCC359" s="2116" t="s">
        <v>1869</v>
      </c>
      <c r="HCD359" s="2116"/>
      <c r="HCE359" s="2116"/>
      <c r="HCF359" s="2116"/>
      <c r="HCG359" s="2116"/>
      <c r="HCH359" s="2116"/>
      <c r="HCI359" s="2116"/>
      <c r="HCJ359" s="2116"/>
      <c r="HCK359" s="2116"/>
      <c r="HCL359" s="2116"/>
      <c r="HCM359" s="2116"/>
      <c r="HCN359" s="2116"/>
      <c r="HCO359" s="2116"/>
      <c r="HCP359" s="2116"/>
      <c r="HCQ359" s="2116"/>
      <c r="HCR359" s="2116"/>
      <c r="HCS359" s="2116" t="s">
        <v>1869</v>
      </c>
      <c r="HCT359" s="2116"/>
      <c r="HCU359" s="2116"/>
      <c r="HCV359" s="2116"/>
      <c r="HCW359" s="2116"/>
      <c r="HCX359" s="2116"/>
      <c r="HCY359" s="2116"/>
      <c r="HCZ359" s="2116"/>
      <c r="HDA359" s="2116"/>
      <c r="HDB359" s="2116"/>
      <c r="HDC359" s="2116"/>
      <c r="HDD359" s="2116"/>
      <c r="HDE359" s="2116"/>
      <c r="HDF359" s="2116"/>
      <c r="HDG359" s="2116"/>
      <c r="HDH359" s="2116"/>
      <c r="HDI359" s="2116" t="s">
        <v>1869</v>
      </c>
      <c r="HDJ359" s="2116"/>
      <c r="HDK359" s="2116"/>
      <c r="HDL359" s="2116"/>
      <c r="HDM359" s="2116"/>
      <c r="HDN359" s="2116"/>
      <c r="HDO359" s="2116"/>
      <c r="HDP359" s="2116"/>
      <c r="HDQ359" s="2116"/>
      <c r="HDR359" s="2116"/>
      <c r="HDS359" s="2116"/>
      <c r="HDT359" s="2116"/>
      <c r="HDU359" s="2116"/>
      <c r="HDV359" s="2116"/>
      <c r="HDW359" s="2116"/>
      <c r="HDX359" s="2116"/>
      <c r="HDY359" s="2116" t="s">
        <v>1869</v>
      </c>
      <c r="HDZ359" s="2116"/>
      <c r="HEA359" s="2116"/>
      <c r="HEB359" s="2116"/>
      <c r="HEC359" s="2116"/>
      <c r="HED359" s="2116"/>
      <c r="HEE359" s="2116"/>
      <c r="HEF359" s="2116"/>
      <c r="HEG359" s="2116"/>
      <c r="HEH359" s="2116"/>
      <c r="HEI359" s="2116"/>
      <c r="HEJ359" s="2116"/>
      <c r="HEK359" s="2116"/>
      <c r="HEL359" s="2116"/>
      <c r="HEM359" s="2116"/>
      <c r="HEN359" s="2116"/>
      <c r="HEO359" s="2116" t="s">
        <v>1869</v>
      </c>
      <c r="HEP359" s="2116"/>
      <c r="HEQ359" s="2116"/>
      <c r="HER359" s="2116"/>
      <c r="HES359" s="2116"/>
      <c r="HET359" s="2116"/>
      <c r="HEU359" s="2116"/>
      <c r="HEV359" s="2116"/>
      <c r="HEW359" s="2116"/>
      <c r="HEX359" s="2116"/>
      <c r="HEY359" s="2116"/>
      <c r="HEZ359" s="2116"/>
      <c r="HFA359" s="2116"/>
      <c r="HFB359" s="2116"/>
      <c r="HFC359" s="2116"/>
      <c r="HFD359" s="2116"/>
      <c r="HFE359" s="2116" t="s">
        <v>1869</v>
      </c>
      <c r="HFF359" s="2116"/>
      <c r="HFG359" s="2116"/>
      <c r="HFH359" s="2116"/>
      <c r="HFI359" s="2116"/>
      <c r="HFJ359" s="2116"/>
      <c r="HFK359" s="2116"/>
      <c r="HFL359" s="2116"/>
      <c r="HFM359" s="2116"/>
      <c r="HFN359" s="2116"/>
      <c r="HFO359" s="2116"/>
      <c r="HFP359" s="2116"/>
      <c r="HFQ359" s="2116"/>
      <c r="HFR359" s="2116"/>
      <c r="HFS359" s="2116"/>
      <c r="HFT359" s="2116"/>
      <c r="HFU359" s="2116" t="s">
        <v>1869</v>
      </c>
      <c r="HFV359" s="2116"/>
      <c r="HFW359" s="2116"/>
      <c r="HFX359" s="2116"/>
      <c r="HFY359" s="2116"/>
      <c r="HFZ359" s="2116"/>
      <c r="HGA359" s="2116"/>
      <c r="HGB359" s="2116"/>
      <c r="HGC359" s="2116"/>
      <c r="HGD359" s="2116"/>
      <c r="HGE359" s="2116"/>
      <c r="HGF359" s="2116"/>
      <c r="HGG359" s="2116"/>
      <c r="HGH359" s="2116"/>
      <c r="HGI359" s="2116"/>
      <c r="HGJ359" s="2116"/>
      <c r="HGK359" s="2116" t="s">
        <v>1869</v>
      </c>
      <c r="HGL359" s="2116"/>
      <c r="HGM359" s="2116"/>
      <c r="HGN359" s="2116"/>
      <c r="HGO359" s="2116"/>
      <c r="HGP359" s="2116"/>
      <c r="HGQ359" s="2116"/>
      <c r="HGR359" s="2116"/>
      <c r="HGS359" s="2116"/>
      <c r="HGT359" s="2116"/>
      <c r="HGU359" s="2116"/>
      <c r="HGV359" s="2116"/>
      <c r="HGW359" s="2116"/>
      <c r="HGX359" s="2116"/>
      <c r="HGY359" s="2116"/>
      <c r="HGZ359" s="2116"/>
      <c r="HHA359" s="2116" t="s">
        <v>1869</v>
      </c>
      <c r="HHB359" s="2116"/>
      <c r="HHC359" s="2116"/>
      <c r="HHD359" s="2116"/>
      <c r="HHE359" s="2116"/>
      <c r="HHF359" s="2116"/>
      <c r="HHG359" s="2116"/>
      <c r="HHH359" s="2116"/>
      <c r="HHI359" s="2116"/>
      <c r="HHJ359" s="2116"/>
      <c r="HHK359" s="2116"/>
      <c r="HHL359" s="2116"/>
      <c r="HHM359" s="2116"/>
      <c r="HHN359" s="2116"/>
      <c r="HHO359" s="2116"/>
      <c r="HHP359" s="2116"/>
      <c r="HHQ359" s="2116" t="s">
        <v>1869</v>
      </c>
      <c r="HHR359" s="2116"/>
      <c r="HHS359" s="2116"/>
      <c r="HHT359" s="2116"/>
      <c r="HHU359" s="2116"/>
      <c r="HHV359" s="2116"/>
      <c r="HHW359" s="2116"/>
      <c r="HHX359" s="2116"/>
      <c r="HHY359" s="2116"/>
      <c r="HHZ359" s="2116"/>
      <c r="HIA359" s="2116"/>
      <c r="HIB359" s="2116"/>
      <c r="HIC359" s="2116"/>
      <c r="HID359" s="2116"/>
      <c r="HIE359" s="2116"/>
      <c r="HIF359" s="2116"/>
      <c r="HIG359" s="2116" t="s">
        <v>1869</v>
      </c>
      <c r="HIH359" s="2116"/>
      <c r="HII359" s="2116"/>
      <c r="HIJ359" s="2116"/>
      <c r="HIK359" s="2116"/>
      <c r="HIL359" s="2116"/>
      <c r="HIM359" s="2116"/>
      <c r="HIN359" s="2116"/>
      <c r="HIO359" s="2116"/>
      <c r="HIP359" s="2116"/>
      <c r="HIQ359" s="2116"/>
      <c r="HIR359" s="2116"/>
      <c r="HIS359" s="2116"/>
      <c r="HIT359" s="2116"/>
      <c r="HIU359" s="2116"/>
      <c r="HIV359" s="2116"/>
      <c r="HIW359" s="2116" t="s">
        <v>1869</v>
      </c>
      <c r="HIX359" s="2116"/>
      <c r="HIY359" s="2116"/>
      <c r="HIZ359" s="2116"/>
      <c r="HJA359" s="2116"/>
      <c r="HJB359" s="2116"/>
      <c r="HJC359" s="2116"/>
      <c r="HJD359" s="2116"/>
      <c r="HJE359" s="2116"/>
      <c r="HJF359" s="2116"/>
      <c r="HJG359" s="2116"/>
      <c r="HJH359" s="2116"/>
      <c r="HJI359" s="2116"/>
      <c r="HJJ359" s="2116"/>
      <c r="HJK359" s="2116"/>
      <c r="HJL359" s="2116"/>
      <c r="HJM359" s="2116" t="s">
        <v>1869</v>
      </c>
      <c r="HJN359" s="2116"/>
      <c r="HJO359" s="2116"/>
      <c r="HJP359" s="2116"/>
      <c r="HJQ359" s="2116"/>
      <c r="HJR359" s="2116"/>
      <c r="HJS359" s="2116"/>
      <c r="HJT359" s="2116"/>
      <c r="HJU359" s="2116"/>
      <c r="HJV359" s="2116"/>
      <c r="HJW359" s="2116"/>
      <c r="HJX359" s="2116"/>
      <c r="HJY359" s="2116"/>
      <c r="HJZ359" s="2116"/>
      <c r="HKA359" s="2116"/>
      <c r="HKB359" s="2116"/>
      <c r="HKC359" s="2116" t="s">
        <v>1869</v>
      </c>
      <c r="HKD359" s="2116"/>
      <c r="HKE359" s="2116"/>
      <c r="HKF359" s="2116"/>
      <c r="HKG359" s="2116"/>
      <c r="HKH359" s="2116"/>
      <c r="HKI359" s="2116"/>
      <c r="HKJ359" s="2116"/>
      <c r="HKK359" s="2116"/>
      <c r="HKL359" s="2116"/>
      <c r="HKM359" s="2116"/>
      <c r="HKN359" s="2116"/>
      <c r="HKO359" s="2116"/>
      <c r="HKP359" s="2116"/>
      <c r="HKQ359" s="2116"/>
      <c r="HKR359" s="2116"/>
      <c r="HKS359" s="2116" t="s">
        <v>1869</v>
      </c>
      <c r="HKT359" s="2116"/>
      <c r="HKU359" s="2116"/>
      <c r="HKV359" s="2116"/>
      <c r="HKW359" s="2116"/>
      <c r="HKX359" s="2116"/>
      <c r="HKY359" s="2116"/>
      <c r="HKZ359" s="2116"/>
      <c r="HLA359" s="2116"/>
      <c r="HLB359" s="2116"/>
      <c r="HLC359" s="2116"/>
      <c r="HLD359" s="2116"/>
      <c r="HLE359" s="2116"/>
      <c r="HLF359" s="2116"/>
      <c r="HLG359" s="2116"/>
      <c r="HLH359" s="2116"/>
      <c r="HLI359" s="2116" t="s">
        <v>1869</v>
      </c>
      <c r="HLJ359" s="2116"/>
      <c r="HLK359" s="2116"/>
      <c r="HLL359" s="2116"/>
      <c r="HLM359" s="2116"/>
      <c r="HLN359" s="2116"/>
      <c r="HLO359" s="2116"/>
      <c r="HLP359" s="2116"/>
      <c r="HLQ359" s="2116"/>
      <c r="HLR359" s="2116"/>
      <c r="HLS359" s="2116"/>
      <c r="HLT359" s="2116"/>
      <c r="HLU359" s="2116"/>
      <c r="HLV359" s="2116"/>
      <c r="HLW359" s="2116"/>
      <c r="HLX359" s="2116"/>
      <c r="HLY359" s="2116" t="s">
        <v>1869</v>
      </c>
      <c r="HLZ359" s="2116"/>
      <c r="HMA359" s="2116"/>
      <c r="HMB359" s="2116"/>
      <c r="HMC359" s="2116"/>
      <c r="HMD359" s="2116"/>
      <c r="HME359" s="2116"/>
      <c r="HMF359" s="2116"/>
      <c r="HMG359" s="2116"/>
      <c r="HMH359" s="2116"/>
      <c r="HMI359" s="2116"/>
      <c r="HMJ359" s="2116"/>
      <c r="HMK359" s="2116"/>
      <c r="HML359" s="2116"/>
      <c r="HMM359" s="2116"/>
      <c r="HMN359" s="2116"/>
      <c r="HMO359" s="2116" t="s">
        <v>1869</v>
      </c>
      <c r="HMP359" s="2116"/>
      <c r="HMQ359" s="2116"/>
      <c r="HMR359" s="2116"/>
      <c r="HMS359" s="2116"/>
      <c r="HMT359" s="2116"/>
      <c r="HMU359" s="2116"/>
      <c r="HMV359" s="2116"/>
      <c r="HMW359" s="2116"/>
      <c r="HMX359" s="2116"/>
      <c r="HMY359" s="2116"/>
      <c r="HMZ359" s="2116"/>
      <c r="HNA359" s="2116"/>
      <c r="HNB359" s="2116"/>
      <c r="HNC359" s="2116"/>
      <c r="HND359" s="2116"/>
      <c r="HNE359" s="2116" t="s">
        <v>1869</v>
      </c>
      <c r="HNF359" s="2116"/>
      <c r="HNG359" s="2116"/>
      <c r="HNH359" s="2116"/>
      <c r="HNI359" s="2116"/>
      <c r="HNJ359" s="2116"/>
      <c r="HNK359" s="2116"/>
      <c r="HNL359" s="2116"/>
      <c r="HNM359" s="2116"/>
      <c r="HNN359" s="2116"/>
      <c r="HNO359" s="2116"/>
      <c r="HNP359" s="2116"/>
      <c r="HNQ359" s="2116"/>
      <c r="HNR359" s="2116"/>
      <c r="HNS359" s="2116"/>
      <c r="HNT359" s="2116"/>
      <c r="HNU359" s="2116" t="s">
        <v>1869</v>
      </c>
      <c r="HNV359" s="2116"/>
      <c r="HNW359" s="2116"/>
      <c r="HNX359" s="2116"/>
      <c r="HNY359" s="2116"/>
      <c r="HNZ359" s="2116"/>
      <c r="HOA359" s="2116"/>
      <c r="HOB359" s="2116"/>
      <c r="HOC359" s="2116"/>
      <c r="HOD359" s="2116"/>
      <c r="HOE359" s="2116"/>
      <c r="HOF359" s="2116"/>
      <c r="HOG359" s="2116"/>
      <c r="HOH359" s="2116"/>
      <c r="HOI359" s="2116"/>
      <c r="HOJ359" s="2116"/>
      <c r="HOK359" s="2116" t="s">
        <v>1869</v>
      </c>
      <c r="HOL359" s="2116"/>
      <c r="HOM359" s="2116"/>
      <c r="HON359" s="2116"/>
      <c r="HOO359" s="2116"/>
      <c r="HOP359" s="2116"/>
      <c r="HOQ359" s="2116"/>
      <c r="HOR359" s="2116"/>
      <c r="HOS359" s="2116"/>
      <c r="HOT359" s="2116"/>
      <c r="HOU359" s="2116"/>
      <c r="HOV359" s="2116"/>
      <c r="HOW359" s="2116"/>
      <c r="HOX359" s="2116"/>
      <c r="HOY359" s="2116"/>
      <c r="HOZ359" s="2116"/>
      <c r="HPA359" s="2116" t="s">
        <v>1869</v>
      </c>
      <c r="HPB359" s="2116"/>
      <c r="HPC359" s="2116"/>
      <c r="HPD359" s="2116"/>
      <c r="HPE359" s="2116"/>
      <c r="HPF359" s="2116"/>
      <c r="HPG359" s="2116"/>
      <c r="HPH359" s="2116"/>
      <c r="HPI359" s="2116"/>
      <c r="HPJ359" s="2116"/>
      <c r="HPK359" s="2116"/>
      <c r="HPL359" s="2116"/>
      <c r="HPM359" s="2116"/>
      <c r="HPN359" s="2116"/>
      <c r="HPO359" s="2116"/>
      <c r="HPP359" s="2116"/>
      <c r="HPQ359" s="2116" t="s">
        <v>1869</v>
      </c>
      <c r="HPR359" s="2116"/>
      <c r="HPS359" s="2116"/>
      <c r="HPT359" s="2116"/>
      <c r="HPU359" s="2116"/>
      <c r="HPV359" s="2116"/>
      <c r="HPW359" s="2116"/>
      <c r="HPX359" s="2116"/>
      <c r="HPY359" s="2116"/>
      <c r="HPZ359" s="2116"/>
      <c r="HQA359" s="2116"/>
      <c r="HQB359" s="2116"/>
      <c r="HQC359" s="2116"/>
      <c r="HQD359" s="2116"/>
      <c r="HQE359" s="2116"/>
      <c r="HQF359" s="2116"/>
      <c r="HQG359" s="2116" t="s">
        <v>1869</v>
      </c>
      <c r="HQH359" s="2116"/>
      <c r="HQI359" s="2116"/>
      <c r="HQJ359" s="2116"/>
      <c r="HQK359" s="2116"/>
      <c r="HQL359" s="2116"/>
      <c r="HQM359" s="2116"/>
      <c r="HQN359" s="2116"/>
      <c r="HQO359" s="2116"/>
      <c r="HQP359" s="2116"/>
      <c r="HQQ359" s="2116"/>
      <c r="HQR359" s="2116"/>
      <c r="HQS359" s="2116"/>
      <c r="HQT359" s="2116"/>
      <c r="HQU359" s="2116"/>
      <c r="HQV359" s="2116"/>
      <c r="HQW359" s="2116" t="s">
        <v>1869</v>
      </c>
      <c r="HQX359" s="2116"/>
      <c r="HQY359" s="2116"/>
      <c r="HQZ359" s="2116"/>
      <c r="HRA359" s="2116"/>
      <c r="HRB359" s="2116"/>
      <c r="HRC359" s="2116"/>
      <c r="HRD359" s="2116"/>
      <c r="HRE359" s="2116"/>
      <c r="HRF359" s="2116"/>
      <c r="HRG359" s="2116"/>
      <c r="HRH359" s="2116"/>
      <c r="HRI359" s="2116"/>
      <c r="HRJ359" s="2116"/>
      <c r="HRK359" s="2116"/>
      <c r="HRL359" s="2116"/>
      <c r="HRM359" s="2116" t="s">
        <v>1869</v>
      </c>
      <c r="HRN359" s="2116"/>
      <c r="HRO359" s="2116"/>
      <c r="HRP359" s="2116"/>
      <c r="HRQ359" s="2116"/>
      <c r="HRR359" s="2116"/>
      <c r="HRS359" s="2116"/>
      <c r="HRT359" s="2116"/>
      <c r="HRU359" s="2116"/>
      <c r="HRV359" s="2116"/>
      <c r="HRW359" s="2116"/>
      <c r="HRX359" s="2116"/>
      <c r="HRY359" s="2116"/>
      <c r="HRZ359" s="2116"/>
      <c r="HSA359" s="2116"/>
      <c r="HSB359" s="2116"/>
      <c r="HSC359" s="2116" t="s">
        <v>1869</v>
      </c>
      <c r="HSD359" s="2116"/>
      <c r="HSE359" s="2116"/>
      <c r="HSF359" s="2116"/>
      <c r="HSG359" s="2116"/>
      <c r="HSH359" s="2116"/>
      <c r="HSI359" s="2116"/>
      <c r="HSJ359" s="2116"/>
      <c r="HSK359" s="2116"/>
      <c r="HSL359" s="2116"/>
      <c r="HSM359" s="2116"/>
      <c r="HSN359" s="2116"/>
      <c r="HSO359" s="2116"/>
      <c r="HSP359" s="2116"/>
      <c r="HSQ359" s="2116"/>
      <c r="HSR359" s="2116"/>
      <c r="HSS359" s="2116" t="s">
        <v>1869</v>
      </c>
      <c r="HST359" s="2116"/>
      <c r="HSU359" s="2116"/>
      <c r="HSV359" s="2116"/>
      <c r="HSW359" s="2116"/>
      <c r="HSX359" s="2116"/>
      <c r="HSY359" s="2116"/>
      <c r="HSZ359" s="2116"/>
      <c r="HTA359" s="2116"/>
      <c r="HTB359" s="2116"/>
      <c r="HTC359" s="2116"/>
      <c r="HTD359" s="2116"/>
      <c r="HTE359" s="2116"/>
      <c r="HTF359" s="2116"/>
      <c r="HTG359" s="2116"/>
      <c r="HTH359" s="2116"/>
      <c r="HTI359" s="2116" t="s">
        <v>1869</v>
      </c>
      <c r="HTJ359" s="2116"/>
      <c r="HTK359" s="2116"/>
      <c r="HTL359" s="2116"/>
      <c r="HTM359" s="2116"/>
      <c r="HTN359" s="2116"/>
      <c r="HTO359" s="2116"/>
      <c r="HTP359" s="2116"/>
      <c r="HTQ359" s="2116"/>
      <c r="HTR359" s="2116"/>
      <c r="HTS359" s="2116"/>
      <c r="HTT359" s="2116"/>
      <c r="HTU359" s="2116"/>
      <c r="HTV359" s="2116"/>
      <c r="HTW359" s="2116"/>
      <c r="HTX359" s="2116"/>
      <c r="HTY359" s="2116" t="s">
        <v>1869</v>
      </c>
      <c r="HTZ359" s="2116"/>
      <c r="HUA359" s="2116"/>
      <c r="HUB359" s="2116"/>
      <c r="HUC359" s="2116"/>
      <c r="HUD359" s="2116"/>
      <c r="HUE359" s="2116"/>
      <c r="HUF359" s="2116"/>
      <c r="HUG359" s="2116"/>
      <c r="HUH359" s="2116"/>
      <c r="HUI359" s="2116"/>
      <c r="HUJ359" s="2116"/>
      <c r="HUK359" s="2116"/>
      <c r="HUL359" s="2116"/>
      <c r="HUM359" s="2116"/>
      <c r="HUN359" s="2116"/>
      <c r="HUO359" s="2116" t="s">
        <v>1869</v>
      </c>
      <c r="HUP359" s="2116"/>
      <c r="HUQ359" s="2116"/>
      <c r="HUR359" s="2116"/>
      <c r="HUS359" s="2116"/>
      <c r="HUT359" s="2116"/>
      <c r="HUU359" s="2116"/>
      <c r="HUV359" s="2116"/>
      <c r="HUW359" s="2116"/>
      <c r="HUX359" s="2116"/>
      <c r="HUY359" s="2116"/>
      <c r="HUZ359" s="2116"/>
      <c r="HVA359" s="2116"/>
      <c r="HVB359" s="2116"/>
      <c r="HVC359" s="2116"/>
      <c r="HVD359" s="2116"/>
      <c r="HVE359" s="2116" t="s">
        <v>1869</v>
      </c>
      <c r="HVF359" s="2116"/>
      <c r="HVG359" s="2116"/>
      <c r="HVH359" s="2116"/>
      <c r="HVI359" s="2116"/>
      <c r="HVJ359" s="2116"/>
      <c r="HVK359" s="2116"/>
      <c r="HVL359" s="2116"/>
      <c r="HVM359" s="2116"/>
      <c r="HVN359" s="2116"/>
      <c r="HVO359" s="2116"/>
      <c r="HVP359" s="2116"/>
      <c r="HVQ359" s="2116"/>
      <c r="HVR359" s="2116"/>
      <c r="HVS359" s="2116"/>
      <c r="HVT359" s="2116"/>
      <c r="HVU359" s="2116" t="s">
        <v>1869</v>
      </c>
      <c r="HVV359" s="2116"/>
      <c r="HVW359" s="2116"/>
      <c r="HVX359" s="2116"/>
      <c r="HVY359" s="2116"/>
      <c r="HVZ359" s="2116"/>
      <c r="HWA359" s="2116"/>
      <c r="HWB359" s="2116"/>
      <c r="HWC359" s="2116"/>
      <c r="HWD359" s="2116"/>
      <c r="HWE359" s="2116"/>
      <c r="HWF359" s="2116"/>
      <c r="HWG359" s="2116"/>
      <c r="HWH359" s="2116"/>
      <c r="HWI359" s="2116"/>
      <c r="HWJ359" s="2116"/>
      <c r="HWK359" s="2116" t="s">
        <v>1869</v>
      </c>
      <c r="HWL359" s="2116"/>
      <c r="HWM359" s="2116"/>
      <c r="HWN359" s="2116"/>
      <c r="HWO359" s="2116"/>
      <c r="HWP359" s="2116"/>
      <c r="HWQ359" s="2116"/>
      <c r="HWR359" s="2116"/>
      <c r="HWS359" s="2116"/>
      <c r="HWT359" s="2116"/>
      <c r="HWU359" s="2116"/>
      <c r="HWV359" s="2116"/>
      <c r="HWW359" s="2116"/>
      <c r="HWX359" s="2116"/>
      <c r="HWY359" s="2116"/>
      <c r="HWZ359" s="2116"/>
      <c r="HXA359" s="2116" t="s">
        <v>1869</v>
      </c>
      <c r="HXB359" s="2116"/>
      <c r="HXC359" s="2116"/>
      <c r="HXD359" s="2116"/>
      <c r="HXE359" s="2116"/>
      <c r="HXF359" s="2116"/>
      <c r="HXG359" s="2116"/>
      <c r="HXH359" s="2116"/>
      <c r="HXI359" s="2116"/>
      <c r="HXJ359" s="2116"/>
      <c r="HXK359" s="2116"/>
      <c r="HXL359" s="2116"/>
      <c r="HXM359" s="2116"/>
      <c r="HXN359" s="2116"/>
      <c r="HXO359" s="2116"/>
      <c r="HXP359" s="2116"/>
      <c r="HXQ359" s="2116" t="s">
        <v>1869</v>
      </c>
      <c r="HXR359" s="2116"/>
      <c r="HXS359" s="2116"/>
      <c r="HXT359" s="2116"/>
      <c r="HXU359" s="2116"/>
      <c r="HXV359" s="2116"/>
      <c r="HXW359" s="2116"/>
      <c r="HXX359" s="2116"/>
      <c r="HXY359" s="2116"/>
      <c r="HXZ359" s="2116"/>
      <c r="HYA359" s="2116"/>
      <c r="HYB359" s="2116"/>
      <c r="HYC359" s="2116"/>
      <c r="HYD359" s="2116"/>
      <c r="HYE359" s="2116"/>
      <c r="HYF359" s="2116"/>
      <c r="HYG359" s="2116" t="s">
        <v>1869</v>
      </c>
      <c r="HYH359" s="2116"/>
      <c r="HYI359" s="2116"/>
      <c r="HYJ359" s="2116"/>
      <c r="HYK359" s="2116"/>
      <c r="HYL359" s="2116"/>
      <c r="HYM359" s="2116"/>
      <c r="HYN359" s="2116"/>
      <c r="HYO359" s="2116"/>
      <c r="HYP359" s="2116"/>
      <c r="HYQ359" s="2116"/>
      <c r="HYR359" s="2116"/>
      <c r="HYS359" s="2116"/>
      <c r="HYT359" s="2116"/>
      <c r="HYU359" s="2116"/>
      <c r="HYV359" s="2116"/>
      <c r="HYW359" s="2116" t="s">
        <v>1869</v>
      </c>
      <c r="HYX359" s="2116"/>
      <c r="HYY359" s="2116"/>
      <c r="HYZ359" s="2116"/>
      <c r="HZA359" s="2116"/>
      <c r="HZB359" s="2116"/>
      <c r="HZC359" s="2116"/>
      <c r="HZD359" s="2116"/>
      <c r="HZE359" s="2116"/>
      <c r="HZF359" s="2116"/>
      <c r="HZG359" s="2116"/>
      <c r="HZH359" s="2116"/>
      <c r="HZI359" s="2116"/>
      <c r="HZJ359" s="2116"/>
      <c r="HZK359" s="2116"/>
      <c r="HZL359" s="2116"/>
      <c r="HZM359" s="2116" t="s">
        <v>1869</v>
      </c>
      <c r="HZN359" s="2116"/>
      <c r="HZO359" s="2116"/>
      <c r="HZP359" s="2116"/>
      <c r="HZQ359" s="2116"/>
      <c r="HZR359" s="2116"/>
      <c r="HZS359" s="2116"/>
      <c r="HZT359" s="2116"/>
      <c r="HZU359" s="2116"/>
      <c r="HZV359" s="2116"/>
      <c r="HZW359" s="2116"/>
      <c r="HZX359" s="2116"/>
      <c r="HZY359" s="2116"/>
      <c r="HZZ359" s="2116"/>
      <c r="IAA359" s="2116"/>
      <c r="IAB359" s="2116"/>
      <c r="IAC359" s="2116" t="s">
        <v>1869</v>
      </c>
      <c r="IAD359" s="2116"/>
      <c r="IAE359" s="2116"/>
      <c r="IAF359" s="2116"/>
      <c r="IAG359" s="2116"/>
      <c r="IAH359" s="2116"/>
      <c r="IAI359" s="2116"/>
      <c r="IAJ359" s="2116"/>
      <c r="IAK359" s="2116"/>
      <c r="IAL359" s="2116"/>
      <c r="IAM359" s="2116"/>
      <c r="IAN359" s="2116"/>
      <c r="IAO359" s="2116"/>
      <c r="IAP359" s="2116"/>
      <c r="IAQ359" s="2116"/>
      <c r="IAR359" s="2116"/>
      <c r="IAS359" s="2116" t="s">
        <v>1869</v>
      </c>
      <c r="IAT359" s="2116"/>
      <c r="IAU359" s="2116"/>
      <c r="IAV359" s="2116"/>
      <c r="IAW359" s="2116"/>
      <c r="IAX359" s="2116"/>
      <c r="IAY359" s="2116"/>
      <c r="IAZ359" s="2116"/>
      <c r="IBA359" s="2116"/>
      <c r="IBB359" s="2116"/>
      <c r="IBC359" s="2116"/>
      <c r="IBD359" s="2116"/>
      <c r="IBE359" s="2116"/>
      <c r="IBF359" s="2116"/>
      <c r="IBG359" s="2116"/>
      <c r="IBH359" s="2116"/>
      <c r="IBI359" s="2116" t="s">
        <v>1869</v>
      </c>
      <c r="IBJ359" s="2116"/>
      <c r="IBK359" s="2116"/>
      <c r="IBL359" s="2116"/>
      <c r="IBM359" s="2116"/>
      <c r="IBN359" s="2116"/>
      <c r="IBO359" s="2116"/>
      <c r="IBP359" s="2116"/>
      <c r="IBQ359" s="2116"/>
      <c r="IBR359" s="2116"/>
      <c r="IBS359" s="2116"/>
      <c r="IBT359" s="2116"/>
      <c r="IBU359" s="2116"/>
      <c r="IBV359" s="2116"/>
      <c r="IBW359" s="2116"/>
      <c r="IBX359" s="2116"/>
      <c r="IBY359" s="2116" t="s">
        <v>1869</v>
      </c>
      <c r="IBZ359" s="2116"/>
      <c r="ICA359" s="2116"/>
      <c r="ICB359" s="2116"/>
      <c r="ICC359" s="2116"/>
      <c r="ICD359" s="2116"/>
      <c r="ICE359" s="2116"/>
      <c r="ICF359" s="2116"/>
      <c r="ICG359" s="2116"/>
      <c r="ICH359" s="2116"/>
      <c r="ICI359" s="2116"/>
      <c r="ICJ359" s="2116"/>
      <c r="ICK359" s="2116"/>
      <c r="ICL359" s="2116"/>
      <c r="ICM359" s="2116"/>
      <c r="ICN359" s="2116"/>
      <c r="ICO359" s="2116" t="s">
        <v>1869</v>
      </c>
      <c r="ICP359" s="2116"/>
      <c r="ICQ359" s="2116"/>
      <c r="ICR359" s="2116"/>
      <c r="ICS359" s="2116"/>
      <c r="ICT359" s="2116"/>
      <c r="ICU359" s="2116"/>
      <c r="ICV359" s="2116"/>
      <c r="ICW359" s="2116"/>
      <c r="ICX359" s="2116"/>
      <c r="ICY359" s="2116"/>
      <c r="ICZ359" s="2116"/>
      <c r="IDA359" s="2116"/>
      <c r="IDB359" s="2116"/>
      <c r="IDC359" s="2116"/>
      <c r="IDD359" s="2116"/>
      <c r="IDE359" s="2116" t="s">
        <v>1869</v>
      </c>
      <c r="IDF359" s="2116"/>
      <c r="IDG359" s="2116"/>
      <c r="IDH359" s="2116"/>
      <c r="IDI359" s="2116"/>
      <c r="IDJ359" s="2116"/>
      <c r="IDK359" s="2116"/>
      <c r="IDL359" s="2116"/>
      <c r="IDM359" s="2116"/>
      <c r="IDN359" s="2116"/>
      <c r="IDO359" s="2116"/>
      <c r="IDP359" s="2116"/>
      <c r="IDQ359" s="2116"/>
      <c r="IDR359" s="2116"/>
      <c r="IDS359" s="2116"/>
      <c r="IDT359" s="2116"/>
      <c r="IDU359" s="2116" t="s">
        <v>1869</v>
      </c>
      <c r="IDV359" s="2116"/>
      <c r="IDW359" s="2116"/>
      <c r="IDX359" s="2116"/>
      <c r="IDY359" s="2116"/>
      <c r="IDZ359" s="2116"/>
      <c r="IEA359" s="2116"/>
      <c r="IEB359" s="2116"/>
      <c r="IEC359" s="2116"/>
      <c r="IED359" s="2116"/>
      <c r="IEE359" s="2116"/>
      <c r="IEF359" s="2116"/>
      <c r="IEG359" s="2116"/>
      <c r="IEH359" s="2116"/>
      <c r="IEI359" s="2116"/>
      <c r="IEJ359" s="2116"/>
      <c r="IEK359" s="2116" t="s">
        <v>1869</v>
      </c>
      <c r="IEL359" s="2116"/>
      <c r="IEM359" s="2116"/>
      <c r="IEN359" s="2116"/>
      <c r="IEO359" s="2116"/>
      <c r="IEP359" s="2116"/>
      <c r="IEQ359" s="2116"/>
      <c r="IER359" s="2116"/>
      <c r="IES359" s="2116"/>
      <c r="IET359" s="2116"/>
      <c r="IEU359" s="2116"/>
      <c r="IEV359" s="2116"/>
      <c r="IEW359" s="2116"/>
      <c r="IEX359" s="2116"/>
      <c r="IEY359" s="2116"/>
      <c r="IEZ359" s="2116"/>
      <c r="IFA359" s="2116" t="s">
        <v>1869</v>
      </c>
      <c r="IFB359" s="2116"/>
      <c r="IFC359" s="2116"/>
      <c r="IFD359" s="2116"/>
      <c r="IFE359" s="2116"/>
      <c r="IFF359" s="2116"/>
      <c r="IFG359" s="2116"/>
      <c r="IFH359" s="2116"/>
      <c r="IFI359" s="2116"/>
      <c r="IFJ359" s="2116"/>
      <c r="IFK359" s="2116"/>
      <c r="IFL359" s="2116"/>
      <c r="IFM359" s="2116"/>
      <c r="IFN359" s="2116"/>
      <c r="IFO359" s="2116"/>
      <c r="IFP359" s="2116"/>
      <c r="IFQ359" s="2116" t="s">
        <v>1869</v>
      </c>
      <c r="IFR359" s="2116"/>
      <c r="IFS359" s="2116"/>
      <c r="IFT359" s="2116"/>
      <c r="IFU359" s="2116"/>
      <c r="IFV359" s="2116"/>
      <c r="IFW359" s="2116"/>
      <c r="IFX359" s="2116"/>
      <c r="IFY359" s="2116"/>
      <c r="IFZ359" s="2116"/>
      <c r="IGA359" s="2116"/>
      <c r="IGB359" s="2116"/>
      <c r="IGC359" s="2116"/>
      <c r="IGD359" s="2116"/>
      <c r="IGE359" s="2116"/>
      <c r="IGF359" s="2116"/>
      <c r="IGG359" s="2116" t="s">
        <v>1869</v>
      </c>
      <c r="IGH359" s="2116"/>
      <c r="IGI359" s="2116"/>
      <c r="IGJ359" s="2116"/>
      <c r="IGK359" s="2116"/>
      <c r="IGL359" s="2116"/>
      <c r="IGM359" s="2116"/>
      <c r="IGN359" s="2116"/>
      <c r="IGO359" s="2116"/>
      <c r="IGP359" s="2116"/>
      <c r="IGQ359" s="2116"/>
      <c r="IGR359" s="2116"/>
      <c r="IGS359" s="2116"/>
      <c r="IGT359" s="2116"/>
      <c r="IGU359" s="2116"/>
      <c r="IGV359" s="2116"/>
      <c r="IGW359" s="2116" t="s">
        <v>1869</v>
      </c>
      <c r="IGX359" s="2116"/>
      <c r="IGY359" s="2116"/>
      <c r="IGZ359" s="2116"/>
      <c r="IHA359" s="2116"/>
      <c r="IHB359" s="2116"/>
      <c r="IHC359" s="2116"/>
      <c r="IHD359" s="2116"/>
      <c r="IHE359" s="2116"/>
      <c r="IHF359" s="2116"/>
      <c r="IHG359" s="2116"/>
      <c r="IHH359" s="2116"/>
      <c r="IHI359" s="2116"/>
      <c r="IHJ359" s="2116"/>
      <c r="IHK359" s="2116"/>
      <c r="IHL359" s="2116"/>
      <c r="IHM359" s="2116" t="s">
        <v>1869</v>
      </c>
      <c r="IHN359" s="2116"/>
      <c r="IHO359" s="2116"/>
      <c r="IHP359" s="2116"/>
      <c r="IHQ359" s="2116"/>
      <c r="IHR359" s="2116"/>
      <c r="IHS359" s="2116"/>
      <c r="IHT359" s="2116"/>
      <c r="IHU359" s="2116"/>
      <c r="IHV359" s="2116"/>
      <c r="IHW359" s="2116"/>
      <c r="IHX359" s="2116"/>
      <c r="IHY359" s="2116"/>
      <c r="IHZ359" s="2116"/>
      <c r="IIA359" s="2116"/>
      <c r="IIB359" s="2116"/>
      <c r="IIC359" s="2116" t="s">
        <v>1869</v>
      </c>
      <c r="IID359" s="2116"/>
      <c r="IIE359" s="2116"/>
      <c r="IIF359" s="2116"/>
      <c r="IIG359" s="2116"/>
      <c r="IIH359" s="2116"/>
      <c r="III359" s="2116"/>
      <c r="IIJ359" s="2116"/>
      <c r="IIK359" s="2116"/>
      <c r="IIL359" s="2116"/>
      <c r="IIM359" s="2116"/>
      <c r="IIN359" s="2116"/>
      <c r="IIO359" s="2116"/>
      <c r="IIP359" s="2116"/>
      <c r="IIQ359" s="2116"/>
      <c r="IIR359" s="2116"/>
      <c r="IIS359" s="2116" t="s">
        <v>1869</v>
      </c>
      <c r="IIT359" s="2116"/>
      <c r="IIU359" s="2116"/>
      <c r="IIV359" s="2116"/>
      <c r="IIW359" s="2116"/>
      <c r="IIX359" s="2116"/>
      <c r="IIY359" s="2116"/>
      <c r="IIZ359" s="2116"/>
      <c r="IJA359" s="2116"/>
      <c r="IJB359" s="2116"/>
      <c r="IJC359" s="2116"/>
      <c r="IJD359" s="2116"/>
      <c r="IJE359" s="2116"/>
      <c r="IJF359" s="2116"/>
      <c r="IJG359" s="2116"/>
      <c r="IJH359" s="2116"/>
      <c r="IJI359" s="2116" t="s">
        <v>1869</v>
      </c>
      <c r="IJJ359" s="2116"/>
      <c r="IJK359" s="2116"/>
      <c r="IJL359" s="2116"/>
      <c r="IJM359" s="2116"/>
      <c r="IJN359" s="2116"/>
      <c r="IJO359" s="2116"/>
      <c r="IJP359" s="2116"/>
      <c r="IJQ359" s="2116"/>
      <c r="IJR359" s="2116"/>
      <c r="IJS359" s="2116"/>
      <c r="IJT359" s="2116"/>
      <c r="IJU359" s="2116"/>
      <c r="IJV359" s="2116"/>
      <c r="IJW359" s="2116"/>
      <c r="IJX359" s="2116"/>
      <c r="IJY359" s="2116" t="s">
        <v>1869</v>
      </c>
      <c r="IJZ359" s="2116"/>
      <c r="IKA359" s="2116"/>
      <c r="IKB359" s="2116"/>
      <c r="IKC359" s="2116"/>
      <c r="IKD359" s="2116"/>
      <c r="IKE359" s="2116"/>
      <c r="IKF359" s="2116"/>
      <c r="IKG359" s="2116"/>
      <c r="IKH359" s="2116"/>
      <c r="IKI359" s="2116"/>
      <c r="IKJ359" s="2116"/>
      <c r="IKK359" s="2116"/>
      <c r="IKL359" s="2116"/>
      <c r="IKM359" s="2116"/>
      <c r="IKN359" s="2116"/>
      <c r="IKO359" s="2116" t="s">
        <v>1869</v>
      </c>
      <c r="IKP359" s="2116"/>
      <c r="IKQ359" s="2116"/>
      <c r="IKR359" s="2116"/>
      <c r="IKS359" s="2116"/>
      <c r="IKT359" s="2116"/>
      <c r="IKU359" s="2116"/>
      <c r="IKV359" s="2116"/>
      <c r="IKW359" s="2116"/>
      <c r="IKX359" s="2116"/>
      <c r="IKY359" s="2116"/>
      <c r="IKZ359" s="2116"/>
      <c r="ILA359" s="2116"/>
      <c r="ILB359" s="2116"/>
      <c r="ILC359" s="2116"/>
      <c r="ILD359" s="2116"/>
      <c r="ILE359" s="2116" t="s">
        <v>1869</v>
      </c>
      <c r="ILF359" s="2116"/>
      <c r="ILG359" s="2116"/>
      <c r="ILH359" s="2116"/>
      <c r="ILI359" s="2116"/>
      <c r="ILJ359" s="2116"/>
      <c r="ILK359" s="2116"/>
      <c r="ILL359" s="2116"/>
      <c r="ILM359" s="2116"/>
      <c r="ILN359" s="2116"/>
      <c r="ILO359" s="2116"/>
      <c r="ILP359" s="2116"/>
      <c r="ILQ359" s="2116"/>
      <c r="ILR359" s="2116"/>
      <c r="ILS359" s="2116"/>
      <c r="ILT359" s="2116"/>
      <c r="ILU359" s="2116" t="s">
        <v>1869</v>
      </c>
      <c r="ILV359" s="2116"/>
      <c r="ILW359" s="2116"/>
      <c r="ILX359" s="2116"/>
      <c r="ILY359" s="2116"/>
      <c r="ILZ359" s="2116"/>
      <c r="IMA359" s="2116"/>
      <c r="IMB359" s="2116"/>
      <c r="IMC359" s="2116"/>
      <c r="IMD359" s="2116"/>
      <c r="IME359" s="2116"/>
      <c r="IMF359" s="2116"/>
      <c r="IMG359" s="2116"/>
      <c r="IMH359" s="2116"/>
      <c r="IMI359" s="2116"/>
      <c r="IMJ359" s="2116"/>
      <c r="IMK359" s="2116" t="s">
        <v>1869</v>
      </c>
      <c r="IML359" s="2116"/>
      <c r="IMM359" s="2116"/>
      <c r="IMN359" s="2116"/>
      <c r="IMO359" s="2116"/>
      <c r="IMP359" s="2116"/>
      <c r="IMQ359" s="2116"/>
      <c r="IMR359" s="2116"/>
      <c r="IMS359" s="2116"/>
      <c r="IMT359" s="2116"/>
      <c r="IMU359" s="2116"/>
      <c r="IMV359" s="2116"/>
      <c r="IMW359" s="2116"/>
      <c r="IMX359" s="2116"/>
      <c r="IMY359" s="2116"/>
      <c r="IMZ359" s="2116"/>
      <c r="INA359" s="2116" t="s">
        <v>1869</v>
      </c>
      <c r="INB359" s="2116"/>
      <c r="INC359" s="2116"/>
      <c r="IND359" s="2116"/>
      <c r="INE359" s="2116"/>
      <c r="INF359" s="2116"/>
      <c r="ING359" s="2116"/>
      <c r="INH359" s="2116"/>
      <c r="INI359" s="2116"/>
      <c r="INJ359" s="2116"/>
      <c r="INK359" s="2116"/>
      <c r="INL359" s="2116"/>
      <c r="INM359" s="2116"/>
      <c r="INN359" s="2116"/>
      <c r="INO359" s="2116"/>
      <c r="INP359" s="2116"/>
      <c r="INQ359" s="2116" t="s">
        <v>1869</v>
      </c>
      <c r="INR359" s="2116"/>
      <c r="INS359" s="2116"/>
      <c r="INT359" s="2116"/>
      <c r="INU359" s="2116"/>
      <c r="INV359" s="2116"/>
      <c r="INW359" s="2116"/>
      <c r="INX359" s="2116"/>
      <c r="INY359" s="2116"/>
      <c r="INZ359" s="2116"/>
      <c r="IOA359" s="2116"/>
      <c r="IOB359" s="2116"/>
      <c r="IOC359" s="2116"/>
      <c r="IOD359" s="2116"/>
      <c r="IOE359" s="2116"/>
      <c r="IOF359" s="2116"/>
      <c r="IOG359" s="2116" t="s">
        <v>1869</v>
      </c>
      <c r="IOH359" s="2116"/>
      <c r="IOI359" s="2116"/>
      <c r="IOJ359" s="2116"/>
      <c r="IOK359" s="2116"/>
      <c r="IOL359" s="2116"/>
      <c r="IOM359" s="2116"/>
      <c r="ION359" s="2116"/>
      <c r="IOO359" s="2116"/>
      <c r="IOP359" s="2116"/>
      <c r="IOQ359" s="2116"/>
      <c r="IOR359" s="2116"/>
      <c r="IOS359" s="2116"/>
      <c r="IOT359" s="2116"/>
      <c r="IOU359" s="2116"/>
      <c r="IOV359" s="2116"/>
      <c r="IOW359" s="2116" t="s">
        <v>1869</v>
      </c>
      <c r="IOX359" s="2116"/>
      <c r="IOY359" s="2116"/>
      <c r="IOZ359" s="2116"/>
      <c r="IPA359" s="2116"/>
      <c r="IPB359" s="2116"/>
      <c r="IPC359" s="2116"/>
      <c r="IPD359" s="2116"/>
      <c r="IPE359" s="2116"/>
      <c r="IPF359" s="2116"/>
      <c r="IPG359" s="2116"/>
      <c r="IPH359" s="2116"/>
      <c r="IPI359" s="2116"/>
      <c r="IPJ359" s="2116"/>
      <c r="IPK359" s="2116"/>
      <c r="IPL359" s="2116"/>
      <c r="IPM359" s="2116" t="s">
        <v>1869</v>
      </c>
      <c r="IPN359" s="2116"/>
      <c r="IPO359" s="2116"/>
      <c r="IPP359" s="2116"/>
      <c r="IPQ359" s="2116"/>
      <c r="IPR359" s="2116"/>
      <c r="IPS359" s="2116"/>
      <c r="IPT359" s="2116"/>
      <c r="IPU359" s="2116"/>
      <c r="IPV359" s="2116"/>
      <c r="IPW359" s="2116"/>
      <c r="IPX359" s="2116"/>
      <c r="IPY359" s="2116"/>
      <c r="IPZ359" s="2116"/>
      <c r="IQA359" s="2116"/>
      <c r="IQB359" s="2116"/>
      <c r="IQC359" s="2116" t="s">
        <v>1869</v>
      </c>
      <c r="IQD359" s="2116"/>
      <c r="IQE359" s="2116"/>
      <c r="IQF359" s="2116"/>
      <c r="IQG359" s="2116"/>
      <c r="IQH359" s="2116"/>
      <c r="IQI359" s="2116"/>
      <c r="IQJ359" s="2116"/>
      <c r="IQK359" s="2116"/>
      <c r="IQL359" s="2116"/>
      <c r="IQM359" s="2116"/>
      <c r="IQN359" s="2116"/>
      <c r="IQO359" s="2116"/>
      <c r="IQP359" s="2116"/>
      <c r="IQQ359" s="2116"/>
      <c r="IQR359" s="2116"/>
      <c r="IQS359" s="2116" t="s">
        <v>1869</v>
      </c>
      <c r="IQT359" s="2116"/>
      <c r="IQU359" s="2116"/>
      <c r="IQV359" s="2116"/>
      <c r="IQW359" s="2116"/>
      <c r="IQX359" s="2116"/>
      <c r="IQY359" s="2116"/>
      <c r="IQZ359" s="2116"/>
      <c r="IRA359" s="2116"/>
      <c r="IRB359" s="2116"/>
      <c r="IRC359" s="2116"/>
      <c r="IRD359" s="2116"/>
      <c r="IRE359" s="2116"/>
      <c r="IRF359" s="2116"/>
      <c r="IRG359" s="2116"/>
      <c r="IRH359" s="2116"/>
      <c r="IRI359" s="2116" t="s">
        <v>1869</v>
      </c>
      <c r="IRJ359" s="2116"/>
      <c r="IRK359" s="2116"/>
      <c r="IRL359" s="2116"/>
      <c r="IRM359" s="2116"/>
      <c r="IRN359" s="2116"/>
      <c r="IRO359" s="2116"/>
      <c r="IRP359" s="2116"/>
      <c r="IRQ359" s="2116"/>
      <c r="IRR359" s="2116"/>
      <c r="IRS359" s="2116"/>
      <c r="IRT359" s="2116"/>
      <c r="IRU359" s="2116"/>
      <c r="IRV359" s="2116"/>
      <c r="IRW359" s="2116"/>
      <c r="IRX359" s="2116"/>
      <c r="IRY359" s="2116" t="s">
        <v>1869</v>
      </c>
      <c r="IRZ359" s="2116"/>
      <c r="ISA359" s="2116"/>
      <c r="ISB359" s="2116"/>
      <c r="ISC359" s="2116"/>
      <c r="ISD359" s="2116"/>
      <c r="ISE359" s="2116"/>
      <c r="ISF359" s="2116"/>
      <c r="ISG359" s="2116"/>
      <c r="ISH359" s="2116"/>
      <c r="ISI359" s="2116"/>
      <c r="ISJ359" s="2116"/>
      <c r="ISK359" s="2116"/>
      <c r="ISL359" s="2116"/>
      <c r="ISM359" s="2116"/>
      <c r="ISN359" s="2116"/>
      <c r="ISO359" s="2116" t="s">
        <v>1869</v>
      </c>
      <c r="ISP359" s="2116"/>
      <c r="ISQ359" s="2116"/>
      <c r="ISR359" s="2116"/>
      <c r="ISS359" s="2116"/>
      <c r="IST359" s="2116"/>
      <c r="ISU359" s="2116"/>
      <c r="ISV359" s="2116"/>
      <c r="ISW359" s="2116"/>
      <c r="ISX359" s="2116"/>
      <c r="ISY359" s="2116"/>
      <c r="ISZ359" s="2116"/>
      <c r="ITA359" s="2116"/>
      <c r="ITB359" s="2116"/>
      <c r="ITC359" s="2116"/>
      <c r="ITD359" s="2116"/>
      <c r="ITE359" s="2116" t="s">
        <v>1869</v>
      </c>
      <c r="ITF359" s="2116"/>
      <c r="ITG359" s="2116"/>
      <c r="ITH359" s="2116"/>
      <c r="ITI359" s="2116"/>
      <c r="ITJ359" s="2116"/>
      <c r="ITK359" s="2116"/>
      <c r="ITL359" s="2116"/>
      <c r="ITM359" s="2116"/>
      <c r="ITN359" s="2116"/>
      <c r="ITO359" s="2116"/>
      <c r="ITP359" s="2116"/>
      <c r="ITQ359" s="2116"/>
      <c r="ITR359" s="2116"/>
      <c r="ITS359" s="2116"/>
      <c r="ITT359" s="2116"/>
      <c r="ITU359" s="2116" t="s">
        <v>1869</v>
      </c>
      <c r="ITV359" s="2116"/>
      <c r="ITW359" s="2116"/>
      <c r="ITX359" s="2116"/>
      <c r="ITY359" s="2116"/>
      <c r="ITZ359" s="2116"/>
      <c r="IUA359" s="2116"/>
      <c r="IUB359" s="2116"/>
      <c r="IUC359" s="2116"/>
      <c r="IUD359" s="2116"/>
      <c r="IUE359" s="2116"/>
      <c r="IUF359" s="2116"/>
      <c r="IUG359" s="2116"/>
      <c r="IUH359" s="2116"/>
      <c r="IUI359" s="2116"/>
      <c r="IUJ359" s="2116"/>
      <c r="IUK359" s="2116" t="s">
        <v>1869</v>
      </c>
      <c r="IUL359" s="2116"/>
      <c r="IUM359" s="2116"/>
      <c r="IUN359" s="2116"/>
      <c r="IUO359" s="2116"/>
      <c r="IUP359" s="2116"/>
      <c r="IUQ359" s="2116"/>
      <c r="IUR359" s="2116"/>
      <c r="IUS359" s="2116"/>
      <c r="IUT359" s="2116"/>
      <c r="IUU359" s="2116"/>
      <c r="IUV359" s="2116"/>
      <c r="IUW359" s="2116"/>
      <c r="IUX359" s="2116"/>
      <c r="IUY359" s="2116"/>
      <c r="IUZ359" s="2116"/>
      <c r="IVA359" s="2116" t="s">
        <v>1869</v>
      </c>
      <c r="IVB359" s="2116"/>
      <c r="IVC359" s="2116"/>
      <c r="IVD359" s="2116"/>
      <c r="IVE359" s="2116"/>
      <c r="IVF359" s="2116"/>
      <c r="IVG359" s="2116"/>
      <c r="IVH359" s="2116"/>
      <c r="IVI359" s="2116"/>
      <c r="IVJ359" s="2116"/>
      <c r="IVK359" s="2116"/>
      <c r="IVL359" s="2116"/>
      <c r="IVM359" s="2116"/>
      <c r="IVN359" s="2116"/>
      <c r="IVO359" s="2116"/>
      <c r="IVP359" s="2116"/>
      <c r="IVQ359" s="2116" t="s">
        <v>1869</v>
      </c>
      <c r="IVR359" s="2116"/>
      <c r="IVS359" s="2116"/>
      <c r="IVT359" s="2116"/>
      <c r="IVU359" s="2116"/>
      <c r="IVV359" s="2116"/>
      <c r="IVW359" s="2116"/>
      <c r="IVX359" s="2116"/>
      <c r="IVY359" s="2116"/>
      <c r="IVZ359" s="2116"/>
      <c r="IWA359" s="2116"/>
      <c r="IWB359" s="2116"/>
      <c r="IWC359" s="2116"/>
      <c r="IWD359" s="2116"/>
      <c r="IWE359" s="2116"/>
      <c r="IWF359" s="2116"/>
      <c r="IWG359" s="2116" t="s">
        <v>1869</v>
      </c>
      <c r="IWH359" s="2116"/>
      <c r="IWI359" s="2116"/>
      <c r="IWJ359" s="2116"/>
      <c r="IWK359" s="2116"/>
      <c r="IWL359" s="2116"/>
      <c r="IWM359" s="2116"/>
      <c r="IWN359" s="2116"/>
      <c r="IWO359" s="2116"/>
      <c r="IWP359" s="2116"/>
      <c r="IWQ359" s="2116"/>
      <c r="IWR359" s="2116"/>
      <c r="IWS359" s="2116"/>
      <c r="IWT359" s="2116"/>
      <c r="IWU359" s="2116"/>
      <c r="IWV359" s="2116"/>
      <c r="IWW359" s="2116" t="s">
        <v>1869</v>
      </c>
      <c r="IWX359" s="2116"/>
      <c r="IWY359" s="2116"/>
      <c r="IWZ359" s="2116"/>
      <c r="IXA359" s="2116"/>
      <c r="IXB359" s="2116"/>
      <c r="IXC359" s="2116"/>
      <c r="IXD359" s="2116"/>
      <c r="IXE359" s="2116"/>
      <c r="IXF359" s="2116"/>
      <c r="IXG359" s="2116"/>
      <c r="IXH359" s="2116"/>
      <c r="IXI359" s="2116"/>
      <c r="IXJ359" s="2116"/>
      <c r="IXK359" s="2116"/>
      <c r="IXL359" s="2116"/>
      <c r="IXM359" s="2116" t="s">
        <v>1869</v>
      </c>
      <c r="IXN359" s="2116"/>
      <c r="IXO359" s="2116"/>
      <c r="IXP359" s="2116"/>
      <c r="IXQ359" s="2116"/>
      <c r="IXR359" s="2116"/>
      <c r="IXS359" s="2116"/>
      <c r="IXT359" s="2116"/>
      <c r="IXU359" s="2116"/>
      <c r="IXV359" s="2116"/>
      <c r="IXW359" s="2116"/>
      <c r="IXX359" s="2116"/>
      <c r="IXY359" s="2116"/>
      <c r="IXZ359" s="2116"/>
      <c r="IYA359" s="2116"/>
      <c r="IYB359" s="2116"/>
      <c r="IYC359" s="2116" t="s">
        <v>1869</v>
      </c>
      <c r="IYD359" s="2116"/>
      <c r="IYE359" s="2116"/>
      <c r="IYF359" s="2116"/>
      <c r="IYG359" s="2116"/>
      <c r="IYH359" s="2116"/>
      <c r="IYI359" s="2116"/>
      <c r="IYJ359" s="2116"/>
      <c r="IYK359" s="2116"/>
      <c r="IYL359" s="2116"/>
      <c r="IYM359" s="2116"/>
      <c r="IYN359" s="2116"/>
      <c r="IYO359" s="2116"/>
      <c r="IYP359" s="2116"/>
      <c r="IYQ359" s="2116"/>
      <c r="IYR359" s="2116"/>
      <c r="IYS359" s="2116" t="s">
        <v>1869</v>
      </c>
      <c r="IYT359" s="2116"/>
      <c r="IYU359" s="2116"/>
      <c r="IYV359" s="2116"/>
      <c r="IYW359" s="2116"/>
      <c r="IYX359" s="2116"/>
      <c r="IYY359" s="2116"/>
      <c r="IYZ359" s="2116"/>
      <c r="IZA359" s="2116"/>
      <c r="IZB359" s="2116"/>
      <c r="IZC359" s="2116"/>
      <c r="IZD359" s="2116"/>
      <c r="IZE359" s="2116"/>
      <c r="IZF359" s="2116"/>
      <c r="IZG359" s="2116"/>
      <c r="IZH359" s="2116"/>
      <c r="IZI359" s="2116" t="s">
        <v>1869</v>
      </c>
      <c r="IZJ359" s="2116"/>
      <c r="IZK359" s="2116"/>
      <c r="IZL359" s="2116"/>
      <c r="IZM359" s="2116"/>
      <c r="IZN359" s="2116"/>
      <c r="IZO359" s="2116"/>
      <c r="IZP359" s="2116"/>
      <c r="IZQ359" s="2116"/>
      <c r="IZR359" s="2116"/>
      <c r="IZS359" s="2116"/>
      <c r="IZT359" s="2116"/>
      <c r="IZU359" s="2116"/>
      <c r="IZV359" s="2116"/>
      <c r="IZW359" s="2116"/>
      <c r="IZX359" s="2116"/>
      <c r="IZY359" s="2116" t="s">
        <v>1869</v>
      </c>
      <c r="IZZ359" s="2116"/>
      <c r="JAA359" s="2116"/>
      <c r="JAB359" s="2116"/>
      <c r="JAC359" s="2116"/>
      <c r="JAD359" s="2116"/>
      <c r="JAE359" s="2116"/>
      <c r="JAF359" s="2116"/>
      <c r="JAG359" s="2116"/>
      <c r="JAH359" s="2116"/>
      <c r="JAI359" s="2116"/>
      <c r="JAJ359" s="2116"/>
      <c r="JAK359" s="2116"/>
      <c r="JAL359" s="2116"/>
      <c r="JAM359" s="2116"/>
      <c r="JAN359" s="2116"/>
      <c r="JAO359" s="2116" t="s">
        <v>1869</v>
      </c>
      <c r="JAP359" s="2116"/>
      <c r="JAQ359" s="2116"/>
      <c r="JAR359" s="2116"/>
      <c r="JAS359" s="2116"/>
      <c r="JAT359" s="2116"/>
      <c r="JAU359" s="2116"/>
      <c r="JAV359" s="2116"/>
      <c r="JAW359" s="2116"/>
      <c r="JAX359" s="2116"/>
      <c r="JAY359" s="2116"/>
      <c r="JAZ359" s="2116"/>
      <c r="JBA359" s="2116"/>
      <c r="JBB359" s="2116"/>
      <c r="JBC359" s="2116"/>
      <c r="JBD359" s="2116"/>
      <c r="JBE359" s="2116" t="s">
        <v>1869</v>
      </c>
      <c r="JBF359" s="2116"/>
      <c r="JBG359" s="2116"/>
      <c r="JBH359" s="2116"/>
      <c r="JBI359" s="2116"/>
      <c r="JBJ359" s="2116"/>
      <c r="JBK359" s="2116"/>
      <c r="JBL359" s="2116"/>
      <c r="JBM359" s="2116"/>
      <c r="JBN359" s="2116"/>
      <c r="JBO359" s="2116"/>
      <c r="JBP359" s="2116"/>
      <c r="JBQ359" s="2116"/>
      <c r="JBR359" s="2116"/>
      <c r="JBS359" s="2116"/>
      <c r="JBT359" s="2116"/>
      <c r="JBU359" s="2116" t="s">
        <v>1869</v>
      </c>
      <c r="JBV359" s="2116"/>
      <c r="JBW359" s="2116"/>
      <c r="JBX359" s="2116"/>
      <c r="JBY359" s="2116"/>
      <c r="JBZ359" s="2116"/>
      <c r="JCA359" s="2116"/>
      <c r="JCB359" s="2116"/>
      <c r="JCC359" s="2116"/>
      <c r="JCD359" s="2116"/>
      <c r="JCE359" s="2116"/>
      <c r="JCF359" s="2116"/>
      <c r="JCG359" s="2116"/>
      <c r="JCH359" s="2116"/>
      <c r="JCI359" s="2116"/>
      <c r="JCJ359" s="2116"/>
      <c r="JCK359" s="2116" t="s">
        <v>1869</v>
      </c>
      <c r="JCL359" s="2116"/>
      <c r="JCM359" s="2116"/>
      <c r="JCN359" s="2116"/>
      <c r="JCO359" s="2116"/>
      <c r="JCP359" s="2116"/>
      <c r="JCQ359" s="2116"/>
      <c r="JCR359" s="2116"/>
      <c r="JCS359" s="2116"/>
      <c r="JCT359" s="2116"/>
      <c r="JCU359" s="2116"/>
      <c r="JCV359" s="2116"/>
      <c r="JCW359" s="2116"/>
      <c r="JCX359" s="2116"/>
      <c r="JCY359" s="2116"/>
      <c r="JCZ359" s="2116"/>
      <c r="JDA359" s="2116" t="s">
        <v>1869</v>
      </c>
      <c r="JDB359" s="2116"/>
      <c r="JDC359" s="2116"/>
      <c r="JDD359" s="2116"/>
      <c r="JDE359" s="2116"/>
      <c r="JDF359" s="2116"/>
      <c r="JDG359" s="2116"/>
      <c r="JDH359" s="2116"/>
      <c r="JDI359" s="2116"/>
      <c r="JDJ359" s="2116"/>
      <c r="JDK359" s="2116"/>
      <c r="JDL359" s="2116"/>
      <c r="JDM359" s="2116"/>
      <c r="JDN359" s="2116"/>
      <c r="JDO359" s="2116"/>
      <c r="JDP359" s="2116"/>
      <c r="JDQ359" s="2116" t="s">
        <v>1869</v>
      </c>
      <c r="JDR359" s="2116"/>
      <c r="JDS359" s="2116"/>
      <c r="JDT359" s="2116"/>
      <c r="JDU359" s="2116"/>
      <c r="JDV359" s="2116"/>
      <c r="JDW359" s="2116"/>
      <c r="JDX359" s="2116"/>
      <c r="JDY359" s="2116"/>
      <c r="JDZ359" s="2116"/>
      <c r="JEA359" s="2116"/>
      <c r="JEB359" s="2116"/>
      <c r="JEC359" s="2116"/>
      <c r="JED359" s="2116"/>
      <c r="JEE359" s="2116"/>
      <c r="JEF359" s="2116"/>
      <c r="JEG359" s="2116" t="s">
        <v>1869</v>
      </c>
      <c r="JEH359" s="2116"/>
      <c r="JEI359" s="2116"/>
      <c r="JEJ359" s="2116"/>
      <c r="JEK359" s="2116"/>
      <c r="JEL359" s="2116"/>
      <c r="JEM359" s="2116"/>
      <c r="JEN359" s="2116"/>
      <c r="JEO359" s="2116"/>
      <c r="JEP359" s="2116"/>
      <c r="JEQ359" s="2116"/>
      <c r="JER359" s="2116"/>
      <c r="JES359" s="2116"/>
      <c r="JET359" s="2116"/>
      <c r="JEU359" s="2116"/>
      <c r="JEV359" s="2116"/>
      <c r="JEW359" s="2116" t="s">
        <v>1869</v>
      </c>
      <c r="JEX359" s="2116"/>
      <c r="JEY359" s="2116"/>
      <c r="JEZ359" s="2116"/>
      <c r="JFA359" s="2116"/>
      <c r="JFB359" s="2116"/>
      <c r="JFC359" s="2116"/>
      <c r="JFD359" s="2116"/>
      <c r="JFE359" s="2116"/>
      <c r="JFF359" s="2116"/>
      <c r="JFG359" s="2116"/>
      <c r="JFH359" s="2116"/>
      <c r="JFI359" s="2116"/>
      <c r="JFJ359" s="2116"/>
      <c r="JFK359" s="2116"/>
      <c r="JFL359" s="2116"/>
      <c r="JFM359" s="2116" t="s">
        <v>1869</v>
      </c>
      <c r="JFN359" s="2116"/>
      <c r="JFO359" s="2116"/>
      <c r="JFP359" s="2116"/>
      <c r="JFQ359" s="2116"/>
      <c r="JFR359" s="2116"/>
      <c r="JFS359" s="2116"/>
      <c r="JFT359" s="2116"/>
      <c r="JFU359" s="2116"/>
      <c r="JFV359" s="2116"/>
      <c r="JFW359" s="2116"/>
      <c r="JFX359" s="2116"/>
      <c r="JFY359" s="2116"/>
      <c r="JFZ359" s="2116"/>
      <c r="JGA359" s="2116"/>
      <c r="JGB359" s="2116"/>
      <c r="JGC359" s="2116" t="s">
        <v>1869</v>
      </c>
      <c r="JGD359" s="2116"/>
      <c r="JGE359" s="2116"/>
      <c r="JGF359" s="2116"/>
      <c r="JGG359" s="2116"/>
      <c r="JGH359" s="2116"/>
      <c r="JGI359" s="2116"/>
      <c r="JGJ359" s="2116"/>
      <c r="JGK359" s="2116"/>
      <c r="JGL359" s="2116"/>
      <c r="JGM359" s="2116"/>
      <c r="JGN359" s="2116"/>
      <c r="JGO359" s="2116"/>
      <c r="JGP359" s="2116"/>
      <c r="JGQ359" s="2116"/>
      <c r="JGR359" s="2116"/>
      <c r="JGS359" s="2116" t="s">
        <v>1869</v>
      </c>
      <c r="JGT359" s="2116"/>
      <c r="JGU359" s="2116"/>
      <c r="JGV359" s="2116"/>
      <c r="JGW359" s="2116"/>
      <c r="JGX359" s="2116"/>
      <c r="JGY359" s="2116"/>
      <c r="JGZ359" s="2116"/>
      <c r="JHA359" s="2116"/>
      <c r="JHB359" s="2116"/>
      <c r="JHC359" s="2116"/>
      <c r="JHD359" s="2116"/>
      <c r="JHE359" s="2116"/>
      <c r="JHF359" s="2116"/>
      <c r="JHG359" s="2116"/>
      <c r="JHH359" s="2116"/>
      <c r="JHI359" s="2116" t="s">
        <v>1869</v>
      </c>
      <c r="JHJ359" s="2116"/>
      <c r="JHK359" s="2116"/>
      <c r="JHL359" s="2116"/>
      <c r="JHM359" s="2116"/>
      <c r="JHN359" s="2116"/>
      <c r="JHO359" s="2116"/>
      <c r="JHP359" s="2116"/>
      <c r="JHQ359" s="2116"/>
      <c r="JHR359" s="2116"/>
      <c r="JHS359" s="2116"/>
      <c r="JHT359" s="2116"/>
      <c r="JHU359" s="2116"/>
      <c r="JHV359" s="2116"/>
      <c r="JHW359" s="2116"/>
      <c r="JHX359" s="2116"/>
      <c r="JHY359" s="2116" t="s">
        <v>1869</v>
      </c>
      <c r="JHZ359" s="2116"/>
      <c r="JIA359" s="2116"/>
      <c r="JIB359" s="2116"/>
      <c r="JIC359" s="2116"/>
      <c r="JID359" s="2116"/>
      <c r="JIE359" s="2116"/>
      <c r="JIF359" s="2116"/>
      <c r="JIG359" s="2116"/>
      <c r="JIH359" s="2116"/>
      <c r="JII359" s="2116"/>
      <c r="JIJ359" s="2116"/>
      <c r="JIK359" s="2116"/>
      <c r="JIL359" s="2116"/>
      <c r="JIM359" s="2116"/>
      <c r="JIN359" s="2116"/>
      <c r="JIO359" s="2116" t="s">
        <v>1869</v>
      </c>
      <c r="JIP359" s="2116"/>
      <c r="JIQ359" s="2116"/>
      <c r="JIR359" s="2116"/>
      <c r="JIS359" s="2116"/>
      <c r="JIT359" s="2116"/>
      <c r="JIU359" s="2116"/>
      <c r="JIV359" s="2116"/>
      <c r="JIW359" s="2116"/>
      <c r="JIX359" s="2116"/>
      <c r="JIY359" s="2116"/>
      <c r="JIZ359" s="2116"/>
      <c r="JJA359" s="2116"/>
      <c r="JJB359" s="2116"/>
      <c r="JJC359" s="2116"/>
      <c r="JJD359" s="2116"/>
      <c r="JJE359" s="2116" t="s">
        <v>1869</v>
      </c>
      <c r="JJF359" s="2116"/>
      <c r="JJG359" s="2116"/>
      <c r="JJH359" s="2116"/>
      <c r="JJI359" s="2116"/>
      <c r="JJJ359" s="2116"/>
      <c r="JJK359" s="2116"/>
      <c r="JJL359" s="2116"/>
      <c r="JJM359" s="2116"/>
      <c r="JJN359" s="2116"/>
      <c r="JJO359" s="2116"/>
      <c r="JJP359" s="2116"/>
      <c r="JJQ359" s="2116"/>
      <c r="JJR359" s="2116"/>
      <c r="JJS359" s="2116"/>
      <c r="JJT359" s="2116"/>
      <c r="JJU359" s="2116" t="s">
        <v>1869</v>
      </c>
      <c r="JJV359" s="2116"/>
      <c r="JJW359" s="2116"/>
      <c r="JJX359" s="2116"/>
      <c r="JJY359" s="2116"/>
      <c r="JJZ359" s="2116"/>
      <c r="JKA359" s="2116"/>
      <c r="JKB359" s="2116"/>
      <c r="JKC359" s="2116"/>
      <c r="JKD359" s="2116"/>
      <c r="JKE359" s="2116"/>
      <c r="JKF359" s="2116"/>
      <c r="JKG359" s="2116"/>
      <c r="JKH359" s="2116"/>
      <c r="JKI359" s="2116"/>
      <c r="JKJ359" s="2116"/>
      <c r="JKK359" s="2116" t="s">
        <v>1869</v>
      </c>
      <c r="JKL359" s="2116"/>
      <c r="JKM359" s="2116"/>
      <c r="JKN359" s="2116"/>
      <c r="JKO359" s="2116"/>
      <c r="JKP359" s="2116"/>
      <c r="JKQ359" s="2116"/>
      <c r="JKR359" s="2116"/>
      <c r="JKS359" s="2116"/>
      <c r="JKT359" s="2116"/>
      <c r="JKU359" s="2116"/>
      <c r="JKV359" s="2116"/>
      <c r="JKW359" s="2116"/>
      <c r="JKX359" s="2116"/>
      <c r="JKY359" s="2116"/>
      <c r="JKZ359" s="2116"/>
      <c r="JLA359" s="2116" t="s">
        <v>1869</v>
      </c>
      <c r="JLB359" s="2116"/>
      <c r="JLC359" s="2116"/>
      <c r="JLD359" s="2116"/>
      <c r="JLE359" s="2116"/>
      <c r="JLF359" s="2116"/>
      <c r="JLG359" s="2116"/>
      <c r="JLH359" s="2116"/>
      <c r="JLI359" s="2116"/>
      <c r="JLJ359" s="2116"/>
      <c r="JLK359" s="2116"/>
      <c r="JLL359" s="2116"/>
      <c r="JLM359" s="2116"/>
      <c r="JLN359" s="2116"/>
      <c r="JLO359" s="2116"/>
      <c r="JLP359" s="2116"/>
      <c r="JLQ359" s="2116" t="s">
        <v>1869</v>
      </c>
      <c r="JLR359" s="2116"/>
      <c r="JLS359" s="2116"/>
      <c r="JLT359" s="2116"/>
      <c r="JLU359" s="2116"/>
      <c r="JLV359" s="2116"/>
      <c r="JLW359" s="2116"/>
      <c r="JLX359" s="2116"/>
      <c r="JLY359" s="2116"/>
      <c r="JLZ359" s="2116"/>
      <c r="JMA359" s="2116"/>
      <c r="JMB359" s="2116"/>
      <c r="JMC359" s="2116"/>
      <c r="JMD359" s="2116"/>
      <c r="JME359" s="2116"/>
      <c r="JMF359" s="2116"/>
      <c r="JMG359" s="2116" t="s">
        <v>1869</v>
      </c>
      <c r="JMH359" s="2116"/>
      <c r="JMI359" s="2116"/>
      <c r="JMJ359" s="2116"/>
      <c r="JMK359" s="2116"/>
      <c r="JML359" s="2116"/>
      <c r="JMM359" s="2116"/>
      <c r="JMN359" s="2116"/>
      <c r="JMO359" s="2116"/>
      <c r="JMP359" s="2116"/>
      <c r="JMQ359" s="2116"/>
      <c r="JMR359" s="2116"/>
      <c r="JMS359" s="2116"/>
      <c r="JMT359" s="2116"/>
      <c r="JMU359" s="2116"/>
      <c r="JMV359" s="2116"/>
      <c r="JMW359" s="2116" t="s">
        <v>1869</v>
      </c>
      <c r="JMX359" s="2116"/>
      <c r="JMY359" s="2116"/>
      <c r="JMZ359" s="2116"/>
      <c r="JNA359" s="2116"/>
      <c r="JNB359" s="2116"/>
      <c r="JNC359" s="2116"/>
      <c r="JND359" s="2116"/>
      <c r="JNE359" s="2116"/>
      <c r="JNF359" s="2116"/>
      <c r="JNG359" s="2116"/>
      <c r="JNH359" s="2116"/>
      <c r="JNI359" s="2116"/>
      <c r="JNJ359" s="2116"/>
      <c r="JNK359" s="2116"/>
      <c r="JNL359" s="2116"/>
      <c r="JNM359" s="2116" t="s">
        <v>1869</v>
      </c>
      <c r="JNN359" s="2116"/>
      <c r="JNO359" s="2116"/>
      <c r="JNP359" s="2116"/>
      <c r="JNQ359" s="2116"/>
      <c r="JNR359" s="2116"/>
      <c r="JNS359" s="2116"/>
      <c r="JNT359" s="2116"/>
      <c r="JNU359" s="2116"/>
      <c r="JNV359" s="2116"/>
      <c r="JNW359" s="2116"/>
      <c r="JNX359" s="2116"/>
      <c r="JNY359" s="2116"/>
      <c r="JNZ359" s="2116"/>
      <c r="JOA359" s="2116"/>
      <c r="JOB359" s="2116"/>
      <c r="JOC359" s="2116" t="s">
        <v>1869</v>
      </c>
      <c r="JOD359" s="2116"/>
      <c r="JOE359" s="2116"/>
      <c r="JOF359" s="2116"/>
      <c r="JOG359" s="2116"/>
      <c r="JOH359" s="2116"/>
      <c r="JOI359" s="2116"/>
      <c r="JOJ359" s="2116"/>
      <c r="JOK359" s="2116"/>
      <c r="JOL359" s="2116"/>
      <c r="JOM359" s="2116"/>
      <c r="JON359" s="2116"/>
      <c r="JOO359" s="2116"/>
      <c r="JOP359" s="2116"/>
      <c r="JOQ359" s="2116"/>
      <c r="JOR359" s="2116"/>
      <c r="JOS359" s="2116" t="s">
        <v>1869</v>
      </c>
      <c r="JOT359" s="2116"/>
      <c r="JOU359" s="2116"/>
      <c r="JOV359" s="2116"/>
      <c r="JOW359" s="2116"/>
      <c r="JOX359" s="2116"/>
      <c r="JOY359" s="2116"/>
      <c r="JOZ359" s="2116"/>
      <c r="JPA359" s="2116"/>
      <c r="JPB359" s="2116"/>
      <c r="JPC359" s="2116"/>
      <c r="JPD359" s="2116"/>
      <c r="JPE359" s="2116"/>
      <c r="JPF359" s="2116"/>
      <c r="JPG359" s="2116"/>
      <c r="JPH359" s="2116"/>
      <c r="JPI359" s="2116" t="s">
        <v>1869</v>
      </c>
      <c r="JPJ359" s="2116"/>
      <c r="JPK359" s="2116"/>
      <c r="JPL359" s="2116"/>
      <c r="JPM359" s="2116"/>
      <c r="JPN359" s="2116"/>
      <c r="JPO359" s="2116"/>
      <c r="JPP359" s="2116"/>
      <c r="JPQ359" s="2116"/>
      <c r="JPR359" s="2116"/>
      <c r="JPS359" s="2116"/>
      <c r="JPT359" s="2116"/>
      <c r="JPU359" s="2116"/>
      <c r="JPV359" s="2116"/>
      <c r="JPW359" s="2116"/>
      <c r="JPX359" s="2116"/>
      <c r="JPY359" s="2116" t="s">
        <v>1869</v>
      </c>
      <c r="JPZ359" s="2116"/>
      <c r="JQA359" s="2116"/>
      <c r="JQB359" s="2116"/>
      <c r="JQC359" s="2116"/>
      <c r="JQD359" s="2116"/>
      <c r="JQE359" s="2116"/>
      <c r="JQF359" s="2116"/>
      <c r="JQG359" s="2116"/>
      <c r="JQH359" s="2116"/>
      <c r="JQI359" s="2116"/>
      <c r="JQJ359" s="2116"/>
      <c r="JQK359" s="2116"/>
      <c r="JQL359" s="2116"/>
      <c r="JQM359" s="2116"/>
      <c r="JQN359" s="2116"/>
      <c r="JQO359" s="2116" t="s">
        <v>1869</v>
      </c>
      <c r="JQP359" s="2116"/>
      <c r="JQQ359" s="2116"/>
      <c r="JQR359" s="2116"/>
      <c r="JQS359" s="2116"/>
      <c r="JQT359" s="2116"/>
      <c r="JQU359" s="2116"/>
      <c r="JQV359" s="2116"/>
      <c r="JQW359" s="2116"/>
      <c r="JQX359" s="2116"/>
      <c r="JQY359" s="2116"/>
      <c r="JQZ359" s="2116"/>
      <c r="JRA359" s="2116"/>
      <c r="JRB359" s="2116"/>
      <c r="JRC359" s="2116"/>
      <c r="JRD359" s="2116"/>
      <c r="JRE359" s="2116" t="s">
        <v>1869</v>
      </c>
      <c r="JRF359" s="2116"/>
      <c r="JRG359" s="2116"/>
      <c r="JRH359" s="2116"/>
      <c r="JRI359" s="2116"/>
      <c r="JRJ359" s="2116"/>
      <c r="JRK359" s="2116"/>
      <c r="JRL359" s="2116"/>
      <c r="JRM359" s="2116"/>
      <c r="JRN359" s="2116"/>
      <c r="JRO359" s="2116"/>
      <c r="JRP359" s="2116"/>
      <c r="JRQ359" s="2116"/>
      <c r="JRR359" s="2116"/>
      <c r="JRS359" s="2116"/>
      <c r="JRT359" s="2116"/>
      <c r="JRU359" s="2116" t="s">
        <v>1869</v>
      </c>
      <c r="JRV359" s="2116"/>
      <c r="JRW359" s="2116"/>
      <c r="JRX359" s="2116"/>
      <c r="JRY359" s="2116"/>
      <c r="JRZ359" s="2116"/>
      <c r="JSA359" s="2116"/>
      <c r="JSB359" s="2116"/>
      <c r="JSC359" s="2116"/>
      <c r="JSD359" s="2116"/>
      <c r="JSE359" s="2116"/>
      <c r="JSF359" s="2116"/>
      <c r="JSG359" s="2116"/>
      <c r="JSH359" s="2116"/>
      <c r="JSI359" s="2116"/>
      <c r="JSJ359" s="2116"/>
      <c r="JSK359" s="2116" t="s">
        <v>1869</v>
      </c>
      <c r="JSL359" s="2116"/>
      <c r="JSM359" s="2116"/>
      <c r="JSN359" s="2116"/>
      <c r="JSO359" s="2116"/>
      <c r="JSP359" s="2116"/>
      <c r="JSQ359" s="2116"/>
      <c r="JSR359" s="2116"/>
      <c r="JSS359" s="2116"/>
      <c r="JST359" s="2116"/>
      <c r="JSU359" s="2116"/>
      <c r="JSV359" s="2116"/>
      <c r="JSW359" s="2116"/>
      <c r="JSX359" s="2116"/>
      <c r="JSY359" s="2116"/>
      <c r="JSZ359" s="2116"/>
      <c r="JTA359" s="2116" t="s">
        <v>1869</v>
      </c>
      <c r="JTB359" s="2116"/>
      <c r="JTC359" s="2116"/>
      <c r="JTD359" s="2116"/>
      <c r="JTE359" s="2116"/>
      <c r="JTF359" s="2116"/>
      <c r="JTG359" s="2116"/>
      <c r="JTH359" s="2116"/>
      <c r="JTI359" s="2116"/>
      <c r="JTJ359" s="2116"/>
      <c r="JTK359" s="2116"/>
      <c r="JTL359" s="2116"/>
      <c r="JTM359" s="2116"/>
      <c r="JTN359" s="2116"/>
      <c r="JTO359" s="2116"/>
      <c r="JTP359" s="2116"/>
      <c r="JTQ359" s="2116" t="s">
        <v>1869</v>
      </c>
      <c r="JTR359" s="2116"/>
      <c r="JTS359" s="2116"/>
      <c r="JTT359" s="2116"/>
      <c r="JTU359" s="2116"/>
      <c r="JTV359" s="2116"/>
      <c r="JTW359" s="2116"/>
      <c r="JTX359" s="2116"/>
      <c r="JTY359" s="2116"/>
      <c r="JTZ359" s="2116"/>
      <c r="JUA359" s="2116"/>
      <c r="JUB359" s="2116"/>
      <c r="JUC359" s="2116"/>
      <c r="JUD359" s="2116"/>
      <c r="JUE359" s="2116"/>
      <c r="JUF359" s="2116"/>
      <c r="JUG359" s="2116" t="s">
        <v>1869</v>
      </c>
      <c r="JUH359" s="2116"/>
      <c r="JUI359" s="2116"/>
      <c r="JUJ359" s="2116"/>
      <c r="JUK359" s="2116"/>
      <c r="JUL359" s="2116"/>
      <c r="JUM359" s="2116"/>
      <c r="JUN359" s="2116"/>
      <c r="JUO359" s="2116"/>
      <c r="JUP359" s="2116"/>
      <c r="JUQ359" s="2116"/>
      <c r="JUR359" s="2116"/>
      <c r="JUS359" s="2116"/>
      <c r="JUT359" s="2116"/>
      <c r="JUU359" s="2116"/>
      <c r="JUV359" s="2116"/>
      <c r="JUW359" s="2116" t="s">
        <v>1869</v>
      </c>
      <c r="JUX359" s="2116"/>
      <c r="JUY359" s="2116"/>
      <c r="JUZ359" s="2116"/>
      <c r="JVA359" s="2116"/>
      <c r="JVB359" s="2116"/>
      <c r="JVC359" s="2116"/>
      <c r="JVD359" s="2116"/>
      <c r="JVE359" s="2116"/>
      <c r="JVF359" s="2116"/>
      <c r="JVG359" s="2116"/>
      <c r="JVH359" s="2116"/>
      <c r="JVI359" s="2116"/>
      <c r="JVJ359" s="2116"/>
      <c r="JVK359" s="2116"/>
      <c r="JVL359" s="2116"/>
      <c r="JVM359" s="2116" t="s">
        <v>1869</v>
      </c>
      <c r="JVN359" s="2116"/>
      <c r="JVO359" s="2116"/>
      <c r="JVP359" s="2116"/>
      <c r="JVQ359" s="2116"/>
      <c r="JVR359" s="2116"/>
      <c r="JVS359" s="2116"/>
      <c r="JVT359" s="2116"/>
      <c r="JVU359" s="2116"/>
      <c r="JVV359" s="2116"/>
      <c r="JVW359" s="2116"/>
      <c r="JVX359" s="2116"/>
      <c r="JVY359" s="2116"/>
      <c r="JVZ359" s="2116"/>
      <c r="JWA359" s="2116"/>
      <c r="JWB359" s="2116"/>
      <c r="JWC359" s="2116" t="s">
        <v>1869</v>
      </c>
      <c r="JWD359" s="2116"/>
      <c r="JWE359" s="2116"/>
      <c r="JWF359" s="2116"/>
      <c r="JWG359" s="2116"/>
      <c r="JWH359" s="2116"/>
      <c r="JWI359" s="2116"/>
      <c r="JWJ359" s="2116"/>
      <c r="JWK359" s="2116"/>
      <c r="JWL359" s="2116"/>
      <c r="JWM359" s="2116"/>
      <c r="JWN359" s="2116"/>
      <c r="JWO359" s="2116"/>
      <c r="JWP359" s="2116"/>
      <c r="JWQ359" s="2116"/>
      <c r="JWR359" s="2116"/>
      <c r="JWS359" s="2116" t="s">
        <v>1869</v>
      </c>
      <c r="JWT359" s="2116"/>
      <c r="JWU359" s="2116"/>
      <c r="JWV359" s="2116"/>
      <c r="JWW359" s="2116"/>
      <c r="JWX359" s="2116"/>
      <c r="JWY359" s="2116"/>
      <c r="JWZ359" s="2116"/>
      <c r="JXA359" s="2116"/>
      <c r="JXB359" s="2116"/>
      <c r="JXC359" s="2116"/>
      <c r="JXD359" s="2116"/>
      <c r="JXE359" s="2116"/>
      <c r="JXF359" s="2116"/>
      <c r="JXG359" s="2116"/>
      <c r="JXH359" s="2116"/>
      <c r="JXI359" s="2116" t="s">
        <v>1869</v>
      </c>
      <c r="JXJ359" s="2116"/>
      <c r="JXK359" s="2116"/>
      <c r="JXL359" s="2116"/>
      <c r="JXM359" s="2116"/>
      <c r="JXN359" s="2116"/>
      <c r="JXO359" s="2116"/>
      <c r="JXP359" s="2116"/>
      <c r="JXQ359" s="2116"/>
      <c r="JXR359" s="2116"/>
      <c r="JXS359" s="2116"/>
      <c r="JXT359" s="2116"/>
      <c r="JXU359" s="2116"/>
      <c r="JXV359" s="2116"/>
      <c r="JXW359" s="2116"/>
      <c r="JXX359" s="2116"/>
      <c r="JXY359" s="2116" t="s">
        <v>1869</v>
      </c>
      <c r="JXZ359" s="2116"/>
      <c r="JYA359" s="2116"/>
      <c r="JYB359" s="2116"/>
      <c r="JYC359" s="2116"/>
      <c r="JYD359" s="2116"/>
      <c r="JYE359" s="2116"/>
      <c r="JYF359" s="2116"/>
      <c r="JYG359" s="2116"/>
      <c r="JYH359" s="2116"/>
      <c r="JYI359" s="2116"/>
      <c r="JYJ359" s="2116"/>
      <c r="JYK359" s="2116"/>
      <c r="JYL359" s="2116"/>
      <c r="JYM359" s="2116"/>
      <c r="JYN359" s="2116"/>
      <c r="JYO359" s="2116" t="s">
        <v>1869</v>
      </c>
      <c r="JYP359" s="2116"/>
      <c r="JYQ359" s="2116"/>
      <c r="JYR359" s="2116"/>
      <c r="JYS359" s="2116"/>
      <c r="JYT359" s="2116"/>
      <c r="JYU359" s="2116"/>
      <c r="JYV359" s="2116"/>
      <c r="JYW359" s="2116"/>
      <c r="JYX359" s="2116"/>
      <c r="JYY359" s="2116"/>
      <c r="JYZ359" s="2116"/>
      <c r="JZA359" s="2116"/>
      <c r="JZB359" s="2116"/>
      <c r="JZC359" s="2116"/>
      <c r="JZD359" s="2116"/>
      <c r="JZE359" s="2116" t="s">
        <v>1869</v>
      </c>
      <c r="JZF359" s="2116"/>
      <c r="JZG359" s="2116"/>
      <c r="JZH359" s="2116"/>
      <c r="JZI359" s="2116"/>
      <c r="JZJ359" s="2116"/>
      <c r="JZK359" s="2116"/>
      <c r="JZL359" s="2116"/>
      <c r="JZM359" s="2116"/>
      <c r="JZN359" s="2116"/>
      <c r="JZO359" s="2116"/>
      <c r="JZP359" s="2116"/>
      <c r="JZQ359" s="2116"/>
      <c r="JZR359" s="2116"/>
      <c r="JZS359" s="2116"/>
      <c r="JZT359" s="2116"/>
      <c r="JZU359" s="2116" t="s">
        <v>1869</v>
      </c>
      <c r="JZV359" s="2116"/>
      <c r="JZW359" s="2116"/>
      <c r="JZX359" s="2116"/>
      <c r="JZY359" s="2116"/>
      <c r="JZZ359" s="2116"/>
      <c r="KAA359" s="2116"/>
      <c r="KAB359" s="2116"/>
      <c r="KAC359" s="2116"/>
      <c r="KAD359" s="2116"/>
      <c r="KAE359" s="2116"/>
      <c r="KAF359" s="2116"/>
      <c r="KAG359" s="2116"/>
      <c r="KAH359" s="2116"/>
      <c r="KAI359" s="2116"/>
      <c r="KAJ359" s="2116"/>
      <c r="KAK359" s="2116" t="s">
        <v>1869</v>
      </c>
      <c r="KAL359" s="2116"/>
      <c r="KAM359" s="2116"/>
      <c r="KAN359" s="2116"/>
      <c r="KAO359" s="2116"/>
      <c r="KAP359" s="2116"/>
      <c r="KAQ359" s="2116"/>
      <c r="KAR359" s="2116"/>
      <c r="KAS359" s="2116"/>
      <c r="KAT359" s="2116"/>
      <c r="KAU359" s="2116"/>
      <c r="KAV359" s="2116"/>
      <c r="KAW359" s="2116"/>
      <c r="KAX359" s="2116"/>
      <c r="KAY359" s="2116"/>
      <c r="KAZ359" s="2116"/>
      <c r="KBA359" s="2116" t="s">
        <v>1869</v>
      </c>
      <c r="KBB359" s="2116"/>
      <c r="KBC359" s="2116"/>
      <c r="KBD359" s="2116"/>
      <c r="KBE359" s="2116"/>
      <c r="KBF359" s="2116"/>
      <c r="KBG359" s="2116"/>
      <c r="KBH359" s="2116"/>
      <c r="KBI359" s="2116"/>
      <c r="KBJ359" s="2116"/>
      <c r="KBK359" s="2116"/>
      <c r="KBL359" s="2116"/>
      <c r="KBM359" s="2116"/>
      <c r="KBN359" s="2116"/>
      <c r="KBO359" s="2116"/>
      <c r="KBP359" s="2116"/>
      <c r="KBQ359" s="2116" t="s">
        <v>1869</v>
      </c>
      <c r="KBR359" s="2116"/>
      <c r="KBS359" s="2116"/>
      <c r="KBT359" s="2116"/>
      <c r="KBU359" s="2116"/>
      <c r="KBV359" s="2116"/>
      <c r="KBW359" s="2116"/>
      <c r="KBX359" s="2116"/>
      <c r="KBY359" s="2116"/>
      <c r="KBZ359" s="2116"/>
      <c r="KCA359" s="2116"/>
      <c r="KCB359" s="2116"/>
      <c r="KCC359" s="2116"/>
      <c r="KCD359" s="2116"/>
      <c r="KCE359" s="2116"/>
      <c r="KCF359" s="2116"/>
      <c r="KCG359" s="2116" t="s">
        <v>1869</v>
      </c>
      <c r="KCH359" s="2116"/>
      <c r="KCI359" s="2116"/>
      <c r="KCJ359" s="2116"/>
      <c r="KCK359" s="2116"/>
      <c r="KCL359" s="2116"/>
      <c r="KCM359" s="2116"/>
      <c r="KCN359" s="2116"/>
      <c r="KCO359" s="2116"/>
      <c r="KCP359" s="2116"/>
      <c r="KCQ359" s="2116"/>
      <c r="KCR359" s="2116"/>
      <c r="KCS359" s="2116"/>
      <c r="KCT359" s="2116"/>
      <c r="KCU359" s="2116"/>
      <c r="KCV359" s="2116"/>
      <c r="KCW359" s="2116" t="s">
        <v>1869</v>
      </c>
      <c r="KCX359" s="2116"/>
      <c r="KCY359" s="2116"/>
      <c r="KCZ359" s="2116"/>
      <c r="KDA359" s="2116"/>
      <c r="KDB359" s="2116"/>
      <c r="KDC359" s="2116"/>
      <c r="KDD359" s="2116"/>
      <c r="KDE359" s="2116"/>
      <c r="KDF359" s="2116"/>
      <c r="KDG359" s="2116"/>
      <c r="KDH359" s="2116"/>
      <c r="KDI359" s="2116"/>
      <c r="KDJ359" s="2116"/>
      <c r="KDK359" s="2116"/>
      <c r="KDL359" s="2116"/>
      <c r="KDM359" s="2116" t="s">
        <v>1869</v>
      </c>
      <c r="KDN359" s="2116"/>
      <c r="KDO359" s="2116"/>
      <c r="KDP359" s="2116"/>
      <c r="KDQ359" s="2116"/>
      <c r="KDR359" s="2116"/>
      <c r="KDS359" s="2116"/>
      <c r="KDT359" s="2116"/>
      <c r="KDU359" s="2116"/>
      <c r="KDV359" s="2116"/>
      <c r="KDW359" s="2116"/>
      <c r="KDX359" s="2116"/>
      <c r="KDY359" s="2116"/>
      <c r="KDZ359" s="2116"/>
      <c r="KEA359" s="2116"/>
      <c r="KEB359" s="2116"/>
      <c r="KEC359" s="2116" t="s">
        <v>1869</v>
      </c>
      <c r="KED359" s="2116"/>
      <c r="KEE359" s="2116"/>
      <c r="KEF359" s="2116"/>
      <c r="KEG359" s="2116"/>
      <c r="KEH359" s="2116"/>
      <c r="KEI359" s="2116"/>
      <c r="KEJ359" s="2116"/>
      <c r="KEK359" s="2116"/>
      <c r="KEL359" s="2116"/>
      <c r="KEM359" s="2116"/>
      <c r="KEN359" s="2116"/>
      <c r="KEO359" s="2116"/>
      <c r="KEP359" s="2116"/>
      <c r="KEQ359" s="2116"/>
      <c r="KER359" s="2116"/>
      <c r="KES359" s="2116" t="s">
        <v>1869</v>
      </c>
      <c r="KET359" s="2116"/>
      <c r="KEU359" s="2116"/>
      <c r="KEV359" s="2116"/>
      <c r="KEW359" s="2116"/>
      <c r="KEX359" s="2116"/>
      <c r="KEY359" s="2116"/>
      <c r="KEZ359" s="2116"/>
      <c r="KFA359" s="2116"/>
      <c r="KFB359" s="2116"/>
      <c r="KFC359" s="2116"/>
      <c r="KFD359" s="2116"/>
      <c r="KFE359" s="2116"/>
      <c r="KFF359" s="2116"/>
      <c r="KFG359" s="2116"/>
      <c r="KFH359" s="2116"/>
      <c r="KFI359" s="2116" t="s">
        <v>1869</v>
      </c>
      <c r="KFJ359" s="2116"/>
      <c r="KFK359" s="2116"/>
      <c r="KFL359" s="2116"/>
      <c r="KFM359" s="2116"/>
      <c r="KFN359" s="2116"/>
      <c r="KFO359" s="2116"/>
      <c r="KFP359" s="2116"/>
      <c r="KFQ359" s="2116"/>
      <c r="KFR359" s="2116"/>
      <c r="KFS359" s="2116"/>
      <c r="KFT359" s="2116"/>
      <c r="KFU359" s="2116"/>
      <c r="KFV359" s="2116"/>
      <c r="KFW359" s="2116"/>
      <c r="KFX359" s="2116"/>
      <c r="KFY359" s="2116" t="s">
        <v>1869</v>
      </c>
      <c r="KFZ359" s="2116"/>
      <c r="KGA359" s="2116"/>
      <c r="KGB359" s="2116"/>
      <c r="KGC359" s="2116"/>
      <c r="KGD359" s="2116"/>
      <c r="KGE359" s="2116"/>
      <c r="KGF359" s="2116"/>
      <c r="KGG359" s="2116"/>
      <c r="KGH359" s="2116"/>
      <c r="KGI359" s="2116"/>
      <c r="KGJ359" s="2116"/>
      <c r="KGK359" s="2116"/>
      <c r="KGL359" s="2116"/>
      <c r="KGM359" s="2116"/>
      <c r="KGN359" s="2116"/>
      <c r="KGO359" s="2116" t="s">
        <v>1869</v>
      </c>
      <c r="KGP359" s="2116"/>
      <c r="KGQ359" s="2116"/>
      <c r="KGR359" s="2116"/>
      <c r="KGS359" s="2116"/>
      <c r="KGT359" s="2116"/>
      <c r="KGU359" s="2116"/>
      <c r="KGV359" s="2116"/>
      <c r="KGW359" s="2116"/>
      <c r="KGX359" s="2116"/>
      <c r="KGY359" s="2116"/>
      <c r="KGZ359" s="2116"/>
      <c r="KHA359" s="2116"/>
      <c r="KHB359" s="2116"/>
      <c r="KHC359" s="2116"/>
      <c r="KHD359" s="2116"/>
      <c r="KHE359" s="2116" t="s">
        <v>1869</v>
      </c>
      <c r="KHF359" s="2116"/>
      <c r="KHG359" s="2116"/>
      <c r="KHH359" s="2116"/>
      <c r="KHI359" s="2116"/>
      <c r="KHJ359" s="2116"/>
      <c r="KHK359" s="2116"/>
      <c r="KHL359" s="2116"/>
      <c r="KHM359" s="2116"/>
      <c r="KHN359" s="2116"/>
      <c r="KHO359" s="2116"/>
      <c r="KHP359" s="2116"/>
      <c r="KHQ359" s="2116"/>
      <c r="KHR359" s="2116"/>
      <c r="KHS359" s="2116"/>
      <c r="KHT359" s="2116"/>
      <c r="KHU359" s="2116" t="s">
        <v>1869</v>
      </c>
      <c r="KHV359" s="2116"/>
      <c r="KHW359" s="2116"/>
      <c r="KHX359" s="2116"/>
      <c r="KHY359" s="2116"/>
      <c r="KHZ359" s="2116"/>
      <c r="KIA359" s="2116"/>
      <c r="KIB359" s="2116"/>
      <c r="KIC359" s="2116"/>
      <c r="KID359" s="2116"/>
      <c r="KIE359" s="2116"/>
      <c r="KIF359" s="2116"/>
      <c r="KIG359" s="2116"/>
      <c r="KIH359" s="2116"/>
      <c r="KII359" s="2116"/>
      <c r="KIJ359" s="2116"/>
      <c r="KIK359" s="2116" t="s">
        <v>1869</v>
      </c>
      <c r="KIL359" s="2116"/>
      <c r="KIM359" s="2116"/>
      <c r="KIN359" s="2116"/>
      <c r="KIO359" s="2116"/>
      <c r="KIP359" s="2116"/>
      <c r="KIQ359" s="2116"/>
      <c r="KIR359" s="2116"/>
      <c r="KIS359" s="2116"/>
      <c r="KIT359" s="2116"/>
      <c r="KIU359" s="2116"/>
      <c r="KIV359" s="2116"/>
      <c r="KIW359" s="2116"/>
      <c r="KIX359" s="2116"/>
      <c r="KIY359" s="2116"/>
      <c r="KIZ359" s="2116"/>
      <c r="KJA359" s="2116" t="s">
        <v>1869</v>
      </c>
      <c r="KJB359" s="2116"/>
      <c r="KJC359" s="2116"/>
      <c r="KJD359" s="2116"/>
      <c r="KJE359" s="2116"/>
      <c r="KJF359" s="2116"/>
      <c r="KJG359" s="2116"/>
      <c r="KJH359" s="2116"/>
      <c r="KJI359" s="2116"/>
      <c r="KJJ359" s="2116"/>
      <c r="KJK359" s="2116"/>
      <c r="KJL359" s="2116"/>
      <c r="KJM359" s="2116"/>
      <c r="KJN359" s="2116"/>
      <c r="KJO359" s="2116"/>
      <c r="KJP359" s="2116"/>
      <c r="KJQ359" s="2116" t="s">
        <v>1869</v>
      </c>
      <c r="KJR359" s="2116"/>
      <c r="KJS359" s="2116"/>
      <c r="KJT359" s="2116"/>
      <c r="KJU359" s="2116"/>
      <c r="KJV359" s="2116"/>
      <c r="KJW359" s="2116"/>
      <c r="KJX359" s="2116"/>
      <c r="KJY359" s="2116"/>
      <c r="KJZ359" s="2116"/>
      <c r="KKA359" s="2116"/>
      <c r="KKB359" s="2116"/>
      <c r="KKC359" s="2116"/>
      <c r="KKD359" s="2116"/>
      <c r="KKE359" s="2116"/>
      <c r="KKF359" s="2116"/>
      <c r="KKG359" s="2116" t="s">
        <v>1869</v>
      </c>
      <c r="KKH359" s="2116"/>
      <c r="KKI359" s="2116"/>
      <c r="KKJ359" s="2116"/>
      <c r="KKK359" s="2116"/>
      <c r="KKL359" s="2116"/>
      <c r="KKM359" s="2116"/>
      <c r="KKN359" s="2116"/>
      <c r="KKO359" s="2116"/>
      <c r="KKP359" s="2116"/>
      <c r="KKQ359" s="2116"/>
      <c r="KKR359" s="2116"/>
      <c r="KKS359" s="2116"/>
      <c r="KKT359" s="2116"/>
      <c r="KKU359" s="2116"/>
      <c r="KKV359" s="2116"/>
      <c r="KKW359" s="2116" t="s">
        <v>1869</v>
      </c>
      <c r="KKX359" s="2116"/>
      <c r="KKY359" s="2116"/>
      <c r="KKZ359" s="2116"/>
      <c r="KLA359" s="2116"/>
      <c r="KLB359" s="2116"/>
      <c r="KLC359" s="2116"/>
      <c r="KLD359" s="2116"/>
      <c r="KLE359" s="2116"/>
      <c r="KLF359" s="2116"/>
      <c r="KLG359" s="2116"/>
      <c r="KLH359" s="2116"/>
      <c r="KLI359" s="2116"/>
      <c r="KLJ359" s="2116"/>
      <c r="KLK359" s="2116"/>
      <c r="KLL359" s="2116"/>
      <c r="KLM359" s="2116" t="s">
        <v>1869</v>
      </c>
      <c r="KLN359" s="2116"/>
      <c r="KLO359" s="2116"/>
      <c r="KLP359" s="2116"/>
      <c r="KLQ359" s="2116"/>
      <c r="KLR359" s="2116"/>
      <c r="KLS359" s="2116"/>
      <c r="KLT359" s="2116"/>
      <c r="KLU359" s="2116"/>
      <c r="KLV359" s="2116"/>
      <c r="KLW359" s="2116"/>
      <c r="KLX359" s="2116"/>
      <c r="KLY359" s="2116"/>
      <c r="KLZ359" s="2116"/>
      <c r="KMA359" s="2116"/>
      <c r="KMB359" s="2116"/>
      <c r="KMC359" s="2116" t="s">
        <v>1869</v>
      </c>
      <c r="KMD359" s="2116"/>
      <c r="KME359" s="2116"/>
      <c r="KMF359" s="2116"/>
      <c r="KMG359" s="2116"/>
      <c r="KMH359" s="2116"/>
      <c r="KMI359" s="2116"/>
      <c r="KMJ359" s="2116"/>
      <c r="KMK359" s="2116"/>
      <c r="KML359" s="2116"/>
      <c r="KMM359" s="2116"/>
      <c r="KMN359" s="2116"/>
      <c r="KMO359" s="2116"/>
      <c r="KMP359" s="2116"/>
      <c r="KMQ359" s="2116"/>
      <c r="KMR359" s="2116"/>
      <c r="KMS359" s="2116" t="s">
        <v>1869</v>
      </c>
      <c r="KMT359" s="2116"/>
      <c r="KMU359" s="2116"/>
      <c r="KMV359" s="2116"/>
      <c r="KMW359" s="2116"/>
      <c r="KMX359" s="2116"/>
      <c r="KMY359" s="2116"/>
      <c r="KMZ359" s="2116"/>
      <c r="KNA359" s="2116"/>
      <c r="KNB359" s="2116"/>
      <c r="KNC359" s="2116"/>
      <c r="KND359" s="2116"/>
      <c r="KNE359" s="2116"/>
      <c r="KNF359" s="2116"/>
      <c r="KNG359" s="2116"/>
      <c r="KNH359" s="2116"/>
      <c r="KNI359" s="2116" t="s">
        <v>1869</v>
      </c>
      <c r="KNJ359" s="2116"/>
      <c r="KNK359" s="2116"/>
      <c r="KNL359" s="2116"/>
      <c r="KNM359" s="2116"/>
      <c r="KNN359" s="2116"/>
      <c r="KNO359" s="2116"/>
      <c r="KNP359" s="2116"/>
      <c r="KNQ359" s="2116"/>
      <c r="KNR359" s="2116"/>
      <c r="KNS359" s="2116"/>
      <c r="KNT359" s="2116"/>
      <c r="KNU359" s="2116"/>
      <c r="KNV359" s="2116"/>
      <c r="KNW359" s="2116"/>
      <c r="KNX359" s="2116"/>
      <c r="KNY359" s="2116" t="s">
        <v>1869</v>
      </c>
      <c r="KNZ359" s="2116"/>
      <c r="KOA359" s="2116"/>
      <c r="KOB359" s="2116"/>
      <c r="KOC359" s="2116"/>
      <c r="KOD359" s="2116"/>
      <c r="KOE359" s="2116"/>
      <c r="KOF359" s="2116"/>
      <c r="KOG359" s="2116"/>
      <c r="KOH359" s="2116"/>
      <c r="KOI359" s="2116"/>
      <c r="KOJ359" s="2116"/>
      <c r="KOK359" s="2116"/>
      <c r="KOL359" s="2116"/>
      <c r="KOM359" s="2116"/>
      <c r="KON359" s="2116"/>
      <c r="KOO359" s="2116" t="s">
        <v>1869</v>
      </c>
      <c r="KOP359" s="2116"/>
      <c r="KOQ359" s="2116"/>
      <c r="KOR359" s="2116"/>
      <c r="KOS359" s="2116"/>
      <c r="KOT359" s="2116"/>
      <c r="KOU359" s="2116"/>
      <c r="KOV359" s="2116"/>
      <c r="KOW359" s="2116"/>
      <c r="KOX359" s="2116"/>
      <c r="KOY359" s="2116"/>
      <c r="KOZ359" s="2116"/>
      <c r="KPA359" s="2116"/>
      <c r="KPB359" s="2116"/>
      <c r="KPC359" s="2116"/>
      <c r="KPD359" s="2116"/>
      <c r="KPE359" s="2116" t="s">
        <v>1869</v>
      </c>
      <c r="KPF359" s="2116"/>
      <c r="KPG359" s="2116"/>
      <c r="KPH359" s="2116"/>
      <c r="KPI359" s="2116"/>
      <c r="KPJ359" s="2116"/>
      <c r="KPK359" s="2116"/>
      <c r="KPL359" s="2116"/>
      <c r="KPM359" s="2116"/>
      <c r="KPN359" s="2116"/>
      <c r="KPO359" s="2116"/>
      <c r="KPP359" s="2116"/>
      <c r="KPQ359" s="2116"/>
      <c r="KPR359" s="2116"/>
      <c r="KPS359" s="2116"/>
      <c r="KPT359" s="2116"/>
      <c r="KPU359" s="2116" t="s">
        <v>1869</v>
      </c>
      <c r="KPV359" s="2116"/>
      <c r="KPW359" s="2116"/>
      <c r="KPX359" s="2116"/>
      <c r="KPY359" s="2116"/>
      <c r="KPZ359" s="2116"/>
      <c r="KQA359" s="2116"/>
      <c r="KQB359" s="2116"/>
      <c r="KQC359" s="2116"/>
      <c r="KQD359" s="2116"/>
      <c r="KQE359" s="2116"/>
      <c r="KQF359" s="2116"/>
      <c r="KQG359" s="2116"/>
      <c r="KQH359" s="2116"/>
      <c r="KQI359" s="2116"/>
      <c r="KQJ359" s="2116"/>
      <c r="KQK359" s="2116" t="s">
        <v>1869</v>
      </c>
      <c r="KQL359" s="2116"/>
      <c r="KQM359" s="2116"/>
      <c r="KQN359" s="2116"/>
      <c r="KQO359" s="2116"/>
      <c r="KQP359" s="2116"/>
      <c r="KQQ359" s="2116"/>
      <c r="KQR359" s="2116"/>
      <c r="KQS359" s="2116"/>
      <c r="KQT359" s="2116"/>
      <c r="KQU359" s="2116"/>
      <c r="KQV359" s="2116"/>
      <c r="KQW359" s="2116"/>
      <c r="KQX359" s="2116"/>
      <c r="KQY359" s="2116"/>
      <c r="KQZ359" s="2116"/>
      <c r="KRA359" s="2116" t="s">
        <v>1869</v>
      </c>
      <c r="KRB359" s="2116"/>
      <c r="KRC359" s="2116"/>
      <c r="KRD359" s="2116"/>
      <c r="KRE359" s="2116"/>
      <c r="KRF359" s="2116"/>
      <c r="KRG359" s="2116"/>
      <c r="KRH359" s="2116"/>
      <c r="KRI359" s="2116"/>
      <c r="KRJ359" s="2116"/>
      <c r="KRK359" s="2116"/>
      <c r="KRL359" s="2116"/>
      <c r="KRM359" s="2116"/>
      <c r="KRN359" s="2116"/>
      <c r="KRO359" s="2116"/>
      <c r="KRP359" s="2116"/>
      <c r="KRQ359" s="2116" t="s">
        <v>1869</v>
      </c>
      <c r="KRR359" s="2116"/>
      <c r="KRS359" s="2116"/>
      <c r="KRT359" s="2116"/>
      <c r="KRU359" s="2116"/>
      <c r="KRV359" s="2116"/>
      <c r="KRW359" s="2116"/>
      <c r="KRX359" s="2116"/>
      <c r="KRY359" s="2116"/>
      <c r="KRZ359" s="2116"/>
      <c r="KSA359" s="2116"/>
      <c r="KSB359" s="2116"/>
      <c r="KSC359" s="2116"/>
      <c r="KSD359" s="2116"/>
      <c r="KSE359" s="2116"/>
      <c r="KSF359" s="2116"/>
      <c r="KSG359" s="2116" t="s">
        <v>1869</v>
      </c>
      <c r="KSH359" s="2116"/>
      <c r="KSI359" s="2116"/>
      <c r="KSJ359" s="2116"/>
      <c r="KSK359" s="2116"/>
      <c r="KSL359" s="2116"/>
      <c r="KSM359" s="2116"/>
      <c r="KSN359" s="2116"/>
      <c r="KSO359" s="2116"/>
      <c r="KSP359" s="2116"/>
      <c r="KSQ359" s="2116"/>
      <c r="KSR359" s="2116"/>
      <c r="KSS359" s="2116"/>
      <c r="KST359" s="2116"/>
      <c r="KSU359" s="2116"/>
      <c r="KSV359" s="2116"/>
      <c r="KSW359" s="2116" t="s">
        <v>1869</v>
      </c>
      <c r="KSX359" s="2116"/>
      <c r="KSY359" s="2116"/>
      <c r="KSZ359" s="2116"/>
      <c r="KTA359" s="2116"/>
      <c r="KTB359" s="2116"/>
      <c r="KTC359" s="2116"/>
      <c r="KTD359" s="2116"/>
      <c r="KTE359" s="2116"/>
      <c r="KTF359" s="2116"/>
      <c r="KTG359" s="2116"/>
      <c r="KTH359" s="2116"/>
      <c r="KTI359" s="2116"/>
      <c r="KTJ359" s="2116"/>
      <c r="KTK359" s="2116"/>
      <c r="KTL359" s="2116"/>
      <c r="KTM359" s="2116" t="s">
        <v>1869</v>
      </c>
      <c r="KTN359" s="2116"/>
      <c r="KTO359" s="2116"/>
      <c r="KTP359" s="2116"/>
      <c r="KTQ359" s="2116"/>
      <c r="KTR359" s="2116"/>
      <c r="KTS359" s="2116"/>
      <c r="KTT359" s="2116"/>
      <c r="KTU359" s="2116"/>
      <c r="KTV359" s="2116"/>
      <c r="KTW359" s="2116"/>
      <c r="KTX359" s="2116"/>
      <c r="KTY359" s="2116"/>
      <c r="KTZ359" s="2116"/>
      <c r="KUA359" s="2116"/>
      <c r="KUB359" s="2116"/>
      <c r="KUC359" s="2116" t="s">
        <v>1869</v>
      </c>
      <c r="KUD359" s="2116"/>
      <c r="KUE359" s="2116"/>
      <c r="KUF359" s="2116"/>
      <c r="KUG359" s="2116"/>
      <c r="KUH359" s="2116"/>
      <c r="KUI359" s="2116"/>
      <c r="KUJ359" s="2116"/>
      <c r="KUK359" s="2116"/>
      <c r="KUL359" s="2116"/>
      <c r="KUM359" s="2116"/>
      <c r="KUN359" s="2116"/>
      <c r="KUO359" s="2116"/>
      <c r="KUP359" s="2116"/>
      <c r="KUQ359" s="2116"/>
      <c r="KUR359" s="2116"/>
      <c r="KUS359" s="2116" t="s">
        <v>1869</v>
      </c>
      <c r="KUT359" s="2116"/>
      <c r="KUU359" s="2116"/>
      <c r="KUV359" s="2116"/>
      <c r="KUW359" s="2116"/>
      <c r="KUX359" s="2116"/>
      <c r="KUY359" s="2116"/>
      <c r="KUZ359" s="2116"/>
      <c r="KVA359" s="2116"/>
      <c r="KVB359" s="2116"/>
      <c r="KVC359" s="2116"/>
      <c r="KVD359" s="2116"/>
      <c r="KVE359" s="2116"/>
      <c r="KVF359" s="2116"/>
      <c r="KVG359" s="2116"/>
      <c r="KVH359" s="2116"/>
      <c r="KVI359" s="2116" t="s">
        <v>1869</v>
      </c>
      <c r="KVJ359" s="2116"/>
      <c r="KVK359" s="2116"/>
      <c r="KVL359" s="2116"/>
      <c r="KVM359" s="2116"/>
      <c r="KVN359" s="2116"/>
      <c r="KVO359" s="2116"/>
      <c r="KVP359" s="2116"/>
      <c r="KVQ359" s="2116"/>
      <c r="KVR359" s="2116"/>
      <c r="KVS359" s="2116"/>
      <c r="KVT359" s="2116"/>
      <c r="KVU359" s="2116"/>
      <c r="KVV359" s="2116"/>
      <c r="KVW359" s="2116"/>
      <c r="KVX359" s="2116"/>
      <c r="KVY359" s="2116" t="s">
        <v>1869</v>
      </c>
      <c r="KVZ359" s="2116"/>
      <c r="KWA359" s="2116"/>
      <c r="KWB359" s="2116"/>
      <c r="KWC359" s="2116"/>
      <c r="KWD359" s="2116"/>
      <c r="KWE359" s="2116"/>
      <c r="KWF359" s="2116"/>
      <c r="KWG359" s="2116"/>
      <c r="KWH359" s="2116"/>
      <c r="KWI359" s="2116"/>
      <c r="KWJ359" s="2116"/>
      <c r="KWK359" s="2116"/>
      <c r="KWL359" s="2116"/>
      <c r="KWM359" s="2116"/>
      <c r="KWN359" s="2116"/>
      <c r="KWO359" s="2116" t="s">
        <v>1869</v>
      </c>
      <c r="KWP359" s="2116"/>
      <c r="KWQ359" s="2116"/>
      <c r="KWR359" s="2116"/>
      <c r="KWS359" s="2116"/>
      <c r="KWT359" s="2116"/>
      <c r="KWU359" s="2116"/>
      <c r="KWV359" s="2116"/>
      <c r="KWW359" s="2116"/>
      <c r="KWX359" s="2116"/>
      <c r="KWY359" s="2116"/>
      <c r="KWZ359" s="2116"/>
      <c r="KXA359" s="2116"/>
      <c r="KXB359" s="2116"/>
      <c r="KXC359" s="2116"/>
      <c r="KXD359" s="2116"/>
      <c r="KXE359" s="2116" t="s">
        <v>1869</v>
      </c>
      <c r="KXF359" s="2116"/>
      <c r="KXG359" s="2116"/>
      <c r="KXH359" s="2116"/>
      <c r="KXI359" s="2116"/>
      <c r="KXJ359" s="2116"/>
      <c r="KXK359" s="2116"/>
      <c r="KXL359" s="2116"/>
      <c r="KXM359" s="2116"/>
      <c r="KXN359" s="2116"/>
      <c r="KXO359" s="2116"/>
      <c r="KXP359" s="2116"/>
      <c r="KXQ359" s="2116"/>
      <c r="KXR359" s="2116"/>
      <c r="KXS359" s="2116"/>
      <c r="KXT359" s="2116"/>
      <c r="KXU359" s="2116" t="s">
        <v>1869</v>
      </c>
      <c r="KXV359" s="2116"/>
      <c r="KXW359" s="2116"/>
      <c r="KXX359" s="2116"/>
      <c r="KXY359" s="2116"/>
      <c r="KXZ359" s="2116"/>
      <c r="KYA359" s="2116"/>
      <c r="KYB359" s="2116"/>
      <c r="KYC359" s="2116"/>
      <c r="KYD359" s="2116"/>
      <c r="KYE359" s="2116"/>
      <c r="KYF359" s="2116"/>
      <c r="KYG359" s="2116"/>
      <c r="KYH359" s="2116"/>
      <c r="KYI359" s="2116"/>
      <c r="KYJ359" s="2116"/>
      <c r="KYK359" s="2116" t="s">
        <v>1869</v>
      </c>
      <c r="KYL359" s="2116"/>
      <c r="KYM359" s="2116"/>
      <c r="KYN359" s="2116"/>
      <c r="KYO359" s="2116"/>
      <c r="KYP359" s="2116"/>
      <c r="KYQ359" s="2116"/>
      <c r="KYR359" s="2116"/>
      <c r="KYS359" s="2116"/>
      <c r="KYT359" s="2116"/>
      <c r="KYU359" s="2116"/>
      <c r="KYV359" s="2116"/>
      <c r="KYW359" s="2116"/>
      <c r="KYX359" s="2116"/>
      <c r="KYY359" s="2116"/>
      <c r="KYZ359" s="2116"/>
      <c r="KZA359" s="2116" t="s">
        <v>1869</v>
      </c>
      <c r="KZB359" s="2116"/>
      <c r="KZC359" s="2116"/>
      <c r="KZD359" s="2116"/>
      <c r="KZE359" s="2116"/>
      <c r="KZF359" s="2116"/>
      <c r="KZG359" s="2116"/>
      <c r="KZH359" s="2116"/>
      <c r="KZI359" s="2116"/>
      <c r="KZJ359" s="2116"/>
      <c r="KZK359" s="2116"/>
      <c r="KZL359" s="2116"/>
      <c r="KZM359" s="2116"/>
      <c r="KZN359" s="2116"/>
      <c r="KZO359" s="2116"/>
      <c r="KZP359" s="2116"/>
      <c r="KZQ359" s="2116" t="s">
        <v>1869</v>
      </c>
      <c r="KZR359" s="2116"/>
      <c r="KZS359" s="2116"/>
      <c r="KZT359" s="2116"/>
      <c r="KZU359" s="2116"/>
      <c r="KZV359" s="2116"/>
      <c r="KZW359" s="2116"/>
      <c r="KZX359" s="2116"/>
      <c r="KZY359" s="2116"/>
      <c r="KZZ359" s="2116"/>
      <c r="LAA359" s="2116"/>
      <c r="LAB359" s="2116"/>
      <c r="LAC359" s="2116"/>
      <c r="LAD359" s="2116"/>
      <c r="LAE359" s="2116"/>
      <c r="LAF359" s="2116"/>
      <c r="LAG359" s="2116" t="s">
        <v>1869</v>
      </c>
      <c r="LAH359" s="2116"/>
      <c r="LAI359" s="2116"/>
      <c r="LAJ359" s="2116"/>
      <c r="LAK359" s="2116"/>
      <c r="LAL359" s="2116"/>
      <c r="LAM359" s="2116"/>
      <c r="LAN359" s="2116"/>
      <c r="LAO359" s="2116"/>
      <c r="LAP359" s="2116"/>
      <c r="LAQ359" s="2116"/>
      <c r="LAR359" s="2116"/>
      <c r="LAS359" s="2116"/>
      <c r="LAT359" s="2116"/>
      <c r="LAU359" s="2116"/>
      <c r="LAV359" s="2116"/>
      <c r="LAW359" s="2116" t="s">
        <v>1869</v>
      </c>
      <c r="LAX359" s="2116"/>
      <c r="LAY359" s="2116"/>
      <c r="LAZ359" s="2116"/>
      <c r="LBA359" s="2116"/>
      <c r="LBB359" s="2116"/>
      <c r="LBC359" s="2116"/>
      <c r="LBD359" s="2116"/>
      <c r="LBE359" s="2116"/>
      <c r="LBF359" s="2116"/>
      <c r="LBG359" s="2116"/>
      <c r="LBH359" s="2116"/>
      <c r="LBI359" s="2116"/>
      <c r="LBJ359" s="2116"/>
      <c r="LBK359" s="2116"/>
      <c r="LBL359" s="2116"/>
      <c r="LBM359" s="2116" t="s">
        <v>1869</v>
      </c>
      <c r="LBN359" s="2116"/>
      <c r="LBO359" s="2116"/>
      <c r="LBP359" s="2116"/>
      <c r="LBQ359" s="2116"/>
      <c r="LBR359" s="2116"/>
      <c r="LBS359" s="2116"/>
      <c r="LBT359" s="2116"/>
      <c r="LBU359" s="2116"/>
      <c r="LBV359" s="2116"/>
      <c r="LBW359" s="2116"/>
      <c r="LBX359" s="2116"/>
      <c r="LBY359" s="2116"/>
      <c r="LBZ359" s="2116"/>
      <c r="LCA359" s="2116"/>
      <c r="LCB359" s="2116"/>
      <c r="LCC359" s="2116" t="s">
        <v>1869</v>
      </c>
      <c r="LCD359" s="2116"/>
      <c r="LCE359" s="2116"/>
      <c r="LCF359" s="2116"/>
      <c r="LCG359" s="2116"/>
      <c r="LCH359" s="2116"/>
      <c r="LCI359" s="2116"/>
      <c r="LCJ359" s="2116"/>
      <c r="LCK359" s="2116"/>
      <c r="LCL359" s="2116"/>
      <c r="LCM359" s="2116"/>
      <c r="LCN359" s="2116"/>
      <c r="LCO359" s="2116"/>
      <c r="LCP359" s="2116"/>
      <c r="LCQ359" s="2116"/>
      <c r="LCR359" s="2116"/>
      <c r="LCS359" s="2116" t="s">
        <v>1869</v>
      </c>
      <c r="LCT359" s="2116"/>
      <c r="LCU359" s="2116"/>
      <c r="LCV359" s="2116"/>
      <c r="LCW359" s="2116"/>
      <c r="LCX359" s="2116"/>
      <c r="LCY359" s="2116"/>
      <c r="LCZ359" s="2116"/>
      <c r="LDA359" s="2116"/>
      <c r="LDB359" s="2116"/>
      <c r="LDC359" s="2116"/>
      <c r="LDD359" s="2116"/>
      <c r="LDE359" s="2116"/>
      <c r="LDF359" s="2116"/>
      <c r="LDG359" s="2116"/>
      <c r="LDH359" s="2116"/>
      <c r="LDI359" s="2116" t="s">
        <v>1869</v>
      </c>
      <c r="LDJ359" s="2116"/>
      <c r="LDK359" s="2116"/>
      <c r="LDL359" s="2116"/>
      <c r="LDM359" s="2116"/>
      <c r="LDN359" s="2116"/>
      <c r="LDO359" s="2116"/>
      <c r="LDP359" s="2116"/>
      <c r="LDQ359" s="2116"/>
      <c r="LDR359" s="2116"/>
      <c r="LDS359" s="2116"/>
      <c r="LDT359" s="2116"/>
      <c r="LDU359" s="2116"/>
      <c r="LDV359" s="2116"/>
      <c r="LDW359" s="2116"/>
      <c r="LDX359" s="2116"/>
      <c r="LDY359" s="2116" t="s">
        <v>1869</v>
      </c>
      <c r="LDZ359" s="2116"/>
      <c r="LEA359" s="2116"/>
      <c r="LEB359" s="2116"/>
      <c r="LEC359" s="2116"/>
      <c r="LED359" s="2116"/>
      <c r="LEE359" s="2116"/>
      <c r="LEF359" s="2116"/>
      <c r="LEG359" s="2116"/>
      <c r="LEH359" s="2116"/>
      <c r="LEI359" s="2116"/>
      <c r="LEJ359" s="2116"/>
      <c r="LEK359" s="2116"/>
      <c r="LEL359" s="2116"/>
      <c r="LEM359" s="2116"/>
      <c r="LEN359" s="2116"/>
      <c r="LEO359" s="2116" t="s">
        <v>1869</v>
      </c>
      <c r="LEP359" s="2116"/>
      <c r="LEQ359" s="2116"/>
      <c r="LER359" s="2116"/>
      <c r="LES359" s="2116"/>
      <c r="LET359" s="2116"/>
      <c r="LEU359" s="2116"/>
      <c r="LEV359" s="2116"/>
      <c r="LEW359" s="2116"/>
      <c r="LEX359" s="2116"/>
      <c r="LEY359" s="2116"/>
      <c r="LEZ359" s="2116"/>
      <c r="LFA359" s="2116"/>
      <c r="LFB359" s="2116"/>
      <c r="LFC359" s="2116"/>
      <c r="LFD359" s="2116"/>
      <c r="LFE359" s="2116" t="s">
        <v>1869</v>
      </c>
      <c r="LFF359" s="2116"/>
      <c r="LFG359" s="2116"/>
      <c r="LFH359" s="2116"/>
      <c r="LFI359" s="2116"/>
      <c r="LFJ359" s="2116"/>
      <c r="LFK359" s="2116"/>
      <c r="LFL359" s="2116"/>
      <c r="LFM359" s="2116"/>
      <c r="LFN359" s="2116"/>
      <c r="LFO359" s="2116"/>
      <c r="LFP359" s="2116"/>
      <c r="LFQ359" s="2116"/>
      <c r="LFR359" s="2116"/>
      <c r="LFS359" s="2116"/>
      <c r="LFT359" s="2116"/>
      <c r="LFU359" s="2116" t="s">
        <v>1869</v>
      </c>
      <c r="LFV359" s="2116"/>
      <c r="LFW359" s="2116"/>
      <c r="LFX359" s="2116"/>
      <c r="LFY359" s="2116"/>
      <c r="LFZ359" s="2116"/>
      <c r="LGA359" s="2116"/>
      <c r="LGB359" s="2116"/>
      <c r="LGC359" s="2116"/>
      <c r="LGD359" s="2116"/>
      <c r="LGE359" s="2116"/>
      <c r="LGF359" s="2116"/>
      <c r="LGG359" s="2116"/>
      <c r="LGH359" s="2116"/>
      <c r="LGI359" s="2116"/>
      <c r="LGJ359" s="2116"/>
      <c r="LGK359" s="2116" t="s">
        <v>1869</v>
      </c>
      <c r="LGL359" s="2116"/>
      <c r="LGM359" s="2116"/>
      <c r="LGN359" s="2116"/>
      <c r="LGO359" s="2116"/>
      <c r="LGP359" s="2116"/>
      <c r="LGQ359" s="2116"/>
      <c r="LGR359" s="2116"/>
      <c r="LGS359" s="2116"/>
      <c r="LGT359" s="2116"/>
      <c r="LGU359" s="2116"/>
      <c r="LGV359" s="2116"/>
      <c r="LGW359" s="2116"/>
      <c r="LGX359" s="2116"/>
      <c r="LGY359" s="2116"/>
      <c r="LGZ359" s="2116"/>
      <c r="LHA359" s="2116" t="s">
        <v>1869</v>
      </c>
      <c r="LHB359" s="2116"/>
      <c r="LHC359" s="2116"/>
      <c r="LHD359" s="2116"/>
      <c r="LHE359" s="2116"/>
      <c r="LHF359" s="2116"/>
      <c r="LHG359" s="2116"/>
      <c r="LHH359" s="2116"/>
      <c r="LHI359" s="2116"/>
      <c r="LHJ359" s="2116"/>
      <c r="LHK359" s="2116"/>
      <c r="LHL359" s="2116"/>
      <c r="LHM359" s="2116"/>
      <c r="LHN359" s="2116"/>
      <c r="LHO359" s="2116"/>
      <c r="LHP359" s="2116"/>
      <c r="LHQ359" s="2116" t="s">
        <v>1869</v>
      </c>
      <c r="LHR359" s="2116"/>
      <c r="LHS359" s="2116"/>
      <c r="LHT359" s="2116"/>
      <c r="LHU359" s="2116"/>
      <c r="LHV359" s="2116"/>
      <c r="LHW359" s="2116"/>
      <c r="LHX359" s="2116"/>
      <c r="LHY359" s="2116"/>
      <c r="LHZ359" s="2116"/>
      <c r="LIA359" s="2116"/>
      <c r="LIB359" s="2116"/>
      <c r="LIC359" s="2116"/>
      <c r="LID359" s="2116"/>
      <c r="LIE359" s="2116"/>
      <c r="LIF359" s="2116"/>
      <c r="LIG359" s="2116" t="s">
        <v>1869</v>
      </c>
      <c r="LIH359" s="2116"/>
      <c r="LII359" s="2116"/>
      <c r="LIJ359" s="2116"/>
      <c r="LIK359" s="2116"/>
      <c r="LIL359" s="2116"/>
      <c r="LIM359" s="2116"/>
      <c r="LIN359" s="2116"/>
      <c r="LIO359" s="2116"/>
      <c r="LIP359" s="2116"/>
      <c r="LIQ359" s="2116"/>
      <c r="LIR359" s="2116"/>
      <c r="LIS359" s="2116"/>
      <c r="LIT359" s="2116"/>
      <c r="LIU359" s="2116"/>
      <c r="LIV359" s="2116"/>
      <c r="LIW359" s="2116" t="s">
        <v>1869</v>
      </c>
      <c r="LIX359" s="2116"/>
      <c r="LIY359" s="2116"/>
      <c r="LIZ359" s="2116"/>
      <c r="LJA359" s="2116"/>
      <c r="LJB359" s="2116"/>
      <c r="LJC359" s="2116"/>
      <c r="LJD359" s="2116"/>
      <c r="LJE359" s="2116"/>
      <c r="LJF359" s="2116"/>
      <c r="LJG359" s="2116"/>
      <c r="LJH359" s="2116"/>
      <c r="LJI359" s="2116"/>
      <c r="LJJ359" s="2116"/>
      <c r="LJK359" s="2116"/>
      <c r="LJL359" s="2116"/>
      <c r="LJM359" s="2116" t="s">
        <v>1869</v>
      </c>
      <c r="LJN359" s="2116"/>
      <c r="LJO359" s="2116"/>
      <c r="LJP359" s="2116"/>
      <c r="LJQ359" s="2116"/>
      <c r="LJR359" s="2116"/>
      <c r="LJS359" s="2116"/>
      <c r="LJT359" s="2116"/>
      <c r="LJU359" s="2116"/>
      <c r="LJV359" s="2116"/>
      <c r="LJW359" s="2116"/>
      <c r="LJX359" s="2116"/>
      <c r="LJY359" s="2116"/>
      <c r="LJZ359" s="2116"/>
      <c r="LKA359" s="2116"/>
      <c r="LKB359" s="2116"/>
      <c r="LKC359" s="2116" t="s">
        <v>1869</v>
      </c>
      <c r="LKD359" s="2116"/>
      <c r="LKE359" s="2116"/>
      <c r="LKF359" s="2116"/>
      <c r="LKG359" s="2116"/>
      <c r="LKH359" s="2116"/>
      <c r="LKI359" s="2116"/>
      <c r="LKJ359" s="2116"/>
      <c r="LKK359" s="2116"/>
      <c r="LKL359" s="2116"/>
      <c r="LKM359" s="2116"/>
      <c r="LKN359" s="2116"/>
      <c r="LKO359" s="2116"/>
      <c r="LKP359" s="2116"/>
      <c r="LKQ359" s="2116"/>
      <c r="LKR359" s="2116"/>
      <c r="LKS359" s="2116" t="s">
        <v>1869</v>
      </c>
      <c r="LKT359" s="2116"/>
      <c r="LKU359" s="2116"/>
      <c r="LKV359" s="2116"/>
      <c r="LKW359" s="2116"/>
      <c r="LKX359" s="2116"/>
      <c r="LKY359" s="2116"/>
      <c r="LKZ359" s="2116"/>
      <c r="LLA359" s="2116"/>
      <c r="LLB359" s="2116"/>
      <c r="LLC359" s="2116"/>
      <c r="LLD359" s="2116"/>
      <c r="LLE359" s="2116"/>
      <c r="LLF359" s="2116"/>
      <c r="LLG359" s="2116"/>
      <c r="LLH359" s="2116"/>
      <c r="LLI359" s="2116" t="s">
        <v>1869</v>
      </c>
      <c r="LLJ359" s="2116"/>
      <c r="LLK359" s="2116"/>
      <c r="LLL359" s="2116"/>
      <c r="LLM359" s="2116"/>
      <c r="LLN359" s="2116"/>
      <c r="LLO359" s="2116"/>
      <c r="LLP359" s="2116"/>
      <c r="LLQ359" s="2116"/>
      <c r="LLR359" s="2116"/>
      <c r="LLS359" s="2116"/>
      <c r="LLT359" s="2116"/>
      <c r="LLU359" s="2116"/>
      <c r="LLV359" s="2116"/>
      <c r="LLW359" s="2116"/>
      <c r="LLX359" s="2116"/>
      <c r="LLY359" s="2116" t="s">
        <v>1869</v>
      </c>
      <c r="LLZ359" s="2116"/>
      <c r="LMA359" s="2116"/>
      <c r="LMB359" s="2116"/>
      <c r="LMC359" s="2116"/>
      <c r="LMD359" s="2116"/>
      <c r="LME359" s="2116"/>
      <c r="LMF359" s="2116"/>
      <c r="LMG359" s="2116"/>
      <c r="LMH359" s="2116"/>
      <c r="LMI359" s="2116"/>
      <c r="LMJ359" s="2116"/>
      <c r="LMK359" s="2116"/>
      <c r="LML359" s="2116"/>
      <c r="LMM359" s="2116"/>
      <c r="LMN359" s="2116"/>
      <c r="LMO359" s="2116" t="s">
        <v>1869</v>
      </c>
      <c r="LMP359" s="2116"/>
      <c r="LMQ359" s="2116"/>
      <c r="LMR359" s="2116"/>
      <c r="LMS359" s="2116"/>
      <c r="LMT359" s="2116"/>
      <c r="LMU359" s="2116"/>
      <c r="LMV359" s="2116"/>
      <c r="LMW359" s="2116"/>
      <c r="LMX359" s="2116"/>
      <c r="LMY359" s="2116"/>
      <c r="LMZ359" s="2116"/>
      <c r="LNA359" s="2116"/>
      <c r="LNB359" s="2116"/>
      <c r="LNC359" s="2116"/>
      <c r="LND359" s="2116"/>
      <c r="LNE359" s="2116" t="s">
        <v>1869</v>
      </c>
      <c r="LNF359" s="2116"/>
      <c r="LNG359" s="2116"/>
      <c r="LNH359" s="2116"/>
      <c r="LNI359" s="2116"/>
      <c r="LNJ359" s="2116"/>
      <c r="LNK359" s="2116"/>
      <c r="LNL359" s="2116"/>
      <c r="LNM359" s="2116"/>
      <c r="LNN359" s="2116"/>
      <c r="LNO359" s="2116"/>
      <c r="LNP359" s="2116"/>
      <c r="LNQ359" s="2116"/>
      <c r="LNR359" s="2116"/>
      <c r="LNS359" s="2116"/>
      <c r="LNT359" s="2116"/>
      <c r="LNU359" s="2116" t="s">
        <v>1869</v>
      </c>
      <c r="LNV359" s="2116"/>
      <c r="LNW359" s="2116"/>
      <c r="LNX359" s="2116"/>
      <c r="LNY359" s="2116"/>
      <c r="LNZ359" s="2116"/>
      <c r="LOA359" s="2116"/>
      <c r="LOB359" s="2116"/>
      <c r="LOC359" s="2116"/>
      <c r="LOD359" s="2116"/>
      <c r="LOE359" s="2116"/>
      <c r="LOF359" s="2116"/>
      <c r="LOG359" s="2116"/>
      <c r="LOH359" s="2116"/>
      <c r="LOI359" s="2116"/>
      <c r="LOJ359" s="2116"/>
      <c r="LOK359" s="2116" t="s">
        <v>1869</v>
      </c>
      <c r="LOL359" s="2116"/>
      <c r="LOM359" s="2116"/>
      <c r="LON359" s="2116"/>
      <c r="LOO359" s="2116"/>
      <c r="LOP359" s="2116"/>
      <c r="LOQ359" s="2116"/>
      <c r="LOR359" s="2116"/>
      <c r="LOS359" s="2116"/>
      <c r="LOT359" s="2116"/>
      <c r="LOU359" s="2116"/>
      <c r="LOV359" s="2116"/>
      <c r="LOW359" s="2116"/>
      <c r="LOX359" s="2116"/>
      <c r="LOY359" s="2116"/>
      <c r="LOZ359" s="2116"/>
      <c r="LPA359" s="2116" t="s">
        <v>1869</v>
      </c>
      <c r="LPB359" s="2116"/>
      <c r="LPC359" s="2116"/>
      <c r="LPD359" s="2116"/>
      <c r="LPE359" s="2116"/>
      <c r="LPF359" s="2116"/>
      <c r="LPG359" s="2116"/>
      <c r="LPH359" s="2116"/>
      <c r="LPI359" s="2116"/>
      <c r="LPJ359" s="2116"/>
      <c r="LPK359" s="2116"/>
      <c r="LPL359" s="2116"/>
      <c r="LPM359" s="2116"/>
      <c r="LPN359" s="2116"/>
      <c r="LPO359" s="2116"/>
      <c r="LPP359" s="2116"/>
      <c r="LPQ359" s="2116" t="s">
        <v>1869</v>
      </c>
      <c r="LPR359" s="2116"/>
      <c r="LPS359" s="2116"/>
      <c r="LPT359" s="2116"/>
      <c r="LPU359" s="2116"/>
      <c r="LPV359" s="2116"/>
      <c r="LPW359" s="2116"/>
      <c r="LPX359" s="2116"/>
      <c r="LPY359" s="2116"/>
      <c r="LPZ359" s="2116"/>
      <c r="LQA359" s="2116"/>
      <c r="LQB359" s="2116"/>
      <c r="LQC359" s="2116"/>
      <c r="LQD359" s="2116"/>
      <c r="LQE359" s="2116"/>
      <c r="LQF359" s="2116"/>
      <c r="LQG359" s="2116" t="s">
        <v>1869</v>
      </c>
      <c r="LQH359" s="2116"/>
      <c r="LQI359" s="2116"/>
      <c r="LQJ359" s="2116"/>
      <c r="LQK359" s="2116"/>
      <c r="LQL359" s="2116"/>
      <c r="LQM359" s="2116"/>
      <c r="LQN359" s="2116"/>
      <c r="LQO359" s="2116"/>
      <c r="LQP359" s="2116"/>
      <c r="LQQ359" s="2116"/>
      <c r="LQR359" s="2116"/>
      <c r="LQS359" s="2116"/>
      <c r="LQT359" s="2116"/>
      <c r="LQU359" s="2116"/>
      <c r="LQV359" s="2116"/>
      <c r="LQW359" s="2116" t="s">
        <v>1869</v>
      </c>
      <c r="LQX359" s="2116"/>
      <c r="LQY359" s="2116"/>
      <c r="LQZ359" s="2116"/>
      <c r="LRA359" s="2116"/>
      <c r="LRB359" s="2116"/>
      <c r="LRC359" s="2116"/>
      <c r="LRD359" s="2116"/>
      <c r="LRE359" s="2116"/>
      <c r="LRF359" s="2116"/>
      <c r="LRG359" s="2116"/>
      <c r="LRH359" s="2116"/>
      <c r="LRI359" s="2116"/>
      <c r="LRJ359" s="2116"/>
      <c r="LRK359" s="2116"/>
      <c r="LRL359" s="2116"/>
      <c r="LRM359" s="2116" t="s">
        <v>1869</v>
      </c>
      <c r="LRN359" s="2116"/>
      <c r="LRO359" s="2116"/>
      <c r="LRP359" s="2116"/>
      <c r="LRQ359" s="2116"/>
      <c r="LRR359" s="2116"/>
      <c r="LRS359" s="2116"/>
      <c r="LRT359" s="2116"/>
      <c r="LRU359" s="2116"/>
      <c r="LRV359" s="2116"/>
      <c r="LRW359" s="2116"/>
      <c r="LRX359" s="2116"/>
      <c r="LRY359" s="2116"/>
      <c r="LRZ359" s="2116"/>
      <c r="LSA359" s="2116"/>
      <c r="LSB359" s="2116"/>
      <c r="LSC359" s="2116" t="s">
        <v>1869</v>
      </c>
      <c r="LSD359" s="2116"/>
      <c r="LSE359" s="2116"/>
      <c r="LSF359" s="2116"/>
      <c r="LSG359" s="2116"/>
      <c r="LSH359" s="2116"/>
      <c r="LSI359" s="2116"/>
      <c r="LSJ359" s="2116"/>
      <c r="LSK359" s="2116"/>
      <c r="LSL359" s="2116"/>
      <c r="LSM359" s="2116"/>
      <c r="LSN359" s="2116"/>
      <c r="LSO359" s="2116"/>
      <c r="LSP359" s="2116"/>
      <c r="LSQ359" s="2116"/>
      <c r="LSR359" s="2116"/>
      <c r="LSS359" s="2116" t="s">
        <v>1869</v>
      </c>
      <c r="LST359" s="2116"/>
      <c r="LSU359" s="2116"/>
      <c r="LSV359" s="2116"/>
      <c r="LSW359" s="2116"/>
      <c r="LSX359" s="2116"/>
      <c r="LSY359" s="2116"/>
      <c r="LSZ359" s="2116"/>
      <c r="LTA359" s="2116"/>
      <c r="LTB359" s="2116"/>
      <c r="LTC359" s="2116"/>
      <c r="LTD359" s="2116"/>
      <c r="LTE359" s="2116"/>
      <c r="LTF359" s="2116"/>
      <c r="LTG359" s="2116"/>
      <c r="LTH359" s="2116"/>
      <c r="LTI359" s="2116" t="s">
        <v>1869</v>
      </c>
      <c r="LTJ359" s="2116"/>
      <c r="LTK359" s="2116"/>
      <c r="LTL359" s="2116"/>
      <c r="LTM359" s="2116"/>
      <c r="LTN359" s="2116"/>
      <c r="LTO359" s="2116"/>
      <c r="LTP359" s="2116"/>
      <c r="LTQ359" s="2116"/>
      <c r="LTR359" s="2116"/>
      <c r="LTS359" s="2116"/>
      <c r="LTT359" s="2116"/>
      <c r="LTU359" s="2116"/>
      <c r="LTV359" s="2116"/>
      <c r="LTW359" s="2116"/>
      <c r="LTX359" s="2116"/>
      <c r="LTY359" s="2116" t="s">
        <v>1869</v>
      </c>
      <c r="LTZ359" s="2116"/>
      <c r="LUA359" s="2116"/>
      <c r="LUB359" s="2116"/>
      <c r="LUC359" s="2116"/>
      <c r="LUD359" s="2116"/>
      <c r="LUE359" s="2116"/>
      <c r="LUF359" s="2116"/>
      <c r="LUG359" s="2116"/>
      <c r="LUH359" s="2116"/>
      <c r="LUI359" s="2116"/>
      <c r="LUJ359" s="2116"/>
      <c r="LUK359" s="2116"/>
      <c r="LUL359" s="2116"/>
      <c r="LUM359" s="2116"/>
      <c r="LUN359" s="2116"/>
      <c r="LUO359" s="2116" t="s">
        <v>1869</v>
      </c>
      <c r="LUP359" s="2116"/>
      <c r="LUQ359" s="2116"/>
      <c r="LUR359" s="2116"/>
      <c r="LUS359" s="2116"/>
      <c r="LUT359" s="2116"/>
      <c r="LUU359" s="2116"/>
      <c r="LUV359" s="2116"/>
      <c r="LUW359" s="2116"/>
      <c r="LUX359" s="2116"/>
      <c r="LUY359" s="2116"/>
      <c r="LUZ359" s="2116"/>
      <c r="LVA359" s="2116"/>
      <c r="LVB359" s="2116"/>
      <c r="LVC359" s="2116"/>
      <c r="LVD359" s="2116"/>
      <c r="LVE359" s="2116" t="s">
        <v>1869</v>
      </c>
      <c r="LVF359" s="2116"/>
      <c r="LVG359" s="2116"/>
      <c r="LVH359" s="2116"/>
      <c r="LVI359" s="2116"/>
      <c r="LVJ359" s="2116"/>
      <c r="LVK359" s="2116"/>
      <c r="LVL359" s="2116"/>
      <c r="LVM359" s="2116"/>
      <c r="LVN359" s="2116"/>
      <c r="LVO359" s="2116"/>
      <c r="LVP359" s="2116"/>
      <c r="LVQ359" s="2116"/>
      <c r="LVR359" s="2116"/>
      <c r="LVS359" s="2116"/>
      <c r="LVT359" s="2116"/>
      <c r="LVU359" s="2116" t="s">
        <v>1869</v>
      </c>
      <c r="LVV359" s="2116"/>
      <c r="LVW359" s="2116"/>
      <c r="LVX359" s="2116"/>
      <c r="LVY359" s="2116"/>
      <c r="LVZ359" s="2116"/>
      <c r="LWA359" s="2116"/>
      <c r="LWB359" s="2116"/>
      <c r="LWC359" s="2116"/>
      <c r="LWD359" s="2116"/>
      <c r="LWE359" s="2116"/>
      <c r="LWF359" s="2116"/>
      <c r="LWG359" s="2116"/>
      <c r="LWH359" s="2116"/>
      <c r="LWI359" s="2116"/>
      <c r="LWJ359" s="2116"/>
      <c r="LWK359" s="2116" t="s">
        <v>1869</v>
      </c>
      <c r="LWL359" s="2116"/>
      <c r="LWM359" s="2116"/>
      <c r="LWN359" s="2116"/>
      <c r="LWO359" s="2116"/>
      <c r="LWP359" s="2116"/>
      <c r="LWQ359" s="2116"/>
      <c r="LWR359" s="2116"/>
      <c r="LWS359" s="2116"/>
      <c r="LWT359" s="2116"/>
      <c r="LWU359" s="2116"/>
      <c r="LWV359" s="2116"/>
      <c r="LWW359" s="2116"/>
      <c r="LWX359" s="2116"/>
      <c r="LWY359" s="2116"/>
      <c r="LWZ359" s="2116"/>
      <c r="LXA359" s="2116" t="s">
        <v>1869</v>
      </c>
      <c r="LXB359" s="2116"/>
      <c r="LXC359" s="2116"/>
      <c r="LXD359" s="2116"/>
      <c r="LXE359" s="2116"/>
      <c r="LXF359" s="2116"/>
      <c r="LXG359" s="2116"/>
      <c r="LXH359" s="2116"/>
      <c r="LXI359" s="2116"/>
      <c r="LXJ359" s="2116"/>
      <c r="LXK359" s="2116"/>
      <c r="LXL359" s="2116"/>
      <c r="LXM359" s="2116"/>
      <c r="LXN359" s="2116"/>
      <c r="LXO359" s="2116"/>
      <c r="LXP359" s="2116"/>
      <c r="LXQ359" s="2116" t="s">
        <v>1869</v>
      </c>
      <c r="LXR359" s="2116"/>
      <c r="LXS359" s="2116"/>
      <c r="LXT359" s="2116"/>
      <c r="LXU359" s="2116"/>
      <c r="LXV359" s="2116"/>
      <c r="LXW359" s="2116"/>
      <c r="LXX359" s="2116"/>
      <c r="LXY359" s="2116"/>
      <c r="LXZ359" s="2116"/>
      <c r="LYA359" s="2116"/>
      <c r="LYB359" s="2116"/>
      <c r="LYC359" s="2116"/>
      <c r="LYD359" s="2116"/>
      <c r="LYE359" s="2116"/>
      <c r="LYF359" s="2116"/>
      <c r="LYG359" s="2116" t="s">
        <v>1869</v>
      </c>
      <c r="LYH359" s="2116"/>
      <c r="LYI359" s="2116"/>
      <c r="LYJ359" s="2116"/>
      <c r="LYK359" s="2116"/>
      <c r="LYL359" s="2116"/>
      <c r="LYM359" s="2116"/>
      <c r="LYN359" s="2116"/>
      <c r="LYO359" s="2116"/>
      <c r="LYP359" s="2116"/>
      <c r="LYQ359" s="2116"/>
      <c r="LYR359" s="2116"/>
      <c r="LYS359" s="2116"/>
      <c r="LYT359" s="2116"/>
      <c r="LYU359" s="2116"/>
      <c r="LYV359" s="2116"/>
      <c r="LYW359" s="2116" t="s">
        <v>1869</v>
      </c>
      <c r="LYX359" s="2116"/>
      <c r="LYY359" s="2116"/>
      <c r="LYZ359" s="2116"/>
      <c r="LZA359" s="2116"/>
      <c r="LZB359" s="2116"/>
      <c r="LZC359" s="2116"/>
      <c r="LZD359" s="2116"/>
      <c r="LZE359" s="2116"/>
      <c r="LZF359" s="2116"/>
      <c r="LZG359" s="2116"/>
      <c r="LZH359" s="2116"/>
      <c r="LZI359" s="2116"/>
      <c r="LZJ359" s="2116"/>
      <c r="LZK359" s="2116"/>
      <c r="LZL359" s="2116"/>
      <c r="LZM359" s="2116" t="s">
        <v>1869</v>
      </c>
      <c r="LZN359" s="2116"/>
      <c r="LZO359" s="2116"/>
      <c r="LZP359" s="2116"/>
      <c r="LZQ359" s="2116"/>
      <c r="LZR359" s="2116"/>
      <c r="LZS359" s="2116"/>
      <c r="LZT359" s="2116"/>
      <c r="LZU359" s="2116"/>
      <c r="LZV359" s="2116"/>
      <c r="LZW359" s="2116"/>
      <c r="LZX359" s="2116"/>
      <c r="LZY359" s="2116"/>
      <c r="LZZ359" s="2116"/>
      <c r="MAA359" s="2116"/>
      <c r="MAB359" s="2116"/>
      <c r="MAC359" s="2116" t="s">
        <v>1869</v>
      </c>
      <c r="MAD359" s="2116"/>
      <c r="MAE359" s="2116"/>
      <c r="MAF359" s="2116"/>
      <c r="MAG359" s="2116"/>
      <c r="MAH359" s="2116"/>
      <c r="MAI359" s="2116"/>
      <c r="MAJ359" s="2116"/>
      <c r="MAK359" s="2116"/>
      <c r="MAL359" s="2116"/>
      <c r="MAM359" s="2116"/>
      <c r="MAN359" s="2116"/>
      <c r="MAO359" s="2116"/>
      <c r="MAP359" s="2116"/>
      <c r="MAQ359" s="2116"/>
      <c r="MAR359" s="2116"/>
      <c r="MAS359" s="2116" t="s">
        <v>1869</v>
      </c>
      <c r="MAT359" s="2116"/>
      <c r="MAU359" s="2116"/>
      <c r="MAV359" s="2116"/>
      <c r="MAW359" s="2116"/>
      <c r="MAX359" s="2116"/>
      <c r="MAY359" s="2116"/>
      <c r="MAZ359" s="2116"/>
      <c r="MBA359" s="2116"/>
      <c r="MBB359" s="2116"/>
      <c r="MBC359" s="2116"/>
      <c r="MBD359" s="2116"/>
      <c r="MBE359" s="2116"/>
      <c r="MBF359" s="2116"/>
      <c r="MBG359" s="2116"/>
      <c r="MBH359" s="2116"/>
      <c r="MBI359" s="2116" t="s">
        <v>1869</v>
      </c>
      <c r="MBJ359" s="2116"/>
      <c r="MBK359" s="2116"/>
      <c r="MBL359" s="2116"/>
      <c r="MBM359" s="2116"/>
      <c r="MBN359" s="2116"/>
      <c r="MBO359" s="2116"/>
      <c r="MBP359" s="2116"/>
      <c r="MBQ359" s="2116"/>
      <c r="MBR359" s="2116"/>
      <c r="MBS359" s="2116"/>
      <c r="MBT359" s="2116"/>
      <c r="MBU359" s="2116"/>
      <c r="MBV359" s="2116"/>
      <c r="MBW359" s="2116"/>
      <c r="MBX359" s="2116"/>
      <c r="MBY359" s="2116" t="s">
        <v>1869</v>
      </c>
      <c r="MBZ359" s="2116"/>
      <c r="MCA359" s="2116"/>
      <c r="MCB359" s="2116"/>
      <c r="MCC359" s="2116"/>
      <c r="MCD359" s="2116"/>
      <c r="MCE359" s="2116"/>
      <c r="MCF359" s="2116"/>
      <c r="MCG359" s="2116"/>
      <c r="MCH359" s="2116"/>
      <c r="MCI359" s="2116"/>
      <c r="MCJ359" s="2116"/>
      <c r="MCK359" s="2116"/>
      <c r="MCL359" s="2116"/>
      <c r="MCM359" s="2116"/>
      <c r="MCN359" s="2116"/>
      <c r="MCO359" s="2116" t="s">
        <v>1869</v>
      </c>
      <c r="MCP359" s="2116"/>
      <c r="MCQ359" s="2116"/>
      <c r="MCR359" s="2116"/>
      <c r="MCS359" s="2116"/>
      <c r="MCT359" s="2116"/>
      <c r="MCU359" s="2116"/>
      <c r="MCV359" s="2116"/>
      <c r="MCW359" s="2116"/>
      <c r="MCX359" s="2116"/>
      <c r="MCY359" s="2116"/>
      <c r="MCZ359" s="2116"/>
      <c r="MDA359" s="2116"/>
      <c r="MDB359" s="2116"/>
      <c r="MDC359" s="2116"/>
      <c r="MDD359" s="2116"/>
      <c r="MDE359" s="2116" t="s">
        <v>1869</v>
      </c>
      <c r="MDF359" s="2116"/>
      <c r="MDG359" s="2116"/>
      <c r="MDH359" s="2116"/>
      <c r="MDI359" s="2116"/>
      <c r="MDJ359" s="2116"/>
      <c r="MDK359" s="2116"/>
      <c r="MDL359" s="2116"/>
      <c r="MDM359" s="2116"/>
      <c r="MDN359" s="2116"/>
      <c r="MDO359" s="2116"/>
      <c r="MDP359" s="2116"/>
      <c r="MDQ359" s="2116"/>
      <c r="MDR359" s="2116"/>
      <c r="MDS359" s="2116"/>
      <c r="MDT359" s="2116"/>
      <c r="MDU359" s="2116" t="s">
        <v>1869</v>
      </c>
      <c r="MDV359" s="2116"/>
      <c r="MDW359" s="2116"/>
      <c r="MDX359" s="2116"/>
      <c r="MDY359" s="2116"/>
      <c r="MDZ359" s="2116"/>
      <c r="MEA359" s="2116"/>
      <c r="MEB359" s="2116"/>
      <c r="MEC359" s="2116"/>
      <c r="MED359" s="2116"/>
      <c r="MEE359" s="2116"/>
      <c r="MEF359" s="2116"/>
      <c r="MEG359" s="2116"/>
      <c r="MEH359" s="2116"/>
      <c r="MEI359" s="2116"/>
      <c r="MEJ359" s="2116"/>
      <c r="MEK359" s="2116" t="s">
        <v>1869</v>
      </c>
      <c r="MEL359" s="2116"/>
      <c r="MEM359" s="2116"/>
      <c r="MEN359" s="2116"/>
      <c r="MEO359" s="2116"/>
      <c r="MEP359" s="2116"/>
      <c r="MEQ359" s="2116"/>
      <c r="MER359" s="2116"/>
      <c r="MES359" s="2116"/>
      <c r="MET359" s="2116"/>
      <c r="MEU359" s="2116"/>
      <c r="MEV359" s="2116"/>
      <c r="MEW359" s="2116"/>
      <c r="MEX359" s="2116"/>
      <c r="MEY359" s="2116"/>
      <c r="MEZ359" s="2116"/>
      <c r="MFA359" s="2116" t="s">
        <v>1869</v>
      </c>
      <c r="MFB359" s="2116"/>
      <c r="MFC359" s="2116"/>
      <c r="MFD359" s="2116"/>
      <c r="MFE359" s="2116"/>
      <c r="MFF359" s="2116"/>
      <c r="MFG359" s="2116"/>
      <c r="MFH359" s="2116"/>
      <c r="MFI359" s="2116"/>
      <c r="MFJ359" s="2116"/>
      <c r="MFK359" s="2116"/>
      <c r="MFL359" s="2116"/>
      <c r="MFM359" s="2116"/>
      <c r="MFN359" s="2116"/>
      <c r="MFO359" s="2116"/>
      <c r="MFP359" s="2116"/>
      <c r="MFQ359" s="2116" t="s">
        <v>1869</v>
      </c>
      <c r="MFR359" s="2116"/>
      <c r="MFS359" s="2116"/>
      <c r="MFT359" s="2116"/>
      <c r="MFU359" s="2116"/>
      <c r="MFV359" s="2116"/>
      <c r="MFW359" s="2116"/>
      <c r="MFX359" s="2116"/>
      <c r="MFY359" s="2116"/>
      <c r="MFZ359" s="2116"/>
      <c r="MGA359" s="2116"/>
      <c r="MGB359" s="2116"/>
      <c r="MGC359" s="2116"/>
      <c r="MGD359" s="2116"/>
      <c r="MGE359" s="2116"/>
      <c r="MGF359" s="2116"/>
      <c r="MGG359" s="2116" t="s">
        <v>1869</v>
      </c>
      <c r="MGH359" s="2116"/>
      <c r="MGI359" s="2116"/>
      <c r="MGJ359" s="2116"/>
      <c r="MGK359" s="2116"/>
      <c r="MGL359" s="2116"/>
      <c r="MGM359" s="2116"/>
      <c r="MGN359" s="2116"/>
      <c r="MGO359" s="2116"/>
      <c r="MGP359" s="2116"/>
      <c r="MGQ359" s="2116"/>
      <c r="MGR359" s="2116"/>
      <c r="MGS359" s="2116"/>
      <c r="MGT359" s="2116"/>
      <c r="MGU359" s="2116"/>
      <c r="MGV359" s="2116"/>
      <c r="MGW359" s="2116" t="s">
        <v>1869</v>
      </c>
      <c r="MGX359" s="2116"/>
      <c r="MGY359" s="2116"/>
      <c r="MGZ359" s="2116"/>
      <c r="MHA359" s="2116"/>
      <c r="MHB359" s="2116"/>
      <c r="MHC359" s="2116"/>
      <c r="MHD359" s="2116"/>
      <c r="MHE359" s="2116"/>
      <c r="MHF359" s="2116"/>
      <c r="MHG359" s="2116"/>
      <c r="MHH359" s="2116"/>
      <c r="MHI359" s="2116"/>
      <c r="MHJ359" s="2116"/>
      <c r="MHK359" s="2116"/>
      <c r="MHL359" s="2116"/>
      <c r="MHM359" s="2116" t="s">
        <v>1869</v>
      </c>
      <c r="MHN359" s="2116"/>
      <c r="MHO359" s="2116"/>
      <c r="MHP359" s="2116"/>
      <c r="MHQ359" s="2116"/>
      <c r="MHR359" s="2116"/>
      <c r="MHS359" s="2116"/>
      <c r="MHT359" s="2116"/>
      <c r="MHU359" s="2116"/>
      <c r="MHV359" s="2116"/>
      <c r="MHW359" s="2116"/>
      <c r="MHX359" s="2116"/>
      <c r="MHY359" s="2116"/>
      <c r="MHZ359" s="2116"/>
      <c r="MIA359" s="2116"/>
      <c r="MIB359" s="2116"/>
      <c r="MIC359" s="2116" t="s">
        <v>1869</v>
      </c>
      <c r="MID359" s="2116"/>
      <c r="MIE359" s="2116"/>
      <c r="MIF359" s="2116"/>
      <c r="MIG359" s="2116"/>
      <c r="MIH359" s="2116"/>
      <c r="MII359" s="2116"/>
      <c r="MIJ359" s="2116"/>
      <c r="MIK359" s="2116"/>
      <c r="MIL359" s="2116"/>
      <c r="MIM359" s="2116"/>
      <c r="MIN359" s="2116"/>
      <c r="MIO359" s="2116"/>
      <c r="MIP359" s="2116"/>
      <c r="MIQ359" s="2116"/>
      <c r="MIR359" s="2116"/>
      <c r="MIS359" s="2116" t="s">
        <v>1869</v>
      </c>
      <c r="MIT359" s="2116"/>
      <c r="MIU359" s="2116"/>
      <c r="MIV359" s="2116"/>
      <c r="MIW359" s="2116"/>
      <c r="MIX359" s="2116"/>
      <c r="MIY359" s="2116"/>
      <c r="MIZ359" s="2116"/>
      <c r="MJA359" s="2116"/>
      <c r="MJB359" s="2116"/>
      <c r="MJC359" s="2116"/>
      <c r="MJD359" s="2116"/>
      <c r="MJE359" s="2116"/>
      <c r="MJF359" s="2116"/>
      <c r="MJG359" s="2116"/>
      <c r="MJH359" s="2116"/>
      <c r="MJI359" s="2116" t="s">
        <v>1869</v>
      </c>
      <c r="MJJ359" s="2116"/>
      <c r="MJK359" s="2116"/>
      <c r="MJL359" s="2116"/>
      <c r="MJM359" s="2116"/>
      <c r="MJN359" s="2116"/>
      <c r="MJO359" s="2116"/>
      <c r="MJP359" s="2116"/>
      <c r="MJQ359" s="2116"/>
      <c r="MJR359" s="2116"/>
      <c r="MJS359" s="2116"/>
      <c r="MJT359" s="2116"/>
      <c r="MJU359" s="2116"/>
      <c r="MJV359" s="2116"/>
      <c r="MJW359" s="2116"/>
      <c r="MJX359" s="2116"/>
      <c r="MJY359" s="2116" t="s">
        <v>1869</v>
      </c>
      <c r="MJZ359" s="2116"/>
      <c r="MKA359" s="2116"/>
      <c r="MKB359" s="2116"/>
      <c r="MKC359" s="2116"/>
      <c r="MKD359" s="2116"/>
      <c r="MKE359" s="2116"/>
      <c r="MKF359" s="2116"/>
      <c r="MKG359" s="2116"/>
      <c r="MKH359" s="2116"/>
      <c r="MKI359" s="2116"/>
      <c r="MKJ359" s="2116"/>
      <c r="MKK359" s="2116"/>
      <c r="MKL359" s="2116"/>
      <c r="MKM359" s="2116"/>
      <c r="MKN359" s="2116"/>
      <c r="MKO359" s="2116" t="s">
        <v>1869</v>
      </c>
      <c r="MKP359" s="2116"/>
      <c r="MKQ359" s="2116"/>
      <c r="MKR359" s="2116"/>
      <c r="MKS359" s="2116"/>
      <c r="MKT359" s="2116"/>
      <c r="MKU359" s="2116"/>
      <c r="MKV359" s="2116"/>
      <c r="MKW359" s="2116"/>
      <c r="MKX359" s="2116"/>
      <c r="MKY359" s="2116"/>
      <c r="MKZ359" s="2116"/>
      <c r="MLA359" s="2116"/>
      <c r="MLB359" s="2116"/>
      <c r="MLC359" s="2116"/>
      <c r="MLD359" s="2116"/>
      <c r="MLE359" s="2116" t="s">
        <v>1869</v>
      </c>
      <c r="MLF359" s="2116"/>
      <c r="MLG359" s="2116"/>
      <c r="MLH359" s="2116"/>
      <c r="MLI359" s="2116"/>
      <c r="MLJ359" s="2116"/>
      <c r="MLK359" s="2116"/>
      <c r="MLL359" s="2116"/>
      <c r="MLM359" s="2116"/>
      <c r="MLN359" s="2116"/>
      <c r="MLO359" s="2116"/>
      <c r="MLP359" s="2116"/>
      <c r="MLQ359" s="2116"/>
      <c r="MLR359" s="2116"/>
      <c r="MLS359" s="2116"/>
      <c r="MLT359" s="2116"/>
      <c r="MLU359" s="2116" t="s">
        <v>1869</v>
      </c>
      <c r="MLV359" s="2116"/>
      <c r="MLW359" s="2116"/>
      <c r="MLX359" s="2116"/>
      <c r="MLY359" s="2116"/>
      <c r="MLZ359" s="2116"/>
      <c r="MMA359" s="2116"/>
      <c r="MMB359" s="2116"/>
      <c r="MMC359" s="2116"/>
      <c r="MMD359" s="2116"/>
      <c r="MME359" s="2116"/>
      <c r="MMF359" s="2116"/>
      <c r="MMG359" s="2116"/>
      <c r="MMH359" s="2116"/>
      <c r="MMI359" s="2116"/>
      <c r="MMJ359" s="2116"/>
      <c r="MMK359" s="2116" t="s">
        <v>1869</v>
      </c>
      <c r="MML359" s="2116"/>
      <c r="MMM359" s="2116"/>
      <c r="MMN359" s="2116"/>
      <c r="MMO359" s="2116"/>
      <c r="MMP359" s="2116"/>
      <c r="MMQ359" s="2116"/>
      <c r="MMR359" s="2116"/>
      <c r="MMS359" s="2116"/>
      <c r="MMT359" s="2116"/>
      <c r="MMU359" s="2116"/>
      <c r="MMV359" s="2116"/>
      <c r="MMW359" s="2116"/>
      <c r="MMX359" s="2116"/>
      <c r="MMY359" s="2116"/>
      <c r="MMZ359" s="2116"/>
      <c r="MNA359" s="2116" t="s">
        <v>1869</v>
      </c>
      <c r="MNB359" s="2116"/>
      <c r="MNC359" s="2116"/>
      <c r="MND359" s="2116"/>
      <c r="MNE359" s="2116"/>
      <c r="MNF359" s="2116"/>
      <c r="MNG359" s="2116"/>
      <c r="MNH359" s="2116"/>
      <c r="MNI359" s="2116"/>
      <c r="MNJ359" s="2116"/>
      <c r="MNK359" s="2116"/>
      <c r="MNL359" s="2116"/>
      <c r="MNM359" s="2116"/>
      <c r="MNN359" s="2116"/>
      <c r="MNO359" s="2116"/>
      <c r="MNP359" s="2116"/>
      <c r="MNQ359" s="2116" t="s">
        <v>1869</v>
      </c>
      <c r="MNR359" s="2116"/>
      <c r="MNS359" s="2116"/>
      <c r="MNT359" s="2116"/>
      <c r="MNU359" s="2116"/>
      <c r="MNV359" s="2116"/>
      <c r="MNW359" s="2116"/>
      <c r="MNX359" s="2116"/>
      <c r="MNY359" s="2116"/>
      <c r="MNZ359" s="2116"/>
      <c r="MOA359" s="2116"/>
      <c r="MOB359" s="2116"/>
      <c r="MOC359" s="2116"/>
      <c r="MOD359" s="2116"/>
      <c r="MOE359" s="2116"/>
      <c r="MOF359" s="2116"/>
      <c r="MOG359" s="2116" t="s">
        <v>1869</v>
      </c>
      <c r="MOH359" s="2116"/>
      <c r="MOI359" s="2116"/>
      <c r="MOJ359" s="2116"/>
      <c r="MOK359" s="2116"/>
      <c r="MOL359" s="2116"/>
      <c r="MOM359" s="2116"/>
      <c r="MON359" s="2116"/>
      <c r="MOO359" s="2116"/>
      <c r="MOP359" s="2116"/>
      <c r="MOQ359" s="2116"/>
      <c r="MOR359" s="2116"/>
      <c r="MOS359" s="2116"/>
      <c r="MOT359" s="2116"/>
      <c r="MOU359" s="2116"/>
      <c r="MOV359" s="2116"/>
      <c r="MOW359" s="2116" t="s">
        <v>1869</v>
      </c>
      <c r="MOX359" s="2116"/>
      <c r="MOY359" s="2116"/>
      <c r="MOZ359" s="2116"/>
      <c r="MPA359" s="2116"/>
      <c r="MPB359" s="2116"/>
      <c r="MPC359" s="2116"/>
      <c r="MPD359" s="2116"/>
      <c r="MPE359" s="2116"/>
      <c r="MPF359" s="2116"/>
      <c r="MPG359" s="2116"/>
      <c r="MPH359" s="2116"/>
      <c r="MPI359" s="2116"/>
      <c r="MPJ359" s="2116"/>
      <c r="MPK359" s="2116"/>
      <c r="MPL359" s="2116"/>
      <c r="MPM359" s="2116" t="s">
        <v>1869</v>
      </c>
      <c r="MPN359" s="2116"/>
      <c r="MPO359" s="2116"/>
      <c r="MPP359" s="2116"/>
      <c r="MPQ359" s="2116"/>
      <c r="MPR359" s="2116"/>
      <c r="MPS359" s="2116"/>
      <c r="MPT359" s="2116"/>
      <c r="MPU359" s="2116"/>
      <c r="MPV359" s="2116"/>
      <c r="MPW359" s="2116"/>
      <c r="MPX359" s="2116"/>
      <c r="MPY359" s="2116"/>
      <c r="MPZ359" s="2116"/>
      <c r="MQA359" s="2116"/>
      <c r="MQB359" s="2116"/>
      <c r="MQC359" s="2116" t="s">
        <v>1869</v>
      </c>
      <c r="MQD359" s="2116"/>
      <c r="MQE359" s="2116"/>
      <c r="MQF359" s="2116"/>
      <c r="MQG359" s="2116"/>
      <c r="MQH359" s="2116"/>
      <c r="MQI359" s="2116"/>
      <c r="MQJ359" s="2116"/>
      <c r="MQK359" s="2116"/>
      <c r="MQL359" s="2116"/>
      <c r="MQM359" s="2116"/>
      <c r="MQN359" s="2116"/>
      <c r="MQO359" s="2116"/>
      <c r="MQP359" s="2116"/>
      <c r="MQQ359" s="2116"/>
      <c r="MQR359" s="2116"/>
      <c r="MQS359" s="2116" t="s">
        <v>1869</v>
      </c>
      <c r="MQT359" s="2116"/>
      <c r="MQU359" s="2116"/>
      <c r="MQV359" s="2116"/>
      <c r="MQW359" s="2116"/>
      <c r="MQX359" s="2116"/>
      <c r="MQY359" s="2116"/>
      <c r="MQZ359" s="2116"/>
      <c r="MRA359" s="2116"/>
      <c r="MRB359" s="2116"/>
      <c r="MRC359" s="2116"/>
      <c r="MRD359" s="2116"/>
      <c r="MRE359" s="2116"/>
      <c r="MRF359" s="2116"/>
      <c r="MRG359" s="2116"/>
      <c r="MRH359" s="2116"/>
      <c r="MRI359" s="2116" t="s">
        <v>1869</v>
      </c>
      <c r="MRJ359" s="2116"/>
      <c r="MRK359" s="2116"/>
      <c r="MRL359" s="2116"/>
      <c r="MRM359" s="2116"/>
      <c r="MRN359" s="2116"/>
      <c r="MRO359" s="2116"/>
      <c r="MRP359" s="2116"/>
      <c r="MRQ359" s="2116"/>
      <c r="MRR359" s="2116"/>
      <c r="MRS359" s="2116"/>
      <c r="MRT359" s="2116"/>
      <c r="MRU359" s="2116"/>
      <c r="MRV359" s="2116"/>
      <c r="MRW359" s="2116"/>
      <c r="MRX359" s="2116"/>
      <c r="MRY359" s="2116" t="s">
        <v>1869</v>
      </c>
      <c r="MRZ359" s="2116"/>
      <c r="MSA359" s="2116"/>
      <c r="MSB359" s="2116"/>
      <c r="MSC359" s="2116"/>
      <c r="MSD359" s="2116"/>
      <c r="MSE359" s="2116"/>
      <c r="MSF359" s="2116"/>
      <c r="MSG359" s="2116"/>
      <c r="MSH359" s="2116"/>
      <c r="MSI359" s="2116"/>
      <c r="MSJ359" s="2116"/>
      <c r="MSK359" s="2116"/>
      <c r="MSL359" s="2116"/>
      <c r="MSM359" s="2116"/>
      <c r="MSN359" s="2116"/>
      <c r="MSO359" s="2116" t="s">
        <v>1869</v>
      </c>
      <c r="MSP359" s="2116"/>
      <c r="MSQ359" s="2116"/>
      <c r="MSR359" s="2116"/>
      <c r="MSS359" s="2116"/>
      <c r="MST359" s="2116"/>
      <c r="MSU359" s="2116"/>
      <c r="MSV359" s="2116"/>
      <c r="MSW359" s="2116"/>
      <c r="MSX359" s="2116"/>
      <c r="MSY359" s="2116"/>
      <c r="MSZ359" s="2116"/>
      <c r="MTA359" s="2116"/>
      <c r="MTB359" s="2116"/>
      <c r="MTC359" s="2116"/>
      <c r="MTD359" s="2116"/>
      <c r="MTE359" s="2116" t="s">
        <v>1869</v>
      </c>
      <c r="MTF359" s="2116"/>
      <c r="MTG359" s="2116"/>
      <c r="MTH359" s="2116"/>
      <c r="MTI359" s="2116"/>
      <c r="MTJ359" s="2116"/>
      <c r="MTK359" s="2116"/>
      <c r="MTL359" s="2116"/>
      <c r="MTM359" s="2116"/>
      <c r="MTN359" s="2116"/>
      <c r="MTO359" s="2116"/>
      <c r="MTP359" s="2116"/>
      <c r="MTQ359" s="2116"/>
      <c r="MTR359" s="2116"/>
      <c r="MTS359" s="2116"/>
      <c r="MTT359" s="2116"/>
      <c r="MTU359" s="2116" t="s">
        <v>1869</v>
      </c>
      <c r="MTV359" s="2116"/>
      <c r="MTW359" s="2116"/>
      <c r="MTX359" s="2116"/>
      <c r="MTY359" s="2116"/>
      <c r="MTZ359" s="2116"/>
      <c r="MUA359" s="2116"/>
      <c r="MUB359" s="2116"/>
      <c r="MUC359" s="2116"/>
      <c r="MUD359" s="2116"/>
      <c r="MUE359" s="2116"/>
      <c r="MUF359" s="2116"/>
      <c r="MUG359" s="2116"/>
      <c r="MUH359" s="2116"/>
      <c r="MUI359" s="2116"/>
      <c r="MUJ359" s="2116"/>
      <c r="MUK359" s="2116" t="s">
        <v>1869</v>
      </c>
      <c r="MUL359" s="2116"/>
      <c r="MUM359" s="2116"/>
      <c r="MUN359" s="2116"/>
      <c r="MUO359" s="2116"/>
      <c r="MUP359" s="2116"/>
      <c r="MUQ359" s="2116"/>
      <c r="MUR359" s="2116"/>
      <c r="MUS359" s="2116"/>
      <c r="MUT359" s="2116"/>
      <c r="MUU359" s="2116"/>
      <c r="MUV359" s="2116"/>
      <c r="MUW359" s="2116"/>
      <c r="MUX359" s="2116"/>
      <c r="MUY359" s="2116"/>
      <c r="MUZ359" s="2116"/>
      <c r="MVA359" s="2116" t="s">
        <v>1869</v>
      </c>
      <c r="MVB359" s="2116"/>
      <c r="MVC359" s="2116"/>
      <c r="MVD359" s="2116"/>
      <c r="MVE359" s="2116"/>
      <c r="MVF359" s="2116"/>
      <c r="MVG359" s="2116"/>
      <c r="MVH359" s="2116"/>
      <c r="MVI359" s="2116"/>
      <c r="MVJ359" s="2116"/>
      <c r="MVK359" s="2116"/>
      <c r="MVL359" s="2116"/>
      <c r="MVM359" s="2116"/>
      <c r="MVN359" s="2116"/>
      <c r="MVO359" s="2116"/>
      <c r="MVP359" s="2116"/>
      <c r="MVQ359" s="2116" t="s">
        <v>1869</v>
      </c>
      <c r="MVR359" s="2116"/>
      <c r="MVS359" s="2116"/>
      <c r="MVT359" s="2116"/>
      <c r="MVU359" s="2116"/>
      <c r="MVV359" s="2116"/>
      <c r="MVW359" s="2116"/>
      <c r="MVX359" s="2116"/>
      <c r="MVY359" s="2116"/>
      <c r="MVZ359" s="2116"/>
      <c r="MWA359" s="2116"/>
      <c r="MWB359" s="2116"/>
      <c r="MWC359" s="2116"/>
      <c r="MWD359" s="2116"/>
      <c r="MWE359" s="2116"/>
      <c r="MWF359" s="2116"/>
      <c r="MWG359" s="2116" t="s">
        <v>1869</v>
      </c>
      <c r="MWH359" s="2116"/>
      <c r="MWI359" s="2116"/>
      <c r="MWJ359" s="2116"/>
      <c r="MWK359" s="2116"/>
      <c r="MWL359" s="2116"/>
      <c r="MWM359" s="2116"/>
      <c r="MWN359" s="2116"/>
      <c r="MWO359" s="2116"/>
      <c r="MWP359" s="2116"/>
      <c r="MWQ359" s="2116"/>
      <c r="MWR359" s="2116"/>
      <c r="MWS359" s="2116"/>
      <c r="MWT359" s="2116"/>
      <c r="MWU359" s="2116"/>
      <c r="MWV359" s="2116"/>
      <c r="MWW359" s="2116" t="s">
        <v>1869</v>
      </c>
      <c r="MWX359" s="2116"/>
      <c r="MWY359" s="2116"/>
      <c r="MWZ359" s="2116"/>
      <c r="MXA359" s="2116"/>
      <c r="MXB359" s="2116"/>
      <c r="MXC359" s="2116"/>
      <c r="MXD359" s="2116"/>
      <c r="MXE359" s="2116"/>
      <c r="MXF359" s="2116"/>
      <c r="MXG359" s="2116"/>
      <c r="MXH359" s="2116"/>
      <c r="MXI359" s="2116"/>
      <c r="MXJ359" s="2116"/>
      <c r="MXK359" s="2116"/>
      <c r="MXL359" s="2116"/>
      <c r="MXM359" s="2116" t="s">
        <v>1869</v>
      </c>
      <c r="MXN359" s="2116"/>
      <c r="MXO359" s="2116"/>
      <c r="MXP359" s="2116"/>
      <c r="MXQ359" s="2116"/>
      <c r="MXR359" s="2116"/>
      <c r="MXS359" s="2116"/>
      <c r="MXT359" s="2116"/>
      <c r="MXU359" s="2116"/>
      <c r="MXV359" s="2116"/>
      <c r="MXW359" s="2116"/>
      <c r="MXX359" s="2116"/>
      <c r="MXY359" s="2116"/>
      <c r="MXZ359" s="2116"/>
      <c r="MYA359" s="2116"/>
      <c r="MYB359" s="2116"/>
      <c r="MYC359" s="2116" t="s">
        <v>1869</v>
      </c>
      <c r="MYD359" s="2116"/>
      <c r="MYE359" s="2116"/>
      <c r="MYF359" s="2116"/>
      <c r="MYG359" s="2116"/>
      <c r="MYH359" s="2116"/>
      <c r="MYI359" s="2116"/>
      <c r="MYJ359" s="2116"/>
      <c r="MYK359" s="2116"/>
      <c r="MYL359" s="2116"/>
      <c r="MYM359" s="2116"/>
      <c r="MYN359" s="2116"/>
      <c r="MYO359" s="2116"/>
      <c r="MYP359" s="2116"/>
      <c r="MYQ359" s="2116"/>
      <c r="MYR359" s="2116"/>
      <c r="MYS359" s="2116" t="s">
        <v>1869</v>
      </c>
      <c r="MYT359" s="2116"/>
      <c r="MYU359" s="2116"/>
      <c r="MYV359" s="2116"/>
      <c r="MYW359" s="2116"/>
      <c r="MYX359" s="2116"/>
      <c r="MYY359" s="2116"/>
      <c r="MYZ359" s="2116"/>
      <c r="MZA359" s="2116"/>
      <c r="MZB359" s="2116"/>
      <c r="MZC359" s="2116"/>
      <c r="MZD359" s="2116"/>
      <c r="MZE359" s="2116"/>
      <c r="MZF359" s="2116"/>
      <c r="MZG359" s="2116"/>
      <c r="MZH359" s="2116"/>
      <c r="MZI359" s="2116" t="s">
        <v>1869</v>
      </c>
      <c r="MZJ359" s="2116"/>
      <c r="MZK359" s="2116"/>
      <c r="MZL359" s="2116"/>
      <c r="MZM359" s="2116"/>
      <c r="MZN359" s="2116"/>
      <c r="MZO359" s="2116"/>
      <c r="MZP359" s="2116"/>
      <c r="MZQ359" s="2116"/>
      <c r="MZR359" s="2116"/>
      <c r="MZS359" s="2116"/>
      <c r="MZT359" s="2116"/>
      <c r="MZU359" s="2116"/>
      <c r="MZV359" s="2116"/>
      <c r="MZW359" s="2116"/>
      <c r="MZX359" s="2116"/>
      <c r="MZY359" s="2116" t="s">
        <v>1869</v>
      </c>
      <c r="MZZ359" s="2116"/>
      <c r="NAA359" s="2116"/>
      <c r="NAB359" s="2116"/>
      <c r="NAC359" s="2116"/>
      <c r="NAD359" s="2116"/>
      <c r="NAE359" s="2116"/>
      <c r="NAF359" s="2116"/>
      <c r="NAG359" s="2116"/>
      <c r="NAH359" s="2116"/>
      <c r="NAI359" s="2116"/>
      <c r="NAJ359" s="2116"/>
      <c r="NAK359" s="2116"/>
      <c r="NAL359" s="2116"/>
      <c r="NAM359" s="2116"/>
      <c r="NAN359" s="2116"/>
      <c r="NAO359" s="2116" t="s">
        <v>1869</v>
      </c>
      <c r="NAP359" s="2116"/>
      <c r="NAQ359" s="2116"/>
      <c r="NAR359" s="2116"/>
      <c r="NAS359" s="2116"/>
      <c r="NAT359" s="2116"/>
      <c r="NAU359" s="2116"/>
      <c r="NAV359" s="2116"/>
      <c r="NAW359" s="2116"/>
      <c r="NAX359" s="2116"/>
      <c r="NAY359" s="2116"/>
      <c r="NAZ359" s="2116"/>
      <c r="NBA359" s="2116"/>
      <c r="NBB359" s="2116"/>
      <c r="NBC359" s="2116"/>
      <c r="NBD359" s="2116"/>
      <c r="NBE359" s="2116" t="s">
        <v>1869</v>
      </c>
      <c r="NBF359" s="2116"/>
      <c r="NBG359" s="2116"/>
      <c r="NBH359" s="2116"/>
      <c r="NBI359" s="2116"/>
      <c r="NBJ359" s="2116"/>
      <c r="NBK359" s="2116"/>
      <c r="NBL359" s="2116"/>
      <c r="NBM359" s="2116"/>
      <c r="NBN359" s="2116"/>
      <c r="NBO359" s="2116"/>
      <c r="NBP359" s="2116"/>
      <c r="NBQ359" s="2116"/>
      <c r="NBR359" s="2116"/>
      <c r="NBS359" s="2116"/>
      <c r="NBT359" s="2116"/>
      <c r="NBU359" s="2116" t="s">
        <v>1869</v>
      </c>
      <c r="NBV359" s="2116"/>
      <c r="NBW359" s="2116"/>
      <c r="NBX359" s="2116"/>
      <c r="NBY359" s="2116"/>
      <c r="NBZ359" s="2116"/>
      <c r="NCA359" s="2116"/>
      <c r="NCB359" s="2116"/>
      <c r="NCC359" s="2116"/>
      <c r="NCD359" s="2116"/>
      <c r="NCE359" s="2116"/>
      <c r="NCF359" s="2116"/>
      <c r="NCG359" s="2116"/>
      <c r="NCH359" s="2116"/>
      <c r="NCI359" s="2116"/>
      <c r="NCJ359" s="2116"/>
      <c r="NCK359" s="2116" t="s">
        <v>1869</v>
      </c>
      <c r="NCL359" s="2116"/>
      <c r="NCM359" s="2116"/>
      <c r="NCN359" s="2116"/>
      <c r="NCO359" s="2116"/>
      <c r="NCP359" s="2116"/>
      <c r="NCQ359" s="2116"/>
      <c r="NCR359" s="2116"/>
      <c r="NCS359" s="2116"/>
      <c r="NCT359" s="2116"/>
      <c r="NCU359" s="2116"/>
      <c r="NCV359" s="2116"/>
      <c r="NCW359" s="2116"/>
      <c r="NCX359" s="2116"/>
      <c r="NCY359" s="2116"/>
      <c r="NCZ359" s="2116"/>
      <c r="NDA359" s="2116" t="s">
        <v>1869</v>
      </c>
      <c r="NDB359" s="2116"/>
      <c r="NDC359" s="2116"/>
      <c r="NDD359" s="2116"/>
      <c r="NDE359" s="2116"/>
      <c r="NDF359" s="2116"/>
      <c r="NDG359" s="2116"/>
      <c r="NDH359" s="2116"/>
      <c r="NDI359" s="2116"/>
      <c r="NDJ359" s="2116"/>
      <c r="NDK359" s="2116"/>
      <c r="NDL359" s="2116"/>
      <c r="NDM359" s="2116"/>
      <c r="NDN359" s="2116"/>
      <c r="NDO359" s="2116"/>
      <c r="NDP359" s="2116"/>
      <c r="NDQ359" s="2116" t="s">
        <v>1869</v>
      </c>
      <c r="NDR359" s="2116"/>
      <c r="NDS359" s="2116"/>
      <c r="NDT359" s="2116"/>
      <c r="NDU359" s="2116"/>
      <c r="NDV359" s="2116"/>
      <c r="NDW359" s="2116"/>
      <c r="NDX359" s="2116"/>
      <c r="NDY359" s="2116"/>
      <c r="NDZ359" s="2116"/>
      <c r="NEA359" s="2116"/>
      <c r="NEB359" s="2116"/>
      <c r="NEC359" s="2116"/>
      <c r="NED359" s="2116"/>
      <c r="NEE359" s="2116"/>
      <c r="NEF359" s="2116"/>
      <c r="NEG359" s="2116" t="s">
        <v>1869</v>
      </c>
      <c r="NEH359" s="2116"/>
      <c r="NEI359" s="2116"/>
      <c r="NEJ359" s="2116"/>
      <c r="NEK359" s="2116"/>
      <c r="NEL359" s="2116"/>
      <c r="NEM359" s="2116"/>
      <c r="NEN359" s="2116"/>
      <c r="NEO359" s="2116"/>
      <c r="NEP359" s="2116"/>
      <c r="NEQ359" s="2116"/>
      <c r="NER359" s="2116"/>
      <c r="NES359" s="2116"/>
      <c r="NET359" s="2116"/>
      <c r="NEU359" s="2116"/>
      <c r="NEV359" s="2116"/>
      <c r="NEW359" s="2116" t="s">
        <v>1869</v>
      </c>
      <c r="NEX359" s="2116"/>
      <c r="NEY359" s="2116"/>
      <c r="NEZ359" s="2116"/>
      <c r="NFA359" s="2116"/>
      <c r="NFB359" s="2116"/>
      <c r="NFC359" s="2116"/>
      <c r="NFD359" s="2116"/>
      <c r="NFE359" s="2116"/>
      <c r="NFF359" s="2116"/>
      <c r="NFG359" s="2116"/>
      <c r="NFH359" s="2116"/>
      <c r="NFI359" s="2116"/>
      <c r="NFJ359" s="2116"/>
      <c r="NFK359" s="2116"/>
      <c r="NFL359" s="2116"/>
      <c r="NFM359" s="2116" t="s">
        <v>1869</v>
      </c>
      <c r="NFN359" s="2116"/>
      <c r="NFO359" s="2116"/>
      <c r="NFP359" s="2116"/>
      <c r="NFQ359" s="2116"/>
      <c r="NFR359" s="2116"/>
      <c r="NFS359" s="2116"/>
      <c r="NFT359" s="2116"/>
      <c r="NFU359" s="2116"/>
      <c r="NFV359" s="2116"/>
      <c r="NFW359" s="2116"/>
      <c r="NFX359" s="2116"/>
      <c r="NFY359" s="2116"/>
      <c r="NFZ359" s="2116"/>
      <c r="NGA359" s="2116"/>
      <c r="NGB359" s="2116"/>
      <c r="NGC359" s="2116" t="s">
        <v>1869</v>
      </c>
      <c r="NGD359" s="2116"/>
      <c r="NGE359" s="2116"/>
      <c r="NGF359" s="2116"/>
      <c r="NGG359" s="2116"/>
      <c r="NGH359" s="2116"/>
      <c r="NGI359" s="2116"/>
      <c r="NGJ359" s="2116"/>
      <c r="NGK359" s="2116"/>
      <c r="NGL359" s="2116"/>
      <c r="NGM359" s="2116"/>
      <c r="NGN359" s="2116"/>
      <c r="NGO359" s="2116"/>
      <c r="NGP359" s="2116"/>
      <c r="NGQ359" s="2116"/>
      <c r="NGR359" s="2116"/>
      <c r="NGS359" s="2116" t="s">
        <v>1869</v>
      </c>
      <c r="NGT359" s="2116"/>
      <c r="NGU359" s="2116"/>
      <c r="NGV359" s="2116"/>
      <c r="NGW359" s="2116"/>
      <c r="NGX359" s="2116"/>
      <c r="NGY359" s="2116"/>
      <c r="NGZ359" s="2116"/>
      <c r="NHA359" s="2116"/>
      <c r="NHB359" s="2116"/>
      <c r="NHC359" s="2116"/>
      <c r="NHD359" s="2116"/>
      <c r="NHE359" s="2116"/>
      <c r="NHF359" s="2116"/>
      <c r="NHG359" s="2116"/>
      <c r="NHH359" s="2116"/>
      <c r="NHI359" s="2116" t="s">
        <v>1869</v>
      </c>
      <c r="NHJ359" s="2116"/>
      <c r="NHK359" s="2116"/>
      <c r="NHL359" s="2116"/>
      <c r="NHM359" s="2116"/>
      <c r="NHN359" s="2116"/>
      <c r="NHO359" s="2116"/>
      <c r="NHP359" s="2116"/>
      <c r="NHQ359" s="2116"/>
      <c r="NHR359" s="2116"/>
      <c r="NHS359" s="2116"/>
      <c r="NHT359" s="2116"/>
      <c r="NHU359" s="2116"/>
      <c r="NHV359" s="2116"/>
      <c r="NHW359" s="2116"/>
      <c r="NHX359" s="2116"/>
      <c r="NHY359" s="2116" t="s">
        <v>1869</v>
      </c>
      <c r="NHZ359" s="2116"/>
      <c r="NIA359" s="2116"/>
      <c r="NIB359" s="2116"/>
      <c r="NIC359" s="2116"/>
      <c r="NID359" s="2116"/>
      <c r="NIE359" s="2116"/>
      <c r="NIF359" s="2116"/>
      <c r="NIG359" s="2116"/>
      <c r="NIH359" s="2116"/>
      <c r="NII359" s="2116"/>
      <c r="NIJ359" s="2116"/>
      <c r="NIK359" s="2116"/>
      <c r="NIL359" s="2116"/>
      <c r="NIM359" s="2116"/>
      <c r="NIN359" s="2116"/>
      <c r="NIO359" s="2116" t="s">
        <v>1869</v>
      </c>
      <c r="NIP359" s="2116"/>
      <c r="NIQ359" s="2116"/>
      <c r="NIR359" s="2116"/>
      <c r="NIS359" s="2116"/>
      <c r="NIT359" s="2116"/>
      <c r="NIU359" s="2116"/>
      <c r="NIV359" s="2116"/>
      <c r="NIW359" s="2116"/>
      <c r="NIX359" s="2116"/>
      <c r="NIY359" s="2116"/>
      <c r="NIZ359" s="2116"/>
      <c r="NJA359" s="2116"/>
      <c r="NJB359" s="2116"/>
      <c r="NJC359" s="2116"/>
      <c r="NJD359" s="2116"/>
      <c r="NJE359" s="2116" t="s">
        <v>1869</v>
      </c>
      <c r="NJF359" s="2116"/>
      <c r="NJG359" s="2116"/>
      <c r="NJH359" s="2116"/>
      <c r="NJI359" s="2116"/>
      <c r="NJJ359" s="2116"/>
      <c r="NJK359" s="2116"/>
      <c r="NJL359" s="2116"/>
      <c r="NJM359" s="2116"/>
      <c r="NJN359" s="2116"/>
      <c r="NJO359" s="2116"/>
      <c r="NJP359" s="2116"/>
      <c r="NJQ359" s="2116"/>
      <c r="NJR359" s="2116"/>
      <c r="NJS359" s="2116"/>
      <c r="NJT359" s="2116"/>
      <c r="NJU359" s="2116" t="s">
        <v>1869</v>
      </c>
      <c r="NJV359" s="2116"/>
      <c r="NJW359" s="2116"/>
      <c r="NJX359" s="2116"/>
      <c r="NJY359" s="2116"/>
      <c r="NJZ359" s="2116"/>
      <c r="NKA359" s="2116"/>
      <c r="NKB359" s="2116"/>
      <c r="NKC359" s="2116"/>
      <c r="NKD359" s="2116"/>
      <c r="NKE359" s="2116"/>
      <c r="NKF359" s="2116"/>
      <c r="NKG359" s="2116"/>
      <c r="NKH359" s="2116"/>
      <c r="NKI359" s="2116"/>
      <c r="NKJ359" s="2116"/>
      <c r="NKK359" s="2116" t="s">
        <v>1869</v>
      </c>
      <c r="NKL359" s="2116"/>
      <c r="NKM359" s="2116"/>
      <c r="NKN359" s="2116"/>
      <c r="NKO359" s="2116"/>
      <c r="NKP359" s="2116"/>
      <c r="NKQ359" s="2116"/>
      <c r="NKR359" s="2116"/>
      <c r="NKS359" s="2116"/>
      <c r="NKT359" s="2116"/>
      <c r="NKU359" s="2116"/>
      <c r="NKV359" s="2116"/>
      <c r="NKW359" s="2116"/>
      <c r="NKX359" s="2116"/>
      <c r="NKY359" s="2116"/>
      <c r="NKZ359" s="2116"/>
      <c r="NLA359" s="2116" t="s">
        <v>1869</v>
      </c>
      <c r="NLB359" s="2116"/>
      <c r="NLC359" s="2116"/>
      <c r="NLD359" s="2116"/>
      <c r="NLE359" s="2116"/>
      <c r="NLF359" s="2116"/>
      <c r="NLG359" s="2116"/>
      <c r="NLH359" s="2116"/>
      <c r="NLI359" s="2116"/>
      <c r="NLJ359" s="2116"/>
      <c r="NLK359" s="2116"/>
      <c r="NLL359" s="2116"/>
      <c r="NLM359" s="2116"/>
      <c r="NLN359" s="2116"/>
      <c r="NLO359" s="2116"/>
      <c r="NLP359" s="2116"/>
      <c r="NLQ359" s="2116" t="s">
        <v>1869</v>
      </c>
      <c r="NLR359" s="2116"/>
      <c r="NLS359" s="2116"/>
      <c r="NLT359" s="2116"/>
      <c r="NLU359" s="2116"/>
      <c r="NLV359" s="2116"/>
      <c r="NLW359" s="2116"/>
      <c r="NLX359" s="2116"/>
      <c r="NLY359" s="2116"/>
      <c r="NLZ359" s="2116"/>
      <c r="NMA359" s="2116"/>
      <c r="NMB359" s="2116"/>
      <c r="NMC359" s="2116"/>
      <c r="NMD359" s="2116"/>
      <c r="NME359" s="2116"/>
      <c r="NMF359" s="2116"/>
      <c r="NMG359" s="2116" t="s">
        <v>1869</v>
      </c>
      <c r="NMH359" s="2116"/>
      <c r="NMI359" s="2116"/>
      <c r="NMJ359" s="2116"/>
      <c r="NMK359" s="2116"/>
      <c r="NML359" s="2116"/>
      <c r="NMM359" s="2116"/>
      <c r="NMN359" s="2116"/>
      <c r="NMO359" s="2116"/>
      <c r="NMP359" s="2116"/>
      <c r="NMQ359" s="2116"/>
      <c r="NMR359" s="2116"/>
      <c r="NMS359" s="2116"/>
      <c r="NMT359" s="2116"/>
      <c r="NMU359" s="2116"/>
      <c r="NMV359" s="2116"/>
      <c r="NMW359" s="2116" t="s">
        <v>1869</v>
      </c>
      <c r="NMX359" s="2116"/>
      <c r="NMY359" s="2116"/>
      <c r="NMZ359" s="2116"/>
      <c r="NNA359" s="2116"/>
      <c r="NNB359" s="2116"/>
      <c r="NNC359" s="2116"/>
      <c r="NND359" s="2116"/>
      <c r="NNE359" s="2116"/>
      <c r="NNF359" s="2116"/>
      <c r="NNG359" s="2116"/>
      <c r="NNH359" s="2116"/>
      <c r="NNI359" s="2116"/>
      <c r="NNJ359" s="2116"/>
      <c r="NNK359" s="2116"/>
      <c r="NNL359" s="2116"/>
      <c r="NNM359" s="2116" t="s">
        <v>1869</v>
      </c>
      <c r="NNN359" s="2116"/>
      <c r="NNO359" s="2116"/>
      <c r="NNP359" s="2116"/>
      <c r="NNQ359" s="2116"/>
      <c r="NNR359" s="2116"/>
      <c r="NNS359" s="2116"/>
      <c r="NNT359" s="2116"/>
      <c r="NNU359" s="2116"/>
      <c r="NNV359" s="2116"/>
      <c r="NNW359" s="2116"/>
      <c r="NNX359" s="2116"/>
      <c r="NNY359" s="2116"/>
      <c r="NNZ359" s="2116"/>
      <c r="NOA359" s="2116"/>
      <c r="NOB359" s="2116"/>
      <c r="NOC359" s="2116" t="s">
        <v>1869</v>
      </c>
      <c r="NOD359" s="2116"/>
      <c r="NOE359" s="2116"/>
      <c r="NOF359" s="2116"/>
      <c r="NOG359" s="2116"/>
      <c r="NOH359" s="2116"/>
      <c r="NOI359" s="2116"/>
      <c r="NOJ359" s="2116"/>
      <c r="NOK359" s="2116"/>
      <c r="NOL359" s="2116"/>
      <c r="NOM359" s="2116"/>
      <c r="NON359" s="2116"/>
      <c r="NOO359" s="2116"/>
      <c r="NOP359" s="2116"/>
      <c r="NOQ359" s="2116"/>
      <c r="NOR359" s="2116"/>
      <c r="NOS359" s="2116" t="s">
        <v>1869</v>
      </c>
      <c r="NOT359" s="2116"/>
      <c r="NOU359" s="2116"/>
      <c r="NOV359" s="2116"/>
      <c r="NOW359" s="2116"/>
      <c r="NOX359" s="2116"/>
      <c r="NOY359" s="2116"/>
      <c r="NOZ359" s="2116"/>
      <c r="NPA359" s="2116"/>
      <c r="NPB359" s="2116"/>
      <c r="NPC359" s="2116"/>
      <c r="NPD359" s="2116"/>
      <c r="NPE359" s="2116"/>
      <c r="NPF359" s="2116"/>
      <c r="NPG359" s="2116"/>
      <c r="NPH359" s="2116"/>
      <c r="NPI359" s="2116" t="s">
        <v>1869</v>
      </c>
      <c r="NPJ359" s="2116"/>
      <c r="NPK359" s="2116"/>
      <c r="NPL359" s="2116"/>
      <c r="NPM359" s="2116"/>
      <c r="NPN359" s="2116"/>
      <c r="NPO359" s="2116"/>
      <c r="NPP359" s="2116"/>
      <c r="NPQ359" s="2116"/>
      <c r="NPR359" s="2116"/>
      <c r="NPS359" s="2116"/>
      <c r="NPT359" s="2116"/>
      <c r="NPU359" s="2116"/>
      <c r="NPV359" s="2116"/>
      <c r="NPW359" s="2116"/>
      <c r="NPX359" s="2116"/>
      <c r="NPY359" s="2116" t="s">
        <v>1869</v>
      </c>
      <c r="NPZ359" s="2116"/>
      <c r="NQA359" s="2116"/>
      <c r="NQB359" s="2116"/>
      <c r="NQC359" s="2116"/>
      <c r="NQD359" s="2116"/>
      <c r="NQE359" s="2116"/>
      <c r="NQF359" s="2116"/>
      <c r="NQG359" s="2116"/>
      <c r="NQH359" s="2116"/>
      <c r="NQI359" s="2116"/>
      <c r="NQJ359" s="2116"/>
      <c r="NQK359" s="2116"/>
      <c r="NQL359" s="2116"/>
      <c r="NQM359" s="2116"/>
      <c r="NQN359" s="2116"/>
      <c r="NQO359" s="2116" t="s">
        <v>1869</v>
      </c>
      <c r="NQP359" s="2116"/>
      <c r="NQQ359" s="2116"/>
      <c r="NQR359" s="2116"/>
      <c r="NQS359" s="2116"/>
      <c r="NQT359" s="2116"/>
      <c r="NQU359" s="2116"/>
      <c r="NQV359" s="2116"/>
      <c r="NQW359" s="2116"/>
      <c r="NQX359" s="2116"/>
      <c r="NQY359" s="2116"/>
      <c r="NQZ359" s="2116"/>
      <c r="NRA359" s="2116"/>
      <c r="NRB359" s="2116"/>
      <c r="NRC359" s="2116"/>
      <c r="NRD359" s="2116"/>
      <c r="NRE359" s="2116" t="s">
        <v>1869</v>
      </c>
      <c r="NRF359" s="2116"/>
      <c r="NRG359" s="2116"/>
      <c r="NRH359" s="2116"/>
      <c r="NRI359" s="2116"/>
      <c r="NRJ359" s="2116"/>
      <c r="NRK359" s="2116"/>
      <c r="NRL359" s="2116"/>
      <c r="NRM359" s="2116"/>
      <c r="NRN359" s="2116"/>
      <c r="NRO359" s="2116"/>
      <c r="NRP359" s="2116"/>
      <c r="NRQ359" s="2116"/>
      <c r="NRR359" s="2116"/>
      <c r="NRS359" s="2116"/>
      <c r="NRT359" s="2116"/>
      <c r="NRU359" s="2116" t="s">
        <v>1869</v>
      </c>
      <c r="NRV359" s="2116"/>
      <c r="NRW359" s="2116"/>
      <c r="NRX359" s="2116"/>
      <c r="NRY359" s="2116"/>
      <c r="NRZ359" s="2116"/>
      <c r="NSA359" s="2116"/>
      <c r="NSB359" s="2116"/>
      <c r="NSC359" s="2116"/>
      <c r="NSD359" s="2116"/>
      <c r="NSE359" s="2116"/>
      <c r="NSF359" s="2116"/>
      <c r="NSG359" s="2116"/>
      <c r="NSH359" s="2116"/>
      <c r="NSI359" s="2116"/>
      <c r="NSJ359" s="2116"/>
      <c r="NSK359" s="2116" t="s">
        <v>1869</v>
      </c>
      <c r="NSL359" s="2116"/>
      <c r="NSM359" s="2116"/>
      <c r="NSN359" s="2116"/>
      <c r="NSO359" s="2116"/>
      <c r="NSP359" s="2116"/>
      <c r="NSQ359" s="2116"/>
      <c r="NSR359" s="2116"/>
      <c r="NSS359" s="2116"/>
      <c r="NST359" s="2116"/>
      <c r="NSU359" s="2116"/>
      <c r="NSV359" s="2116"/>
      <c r="NSW359" s="2116"/>
      <c r="NSX359" s="2116"/>
      <c r="NSY359" s="2116"/>
      <c r="NSZ359" s="2116"/>
      <c r="NTA359" s="2116" t="s">
        <v>1869</v>
      </c>
      <c r="NTB359" s="2116"/>
      <c r="NTC359" s="2116"/>
      <c r="NTD359" s="2116"/>
      <c r="NTE359" s="2116"/>
      <c r="NTF359" s="2116"/>
      <c r="NTG359" s="2116"/>
      <c r="NTH359" s="2116"/>
      <c r="NTI359" s="2116"/>
      <c r="NTJ359" s="2116"/>
      <c r="NTK359" s="2116"/>
      <c r="NTL359" s="2116"/>
      <c r="NTM359" s="2116"/>
      <c r="NTN359" s="2116"/>
      <c r="NTO359" s="2116"/>
      <c r="NTP359" s="2116"/>
      <c r="NTQ359" s="2116" t="s">
        <v>1869</v>
      </c>
      <c r="NTR359" s="2116"/>
      <c r="NTS359" s="2116"/>
      <c r="NTT359" s="2116"/>
      <c r="NTU359" s="2116"/>
      <c r="NTV359" s="2116"/>
      <c r="NTW359" s="2116"/>
      <c r="NTX359" s="2116"/>
      <c r="NTY359" s="2116"/>
      <c r="NTZ359" s="2116"/>
      <c r="NUA359" s="2116"/>
      <c r="NUB359" s="2116"/>
      <c r="NUC359" s="2116"/>
      <c r="NUD359" s="2116"/>
      <c r="NUE359" s="2116"/>
      <c r="NUF359" s="2116"/>
      <c r="NUG359" s="2116" t="s">
        <v>1869</v>
      </c>
      <c r="NUH359" s="2116"/>
      <c r="NUI359" s="2116"/>
      <c r="NUJ359" s="2116"/>
      <c r="NUK359" s="2116"/>
      <c r="NUL359" s="2116"/>
      <c r="NUM359" s="2116"/>
      <c r="NUN359" s="2116"/>
      <c r="NUO359" s="2116"/>
      <c r="NUP359" s="2116"/>
      <c r="NUQ359" s="2116"/>
      <c r="NUR359" s="2116"/>
      <c r="NUS359" s="2116"/>
      <c r="NUT359" s="2116"/>
      <c r="NUU359" s="2116"/>
      <c r="NUV359" s="2116"/>
      <c r="NUW359" s="2116" t="s">
        <v>1869</v>
      </c>
      <c r="NUX359" s="2116"/>
      <c r="NUY359" s="2116"/>
      <c r="NUZ359" s="2116"/>
      <c r="NVA359" s="2116"/>
      <c r="NVB359" s="2116"/>
      <c r="NVC359" s="2116"/>
      <c r="NVD359" s="2116"/>
      <c r="NVE359" s="2116"/>
      <c r="NVF359" s="2116"/>
      <c r="NVG359" s="2116"/>
      <c r="NVH359" s="2116"/>
      <c r="NVI359" s="2116"/>
      <c r="NVJ359" s="2116"/>
      <c r="NVK359" s="2116"/>
      <c r="NVL359" s="2116"/>
      <c r="NVM359" s="2116" t="s">
        <v>1869</v>
      </c>
      <c r="NVN359" s="2116"/>
      <c r="NVO359" s="2116"/>
      <c r="NVP359" s="2116"/>
      <c r="NVQ359" s="2116"/>
      <c r="NVR359" s="2116"/>
      <c r="NVS359" s="2116"/>
      <c r="NVT359" s="2116"/>
      <c r="NVU359" s="2116"/>
      <c r="NVV359" s="2116"/>
      <c r="NVW359" s="2116"/>
      <c r="NVX359" s="2116"/>
      <c r="NVY359" s="2116"/>
      <c r="NVZ359" s="2116"/>
      <c r="NWA359" s="2116"/>
      <c r="NWB359" s="2116"/>
      <c r="NWC359" s="2116" t="s">
        <v>1869</v>
      </c>
      <c r="NWD359" s="2116"/>
      <c r="NWE359" s="2116"/>
      <c r="NWF359" s="2116"/>
      <c r="NWG359" s="2116"/>
      <c r="NWH359" s="2116"/>
      <c r="NWI359" s="2116"/>
      <c r="NWJ359" s="2116"/>
      <c r="NWK359" s="2116"/>
      <c r="NWL359" s="2116"/>
      <c r="NWM359" s="2116"/>
      <c r="NWN359" s="2116"/>
      <c r="NWO359" s="2116"/>
      <c r="NWP359" s="2116"/>
      <c r="NWQ359" s="2116"/>
      <c r="NWR359" s="2116"/>
      <c r="NWS359" s="2116" t="s">
        <v>1869</v>
      </c>
      <c r="NWT359" s="2116"/>
      <c r="NWU359" s="2116"/>
      <c r="NWV359" s="2116"/>
      <c r="NWW359" s="2116"/>
      <c r="NWX359" s="2116"/>
      <c r="NWY359" s="2116"/>
      <c r="NWZ359" s="2116"/>
      <c r="NXA359" s="2116"/>
      <c r="NXB359" s="2116"/>
      <c r="NXC359" s="2116"/>
      <c r="NXD359" s="2116"/>
      <c r="NXE359" s="2116"/>
      <c r="NXF359" s="2116"/>
      <c r="NXG359" s="2116"/>
      <c r="NXH359" s="2116"/>
      <c r="NXI359" s="2116" t="s">
        <v>1869</v>
      </c>
      <c r="NXJ359" s="2116"/>
      <c r="NXK359" s="2116"/>
      <c r="NXL359" s="2116"/>
      <c r="NXM359" s="2116"/>
      <c r="NXN359" s="2116"/>
      <c r="NXO359" s="2116"/>
      <c r="NXP359" s="2116"/>
      <c r="NXQ359" s="2116"/>
      <c r="NXR359" s="2116"/>
      <c r="NXS359" s="2116"/>
      <c r="NXT359" s="2116"/>
      <c r="NXU359" s="2116"/>
      <c r="NXV359" s="2116"/>
      <c r="NXW359" s="2116"/>
      <c r="NXX359" s="2116"/>
      <c r="NXY359" s="2116" t="s">
        <v>1869</v>
      </c>
      <c r="NXZ359" s="2116"/>
      <c r="NYA359" s="2116"/>
      <c r="NYB359" s="2116"/>
      <c r="NYC359" s="2116"/>
      <c r="NYD359" s="2116"/>
      <c r="NYE359" s="2116"/>
      <c r="NYF359" s="2116"/>
      <c r="NYG359" s="2116"/>
      <c r="NYH359" s="2116"/>
      <c r="NYI359" s="2116"/>
      <c r="NYJ359" s="2116"/>
      <c r="NYK359" s="2116"/>
      <c r="NYL359" s="2116"/>
      <c r="NYM359" s="2116"/>
      <c r="NYN359" s="2116"/>
      <c r="NYO359" s="2116" t="s">
        <v>1869</v>
      </c>
      <c r="NYP359" s="2116"/>
      <c r="NYQ359" s="2116"/>
      <c r="NYR359" s="2116"/>
      <c r="NYS359" s="2116"/>
      <c r="NYT359" s="2116"/>
      <c r="NYU359" s="2116"/>
      <c r="NYV359" s="2116"/>
      <c r="NYW359" s="2116"/>
      <c r="NYX359" s="2116"/>
      <c r="NYY359" s="2116"/>
      <c r="NYZ359" s="2116"/>
      <c r="NZA359" s="2116"/>
      <c r="NZB359" s="2116"/>
      <c r="NZC359" s="2116"/>
      <c r="NZD359" s="2116"/>
      <c r="NZE359" s="2116" t="s">
        <v>1869</v>
      </c>
      <c r="NZF359" s="2116"/>
      <c r="NZG359" s="2116"/>
      <c r="NZH359" s="2116"/>
      <c r="NZI359" s="2116"/>
      <c r="NZJ359" s="2116"/>
      <c r="NZK359" s="2116"/>
      <c r="NZL359" s="2116"/>
      <c r="NZM359" s="2116"/>
      <c r="NZN359" s="2116"/>
      <c r="NZO359" s="2116"/>
      <c r="NZP359" s="2116"/>
      <c r="NZQ359" s="2116"/>
      <c r="NZR359" s="2116"/>
      <c r="NZS359" s="2116"/>
      <c r="NZT359" s="2116"/>
      <c r="NZU359" s="2116" t="s">
        <v>1869</v>
      </c>
      <c r="NZV359" s="2116"/>
      <c r="NZW359" s="2116"/>
      <c r="NZX359" s="2116"/>
      <c r="NZY359" s="2116"/>
      <c r="NZZ359" s="2116"/>
      <c r="OAA359" s="2116"/>
      <c r="OAB359" s="2116"/>
      <c r="OAC359" s="2116"/>
      <c r="OAD359" s="2116"/>
      <c r="OAE359" s="2116"/>
      <c r="OAF359" s="2116"/>
      <c r="OAG359" s="2116"/>
      <c r="OAH359" s="2116"/>
      <c r="OAI359" s="2116"/>
      <c r="OAJ359" s="2116"/>
      <c r="OAK359" s="2116" t="s">
        <v>1869</v>
      </c>
      <c r="OAL359" s="2116"/>
      <c r="OAM359" s="2116"/>
      <c r="OAN359" s="2116"/>
      <c r="OAO359" s="2116"/>
      <c r="OAP359" s="2116"/>
      <c r="OAQ359" s="2116"/>
      <c r="OAR359" s="2116"/>
      <c r="OAS359" s="2116"/>
      <c r="OAT359" s="2116"/>
      <c r="OAU359" s="2116"/>
      <c r="OAV359" s="2116"/>
      <c r="OAW359" s="2116"/>
      <c r="OAX359" s="2116"/>
      <c r="OAY359" s="2116"/>
      <c r="OAZ359" s="2116"/>
      <c r="OBA359" s="2116" t="s">
        <v>1869</v>
      </c>
      <c r="OBB359" s="2116"/>
      <c r="OBC359" s="2116"/>
      <c r="OBD359" s="2116"/>
      <c r="OBE359" s="2116"/>
      <c r="OBF359" s="2116"/>
      <c r="OBG359" s="2116"/>
      <c r="OBH359" s="2116"/>
      <c r="OBI359" s="2116"/>
      <c r="OBJ359" s="2116"/>
      <c r="OBK359" s="2116"/>
      <c r="OBL359" s="2116"/>
      <c r="OBM359" s="2116"/>
      <c r="OBN359" s="2116"/>
      <c r="OBO359" s="2116"/>
      <c r="OBP359" s="2116"/>
      <c r="OBQ359" s="2116" t="s">
        <v>1869</v>
      </c>
      <c r="OBR359" s="2116"/>
      <c r="OBS359" s="2116"/>
      <c r="OBT359" s="2116"/>
      <c r="OBU359" s="2116"/>
      <c r="OBV359" s="2116"/>
      <c r="OBW359" s="2116"/>
      <c r="OBX359" s="2116"/>
      <c r="OBY359" s="2116"/>
      <c r="OBZ359" s="2116"/>
      <c r="OCA359" s="2116"/>
      <c r="OCB359" s="2116"/>
      <c r="OCC359" s="2116"/>
      <c r="OCD359" s="2116"/>
      <c r="OCE359" s="2116"/>
      <c r="OCF359" s="2116"/>
      <c r="OCG359" s="2116" t="s">
        <v>1869</v>
      </c>
      <c r="OCH359" s="2116"/>
      <c r="OCI359" s="2116"/>
      <c r="OCJ359" s="2116"/>
      <c r="OCK359" s="2116"/>
      <c r="OCL359" s="2116"/>
      <c r="OCM359" s="2116"/>
      <c r="OCN359" s="2116"/>
      <c r="OCO359" s="2116"/>
      <c r="OCP359" s="2116"/>
      <c r="OCQ359" s="2116"/>
      <c r="OCR359" s="2116"/>
      <c r="OCS359" s="2116"/>
      <c r="OCT359" s="2116"/>
      <c r="OCU359" s="2116"/>
      <c r="OCV359" s="2116"/>
      <c r="OCW359" s="2116" t="s">
        <v>1869</v>
      </c>
      <c r="OCX359" s="2116"/>
      <c r="OCY359" s="2116"/>
      <c r="OCZ359" s="2116"/>
      <c r="ODA359" s="2116"/>
      <c r="ODB359" s="2116"/>
      <c r="ODC359" s="2116"/>
      <c r="ODD359" s="2116"/>
      <c r="ODE359" s="2116"/>
      <c r="ODF359" s="2116"/>
      <c r="ODG359" s="2116"/>
      <c r="ODH359" s="2116"/>
      <c r="ODI359" s="2116"/>
      <c r="ODJ359" s="2116"/>
      <c r="ODK359" s="2116"/>
      <c r="ODL359" s="2116"/>
      <c r="ODM359" s="2116" t="s">
        <v>1869</v>
      </c>
      <c r="ODN359" s="2116"/>
      <c r="ODO359" s="2116"/>
      <c r="ODP359" s="2116"/>
      <c r="ODQ359" s="2116"/>
      <c r="ODR359" s="2116"/>
      <c r="ODS359" s="2116"/>
      <c r="ODT359" s="2116"/>
      <c r="ODU359" s="2116"/>
      <c r="ODV359" s="2116"/>
      <c r="ODW359" s="2116"/>
      <c r="ODX359" s="2116"/>
      <c r="ODY359" s="2116"/>
      <c r="ODZ359" s="2116"/>
      <c r="OEA359" s="2116"/>
      <c r="OEB359" s="2116"/>
      <c r="OEC359" s="2116" t="s">
        <v>1869</v>
      </c>
      <c r="OED359" s="2116"/>
      <c r="OEE359" s="2116"/>
      <c r="OEF359" s="2116"/>
      <c r="OEG359" s="2116"/>
      <c r="OEH359" s="2116"/>
      <c r="OEI359" s="2116"/>
      <c r="OEJ359" s="2116"/>
      <c r="OEK359" s="2116"/>
      <c r="OEL359" s="2116"/>
      <c r="OEM359" s="2116"/>
      <c r="OEN359" s="2116"/>
      <c r="OEO359" s="2116"/>
      <c r="OEP359" s="2116"/>
      <c r="OEQ359" s="2116"/>
      <c r="OER359" s="2116"/>
      <c r="OES359" s="2116" t="s">
        <v>1869</v>
      </c>
      <c r="OET359" s="2116"/>
      <c r="OEU359" s="2116"/>
      <c r="OEV359" s="2116"/>
      <c r="OEW359" s="2116"/>
      <c r="OEX359" s="2116"/>
      <c r="OEY359" s="2116"/>
      <c r="OEZ359" s="2116"/>
      <c r="OFA359" s="2116"/>
      <c r="OFB359" s="2116"/>
      <c r="OFC359" s="2116"/>
      <c r="OFD359" s="2116"/>
      <c r="OFE359" s="2116"/>
      <c r="OFF359" s="2116"/>
      <c r="OFG359" s="2116"/>
      <c r="OFH359" s="2116"/>
      <c r="OFI359" s="2116" t="s">
        <v>1869</v>
      </c>
      <c r="OFJ359" s="2116"/>
      <c r="OFK359" s="2116"/>
      <c r="OFL359" s="2116"/>
      <c r="OFM359" s="2116"/>
      <c r="OFN359" s="2116"/>
      <c r="OFO359" s="2116"/>
      <c r="OFP359" s="2116"/>
      <c r="OFQ359" s="2116"/>
      <c r="OFR359" s="2116"/>
      <c r="OFS359" s="2116"/>
      <c r="OFT359" s="2116"/>
      <c r="OFU359" s="2116"/>
      <c r="OFV359" s="2116"/>
      <c r="OFW359" s="2116"/>
      <c r="OFX359" s="2116"/>
      <c r="OFY359" s="2116" t="s">
        <v>1869</v>
      </c>
      <c r="OFZ359" s="2116"/>
      <c r="OGA359" s="2116"/>
      <c r="OGB359" s="2116"/>
      <c r="OGC359" s="2116"/>
      <c r="OGD359" s="2116"/>
      <c r="OGE359" s="2116"/>
      <c r="OGF359" s="2116"/>
      <c r="OGG359" s="2116"/>
      <c r="OGH359" s="2116"/>
      <c r="OGI359" s="2116"/>
      <c r="OGJ359" s="2116"/>
      <c r="OGK359" s="2116"/>
      <c r="OGL359" s="2116"/>
      <c r="OGM359" s="2116"/>
      <c r="OGN359" s="2116"/>
      <c r="OGO359" s="2116" t="s">
        <v>1869</v>
      </c>
      <c r="OGP359" s="2116"/>
      <c r="OGQ359" s="2116"/>
      <c r="OGR359" s="2116"/>
      <c r="OGS359" s="2116"/>
      <c r="OGT359" s="2116"/>
      <c r="OGU359" s="2116"/>
      <c r="OGV359" s="2116"/>
      <c r="OGW359" s="2116"/>
      <c r="OGX359" s="2116"/>
      <c r="OGY359" s="2116"/>
      <c r="OGZ359" s="2116"/>
      <c r="OHA359" s="2116"/>
      <c r="OHB359" s="2116"/>
      <c r="OHC359" s="2116"/>
      <c r="OHD359" s="2116"/>
      <c r="OHE359" s="2116" t="s">
        <v>1869</v>
      </c>
      <c r="OHF359" s="2116"/>
      <c r="OHG359" s="2116"/>
      <c r="OHH359" s="2116"/>
      <c r="OHI359" s="2116"/>
      <c r="OHJ359" s="2116"/>
      <c r="OHK359" s="2116"/>
      <c r="OHL359" s="2116"/>
      <c r="OHM359" s="2116"/>
      <c r="OHN359" s="2116"/>
      <c r="OHO359" s="2116"/>
      <c r="OHP359" s="2116"/>
      <c r="OHQ359" s="2116"/>
      <c r="OHR359" s="2116"/>
      <c r="OHS359" s="2116"/>
      <c r="OHT359" s="2116"/>
      <c r="OHU359" s="2116" t="s">
        <v>1869</v>
      </c>
      <c r="OHV359" s="2116"/>
      <c r="OHW359" s="2116"/>
      <c r="OHX359" s="2116"/>
      <c r="OHY359" s="2116"/>
      <c r="OHZ359" s="2116"/>
      <c r="OIA359" s="2116"/>
      <c r="OIB359" s="2116"/>
      <c r="OIC359" s="2116"/>
      <c r="OID359" s="2116"/>
      <c r="OIE359" s="2116"/>
      <c r="OIF359" s="2116"/>
      <c r="OIG359" s="2116"/>
      <c r="OIH359" s="2116"/>
      <c r="OII359" s="2116"/>
      <c r="OIJ359" s="2116"/>
      <c r="OIK359" s="2116" t="s">
        <v>1869</v>
      </c>
      <c r="OIL359" s="2116"/>
      <c r="OIM359" s="2116"/>
      <c r="OIN359" s="2116"/>
      <c r="OIO359" s="2116"/>
      <c r="OIP359" s="2116"/>
      <c r="OIQ359" s="2116"/>
      <c r="OIR359" s="2116"/>
      <c r="OIS359" s="2116"/>
      <c r="OIT359" s="2116"/>
      <c r="OIU359" s="2116"/>
      <c r="OIV359" s="2116"/>
      <c r="OIW359" s="2116"/>
      <c r="OIX359" s="2116"/>
      <c r="OIY359" s="2116"/>
      <c r="OIZ359" s="2116"/>
      <c r="OJA359" s="2116" t="s">
        <v>1869</v>
      </c>
      <c r="OJB359" s="2116"/>
      <c r="OJC359" s="2116"/>
      <c r="OJD359" s="2116"/>
      <c r="OJE359" s="2116"/>
      <c r="OJF359" s="2116"/>
      <c r="OJG359" s="2116"/>
      <c r="OJH359" s="2116"/>
      <c r="OJI359" s="2116"/>
      <c r="OJJ359" s="2116"/>
      <c r="OJK359" s="2116"/>
      <c r="OJL359" s="2116"/>
      <c r="OJM359" s="2116"/>
      <c r="OJN359" s="2116"/>
      <c r="OJO359" s="2116"/>
      <c r="OJP359" s="2116"/>
      <c r="OJQ359" s="2116" t="s">
        <v>1869</v>
      </c>
      <c r="OJR359" s="2116"/>
      <c r="OJS359" s="2116"/>
      <c r="OJT359" s="2116"/>
      <c r="OJU359" s="2116"/>
      <c r="OJV359" s="2116"/>
      <c r="OJW359" s="2116"/>
      <c r="OJX359" s="2116"/>
      <c r="OJY359" s="2116"/>
      <c r="OJZ359" s="2116"/>
      <c r="OKA359" s="2116"/>
      <c r="OKB359" s="2116"/>
      <c r="OKC359" s="2116"/>
      <c r="OKD359" s="2116"/>
      <c r="OKE359" s="2116"/>
      <c r="OKF359" s="2116"/>
      <c r="OKG359" s="2116" t="s">
        <v>1869</v>
      </c>
      <c r="OKH359" s="2116"/>
      <c r="OKI359" s="2116"/>
      <c r="OKJ359" s="2116"/>
      <c r="OKK359" s="2116"/>
      <c r="OKL359" s="2116"/>
      <c r="OKM359" s="2116"/>
      <c r="OKN359" s="2116"/>
      <c r="OKO359" s="2116"/>
      <c r="OKP359" s="2116"/>
      <c r="OKQ359" s="2116"/>
      <c r="OKR359" s="2116"/>
      <c r="OKS359" s="2116"/>
      <c r="OKT359" s="2116"/>
      <c r="OKU359" s="2116"/>
      <c r="OKV359" s="2116"/>
      <c r="OKW359" s="2116" t="s">
        <v>1869</v>
      </c>
      <c r="OKX359" s="2116"/>
      <c r="OKY359" s="2116"/>
      <c r="OKZ359" s="2116"/>
      <c r="OLA359" s="2116"/>
      <c r="OLB359" s="2116"/>
      <c r="OLC359" s="2116"/>
      <c r="OLD359" s="2116"/>
      <c r="OLE359" s="2116"/>
      <c r="OLF359" s="2116"/>
      <c r="OLG359" s="2116"/>
      <c r="OLH359" s="2116"/>
      <c r="OLI359" s="2116"/>
      <c r="OLJ359" s="2116"/>
      <c r="OLK359" s="2116"/>
      <c r="OLL359" s="2116"/>
      <c r="OLM359" s="2116" t="s">
        <v>1869</v>
      </c>
      <c r="OLN359" s="2116"/>
      <c r="OLO359" s="2116"/>
      <c r="OLP359" s="2116"/>
      <c r="OLQ359" s="2116"/>
      <c r="OLR359" s="2116"/>
      <c r="OLS359" s="2116"/>
      <c r="OLT359" s="2116"/>
      <c r="OLU359" s="2116"/>
      <c r="OLV359" s="2116"/>
      <c r="OLW359" s="2116"/>
      <c r="OLX359" s="2116"/>
      <c r="OLY359" s="2116"/>
      <c r="OLZ359" s="2116"/>
      <c r="OMA359" s="2116"/>
      <c r="OMB359" s="2116"/>
      <c r="OMC359" s="2116" t="s">
        <v>1869</v>
      </c>
      <c r="OMD359" s="2116"/>
      <c r="OME359" s="2116"/>
      <c r="OMF359" s="2116"/>
      <c r="OMG359" s="2116"/>
      <c r="OMH359" s="2116"/>
      <c r="OMI359" s="2116"/>
      <c r="OMJ359" s="2116"/>
      <c r="OMK359" s="2116"/>
      <c r="OML359" s="2116"/>
      <c r="OMM359" s="2116"/>
      <c r="OMN359" s="2116"/>
      <c r="OMO359" s="2116"/>
      <c r="OMP359" s="2116"/>
      <c r="OMQ359" s="2116"/>
      <c r="OMR359" s="2116"/>
      <c r="OMS359" s="2116" t="s">
        <v>1869</v>
      </c>
      <c r="OMT359" s="2116"/>
      <c r="OMU359" s="2116"/>
      <c r="OMV359" s="2116"/>
      <c r="OMW359" s="2116"/>
      <c r="OMX359" s="2116"/>
      <c r="OMY359" s="2116"/>
      <c r="OMZ359" s="2116"/>
      <c r="ONA359" s="2116"/>
      <c r="ONB359" s="2116"/>
      <c r="ONC359" s="2116"/>
      <c r="OND359" s="2116"/>
      <c r="ONE359" s="2116"/>
      <c r="ONF359" s="2116"/>
      <c r="ONG359" s="2116"/>
      <c r="ONH359" s="2116"/>
      <c r="ONI359" s="2116" t="s">
        <v>1869</v>
      </c>
      <c r="ONJ359" s="2116"/>
      <c r="ONK359" s="2116"/>
      <c r="ONL359" s="2116"/>
      <c r="ONM359" s="2116"/>
      <c r="ONN359" s="2116"/>
      <c r="ONO359" s="2116"/>
      <c r="ONP359" s="2116"/>
      <c r="ONQ359" s="2116"/>
      <c r="ONR359" s="2116"/>
      <c r="ONS359" s="2116"/>
      <c r="ONT359" s="2116"/>
      <c r="ONU359" s="2116"/>
      <c r="ONV359" s="2116"/>
      <c r="ONW359" s="2116"/>
      <c r="ONX359" s="2116"/>
      <c r="ONY359" s="2116" t="s">
        <v>1869</v>
      </c>
      <c r="ONZ359" s="2116"/>
      <c r="OOA359" s="2116"/>
      <c r="OOB359" s="2116"/>
      <c r="OOC359" s="2116"/>
      <c r="OOD359" s="2116"/>
      <c r="OOE359" s="2116"/>
      <c r="OOF359" s="2116"/>
      <c r="OOG359" s="2116"/>
      <c r="OOH359" s="2116"/>
      <c r="OOI359" s="2116"/>
      <c r="OOJ359" s="2116"/>
      <c r="OOK359" s="2116"/>
      <c r="OOL359" s="2116"/>
      <c r="OOM359" s="2116"/>
      <c r="OON359" s="2116"/>
      <c r="OOO359" s="2116" t="s">
        <v>1869</v>
      </c>
      <c r="OOP359" s="2116"/>
      <c r="OOQ359" s="2116"/>
      <c r="OOR359" s="2116"/>
      <c r="OOS359" s="2116"/>
      <c r="OOT359" s="2116"/>
      <c r="OOU359" s="2116"/>
      <c r="OOV359" s="2116"/>
      <c r="OOW359" s="2116"/>
      <c r="OOX359" s="2116"/>
      <c r="OOY359" s="2116"/>
      <c r="OOZ359" s="2116"/>
      <c r="OPA359" s="2116"/>
      <c r="OPB359" s="2116"/>
      <c r="OPC359" s="2116"/>
      <c r="OPD359" s="2116"/>
      <c r="OPE359" s="2116" t="s">
        <v>1869</v>
      </c>
      <c r="OPF359" s="2116"/>
      <c r="OPG359" s="2116"/>
      <c r="OPH359" s="2116"/>
      <c r="OPI359" s="2116"/>
      <c r="OPJ359" s="2116"/>
      <c r="OPK359" s="2116"/>
      <c r="OPL359" s="2116"/>
      <c r="OPM359" s="2116"/>
      <c r="OPN359" s="2116"/>
      <c r="OPO359" s="2116"/>
      <c r="OPP359" s="2116"/>
      <c r="OPQ359" s="2116"/>
      <c r="OPR359" s="2116"/>
      <c r="OPS359" s="2116"/>
      <c r="OPT359" s="2116"/>
      <c r="OPU359" s="2116" t="s">
        <v>1869</v>
      </c>
      <c r="OPV359" s="2116"/>
      <c r="OPW359" s="2116"/>
      <c r="OPX359" s="2116"/>
      <c r="OPY359" s="2116"/>
      <c r="OPZ359" s="2116"/>
      <c r="OQA359" s="2116"/>
      <c r="OQB359" s="2116"/>
      <c r="OQC359" s="2116"/>
      <c r="OQD359" s="2116"/>
      <c r="OQE359" s="2116"/>
      <c r="OQF359" s="2116"/>
      <c r="OQG359" s="2116"/>
      <c r="OQH359" s="2116"/>
      <c r="OQI359" s="2116"/>
      <c r="OQJ359" s="2116"/>
      <c r="OQK359" s="2116" t="s">
        <v>1869</v>
      </c>
      <c r="OQL359" s="2116"/>
      <c r="OQM359" s="2116"/>
      <c r="OQN359" s="2116"/>
      <c r="OQO359" s="2116"/>
      <c r="OQP359" s="2116"/>
      <c r="OQQ359" s="2116"/>
      <c r="OQR359" s="2116"/>
      <c r="OQS359" s="2116"/>
      <c r="OQT359" s="2116"/>
      <c r="OQU359" s="2116"/>
      <c r="OQV359" s="2116"/>
      <c r="OQW359" s="2116"/>
      <c r="OQX359" s="2116"/>
      <c r="OQY359" s="2116"/>
      <c r="OQZ359" s="2116"/>
      <c r="ORA359" s="2116" t="s">
        <v>1869</v>
      </c>
      <c r="ORB359" s="2116"/>
      <c r="ORC359" s="2116"/>
      <c r="ORD359" s="2116"/>
      <c r="ORE359" s="2116"/>
      <c r="ORF359" s="2116"/>
      <c r="ORG359" s="2116"/>
      <c r="ORH359" s="2116"/>
      <c r="ORI359" s="2116"/>
      <c r="ORJ359" s="2116"/>
      <c r="ORK359" s="2116"/>
      <c r="ORL359" s="2116"/>
      <c r="ORM359" s="2116"/>
      <c r="ORN359" s="2116"/>
      <c r="ORO359" s="2116"/>
      <c r="ORP359" s="2116"/>
      <c r="ORQ359" s="2116" t="s">
        <v>1869</v>
      </c>
      <c r="ORR359" s="2116"/>
      <c r="ORS359" s="2116"/>
      <c r="ORT359" s="2116"/>
      <c r="ORU359" s="2116"/>
      <c r="ORV359" s="2116"/>
      <c r="ORW359" s="2116"/>
      <c r="ORX359" s="2116"/>
      <c r="ORY359" s="2116"/>
      <c r="ORZ359" s="2116"/>
      <c r="OSA359" s="2116"/>
      <c r="OSB359" s="2116"/>
      <c r="OSC359" s="2116"/>
      <c r="OSD359" s="2116"/>
      <c r="OSE359" s="2116"/>
      <c r="OSF359" s="2116"/>
      <c r="OSG359" s="2116" t="s">
        <v>1869</v>
      </c>
      <c r="OSH359" s="2116"/>
      <c r="OSI359" s="2116"/>
      <c r="OSJ359" s="2116"/>
      <c r="OSK359" s="2116"/>
      <c r="OSL359" s="2116"/>
      <c r="OSM359" s="2116"/>
      <c r="OSN359" s="2116"/>
      <c r="OSO359" s="2116"/>
      <c r="OSP359" s="2116"/>
      <c r="OSQ359" s="2116"/>
      <c r="OSR359" s="2116"/>
      <c r="OSS359" s="2116"/>
      <c r="OST359" s="2116"/>
      <c r="OSU359" s="2116"/>
      <c r="OSV359" s="2116"/>
      <c r="OSW359" s="2116" t="s">
        <v>1869</v>
      </c>
      <c r="OSX359" s="2116"/>
      <c r="OSY359" s="2116"/>
      <c r="OSZ359" s="2116"/>
      <c r="OTA359" s="2116"/>
      <c r="OTB359" s="2116"/>
      <c r="OTC359" s="2116"/>
      <c r="OTD359" s="2116"/>
      <c r="OTE359" s="2116"/>
      <c r="OTF359" s="2116"/>
      <c r="OTG359" s="2116"/>
      <c r="OTH359" s="2116"/>
      <c r="OTI359" s="2116"/>
      <c r="OTJ359" s="2116"/>
      <c r="OTK359" s="2116"/>
      <c r="OTL359" s="2116"/>
      <c r="OTM359" s="2116" t="s">
        <v>1869</v>
      </c>
      <c r="OTN359" s="2116"/>
      <c r="OTO359" s="2116"/>
      <c r="OTP359" s="2116"/>
      <c r="OTQ359" s="2116"/>
      <c r="OTR359" s="2116"/>
      <c r="OTS359" s="2116"/>
      <c r="OTT359" s="2116"/>
      <c r="OTU359" s="2116"/>
      <c r="OTV359" s="2116"/>
      <c r="OTW359" s="2116"/>
      <c r="OTX359" s="2116"/>
      <c r="OTY359" s="2116"/>
      <c r="OTZ359" s="2116"/>
      <c r="OUA359" s="2116"/>
      <c r="OUB359" s="2116"/>
      <c r="OUC359" s="2116" t="s">
        <v>1869</v>
      </c>
      <c r="OUD359" s="2116"/>
      <c r="OUE359" s="2116"/>
      <c r="OUF359" s="2116"/>
      <c r="OUG359" s="2116"/>
      <c r="OUH359" s="2116"/>
      <c r="OUI359" s="2116"/>
      <c r="OUJ359" s="2116"/>
      <c r="OUK359" s="2116"/>
      <c r="OUL359" s="2116"/>
      <c r="OUM359" s="2116"/>
      <c r="OUN359" s="2116"/>
      <c r="OUO359" s="2116"/>
      <c r="OUP359" s="2116"/>
      <c r="OUQ359" s="2116"/>
      <c r="OUR359" s="2116"/>
      <c r="OUS359" s="2116" t="s">
        <v>1869</v>
      </c>
      <c r="OUT359" s="2116"/>
      <c r="OUU359" s="2116"/>
      <c r="OUV359" s="2116"/>
      <c r="OUW359" s="2116"/>
      <c r="OUX359" s="2116"/>
      <c r="OUY359" s="2116"/>
      <c r="OUZ359" s="2116"/>
      <c r="OVA359" s="2116"/>
      <c r="OVB359" s="2116"/>
      <c r="OVC359" s="2116"/>
      <c r="OVD359" s="2116"/>
      <c r="OVE359" s="2116"/>
      <c r="OVF359" s="2116"/>
      <c r="OVG359" s="2116"/>
      <c r="OVH359" s="2116"/>
      <c r="OVI359" s="2116" t="s">
        <v>1869</v>
      </c>
      <c r="OVJ359" s="2116"/>
      <c r="OVK359" s="2116"/>
      <c r="OVL359" s="2116"/>
      <c r="OVM359" s="2116"/>
      <c r="OVN359" s="2116"/>
      <c r="OVO359" s="2116"/>
      <c r="OVP359" s="2116"/>
      <c r="OVQ359" s="2116"/>
      <c r="OVR359" s="2116"/>
      <c r="OVS359" s="2116"/>
      <c r="OVT359" s="2116"/>
      <c r="OVU359" s="2116"/>
      <c r="OVV359" s="2116"/>
      <c r="OVW359" s="2116"/>
      <c r="OVX359" s="2116"/>
      <c r="OVY359" s="2116" t="s">
        <v>1869</v>
      </c>
      <c r="OVZ359" s="2116"/>
      <c r="OWA359" s="2116"/>
      <c r="OWB359" s="2116"/>
      <c r="OWC359" s="2116"/>
      <c r="OWD359" s="2116"/>
      <c r="OWE359" s="2116"/>
      <c r="OWF359" s="2116"/>
      <c r="OWG359" s="2116"/>
      <c r="OWH359" s="2116"/>
      <c r="OWI359" s="2116"/>
      <c r="OWJ359" s="2116"/>
      <c r="OWK359" s="2116"/>
      <c r="OWL359" s="2116"/>
      <c r="OWM359" s="2116"/>
      <c r="OWN359" s="2116"/>
      <c r="OWO359" s="2116" t="s">
        <v>1869</v>
      </c>
      <c r="OWP359" s="2116"/>
      <c r="OWQ359" s="2116"/>
      <c r="OWR359" s="2116"/>
      <c r="OWS359" s="2116"/>
      <c r="OWT359" s="2116"/>
      <c r="OWU359" s="2116"/>
      <c r="OWV359" s="2116"/>
      <c r="OWW359" s="2116"/>
      <c r="OWX359" s="2116"/>
      <c r="OWY359" s="2116"/>
      <c r="OWZ359" s="2116"/>
      <c r="OXA359" s="2116"/>
      <c r="OXB359" s="2116"/>
      <c r="OXC359" s="2116"/>
      <c r="OXD359" s="2116"/>
      <c r="OXE359" s="2116" t="s">
        <v>1869</v>
      </c>
      <c r="OXF359" s="2116"/>
      <c r="OXG359" s="2116"/>
      <c r="OXH359" s="2116"/>
      <c r="OXI359" s="2116"/>
      <c r="OXJ359" s="2116"/>
      <c r="OXK359" s="2116"/>
      <c r="OXL359" s="2116"/>
      <c r="OXM359" s="2116"/>
      <c r="OXN359" s="2116"/>
      <c r="OXO359" s="2116"/>
      <c r="OXP359" s="2116"/>
      <c r="OXQ359" s="2116"/>
      <c r="OXR359" s="2116"/>
      <c r="OXS359" s="2116"/>
      <c r="OXT359" s="2116"/>
      <c r="OXU359" s="2116" t="s">
        <v>1869</v>
      </c>
      <c r="OXV359" s="2116"/>
      <c r="OXW359" s="2116"/>
      <c r="OXX359" s="2116"/>
      <c r="OXY359" s="2116"/>
      <c r="OXZ359" s="2116"/>
      <c r="OYA359" s="2116"/>
      <c r="OYB359" s="2116"/>
      <c r="OYC359" s="2116"/>
      <c r="OYD359" s="2116"/>
      <c r="OYE359" s="2116"/>
      <c r="OYF359" s="2116"/>
      <c r="OYG359" s="2116"/>
      <c r="OYH359" s="2116"/>
      <c r="OYI359" s="2116"/>
      <c r="OYJ359" s="2116"/>
      <c r="OYK359" s="2116" t="s">
        <v>1869</v>
      </c>
      <c r="OYL359" s="2116"/>
      <c r="OYM359" s="2116"/>
      <c r="OYN359" s="2116"/>
      <c r="OYO359" s="2116"/>
      <c r="OYP359" s="2116"/>
      <c r="OYQ359" s="2116"/>
      <c r="OYR359" s="2116"/>
      <c r="OYS359" s="2116"/>
      <c r="OYT359" s="2116"/>
      <c r="OYU359" s="2116"/>
      <c r="OYV359" s="2116"/>
      <c r="OYW359" s="2116"/>
      <c r="OYX359" s="2116"/>
      <c r="OYY359" s="2116"/>
      <c r="OYZ359" s="2116"/>
      <c r="OZA359" s="2116" t="s">
        <v>1869</v>
      </c>
      <c r="OZB359" s="2116"/>
      <c r="OZC359" s="2116"/>
      <c r="OZD359" s="2116"/>
      <c r="OZE359" s="2116"/>
      <c r="OZF359" s="2116"/>
      <c r="OZG359" s="2116"/>
      <c r="OZH359" s="2116"/>
      <c r="OZI359" s="2116"/>
      <c r="OZJ359" s="2116"/>
      <c r="OZK359" s="2116"/>
      <c r="OZL359" s="2116"/>
      <c r="OZM359" s="2116"/>
      <c r="OZN359" s="2116"/>
      <c r="OZO359" s="2116"/>
      <c r="OZP359" s="2116"/>
      <c r="OZQ359" s="2116" t="s">
        <v>1869</v>
      </c>
      <c r="OZR359" s="2116"/>
      <c r="OZS359" s="2116"/>
      <c r="OZT359" s="2116"/>
      <c r="OZU359" s="2116"/>
      <c r="OZV359" s="2116"/>
      <c r="OZW359" s="2116"/>
      <c r="OZX359" s="2116"/>
      <c r="OZY359" s="2116"/>
      <c r="OZZ359" s="2116"/>
      <c r="PAA359" s="2116"/>
      <c r="PAB359" s="2116"/>
      <c r="PAC359" s="2116"/>
      <c r="PAD359" s="2116"/>
      <c r="PAE359" s="2116"/>
      <c r="PAF359" s="2116"/>
      <c r="PAG359" s="2116" t="s">
        <v>1869</v>
      </c>
      <c r="PAH359" s="2116"/>
      <c r="PAI359" s="2116"/>
      <c r="PAJ359" s="2116"/>
      <c r="PAK359" s="2116"/>
      <c r="PAL359" s="2116"/>
      <c r="PAM359" s="2116"/>
      <c r="PAN359" s="2116"/>
      <c r="PAO359" s="2116"/>
      <c r="PAP359" s="2116"/>
      <c r="PAQ359" s="2116"/>
      <c r="PAR359" s="2116"/>
      <c r="PAS359" s="2116"/>
      <c r="PAT359" s="2116"/>
      <c r="PAU359" s="2116"/>
      <c r="PAV359" s="2116"/>
      <c r="PAW359" s="2116" t="s">
        <v>1869</v>
      </c>
      <c r="PAX359" s="2116"/>
      <c r="PAY359" s="2116"/>
      <c r="PAZ359" s="2116"/>
      <c r="PBA359" s="2116"/>
      <c r="PBB359" s="2116"/>
      <c r="PBC359" s="2116"/>
      <c r="PBD359" s="2116"/>
      <c r="PBE359" s="2116"/>
      <c r="PBF359" s="2116"/>
      <c r="PBG359" s="2116"/>
      <c r="PBH359" s="2116"/>
      <c r="PBI359" s="2116"/>
      <c r="PBJ359" s="2116"/>
      <c r="PBK359" s="2116"/>
      <c r="PBL359" s="2116"/>
      <c r="PBM359" s="2116" t="s">
        <v>1869</v>
      </c>
      <c r="PBN359" s="2116"/>
      <c r="PBO359" s="2116"/>
      <c r="PBP359" s="2116"/>
      <c r="PBQ359" s="2116"/>
      <c r="PBR359" s="2116"/>
      <c r="PBS359" s="2116"/>
      <c r="PBT359" s="2116"/>
      <c r="PBU359" s="2116"/>
      <c r="PBV359" s="2116"/>
      <c r="PBW359" s="2116"/>
      <c r="PBX359" s="2116"/>
      <c r="PBY359" s="2116"/>
      <c r="PBZ359" s="2116"/>
      <c r="PCA359" s="2116"/>
      <c r="PCB359" s="2116"/>
      <c r="PCC359" s="2116" t="s">
        <v>1869</v>
      </c>
      <c r="PCD359" s="2116"/>
      <c r="PCE359" s="2116"/>
      <c r="PCF359" s="2116"/>
      <c r="PCG359" s="2116"/>
      <c r="PCH359" s="2116"/>
      <c r="PCI359" s="2116"/>
      <c r="PCJ359" s="2116"/>
      <c r="PCK359" s="2116"/>
      <c r="PCL359" s="2116"/>
      <c r="PCM359" s="2116"/>
      <c r="PCN359" s="2116"/>
      <c r="PCO359" s="2116"/>
      <c r="PCP359" s="2116"/>
      <c r="PCQ359" s="2116"/>
      <c r="PCR359" s="2116"/>
      <c r="PCS359" s="2116" t="s">
        <v>1869</v>
      </c>
      <c r="PCT359" s="2116"/>
      <c r="PCU359" s="2116"/>
      <c r="PCV359" s="2116"/>
      <c r="PCW359" s="2116"/>
      <c r="PCX359" s="2116"/>
      <c r="PCY359" s="2116"/>
      <c r="PCZ359" s="2116"/>
      <c r="PDA359" s="2116"/>
      <c r="PDB359" s="2116"/>
      <c r="PDC359" s="2116"/>
      <c r="PDD359" s="2116"/>
      <c r="PDE359" s="2116"/>
      <c r="PDF359" s="2116"/>
      <c r="PDG359" s="2116"/>
      <c r="PDH359" s="2116"/>
      <c r="PDI359" s="2116" t="s">
        <v>1869</v>
      </c>
      <c r="PDJ359" s="2116"/>
      <c r="PDK359" s="2116"/>
      <c r="PDL359" s="2116"/>
      <c r="PDM359" s="2116"/>
      <c r="PDN359" s="2116"/>
      <c r="PDO359" s="2116"/>
      <c r="PDP359" s="2116"/>
      <c r="PDQ359" s="2116"/>
      <c r="PDR359" s="2116"/>
      <c r="PDS359" s="2116"/>
      <c r="PDT359" s="2116"/>
      <c r="PDU359" s="2116"/>
      <c r="PDV359" s="2116"/>
      <c r="PDW359" s="2116"/>
      <c r="PDX359" s="2116"/>
      <c r="PDY359" s="2116" t="s">
        <v>1869</v>
      </c>
      <c r="PDZ359" s="2116"/>
      <c r="PEA359" s="2116"/>
      <c r="PEB359" s="2116"/>
      <c r="PEC359" s="2116"/>
      <c r="PED359" s="2116"/>
      <c r="PEE359" s="2116"/>
      <c r="PEF359" s="2116"/>
      <c r="PEG359" s="2116"/>
      <c r="PEH359" s="2116"/>
      <c r="PEI359" s="2116"/>
      <c r="PEJ359" s="2116"/>
      <c r="PEK359" s="2116"/>
      <c r="PEL359" s="2116"/>
      <c r="PEM359" s="2116"/>
      <c r="PEN359" s="2116"/>
      <c r="PEO359" s="2116" t="s">
        <v>1869</v>
      </c>
      <c r="PEP359" s="2116"/>
      <c r="PEQ359" s="2116"/>
      <c r="PER359" s="2116"/>
      <c r="PES359" s="2116"/>
      <c r="PET359" s="2116"/>
      <c r="PEU359" s="2116"/>
      <c r="PEV359" s="2116"/>
      <c r="PEW359" s="2116"/>
      <c r="PEX359" s="2116"/>
      <c r="PEY359" s="2116"/>
      <c r="PEZ359" s="2116"/>
      <c r="PFA359" s="2116"/>
      <c r="PFB359" s="2116"/>
      <c r="PFC359" s="2116"/>
      <c r="PFD359" s="2116"/>
      <c r="PFE359" s="2116" t="s">
        <v>1869</v>
      </c>
      <c r="PFF359" s="2116"/>
      <c r="PFG359" s="2116"/>
      <c r="PFH359" s="2116"/>
      <c r="PFI359" s="2116"/>
      <c r="PFJ359" s="2116"/>
      <c r="PFK359" s="2116"/>
      <c r="PFL359" s="2116"/>
      <c r="PFM359" s="2116"/>
      <c r="PFN359" s="2116"/>
      <c r="PFO359" s="2116"/>
      <c r="PFP359" s="2116"/>
      <c r="PFQ359" s="2116"/>
      <c r="PFR359" s="2116"/>
      <c r="PFS359" s="2116"/>
      <c r="PFT359" s="2116"/>
      <c r="PFU359" s="2116" t="s">
        <v>1869</v>
      </c>
      <c r="PFV359" s="2116"/>
      <c r="PFW359" s="2116"/>
      <c r="PFX359" s="2116"/>
      <c r="PFY359" s="2116"/>
      <c r="PFZ359" s="2116"/>
      <c r="PGA359" s="2116"/>
      <c r="PGB359" s="2116"/>
      <c r="PGC359" s="2116"/>
      <c r="PGD359" s="2116"/>
      <c r="PGE359" s="2116"/>
      <c r="PGF359" s="2116"/>
      <c r="PGG359" s="2116"/>
      <c r="PGH359" s="2116"/>
      <c r="PGI359" s="2116"/>
      <c r="PGJ359" s="2116"/>
      <c r="PGK359" s="2116" t="s">
        <v>1869</v>
      </c>
      <c r="PGL359" s="2116"/>
      <c r="PGM359" s="2116"/>
      <c r="PGN359" s="2116"/>
      <c r="PGO359" s="2116"/>
      <c r="PGP359" s="2116"/>
      <c r="PGQ359" s="2116"/>
      <c r="PGR359" s="2116"/>
      <c r="PGS359" s="2116"/>
      <c r="PGT359" s="2116"/>
      <c r="PGU359" s="2116"/>
      <c r="PGV359" s="2116"/>
      <c r="PGW359" s="2116"/>
      <c r="PGX359" s="2116"/>
      <c r="PGY359" s="2116"/>
      <c r="PGZ359" s="2116"/>
      <c r="PHA359" s="2116" t="s">
        <v>1869</v>
      </c>
      <c r="PHB359" s="2116"/>
      <c r="PHC359" s="2116"/>
      <c r="PHD359" s="2116"/>
      <c r="PHE359" s="2116"/>
      <c r="PHF359" s="2116"/>
      <c r="PHG359" s="2116"/>
      <c r="PHH359" s="2116"/>
      <c r="PHI359" s="2116"/>
      <c r="PHJ359" s="2116"/>
      <c r="PHK359" s="2116"/>
      <c r="PHL359" s="2116"/>
      <c r="PHM359" s="2116"/>
      <c r="PHN359" s="2116"/>
      <c r="PHO359" s="2116"/>
      <c r="PHP359" s="2116"/>
      <c r="PHQ359" s="2116" t="s">
        <v>1869</v>
      </c>
      <c r="PHR359" s="2116"/>
      <c r="PHS359" s="2116"/>
      <c r="PHT359" s="2116"/>
      <c r="PHU359" s="2116"/>
      <c r="PHV359" s="2116"/>
      <c r="PHW359" s="2116"/>
      <c r="PHX359" s="2116"/>
      <c r="PHY359" s="2116"/>
      <c r="PHZ359" s="2116"/>
      <c r="PIA359" s="2116"/>
      <c r="PIB359" s="2116"/>
      <c r="PIC359" s="2116"/>
      <c r="PID359" s="2116"/>
      <c r="PIE359" s="2116"/>
      <c r="PIF359" s="2116"/>
      <c r="PIG359" s="2116" t="s">
        <v>1869</v>
      </c>
      <c r="PIH359" s="2116"/>
      <c r="PII359" s="2116"/>
      <c r="PIJ359" s="2116"/>
      <c r="PIK359" s="2116"/>
      <c r="PIL359" s="2116"/>
      <c r="PIM359" s="2116"/>
      <c r="PIN359" s="2116"/>
      <c r="PIO359" s="2116"/>
      <c r="PIP359" s="2116"/>
      <c r="PIQ359" s="2116"/>
      <c r="PIR359" s="2116"/>
      <c r="PIS359" s="2116"/>
      <c r="PIT359" s="2116"/>
      <c r="PIU359" s="2116"/>
      <c r="PIV359" s="2116"/>
      <c r="PIW359" s="2116" t="s">
        <v>1869</v>
      </c>
      <c r="PIX359" s="2116"/>
      <c r="PIY359" s="2116"/>
      <c r="PIZ359" s="2116"/>
      <c r="PJA359" s="2116"/>
      <c r="PJB359" s="2116"/>
      <c r="PJC359" s="2116"/>
      <c r="PJD359" s="2116"/>
      <c r="PJE359" s="2116"/>
      <c r="PJF359" s="2116"/>
      <c r="PJG359" s="2116"/>
      <c r="PJH359" s="2116"/>
      <c r="PJI359" s="2116"/>
      <c r="PJJ359" s="2116"/>
      <c r="PJK359" s="2116"/>
      <c r="PJL359" s="2116"/>
      <c r="PJM359" s="2116" t="s">
        <v>1869</v>
      </c>
      <c r="PJN359" s="2116"/>
      <c r="PJO359" s="2116"/>
      <c r="PJP359" s="2116"/>
      <c r="PJQ359" s="2116"/>
      <c r="PJR359" s="2116"/>
      <c r="PJS359" s="2116"/>
      <c r="PJT359" s="2116"/>
      <c r="PJU359" s="2116"/>
      <c r="PJV359" s="2116"/>
      <c r="PJW359" s="2116"/>
      <c r="PJX359" s="2116"/>
      <c r="PJY359" s="2116"/>
      <c r="PJZ359" s="2116"/>
      <c r="PKA359" s="2116"/>
      <c r="PKB359" s="2116"/>
      <c r="PKC359" s="2116" t="s">
        <v>1869</v>
      </c>
      <c r="PKD359" s="2116"/>
      <c r="PKE359" s="2116"/>
      <c r="PKF359" s="2116"/>
      <c r="PKG359" s="2116"/>
      <c r="PKH359" s="2116"/>
      <c r="PKI359" s="2116"/>
      <c r="PKJ359" s="2116"/>
      <c r="PKK359" s="2116"/>
      <c r="PKL359" s="2116"/>
      <c r="PKM359" s="2116"/>
      <c r="PKN359" s="2116"/>
      <c r="PKO359" s="2116"/>
      <c r="PKP359" s="2116"/>
      <c r="PKQ359" s="2116"/>
      <c r="PKR359" s="2116"/>
      <c r="PKS359" s="2116" t="s">
        <v>1869</v>
      </c>
      <c r="PKT359" s="2116"/>
      <c r="PKU359" s="2116"/>
      <c r="PKV359" s="2116"/>
      <c r="PKW359" s="2116"/>
      <c r="PKX359" s="2116"/>
      <c r="PKY359" s="2116"/>
      <c r="PKZ359" s="2116"/>
      <c r="PLA359" s="2116"/>
      <c r="PLB359" s="2116"/>
      <c r="PLC359" s="2116"/>
      <c r="PLD359" s="2116"/>
      <c r="PLE359" s="2116"/>
      <c r="PLF359" s="2116"/>
      <c r="PLG359" s="2116"/>
      <c r="PLH359" s="2116"/>
      <c r="PLI359" s="2116" t="s">
        <v>1869</v>
      </c>
      <c r="PLJ359" s="2116"/>
      <c r="PLK359" s="2116"/>
      <c r="PLL359" s="2116"/>
      <c r="PLM359" s="2116"/>
      <c r="PLN359" s="2116"/>
      <c r="PLO359" s="2116"/>
      <c r="PLP359" s="2116"/>
      <c r="PLQ359" s="2116"/>
      <c r="PLR359" s="2116"/>
      <c r="PLS359" s="2116"/>
      <c r="PLT359" s="2116"/>
      <c r="PLU359" s="2116"/>
      <c r="PLV359" s="2116"/>
      <c r="PLW359" s="2116"/>
      <c r="PLX359" s="2116"/>
      <c r="PLY359" s="2116" t="s">
        <v>1869</v>
      </c>
      <c r="PLZ359" s="2116"/>
      <c r="PMA359" s="2116"/>
      <c r="PMB359" s="2116"/>
      <c r="PMC359" s="2116"/>
      <c r="PMD359" s="2116"/>
      <c r="PME359" s="2116"/>
      <c r="PMF359" s="2116"/>
      <c r="PMG359" s="2116"/>
      <c r="PMH359" s="2116"/>
      <c r="PMI359" s="2116"/>
      <c r="PMJ359" s="2116"/>
      <c r="PMK359" s="2116"/>
      <c r="PML359" s="2116"/>
      <c r="PMM359" s="2116"/>
      <c r="PMN359" s="2116"/>
      <c r="PMO359" s="2116" t="s">
        <v>1869</v>
      </c>
      <c r="PMP359" s="2116"/>
      <c r="PMQ359" s="2116"/>
      <c r="PMR359" s="2116"/>
      <c r="PMS359" s="2116"/>
      <c r="PMT359" s="2116"/>
      <c r="PMU359" s="2116"/>
      <c r="PMV359" s="2116"/>
      <c r="PMW359" s="2116"/>
      <c r="PMX359" s="2116"/>
      <c r="PMY359" s="2116"/>
      <c r="PMZ359" s="2116"/>
      <c r="PNA359" s="2116"/>
      <c r="PNB359" s="2116"/>
      <c r="PNC359" s="2116"/>
      <c r="PND359" s="2116"/>
      <c r="PNE359" s="2116" t="s">
        <v>1869</v>
      </c>
      <c r="PNF359" s="2116"/>
      <c r="PNG359" s="2116"/>
      <c r="PNH359" s="2116"/>
      <c r="PNI359" s="2116"/>
      <c r="PNJ359" s="2116"/>
      <c r="PNK359" s="2116"/>
      <c r="PNL359" s="2116"/>
      <c r="PNM359" s="2116"/>
      <c r="PNN359" s="2116"/>
      <c r="PNO359" s="2116"/>
      <c r="PNP359" s="2116"/>
      <c r="PNQ359" s="2116"/>
      <c r="PNR359" s="2116"/>
      <c r="PNS359" s="2116"/>
      <c r="PNT359" s="2116"/>
      <c r="PNU359" s="2116" t="s">
        <v>1869</v>
      </c>
      <c r="PNV359" s="2116"/>
      <c r="PNW359" s="2116"/>
      <c r="PNX359" s="2116"/>
      <c r="PNY359" s="2116"/>
      <c r="PNZ359" s="2116"/>
      <c r="POA359" s="2116"/>
      <c r="POB359" s="2116"/>
      <c r="POC359" s="2116"/>
      <c r="POD359" s="2116"/>
      <c r="POE359" s="2116"/>
      <c r="POF359" s="2116"/>
      <c r="POG359" s="2116"/>
      <c r="POH359" s="2116"/>
      <c r="POI359" s="2116"/>
      <c r="POJ359" s="2116"/>
      <c r="POK359" s="2116" t="s">
        <v>1869</v>
      </c>
      <c r="POL359" s="2116"/>
      <c r="POM359" s="2116"/>
      <c r="PON359" s="2116"/>
      <c r="POO359" s="2116"/>
      <c r="POP359" s="2116"/>
      <c r="POQ359" s="2116"/>
      <c r="POR359" s="2116"/>
      <c r="POS359" s="2116"/>
      <c r="POT359" s="2116"/>
      <c r="POU359" s="2116"/>
      <c r="POV359" s="2116"/>
      <c r="POW359" s="2116"/>
      <c r="POX359" s="2116"/>
      <c r="POY359" s="2116"/>
      <c r="POZ359" s="2116"/>
      <c r="PPA359" s="2116" t="s">
        <v>1869</v>
      </c>
      <c r="PPB359" s="2116"/>
      <c r="PPC359" s="2116"/>
      <c r="PPD359" s="2116"/>
      <c r="PPE359" s="2116"/>
      <c r="PPF359" s="2116"/>
      <c r="PPG359" s="2116"/>
      <c r="PPH359" s="2116"/>
      <c r="PPI359" s="2116"/>
      <c r="PPJ359" s="2116"/>
      <c r="PPK359" s="2116"/>
      <c r="PPL359" s="2116"/>
      <c r="PPM359" s="2116"/>
      <c r="PPN359" s="2116"/>
      <c r="PPO359" s="2116"/>
      <c r="PPP359" s="2116"/>
      <c r="PPQ359" s="2116" t="s">
        <v>1869</v>
      </c>
      <c r="PPR359" s="2116"/>
      <c r="PPS359" s="2116"/>
      <c r="PPT359" s="2116"/>
      <c r="PPU359" s="2116"/>
      <c r="PPV359" s="2116"/>
      <c r="PPW359" s="2116"/>
      <c r="PPX359" s="2116"/>
      <c r="PPY359" s="2116"/>
      <c r="PPZ359" s="2116"/>
      <c r="PQA359" s="2116"/>
      <c r="PQB359" s="2116"/>
      <c r="PQC359" s="2116"/>
      <c r="PQD359" s="2116"/>
      <c r="PQE359" s="2116"/>
      <c r="PQF359" s="2116"/>
      <c r="PQG359" s="2116" t="s">
        <v>1869</v>
      </c>
      <c r="PQH359" s="2116"/>
      <c r="PQI359" s="2116"/>
      <c r="PQJ359" s="2116"/>
      <c r="PQK359" s="2116"/>
      <c r="PQL359" s="2116"/>
      <c r="PQM359" s="2116"/>
      <c r="PQN359" s="2116"/>
      <c r="PQO359" s="2116"/>
      <c r="PQP359" s="2116"/>
      <c r="PQQ359" s="2116"/>
      <c r="PQR359" s="2116"/>
      <c r="PQS359" s="2116"/>
      <c r="PQT359" s="2116"/>
      <c r="PQU359" s="2116"/>
      <c r="PQV359" s="2116"/>
      <c r="PQW359" s="2116" t="s">
        <v>1869</v>
      </c>
      <c r="PQX359" s="2116"/>
      <c r="PQY359" s="2116"/>
      <c r="PQZ359" s="2116"/>
      <c r="PRA359" s="2116"/>
      <c r="PRB359" s="2116"/>
      <c r="PRC359" s="2116"/>
      <c r="PRD359" s="2116"/>
      <c r="PRE359" s="2116"/>
      <c r="PRF359" s="2116"/>
      <c r="PRG359" s="2116"/>
      <c r="PRH359" s="2116"/>
      <c r="PRI359" s="2116"/>
      <c r="PRJ359" s="2116"/>
      <c r="PRK359" s="2116"/>
      <c r="PRL359" s="2116"/>
      <c r="PRM359" s="2116" t="s">
        <v>1869</v>
      </c>
      <c r="PRN359" s="2116"/>
      <c r="PRO359" s="2116"/>
      <c r="PRP359" s="2116"/>
      <c r="PRQ359" s="2116"/>
      <c r="PRR359" s="2116"/>
      <c r="PRS359" s="2116"/>
      <c r="PRT359" s="2116"/>
      <c r="PRU359" s="2116"/>
      <c r="PRV359" s="2116"/>
      <c r="PRW359" s="2116"/>
      <c r="PRX359" s="2116"/>
      <c r="PRY359" s="2116"/>
      <c r="PRZ359" s="2116"/>
      <c r="PSA359" s="2116"/>
      <c r="PSB359" s="2116"/>
      <c r="PSC359" s="2116" t="s">
        <v>1869</v>
      </c>
      <c r="PSD359" s="2116"/>
      <c r="PSE359" s="2116"/>
      <c r="PSF359" s="2116"/>
      <c r="PSG359" s="2116"/>
      <c r="PSH359" s="2116"/>
      <c r="PSI359" s="2116"/>
      <c r="PSJ359" s="2116"/>
      <c r="PSK359" s="2116"/>
      <c r="PSL359" s="2116"/>
      <c r="PSM359" s="2116"/>
      <c r="PSN359" s="2116"/>
      <c r="PSO359" s="2116"/>
      <c r="PSP359" s="2116"/>
      <c r="PSQ359" s="2116"/>
      <c r="PSR359" s="2116"/>
      <c r="PSS359" s="2116" t="s">
        <v>1869</v>
      </c>
      <c r="PST359" s="2116"/>
      <c r="PSU359" s="2116"/>
      <c r="PSV359" s="2116"/>
      <c r="PSW359" s="2116"/>
      <c r="PSX359" s="2116"/>
      <c r="PSY359" s="2116"/>
      <c r="PSZ359" s="2116"/>
      <c r="PTA359" s="2116"/>
      <c r="PTB359" s="2116"/>
      <c r="PTC359" s="2116"/>
      <c r="PTD359" s="2116"/>
      <c r="PTE359" s="2116"/>
      <c r="PTF359" s="2116"/>
      <c r="PTG359" s="2116"/>
      <c r="PTH359" s="2116"/>
      <c r="PTI359" s="2116" t="s">
        <v>1869</v>
      </c>
      <c r="PTJ359" s="2116"/>
      <c r="PTK359" s="2116"/>
      <c r="PTL359" s="2116"/>
      <c r="PTM359" s="2116"/>
      <c r="PTN359" s="2116"/>
      <c r="PTO359" s="2116"/>
      <c r="PTP359" s="2116"/>
      <c r="PTQ359" s="2116"/>
      <c r="PTR359" s="2116"/>
      <c r="PTS359" s="2116"/>
      <c r="PTT359" s="2116"/>
      <c r="PTU359" s="2116"/>
      <c r="PTV359" s="2116"/>
      <c r="PTW359" s="2116"/>
      <c r="PTX359" s="2116"/>
      <c r="PTY359" s="2116" t="s">
        <v>1869</v>
      </c>
      <c r="PTZ359" s="2116"/>
      <c r="PUA359" s="2116"/>
      <c r="PUB359" s="2116"/>
      <c r="PUC359" s="2116"/>
      <c r="PUD359" s="2116"/>
      <c r="PUE359" s="2116"/>
      <c r="PUF359" s="2116"/>
      <c r="PUG359" s="2116"/>
      <c r="PUH359" s="2116"/>
      <c r="PUI359" s="2116"/>
      <c r="PUJ359" s="2116"/>
      <c r="PUK359" s="2116"/>
      <c r="PUL359" s="2116"/>
      <c r="PUM359" s="2116"/>
      <c r="PUN359" s="2116"/>
      <c r="PUO359" s="2116" t="s">
        <v>1869</v>
      </c>
      <c r="PUP359" s="2116"/>
      <c r="PUQ359" s="2116"/>
      <c r="PUR359" s="2116"/>
      <c r="PUS359" s="2116"/>
      <c r="PUT359" s="2116"/>
      <c r="PUU359" s="2116"/>
      <c r="PUV359" s="2116"/>
      <c r="PUW359" s="2116"/>
      <c r="PUX359" s="2116"/>
      <c r="PUY359" s="2116"/>
      <c r="PUZ359" s="2116"/>
      <c r="PVA359" s="2116"/>
      <c r="PVB359" s="2116"/>
      <c r="PVC359" s="2116"/>
      <c r="PVD359" s="2116"/>
      <c r="PVE359" s="2116" t="s">
        <v>1869</v>
      </c>
      <c r="PVF359" s="2116"/>
      <c r="PVG359" s="2116"/>
      <c r="PVH359" s="2116"/>
      <c r="PVI359" s="2116"/>
      <c r="PVJ359" s="2116"/>
      <c r="PVK359" s="2116"/>
      <c r="PVL359" s="2116"/>
      <c r="PVM359" s="2116"/>
      <c r="PVN359" s="2116"/>
      <c r="PVO359" s="2116"/>
      <c r="PVP359" s="2116"/>
      <c r="PVQ359" s="2116"/>
      <c r="PVR359" s="2116"/>
      <c r="PVS359" s="2116"/>
      <c r="PVT359" s="2116"/>
      <c r="PVU359" s="2116" t="s">
        <v>1869</v>
      </c>
      <c r="PVV359" s="2116"/>
      <c r="PVW359" s="2116"/>
      <c r="PVX359" s="2116"/>
      <c r="PVY359" s="2116"/>
      <c r="PVZ359" s="2116"/>
      <c r="PWA359" s="2116"/>
      <c r="PWB359" s="2116"/>
      <c r="PWC359" s="2116"/>
      <c r="PWD359" s="2116"/>
      <c r="PWE359" s="2116"/>
      <c r="PWF359" s="2116"/>
      <c r="PWG359" s="2116"/>
      <c r="PWH359" s="2116"/>
      <c r="PWI359" s="2116"/>
      <c r="PWJ359" s="2116"/>
      <c r="PWK359" s="2116" t="s">
        <v>1869</v>
      </c>
      <c r="PWL359" s="2116"/>
      <c r="PWM359" s="2116"/>
      <c r="PWN359" s="2116"/>
      <c r="PWO359" s="2116"/>
      <c r="PWP359" s="2116"/>
      <c r="PWQ359" s="2116"/>
      <c r="PWR359" s="2116"/>
      <c r="PWS359" s="2116"/>
      <c r="PWT359" s="2116"/>
      <c r="PWU359" s="2116"/>
      <c r="PWV359" s="2116"/>
      <c r="PWW359" s="2116"/>
      <c r="PWX359" s="2116"/>
      <c r="PWY359" s="2116"/>
      <c r="PWZ359" s="2116"/>
      <c r="PXA359" s="2116" t="s">
        <v>1869</v>
      </c>
      <c r="PXB359" s="2116"/>
      <c r="PXC359" s="2116"/>
      <c r="PXD359" s="2116"/>
      <c r="PXE359" s="2116"/>
      <c r="PXF359" s="2116"/>
      <c r="PXG359" s="2116"/>
      <c r="PXH359" s="2116"/>
      <c r="PXI359" s="2116"/>
      <c r="PXJ359" s="2116"/>
      <c r="PXK359" s="2116"/>
      <c r="PXL359" s="2116"/>
      <c r="PXM359" s="2116"/>
      <c r="PXN359" s="2116"/>
      <c r="PXO359" s="2116"/>
      <c r="PXP359" s="2116"/>
      <c r="PXQ359" s="2116" t="s">
        <v>1869</v>
      </c>
      <c r="PXR359" s="2116"/>
      <c r="PXS359" s="2116"/>
      <c r="PXT359" s="2116"/>
      <c r="PXU359" s="2116"/>
      <c r="PXV359" s="2116"/>
      <c r="PXW359" s="2116"/>
      <c r="PXX359" s="2116"/>
      <c r="PXY359" s="2116"/>
      <c r="PXZ359" s="2116"/>
      <c r="PYA359" s="2116"/>
      <c r="PYB359" s="2116"/>
      <c r="PYC359" s="2116"/>
      <c r="PYD359" s="2116"/>
      <c r="PYE359" s="2116"/>
      <c r="PYF359" s="2116"/>
      <c r="PYG359" s="2116" t="s">
        <v>1869</v>
      </c>
      <c r="PYH359" s="2116"/>
      <c r="PYI359" s="2116"/>
      <c r="PYJ359" s="2116"/>
      <c r="PYK359" s="2116"/>
      <c r="PYL359" s="2116"/>
      <c r="PYM359" s="2116"/>
      <c r="PYN359" s="2116"/>
      <c r="PYO359" s="2116"/>
      <c r="PYP359" s="2116"/>
      <c r="PYQ359" s="2116"/>
      <c r="PYR359" s="2116"/>
      <c r="PYS359" s="2116"/>
      <c r="PYT359" s="2116"/>
      <c r="PYU359" s="2116"/>
      <c r="PYV359" s="2116"/>
      <c r="PYW359" s="2116" t="s">
        <v>1869</v>
      </c>
      <c r="PYX359" s="2116"/>
      <c r="PYY359" s="2116"/>
      <c r="PYZ359" s="2116"/>
      <c r="PZA359" s="2116"/>
      <c r="PZB359" s="2116"/>
      <c r="PZC359" s="2116"/>
      <c r="PZD359" s="2116"/>
      <c r="PZE359" s="2116"/>
      <c r="PZF359" s="2116"/>
      <c r="PZG359" s="2116"/>
      <c r="PZH359" s="2116"/>
      <c r="PZI359" s="2116"/>
      <c r="PZJ359" s="2116"/>
      <c r="PZK359" s="2116"/>
      <c r="PZL359" s="2116"/>
      <c r="PZM359" s="2116" t="s">
        <v>1869</v>
      </c>
      <c r="PZN359" s="2116"/>
      <c r="PZO359" s="2116"/>
      <c r="PZP359" s="2116"/>
      <c r="PZQ359" s="2116"/>
      <c r="PZR359" s="2116"/>
      <c r="PZS359" s="2116"/>
      <c r="PZT359" s="2116"/>
      <c r="PZU359" s="2116"/>
      <c r="PZV359" s="2116"/>
      <c r="PZW359" s="2116"/>
      <c r="PZX359" s="2116"/>
      <c r="PZY359" s="2116"/>
      <c r="PZZ359" s="2116"/>
      <c r="QAA359" s="2116"/>
      <c r="QAB359" s="2116"/>
      <c r="QAC359" s="2116" t="s">
        <v>1869</v>
      </c>
      <c r="QAD359" s="2116"/>
      <c r="QAE359" s="2116"/>
      <c r="QAF359" s="2116"/>
      <c r="QAG359" s="2116"/>
      <c r="QAH359" s="2116"/>
      <c r="QAI359" s="2116"/>
      <c r="QAJ359" s="2116"/>
      <c r="QAK359" s="2116"/>
      <c r="QAL359" s="2116"/>
      <c r="QAM359" s="2116"/>
      <c r="QAN359" s="2116"/>
      <c r="QAO359" s="2116"/>
      <c r="QAP359" s="2116"/>
      <c r="QAQ359" s="2116"/>
      <c r="QAR359" s="2116"/>
      <c r="QAS359" s="2116" t="s">
        <v>1869</v>
      </c>
      <c r="QAT359" s="2116"/>
      <c r="QAU359" s="2116"/>
      <c r="QAV359" s="2116"/>
      <c r="QAW359" s="2116"/>
      <c r="QAX359" s="2116"/>
      <c r="QAY359" s="2116"/>
      <c r="QAZ359" s="2116"/>
      <c r="QBA359" s="2116"/>
      <c r="QBB359" s="2116"/>
      <c r="QBC359" s="2116"/>
      <c r="QBD359" s="2116"/>
      <c r="QBE359" s="2116"/>
      <c r="QBF359" s="2116"/>
      <c r="QBG359" s="2116"/>
      <c r="QBH359" s="2116"/>
      <c r="QBI359" s="2116" t="s">
        <v>1869</v>
      </c>
      <c r="QBJ359" s="2116"/>
      <c r="QBK359" s="2116"/>
      <c r="QBL359" s="2116"/>
      <c r="QBM359" s="2116"/>
      <c r="QBN359" s="2116"/>
      <c r="QBO359" s="2116"/>
      <c r="QBP359" s="2116"/>
      <c r="QBQ359" s="2116"/>
      <c r="QBR359" s="2116"/>
      <c r="QBS359" s="2116"/>
      <c r="QBT359" s="2116"/>
      <c r="QBU359" s="2116"/>
      <c r="QBV359" s="2116"/>
      <c r="QBW359" s="2116"/>
      <c r="QBX359" s="2116"/>
      <c r="QBY359" s="2116" t="s">
        <v>1869</v>
      </c>
      <c r="QBZ359" s="2116"/>
      <c r="QCA359" s="2116"/>
      <c r="QCB359" s="2116"/>
      <c r="QCC359" s="2116"/>
      <c r="QCD359" s="2116"/>
      <c r="QCE359" s="2116"/>
      <c r="QCF359" s="2116"/>
      <c r="QCG359" s="2116"/>
      <c r="QCH359" s="2116"/>
      <c r="QCI359" s="2116"/>
      <c r="QCJ359" s="2116"/>
      <c r="QCK359" s="2116"/>
      <c r="QCL359" s="2116"/>
      <c r="QCM359" s="2116"/>
      <c r="QCN359" s="2116"/>
      <c r="QCO359" s="2116" t="s">
        <v>1869</v>
      </c>
      <c r="QCP359" s="2116"/>
      <c r="QCQ359" s="2116"/>
      <c r="QCR359" s="2116"/>
      <c r="QCS359" s="2116"/>
      <c r="QCT359" s="2116"/>
      <c r="QCU359" s="2116"/>
      <c r="QCV359" s="2116"/>
      <c r="QCW359" s="2116"/>
      <c r="QCX359" s="2116"/>
      <c r="QCY359" s="2116"/>
      <c r="QCZ359" s="2116"/>
      <c r="QDA359" s="2116"/>
      <c r="QDB359" s="2116"/>
      <c r="QDC359" s="2116"/>
      <c r="QDD359" s="2116"/>
      <c r="QDE359" s="2116" t="s">
        <v>1869</v>
      </c>
      <c r="QDF359" s="2116"/>
      <c r="QDG359" s="2116"/>
      <c r="QDH359" s="2116"/>
      <c r="QDI359" s="2116"/>
      <c r="QDJ359" s="2116"/>
      <c r="QDK359" s="2116"/>
      <c r="QDL359" s="2116"/>
      <c r="QDM359" s="2116"/>
      <c r="QDN359" s="2116"/>
      <c r="QDO359" s="2116"/>
      <c r="QDP359" s="2116"/>
      <c r="QDQ359" s="2116"/>
      <c r="QDR359" s="2116"/>
      <c r="QDS359" s="2116"/>
      <c r="QDT359" s="2116"/>
      <c r="QDU359" s="2116" t="s">
        <v>1869</v>
      </c>
      <c r="QDV359" s="2116"/>
      <c r="QDW359" s="2116"/>
      <c r="QDX359" s="2116"/>
      <c r="QDY359" s="2116"/>
      <c r="QDZ359" s="2116"/>
      <c r="QEA359" s="2116"/>
      <c r="QEB359" s="2116"/>
      <c r="QEC359" s="2116"/>
      <c r="QED359" s="2116"/>
      <c r="QEE359" s="2116"/>
      <c r="QEF359" s="2116"/>
      <c r="QEG359" s="2116"/>
      <c r="QEH359" s="2116"/>
      <c r="QEI359" s="2116"/>
      <c r="QEJ359" s="2116"/>
      <c r="QEK359" s="2116" t="s">
        <v>1869</v>
      </c>
      <c r="QEL359" s="2116"/>
      <c r="QEM359" s="2116"/>
      <c r="QEN359" s="2116"/>
      <c r="QEO359" s="2116"/>
      <c r="QEP359" s="2116"/>
      <c r="QEQ359" s="2116"/>
      <c r="QER359" s="2116"/>
      <c r="QES359" s="2116"/>
      <c r="QET359" s="2116"/>
      <c r="QEU359" s="2116"/>
      <c r="QEV359" s="2116"/>
      <c r="QEW359" s="2116"/>
      <c r="QEX359" s="2116"/>
      <c r="QEY359" s="2116"/>
      <c r="QEZ359" s="2116"/>
      <c r="QFA359" s="2116" t="s">
        <v>1869</v>
      </c>
      <c r="QFB359" s="2116"/>
      <c r="QFC359" s="2116"/>
      <c r="QFD359" s="2116"/>
      <c r="QFE359" s="2116"/>
      <c r="QFF359" s="2116"/>
      <c r="QFG359" s="2116"/>
      <c r="QFH359" s="2116"/>
      <c r="QFI359" s="2116"/>
      <c r="QFJ359" s="2116"/>
      <c r="QFK359" s="2116"/>
      <c r="QFL359" s="2116"/>
      <c r="QFM359" s="2116"/>
      <c r="QFN359" s="2116"/>
      <c r="QFO359" s="2116"/>
      <c r="QFP359" s="2116"/>
      <c r="QFQ359" s="2116" t="s">
        <v>1869</v>
      </c>
      <c r="QFR359" s="2116"/>
      <c r="QFS359" s="2116"/>
      <c r="QFT359" s="2116"/>
      <c r="QFU359" s="2116"/>
      <c r="QFV359" s="2116"/>
      <c r="QFW359" s="2116"/>
      <c r="QFX359" s="2116"/>
      <c r="QFY359" s="2116"/>
      <c r="QFZ359" s="2116"/>
      <c r="QGA359" s="2116"/>
      <c r="QGB359" s="2116"/>
      <c r="QGC359" s="2116"/>
      <c r="QGD359" s="2116"/>
      <c r="QGE359" s="2116"/>
      <c r="QGF359" s="2116"/>
      <c r="QGG359" s="2116" t="s">
        <v>1869</v>
      </c>
      <c r="QGH359" s="2116"/>
      <c r="QGI359" s="2116"/>
      <c r="QGJ359" s="2116"/>
      <c r="QGK359" s="2116"/>
      <c r="QGL359" s="2116"/>
      <c r="QGM359" s="2116"/>
      <c r="QGN359" s="2116"/>
      <c r="QGO359" s="2116"/>
      <c r="QGP359" s="2116"/>
      <c r="QGQ359" s="2116"/>
      <c r="QGR359" s="2116"/>
      <c r="QGS359" s="2116"/>
      <c r="QGT359" s="2116"/>
      <c r="QGU359" s="2116"/>
      <c r="QGV359" s="2116"/>
      <c r="QGW359" s="2116" t="s">
        <v>1869</v>
      </c>
      <c r="QGX359" s="2116"/>
      <c r="QGY359" s="2116"/>
      <c r="QGZ359" s="2116"/>
      <c r="QHA359" s="2116"/>
      <c r="QHB359" s="2116"/>
      <c r="QHC359" s="2116"/>
      <c r="QHD359" s="2116"/>
      <c r="QHE359" s="2116"/>
      <c r="QHF359" s="2116"/>
      <c r="QHG359" s="2116"/>
      <c r="QHH359" s="2116"/>
      <c r="QHI359" s="2116"/>
      <c r="QHJ359" s="2116"/>
      <c r="QHK359" s="2116"/>
      <c r="QHL359" s="2116"/>
      <c r="QHM359" s="2116" t="s">
        <v>1869</v>
      </c>
      <c r="QHN359" s="2116"/>
      <c r="QHO359" s="2116"/>
      <c r="QHP359" s="2116"/>
      <c r="QHQ359" s="2116"/>
      <c r="QHR359" s="2116"/>
      <c r="QHS359" s="2116"/>
      <c r="QHT359" s="2116"/>
      <c r="QHU359" s="2116"/>
      <c r="QHV359" s="2116"/>
      <c r="QHW359" s="2116"/>
      <c r="QHX359" s="2116"/>
      <c r="QHY359" s="2116"/>
      <c r="QHZ359" s="2116"/>
      <c r="QIA359" s="2116"/>
      <c r="QIB359" s="2116"/>
      <c r="QIC359" s="2116" t="s">
        <v>1869</v>
      </c>
      <c r="QID359" s="2116"/>
      <c r="QIE359" s="2116"/>
      <c r="QIF359" s="2116"/>
      <c r="QIG359" s="2116"/>
      <c r="QIH359" s="2116"/>
      <c r="QII359" s="2116"/>
      <c r="QIJ359" s="2116"/>
      <c r="QIK359" s="2116"/>
      <c r="QIL359" s="2116"/>
      <c r="QIM359" s="2116"/>
      <c r="QIN359" s="2116"/>
      <c r="QIO359" s="2116"/>
      <c r="QIP359" s="2116"/>
      <c r="QIQ359" s="2116"/>
      <c r="QIR359" s="2116"/>
      <c r="QIS359" s="2116" t="s">
        <v>1869</v>
      </c>
      <c r="QIT359" s="2116"/>
      <c r="QIU359" s="2116"/>
      <c r="QIV359" s="2116"/>
      <c r="QIW359" s="2116"/>
      <c r="QIX359" s="2116"/>
      <c r="QIY359" s="2116"/>
      <c r="QIZ359" s="2116"/>
      <c r="QJA359" s="2116"/>
      <c r="QJB359" s="2116"/>
      <c r="QJC359" s="2116"/>
      <c r="QJD359" s="2116"/>
      <c r="QJE359" s="2116"/>
      <c r="QJF359" s="2116"/>
      <c r="QJG359" s="2116"/>
      <c r="QJH359" s="2116"/>
      <c r="QJI359" s="2116" t="s">
        <v>1869</v>
      </c>
      <c r="QJJ359" s="2116"/>
      <c r="QJK359" s="2116"/>
      <c r="QJL359" s="2116"/>
      <c r="QJM359" s="2116"/>
      <c r="QJN359" s="2116"/>
      <c r="QJO359" s="2116"/>
      <c r="QJP359" s="2116"/>
      <c r="QJQ359" s="2116"/>
      <c r="QJR359" s="2116"/>
      <c r="QJS359" s="2116"/>
      <c r="QJT359" s="2116"/>
      <c r="QJU359" s="2116"/>
      <c r="QJV359" s="2116"/>
      <c r="QJW359" s="2116"/>
      <c r="QJX359" s="2116"/>
      <c r="QJY359" s="2116" t="s">
        <v>1869</v>
      </c>
      <c r="QJZ359" s="2116"/>
      <c r="QKA359" s="2116"/>
      <c r="QKB359" s="2116"/>
      <c r="QKC359" s="2116"/>
      <c r="QKD359" s="2116"/>
      <c r="QKE359" s="2116"/>
      <c r="QKF359" s="2116"/>
      <c r="QKG359" s="2116"/>
      <c r="QKH359" s="2116"/>
      <c r="QKI359" s="2116"/>
      <c r="QKJ359" s="2116"/>
      <c r="QKK359" s="2116"/>
      <c r="QKL359" s="2116"/>
      <c r="QKM359" s="2116"/>
      <c r="QKN359" s="2116"/>
      <c r="QKO359" s="2116" t="s">
        <v>1869</v>
      </c>
      <c r="QKP359" s="2116"/>
      <c r="QKQ359" s="2116"/>
      <c r="QKR359" s="2116"/>
      <c r="QKS359" s="2116"/>
      <c r="QKT359" s="2116"/>
      <c r="QKU359" s="2116"/>
      <c r="QKV359" s="2116"/>
      <c r="QKW359" s="2116"/>
      <c r="QKX359" s="2116"/>
      <c r="QKY359" s="2116"/>
      <c r="QKZ359" s="2116"/>
      <c r="QLA359" s="2116"/>
      <c r="QLB359" s="2116"/>
      <c r="QLC359" s="2116"/>
      <c r="QLD359" s="2116"/>
      <c r="QLE359" s="2116" t="s">
        <v>1869</v>
      </c>
      <c r="QLF359" s="2116"/>
      <c r="QLG359" s="2116"/>
      <c r="QLH359" s="2116"/>
      <c r="QLI359" s="2116"/>
      <c r="QLJ359" s="2116"/>
      <c r="QLK359" s="2116"/>
      <c r="QLL359" s="2116"/>
      <c r="QLM359" s="2116"/>
      <c r="QLN359" s="2116"/>
      <c r="QLO359" s="2116"/>
      <c r="QLP359" s="2116"/>
      <c r="QLQ359" s="2116"/>
      <c r="QLR359" s="2116"/>
      <c r="QLS359" s="2116"/>
      <c r="QLT359" s="2116"/>
      <c r="QLU359" s="2116" t="s">
        <v>1869</v>
      </c>
      <c r="QLV359" s="2116"/>
      <c r="QLW359" s="2116"/>
      <c r="QLX359" s="2116"/>
      <c r="QLY359" s="2116"/>
      <c r="QLZ359" s="2116"/>
      <c r="QMA359" s="2116"/>
      <c r="QMB359" s="2116"/>
      <c r="QMC359" s="2116"/>
      <c r="QMD359" s="2116"/>
      <c r="QME359" s="2116"/>
      <c r="QMF359" s="2116"/>
      <c r="QMG359" s="2116"/>
      <c r="QMH359" s="2116"/>
      <c r="QMI359" s="2116"/>
      <c r="QMJ359" s="2116"/>
      <c r="QMK359" s="2116" t="s">
        <v>1869</v>
      </c>
      <c r="QML359" s="2116"/>
      <c r="QMM359" s="2116"/>
      <c r="QMN359" s="2116"/>
      <c r="QMO359" s="2116"/>
      <c r="QMP359" s="2116"/>
      <c r="QMQ359" s="2116"/>
      <c r="QMR359" s="2116"/>
      <c r="QMS359" s="2116"/>
      <c r="QMT359" s="2116"/>
      <c r="QMU359" s="2116"/>
      <c r="QMV359" s="2116"/>
      <c r="QMW359" s="2116"/>
      <c r="QMX359" s="2116"/>
      <c r="QMY359" s="2116"/>
      <c r="QMZ359" s="2116"/>
      <c r="QNA359" s="2116" t="s">
        <v>1869</v>
      </c>
      <c r="QNB359" s="2116"/>
      <c r="QNC359" s="2116"/>
      <c r="QND359" s="2116"/>
      <c r="QNE359" s="2116"/>
      <c r="QNF359" s="2116"/>
      <c r="QNG359" s="2116"/>
      <c r="QNH359" s="2116"/>
      <c r="QNI359" s="2116"/>
      <c r="QNJ359" s="2116"/>
      <c r="QNK359" s="2116"/>
      <c r="QNL359" s="2116"/>
      <c r="QNM359" s="2116"/>
      <c r="QNN359" s="2116"/>
      <c r="QNO359" s="2116"/>
      <c r="QNP359" s="2116"/>
      <c r="QNQ359" s="2116" t="s">
        <v>1869</v>
      </c>
      <c r="QNR359" s="2116"/>
      <c r="QNS359" s="2116"/>
      <c r="QNT359" s="2116"/>
      <c r="QNU359" s="2116"/>
      <c r="QNV359" s="2116"/>
      <c r="QNW359" s="2116"/>
      <c r="QNX359" s="2116"/>
      <c r="QNY359" s="2116"/>
      <c r="QNZ359" s="2116"/>
      <c r="QOA359" s="2116"/>
      <c r="QOB359" s="2116"/>
      <c r="QOC359" s="2116"/>
      <c r="QOD359" s="2116"/>
      <c r="QOE359" s="2116"/>
      <c r="QOF359" s="2116"/>
      <c r="QOG359" s="2116" t="s">
        <v>1869</v>
      </c>
      <c r="QOH359" s="2116"/>
      <c r="QOI359" s="2116"/>
      <c r="QOJ359" s="2116"/>
      <c r="QOK359" s="2116"/>
      <c r="QOL359" s="2116"/>
      <c r="QOM359" s="2116"/>
      <c r="QON359" s="2116"/>
      <c r="QOO359" s="2116"/>
      <c r="QOP359" s="2116"/>
      <c r="QOQ359" s="2116"/>
      <c r="QOR359" s="2116"/>
      <c r="QOS359" s="2116"/>
      <c r="QOT359" s="2116"/>
      <c r="QOU359" s="2116"/>
      <c r="QOV359" s="2116"/>
      <c r="QOW359" s="2116" t="s">
        <v>1869</v>
      </c>
      <c r="QOX359" s="2116"/>
      <c r="QOY359" s="2116"/>
      <c r="QOZ359" s="2116"/>
      <c r="QPA359" s="2116"/>
      <c r="QPB359" s="2116"/>
      <c r="QPC359" s="2116"/>
      <c r="QPD359" s="2116"/>
      <c r="QPE359" s="2116"/>
      <c r="QPF359" s="2116"/>
      <c r="QPG359" s="2116"/>
      <c r="QPH359" s="2116"/>
      <c r="QPI359" s="2116"/>
      <c r="QPJ359" s="2116"/>
      <c r="QPK359" s="2116"/>
      <c r="QPL359" s="2116"/>
      <c r="QPM359" s="2116" t="s">
        <v>1869</v>
      </c>
      <c r="QPN359" s="2116"/>
      <c r="QPO359" s="2116"/>
      <c r="QPP359" s="2116"/>
      <c r="QPQ359" s="2116"/>
      <c r="QPR359" s="2116"/>
      <c r="QPS359" s="2116"/>
      <c r="QPT359" s="2116"/>
      <c r="QPU359" s="2116"/>
      <c r="QPV359" s="2116"/>
      <c r="QPW359" s="2116"/>
      <c r="QPX359" s="2116"/>
      <c r="QPY359" s="2116"/>
      <c r="QPZ359" s="2116"/>
      <c r="QQA359" s="2116"/>
      <c r="QQB359" s="2116"/>
      <c r="QQC359" s="2116" t="s">
        <v>1869</v>
      </c>
      <c r="QQD359" s="2116"/>
      <c r="QQE359" s="2116"/>
      <c r="QQF359" s="2116"/>
      <c r="QQG359" s="2116"/>
      <c r="QQH359" s="2116"/>
      <c r="QQI359" s="2116"/>
      <c r="QQJ359" s="2116"/>
      <c r="QQK359" s="2116"/>
      <c r="QQL359" s="2116"/>
      <c r="QQM359" s="2116"/>
      <c r="QQN359" s="2116"/>
      <c r="QQO359" s="2116"/>
      <c r="QQP359" s="2116"/>
      <c r="QQQ359" s="2116"/>
      <c r="QQR359" s="2116"/>
      <c r="QQS359" s="2116" t="s">
        <v>1869</v>
      </c>
      <c r="QQT359" s="2116"/>
      <c r="QQU359" s="2116"/>
      <c r="QQV359" s="2116"/>
      <c r="QQW359" s="2116"/>
      <c r="QQX359" s="2116"/>
      <c r="QQY359" s="2116"/>
      <c r="QQZ359" s="2116"/>
      <c r="QRA359" s="2116"/>
      <c r="QRB359" s="2116"/>
      <c r="QRC359" s="2116"/>
      <c r="QRD359" s="2116"/>
      <c r="QRE359" s="2116"/>
      <c r="QRF359" s="2116"/>
      <c r="QRG359" s="2116"/>
      <c r="QRH359" s="2116"/>
      <c r="QRI359" s="2116" t="s">
        <v>1869</v>
      </c>
      <c r="QRJ359" s="2116"/>
      <c r="QRK359" s="2116"/>
      <c r="QRL359" s="2116"/>
      <c r="QRM359" s="2116"/>
      <c r="QRN359" s="2116"/>
      <c r="QRO359" s="2116"/>
      <c r="QRP359" s="2116"/>
      <c r="QRQ359" s="2116"/>
      <c r="QRR359" s="2116"/>
      <c r="QRS359" s="2116"/>
      <c r="QRT359" s="2116"/>
      <c r="QRU359" s="2116"/>
      <c r="QRV359" s="2116"/>
      <c r="QRW359" s="2116"/>
      <c r="QRX359" s="2116"/>
      <c r="QRY359" s="2116" t="s">
        <v>1869</v>
      </c>
      <c r="QRZ359" s="2116"/>
      <c r="QSA359" s="2116"/>
      <c r="QSB359" s="2116"/>
      <c r="QSC359" s="2116"/>
      <c r="QSD359" s="2116"/>
      <c r="QSE359" s="2116"/>
      <c r="QSF359" s="2116"/>
      <c r="QSG359" s="2116"/>
      <c r="QSH359" s="2116"/>
      <c r="QSI359" s="2116"/>
      <c r="QSJ359" s="2116"/>
      <c r="QSK359" s="2116"/>
      <c r="QSL359" s="2116"/>
      <c r="QSM359" s="2116"/>
      <c r="QSN359" s="2116"/>
      <c r="QSO359" s="2116" t="s">
        <v>1869</v>
      </c>
      <c r="QSP359" s="2116"/>
      <c r="QSQ359" s="2116"/>
      <c r="QSR359" s="2116"/>
      <c r="QSS359" s="2116"/>
      <c r="QST359" s="2116"/>
      <c r="QSU359" s="2116"/>
      <c r="QSV359" s="2116"/>
      <c r="QSW359" s="2116"/>
      <c r="QSX359" s="2116"/>
      <c r="QSY359" s="2116"/>
      <c r="QSZ359" s="2116"/>
      <c r="QTA359" s="2116"/>
      <c r="QTB359" s="2116"/>
      <c r="QTC359" s="2116"/>
      <c r="QTD359" s="2116"/>
      <c r="QTE359" s="2116" t="s">
        <v>1869</v>
      </c>
      <c r="QTF359" s="2116"/>
      <c r="QTG359" s="2116"/>
      <c r="QTH359" s="2116"/>
      <c r="QTI359" s="2116"/>
      <c r="QTJ359" s="2116"/>
      <c r="QTK359" s="2116"/>
      <c r="QTL359" s="2116"/>
      <c r="QTM359" s="2116"/>
      <c r="QTN359" s="2116"/>
      <c r="QTO359" s="2116"/>
      <c r="QTP359" s="2116"/>
      <c r="QTQ359" s="2116"/>
      <c r="QTR359" s="2116"/>
      <c r="QTS359" s="2116"/>
      <c r="QTT359" s="2116"/>
      <c r="QTU359" s="2116" t="s">
        <v>1869</v>
      </c>
      <c r="QTV359" s="2116"/>
      <c r="QTW359" s="2116"/>
      <c r="QTX359" s="2116"/>
      <c r="QTY359" s="2116"/>
      <c r="QTZ359" s="2116"/>
      <c r="QUA359" s="2116"/>
      <c r="QUB359" s="2116"/>
      <c r="QUC359" s="2116"/>
      <c r="QUD359" s="2116"/>
      <c r="QUE359" s="2116"/>
      <c r="QUF359" s="2116"/>
      <c r="QUG359" s="2116"/>
      <c r="QUH359" s="2116"/>
      <c r="QUI359" s="2116"/>
      <c r="QUJ359" s="2116"/>
      <c r="QUK359" s="2116" t="s">
        <v>1869</v>
      </c>
      <c r="QUL359" s="2116"/>
      <c r="QUM359" s="2116"/>
      <c r="QUN359" s="2116"/>
      <c r="QUO359" s="2116"/>
      <c r="QUP359" s="2116"/>
      <c r="QUQ359" s="2116"/>
      <c r="QUR359" s="2116"/>
      <c r="QUS359" s="2116"/>
      <c r="QUT359" s="2116"/>
      <c r="QUU359" s="2116"/>
      <c r="QUV359" s="2116"/>
      <c r="QUW359" s="2116"/>
      <c r="QUX359" s="2116"/>
      <c r="QUY359" s="2116"/>
      <c r="QUZ359" s="2116"/>
      <c r="QVA359" s="2116" t="s">
        <v>1869</v>
      </c>
      <c r="QVB359" s="2116"/>
      <c r="QVC359" s="2116"/>
      <c r="QVD359" s="2116"/>
      <c r="QVE359" s="2116"/>
      <c r="QVF359" s="2116"/>
      <c r="QVG359" s="2116"/>
      <c r="QVH359" s="2116"/>
      <c r="QVI359" s="2116"/>
      <c r="QVJ359" s="2116"/>
      <c r="QVK359" s="2116"/>
      <c r="QVL359" s="2116"/>
      <c r="QVM359" s="2116"/>
      <c r="QVN359" s="2116"/>
      <c r="QVO359" s="2116"/>
      <c r="QVP359" s="2116"/>
      <c r="QVQ359" s="2116" t="s">
        <v>1869</v>
      </c>
      <c r="QVR359" s="2116"/>
      <c r="QVS359" s="2116"/>
      <c r="QVT359" s="2116"/>
      <c r="QVU359" s="2116"/>
      <c r="QVV359" s="2116"/>
      <c r="QVW359" s="2116"/>
      <c r="QVX359" s="2116"/>
      <c r="QVY359" s="2116"/>
      <c r="QVZ359" s="2116"/>
      <c r="QWA359" s="2116"/>
      <c r="QWB359" s="2116"/>
      <c r="QWC359" s="2116"/>
      <c r="QWD359" s="2116"/>
      <c r="QWE359" s="2116"/>
      <c r="QWF359" s="2116"/>
      <c r="QWG359" s="2116" t="s">
        <v>1869</v>
      </c>
      <c r="QWH359" s="2116"/>
      <c r="QWI359" s="2116"/>
      <c r="QWJ359" s="2116"/>
      <c r="QWK359" s="2116"/>
      <c r="QWL359" s="2116"/>
      <c r="QWM359" s="2116"/>
      <c r="QWN359" s="2116"/>
      <c r="QWO359" s="2116"/>
      <c r="QWP359" s="2116"/>
      <c r="QWQ359" s="2116"/>
      <c r="QWR359" s="2116"/>
      <c r="QWS359" s="2116"/>
      <c r="QWT359" s="2116"/>
      <c r="QWU359" s="2116"/>
      <c r="QWV359" s="2116"/>
      <c r="QWW359" s="2116" t="s">
        <v>1869</v>
      </c>
      <c r="QWX359" s="2116"/>
      <c r="QWY359" s="2116"/>
      <c r="QWZ359" s="2116"/>
      <c r="QXA359" s="2116"/>
      <c r="QXB359" s="2116"/>
      <c r="QXC359" s="2116"/>
      <c r="QXD359" s="2116"/>
      <c r="QXE359" s="2116"/>
      <c r="QXF359" s="2116"/>
      <c r="QXG359" s="2116"/>
      <c r="QXH359" s="2116"/>
      <c r="QXI359" s="2116"/>
      <c r="QXJ359" s="2116"/>
      <c r="QXK359" s="2116"/>
      <c r="QXL359" s="2116"/>
      <c r="QXM359" s="2116" t="s">
        <v>1869</v>
      </c>
      <c r="QXN359" s="2116"/>
      <c r="QXO359" s="2116"/>
      <c r="QXP359" s="2116"/>
      <c r="QXQ359" s="2116"/>
      <c r="QXR359" s="2116"/>
      <c r="QXS359" s="2116"/>
      <c r="QXT359" s="2116"/>
      <c r="QXU359" s="2116"/>
      <c r="QXV359" s="2116"/>
      <c r="QXW359" s="2116"/>
      <c r="QXX359" s="2116"/>
      <c r="QXY359" s="2116"/>
      <c r="QXZ359" s="2116"/>
      <c r="QYA359" s="2116"/>
      <c r="QYB359" s="2116"/>
      <c r="QYC359" s="2116" t="s">
        <v>1869</v>
      </c>
      <c r="QYD359" s="2116"/>
      <c r="QYE359" s="2116"/>
      <c r="QYF359" s="2116"/>
      <c r="QYG359" s="2116"/>
      <c r="QYH359" s="2116"/>
      <c r="QYI359" s="2116"/>
      <c r="QYJ359" s="2116"/>
      <c r="QYK359" s="2116"/>
      <c r="QYL359" s="2116"/>
      <c r="QYM359" s="2116"/>
      <c r="QYN359" s="2116"/>
      <c r="QYO359" s="2116"/>
      <c r="QYP359" s="2116"/>
      <c r="QYQ359" s="2116"/>
      <c r="QYR359" s="2116"/>
      <c r="QYS359" s="2116" t="s">
        <v>1869</v>
      </c>
      <c r="QYT359" s="2116"/>
      <c r="QYU359" s="2116"/>
      <c r="QYV359" s="2116"/>
      <c r="QYW359" s="2116"/>
      <c r="QYX359" s="2116"/>
      <c r="QYY359" s="2116"/>
      <c r="QYZ359" s="2116"/>
      <c r="QZA359" s="2116"/>
      <c r="QZB359" s="2116"/>
      <c r="QZC359" s="2116"/>
      <c r="QZD359" s="2116"/>
      <c r="QZE359" s="2116"/>
      <c r="QZF359" s="2116"/>
      <c r="QZG359" s="2116"/>
      <c r="QZH359" s="2116"/>
      <c r="QZI359" s="2116" t="s">
        <v>1869</v>
      </c>
      <c r="QZJ359" s="2116"/>
      <c r="QZK359" s="2116"/>
      <c r="QZL359" s="2116"/>
      <c r="QZM359" s="2116"/>
      <c r="QZN359" s="2116"/>
      <c r="QZO359" s="2116"/>
      <c r="QZP359" s="2116"/>
      <c r="QZQ359" s="2116"/>
      <c r="QZR359" s="2116"/>
      <c r="QZS359" s="2116"/>
      <c r="QZT359" s="2116"/>
      <c r="QZU359" s="2116"/>
      <c r="QZV359" s="2116"/>
      <c r="QZW359" s="2116"/>
      <c r="QZX359" s="2116"/>
      <c r="QZY359" s="2116" t="s">
        <v>1869</v>
      </c>
      <c r="QZZ359" s="2116"/>
      <c r="RAA359" s="2116"/>
      <c r="RAB359" s="2116"/>
      <c r="RAC359" s="2116"/>
      <c r="RAD359" s="2116"/>
      <c r="RAE359" s="2116"/>
      <c r="RAF359" s="2116"/>
      <c r="RAG359" s="2116"/>
      <c r="RAH359" s="2116"/>
      <c r="RAI359" s="2116"/>
      <c r="RAJ359" s="2116"/>
      <c r="RAK359" s="2116"/>
      <c r="RAL359" s="2116"/>
      <c r="RAM359" s="2116"/>
      <c r="RAN359" s="2116"/>
      <c r="RAO359" s="2116" t="s">
        <v>1869</v>
      </c>
      <c r="RAP359" s="2116"/>
      <c r="RAQ359" s="2116"/>
      <c r="RAR359" s="2116"/>
      <c r="RAS359" s="2116"/>
      <c r="RAT359" s="2116"/>
      <c r="RAU359" s="2116"/>
      <c r="RAV359" s="2116"/>
      <c r="RAW359" s="2116"/>
      <c r="RAX359" s="2116"/>
      <c r="RAY359" s="2116"/>
      <c r="RAZ359" s="2116"/>
      <c r="RBA359" s="2116"/>
      <c r="RBB359" s="2116"/>
      <c r="RBC359" s="2116"/>
      <c r="RBD359" s="2116"/>
      <c r="RBE359" s="2116" t="s">
        <v>1869</v>
      </c>
      <c r="RBF359" s="2116"/>
      <c r="RBG359" s="2116"/>
      <c r="RBH359" s="2116"/>
      <c r="RBI359" s="2116"/>
      <c r="RBJ359" s="2116"/>
      <c r="RBK359" s="2116"/>
      <c r="RBL359" s="2116"/>
      <c r="RBM359" s="2116"/>
      <c r="RBN359" s="2116"/>
      <c r="RBO359" s="2116"/>
      <c r="RBP359" s="2116"/>
      <c r="RBQ359" s="2116"/>
      <c r="RBR359" s="2116"/>
      <c r="RBS359" s="2116"/>
      <c r="RBT359" s="2116"/>
      <c r="RBU359" s="2116" t="s">
        <v>1869</v>
      </c>
      <c r="RBV359" s="2116"/>
      <c r="RBW359" s="2116"/>
      <c r="RBX359" s="2116"/>
      <c r="RBY359" s="2116"/>
      <c r="RBZ359" s="2116"/>
      <c r="RCA359" s="2116"/>
      <c r="RCB359" s="2116"/>
      <c r="RCC359" s="2116"/>
      <c r="RCD359" s="2116"/>
      <c r="RCE359" s="2116"/>
      <c r="RCF359" s="2116"/>
      <c r="RCG359" s="2116"/>
      <c r="RCH359" s="2116"/>
      <c r="RCI359" s="2116"/>
      <c r="RCJ359" s="2116"/>
      <c r="RCK359" s="2116" t="s">
        <v>1869</v>
      </c>
      <c r="RCL359" s="2116"/>
      <c r="RCM359" s="2116"/>
      <c r="RCN359" s="2116"/>
      <c r="RCO359" s="2116"/>
      <c r="RCP359" s="2116"/>
      <c r="RCQ359" s="2116"/>
      <c r="RCR359" s="2116"/>
      <c r="RCS359" s="2116"/>
      <c r="RCT359" s="2116"/>
      <c r="RCU359" s="2116"/>
      <c r="RCV359" s="2116"/>
      <c r="RCW359" s="2116"/>
      <c r="RCX359" s="2116"/>
      <c r="RCY359" s="2116"/>
      <c r="RCZ359" s="2116"/>
      <c r="RDA359" s="2116" t="s">
        <v>1869</v>
      </c>
      <c r="RDB359" s="2116"/>
      <c r="RDC359" s="2116"/>
      <c r="RDD359" s="2116"/>
      <c r="RDE359" s="2116"/>
      <c r="RDF359" s="2116"/>
      <c r="RDG359" s="2116"/>
      <c r="RDH359" s="2116"/>
      <c r="RDI359" s="2116"/>
      <c r="RDJ359" s="2116"/>
      <c r="RDK359" s="2116"/>
      <c r="RDL359" s="2116"/>
      <c r="RDM359" s="2116"/>
      <c r="RDN359" s="2116"/>
      <c r="RDO359" s="2116"/>
      <c r="RDP359" s="2116"/>
      <c r="RDQ359" s="2116" t="s">
        <v>1869</v>
      </c>
      <c r="RDR359" s="2116"/>
      <c r="RDS359" s="2116"/>
      <c r="RDT359" s="2116"/>
      <c r="RDU359" s="2116"/>
      <c r="RDV359" s="2116"/>
      <c r="RDW359" s="2116"/>
      <c r="RDX359" s="2116"/>
      <c r="RDY359" s="2116"/>
      <c r="RDZ359" s="2116"/>
      <c r="REA359" s="2116"/>
      <c r="REB359" s="2116"/>
      <c r="REC359" s="2116"/>
      <c r="RED359" s="2116"/>
      <c r="REE359" s="2116"/>
      <c r="REF359" s="2116"/>
      <c r="REG359" s="2116" t="s">
        <v>1869</v>
      </c>
      <c r="REH359" s="2116"/>
      <c r="REI359" s="2116"/>
      <c r="REJ359" s="2116"/>
      <c r="REK359" s="2116"/>
      <c r="REL359" s="2116"/>
      <c r="REM359" s="2116"/>
      <c r="REN359" s="2116"/>
      <c r="REO359" s="2116"/>
      <c r="REP359" s="2116"/>
      <c r="REQ359" s="2116"/>
      <c r="RER359" s="2116"/>
      <c r="RES359" s="2116"/>
      <c r="RET359" s="2116"/>
      <c r="REU359" s="2116"/>
      <c r="REV359" s="2116"/>
      <c r="REW359" s="2116" t="s">
        <v>1869</v>
      </c>
      <c r="REX359" s="2116"/>
      <c r="REY359" s="2116"/>
      <c r="REZ359" s="2116"/>
      <c r="RFA359" s="2116"/>
      <c r="RFB359" s="2116"/>
      <c r="RFC359" s="2116"/>
      <c r="RFD359" s="2116"/>
      <c r="RFE359" s="2116"/>
      <c r="RFF359" s="2116"/>
      <c r="RFG359" s="2116"/>
      <c r="RFH359" s="2116"/>
      <c r="RFI359" s="2116"/>
      <c r="RFJ359" s="2116"/>
      <c r="RFK359" s="2116"/>
      <c r="RFL359" s="2116"/>
      <c r="RFM359" s="2116" t="s">
        <v>1869</v>
      </c>
      <c r="RFN359" s="2116"/>
      <c r="RFO359" s="2116"/>
      <c r="RFP359" s="2116"/>
      <c r="RFQ359" s="2116"/>
      <c r="RFR359" s="2116"/>
      <c r="RFS359" s="2116"/>
      <c r="RFT359" s="2116"/>
      <c r="RFU359" s="2116"/>
      <c r="RFV359" s="2116"/>
      <c r="RFW359" s="2116"/>
      <c r="RFX359" s="2116"/>
      <c r="RFY359" s="2116"/>
      <c r="RFZ359" s="2116"/>
      <c r="RGA359" s="2116"/>
      <c r="RGB359" s="2116"/>
      <c r="RGC359" s="2116" t="s">
        <v>1869</v>
      </c>
      <c r="RGD359" s="2116"/>
      <c r="RGE359" s="2116"/>
      <c r="RGF359" s="2116"/>
      <c r="RGG359" s="2116"/>
      <c r="RGH359" s="2116"/>
      <c r="RGI359" s="2116"/>
      <c r="RGJ359" s="2116"/>
      <c r="RGK359" s="2116"/>
      <c r="RGL359" s="2116"/>
      <c r="RGM359" s="2116"/>
      <c r="RGN359" s="2116"/>
      <c r="RGO359" s="2116"/>
      <c r="RGP359" s="2116"/>
      <c r="RGQ359" s="2116"/>
      <c r="RGR359" s="2116"/>
      <c r="RGS359" s="2116" t="s">
        <v>1869</v>
      </c>
      <c r="RGT359" s="2116"/>
      <c r="RGU359" s="2116"/>
      <c r="RGV359" s="2116"/>
      <c r="RGW359" s="2116"/>
      <c r="RGX359" s="2116"/>
      <c r="RGY359" s="2116"/>
      <c r="RGZ359" s="2116"/>
      <c r="RHA359" s="2116"/>
      <c r="RHB359" s="2116"/>
      <c r="RHC359" s="2116"/>
      <c r="RHD359" s="2116"/>
      <c r="RHE359" s="2116"/>
      <c r="RHF359" s="2116"/>
      <c r="RHG359" s="2116"/>
      <c r="RHH359" s="2116"/>
      <c r="RHI359" s="2116" t="s">
        <v>1869</v>
      </c>
      <c r="RHJ359" s="2116"/>
      <c r="RHK359" s="2116"/>
      <c r="RHL359" s="2116"/>
      <c r="RHM359" s="2116"/>
      <c r="RHN359" s="2116"/>
      <c r="RHO359" s="2116"/>
      <c r="RHP359" s="2116"/>
      <c r="RHQ359" s="2116"/>
      <c r="RHR359" s="2116"/>
      <c r="RHS359" s="2116"/>
      <c r="RHT359" s="2116"/>
      <c r="RHU359" s="2116"/>
      <c r="RHV359" s="2116"/>
      <c r="RHW359" s="2116"/>
      <c r="RHX359" s="2116"/>
      <c r="RHY359" s="2116" t="s">
        <v>1869</v>
      </c>
      <c r="RHZ359" s="2116"/>
      <c r="RIA359" s="2116"/>
      <c r="RIB359" s="2116"/>
      <c r="RIC359" s="2116"/>
      <c r="RID359" s="2116"/>
      <c r="RIE359" s="2116"/>
      <c r="RIF359" s="2116"/>
      <c r="RIG359" s="2116"/>
      <c r="RIH359" s="2116"/>
      <c r="RII359" s="2116"/>
      <c r="RIJ359" s="2116"/>
      <c r="RIK359" s="2116"/>
      <c r="RIL359" s="2116"/>
      <c r="RIM359" s="2116"/>
      <c r="RIN359" s="2116"/>
      <c r="RIO359" s="2116" t="s">
        <v>1869</v>
      </c>
      <c r="RIP359" s="2116"/>
      <c r="RIQ359" s="2116"/>
      <c r="RIR359" s="2116"/>
      <c r="RIS359" s="2116"/>
      <c r="RIT359" s="2116"/>
      <c r="RIU359" s="2116"/>
      <c r="RIV359" s="2116"/>
      <c r="RIW359" s="2116"/>
      <c r="RIX359" s="2116"/>
      <c r="RIY359" s="2116"/>
      <c r="RIZ359" s="2116"/>
      <c r="RJA359" s="2116"/>
      <c r="RJB359" s="2116"/>
      <c r="RJC359" s="2116"/>
      <c r="RJD359" s="2116"/>
      <c r="RJE359" s="2116" t="s">
        <v>1869</v>
      </c>
      <c r="RJF359" s="2116"/>
      <c r="RJG359" s="2116"/>
      <c r="RJH359" s="2116"/>
      <c r="RJI359" s="2116"/>
      <c r="RJJ359" s="2116"/>
      <c r="RJK359" s="2116"/>
      <c r="RJL359" s="2116"/>
      <c r="RJM359" s="2116"/>
      <c r="RJN359" s="2116"/>
      <c r="RJO359" s="2116"/>
      <c r="RJP359" s="2116"/>
      <c r="RJQ359" s="2116"/>
      <c r="RJR359" s="2116"/>
      <c r="RJS359" s="2116"/>
      <c r="RJT359" s="2116"/>
      <c r="RJU359" s="2116" t="s">
        <v>1869</v>
      </c>
      <c r="RJV359" s="2116"/>
      <c r="RJW359" s="2116"/>
      <c r="RJX359" s="2116"/>
      <c r="RJY359" s="2116"/>
      <c r="RJZ359" s="2116"/>
      <c r="RKA359" s="2116"/>
      <c r="RKB359" s="2116"/>
      <c r="RKC359" s="2116"/>
      <c r="RKD359" s="2116"/>
      <c r="RKE359" s="2116"/>
      <c r="RKF359" s="2116"/>
      <c r="RKG359" s="2116"/>
      <c r="RKH359" s="2116"/>
      <c r="RKI359" s="2116"/>
      <c r="RKJ359" s="2116"/>
      <c r="RKK359" s="2116" t="s">
        <v>1869</v>
      </c>
      <c r="RKL359" s="2116"/>
      <c r="RKM359" s="2116"/>
      <c r="RKN359" s="2116"/>
      <c r="RKO359" s="2116"/>
      <c r="RKP359" s="2116"/>
      <c r="RKQ359" s="2116"/>
      <c r="RKR359" s="2116"/>
      <c r="RKS359" s="2116"/>
      <c r="RKT359" s="2116"/>
      <c r="RKU359" s="2116"/>
      <c r="RKV359" s="2116"/>
      <c r="RKW359" s="2116"/>
      <c r="RKX359" s="2116"/>
      <c r="RKY359" s="2116"/>
      <c r="RKZ359" s="2116"/>
      <c r="RLA359" s="2116" t="s">
        <v>1869</v>
      </c>
      <c r="RLB359" s="2116"/>
      <c r="RLC359" s="2116"/>
      <c r="RLD359" s="2116"/>
      <c r="RLE359" s="2116"/>
      <c r="RLF359" s="2116"/>
      <c r="RLG359" s="2116"/>
      <c r="RLH359" s="2116"/>
      <c r="RLI359" s="2116"/>
      <c r="RLJ359" s="2116"/>
      <c r="RLK359" s="2116"/>
      <c r="RLL359" s="2116"/>
      <c r="RLM359" s="2116"/>
      <c r="RLN359" s="2116"/>
      <c r="RLO359" s="2116"/>
      <c r="RLP359" s="2116"/>
      <c r="RLQ359" s="2116" t="s">
        <v>1869</v>
      </c>
      <c r="RLR359" s="2116"/>
      <c r="RLS359" s="2116"/>
      <c r="RLT359" s="2116"/>
      <c r="RLU359" s="2116"/>
      <c r="RLV359" s="2116"/>
      <c r="RLW359" s="2116"/>
      <c r="RLX359" s="2116"/>
      <c r="RLY359" s="2116"/>
      <c r="RLZ359" s="2116"/>
      <c r="RMA359" s="2116"/>
      <c r="RMB359" s="2116"/>
      <c r="RMC359" s="2116"/>
      <c r="RMD359" s="2116"/>
      <c r="RME359" s="2116"/>
      <c r="RMF359" s="2116"/>
      <c r="RMG359" s="2116" t="s">
        <v>1869</v>
      </c>
      <c r="RMH359" s="2116"/>
      <c r="RMI359" s="2116"/>
      <c r="RMJ359" s="2116"/>
      <c r="RMK359" s="2116"/>
      <c r="RML359" s="2116"/>
      <c r="RMM359" s="2116"/>
      <c r="RMN359" s="2116"/>
      <c r="RMO359" s="2116"/>
      <c r="RMP359" s="2116"/>
      <c r="RMQ359" s="2116"/>
      <c r="RMR359" s="2116"/>
      <c r="RMS359" s="2116"/>
      <c r="RMT359" s="2116"/>
      <c r="RMU359" s="2116"/>
      <c r="RMV359" s="2116"/>
      <c r="RMW359" s="2116" t="s">
        <v>1869</v>
      </c>
      <c r="RMX359" s="2116"/>
      <c r="RMY359" s="2116"/>
      <c r="RMZ359" s="2116"/>
      <c r="RNA359" s="2116"/>
      <c r="RNB359" s="2116"/>
      <c r="RNC359" s="2116"/>
      <c r="RND359" s="2116"/>
      <c r="RNE359" s="2116"/>
      <c r="RNF359" s="2116"/>
      <c r="RNG359" s="2116"/>
      <c r="RNH359" s="2116"/>
      <c r="RNI359" s="2116"/>
      <c r="RNJ359" s="2116"/>
      <c r="RNK359" s="2116"/>
      <c r="RNL359" s="2116"/>
      <c r="RNM359" s="2116" t="s">
        <v>1869</v>
      </c>
      <c r="RNN359" s="2116"/>
      <c r="RNO359" s="2116"/>
      <c r="RNP359" s="2116"/>
      <c r="RNQ359" s="2116"/>
      <c r="RNR359" s="2116"/>
      <c r="RNS359" s="2116"/>
      <c r="RNT359" s="2116"/>
      <c r="RNU359" s="2116"/>
      <c r="RNV359" s="2116"/>
      <c r="RNW359" s="2116"/>
      <c r="RNX359" s="2116"/>
      <c r="RNY359" s="2116"/>
      <c r="RNZ359" s="2116"/>
      <c r="ROA359" s="2116"/>
      <c r="ROB359" s="2116"/>
      <c r="ROC359" s="2116" t="s">
        <v>1869</v>
      </c>
      <c r="ROD359" s="2116"/>
      <c r="ROE359" s="2116"/>
      <c r="ROF359" s="2116"/>
      <c r="ROG359" s="2116"/>
      <c r="ROH359" s="2116"/>
      <c r="ROI359" s="2116"/>
      <c r="ROJ359" s="2116"/>
      <c r="ROK359" s="2116"/>
      <c r="ROL359" s="2116"/>
      <c r="ROM359" s="2116"/>
      <c r="RON359" s="2116"/>
      <c r="ROO359" s="2116"/>
      <c r="ROP359" s="2116"/>
      <c r="ROQ359" s="2116"/>
      <c r="ROR359" s="2116"/>
      <c r="ROS359" s="2116" t="s">
        <v>1869</v>
      </c>
      <c r="ROT359" s="2116"/>
      <c r="ROU359" s="2116"/>
      <c r="ROV359" s="2116"/>
      <c r="ROW359" s="2116"/>
      <c r="ROX359" s="2116"/>
      <c r="ROY359" s="2116"/>
      <c r="ROZ359" s="2116"/>
      <c r="RPA359" s="2116"/>
      <c r="RPB359" s="2116"/>
      <c r="RPC359" s="2116"/>
      <c r="RPD359" s="2116"/>
      <c r="RPE359" s="2116"/>
      <c r="RPF359" s="2116"/>
      <c r="RPG359" s="2116"/>
      <c r="RPH359" s="2116"/>
      <c r="RPI359" s="2116" t="s">
        <v>1869</v>
      </c>
      <c r="RPJ359" s="2116"/>
      <c r="RPK359" s="2116"/>
      <c r="RPL359" s="2116"/>
      <c r="RPM359" s="2116"/>
      <c r="RPN359" s="2116"/>
      <c r="RPO359" s="2116"/>
      <c r="RPP359" s="2116"/>
      <c r="RPQ359" s="2116"/>
      <c r="RPR359" s="2116"/>
      <c r="RPS359" s="2116"/>
      <c r="RPT359" s="2116"/>
      <c r="RPU359" s="2116"/>
      <c r="RPV359" s="2116"/>
      <c r="RPW359" s="2116"/>
      <c r="RPX359" s="2116"/>
      <c r="RPY359" s="2116" t="s">
        <v>1869</v>
      </c>
      <c r="RPZ359" s="2116"/>
      <c r="RQA359" s="2116"/>
      <c r="RQB359" s="2116"/>
      <c r="RQC359" s="2116"/>
      <c r="RQD359" s="2116"/>
      <c r="RQE359" s="2116"/>
      <c r="RQF359" s="2116"/>
      <c r="RQG359" s="2116"/>
      <c r="RQH359" s="2116"/>
      <c r="RQI359" s="2116"/>
      <c r="RQJ359" s="2116"/>
      <c r="RQK359" s="2116"/>
      <c r="RQL359" s="2116"/>
      <c r="RQM359" s="2116"/>
      <c r="RQN359" s="2116"/>
      <c r="RQO359" s="2116" t="s">
        <v>1869</v>
      </c>
      <c r="RQP359" s="2116"/>
      <c r="RQQ359" s="2116"/>
      <c r="RQR359" s="2116"/>
      <c r="RQS359" s="2116"/>
      <c r="RQT359" s="2116"/>
      <c r="RQU359" s="2116"/>
      <c r="RQV359" s="2116"/>
      <c r="RQW359" s="2116"/>
      <c r="RQX359" s="2116"/>
      <c r="RQY359" s="2116"/>
      <c r="RQZ359" s="2116"/>
      <c r="RRA359" s="2116"/>
      <c r="RRB359" s="2116"/>
      <c r="RRC359" s="2116"/>
      <c r="RRD359" s="2116"/>
      <c r="RRE359" s="2116" t="s">
        <v>1869</v>
      </c>
      <c r="RRF359" s="2116"/>
      <c r="RRG359" s="2116"/>
      <c r="RRH359" s="2116"/>
      <c r="RRI359" s="2116"/>
      <c r="RRJ359" s="2116"/>
      <c r="RRK359" s="2116"/>
      <c r="RRL359" s="2116"/>
      <c r="RRM359" s="2116"/>
      <c r="RRN359" s="2116"/>
      <c r="RRO359" s="2116"/>
      <c r="RRP359" s="2116"/>
      <c r="RRQ359" s="2116"/>
      <c r="RRR359" s="2116"/>
      <c r="RRS359" s="2116"/>
      <c r="RRT359" s="2116"/>
      <c r="RRU359" s="2116" t="s">
        <v>1869</v>
      </c>
      <c r="RRV359" s="2116"/>
      <c r="RRW359" s="2116"/>
      <c r="RRX359" s="2116"/>
      <c r="RRY359" s="2116"/>
      <c r="RRZ359" s="2116"/>
      <c r="RSA359" s="2116"/>
      <c r="RSB359" s="2116"/>
      <c r="RSC359" s="2116"/>
      <c r="RSD359" s="2116"/>
      <c r="RSE359" s="2116"/>
      <c r="RSF359" s="2116"/>
      <c r="RSG359" s="2116"/>
      <c r="RSH359" s="2116"/>
      <c r="RSI359" s="2116"/>
      <c r="RSJ359" s="2116"/>
      <c r="RSK359" s="2116" t="s">
        <v>1869</v>
      </c>
      <c r="RSL359" s="2116"/>
      <c r="RSM359" s="2116"/>
      <c r="RSN359" s="2116"/>
      <c r="RSO359" s="2116"/>
      <c r="RSP359" s="2116"/>
      <c r="RSQ359" s="2116"/>
      <c r="RSR359" s="2116"/>
      <c r="RSS359" s="2116"/>
      <c r="RST359" s="2116"/>
      <c r="RSU359" s="2116"/>
      <c r="RSV359" s="2116"/>
      <c r="RSW359" s="2116"/>
      <c r="RSX359" s="2116"/>
      <c r="RSY359" s="2116"/>
      <c r="RSZ359" s="2116"/>
      <c r="RTA359" s="2116" t="s">
        <v>1869</v>
      </c>
      <c r="RTB359" s="2116"/>
      <c r="RTC359" s="2116"/>
      <c r="RTD359" s="2116"/>
      <c r="RTE359" s="2116"/>
      <c r="RTF359" s="2116"/>
      <c r="RTG359" s="2116"/>
      <c r="RTH359" s="2116"/>
      <c r="RTI359" s="2116"/>
      <c r="RTJ359" s="2116"/>
      <c r="RTK359" s="2116"/>
      <c r="RTL359" s="2116"/>
      <c r="RTM359" s="2116"/>
      <c r="RTN359" s="2116"/>
      <c r="RTO359" s="2116"/>
      <c r="RTP359" s="2116"/>
      <c r="RTQ359" s="2116" t="s">
        <v>1869</v>
      </c>
      <c r="RTR359" s="2116"/>
      <c r="RTS359" s="2116"/>
      <c r="RTT359" s="2116"/>
      <c r="RTU359" s="2116"/>
      <c r="RTV359" s="2116"/>
      <c r="RTW359" s="2116"/>
      <c r="RTX359" s="2116"/>
      <c r="RTY359" s="2116"/>
      <c r="RTZ359" s="2116"/>
      <c r="RUA359" s="2116"/>
      <c r="RUB359" s="2116"/>
      <c r="RUC359" s="2116"/>
      <c r="RUD359" s="2116"/>
      <c r="RUE359" s="2116"/>
      <c r="RUF359" s="2116"/>
      <c r="RUG359" s="2116" t="s">
        <v>1869</v>
      </c>
      <c r="RUH359" s="2116"/>
      <c r="RUI359" s="2116"/>
      <c r="RUJ359" s="2116"/>
      <c r="RUK359" s="2116"/>
      <c r="RUL359" s="2116"/>
      <c r="RUM359" s="2116"/>
      <c r="RUN359" s="2116"/>
      <c r="RUO359" s="2116"/>
      <c r="RUP359" s="2116"/>
      <c r="RUQ359" s="2116"/>
      <c r="RUR359" s="2116"/>
      <c r="RUS359" s="2116"/>
      <c r="RUT359" s="2116"/>
      <c r="RUU359" s="2116"/>
      <c r="RUV359" s="2116"/>
      <c r="RUW359" s="2116" t="s">
        <v>1869</v>
      </c>
      <c r="RUX359" s="2116"/>
      <c r="RUY359" s="2116"/>
      <c r="RUZ359" s="2116"/>
      <c r="RVA359" s="2116"/>
      <c r="RVB359" s="2116"/>
      <c r="RVC359" s="2116"/>
      <c r="RVD359" s="2116"/>
      <c r="RVE359" s="2116"/>
      <c r="RVF359" s="2116"/>
      <c r="RVG359" s="2116"/>
      <c r="RVH359" s="2116"/>
      <c r="RVI359" s="2116"/>
      <c r="RVJ359" s="2116"/>
      <c r="RVK359" s="2116"/>
      <c r="RVL359" s="2116"/>
      <c r="RVM359" s="2116" t="s">
        <v>1869</v>
      </c>
      <c r="RVN359" s="2116"/>
      <c r="RVO359" s="2116"/>
      <c r="RVP359" s="2116"/>
      <c r="RVQ359" s="2116"/>
      <c r="RVR359" s="2116"/>
      <c r="RVS359" s="2116"/>
      <c r="RVT359" s="2116"/>
      <c r="RVU359" s="2116"/>
      <c r="RVV359" s="2116"/>
      <c r="RVW359" s="2116"/>
      <c r="RVX359" s="2116"/>
      <c r="RVY359" s="2116"/>
      <c r="RVZ359" s="2116"/>
      <c r="RWA359" s="2116"/>
      <c r="RWB359" s="2116"/>
      <c r="RWC359" s="2116" t="s">
        <v>1869</v>
      </c>
      <c r="RWD359" s="2116"/>
      <c r="RWE359" s="2116"/>
      <c r="RWF359" s="2116"/>
      <c r="RWG359" s="2116"/>
      <c r="RWH359" s="2116"/>
      <c r="RWI359" s="2116"/>
      <c r="RWJ359" s="2116"/>
      <c r="RWK359" s="2116"/>
      <c r="RWL359" s="2116"/>
      <c r="RWM359" s="2116"/>
      <c r="RWN359" s="2116"/>
      <c r="RWO359" s="2116"/>
      <c r="RWP359" s="2116"/>
      <c r="RWQ359" s="2116"/>
      <c r="RWR359" s="2116"/>
      <c r="RWS359" s="2116" t="s">
        <v>1869</v>
      </c>
      <c r="RWT359" s="2116"/>
      <c r="RWU359" s="2116"/>
      <c r="RWV359" s="2116"/>
      <c r="RWW359" s="2116"/>
      <c r="RWX359" s="2116"/>
      <c r="RWY359" s="2116"/>
      <c r="RWZ359" s="2116"/>
      <c r="RXA359" s="2116"/>
      <c r="RXB359" s="2116"/>
      <c r="RXC359" s="2116"/>
      <c r="RXD359" s="2116"/>
      <c r="RXE359" s="2116"/>
      <c r="RXF359" s="2116"/>
      <c r="RXG359" s="2116"/>
      <c r="RXH359" s="2116"/>
      <c r="RXI359" s="2116" t="s">
        <v>1869</v>
      </c>
      <c r="RXJ359" s="2116"/>
      <c r="RXK359" s="2116"/>
      <c r="RXL359" s="2116"/>
      <c r="RXM359" s="2116"/>
      <c r="RXN359" s="2116"/>
      <c r="RXO359" s="2116"/>
      <c r="RXP359" s="2116"/>
      <c r="RXQ359" s="2116"/>
      <c r="RXR359" s="2116"/>
      <c r="RXS359" s="2116"/>
      <c r="RXT359" s="2116"/>
      <c r="RXU359" s="2116"/>
      <c r="RXV359" s="2116"/>
      <c r="RXW359" s="2116"/>
      <c r="RXX359" s="2116"/>
      <c r="RXY359" s="2116" t="s">
        <v>1869</v>
      </c>
      <c r="RXZ359" s="2116"/>
      <c r="RYA359" s="2116"/>
      <c r="RYB359" s="2116"/>
      <c r="RYC359" s="2116"/>
      <c r="RYD359" s="2116"/>
      <c r="RYE359" s="2116"/>
      <c r="RYF359" s="2116"/>
      <c r="RYG359" s="2116"/>
      <c r="RYH359" s="2116"/>
      <c r="RYI359" s="2116"/>
      <c r="RYJ359" s="2116"/>
      <c r="RYK359" s="2116"/>
      <c r="RYL359" s="2116"/>
      <c r="RYM359" s="2116"/>
      <c r="RYN359" s="2116"/>
      <c r="RYO359" s="2116" t="s">
        <v>1869</v>
      </c>
      <c r="RYP359" s="2116"/>
      <c r="RYQ359" s="2116"/>
      <c r="RYR359" s="2116"/>
      <c r="RYS359" s="2116"/>
      <c r="RYT359" s="2116"/>
      <c r="RYU359" s="2116"/>
      <c r="RYV359" s="2116"/>
      <c r="RYW359" s="2116"/>
      <c r="RYX359" s="2116"/>
      <c r="RYY359" s="2116"/>
      <c r="RYZ359" s="2116"/>
      <c r="RZA359" s="2116"/>
      <c r="RZB359" s="2116"/>
      <c r="RZC359" s="2116"/>
      <c r="RZD359" s="2116"/>
      <c r="RZE359" s="2116" t="s">
        <v>1869</v>
      </c>
      <c r="RZF359" s="2116"/>
      <c r="RZG359" s="2116"/>
      <c r="RZH359" s="2116"/>
      <c r="RZI359" s="2116"/>
      <c r="RZJ359" s="2116"/>
      <c r="RZK359" s="2116"/>
      <c r="RZL359" s="2116"/>
      <c r="RZM359" s="2116"/>
      <c r="RZN359" s="2116"/>
      <c r="RZO359" s="2116"/>
      <c r="RZP359" s="2116"/>
      <c r="RZQ359" s="2116"/>
      <c r="RZR359" s="2116"/>
      <c r="RZS359" s="2116"/>
      <c r="RZT359" s="2116"/>
      <c r="RZU359" s="2116" t="s">
        <v>1869</v>
      </c>
      <c r="RZV359" s="2116"/>
      <c r="RZW359" s="2116"/>
      <c r="RZX359" s="2116"/>
      <c r="RZY359" s="2116"/>
      <c r="RZZ359" s="2116"/>
      <c r="SAA359" s="2116"/>
      <c r="SAB359" s="2116"/>
      <c r="SAC359" s="2116"/>
      <c r="SAD359" s="2116"/>
      <c r="SAE359" s="2116"/>
      <c r="SAF359" s="2116"/>
      <c r="SAG359" s="2116"/>
      <c r="SAH359" s="2116"/>
      <c r="SAI359" s="2116"/>
      <c r="SAJ359" s="2116"/>
      <c r="SAK359" s="2116" t="s">
        <v>1869</v>
      </c>
      <c r="SAL359" s="2116"/>
      <c r="SAM359" s="2116"/>
      <c r="SAN359" s="2116"/>
      <c r="SAO359" s="2116"/>
      <c r="SAP359" s="2116"/>
      <c r="SAQ359" s="2116"/>
      <c r="SAR359" s="2116"/>
      <c r="SAS359" s="2116"/>
      <c r="SAT359" s="2116"/>
      <c r="SAU359" s="2116"/>
      <c r="SAV359" s="2116"/>
      <c r="SAW359" s="2116"/>
      <c r="SAX359" s="2116"/>
      <c r="SAY359" s="2116"/>
      <c r="SAZ359" s="2116"/>
      <c r="SBA359" s="2116" t="s">
        <v>1869</v>
      </c>
      <c r="SBB359" s="2116"/>
      <c r="SBC359" s="2116"/>
      <c r="SBD359" s="2116"/>
      <c r="SBE359" s="2116"/>
      <c r="SBF359" s="2116"/>
      <c r="SBG359" s="2116"/>
      <c r="SBH359" s="2116"/>
      <c r="SBI359" s="2116"/>
      <c r="SBJ359" s="2116"/>
      <c r="SBK359" s="2116"/>
      <c r="SBL359" s="2116"/>
      <c r="SBM359" s="2116"/>
      <c r="SBN359" s="2116"/>
      <c r="SBO359" s="2116"/>
      <c r="SBP359" s="2116"/>
      <c r="SBQ359" s="2116" t="s">
        <v>1869</v>
      </c>
      <c r="SBR359" s="2116"/>
      <c r="SBS359" s="2116"/>
      <c r="SBT359" s="2116"/>
      <c r="SBU359" s="2116"/>
      <c r="SBV359" s="2116"/>
      <c r="SBW359" s="2116"/>
      <c r="SBX359" s="2116"/>
      <c r="SBY359" s="2116"/>
      <c r="SBZ359" s="2116"/>
      <c r="SCA359" s="2116"/>
      <c r="SCB359" s="2116"/>
      <c r="SCC359" s="2116"/>
      <c r="SCD359" s="2116"/>
      <c r="SCE359" s="2116"/>
      <c r="SCF359" s="2116"/>
      <c r="SCG359" s="2116" t="s">
        <v>1869</v>
      </c>
      <c r="SCH359" s="2116"/>
      <c r="SCI359" s="2116"/>
      <c r="SCJ359" s="2116"/>
      <c r="SCK359" s="2116"/>
      <c r="SCL359" s="2116"/>
      <c r="SCM359" s="2116"/>
      <c r="SCN359" s="2116"/>
      <c r="SCO359" s="2116"/>
      <c r="SCP359" s="2116"/>
      <c r="SCQ359" s="2116"/>
      <c r="SCR359" s="2116"/>
      <c r="SCS359" s="2116"/>
      <c r="SCT359" s="2116"/>
      <c r="SCU359" s="2116"/>
      <c r="SCV359" s="2116"/>
      <c r="SCW359" s="2116" t="s">
        <v>1869</v>
      </c>
      <c r="SCX359" s="2116"/>
      <c r="SCY359" s="2116"/>
      <c r="SCZ359" s="2116"/>
      <c r="SDA359" s="2116"/>
      <c r="SDB359" s="2116"/>
      <c r="SDC359" s="2116"/>
      <c r="SDD359" s="2116"/>
      <c r="SDE359" s="2116"/>
      <c r="SDF359" s="2116"/>
      <c r="SDG359" s="2116"/>
      <c r="SDH359" s="2116"/>
      <c r="SDI359" s="2116"/>
      <c r="SDJ359" s="2116"/>
      <c r="SDK359" s="2116"/>
      <c r="SDL359" s="2116"/>
      <c r="SDM359" s="2116" t="s">
        <v>1869</v>
      </c>
      <c r="SDN359" s="2116"/>
      <c r="SDO359" s="2116"/>
      <c r="SDP359" s="2116"/>
      <c r="SDQ359" s="2116"/>
      <c r="SDR359" s="2116"/>
      <c r="SDS359" s="2116"/>
      <c r="SDT359" s="2116"/>
      <c r="SDU359" s="2116"/>
      <c r="SDV359" s="2116"/>
      <c r="SDW359" s="2116"/>
      <c r="SDX359" s="2116"/>
      <c r="SDY359" s="2116"/>
      <c r="SDZ359" s="2116"/>
      <c r="SEA359" s="2116"/>
      <c r="SEB359" s="2116"/>
      <c r="SEC359" s="2116" t="s">
        <v>1869</v>
      </c>
      <c r="SED359" s="2116"/>
      <c r="SEE359" s="2116"/>
      <c r="SEF359" s="2116"/>
      <c r="SEG359" s="2116"/>
      <c r="SEH359" s="2116"/>
      <c r="SEI359" s="2116"/>
      <c r="SEJ359" s="2116"/>
      <c r="SEK359" s="2116"/>
      <c r="SEL359" s="2116"/>
      <c r="SEM359" s="2116"/>
      <c r="SEN359" s="2116"/>
      <c r="SEO359" s="2116"/>
      <c r="SEP359" s="2116"/>
      <c r="SEQ359" s="2116"/>
      <c r="SER359" s="2116"/>
      <c r="SES359" s="2116" t="s">
        <v>1869</v>
      </c>
      <c r="SET359" s="2116"/>
      <c r="SEU359" s="2116"/>
      <c r="SEV359" s="2116"/>
      <c r="SEW359" s="2116"/>
      <c r="SEX359" s="2116"/>
      <c r="SEY359" s="2116"/>
      <c r="SEZ359" s="2116"/>
      <c r="SFA359" s="2116"/>
      <c r="SFB359" s="2116"/>
      <c r="SFC359" s="2116"/>
      <c r="SFD359" s="2116"/>
      <c r="SFE359" s="2116"/>
      <c r="SFF359" s="2116"/>
      <c r="SFG359" s="2116"/>
      <c r="SFH359" s="2116"/>
      <c r="SFI359" s="2116" t="s">
        <v>1869</v>
      </c>
      <c r="SFJ359" s="2116"/>
      <c r="SFK359" s="2116"/>
      <c r="SFL359" s="2116"/>
      <c r="SFM359" s="2116"/>
      <c r="SFN359" s="2116"/>
      <c r="SFO359" s="2116"/>
      <c r="SFP359" s="2116"/>
      <c r="SFQ359" s="2116"/>
      <c r="SFR359" s="2116"/>
      <c r="SFS359" s="2116"/>
      <c r="SFT359" s="2116"/>
      <c r="SFU359" s="2116"/>
      <c r="SFV359" s="2116"/>
      <c r="SFW359" s="2116"/>
      <c r="SFX359" s="2116"/>
      <c r="SFY359" s="2116" t="s">
        <v>1869</v>
      </c>
      <c r="SFZ359" s="2116"/>
      <c r="SGA359" s="2116"/>
      <c r="SGB359" s="2116"/>
      <c r="SGC359" s="2116"/>
      <c r="SGD359" s="2116"/>
      <c r="SGE359" s="2116"/>
      <c r="SGF359" s="2116"/>
      <c r="SGG359" s="2116"/>
      <c r="SGH359" s="2116"/>
      <c r="SGI359" s="2116"/>
      <c r="SGJ359" s="2116"/>
      <c r="SGK359" s="2116"/>
      <c r="SGL359" s="2116"/>
      <c r="SGM359" s="2116"/>
      <c r="SGN359" s="2116"/>
      <c r="SGO359" s="2116" t="s">
        <v>1869</v>
      </c>
      <c r="SGP359" s="2116"/>
      <c r="SGQ359" s="2116"/>
      <c r="SGR359" s="2116"/>
      <c r="SGS359" s="2116"/>
      <c r="SGT359" s="2116"/>
      <c r="SGU359" s="2116"/>
      <c r="SGV359" s="2116"/>
      <c r="SGW359" s="2116"/>
      <c r="SGX359" s="2116"/>
      <c r="SGY359" s="2116"/>
      <c r="SGZ359" s="2116"/>
      <c r="SHA359" s="2116"/>
      <c r="SHB359" s="2116"/>
      <c r="SHC359" s="2116"/>
      <c r="SHD359" s="2116"/>
      <c r="SHE359" s="2116" t="s">
        <v>1869</v>
      </c>
      <c r="SHF359" s="2116"/>
      <c r="SHG359" s="2116"/>
      <c r="SHH359" s="2116"/>
      <c r="SHI359" s="2116"/>
      <c r="SHJ359" s="2116"/>
      <c r="SHK359" s="2116"/>
      <c r="SHL359" s="2116"/>
      <c r="SHM359" s="2116"/>
      <c r="SHN359" s="2116"/>
      <c r="SHO359" s="2116"/>
      <c r="SHP359" s="2116"/>
      <c r="SHQ359" s="2116"/>
      <c r="SHR359" s="2116"/>
      <c r="SHS359" s="2116"/>
      <c r="SHT359" s="2116"/>
      <c r="SHU359" s="2116" t="s">
        <v>1869</v>
      </c>
      <c r="SHV359" s="2116"/>
      <c r="SHW359" s="2116"/>
      <c r="SHX359" s="2116"/>
      <c r="SHY359" s="2116"/>
      <c r="SHZ359" s="2116"/>
      <c r="SIA359" s="2116"/>
      <c r="SIB359" s="2116"/>
      <c r="SIC359" s="2116"/>
      <c r="SID359" s="2116"/>
      <c r="SIE359" s="2116"/>
      <c r="SIF359" s="2116"/>
      <c r="SIG359" s="2116"/>
      <c r="SIH359" s="2116"/>
      <c r="SII359" s="2116"/>
      <c r="SIJ359" s="2116"/>
      <c r="SIK359" s="2116" t="s">
        <v>1869</v>
      </c>
      <c r="SIL359" s="2116"/>
      <c r="SIM359" s="2116"/>
      <c r="SIN359" s="2116"/>
      <c r="SIO359" s="2116"/>
      <c r="SIP359" s="2116"/>
      <c r="SIQ359" s="2116"/>
      <c r="SIR359" s="2116"/>
      <c r="SIS359" s="2116"/>
      <c r="SIT359" s="2116"/>
      <c r="SIU359" s="2116"/>
      <c r="SIV359" s="2116"/>
      <c r="SIW359" s="2116"/>
      <c r="SIX359" s="2116"/>
      <c r="SIY359" s="2116"/>
      <c r="SIZ359" s="2116"/>
      <c r="SJA359" s="2116" t="s">
        <v>1869</v>
      </c>
      <c r="SJB359" s="2116"/>
      <c r="SJC359" s="2116"/>
      <c r="SJD359" s="2116"/>
      <c r="SJE359" s="2116"/>
      <c r="SJF359" s="2116"/>
      <c r="SJG359" s="2116"/>
      <c r="SJH359" s="2116"/>
      <c r="SJI359" s="2116"/>
      <c r="SJJ359" s="2116"/>
      <c r="SJK359" s="2116"/>
      <c r="SJL359" s="2116"/>
      <c r="SJM359" s="2116"/>
      <c r="SJN359" s="2116"/>
      <c r="SJO359" s="2116"/>
      <c r="SJP359" s="2116"/>
      <c r="SJQ359" s="2116" t="s">
        <v>1869</v>
      </c>
      <c r="SJR359" s="2116"/>
      <c r="SJS359" s="2116"/>
      <c r="SJT359" s="2116"/>
      <c r="SJU359" s="2116"/>
      <c r="SJV359" s="2116"/>
      <c r="SJW359" s="2116"/>
      <c r="SJX359" s="2116"/>
      <c r="SJY359" s="2116"/>
      <c r="SJZ359" s="2116"/>
      <c r="SKA359" s="2116"/>
      <c r="SKB359" s="2116"/>
      <c r="SKC359" s="2116"/>
      <c r="SKD359" s="2116"/>
      <c r="SKE359" s="2116"/>
      <c r="SKF359" s="2116"/>
      <c r="SKG359" s="2116" t="s">
        <v>1869</v>
      </c>
      <c r="SKH359" s="2116"/>
      <c r="SKI359" s="2116"/>
      <c r="SKJ359" s="2116"/>
      <c r="SKK359" s="2116"/>
      <c r="SKL359" s="2116"/>
      <c r="SKM359" s="2116"/>
      <c r="SKN359" s="2116"/>
      <c r="SKO359" s="2116"/>
      <c r="SKP359" s="2116"/>
      <c r="SKQ359" s="2116"/>
      <c r="SKR359" s="2116"/>
      <c r="SKS359" s="2116"/>
      <c r="SKT359" s="2116"/>
      <c r="SKU359" s="2116"/>
      <c r="SKV359" s="2116"/>
      <c r="SKW359" s="2116" t="s">
        <v>1869</v>
      </c>
      <c r="SKX359" s="2116"/>
      <c r="SKY359" s="2116"/>
      <c r="SKZ359" s="2116"/>
      <c r="SLA359" s="2116"/>
      <c r="SLB359" s="2116"/>
      <c r="SLC359" s="2116"/>
      <c r="SLD359" s="2116"/>
      <c r="SLE359" s="2116"/>
      <c r="SLF359" s="2116"/>
      <c r="SLG359" s="2116"/>
      <c r="SLH359" s="2116"/>
      <c r="SLI359" s="2116"/>
      <c r="SLJ359" s="2116"/>
      <c r="SLK359" s="2116"/>
      <c r="SLL359" s="2116"/>
      <c r="SLM359" s="2116" t="s">
        <v>1869</v>
      </c>
      <c r="SLN359" s="2116"/>
      <c r="SLO359" s="2116"/>
      <c r="SLP359" s="2116"/>
      <c r="SLQ359" s="2116"/>
      <c r="SLR359" s="2116"/>
      <c r="SLS359" s="2116"/>
      <c r="SLT359" s="2116"/>
      <c r="SLU359" s="2116"/>
      <c r="SLV359" s="2116"/>
      <c r="SLW359" s="2116"/>
      <c r="SLX359" s="2116"/>
      <c r="SLY359" s="2116"/>
      <c r="SLZ359" s="2116"/>
      <c r="SMA359" s="2116"/>
      <c r="SMB359" s="2116"/>
      <c r="SMC359" s="2116" t="s">
        <v>1869</v>
      </c>
      <c r="SMD359" s="2116"/>
      <c r="SME359" s="2116"/>
      <c r="SMF359" s="2116"/>
      <c r="SMG359" s="2116"/>
      <c r="SMH359" s="2116"/>
      <c r="SMI359" s="2116"/>
      <c r="SMJ359" s="2116"/>
      <c r="SMK359" s="2116"/>
      <c r="SML359" s="2116"/>
      <c r="SMM359" s="2116"/>
      <c r="SMN359" s="2116"/>
      <c r="SMO359" s="2116"/>
      <c r="SMP359" s="2116"/>
      <c r="SMQ359" s="2116"/>
      <c r="SMR359" s="2116"/>
      <c r="SMS359" s="2116" t="s">
        <v>1869</v>
      </c>
      <c r="SMT359" s="2116"/>
      <c r="SMU359" s="2116"/>
      <c r="SMV359" s="2116"/>
      <c r="SMW359" s="2116"/>
      <c r="SMX359" s="2116"/>
      <c r="SMY359" s="2116"/>
      <c r="SMZ359" s="2116"/>
      <c r="SNA359" s="2116"/>
      <c r="SNB359" s="2116"/>
      <c r="SNC359" s="2116"/>
      <c r="SND359" s="2116"/>
      <c r="SNE359" s="2116"/>
      <c r="SNF359" s="2116"/>
      <c r="SNG359" s="2116"/>
      <c r="SNH359" s="2116"/>
      <c r="SNI359" s="2116" t="s">
        <v>1869</v>
      </c>
      <c r="SNJ359" s="2116"/>
      <c r="SNK359" s="2116"/>
      <c r="SNL359" s="2116"/>
      <c r="SNM359" s="2116"/>
      <c r="SNN359" s="2116"/>
      <c r="SNO359" s="2116"/>
      <c r="SNP359" s="2116"/>
      <c r="SNQ359" s="2116"/>
      <c r="SNR359" s="2116"/>
      <c r="SNS359" s="2116"/>
      <c r="SNT359" s="2116"/>
      <c r="SNU359" s="2116"/>
      <c r="SNV359" s="2116"/>
      <c r="SNW359" s="2116"/>
      <c r="SNX359" s="2116"/>
      <c r="SNY359" s="2116" t="s">
        <v>1869</v>
      </c>
      <c r="SNZ359" s="2116"/>
      <c r="SOA359" s="2116"/>
      <c r="SOB359" s="2116"/>
      <c r="SOC359" s="2116"/>
      <c r="SOD359" s="2116"/>
      <c r="SOE359" s="2116"/>
      <c r="SOF359" s="2116"/>
      <c r="SOG359" s="2116"/>
      <c r="SOH359" s="2116"/>
      <c r="SOI359" s="2116"/>
      <c r="SOJ359" s="2116"/>
      <c r="SOK359" s="2116"/>
      <c r="SOL359" s="2116"/>
      <c r="SOM359" s="2116"/>
      <c r="SON359" s="2116"/>
      <c r="SOO359" s="2116" t="s">
        <v>1869</v>
      </c>
      <c r="SOP359" s="2116"/>
      <c r="SOQ359" s="2116"/>
      <c r="SOR359" s="2116"/>
      <c r="SOS359" s="2116"/>
      <c r="SOT359" s="2116"/>
      <c r="SOU359" s="2116"/>
      <c r="SOV359" s="2116"/>
      <c r="SOW359" s="2116"/>
      <c r="SOX359" s="2116"/>
      <c r="SOY359" s="2116"/>
      <c r="SOZ359" s="2116"/>
      <c r="SPA359" s="2116"/>
      <c r="SPB359" s="2116"/>
      <c r="SPC359" s="2116"/>
      <c r="SPD359" s="2116"/>
      <c r="SPE359" s="2116" t="s">
        <v>1869</v>
      </c>
      <c r="SPF359" s="2116"/>
      <c r="SPG359" s="2116"/>
      <c r="SPH359" s="2116"/>
      <c r="SPI359" s="2116"/>
      <c r="SPJ359" s="2116"/>
      <c r="SPK359" s="2116"/>
      <c r="SPL359" s="2116"/>
      <c r="SPM359" s="2116"/>
      <c r="SPN359" s="2116"/>
      <c r="SPO359" s="2116"/>
      <c r="SPP359" s="2116"/>
      <c r="SPQ359" s="2116"/>
      <c r="SPR359" s="2116"/>
      <c r="SPS359" s="2116"/>
      <c r="SPT359" s="2116"/>
      <c r="SPU359" s="2116" t="s">
        <v>1869</v>
      </c>
      <c r="SPV359" s="2116"/>
      <c r="SPW359" s="2116"/>
      <c r="SPX359" s="2116"/>
      <c r="SPY359" s="2116"/>
      <c r="SPZ359" s="2116"/>
      <c r="SQA359" s="2116"/>
      <c r="SQB359" s="2116"/>
      <c r="SQC359" s="2116"/>
      <c r="SQD359" s="2116"/>
      <c r="SQE359" s="2116"/>
      <c r="SQF359" s="2116"/>
      <c r="SQG359" s="2116"/>
      <c r="SQH359" s="2116"/>
      <c r="SQI359" s="2116"/>
      <c r="SQJ359" s="2116"/>
      <c r="SQK359" s="2116" t="s">
        <v>1869</v>
      </c>
      <c r="SQL359" s="2116"/>
      <c r="SQM359" s="2116"/>
      <c r="SQN359" s="2116"/>
      <c r="SQO359" s="2116"/>
      <c r="SQP359" s="2116"/>
      <c r="SQQ359" s="2116"/>
      <c r="SQR359" s="2116"/>
      <c r="SQS359" s="2116"/>
      <c r="SQT359" s="2116"/>
      <c r="SQU359" s="2116"/>
      <c r="SQV359" s="2116"/>
      <c r="SQW359" s="2116"/>
      <c r="SQX359" s="2116"/>
      <c r="SQY359" s="2116"/>
      <c r="SQZ359" s="2116"/>
      <c r="SRA359" s="2116" t="s">
        <v>1869</v>
      </c>
      <c r="SRB359" s="2116"/>
      <c r="SRC359" s="2116"/>
      <c r="SRD359" s="2116"/>
      <c r="SRE359" s="2116"/>
      <c r="SRF359" s="2116"/>
      <c r="SRG359" s="2116"/>
      <c r="SRH359" s="2116"/>
      <c r="SRI359" s="2116"/>
      <c r="SRJ359" s="2116"/>
      <c r="SRK359" s="2116"/>
      <c r="SRL359" s="2116"/>
      <c r="SRM359" s="2116"/>
      <c r="SRN359" s="2116"/>
      <c r="SRO359" s="2116"/>
      <c r="SRP359" s="2116"/>
      <c r="SRQ359" s="2116" t="s">
        <v>1869</v>
      </c>
      <c r="SRR359" s="2116"/>
      <c r="SRS359" s="2116"/>
      <c r="SRT359" s="2116"/>
      <c r="SRU359" s="2116"/>
      <c r="SRV359" s="2116"/>
      <c r="SRW359" s="2116"/>
      <c r="SRX359" s="2116"/>
      <c r="SRY359" s="2116"/>
      <c r="SRZ359" s="2116"/>
      <c r="SSA359" s="2116"/>
      <c r="SSB359" s="2116"/>
      <c r="SSC359" s="2116"/>
      <c r="SSD359" s="2116"/>
      <c r="SSE359" s="2116"/>
      <c r="SSF359" s="2116"/>
      <c r="SSG359" s="2116" t="s">
        <v>1869</v>
      </c>
      <c r="SSH359" s="2116"/>
      <c r="SSI359" s="2116"/>
      <c r="SSJ359" s="2116"/>
      <c r="SSK359" s="2116"/>
      <c r="SSL359" s="2116"/>
      <c r="SSM359" s="2116"/>
      <c r="SSN359" s="2116"/>
      <c r="SSO359" s="2116"/>
      <c r="SSP359" s="2116"/>
      <c r="SSQ359" s="2116"/>
      <c r="SSR359" s="2116"/>
      <c r="SSS359" s="2116"/>
      <c r="SST359" s="2116"/>
      <c r="SSU359" s="2116"/>
      <c r="SSV359" s="2116"/>
      <c r="SSW359" s="2116" t="s">
        <v>1869</v>
      </c>
      <c r="SSX359" s="2116"/>
      <c r="SSY359" s="2116"/>
      <c r="SSZ359" s="2116"/>
      <c r="STA359" s="2116"/>
      <c r="STB359" s="2116"/>
      <c r="STC359" s="2116"/>
      <c r="STD359" s="2116"/>
      <c r="STE359" s="2116"/>
      <c r="STF359" s="2116"/>
      <c r="STG359" s="2116"/>
      <c r="STH359" s="2116"/>
      <c r="STI359" s="2116"/>
      <c r="STJ359" s="2116"/>
      <c r="STK359" s="2116"/>
      <c r="STL359" s="2116"/>
      <c r="STM359" s="2116" t="s">
        <v>1869</v>
      </c>
      <c r="STN359" s="2116"/>
      <c r="STO359" s="2116"/>
      <c r="STP359" s="2116"/>
      <c r="STQ359" s="2116"/>
      <c r="STR359" s="2116"/>
      <c r="STS359" s="2116"/>
      <c r="STT359" s="2116"/>
      <c r="STU359" s="2116"/>
      <c r="STV359" s="2116"/>
      <c r="STW359" s="2116"/>
      <c r="STX359" s="2116"/>
      <c r="STY359" s="2116"/>
      <c r="STZ359" s="2116"/>
      <c r="SUA359" s="2116"/>
      <c r="SUB359" s="2116"/>
    </row>
    <row r="360" spans="1:13392" s="625" customFormat="1" ht="15.75" thickBot="1">
      <c r="Q360" s="687"/>
      <c r="R360" s="687"/>
      <c r="S360" s="687"/>
      <c r="T360" s="687"/>
      <c r="U360" s="687"/>
      <c r="V360" s="687"/>
      <c r="W360" s="687"/>
      <c r="X360" s="687"/>
      <c r="Y360" s="687"/>
      <c r="Z360" s="687"/>
      <c r="AA360" s="687"/>
      <c r="AB360" s="687"/>
      <c r="AC360" s="687"/>
      <c r="AD360" s="687"/>
      <c r="AE360" s="687"/>
      <c r="AF360" s="687"/>
    </row>
    <row r="361" spans="1:13392" s="57" customFormat="1" ht="15.75" thickBot="1">
      <c r="A361" s="626"/>
      <c r="B361" s="627" t="s">
        <v>1669</v>
      </c>
      <c r="C361" s="628">
        <v>43831</v>
      </c>
      <c r="D361" s="628">
        <v>43862</v>
      </c>
      <c r="E361" s="628">
        <v>43891</v>
      </c>
      <c r="F361" s="628">
        <v>43922</v>
      </c>
      <c r="G361" s="628">
        <v>43952</v>
      </c>
      <c r="H361" s="628">
        <v>43983</v>
      </c>
      <c r="I361" s="628">
        <v>44013</v>
      </c>
      <c r="J361" s="628">
        <v>44044</v>
      </c>
      <c r="K361" s="628">
        <v>44075</v>
      </c>
      <c r="L361" s="628">
        <v>44105</v>
      </c>
      <c r="M361" s="628">
        <v>44136</v>
      </c>
      <c r="N361" s="628">
        <v>44166</v>
      </c>
      <c r="O361" s="629">
        <v>2020</v>
      </c>
      <c r="P361" s="630" t="s">
        <v>1870</v>
      </c>
      <c r="Q361" s="688"/>
      <c r="R361" s="689" t="s">
        <v>1669</v>
      </c>
      <c r="S361" s="690">
        <v>43831</v>
      </c>
      <c r="T361" s="690">
        <v>43862</v>
      </c>
      <c r="U361" s="690">
        <v>43891</v>
      </c>
      <c r="V361" s="690">
        <v>43922</v>
      </c>
      <c r="W361" s="690">
        <v>43952</v>
      </c>
      <c r="X361" s="690">
        <v>43983</v>
      </c>
      <c r="Y361" s="690">
        <v>44013</v>
      </c>
      <c r="Z361" s="690">
        <v>44044</v>
      </c>
      <c r="AA361" s="690">
        <v>44075</v>
      </c>
      <c r="AB361" s="690">
        <v>44105</v>
      </c>
      <c r="AC361" s="690">
        <v>44136</v>
      </c>
      <c r="AD361" s="690">
        <v>44166</v>
      </c>
      <c r="AE361" s="691">
        <v>2020</v>
      </c>
      <c r="AF361" s="692" t="s">
        <v>1870</v>
      </c>
      <c r="AG361" s="626"/>
      <c r="AH361" s="627" t="s">
        <v>1669</v>
      </c>
      <c r="AI361" s="628">
        <v>43831</v>
      </c>
      <c r="AJ361" s="628">
        <v>43862</v>
      </c>
      <c r="AK361" s="628">
        <v>43891</v>
      </c>
      <c r="AL361" s="628">
        <v>43922</v>
      </c>
      <c r="AM361" s="628">
        <v>43952</v>
      </c>
      <c r="AN361" s="628">
        <v>43983</v>
      </c>
      <c r="AO361" s="628">
        <v>44013</v>
      </c>
      <c r="AP361" s="628">
        <v>44044</v>
      </c>
      <c r="AQ361" s="628">
        <v>44075</v>
      </c>
      <c r="AR361" s="628">
        <v>44105</v>
      </c>
      <c r="AS361" s="628">
        <v>44136</v>
      </c>
      <c r="AT361" s="628">
        <v>44166</v>
      </c>
      <c r="AU361" s="629">
        <v>2020</v>
      </c>
      <c r="AV361" s="630" t="s">
        <v>1870</v>
      </c>
      <c r="AW361" s="626"/>
      <c r="AX361" s="627" t="s">
        <v>1669</v>
      </c>
      <c r="AY361" s="628">
        <v>43831</v>
      </c>
      <c r="AZ361" s="628">
        <v>43862</v>
      </c>
      <c r="BA361" s="628">
        <v>43891</v>
      </c>
      <c r="BB361" s="628">
        <v>43922</v>
      </c>
      <c r="BC361" s="628">
        <v>43952</v>
      </c>
      <c r="BD361" s="628">
        <v>43983</v>
      </c>
      <c r="BE361" s="628">
        <v>44013</v>
      </c>
      <c r="BF361" s="628">
        <v>44044</v>
      </c>
      <c r="BG361" s="628">
        <v>44075</v>
      </c>
      <c r="BH361" s="628">
        <v>44105</v>
      </c>
      <c r="BI361" s="628">
        <v>44136</v>
      </c>
      <c r="BJ361" s="628">
        <v>44166</v>
      </c>
      <c r="BK361" s="629">
        <v>2020</v>
      </c>
      <c r="BL361" s="630" t="s">
        <v>1870</v>
      </c>
      <c r="BM361" s="626"/>
      <c r="BN361" s="627" t="s">
        <v>1669</v>
      </c>
      <c r="BO361" s="628">
        <v>43831</v>
      </c>
      <c r="BP361" s="628">
        <v>43862</v>
      </c>
      <c r="BQ361" s="628">
        <v>43891</v>
      </c>
      <c r="BR361" s="628">
        <v>43922</v>
      </c>
      <c r="BS361" s="628">
        <v>43952</v>
      </c>
      <c r="BT361" s="628">
        <v>43983</v>
      </c>
      <c r="BU361" s="628">
        <v>44013</v>
      </c>
      <c r="BV361" s="628">
        <v>44044</v>
      </c>
      <c r="BW361" s="628">
        <v>44075</v>
      </c>
      <c r="BX361" s="628">
        <v>44105</v>
      </c>
      <c r="BY361" s="628">
        <v>44136</v>
      </c>
      <c r="BZ361" s="628">
        <v>44166</v>
      </c>
      <c r="CA361" s="629">
        <v>2020</v>
      </c>
      <c r="CB361" s="630" t="s">
        <v>1870</v>
      </c>
      <c r="CC361" s="626"/>
      <c r="CD361" s="627" t="s">
        <v>1669</v>
      </c>
      <c r="CE361" s="628">
        <v>43831</v>
      </c>
      <c r="CF361" s="628">
        <v>43862</v>
      </c>
      <c r="CG361" s="628">
        <v>43891</v>
      </c>
      <c r="CH361" s="628">
        <v>43922</v>
      </c>
      <c r="CI361" s="628">
        <v>43952</v>
      </c>
      <c r="CJ361" s="628">
        <v>43983</v>
      </c>
      <c r="CK361" s="628">
        <v>44013</v>
      </c>
      <c r="CL361" s="628">
        <v>44044</v>
      </c>
      <c r="CM361" s="628">
        <v>44075</v>
      </c>
      <c r="CN361" s="628">
        <v>44105</v>
      </c>
      <c r="CO361" s="628">
        <v>44136</v>
      </c>
      <c r="CP361" s="628">
        <v>44166</v>
      </c>
      <c r="CQ361" s="629">
        <v>2020</v>
      </c>
      <c r="CR361" s="630" t="s">
        <v>1870</v>
      </c>
      <c r="CS361" s="626"/>
      <c r="CT361" s="627" t="s">
        <v>1669</v>
      </c>
      <c r="CU361" s="628">
        <v>43831</v>
      </c>
      <c r="CV361" s="628">
        <v>43862</v>
      </c>
      <c r="CW361" s="628">
        <v>43891</v>
      </c>
      <c r="CX361" s="628">
        <v>43922</v>
      </c>
      <c r="CY361" s="628">
        <v>43952</v>
      </c>
      <c r="CZ361" s="628">
        <v>43983</v>
      </c>
      <c r="DA361" s="628">
        <v>44013</v>
      </c>
      <c r="DB361" s="628">
        <v>44044</v>
      </c>
      <c r="DC361" s="628">
        <v>44075</v>
      </c>
      <c r="DD361" s="628">
        <v>44105</v>
      </c>
      <c r="DE361" s="628">
        <v>44136</v>
      </c>
      <c r="DF361" s="628">
        <v>44166</v>
      </c>
      <c r="DG361" s="629">
        <v>2020</v>
      </c>
      <c r="DH361" s="630" t="s">
        <v>1870</v>
      </c>
      <c r="DI361" s="626"/>
      <c r="DJ361" s="627" t="s">
        <v>1669</v>
      </c>
      <c r="DK361" s="628">
        <v>43831</v>
      </c>
      <c r="DL361" s="628">
        <v>43862</v>
      </c>
      <c r="DM361" s="628">
        <v>43891</v>
      </c>
      <c r="DN361" s="628">
        <v>43922</v>
      </c>
      <c r="DO361" s="628">
        <v>43952</v>
      </c>
      <c r="DP361" s="628">
        <v>43983</v>
      </c>
      <c r="DQ361" s="628">
        <v>44013</v>
      </c>
      <c r="DR361" s="628">
        <v>44044</v>
      </c>
      <c r="DS361" s="628">
        <v>44075</v>
      </c>
      <c r="DT361" s="628">
        <v>44105</v>
      </c>
      <c r="DU361" s="628">
        <v>44136</v>
      </c>
      <c r="DV361" s="628">
        <v>44166</v>
      </c>
      <c r="DW361" s="629">
        <v>2020</v>
      </c>
      <c r="DX361" s="630" t="s">
        <v>1870</v>
      </c>
      <c r="DY361" s="626"/>
      <c r="DZ361" s="627" t="s">
        <v>1669</v>
      </c>
      <c r="EA361" s="628">
        <v>43831</v>
      </c>
      <c r="EB361" s="628">
        <v>43862</v>
      </c>
      <c r="EC361" s="628">
        <v>43891</v>
      </c>
      <c r="ED361" s="628">
        <v>43922</v>
      </c>
      <c r="EE361" s="628">
        <v>43952</v>
      </c>
      <c r="EF361" s="628">
        <v>43983</v>
      </c>
      <c r="EG361" s="628">
        <v>44013</v>
      </c>
      <c r="EH361" s="628">
        <v>44044</v>
      </c>
      <c r="EI361" s="628">
        <v>44075</v>
      </c>
      <c r="EJ361" s="628">
        <v>44105</v>
      </c>
      <c r="EK361" s="628">
        <v>44136</v>
      </c>
      <c r="EL361" s="628">
        <v>44166</v>
      </c>
      <c r="EM361" s="629">
        <v>2020</v>
      </c>
      <c r="EN361" s="630" t="s">
        <v>1870</v>
      </c>
      <c r="EO361" s="626"/>
      <c r="EP361" s="627" t="s">
        <v>1669</v>
      </c>
      <c r="EQ361" s="628">
        <v>43831</v>
      </c>
      <c r="ER361" s="628">
        <v>43862</v>
      </c>
      <c r="ES361" s="628">
        <v>43891</v>
      </c>
      <c r="ET361" s="628">
        <v>43922</v>
      </c>
      <c r="EU361" s="628">
        <v>43952</v>
      </c>
      <c r="EV361" s="628">
        <v>43983</v>
      </c>
      <c r="EW361" s="628">
        <v>44013</v>
      </c>
      <c r="EX361" s="628">
        <v>44044</v>
      </c>
      <c r="EY361" s="628">
        <v>44075</v>
      </c>
      <c r="EZ361" s="628">
        <v>44105</v>
      </c>
      <c r="FA361" s="628">
        <v>44136</v>
      </c>
      <c r="FB361" s="628">
        <v>44166</v>
      </c>
      <c r="FC361" s="629">
        <v>2020</v>
      </c>
      <c r="FD361" s="630" t="s">
        <v>1870</v>
      </c>
      <c r="FE361" s="626"/>
      <c r="FF361" s="627" t="s">
        <v>1669</v>
      </c>
      <c r="FG361" s="628">
        <v>43831</v>
      </c>
      <c r="FH361" s="628">
        <v>43862</v>
      </c>
      <c r="FI361" s="628">
        <v>43891</v>
      </c>
      <c r="FJ361" s="628">
        <v>43922</v>
      </c>
      <c r="FK361" s="628">
        <v>43952</v>
      </c>
      <c r="FL361" s="628">
        <v>43983</v>
      </c>
      <c r="FM361" s="628">
        <v>44013</v>
      </c>
      <c r="FN361" s="628">
        <v>44044</v>
      </c>
      <c r="FO361" s="628">
        <v>44075</v>
      </c>
      <c r="FP361" s="628">
        <v>44105</v>
      </c>
      <c r="FQ361" s="628">
        <v>44136</v>
      </c>
      <c r="FR361" s="628">
        <v>44166</v>
      </c>
      <c r="FS361" s="629">
        <v>2020</v>
      </c>
      <c r="FT361" s="630" t="s">
        <v>1870</v>
      </c>
      <c r="FU361" s="626"/>
      <c r="FV361" s="627" t="s">
        <v>1669</v>
      </c>
      <c r="FW361" s="628">
        <v>43831</v>
      </c>
      <c r="FX361" s="628">
        <v>43862</v>
      </c>
      <c r="FY361" s="628">
        <v>43891</v>
      </c>
      <c r="FZ361" s="628">
        <v>43922</v>
      </c>
      <c r="GA361" s="628">
        <v>43952</v>
      </c>
      <c r="GB361" s="628">
        <v>43983</v>
      </c>
      <c r="GC361" s="628">
        <v>44013</v>
      </c>
      <c r="GD361" s="628">
        <v>44044</v>
      </c>
      <c r="GE361" s="628">
        <v>44075</v>
      </c>
      <c r="GF361" s="628">
        <v>44105</v>
      </c>
      <c r="GG361" s="628">
        <v>44136</v>
      </c>
      <c r="GH361" s="628">
        <v>44166</v>
      </c>
      <c r="GI361" s="629">
        <v>2020</v>
      </c>
      <c r="GJ361" s="630" t="s">
        <v>1870</v>
      </c>
      <c r="GK361" s="626"/>
      <c r="GL361" s="627" t="s">
        <v>1669</v>
      </c>
      <c r="GM361" s="628">
        <v>43831</v>
      </c>
      <c r="GN361" s="628">
        <v>43862</v>
      </c>
      <c r="GO361" s="628">
        <v>43891</v>
      </c>
      <c r="GP361" s="628">
        <v>43922</v>
      </c>
      <c r="GQ361" s="628">
        <v>43952</v>
      </c>
      <c r="GR361" s="628">
        <v>43983</v>
      </c>
      <c r="GS361" s="628">
        <v>44013</v>
      </c>
      <c r="GT361" s="628">
        <v>44044</v>
      </c>
      <c r="GU361" s="628">
        <v>44075</v>
      </c>
      <c r="GV361" s="628">
        <v>44105</v>
      </c>
      <c r="GW361" s="628">
        <v>44136</v>
      </c>
      <c r="GX361" s="628">
        <v>44166</v>
      </c>
      <c r="GY361" s="629">
        <v>2020</v>
      </c>
      <c r="GZ361" s="630" t="s">
        <v>1870</v>
      </c>
      <c r="HA361" s="626"/>
      <c r="HB361" s="627" t="s">
        <v>1669</v>
      </c>
      <c r="HC361" s="628">
        <v>43831</v>
      </c>
      <c r="HD361" s="628">
        <v>43862</v>
      </c>
      <c r="HE361" s="628">
        <v>43891</v>
      </c>
      <c r="HF361" s="628">
        <v>43922</v>
      </c>
      <c r="HG361" s="628">
        <v>43952</v>
      </c>
      <c r="HH361" s="628">
        <v>43983</v>
      </c>
      <c r="HI361" s="628">
        <v>44013</v>
      </c>
      <c r="HJ361" s="628">
        <v>44044</v>
      </c>
      <c r="HK361" s="628">
        <v>44075</v>
      </c>
      <c r="HL361" s="628">
        <v>44105</v>
      </c>
      <c r="HM361" s="628">
        <v>44136</v>
      </c>
      <c r="HN361" s="628">
        <v>44166</v>
      </c>
      <c r="HO361" s="629">
        <v>2020</v>
      </c>
      <c r="HP361" s="630" t="s">
        <v>1870</v>
      </c>
      <c r="HQ361" s="626"/>
      <c r="HR361" s="627" t="s">
        <v>1669</v>
      </c>
      <c r="HS361" s="628">
        <v>43831</v>
      </c>
      <c r="HT361" s="628">
        <v>43862</v>
      </c>
      <c r="HU361" s="628">
        <v>43891</v>
      </c>
      <c r="HV361" s="628">
        <v>43922</v>
      </c>
      <c r="HW361" s="628">
        <v>43952</v>
      </c>
      <c r="HX361" s="628">
        <v>43983</v>
      </c>
      <c r="HY361" s="628">
        <v>44013</v>
      </c>
      <c r="HZ361" s="628">
        <v>44044</v>
      </c>
      <c r="IA361" s="628">
        <v>44075</v>
      </c>
      <c r="IB361" s="628">
        <v>44105</v>
      </c>
      <c r="IC361" s="628">
        <v>44136</v>
      </c>
      <c r="ID361" s="628">
        <v>44166</v>
      </c>
      <c r="IE361" s="629">
        <v>2020</v>
      </c>
      <c r="IF361" s="630" t="s">
        <v>1870</v>
      </c>
      <c r="IG361" s="626"/>
      <c r="IH361" s="627" t="s">
        <v>1669</v>
      </c>
      <c r="II361" s="628">
        <v>43831</v>
      </c>
      <c r="IJ361" s="628">
        <v>43862</v>
      </c>
      <c r="IK361" s="628">
        <v>43891</v>
      </c>
      <c r="IL361" s="628">
        <v>43922</v>
      </c>
      <c r="IM361" s="628">
        <v>43952</v>
      </c>
      <c r="IN361" s="628">
        <v>43983</v>
      </c>
      <c r="IO361" s="628">
        <v>44013</v>
      </c>
      <c r="IP361" s="628">
        <v>44044</v>
      </c>
      <c r="IQ361" s="628">
        <v>44075</v>
      </c>
      <c r="IR361" s="628">
        <v>44105</v>
      </c>
      <c r="IS361" s="628">
        <v>44136</v>
      </c>
      <c r="IT361" s="628">
        <v>44166</v>
      </c>
      <c r="IU361" s="629">
        <v>2020</v>
      </c>
      <c r="IV361" s="630" t="s">
        <v>1870</v>
      </c>
      <c r="IW361" s="626"/>
      <c r="IX361" s="627" t="s">
        <v>1669</v>
      </c>
      <c r="IY361" s="628">
        <v>43831</v>
      </c>
      <c r="IZ361" s="628">
        <v>43862</v>
      </c>
      <c r="JA361" s="628">
        <v>43891</v>
      </c>
      <c r="JB361" s="628">
        <v>43922</v>
      </c>
      <c r="JC361" s="628">
        <v>43952</v>
      </c>
      <c r="JD361" s="628">
        <v>43983</v>
      </c>
      <c r="JE361" s="628">
        <v>44013</v>
      </c>
      <c r="JF361" s="628">
        <v>44044</v>
      </c>
      <c r="JG361" s="628">
        <v>44075</v>
      </c>
      <c r="JH361" s="628">
        <v>44105</v>
      </c>
      <c r="JI361" s="628">
        <v>44136</v>
      </c>
      <c r="JJ361" s="628">
        <v>44166</v>
      </c>
      <c r="JK361" s="629">
        <v>2020</v>
      </c>
      <c r="JL361" s="630" t="s">
        <v>1870</v>
      </c>
      <c r="JM361" s="626"/>
      <c r="JN361" s="627" t="s">
        <v>1669</v>
      </c>
      <c r="JO361" s="628">
        <v>43831</v>
      </c>
      <c r="JP361" s="628">
        <v>43862</v>
      </c>
      <c r="JQ361" s="628">
        <v>43891</v>
      </c>
      <c r="JR361" s="628">
        <v>43922</v>
      </c>
      <c r="JS361" s="628">
        <v>43952</v>
      </c>
      <c r="JT361" s="628">
        <v>43983</v>
      </c>
      <c r="JU361" s="628">
        <v>44013</v>
      </c>
      <c r="JV361" s="628">
        <v>44044</v>
      </c>
      <c r="JW361" s="628">
        <v>44075</v>
      </c>
      <c r="JX361" s="628">
        <v>44105</v>
      </c>
      <c r="JY361" s="628">
        <v>44136</v>
      </c>
      <c r="JZ361" s="628">
        <v>44166</v>
      </c>
      <c r="KA361" s="629">
        <v>2020</v>
      </c>
      <c r="KB361" s="630" t="s">
        <v>1870</v>
      </c>
      <c r="KC361" s="626"/>
      <c r="KD361" s="627" t="s">
        <v>1669</v>
      </c>
      <c r="KE361" s="628">
        <v>43831</v>
      </c>
      <c r="KF361" s="628">
        <v>43862</v>
      </c>
      <c r="KG361" s="628">
        <v>43891</v>
      </c>
      <c r="KH361" s="628">
        <v>43922</v>
      </c>
      <c r="KI361" s="628">
        <v>43952</v>
      </c>
      <c r="KJ361" s="628">
        <v>43983</v>
      </c>
      <c r="KK361" s="628">
        <v>44013</v>
      </c>
      <c r="KL361" s="628">
        <v>44044</v>
      </c>
      <c r="KM361" s="628">
        <v>44075</v>
      </c>
      <c r="KN361" s="628">
        <v>44105</v>
      </c>
      <c r="KO361" s="628">
        <v>44136</v>
      </c>
      <c r="KP361" s="628">
        <v>44166</v>
      </c>
      <c r="KQ361" s="629">
        <v>2020</v>
      </c>
      <c r="KR361" s="630" t="s">
        <v>1870</v>
      </c>
      <c r="KS361" s="626"/>
      <c r="KT361" s="627" t="s">
        <v>1669</v>
      </c>
      <c r="KU361" s="628">
        <v>43831</v>
      </c>
      <c r="KV361" s="628">
        <v>43862</v>
      </c>
      <c r="KW361" s="628">
        <v>43891</v>
      </c>
      <c r="KX361" s="628">
        <v>43922</v>
      </c>
      <c r="KY361" s="628">
        <v>43952</v>
      </c>
      <c r="KZ361" s="628">
        <v>43983</v>
      </c>
      <c r="LA361" s="628">
        <v>44013</v>
      </c>
      <c r="LB361" s="628">
        <v>44044</v>
      </c>
      <c r="LC361" s="628">
        <v>44075</v>
      </c>
      <c r="LD361" s="628">
        <v>44105</v>
      </c>
      <c r="LE361" s="628">
        <v>44136</v>
      </c>
      <c r="LF361" s="628">
        <v>44166</v>
      </c>
      <c r="LG361" s="629">
        <v>2020</v>
      </c>
      <c r="LH361" s="630" t="s">
        <v>1870</v>
      </c>
      <c r="LI361" s="626"/>
      <c r="LJ361" s="627" t="s">
        <v>1669</v>
      </c>
      <c r="LK361" s="628">
        <v>43831</v>
      </c>
      <c r="LL361" s="628">
        <v>43862</v>
      </c>
      <c r="LM361" s="628">
        <v>43891</v>
      </c>
      <c r="LN361" s="628">
        <v>43922</v>
      </c>
      <c r="LO361" s="628">
        <v>43952</v>
      </c>
      <c r="LP361" s="628">
        <v>43983</v>
      </c>
      <c r="LQ361" s="628">
        <v>44013</v>
      </c>
      <c r="LR361" s="628">
        <v>44044</v>
      </c>
      <c r="LS361" s="628">
        <v>44075</v>
      </c>
      <c r="LT361" s="628">
        <v>44105</v>
      </c>
      <c r="LU361" s="628">
        <v>44136</v>
      </c>
      <c r="LV361" s="628">
        <v>44166</v>
      </c>
      <c r="LW361" s="629">
        <v>2020</v>
      </c>
      <c r="LX361" s="630" t="s">
        <v>1870</v>
      </c>
      <c r="LY361" s="626"/>
      <c r="LZ361" s="627" t="s">
        <v>1669</v>
      </c>
      <c r="MA361" s="628">
        <v>43831</v>
      </c>
      <c r="MB361" s="628">
        <v>43862</v>
      </c>
      <c r="MC361" s="628">
        <v>43891</v>
      </c>
      <c r="MD361" s="628">
        <v>43922</v>
      </c>
      <c r="ME361" s="628">
        <v>43952</v>
      </c>
      <c r="MF361" s="628">
        <v>43983</v>
      </c>
      <c r="MG361" s="628">
        <v>44013</v>
      </c>
      <c r="MH361" s="628">
        <v>44044</v>
      </c>
      <c r="MI361" s="628">
        <v>44075</v>
      </c>
      <c r="MJ361" s="628">
        <v>44105</v>
      </c>
      <c r="MK361" s="628">
        <v>44136</v>
      </c>
      <c r="ML361" s="628">
        <v>44166</v>
      </c>
      <c r="MM361" s="629">
        <v>2020</v>
      </c>
      <c r="MN361" s="630" t="s">
        <v>1870</v>
      </c>
      <c r="MO361" s="626"/>
      <c r="MP361" s="627" t="s">
        <v>1669</v>
      </c>
      <c r="MQ361" s="628">
        <v>43831</v>
      </c>
      <c r="MR361" s="628">
        <v>43862</v>
      </c>
      <c r="MS361" s="628">
        <v>43891</v>
      </c>
      <c r="MT361" s="628">
        <v>43922</v>
      </c>
      <c r="MU361" s="628">
        <v>43952</v>
      </c>
      <c r="MV361" s="628">
        <v>43983</v>
      </c>
      <c r="MW361" s="628">
        <v>44013</v>
      </c>
      <c r="MX361" s="628">
        <v>44044</v>
      </c>
      <c r="MY361" s="628">
        <v>44075</v>
      </c>
      <c r="MZ361" s="628">
        <v>44105</v>
      </c>
      <c r="NA361" s="628">
        <v>44136</v>
      </c>
      <c r="NB361" s="628">
        <v>44166</v>
      </c>
      <c r="NC361" s="629">
        <v>2020</v>
      </c>
      <c r="ND361" s="630" t="s">
        <v>1870</v>
      </c>
      <c r="NE361" s="626"/>
      <c r="NF361" s="627" t="s">
        <v>1669</v>
      </c>
      <c r="NG361" s="628">
        <v>43831</v>
      </c>
      <c r="NH361" s="628">
        <v>43862</v>
      </c>
      <c r="NI361" s="628">
        <v>43891</v>
      </c>
      <c r="NJ361" s="628">
        <v>43922</v>
      </c>
      <c r="NK361" s="628">
        <v>43952</v>
      </c>
      <c r="NL361" s="628">
        <v>43983</v>
      </c>
      <c r="NM361" s="628">
        <v>44013</v>
      </c>
      <c r="NN361" s="628">
        <v>44044</v>
      </c>
      <c r="NO361" s="628">
        <v>44075</v>
      </c>
      <c r="NP361" s="628">
        <v>44105</v>
      </c>
      <c r="NQ361" s="628">
        <v>44136</v>
      </c>
      <c r="NR361" s="628">
        <v>44166</v>
      </c>
      <c r="NS361" s="629">
        <v>2020</v>
      </c>
      <c r="NT361" s="630" t="s">
        <v>1870</v>
      </c>
      <c r="NU361" s="626"/>
      <c r="NV361" s="627" t="s">
        <v>1669</v>
      </c>
      <c r="NW361" s="628">
        <v>43831</v>
      </c>
      <c r="NX361" s="628">
        <v>43862</v>
      </c>
      <c r="NY361" s="628">
        <v>43891</v>
      </c>
      <c r="NZ361" s="628">
        <v>43922</v>
      </c>
      <c r="OA361" s="628">
        <v>43952</v>
      </c>
      <c r="OB361" s="628">
        <v>43983</v>
      </c>
      <c r="OC361" s="628">
        <v>44013</v>
      </c>
      <c r="OD361" s="628">
        <v>44044</v>
      </c>
      <c r="OE361" s="628">
        <v>44075</v>
      </c>
      <c r="OF361" s="628">
        <v>44105</v>
      </c>
      <c r="OG361" s="628">
        <v>44136</v>
      </c>
      <c r="OH361" s="628">
        <v>44166</v>
      </c>
      <c r="OI361" s="629">
        <v>2020</v>
      </c>
      <c r="OJ361" s="630" t="s">
        <v>1870</v>
      </c>
      <c r="OK361" s="626"/>
      <c r="OL361" s="627" t="s">
        <v>1669</v>
      </c>
      <c r="OM361" s="628">
        <v>43831</v>
      </c>
      <c r="ON361" s="628">
        <v>43862</v>
      </c>
      <c r="OO361" s="628">
        <v>43891</v>
      </c>
      <c r="OP361" s="628">
        <v>43922</v>
      </c>
      <c r="OQ361" s="628">
        <v>43952</v>
      </c>
      <c r="OR361" s="628">
        <v>43983</v>
      </c>
      <c r="OS361" s="628">
        <v>44013</v>
      </c>
      <c r="OT361" s="628">
        <v>44044</v>
      </c>
      <c r="OU361" s="628">
        <v>44075</v>
      </c>
      <c r="OV361" s="628">
        <v>44105</v>
      </c>
      <c r="OW361" s="628">
        <v>44136</v>
      </c>
      <c r="OX361" s="628">
        <v>44166</v>
      </c>
      <c r="OY361" s="629">
        <v>2020</v>
      </c>
      <c r="OZ361" s="630" t="s">
        <v>1870</v>
      </c>
      <c r="PA361" s="626"/>
      <c r="PB361" s="627" t="s">
        <v>1669</v>
      </c>
      <c r="PC361" s="628">
        <v>43831</v>
      </c>
      <c r="PD361" s="628">
        <v>43862</v>
      </c>
      <c r="PE361" s="628">
        <v>43891</v>
      </c>
      <c r="PF361" s="628">
        <v>43922</v>
      </c>
      <c r="PG361" s="628">
        <v>43952</v>
      </c>
      <c r="PH361" s="628">
        <v>43983</v>
      </c>
      <c r="PI361" s="628">
        <v>44013</v>
      </c>
      <c r="PJ361" s="628">
        <v>44044</v>
      </c>
      <c r="PK361" s="628">
        <v>44075</v>
      </c>
      <c r="PL361" s="628">
        <v>44105</v>
      </c>
      <c r="PM361" s="628">
        <v>44136</v>
      </c>
      <c r="PN361" s="628">
        <v>44166</v>
      </c>
      <c r="PO361" s="629">
        <v>2020</v>
      </c>
      <c r="PP361" s="630" t="s">
        <v>1870</v>
      </c>
      <c r="PQ361" s="626"/>
      <c r="PR361" s="627" t="s">
        <v>1669</v>
      </c>
      <c r="PS361" s="628">
        <v>43831</v>
      </c>
      <c r="PT361" s="628">
        <v>43862</v>
      </c>
      <c r="PU361" s="628">
        <v>43891</v>
      </c>
      <c r="PV361" s="628">
        <v>43922</v>
      </c>
      <c r="PW361" s="628">
        <v>43952</v>
      </c>
      <c r="PX361" s="628">
        <v>43983</v>
      </c>
      <c r="PY361" s="628">
        <v>44013</v>
      </c>
      <c r="PZ361" s="628">
        <v>44044</v>
      </c>
      <c r="QA361" s="628">
        <v>44075</v>
      </c>
      <c r="QB361" s="628">
        <v>44105</v>
      </c>
      <c r="QC361" s="628">
        <v>44136</v>
      </c>
      <c r="QD361" s="628">
        <v>44166</v>
      </c>
      <c r="QE361" s="629">
        <v>2020</v>
      </c>
      <c r="QF361" s="630" t="s">
        <v>1870</v>
      </c>
      <c r="QG361" s="626"/>
      <c r="QH361" s="627" t="s">
        <v>1669</v>
      </c>
      <c r="QI361" s="628">
        <v>43831</v>
      </c>
      <c r="QJ361" s="628">
        <v>43862</v>
      </c>
      <c r="QK361" s="628">
        <v>43891</v>
      </c>
      <c r="QL361" s="628">
        <v>43922</v>
      </c>
      <c r="QM361" s="628">
        <v>43952</v>
      </c>
      <c r="QN361" s="628">
        <v>43983</v>
      </c>
      <c r="QO361" s="628">
        <v>44013</v>
      </c>
      <c r="QP361" s="628">
        <v>44044</v>
      </c>
      <c r="QQ361" s="628">
        <v>44075</v>
      </c>
      <c r="QR361" s="628">
        <v>44105</v>
      </c>
      <c r="QS361" s="628">
        <v>44136</v>
      </c>
      <c r="QT361" s="628">
        <v>44166</v>
      </c>
      <c r="QU361" s="629">
        <v>2020</v>
      </c>
      <c r="QV361" s="630" t="s">
        <v>1870</v>
      </c>
      <c r="QW361" s="626"/>
      <c r="QX361" s="627" t="s">
        <v>1669</v>
      </c>
      <c r="QY361" s="628">
        <v>43831</v>
      </c>
      <c r="QZ361" s="628">
        <v>43862</v>
      </c>
      <c r="RA361" s="628">
        <v>43891</v>
      </c>
      <c r="RB361" s="628">
        <v>43922</v>
      </c>
      <c r="RC361" s="628">
        <v>43952</v>
      </c>
      <c r="RD361" s="628">
        <v>43983</v>
      </c>
      <c r="RE361" s="628">
        <v>44013</v>
      </c>
      <c r="RF361" s="628">
        <v>44044</v>
      </c>
      <c r="RG361" s="628">
        <v>44075</v>
      </c>
      <c r="RH361" s="628">
        <v>44105</v>
      </c>
      <c r="RI361" s="628">
        <v>44136</v>
      </c>
      <c r="RJ361" s="628">
        <v>44166</v>
      </c>
      <c r="RK361" s="629">
        <v>2020</v>
      </c>
      <c r="RL361" s="630" t="s">
        <v>1870</v>
      </c>
      <c r="RM361" s="626"/>
      <c r="RN361" s="627" t="s">
        <v>1669</v>
      </c>
      <c r="RO361" s="628">
        <v>43831</v>
      </c>
      <c r="RP361" s="628">
        <v>43862</v>
      </c>
      <c r="RQ361" s="628">
        <v>43891</v>
      </c>
      <c r="RR361" s="628">
        <v>43922</v>
      </c>
      <c r="RS361" s="628">
        <v>43952</v>
      </c>
      <c r="RT361" s="628">
        <v>43983</v>
      </c>
      <c r="RU361" s="628">
        <v>44013</v>
      </c>
      <c r="RV361" s="628">
        <v>44044</v>
      </c>
      <c r="RW361" s="628">
        <v>44075</v>
      </c>
      <c r="RX361" s="628">
        <v>44105</v>
      </c>
      <c r="RY361" s="628">
        <v>44136</v>
      </c>
      <c r="RZ361" s="628">
        <v>44166</v>
      </c>
      <c r="SA361" s="629">
        <v>2020</v>
      </c>
      <c r="SB361" s="630" t="s">
        <v>1870</v>
      </c>
      <c r="SC361" s="626"/>
      <c r="SD361" s="627" t="s">
        <v>1669</v>
      </c>
      <c r="SE361" s="628">
        <v>43831</v>
      </c>
      <c r="SF361" s="628">
        <v>43862</v>
      </c>
      <c r="SG361" s="628">
        <v>43891</v>
      </c>
      <c r="SH361" s="628">
        <v>43922</v>
      </c>
      <c r="SI361" s="628">
        <v>43952</v>
      </c>
      <c r="SJ361" s="628">
        <v>43983</v>
      </c>
      <c r="SK361" s="628">
        <v>44013</v>
      </c>
      <c r="SL361" s="628">
        <v>44044</v>
      </c>
      <c r="SM361" s="628">
        <v>44075</v>
      </c>
      <c r="SN361" s="628">
        <v>44105</v>
      </c>
      <c r="SO361" s="628">
        <v>44136</v>
      </c>
      <c r="SP361" s="628">
        <v>44166</v>
      </c>
      <c r="SQ361" s="629">
        <v>2020</v>
      </c>
      <c r="SR361" s="630" t="s">
        <v>1870</v>
      </c>
      <c r="SS361" s="626"/>
      <c r="ST361" s="627" t="s">
        <v>1669</v>
      </c>
      <c r="SU361" s="628">
        <v>43831</v>
      </c>
      <c r="SV361" s="628">
        <v>43862</v>
      </c>
      <c r="SW361" s="628">
        <v>43891</v>
      </c>
      <c r="SX361" s="628">
        <v>43922</v>
      </c>
      <c r="SY361" s="628">
        <v>43952</v>
      </c>
      <c r="SZ361" s="628">
        <v>43983</v>
      </c>
      <c r="TA361" s="628">
        <v>44013</v>
      </c>
      <c r="TB361" s="628">
        <v>44044</v>
      </c>
      <c r="TC361" s="628">
        <v>44075</v>
      </c>
      <c r="TD361" s="628">
        <v>44105</v>
      </c>
      <c r="TE361" s="628">
        <v>44136</v>
      </c>
      <c r="TF361" s="628">
        <v>44166</v>
      </c>
      <c r="TG361" s="629">
        <v>2020</v>
      </c>
      <c r="TH361" s="630" t="s">
        <v>1870</v>
      </c>
      <c r="TI361" s="626"/>
      <c r="TJ361" s="627" t="s">
        <v>1669</v>
      </c>
      <c r="TK361" s="628">
        <v>43831</v>
      </c>
      <c r="TL361" s="628">
        <v>43862</v>
      </c>
      <c r="TM361" s="628">
        <v>43891</v>
      </c>
      <c r="TN361" s="628">
        <v>43922</v>
      </c>
      <c r="TO361" s="628">
        <v>43952</v>
      </c>
      <c r="TP361" s="628">
        <v>43983</v>
      </c>
      <c r="TQ361" s="628">
        <v>44013</v>
      </c>
      <c r="TR361" s="628">
        <v>44044</v>
      </c>
      <c r="TS361" s="628">
        <v>44075</v>
      </c>
      <c r="TT361" s="628">
        <v>44105</v>
      </c>
      <c r="TU361" s="628">
        <v>44136</v>
      </c>
      <c r="TV361" s="628">
        <v>44166</v>
      </c>
      <c r="TW361" s="629">
        <v>2020</v>
      </c>
      <c r="TX361" s="630" t="s">
        <v>1870</v>
      </c>
      <c r="TY361" s="626"/>
      <c r="TZ361" s="627" t="s">
        <v>1669</v>
      </c>
      <c r="UA361" s="628">
        <v>43831</v>
      </c>
      <c r="UB361" s="628">
        <v>43862</v>
      </c>
      <c r="UC361" s="628">
        <v>43891</v>
      </c>
      <c r="UD361" s="628">
        <v>43922</v>
      </c>
      <c r="UE361" s="628">
        <v>43952</v>
      </c>
      <c r="UF361" s="628">
        <v>43983</v>
      </c>
      <c r="UG361" s="628">
        <v>44013</v>
      </c>
      <c r="UH361" s="628">
        <v>44044</v>
      </c>
      <c r="UI361" s="628">
        <v>44075</v>
      </c>
      <c r="UJ361" s="628">
        <v>44105</v>
      </c>
      <c r="UK361" s="628">
        <v>44136</v>
      </c>
      <c r="UL361" s="628">
        <v>44166</v>
      </c>
      <c r="UM361" s="629">
        <v>2020</v>
      </c>
      <c r="UN361" s="630" t="s">
        <v>1870</v>
      </c>
      <c r="UO361" s="626"/>
      <c r="UP361" s="627" t="s">
        <v>1669</v>
      </c>
      <c r="UQ361" s="628">
        <v>43831</v>
      </c>
      <c r="UR361" s="628">
        <v>43862</v>
      </c>
      <c r="US361" s="628">
        <v>43891</v>
      </c>
      <c r="UT361" s="628">
        <v>43922</v>
      </c>
      <c r="UU361" s="628">
        <v>43952</v>
      </c>
      <c r="UV361" s="628">
        <v>43983</v>
      </c>
      <c r="UW361" s="628">
        <v>44013</v>
      </c>
      <c r="UX361" s="628">
        <v>44044</v>
      </c>
      <c r="UY361" s="628">
        <v>44075</v>
      </c>
      <c r="UZ361" s="628">
        <v>44105</v>
      </c>
      <c r="VA361" s="628">
        <v>44136</v>
      </c>
      <c r="VB361" s="628">
        <v>44166</v>
      </c>
      <c r="VC361" s="629">
        <v>2020</v>
      </c>
      <c r="VD361" s="630" t="s">
        <v>1870</v>
      </c>
      <c r="VE361" s="626"/>
      <c r="VF361" s="627" t="s">
        <v>1669</v>
      </c>
      <c r="VG361" s="628">
        <v>43831</v>
      </c>
      <c r="VH361" s="628">
        <v>43862</v>
      </c>
      <c r="VI361" s="628">
        <v>43891</v>
      </c>
      <c r="VJ361" s="628">
        <v>43922</v>
      </c>
      <c r="VK361" s="628">
        <v>43952</v>
      </c>
      <c r="VL361" s="628">
        <v>43983</v>
      </c>
      <c r="VM361" s="628">
        <v>44013</v>
      </c>
      <c r="VN361" s="628">
        <v>44044</v>
      </c>
      <c r="VO361" s="628">
        <v>44075</v>
      </c>
      <c r="VP361" s="628">
        <v>44105</v>
      </c>
      <c r="VQ361" s="628">
        <v>44136</v>
      </c>
      <c r="VR361" s="628">
        <v>44166</v>
      </c>
      <c r="VS361" s="629">
        <v>2020</v>
      </c>
      <c r="VT361" s="630" t="s">
        <v>1870</v>
      </c>
      <c r="VU361" s="626"/>
      <c r="VV361" s="627" t="s">
        <v>1669</v>
      </c>
      <c r="VW361" s="628">
        <v>43831</v>
      </c>
      <c r="VX361" s="628">
        <v>43862</v>
      </c>
      <c r="VY361" s="628">
        <v>43891</v>
      </c>
      <c r="VZ361" s="628">
        <v>43922</v>
      </c>
      <c r="WA361" s="628">
        <v>43952</v>
      </c>
      <c r="WB361" s="628">
        <v>43983</v>
      </c>
      <c r="WC361" s="628">
        <v>44013</v>
      </c>
      <c r="WD361" s="628">
        <v>44044</v>
      </c>
      <c r="WE361" s="628">
        <v>44075</v>
      </c>
      <c r="WF361" s="628">
        <v>44105</v>
      </c>
      <c r="WG361" s="628">
        <v>44136</v>
      </c>
      <c r="WH361" s="628">
        <v>44166</v>
      </c>
      <c r="WI361" s="629">
        <v>2020</v>
      </c>
      <c r="WJ361" s="630" t="s">
        <v>1870</v>
      </c>
      <c r="WK361" s="626"/>
      <c r="WL361" s="627" t="s">
        <v>1669</v>
      </c>
      <c r="WM361" s="628">
        <v>43831</v>
      </c>
      <c r="WN361" s="628">
        <v>43862</v>
      </c>
      <c r="WO361" s="628">
        <v>43891</v>
      </c>
      <c r="WP361" s="628">
        <v>43922</v>
      </c>
      <c r="WQ361" s="628">
        <v>43952</v>
      </c>
      <c r="WR361" s="628">
        <v>43983</v>
      </c>
      <c r="WS361" s="628">
        <v>44013</v>
      </c>
      <c r="WT361" s="628">
        <v>44044</v>
      </c>
      <c r="WU361" s="628">
        <v>44075</v>
      </c>
      <c r="WV361" s="628">
        <v>44105</v>
      </c>
      <c r="WW361" s="628">
        <v>44136</v>
      </c>
      <c r="WX361" s="628">
        <v>44166</v>
      </c>
      <c r="WY361" s="629">
        <v>2020</v>
      </c>
      <c r="WZ361" s="630" t="s">
        <v>1870</v>
      </c>
      <c r="XA361" s="626"/>
      <c r="XB361" s="627" t="s">
        <v>1669</v>
      </c>
      <c r="XC361" s="628">
        <v>43831</v>
      </c>
      <c r="XD361" s="628">
        <v>43862</v>
      </c>
      <c r="XE361" s="628">
        <v>43891</v>
      </c>
      <c r="XF361" s="628">
        <v>43922</v>
      </c>
      <c r="XG361" s="628">
        <v>43952</v>
      </c>
      <c r="XH361" s="628">
        <v>43983</v>
      </c>
      <c r="XI361" s="628">
        <v>44013</v>
      </c>
      <c r="XJ361" s="628">
        <v>44044</v>
      </c>
      <c r="XK361" s="628">
        <v>44075</v>
      </c>
      <c r="XL361" s="628">
        <v>44105</v>
      </c>
      <c r="XM361" s="628">
        <v>44136</v>
      </c>
      <c r="XN361" s="628">
        <v>44166</v>
      </c>
      <c r="XO361" s="629">
        <v>2020</v>
      </c>
      <c r="XP361" s="630" t="s">
        <v>1870</v>
      </c>
      <c r="XQ361" s="626"/>
      <c r="XR361" s="627" t="s">
        <v>1669</v>
      </c>
      <c r="XS361" s="628">
        <v>43831</v>
      </c>
      <c r="XT361" s="628">
        <v>43862</v>
      </c>
      <c r="XU361" s="628">
        <v>43891</v>
      </c>
      <c r="XV361" s="628">
        <v>43922</v>
      </c>
      <c r="XW361" s="628">
        <v>43952</v>
      </c>
      <c r="XX361" s="628">
        <v>43983</v>
      </c>
      <c r="XY361" s="628">
        <v>44013</v>
      </c>
      <c r="XZ361" s="628">
        <v>44044</v>
      </c>
      <c r="YA361" s="628">
        <v>44075</v>
      </c>
      <c r="YB361" s="628">
        <v>44105</v>
      </c>
      <c r="YC361" s="628">
        <v>44136</v>
      </c>
      <c r="YD361" s="628">
        <v>44166</v>
      </c>
      <c r="YE361" s="629">
        <v>2020</v>
      </c>
      <c r="YF361" s="630" t="s">
        <v>1870</v>
      </c>
      <c r="YG361" s="626"/>
      <c r="YH361" s="627" t="s">
        <v>1669</v>
      </c>
      <c r="YI361" s="628">
        <v>43831</v>
      </c>
      <c r="YJ361" s="628">
        <v>43862</v>
      </c>
      <c r="YK361" s="628">
        <v>43891</v>
      </c>
      <c r="YL361" s="628">
        <v>43922</v>
      </c>
      <c r="YM361" s="628">
        <v>43952</v>
      </c>
      <c r="YN361" s="628">
        <v>43983</v>
      </c>
      <c r="YO361" s="628">
        <v>44013</v>
      </c>
      <c r="YP361" s="628">
        <v>44044</v>
      </c>
      <c r="YQ361" s="628">
        <v>44075</v>
      </c>
      <c r="YR361" s="628">
        <v>44105</v>
      </c>
      <c r="YS361" s="628">
        <v>44136</v>
      </c>
      <c r="YT361" s="628">
        <v>44166</v>
      </c>
      <c r="YU361" s="629">
        <v>2020</v>
      </c>
      <c r="YV361" s="630" t="s">
        <v>1870</v>
      </c>
      <c r="YW361" s="626"/>
      <c r="YX361" s="627" t="s">
        <v>1669</v>
      </c>
      <c r="YY361" s="628">
        <v>43831</v>
      </c>
      <c r="YZ361" s="628">
        <v>43862</v>
      </c>
      <c r="ZA361" s="628">
        <v>43891</v>
      </c>
      <c r="ZB361" s="628">
        <v>43922</v>
      </c>
      <c r="ZC361" s="628">
        <v>43952</v>
      </c>
      <c r="ZD361" s="628">
        <v>43983</v>
      </c>
      <c r="ZE361" s="628">
        <v>44013</v>
      </c>
      <c r="ZF361" s="628">
        <v>44044</v>
      </c>
      <c r="ZG361" s="628">
        <v>44075</v>
      </c>
      <c r="ZH361" s="628">
        <v>44105</v>
      </c>
      <c r="ZI361" s="628">
        <v>44136</v>
      </c>
      <c r="ZJ361" s="628">
        <v>44166</v>
      </c>
      <c r="ZK361" s="629">
        <v>2020</v>
      </c>
      <c r="ZL361" s="630" t="s">
        <v>1870</v>
      </c>
      <c r="ZM361" s="626"/>
      <c r="ZN361" s="627" t="s">
        <v>1669</v>
      </c>
      <c r="ZO361" s="628">
        <v>43831</v>
      </c>
      <c r="ZP361" s="628">
        <v>43862</v>
      </c>
      <c r="ZQ361" s="628">
        <v>43891</v>
      </c>
      <c r="ZR361" s="628">
        <v>43922</v>
      </c>
      <c r="ZS361" s="628">
        <v>43952</v>
      </c>
      <c r="ZT361" s="628">
        <v>43983</v>
      </c>
      <c r="ZU361" s="628">
        <v>44013</v>
      </c>
      <c r="ZV361" s="628">
        <v>44044</v>
      </c>
      <c r="ZW361" s="628">
        <v>44075</v>
      </c>
      <c r="ZX361" s="628">
        <v>44105</v>
      </c>
      <c r="ZY361" s="628">
        <v>44136</v>
      </c>
      <c r="ZZ361" s="628">
        <v>44166</v>
      </c>
      <c r="AAA361" s="629">
        <v>2020</v>
      </c>
      <c r="AAB361" s="630" t="s">
        <v>1870</v>
      </c>
      <c r="AAC361" s="626"/>
      <c r="AAD361" s="627" t="s">
        <v>1669</v>
      </c>
      <c r="AAE361" s="628">
        <v>43831</v>
      </c>
      <c r="AAF361" s="628">
        <v>43862</v>
      </c>
      <c r="AAG361" s="628">
        <v>43891</v>
      </c>
      <c r="AAH361" s="628">
        <v>43922</v>
      </c>
      <c r="AAI361" s="628">
        <v>43952</v>
      </c>
      <c r="AAJ361" s="628">
        <v>43983</v>
      </c>
      <c r="AAK361" s="628">
        <v>44013</v>
      </c>
      <c r="AAL361" s="628">
        <v>44044</v>
      </c>
      <c r="AAM361" s="628">
        <v>44075</v>
      </c>
      <c r="AAN361" s="628">
        <v>44105</v>
      </c>
      <c r="AAO361" s="628">
        <v>44136</v>
      </c>
      <c r="AAP361" s="628">
        <v>44166</v>
      </c>
      <c r="AAQ361" s="629">
        <v>2020</v>
      </c>
      <c r="AAR361" s="630" t="s">
        <v>1870</v>
      </c>
      <c r="AAS361" s="626"/>
      <c r="AAT361" s="627" t="s">
        <v>1669</v>
      </c>
      <c r="AAU361" s="628">
        <v>43831</v>
      </c>
      <c r="AAV361" s="628">
        <v>43862</v>
      </c>
      <c r="AAW361" s="628">
        <v>43891</v>
      </c>
      <c r="AAX361" s="628">
        <v>43922</v>
      </c>
      <c r="AAY361" s="628">
        <v>43952</v>
      </c>
      <c r="AAZ361" s="628">
        <v>43983</v>
      </c>
      <c r="ABA361" s="628">
        <v>44013</v>
      </c>
      <c r="ABB361" s="628">
        <v>44044</v>
      </c>
      <c r="ABC361" s="628">
        <v>44075</v>
      </c>
      <c r="ABD361" s="628">
        <v>44105</v>
      </c>
      <c r="ABE361" s="628">
        <v>44136</v>
      </c>
      <c r="ABF361" s="628">
        <v>44166</v>
      </c>
      <c r="ABG361" s="629">
        <v>2020</v>
      </c>
      <c r="ABH361" s="630" t="s">
        <v>1870</v>
      </c>
      <c r="ABI361" s="626"/>
      <c r="ABJ361" s="627" t="s">
        <v>1669</v>
      </c>
      <c r="ABK361" s="628">
        <v>43831</v>
      </c>
      <c r="ABL361" s="628">
        <v>43862</v>
      </c>
      <c r="ABM361" s="628">
        <v>43891</v>
      </c>
      <c r="ABN361" s="628">
        <v>43922</v>
      </c>
      <c r="ABO361" s="628">
        <v>43952</v>
      </c>
      <c r="ABP361" s="628">
        <v>43983</v>
      </c>
      <c r="ABQ361" s="628">
        <v>44013</v>
      </c>
      <c r="ABR361" s="628">
        <v>44044</v>
      </c>
      <c r="ABS361" s="628">
        <v>44075</v>
      </c>
      <c r="ABT361" s="628">
        <v>44105</v>
      </c>
      <c r="ABU361" s="628">
        <v>44136</v>
      </c>
      <c r="ABV361" s="628">
        <v>44166</v>
      </c>
      <c r="ABW361" s="629">
        <v>2020</v>
      </c>
      <c r="ABX361" s="630" t="s">
        <v>1870</v>
      </c>
      <c r="ABY361" s="626"/>
      <c r="ABZ361" s="627" t="s">
        <v>1669</v>
      </c>
      <c r="ACA361" s="628">
        <v>43831</v>
      </c>
      <c r="ACB361" s="628">
        <v>43862</v>
      </c>
      <c r="ACC361" s="628">
        <v>43891</v>
      </c>
      <c r="ACD361" s="628">
        <v>43922</v>
      </c>
      <c r="ACE361" s="628">
        <v>43952</v>
      </c>
      <c r="ACF361" s="628">
        <v>43983</v>
      </c>
      <c r="ACG361" s="628">
        <v>44013</v>
      </c>
      <c r="ACH361" s="628">
        <v>44044</v>
      </c>
      <c r="ACI361" s="628">
        <v>44075</v>
      </c>
      <c r="ACJ361" s="628">
        <v>44105</v>
      </c>
      <c r="ACK361" s="628">
        <v>44136</v>
      </c>
      <c r="ACL361" s="628">
        <v>44166</v>
      </c>
      <c r="ACM361" s="629">
        <v>2020</v>
      </c>
      <c r="ACN361" s="630" t="s">
        <v>1870</v>
      </c>
      <c r="ACO361" s="626"/>
      <c r="ACP361" s="627" t="s">
        <v>1669</v>
      </c>
      <c r="ACQ361" s="628">
        <v>43831</v>
      </c>
      <c r="ACR361" s="628">
        <v>43862</v>
      </c>
      <c r="ACS361" s="628">
        <v>43891</v>
      </c>
      <c r="ACT361" s="628">
        <v>43922</v>
      </c>
      <c r="ACU361" s="628">
        <v>43952</v>
      </c>
      <c r="ACV361" s="628">
        <v>43983</v>
      </c>
      <c r="ACW361" s="628">
        <v>44013</v>
      </c>
      <c r="ACX361" s="628">
        <v>44044</v>
      </c>
      <c r="ACY361" s="628">
        <v>44075</v>
      </c>
      <c r="ACZ361" s="628">
        <v>44105</v>
      </c>
      <c r="ADA361" s="628">
        <v>44136</v>
      </c>
      <c r="ADB361" s="628">
        <v>44166</v>
      </c>
      <c r="ADC361" s="629">
        <v>2020</v>
      </c>
      <c r="ADD361" s="630" t="s">
        <v>1870</v>
      </c>
      <c r="ADE361" s="626"/>
      <c r="ADF361" s="627" t="s">
        <v>1669</v>
      </c>
      <c r="ADG361" s="628">
        <v>43831</v>
      </c>
      <c r="ADH361" s="628">
        <v>43862</v>
      </c>
      <c r="ADI361" s="628">
        <v>43891</v>
      </c>
      <c r="ADJ361" s="628">
        <v>43922</v>
      </c>
      <c r="ADK361" s="628">
        <v>43952</v>
      </c>
      <c r="ADL361" s="628">
        <v>43983</v>
      </c>
      <c r="ADM361" s="628">
        <v>44013</v>
      </c>
      <c r="ADN361" s="628">
        <v>44044</v>
      </c>
      <c r="ADO361" s="628">
        <v>44075</v>
      </c>
      <c r="ADP361" s="628">
        <v>44105</v>
      </c>
      <c r="ADQ361" s="628">
        <v>44136</v>
      </c>
      <c r="ADR361" s="628">
        <v>44166</v>
      </c>
      <c r="ADS361" s="629">
        <v>2020</v>
      </c>
      <c r="ADT361" s="630" t="s">
        <v>1870</v>
      </c>
      <c r="ADU361" s="626"/>
      <c r="ADV361" s="627" t="s">
        <v>1669</v>
      </c>
      <c r="ADW361" s="628">
        <v>43831</v>
      </c>
      <c r="ADX361" s="628">
        <v>43862</v>
      </c>
      <c r="ADY361" s="628">
        <v>43891</v>
      </c>
      <c r="ADZ361" s="628">
        <v>43922</v>
      </c>
      <c r="AEA361" s="628">
        <v>43952</v>
      </c>
      <c r="AEB361" s="628">
        <v>43983</v>
      </c>
      <c r="AEC361" s="628">
        <v>44013</v>
      </c>
      <c r="AED361" s="628">
        <v>44044</v>
      </c>
      <c r="AEE361" s="628">
        <v>44075</v>
      </c>
      <c r="AEF361" s="628">
        <v>44105</v>
      </c>
      <c r="AEG361" s="628">
        <v>44136</v>
      </c>
      <c r="AEH361" s="628">
        <v>44166</v>
      </c>
      <c r="AEI361" s="629">
        <v>2020</v>
      </c>
      <c r="AEJ361" s="630" t="s">
        <v>1870</v>
      </c>
      <c r="AEK361" s="626"/>
      <c r="AEL361" s="627" t="s">
        <v>1669</v>
      </c>
      <c r="AEM361" s="628">
        <v>43831</v>
      </c>
      <c r="AEN361" s="628">
        <v>43862</v>
      </c>
      <c r="AEO361" s="628">
        <v>43891</v>
      </c>
      <c r="AEP361" s="628">
        <v>43922</v>
      </c>
      <c r="AEQ361" s="628">
        <v>43952</v>
      </c>
      <c r="AER361" s="628">
        <v>43983</v>
      </c>
      <c r="AES361" s="628">
        <v>44013</v>
      </c>
      <c r="AET361" s="628">
        <v>44044</v>
      </c>
      <c r="AEU361" s="628">
        <v>44075</v>
      </c>
      <c r="AEV361" s="628">
        <v>44105</v>
      </c>
      <c r="AEW361" s="628">
        <v>44136</v>
      </c>
      <c r="AEX361" s="628">
        <v>44166</v>
      </c>
      <c r="AEY361" s="629">
        <v>2020</v>
      </c>
      <c r="AEZ361" s="630" t="s">
        <v>1870</v>
      </c>
      <c r="AFA361" s="626"/>
      <c r="AFB361" s="627" t="s">
        <v>1669</v>
      </c>
      <c r="AFC361" s="628">
        <v>43831</v>
      </c>
      <c r="AFD361" s="628">
        <v>43862</v>
      </c>
      <c r="AFE361" s="628">
        <v>43891</v>
      </c>
      <c r="AFF361" s="628">
        <v>43922</v>
      </c>
      <c r="AFG361" s="628">
        <v>43952</v>
      </c>
      <c r="AFH361" s="628">
        <v>43983</v>
      </c>
      <c r="AFI361" s="628">
        <v>44013</v>
      </c>
      <c r="AFJ361" s="628">
        <v>44044</v>
      </c>
      <c r="AFK361" s="628">
        <v>44075</v>
      </c>
      <c r="AFL361" s="628">
        <v>44105</v>
      </c>
      <c r="AFM361" s="628">
        <v>44136</v>
      </c>
      <c r="AFN361" s="628">
        <v>44166</v>
      </c>
      <c r="AFO361" s="629">
        <v>2020</v>
      </c>
      <c r="AFP361" s="630" t="s">
        <v>1870</v>
      </c>
      <c r="AFQ361" s="626"/>
      <c r="AFR361" s="627" t="s">
        <v>1669</v>
      </c>
      <c r="AFS361" s="628">
        <v>43831</v>
      </c>
      <c r="AFT361" s="628">
        <v>43862</v>
      </c>
      <c r="AFU361" s="628">
        <v>43891</v>
      </c>
      <c r="AFV361" s="628">
        <v>43922</v>
      </c>
      <c r="AFW361" s="628">
        <v>43952</v>
      </c>
      <c r="AFX361" s="628">
        <v>43983</v>
      </c>
      <c r="AFY361" s="628">
        <v>44013</v>
      </c>
      <c r="AFZ361" s="628">
        <v>44044</v>
      </c>
      <c r="AGA361" s="628">
        <v>44075</v>
      </c>
      <c r="AGB361" s="628">
        <v>44105</v>
      </c>
      <c r="AGC361" s="628">
        <v>44136</v>
      </c>
      <c r="AGD361" s="628">
        <v>44166</v>
      </c>
      <c r="AGE361" s="629">
        <v>2020</v>
      </c>
      <c r="AGF361" s="630" t="s">
        <v>1870</v>
      </c>
      <c r="AGG361" s="626"/>
      <c r="AGH361" s="627" t="s">
        <v>1669</v>
      </c>
      <c r="AGI361" s="628">
        <v>43831</v>
      </c>
      <c r="AGJ361" s="628">
        <v>43862</v>
      </c>
      <c r="AGK361" s="628">
        <v>43891</v>
      </c>
      <c r="AGL361" s="628">
        <v>43922</v>
      </c>
      <c r="AGM361" s="628">
        <v>43952</v>
      </c>
      <c r="AGN361" s="628">
        <v>43983</v>
      </c>
      <c r="AGO361" s="628">
        <v>44013</v>
      </c>
      <c r="AGP361" s="628">
        <v>44044</v>
      </c>
      <c r="AGQ361" s="628">
        <v>44075</v>
      </c>
      <c r="AGR361" s="628">
        <v>44105</v>
      </c>
      <c r="AGS361" s="628">
        <v>44136</v>
      </c>
      <c r="AGT361" s="628">
        <v>44166</v>
      </c>
      <c r="AGU361" s="629">
        <v>2020</v>
      </c>
      <c r="AGV361" s="630" t="s">
        <v>1870</v>
      </c>
      <c r="AGW361" s="626"/>
      <c r="AGX361" s="627" t="s">
        <v>1669</v>
      </c>
      <c r="AGY361" s="628">
        <v>43831</v>
      </c>
      <c r="AGZ361" s="628">
        <v>43862</v>
      </c>
      <c r="AHA361" s="628">
        <v>43891</v>
      </c>
      <c r="AHB361" s="628">
        <v>43922</v>
      </c>
      <c r="AHC361" s="628">
        <v>43952</v>
      </c>
      <c r="AHD361" s="628">
        <v>43983</v>
      </c>
      <c r="AHE361" s="628">
        <v>44013</v>
      </c>
      <c r="AHF361" s="628">
        <v>44044</v>
      </c>
      <c r="AHG361" s="628">
        <v>44075</v>
      </c>
      <c r="AHH361" s="628">
        <v>44105</v>
      </c>
      <c r="AHI361" s="628">
        <v>44136</v>
      </c>
      <c r="AHJ361" s="628">
        <v>44166</v>
      </c>
      <c r="AHK361" s="629">
        <v>2020</v>
      </c>
      <c r="AHL361" s="630" t="s">
        <v>1870</v>
      </c>
      <c r="AHM361" s="626"/>
      <c r="AHN361" s="627" t="s">
        <v>1669</v>
      </c>
      <c r="AHO361" s="628">
        <v>43831</v>
      </c>
      <c r="AHP361" s="628">
        <v>43862</v>
      </c>
      <c r="AHQ361" s="628">
        <v>43891</v>
      </c>
      <c r="AHR361" s="628">
        <v>43922</v>
      </c>
      <c r="AHS361" s="628">
        <v>43952</v>
      </c>
      <c r="AHT361" s="628">
        <v>43983</v>
      </c>
      <c r="AHU361" s="628">
        <v>44013</v>
      </c>
      <c r="AHV361" s="628">
        <v>44044</v>
      </c>
      <c r="AHW361" s="628">
        <v>44075</v>
      </c>
      <c r="AHX361" s="628">
        <v>44105</v>
      </c>
      <c r="AHY361" s="628">
        <v>44136</v>
      </c>
      <c r="AHZ361" s="628">
        <v>44166</v>
      </c>
      <c r="AIA361" s="629">
        <v>2020</v>
      </c>
      <c r="AIB361" s="630" t="s">
        <v>1870</v>
      </c>
      <c r="AIC361" s="626"/>
      <c r="AID361" s="627" t="s">
        <v>1669</v>
      </c>
      <c r="AIE361" s="628">
        <v>43831</v>
      </c>
      <c r="AIF361" s="628">
        <v>43862</v>
      </c>
      <c r="AIG361" s="628">
        <v>43891</v>
      </c>
      <c r="AIH361" s="628">
        <v>43922</v>
      </c>
      <c r="AII361" s="628">
        <v>43952</v>
      </c>
      <c r="AIJ361" s="628">
        <v>43983</v>
      </c>
      <c r="AIK361" s="628">
        <v>44013</v>
      </c>
      <c r="AIL361" s="628">
        <v>44044</v>
      </c>
      <c r="AIM361" s="628">
        <v>44075</v>
      </c>
      <c r="AIN361" s="628">
        <v>44105</v>
      </c>
      <c r="AIO361" s="628">
        <v>44136</v>
      </c>
      <c r="AIP361" s="628">
        <v>44166</v>
      </c>
      <c r="AIQ361" s="629">
        <v>2020</v>
      </c>
      <c r="AIR361" s="630" t="s">
        <v>1870</v>
      </c>
      <c r="AIS361" s="626"/>
      <c r="AIT361" s="627" t="s">
        <v>1669</v>
      </c>
      <c r="AIU361" s="628">
        <v>43831</v>
      </c>
      <c r="AIV361" s="628">
        <v>43862</v>
      </c>
      <c r="AIW361" s="628">
        <v>43891</v>
      </c>
      <c r="AIX361" s="628">
        <v>43922</v>
      </c>
      <c r="AIY361" s="628">
        <v>43952</v>
      </c>
      <c r="AIZ361" s="628">
        <v>43983</v>
      </c>
      <c r="AJA361" s="628">
        <v>44013</v>
      </c>
      <c r="AJB361" s="628">
        <v>44044</v>
      </c>
      <c r="AJC361" s="628">
        <v>44075</v>
      </c>
      <c r="AJD361" s="628">
        <v>44105</v>
      </c>
      <c r="AJE361" s="628">
        <v>44136</v>
      </c>
      <c r="AJF361" s="628">
        <v>44166</v>
      </c>
      <c r="AJG361" s="629">
        <v>2020</v>
      </c>
      <c r="AJH361" s="630" t="s">
        <v>1870</v>
      </c>
      <c r="AJI361" s="626"/>
      <c r="AJJ361" s="627" t="s">
        <v>1669</v>
      </c>
      <c r="AJK361" s="628">
        <v>43831</v>
      </c>
      <c r="AJL361" s="628">
        <v>43862</v>
      </c>
      <c r="AJM361" s="628">
        <v>43891</v>
      </c>
      <c r="AJN361" s="628">
        <v>43922</v>
      </c>
      <c r="AJO361" s="628">
        <v>43952</v>
      </c>
      <c r="AJP361" s="628">
        <v>43983</v>
      </c>
      <c r="AJQ361" s="628">
        <v>44013</v>
      </c>
      <c r="AJR361" s="628">
        <v>44044</v>
      </c>
      <c r="AJS361" s="628">
        <v>44075</v>
      </c>
      <c r="AJT361" s="628">
        <v>44105</v>
      </c>
      <c r="AJU361" s="628">
        <v>44136</v>
      </c>
      <c r="AJV361" s="628">
        <v>44166</v>
      </c>
      <c r="AJW361" s="629">
        <v>2020</v>
      </c>
      <c r="AJX361" s="630" t="s">
        <v>1870</v>
      </c>
      <c r="AJY361" s="626"/>
      <c r="AJZ361" s="627" t="s">
        <v>1669</v>
      </c>
      <c r="AKA361" s="628">
        <v>43831</v>
      </c>
      <c r="AKB361" s="628">
        <v>43862</v>
      </c>
      <c r="AKC361" s="628">
        <v>43891</v>
      </c>
      <c r="AKD361" s="628">
        <v>43922</v>
      </c>
      <c r="AKE361" s="628">
        <v>43952</v>
      </c>
      <c r="AKF361" s="628">
        <v>43983</v>
      </c>
      <c r="AKG361" s="628">
        <v>44013</v>
      </c>
      <c r="AKH361" s="628">
        <v>44044</v>
      </c>
      <c r="AKI361" s="628">
        <v>44075</v>
      </c>
      <c r="AKJ361" s="628">
        <v>44105</v>
      </c>
      <c r="AKK361" s="628">
        <v>44136</v>
      </c>
      <c r="AKL361" s="628">
        <v>44166</v>
      </c>
      <c r="AKM361" s="629">
        <v>2020</v>
      </c>
      <c r="AKN361" s="630" t="s">
        <v>1870</v>
      </c>
      <c r="AKO361" s="626"/>
      <c r="AKP361" s="627" t="s">
        <v>1669</v>
      </c>
      <c r="AKQ361" s="628">
        <v>43831</v>
      </c>
      <c r="AKR361" s="628">
        <v>43862</v>
      </c>
      <c r="AKS361" s="628">
        <v>43891</v>
      </c>
      <c r="AKT361" s="628">
        <v>43922</v>
      </c>
      <c r="AKU361" s="628">
        <v>43952</v>
      </c>
      <c r="AKV361" s="628">
        <v>43983</v>
      </c>
      <c r="AKW361" s="628">
        <v>44013</v>
      </c>
      <c r="AKX361" s="628">
        <v>44044</v>
      </c>
      <c r="AKY361" s="628">
        <v>44075</v>
      </c>
      <c r="AKZ361" s="628">
        <v>44105</v>
      </c>
      <c r="ALA361" s="628">
        <v>44136</v>
      </c>
      <c r="ALB361" s="628">
        <v>44166</v>
      </c>
      <c r="ALC361" s="629">
        <v>2020</v>
      </c>
      <c r="ALD361" s="630" t="s">
        <v>1870</v>
      </c>
      <c r="ALE361" s="626"/>
      <c r="ALF361" s="627" t="s">
        <v>1669</v>
      </c>
      <c r="ALG361" s="628">
        <v>43831</v>
      </c>
      <c r="ALH361" s="628">
        <v>43862</v>
      </c>
      <c r="ALI361" s="628">
        <v>43891</v>
      </c>
      <c r="ALJ361" s="628">
        <v>43922</v>
      </c>
      <c r="ALK361" s="628">
        <v>43952</v>
      </c>
      <c r="ALL361" s="628">
        <v>43983</v>
      </c>
      <c r="ALM361" s="628">
        <v>44013</v>
      </c>
      <c r="ALN361" s="628">
        <v>44044</v>
      </c>
      <c r="ALO361" s="628">
        <v>44075</v>
      </c>
      <c r="ALP361" s="628">
        <v>44105</v>
      </c>
      <c r="ALQ361" s="628">
        <v>44136</v>
      </c>
      <c r="ALR361" s="628">
        <v>44166</v>
      </c>
      <c r="ALS361" s="629">
        <v>2020</v>
      </c>
      <c r="ALT361" s="630" t="s">
        <v>1870</v>
      </c>
      <c r="ALU361" s="626"/>
      <c r="ALV361" s="627" t="s">
        <v>1669</v>
      </c>
      <c r="ALW361" s="628">
        <v>43831</v>
      </c>
      <c r="ALX361" s="628">
        <v>43862</v>
      </c>
      <c r="ALY361" s="628">
        <v>43891</v>
      </c>
      <c r="ALZ361" s="628">
        <v>43922</v>
      </c>
      <c r="AMA361" s="628">
        <v>43952</v>
      </c>
      <c r="AMB361" s="628">
        <v>43983</v>
      </c>
      <c r="AMC361" s="628">
        <v>44013</v>
      </c>
      <c r="AMD361" s="628">
        <v>44044</v>
      </c>
      <c r="AME361" s="628">
        <v>44075</v>
      </c>
      <c r="AMF361" s="628">
        <v>44105</v>
      </c>
      <c r="AMG361" s="628">
        <v>44136</v>
      </c>
      <c r="AMH361" s="628">
        <v>44166</v>
      </c>
      <c r="AMI361" s="629">
        <v>2020</v>
      </c>
      <c r="AMJ361" s="630" t="s">
        <v>1870</v>
      </c>
      <c r="AMK361" s="626"/>
      <c r="AML361" s="627" t="s">
        <v>1669</v>
      </c>
      <c r="AMM361" s="628">
        <v>43831</v>
      </c>
      <c r="AMN361" s="628">
        <v>43862</v>
      </c>
      <c r="AMO361" s="628">
        <v>43891</v>
      </c>
      <c r="AMP361" s="628">
        <v>43922</v>
      </c>
      <c r="AMQ361" s="628">
        <v>43952</v>
      </c>
      <c r="AMR361" s="628">
        <v>43983</v>
      </c>
      <c r="AMS361" s="628">
        <v>44013</v>
      </c>
      <c r="AMT361" s="628">
        <v>44044</v>
      </c>
      <c r="AMU361" s="628">
        <v>44075</v>
      </c>
      <c r="AMV361" s="628">
        <v>44105</v>
      </c>
      <c r="AMW361" s="628">
        <v>44136</v>
      </c>
      <c r="AMX361" s="628">
        <v>44166</v>
      </c>
      <c r="AMY361" s="629">
        <v>2020</v>
      </c>
      <c r="AMZ361" s="630" t="s">
        <v>1870</v>
      </c>
      <c r="ANA361" s="626"/>
      <c r="ANB361" s="627" t="s">
        <v>1669</v>
      </c>
      <c r="ANC361" s="628">
        <v>43831</v>
      </c>
      <c r="AND361" s="628">
        <v>43862</v>
      </c>
      <c r="ANE361" s="628">
        <v>43891</v>
      </c>
      <c r="ANF361" s="628">
        <v>43922</v>
      </c>
      <c r="ANG361" s="628">
        <v>43952</v>
      </c>
      <c r="ANH361" s="628">
        <v>43983</v>
      </c>
      <c r="ANI361" s="628">
        <v>44013</v>
      </c>
      <c r="ANJ361" s="628">
        <v>44044</v>
      </c>
      <c r="ANK361" s="628">
        <v>44075</v>
      </c>
      <c r="ANL361" s="628">
        <v>44105</v>
      </c>
      <c r="ANM361" s="628">
        <v>44136</v>
      </c>
      <c r="ANN361" s="628">
        <v>44166</v>
      </c>
      <c r="ANO361" s="629">
        <v>2020</v>
      </c>
      <c r="ANP361" s="630" t="s">
        <v>1870</v>
      </c>
      <c r="ANQ361" s="626"/>
      <c r="ANR361" s="627" t="s">
        <v>1669</v>
      </c>
      <c r="ANS361" s="628">
        <v>43831</v>
      </c>
      <c r="ANT361" s="628">
        <v>43862</v>
      </c>
      <c r="ANU361" s="628">
        <v>43891</v>
      </c>
      <c r="ANV361" s="628">
        <v>43922</v>
      </c>
      <c r="ANW361" s="628">
        <v>43952</v>
      </c>
      <c r="ANX361" s="628">
        <v>43983</v>
      </c>
      <c r="ANY361" s="628">
        <v>44013</v>
      </c>
      <c r="ANZ361" s="628">
        <v>44044</v>
      </c>
      <c r="AOA361" s="628">
        <v>44075</v>
      </c>
      <c r="AOB361" s="628">
        <v>44105</v>
      </c>
      <c r="AOC361" s="628">
        <v>44136</v>
      </c>
      <c r="AOD361" s="628">
        <v>44166</v>
      </c>
      <c r="AOE361" s="629">
        <v>2020</v>
      </c>
      <c r="AOF361" s="630" t="s">
        <v>1870</v>
      </c>
      <c r="AOG361" s="626"/>
      <c r="AOH361" s="627" t="s">
        <v>1669</v>
      </c>
      <c r="AOI361" s="628">
        <v>43831</v>
      </c>
      <c r="AOJ361" s="628">
        <v>43862</v>
      </c>
      <c r="AOK361" s="628">
        <v>43891</v>
      </c>
      <c r="AOL361" s="628">
        <v>43922</v>
      </c>
      <c r="AOM361" s="628">
        <v>43952</v>
      </c>
      <c r="AON361" s="628">
        <v>43983</v>
      </c>
      <c r="AOO361" s="628">
        <v>44013</v>
      </c>
      <c r="AOP361" s="628">
        <v>44044</v>
      </c>
      <c r="AOQ361" s="628">
        <v>44075</v>
      </c>
      <c r="AOR361" s="628">
        <v>44105</v>
      </c>
      <c r="AOS361" s="628">
        <v>44136</v>
      </c>
      <c r="AOT361" s="628">
        <v>44166</v>
      </c>
      <c r="AOU361" s="629">
        <v>2020</v>
      </c>
      <c r="AOV361" s="630" t="s">
        <v>1870</v>
      </c>
      <c r="AOW361" s="626"/>
      <c r="AOX361" s="627" t="s">
        <v>1669</v>
      </c>
      <c r="AOY361" s="628">
        <v>43831</v>
      </c>
      <c r="AOZ361" s="628">
        <v>43862</v>
      </c>
      <c r="APA361" s="628">
        <v>43891</v>
      </c>
      <c r="APB361" s="628">
        <v>43922</v>
      </c>
      <c r="APC361" s="628">
        <v>43952</v>
      </c>
      <c r="APD361" s="628">
        <v>43983</v>
      </c>
      <c r="APE361" s="628">
        <v>44013</v>
      </c>
      <c r="APF361" s="628">
        <v>44044</v>
      </c>
      <c r="APG361" s="628">
        <v>44075</v>
      </c>
      <c r="APH361" s="628">
        <v>44105</v>
      </c>
      <c r="API361" s="628">
        <v>44136</v>
      </c>
      <c r="APJ361" s="628">
        <v>44166</v>
      </c>
      <c r="APK361" s="629">
        <v>2020</v>
      </c>
      <c r="APL361" s="630" t="s">
        <v>1870</v>
      </c>
      <c r="APM361" s="626"/>
      <c r="APN361" s="627" t="s">
        <v>1669</v>
      </c>
      <c r="APO361" s="628">
        <v>43831</v>
      </c>
      <c r="APP361" s="628">
        <v>43862</v>
      </c>
      <c r="APQ361" s="628">
        <v>43891</v>
      </c>
      <c r="APR361" s="628">
        <v>43922</v>
      </c>
      <c r="APS361" s="628">
        <v>43952</v>
      </c>
      <c r="APT361" s="628">
        <v>43983</v>
      </c>
      <c r="APU361" s="628">
        <v>44013</v>
      </c>
      <c r="APV361" s="628">
        <v>44044</v>
      </c>
      <c r="APW361" s="628">
        <v>44075</v>
      </c>
      <c r="APX361" s="628">
        <v>44105</v>
      </c>
      <c r="APY361" s="628">
        <v>44136</v>
      </c>
      <c r="APZ361" s="628">
        <v>44166</v>
      </c>
      <c r="AQA361" s="629">
        <v>2020</v>
      </c>
      <c r="AQB361" s="630" t="s">
        <v>1870</v>
      </c>
      <c r="AQC361" s="626"/>
      <c r="AQD361" s="627" t="s">
        <v>1669</v>
      </c>
      <c r="AQE361" s="628">
        <v>43831</v>
      </c>
      <c r="AQF361" s="628">
        <v>43862</v>
      </c>
      <c r="AQG361" s="628">
        <v>43891</v>
      </c>
      <c r="AQH361" s="628">
        <v>43922</v>
      </c>
      <c r="AQI361" s="628">
        <v>43952</v>
      </c>
      <c r="AQJ361" s="628">
        <v>43983</v>
      </c>
      <c r="AQK361" s="628">
        <v>44013</v>
      </c>
      <c r="AQL361" s="628">
        <v>44044</v>
      </c>
      <c r="AQM361" s="628">
        <v>44075</v>
      </c>
      <c r="AQN361" s="628">
        <v>44105</v>
      </c>
      <c r="AQO361" s="628">
        <v>44136</v>
      </c>
      <c r="AQP361" s="628">
        <v>44166</v>
      </c>
      <c r="AQQ361" s="629">
        <v>2020</v>
      </c>
      <c r="AQR361" s="630" t="s">
        <v>1870</v>
      </c>
      <c r="AQS361" s="626"/>
      <c r="AQT361" s="627" t="s">
        <v>1669</v>
      </c>
      <c r="AQU361" s="628">
        <v>43831</v>
      </c>
      <c r="AQV361" s="628">
        <v>43862</v>
      </c>
      <c r="AQW361" s="628">
        <v>43891</v>
      </c>
      <c r="AQX361" s="628">
        <v>43922</v>
      </c>
      <c r="AQY361" s="628">
        <v>43952</v>
      </c>
      <c r="AQZ361" s="628">
        <v>43983</v>
      </c>
      <c r="ARA361" s="628">
        <v>44013</v>
      </c>
      <c r="ARB361" s="628">
        <v>44044</v>
      </c>
      <c r="ARC361" s="628">
        <v>44075</v>
      </c>
      <c r="ARD361" s="628">
        <v>44105</v>
      </c>
      <c r="ARE361" s="628">
        <v>44136</v>
      </c>
      <c r="ARF361" s="628">
        <v>44166</v>
      </c>
      <c r="ARG361" s="629">
        <v>2020</v>
      </c>
      <c r="ARH361" s="630" t="s">
        <v>1870</v>
      </c>
      <c r="ARI361" s="626"/>
      <c r="ARJ361" s="627" t="s">
        <v>1669</v>
      </c>
      <c r="ARK361" s="628">
        <v>43831</v>
      </c>
      <c r="ARL361" s="628">
        <v>43862</v>
      </c>
      <c r="ARM361" s="628">
        <v>43891</v>
      </c>
      <c r="ARN361" s="628">
        <v>43922</v>
      </c>
      <c r="ARO361" s="628">
        <v>43952</v>
      </c>
      <c r="ARP361" s="628">
        <v>43983</v>
      </c>
      <c r="ARQ361" s="628">
        <v>44013</v>
      </c>
      <c r="ARR361" s="628">
        <v>44044</v>
      </c>
      <c r="ARS361" s="628">
        <v>44075</v>
      </c>
      <c r="ART361" s="628">
        <v>44105</v>
      </c>
      <c r="ARU361" s="628">
        <v>44136</v>
      </c>
      <c r="ARV361" s="628">
        <v>44166</v>
      </c>
      <c r="ARW361" s="629">
        <v>2020</v>
      </c>
      <c r="ARX361" s="630" t="s">
        <v>1870</v>
      </c>
      <c r="ARY361" s="626"/>
      <c r="ARZ361" s="627" t="s">
        <v>1669</v>
      </c>
      <c r="ASA361" s="628">
        <v>43831</v>
      </c>
      <c r="ASB361" s="628">
        <v>43862</v>
      </c>
      <c r="ASC361" s="628">
        <v>43891</v>
      </c>
      <c r="ASD361" s="628">
        <v>43922</v>
      </c>
      <c r="ASE361" s="628">
        <v>43952</v>
      </c>
      <c r="ASF361" s="628">
        <v>43983</v>
      </c>
      <c r="ASG361" s="628">
        <v>44013</v>
      </c>
      <c r="ASH361" s="628">
        <v>44044</v>
      </c>
      <c r="ASI361" s="628">
        <v>44075</v>
      </c>
      <c r="ASJ361" s="628">
        <v>44105</v>
      </c>
      <c r="ASK361" s="628">
        <v>44136</v>
      </c>
      <c r="ASL361" s="628">
        <v>44166</v>
      </c>
      <c r="ASM361" s="629">
        <v>2020</v>
      </c>
      <c r="ASN361" s="630" t="s">
        <v>1870</v>
      </c>
      <c r="ASO361" s="626"/>
      <c r="ASP361" s="627" t="s">
        <v>1669</v>
      </c>
      <c r="ASQ361" s="628">
        <v>43831</v>
      </c>
      <c r="ASR361" s="628">
        <v>43862</v>
      </c>
      <c r="ASS361" s="628">
        <v>43891</v>
      </c>
      <c r="AST361" s="628">
        <v>43922</v>
      </c>
      <c r="ASU361" s="628">
        <v>43952</v>
      </c>
      <c r="ASV361" s="628">
        <v>43983</v>
      </c>
      <c r="ASW361" s="628">
        <v>44013</v>
      </c>
      <c r="ASX361" s="628">
        <v>44044</v>
      </c>
      <c r="ASY361" s="628">
        <v>44075</v>
      </c>
      <c r="ASZ361" s="628">
        <v>44105</v>
      </c>
      <c r="ATA361" s="628">
        <v>44136</v>
      </c>
      <c r="ATB361" s="628">
        <v>44166</v>
      </c>
      <c r="ATC361" s="629">
        <v>2020</v>
      </c>
      <c r="ATD361" s="630" t="s">
        <v>1870</v>
      </c>
      <c r="ATE361" s="626"/>
      <c r="ATF361" s="627" t="s">
        <v>1669</v>
      </c>
      <c r="ATG361" s="628">
        <v>43831</v>
      </c>
      <c r="ATH361" s="628">
        <v>43862</v>
      </c>
      <c r="ATI361" s="628">
        <v>43891</v>
      </c>
      <c r="ATJ361" s="628">
        <v>43922</v>
      </c>
      <c r="ATK361" s="628">
        <v>43952</v>
      </c>
      <c r="ATL361" s="628">
        <v>43983</v>
      </c>
      <c r="ATM361" s="628">
        <v>44013</v>
      </c>
      <c r="ATN361" s="628">
        <v>44044</v>
      </c>
      <c r="ATO361" s="628">
        <v>44075</v>
      </c>
      <c r="ATP361" s="628">
        <v>44105</v>
      </c>
      <c r="ATQ361" s="628">
        <v>44136</v>
      </c>
      <c r="ATR361" s="628">
        <v>44166</v>
      </c>
      <c r="ATS361" s="629">
        <v>2020</v>
      </c>
      <c r="ATT361" s="630" t="s">
        <v>1870</v>
      </c>
      <c r="ATU361" s="626"/>
      <c r="ATV361" s="627" t="s">
        <v>1669</v>
      </c>
      <c r="ATW361" s="628">
        <v>43831</v>
      </c>
      <c r="ATX361" s="628">
        <v>43862</v>
      </c>
      <c r="ATY361" s="628">
        <v>43891</v>
      </c>
      <c r="ATZ361" s="628">
        <v>43922</v>
      </c>
      <c r="AUA361" s="628">
        <v>43952</v>
      </c>
      <c r="AUB361" s="628">
        <v>43983</v>
      </c>
      <c r="AUC361" s="628">
        <v>44013</v>
      </c>
      <c r="AUD361" s="628">
        <v>44044</v>
      </c>
      <c r="AUE361" s="628">
        <v>44075</v>
      </c>
      <c r="AUF361" s="628">
        <v>44105</v>
      </c>
      <c r="AUG361" s="628">
        <v>44136</v>
      </c>
      <c r="AUH361" s="628">
        <v>44166</v>
      </c>
      <c r="AUI361" s="629">
        <v>2020</v>
      </c>
      <c r="AUJ361" s="630" t="s">
        <v>1870</v>
      </c>
      <c r="AUK361" s="626"/>
      <c r="AUL361" s="627" t="s">
        <v>1669</v>
      </c>
      <c r="AUM361" s="628">
        <v>43831</v>
      </c>
      <c r="AUN361" s="628">
        <v>43862</v>
      </c>
      <c r="AUO361" s="628">
        <v>43891</v>
      </c>
      <c r="AUP361" s="628">
        <v>43922</v>
      </c>
      <c r="AUQ361" s="628">
        <v>43952</v>
      </c>
      <c r="AUR361" s="628">
        <v>43983</v>
      </c>
      <c r="AUS361" s="628">
        <v>44013</v>
      </c>
      <c r="AUT361" s="628">
        <v>44044</v>
      </c>
      <c r="AUU361" s="628">
        <v>44075</v>
      </c>
      <c r="AUV361" s="628">
        <v>44105</v>
      </c>
      <c r="AUW361" s="628">
        <v>44136</v>
      </c>
      <c r="AUX361" s="628">
        <v>44166</v>
      </c>
      <c r="AUY361" s="629">
        <v>2020</v>
      </c>
      <c r="AUZ361" s="630" t="s">
        <v>1870</v>
      </c>
      <c r="AVA361" s="626"/>
      <c r="AVB361" s="627" t="s">
        <v>1669</v>
      </c>
      <c r="AVC361" s="628">
        <v>43831</v>
      </c>
      <c r="AVD361" s="628">
        <v>43862</v>
      </c>
      <c r="AVE361" s="628">
        <v>43891</v>
      </c>
      <c r="AVF361" s="628">
        <v>43922</v>
      </c>
      <c r="AVG361" s="628">
        <v>43952</v>
      </c>
      <c r="AVH361" s="628">
        <v>43983</v>
      </c>
      <c r="AVI361" s="628">
        <v>44013</v>
      </c>
      <c r="AVJ361" s="628">
        <v>44044</v>
      </c>
      <c r="AVK361" s="628">
        <v>44075</v>
      </c>
      <c r="AVL361" s="628">
        <v>44105</v>
      </c>
      <c r="AVM361" s="628">
        <v>44136</v>
      </c>
      <c r="AVN361" s="628">
        <v>44166</v>
      </c>
      <c r="AVO361" s="629">
        <v>2020</v>
      </c>
      <c r="AVP361" s="630" t="s">
        <v>1870</v>
      </c>
      <c r="AVQ361" s="626"/>
      <c r="AVR361" s="627" t="s">
        <v>1669</v>
      </c>
      <c r="AVS361" s="628">
        <v>43831</v>
      </c>
      <c r="AVT361" s="628">
        <v>43862</v>
      </c>
      <c r="AVU361" s="628">
        <v>43891</v>
      </c>
      <c r="AVV361" s="628">
        <v>43922</v>
      </c>
      <c r="AVW361" s="628">
        <v>43952</v>
      </c>
      <c r="AVX361" s="628">
        <v>43983</v>
      </c>
      <c r="AVY361" s="628">
        <v>44013</v>
      </c>
      <c r="AVZ361" s="628">
        <v>44044</v>
      </c>
      <c r="AWA361" s="628">
        <v>44075</v>
      </c>
      <c r="AWB361" s="628">
        <v>44105</v>
      </c>
      <c r="AWC361" s="628">
        <v>44136</v>
      </c>
      <c r="AWD361" s="628">
        <v>44166</v>
      </c>
      <c r="AWE361" s="629">
        <v>2020</v>
      </c>
      <c r="AWF361" s="630" t="s">
        <v>1870</v>
      </c>
      <c r="AWG361" s="626"/>
      <c r="AWH361" s="627" t="s">
        <v>1669</v>
      </c>
      <c r="AWI361" s="628">
        <v>43831</v>
      </c>
      <c r="AWJ361" s="628">
        <v>43862</v>
      </c>
      <c r="AWK361" s="628">
        <v>43891</v>
      </c>
      <c r="AWL361" s="628">
        <v>43922</v>
      </c>
      <c r="AWM361" s="628">
        <v>43952</v>
      </c>
      <c r="AWN361" s="628">
        <v>43983</v>
      </c>
      <c r="AWO361" s="628">
        <v>44013</v>
      </c>
      <c r="AWP361" s="628">
        <v>44044</v>
      </c>
      <c r="AWQ361" s="628">
        <v>44075</v>
      </c>
      <c r="AWR361" s="628">
        <v>44105</v>
      </c>
      <c r="AWS361" s="628">
        <v>44136</v>
      </c>
      <c r="AWT361" s="628">
        <v>44166</v>
      </c>
      <c r="AWU361" s="629">
        <v>2020</v>
      </c>
      <c r="AWV361" s="630" t="s">
        <v>1870</v>
      </c>
      <c r="AWW361" s="626"/>
      <c r="AWX361" s="627" t="s">
        <v>1669</v>
      </c>
      <c r="AWY361" s="628">
        <v>43831</v>
      </c>
      <c r="AWZ361" s="628">
        <v>43862</v>
      </c>
      <c r="AXA361" s="628">
        <v>43891</v>
      </c>
      <c r="AXB361" s="628">
        <v>43922</v>
      </c>
      <c r="AXC361" s="628">
        <v>43952</v>
      </c>
      <c r="AXD361" s="628">
        <v>43983</v>
      </c>
      <c r="AXE361" s="628">
        <v>44013</v>
      </c>
      <c r="AXF361" s="628">
        <v>44044</v>
      </c>
      <c r="AXG361" s="628">
        <v>44075</v>
      </c>
      <c r="AXH361" s="628">
        <v>44105</v>
      </c>
      <c r="AXI361" s="628">
        <v>44136</v>
      </c>
      <c r="AXJ361" s="628">
        <v>44166</v>
      </c>
      <c r="AXK361" s="629">
        <v>2020</v>
      </c>
      <c r="AXL361" s="630" t="s">
        <v>1870</v>
      </c>
      <c r="AXM361" s="626"/>
      <c r="AXN361" s="627" t="s">
        <v>1669</v>
      </c>
      <c r="AXO361" s="628">
        <v>43831</v>
      </c>
      <c r="AXP361" s="628">
        <v>43862</v>
      </c>
      <c r="AXQ361" s="628">
        <v>43891</v>
      </c>
      <c r="AXR361" s="628">
        <v>43922</v>
      </c>
      <c r="AXS361" s="628">
        <v>43952</v>
      </c>
      <c r="AXT361" s="628">
        <v>43983</v>
      </c>
      <c r="AXU361" s="628">
        <v>44013</v>
      </c>
      <c r="AXV361" s="628">
        <v>44044</v>
      </c>
      <c r="AXW361" s="628">
        <v>44075</v>
      </c>
      <c r="AXX361" s="628">
        <v>44105</v>
      </c>
      <c r="AXY361" s="628">
        <v>44136</v>
      </c>
      <c r="AXZ361" s="628">
        <v>44166</v>
      </c>
      <c r="AYA361" s="629">
        <v>2020</v>
      </c>
      <c r="AYB361" s="630" t="s">
        <v>1870</v>
      </c>
      <c r="AYC361" s="626"/>
      <c r="AYD361" s="627" t="s">
        <v>1669</v>
      </c>
      <c r="AYE361" s="628">
        <v>43831</v>
      </c>
      <c r="AYF361" s="628">
        <v>43862</v>
      </c>
      <c r="AYG361" s="628">
        <v>43891</v>
      </c>
      <c r="AYH361" s="628">
        <v>43922</v>
      </c>
      <c r="AYI361" s="628">
        <v>43952</v>
      </c>
      <c r="AYJ361" s="628">
        <v>43983</v>
      </c>
      <c r="AYK361" s="628">
        <v>44013</v>
      </c>
      <c r="AYL361" s="628">
        <v>44044</v>
      </c>
      <c r="AYM361" s="628">
        <v>44075</v>
      </c>
      <c r="AYN361" s="628">
        <v>44105</v>
      </c>
      <c r="AYO361" s="628">
        <v>44136</v>
      </c>
      <c r="AYP361" s="628">
        <v>44166</v>
      </c>
      <c r="AYQ361" s="629">
        <v>2020</v>
      </c>
      <c r="AYR361" s="630" t="s">
        <v>1870</v>
      </c>
      <c r="AYS361" s="626"/>
      <c r="AYT361" s="627" t="s">
        <v>1669</v>
      </c>
      <c r="AYU361" s="628">
        <v>43831</v>
      </c>
      <c r="AYV361" s="628">
        <v>43862</v>
      </c>
      <c r="AYW361" s="628">
        <v>43891</v>
      </c>
      <c r="AYX361" s="628">
        <v>43922</v>
      </c>
      <c r="AYY361" s="628">
        <v>43952</v>
      </c>
      <c r="AYZ361" s="628">
        <v>43983</v>
      </c>
      <c r="AZA361" s="628">
        <v>44013</v>
      </c>
      <c r="AZB361" s="628">
        <v>44044</v>
      </c>
      <c r="AZC361" s="628">
        <v>44075</v>
      </c>
      <c r="AZD361" s="628">
        <v>44105</v>
      </c>
      <c r="AZE361" s="628">
        <v>44136</v>
      </c>
      <c r="AZF361" s="628">
        <v>44166</v>
      </c>
      <c r="AZG361" s="629">
        <v>2020</v>
      </c>
      <c r="AZH361" s="630" t="s">
        <v>1870</v>
      </c>
      <c r="AZI361" s="626"/>
      <c r="AZJ361" s="627" t="s">
        <v>1669</v>
      </c>
      <c r="AZK361" s="628">
        <v>43831</v>
      </c>
      <c r="AZL361" s="628">
        <v>43862</v>
      </c>
      <c r="AZM361" s="628">
        <v>43891</v>
      </c>
      <c r="AZN361" s="628">
        <v>43922</v>
      </c>
      <c r="AZO361" s="628">
        <v>43952</v>
      </c>
      <c r="AZP361" s="628">
        <v>43983</v>
      </c>
      <c r="AZQ361" s="628">
        <v>44013</v>
      </c>
      <c r="AZR361" s="628">
        <v>44044</v>
      </c>
      <c r="AZS361" s="628">
        <v>44075</v>
      </c>
      <c r="AZT361" s="628">
        <v>44105</v>
      </c>
      <c r="AZU361" s="628">
        <v>44136</v>
      </c>
      <c r="AZV361" s="628">
        <v>44166</v>
      </c>
      <c r="AZW361" s="629">
        <v>2020</v>
      </c>
      <c r="AZX361" s="630" t="s">
        <v>1870</v>
      </c>
      <c r="AZY361" s="626"/>
      <c r="AZZ361" s="627" t="s">
        <v>1669</v>
      </c>
      <c r="BAA361" s="628">
        <v>43831</v>
      </c>
      <c r="BAB361" s="628">
        <v>43862</v>
      </c>
      <c r="BAC361" s="628">
        <v>43891</v>
      </c>
      <c r="BAD361" s="628">
        <v>43922</v>
      </c>
      <c r="BAE361" s="628">
        <v>43952</v>
      </c>
      <c r="BAF361" s="628">
        <v>43983</v>
      </c>
      <c r="BAG361" s="628">
        <v>44013</v>
      </c>
      <c r="BAH361" s="628">
        <v>44044</v>
      </c>
      <c r="BAI361" s="628">
        <v>44075</v>
      </c>
      <c r="BAJ361" s="628">
        <v>44105</v>
      </c>
      <c r="BAK361" s="628">
        <v>44136</v>
      </c>
      <c r="BAL361" s="628">
        <v>44166</v>
      </c>
      <c r="BAM361" s="629">
        <v>2020</v>
      </c>
      <c r="BAN361" s="630" t="s">
        <v>1870</v>
      </c>
      <c r="BAO361" s="626"/>
      <c r="BAP361" s="627" t="s">
        <v>1669</v>
      </c>
      <c r="BAQ361" s="628">
        <v>43831</v>
      </c>
      <c r="BAR361" s="628">
        <v>43862</v>
      </c>
      <c r="BAS361" s="628">
        <v>43891</v>
      </c>
      <c r="BAT361" s="628">
        <v>43922</v>
      </c>
      <c r="BAU361" s="628">
        <v>43952</v>
      </c>
      <c r="BAV361" s="628">
        <v>43983</v>
      </c>
      <c r="BAW361" s="628">
        <v>44013</v>
      </c>
      <c r="BAX361" s="628">
        <v>44044</v>
      </c>
      <c r="BAY361" s="628">
        <v>44075</v>
      </c>
      <c r="BAZ361" s="628">
        <v>44105</v>
      </c>
      <c r="BBA361" s="628">
        <v>44136</v>
      </c>
      <c r="BBB361" s="628">
        <v>44166</v>
      </c>
      <c r="BBC361" s="629">
        <v>2020</v>
      </c>
      <c r="BBD361" s="630" t="s">
        <v>1870</v>
      </c>
      <c r="BBE361" s="626"/>
      <c r="BBF361" s="627" t="s">
        <v>1669</v>
      </c>
      <c r="BBG361" s="628">
        <v>43831</v>
      </c>
      <c r="BBH361" s="628">
        <v>43862</v>
      </c>
      <c r="BBI361" s="628">
        <v>43891</v>
      </c>
      <c r="BBJ361" s="628">
        <v>43922</v>
      </c>
      <c r="BBK361" s="628">
        <v>43952</v>
      </c>
      <c r="BBL361" s="628">
        <v>43983</v>
      </c>
      <c r="BBM361" s="628">
        <v>44013</v>
      </c>
      <c r="BBN361" s="628">
        <v>44044</v>
      </c>
      <c r="BBO361" s="628">
        <v>44075</v>
      </c>
      <c r="BBP361" s="628">
        <v>44105</v>
      </c>
      <c r="BBQ361" s="628">
        <v>44136</v>
      </c>
      <c r="BBR361" s="628">
        <v>44166</v>
      </c>
      <c r="BBS361" s="629">
        <v>2020</v>
      </c>
      <c r="BBT361" s="630" t="s">
        <v>1870</v>
      </c>
      <c r="BBU361" s="626"/>
      <c r="BBV361" s="627" t="s">
        <v>1669</v>
      </c>
      <c r="BBW361" s="628">
        <v>43831</v>
      </c>
      <c r="BBX361" s="628">
        <v>43862</v>
      </c>
      <c r="BBY361" s="628">
        <v>43891</v>
      </c>
      <c r="BBZ361" s="628">
        <v>43922</v>
      </c>
      <c r="BCA361" s="628">
        <v>43952</v>
      </c>
      <c r="BCB361" s="628">
        <v>43983</v>
      </c>
      <c r="BCC361" s="628">
        <v>44013</v>
      </c>
      <c r="BCD361" s="628">
        <v>44044</v>
      </c>
      <c r="BCE361" s="628">
        <v>44075</v>
      </c>
      <c r="BCF361" s="628">
        <v>44105</v>
      </c>
      <c r="BCG361" s="628">
        <v>44136</v>
      </c>
      <c r="BCH361" s="628">
        <v>44166</v>
      </c>
      <c r="BCI361" s="629">
        <v>2020</v>
      </c>
      <c r="BCJ361" s="630" t="s">
        <v>1870</v>
      </c>
      <c r="BCK361" s="626"/>
      <c r="BCL361" s="627" t="s">
        <v>1669</v>
      </c>
      <c r="BCM361" s="628">
        <v>43831</v>
      </c>
      <c r="BCN361" s="628">
        <v>43862</v>
      </c>
      <c r="BCO361" s="628">
        <v>43891</v>
      </c>
      <c r="BCP361" s="628">
        <v>43922</v>
      </c>
      <c r="BCQ361" s="628">
        <v>43952</v>
      </c>
      <c r="BCR361" s="628">
        <v>43983</v>
      </c>
      <c r="BCS361" s="628">
        <v>44013</v>
      </c>
      <c r="BCT361" s="628">
        <v>44044</v>
      </c>
      <c r="BCU361" s="628">
        <v>44075</v>
      </c>
      <c r="BCV361" s="628">
        <v>44105</v>
      </c>
      <c r="BCW361" s="628">
        <v>44136</v>
      </c>
      <c r="BCX361" s="628">
        <v>44166</v>
      </c>
      <c r="BCY361" s="629">
        <v>2020</v>
      </c>
      <c r="BCZ361" s="630" t="s">
        <v>1870</v>
      </c>
      <c r="BDA361" s="626"/>
      <c r="BDB361" s="627" t="s">
        <v>1669</v>
      </c>
      <c r="BDC361" s="628">
        <v>43831</v>
      </c>
      <c r="BDD361" s="628">
        <v>43862</v>
      </c>
      <c r="BDE361" s="628">
        <v>43891</v>
      </c>
      <c r="BDF361" s="628">
        <v>43922</v>
      </c>
      <c r="BDG361" s="628">
        <v>43952</v>
      </c>
      <c r="BDH361" s="628">
        <v>43983</v>
      </c>
      <c r="BDI361" s="628">
        <v>44013</v>
      </c>
      <c r="BDJ361" s="628">
        <v>44044</v>
      </c>
      <c r="BDK361" s="628">
        <v>44075</v>
      </c>
      <c r="BDL361" s="628">
        <v>44105</v>
      </c>
      <c r="BDM361" s="628">
        <v>44136</v>
      </c>
      <c r="BDN361" s="628">
        <v>44166</v>
      </c>
      <c r="BDO361" s="629">
        <v>2020</v>
      </c>
      <c r="BDP361" s="630" t="s">
        <v>1870</v>
      </c>
      <c r="BDQ361" s="626"/>
      <c r="BDR361" s="627" t="s">
        <v>1669</v>
      </c>
      <c r="BDS361" s="628">
        <v>43831</v>
      </c>
      <c r="BDT361" s="628">
        <v>43862</v>
      </c>
      <c r="BDU361" s="628">
        <v>43891</v>
      </c>
      <c r="BDV361" s="628">
        <v>43922</v>
      </c>
      <c r="BDW361" s="628">
        <v>43952</v>
      </c>
      <c r="BDX361" s="628">
        <v>43983</v>
      </c>
      <c r="BDY361" s="628">
        <v>44013</v>
      </c>
      <c r="BDZ361" s="628">
        <v>44044</v>
      </c>
      <c r="BEA361" s="628">
        <v>44075</v>
      </c>
      <c r="BEB361" s="628">
        <v>44105</v>
      </c>
      <c r="BEC361" s="628">
        <v>44136</v>
      </c>
      <c r="BED361" s="628">
        <v>44166</v>
      </c>
      <c r="BEE361" s="629">
        <v>2020</v>
      </c>
      <c r="BEF361" s="630" t="s">
        <v>1870</v>
      </c>
      <c r="BEG361" s="626"/>
      <c r="BEH361" s="627" t="s">
        <v>1669</v>
      </c>
      <c r="BEI361" s="628">
        <v>43831</v>
      </c>
      <c r="BEJ361" s="628">
        <v>43862</v>
      </c>
      <c r="BEK361" s="628">
        <v>43891</v>
      </c>
      <c r="BEL361" s="628">
        <v>43922</v>
      </c>
      <c r="BEM361" s="628">
        <v>43952</v>
      </c>
      <c r="BEN361" s="628">
        <v>43983</v>
      </c>
      <c r="BEO361" s="628">
        <v>44013</v>
      </c>
      <c r="BEP361" s="628">
        <v>44044</v>
      </c>
      <c r="BEQ361" s="628">
        <v>44075</v>
      </c>
      <c r="BER361" s="628">
        <v>44105</v>
      </c>
      <c r="BES361" s="628">
        <v>44136</v>
      </c>
      <c r="BET361" s="628">
        <v>44166</v>
      </c>
      <c r="BEU361" s="629">
        <v>2020</v>
      </c>
      <c r="BEV361" s="630" t="s">
        <v>1870</v>
      </c>
      <c r="BEW361" s="626"/>
      <c r="BEX361" s="627" t="s">
        <v>1669</v>
      </c>
      <c r="BEY361" s="628">
        <v>43831</v>
      </c>
      <c r="BEZ361" s="628">
        <v>43862</v>
      </c>
      <c r="BFA361" s="628">
        <v>43891</v>
      </c>
      <c r="BFB361" s="628">
        <v>43922</v>
      </c>
      <c r="BFC361" s="628">
        <v>43952</v>
      </c>
      <c r="BFD361" s="628">
        <v>43983</v>
      </c>
      <c r="BFE361" s="628">
        <v>44013</v>
      </c>
      <c r="BFF361" s="628">
        <v>44044</v>
      </c>
      <c r="BFG361" s="628">
        <v>44075</v>
      </c>
      <c r="BFH361" s="628">
        <v>44105</v>
      </c>
      <c r="BFI361" s="628">
        <v>44136</v>
      </c>
      <c r="BFJ361" s="628">
        <v>44166</v>
      </c>
      <c r="BFK361" s="629">
        <v>2020</v>
      </c>
      <c r="BFL361" s="630" t="s">
        <v>1870</v>
      </c>
      <c r="BFM361" s="626"/>
      <c r="BFN361" s="627" t="s">
        <v>1669</v>
      </c>
      <c r="BFO361" s="628">
        <v>43831</v>
      </c>
      <c r="BFP361" s="628">
        <v>43862</v>
      </c>
      <c r="BFQ361" s="628">
        <v>43891</v>
      </c>
      <c r="BFR361" s="628">
        <v>43922</v>
      </c>
      <c r="BFS361" s="628">
        <v>43952</v>
      </c>
      <c r="BFT361" s="628">
        <v>43983</v>
      </c>
      <c r="BFU361" s="628">
        <v>44013</v>
      </c>
      <c r="BFV361" s="628">
        <v>44044</v>
      </c>
      <c r="BFW361" s="628">
        <v>44075</v>
      </c>
      <c r="BFX361" s="628">
        <v>44105</v>
      </c>
      <c r="BFY361" s="628">
        <v>44136</v>
      </c>
      <c r="BFZ361" s="628">
        <v>44166</v>
      </c>
      <c r="BGA361" s="629">
        <v>2020</v>
      </c>
      <c r="BGB361" s="630" t="s">
        <v>1870</v>
      </c>
      <c r="BGC361" s="626"/>
      <c r="BGD361" s="627" t="s">
        <v>1669</v>
      </c>
      <c r="BGE361" s="628">
        <v>43831</v>
      </c>
      <c r="BGF361" s="628">
        <v>43862</v>
      </c>
      <c r="BGG361" s="628">
        <v>43891</v>
      </c>
      <c r="BGH361" s="628">
        <v>43922</v>
      </c>
      <c r="BGI361" s="628">
        <v>43952</v>
      </c>
      <c r="BGJ361" s="628">
        <v>43983</v>
      </c>
      <c r="BGK361" s="628">
        <v>44013</v>
      </c>
      <c r="BGL361" s="628">
        <v>44044</v>
      </c>
      <c r="BGM361" s="628">
        <v>44075</v>
      </c>
      <c r="BGN361" s="628">
        <v>44105</v>
      </c>
      <c r="BGO361" s="628">
        <v>44136</v>
      </c>
      <c r="BGP361" s="628">
        <v>44166</v>
      </c>
      <c r="BGQ361" s="629">
        <v>2020</v>
      </c>
      <c r="BGR361" s="630" t="s">
        <v>1870</v>
      </c>
      <c r="BGS361" s="626"/>
      <c r="BGT361" s="627" t="s">
        <v>1669</v>
      </c>
      <c r="BGU361" s="628">
        <v>43831</v>
      </c>
      <c r="BGV361" s="628">
        <v>43862</v>
      </c>
      <c r="BGW361" s="628">
        <v>43891</v>
      </c>
      <c r="BGX361" s="628">
        <v>43922</v>
      </c>
      <c r="BGY361" s="628">
        <v>43952</v>
      </c>
      <c r="BGZ361" s="628">
        <v>43983</v>
      </c>
      <c r="BHA361" s="628">
        <v>44013</v>
      </c>
      <c r="BHB361" s="628">
        <v>44044</v>
      </c>
      <c r="BHC361" s="628">
        <v>44075</v>
      </c>
      <c r="BHD361" s="628">
        <v>44105</v>
      </c>
      <c r="BHE361" s="628">
        <v>44136</v>
      </c>
      <c r="BHF361" s="628">
        <v>44166</v>
      </c>
      <c r="BHG361" s="629">
        <v>2020</v>
      </c>
      <c r="BHH361" s="630" t="s">
        <v>1870</v>
      </c>
      <c r="BHI361" s="626"/>
      <c r="BHJ361" s="627" t="s">
        <v>1669</v>
      </c>
      <c r="BHK361" s="628">
        <v>43831</v>
      </c>
      <c r="BHL361" s="628">
        <v>43862</v>
      </c>
      <c r="BHM361" s="628">
        <v>43891</v>
      </c>
      <c r="BHN361" s="628">
        <v>43922</v>
      </c>
      <c r="BHO361" s="628">
        <v>43952</v>
      </c>
      <c r="BHP361" s="628">
        <v>43983</v>
      </c>
      <c r="BHQ361" s="628">
        <v>44013</v>
      </c>
      <c r="BHR361" s="628">
        <v>44044</v>
      </c>
      <c r="BHS361" s="628">
        <v>44075</v>
      </c>
      <c r="BHT361" s="628">
        <v>44105</v>
      </c>
      <c r="BHU361" s="628">
        <v>44136</v>
      </c>
      <c r="BHV361" s="628">
        <v>44166</v>
      </c>
      <c r="BHW361" s="629">
        <v>2020</v>
      </c>
      <c r="BHX361" s="630" t="s">
        <v>1870</v>
      </c>
      <c r="BHY361" s="626"/>
      <c r="BHZ361" s="627" t="s">
        <v>1669</v>
      </c>
      <c r="BIA361" s="628">
        <v>43831</v>
      </c>
      <c r="BIB361" s="628">
        <v>43862</v>
      </c>
      <c r="BIC361" s="628">
        <v>43891</v>
      </c>
      <c r="BID361" s="628">
        <v>43922</v>
      </c>
      <c r="BIE361" s="628">
        <v>43952</v>
      </c>
      <c r="BIF361" s="628">
        <v>43983</v>
      </c>
      <c r="BIG361" s="628">
        <v>44013</v>
      </c>
      <c r="BIH361" s="628">
        <v>44044</v>
      </c>
      <c r="BII361" s="628">
        <v>44075</v>
      </c>
      <c r="BIJ361" s="628">
        <v>44105</v>
      </c>
      <c r="BIK361" s="628">
        <v>44136</v>
      </c>
      <c r="BIL361" s="628">
        <v>44166</v>
      </c>
      <c r="BIM361" s="629">
        <v>2020</v>
      </c>
      <c r="BIN361" s="630" t="s">
        <v>1870</v>
      </c>
      <c r="BIO361" s="626"/>
      <c r="BIP361" s="627" t="s">
        <v>1669</v>
      </c>
      <c r="BIQ361" s="628">
        <v>43831</v>
      </c>
      <c r="BIR361" s="628">
        <v>43862</v>
      </c>
      <c r="BIS361" s="628">
        <v>43891</v>
      </c>
      <c r="BIT361" s="628">
        <v>43922</v>
      </c>
      <c r="BIU361" s="628">
        <v>43952</v>
      </c>
      <c r="BIV361" s="628">
        <v>43983</v>
      </c>
      <c r="BIW361" s="628">
        <v>44013</v>
      </c>
      <c r="BIX361" s="628">
        <v>44044</v>
      </c>
      <c r="BIY361" s="628">
        <v>44075</v>
      </c>
      <c r="BIZ361" s="628">
        <v>44105</v>
      </c>
      <c r="BJA361" s="628">
        <v>44136</v>
      </c>
      <c r="BJB361" s="628">
        <v>44166</v>
      </c>
      <c r="BJC361" s="629">
        <v>2020</v>
      </c>
      <c r="BJD361" s="630" t="s">
        <v>1870</v>
      </c>
      <c r="BJE361" s="626"/>
      <c r="BJF361" s="627" t="s">
        <v>1669</v>
      </c>
      <c r="BJG361" s="628">
        <v>43831</v>
      </c>
      <c r="BJH361" s="628">
        <v>43862</v>
      </c>
      <c r="BJI361" s="628">
        <v>43891</v>
      </c>
      <c r="BJJ361" s="628">
        <v>43922</v>
      </c>
      <c r="BJK361" s="628">
        <v>43952</v>
      </c>
      <c r="BJL361" s="628">
        <v>43983</v>
      </c>
      <c r="BJM361" s="628">
        <v>44013</v>
      </c>
      <c r="BJN361" s="628">
        <v>44044</v>
      </c>
      <c r="BJO361" s="628">
        <v>44075</v>
      </c>
      <c r="BJP361" s="628">
        <v>44105</v>
      </c>
      <c r="BJQ361" s="628">
        <v>44136</v>
      </c>
      <c r="BJR361" s="628">
        <v>44166</v>
      </c>
      <c r="BJS361" s="629">
        <v>2020</v>
      </c>
      <c r="BJT361" s="630" t="s">
        <v>1870</v>
      </c>
      <c r="BJU361" s="626"/>
      <c r="BJV361" s="627" t="s">
        <v>1669</v>
      </c>
      <c r="BJW361" s="628">
        <v>43831</v>
      </c>
      <c r="BJX361" s="628">
        <v>43862</v>
      </c>
      <c r="BJY361" s="628">
        <v>43891</v>
      </c>
      <c r="BJZ361" s="628">
        <v>43922</v>
      </c>
      <c r="BKA361" s="628">
        <v>43952</v>
      </c>
      <c r="BKB361" s="628">
        <v>43983</v>
      </c>
      <c r="BKC361" s="628">
        <v>44013</v>
      </c>
      <c r="BKD361" s="628">
        <v>44044</v>
      </c>
      <c r="BKE361" s="628">
        <v>44075</v>
      </c>
      <c r="BKF361" s="628">
        <v>44105</v>
      </c>
      <c r="BKG361" s="628">
        <v>44136</v>
      </c>
      <c r="BKH361" s="628">
        <v>44166</v>
      </c>
      <c r="BKI361" s="629">
        <v>2020</v>
      </c>
      <c r="BKJ361" s="630" t="s">
        <v>1870</v>
      </c>
      <c r="BKK361" s="626"/>
      <c r="BKL361" s="627" t="s">
        <v>1669</v>
      </c>
      <c r="BKM361" s="628">
        <v>43831</v>
      </c>
      <c r="BKN361" s="628">
        <v>43862</v>
      </c>
      <c r="BKO361" s="628">
        <v>43891</v>
      </c>
      <c r="BKP361" s="628">
        <v>43922</v>
      </c>
      <c r="BKQ361" s="628">
        <v>43952</v>
      </c>
      <c r="BKR361" s="628">
        <v>43983</v>
      </c>
      <c r="BKS361" s="628">
        <v>44013</v>
      </c>
      <c r="BKT361" s="628">
        <v>44044</v>
      </c>
      <c r="BKU361" s="628">
        <v>44075</v>
      </c>
      <c r="BKV361" s="628">
        <v>44105</v>
      </c>
      <c r="BKW361" s="628">
        <v>44136</v>
      </c>
      <c r="BKX361" s="628">
        <v>44166</v>
      </c>
      <c r="BKY361" s="629">
        <v>2020</v>
      </c>
      <c r="BKZ361" s="630" t="s">
        <v>1870</v>
      </c>
      <c r="BLA361" s="626"/>
      <c r="BLB361" s="627" t="s">
        <v>1669</v>
      </c>
      <c r="BLC361" s="628">
        <v>43831</v>
      </c>
      <c r="BLD361" s="628">
        <v>43862</v>
      </c>
      <c r="BLE361" s="628">
        <v>43891</v>
      </c>
      <c r="BLF361" s="628">
        <v>43922</v>
      </c>
      <c r="BLG361" s="628">
        <v>43952</v>
      </c>
      <c r="BLH361" s="628">
        <v>43983</v>
      </c>
      <c r="BLI361" s="628">
        <v>44013</v>
      </c>
      <c r="BLJ361" s="628">
        <v>44044</v>
      </c>
      <c r="BLK361" s="628">
        <v>44075</v>
      </c>
      <c r="BLL361" s="628">
        <v>44105</v>
      </c>
      <c r="BLM361" s="628">
        <v>44136</v>
      </c>
      <c r="BLN361" s="628">
        <v>44166</v>
      </c>
      <c r="BLO361" s="629">
        <v>2020</v>
      </c>
      <c r="BLP361" s="630" t="s">
        <v>1870</v>
      </c>
      <c r="BLQ361" s="626"/>
      <c r="BLR361" s="627" t="s">
        <v>1669</v>
      </c>
      <c r="BLS361" s="628">
        <v>43831</v>
      </c>
      <c r="BLT361" s="628">
        <v>43862</v>
      </c>
      <c r="BLU361" s="628">
        <v>43891</v>
      </c>
      <c r="BLV361" s="628">
        <v>43922</v>
      </c>
      <c r="BLW361" s="628">
        <v>43952</v>
      </c>
      <c r="BLX361" s="628">
        <v>43983</v>
      </c>
      <c r="BLY361" s="628">
        <v>44013</v>
      </c>
      <c r="BLZ361" s="628">
        <v>44044</v>
      </c>
      <c r="BMA361" s="628">
        <v>44075</v>
      </c>
      <c r="BMB361" s="628">
        <v>44105</v>
      </c>
      <c r="BMC361" s="628">
        <v>44136</v>
      </c>
      <c r="BMD361" s="628">
        <v>44166</v>
      </c>
      <c r="BME361" s="629">
        <v>2020</v>
      </c>
      <c r="BMF361" s="630" t="s">
        <v>1870</v>
      </c>
      <c r="BMG361" s="626"/>
      <c r="BMH361" s="627" t="s">
        <v>1669</v>
      </c>
      <c r="BMI361" s="628">
        <v>43831</v>
      </c>
      <c r="BMJ361" s="628">
        <v>43862</v>
      </c>
      <c r="BMK361" s="628">
        <v>43891</v>
      </c>
      <c r="BML361" s="628">
        <v>43922</v>
      </c>
      <c r="BMM361" s="628">
        <v>43952</v>
      </c>
      <c r="BMN361" s="628">
        <v>43983</v>
      </c>
      <c r="BMO361" s="628">
        <v>44013</v>
      </c>
      <c r="BMP361" s="628">
        <v>44044</v>
      </c>
      <c r="BMQ361" s="628">
        <v>44075</v>
      </c>
      <c r="BMR361" s="628">
        <v>44105</v>
      </c>
      <c r="BMS361" s="628">
        <v>44136</v>
      </c>
      <c r="BMT361" s="628">
        <v>44166</v>
      </c>
      <c r="BMU361" s="629">
        <v>2020</v>
      </c>
      <c r="BMV361" s="630" t="s">
        <v>1870</v>
      </c>
      <c r="BMW361" s="626"/>
      <c r="BMX361" s="627" t="s">
        <v>1669</v>
      </c>
      <c r="BMY361" s="628">
        <v>43831</v>
      </c>
      <c r="BMZ361" s="628">
        <v>43862</v>
      </c>
      <c r="BNA361" s="628">
        <v>43891</v>
      </c>
      <c r="BNB361" s="628">
        <v>43922</v>
      </c>
      <c r="BNC361" s="628">
        <v>43952</v>
      </c>
      <c r="BND361" s="628">
        <v>43983</v>
      </c>
      <c r="BNE361" s="628">
        <v>44013</v>
      </c>
      <c r="BNF361" s="628">
        <v>44044</v>
      </c>
      <c r="BNG361" s="628">
        <v>44075</v>
      </c>
      <c r="BNH361" s="628">
        <v>44105</v>
      </c>
      <c r="BNI361" s="628">
        <v>44136</v>
      </c>
      <c r="BNJ361" s="628">
        <v>44166</v>
      </c>
      <c r="BNK361" s="629">
        <v>2020</v>
      </c>
      <c r="BNL361" s="630" t="s">
        <v>1870</v>
      </c>
      <c r="BNM361" s="626"/>
      <c r="BNN361" s="627" t="s">
        <v>1669</v>
      </c>
      <c r="BNO361" s="628">
        <v>43831</v>
      </c>
      <c r="BNP361" s="628">
        <v>43862</v>
      </c>
      <c r="BNQ361" s="628">
        <v>43891</v>
      </c>
      <c r="BNR361" s="628">
        <v>43922</v>
      </c>
      <c r="BNS361" s="628">
        <v>43952</v>
      </c>
      <c r="BNT361" s="628">
        <v>43983</v>
      </c>
      <c r="BNU361" s="628">
        <v>44013</v>
      </c>
      <c r="BNV361" s="628">
        <v>44044</v>
      </c>
      <c r="BNW361" s="628">
        <v>44075</v>
      </c>
      <c r="BNX361" s="628">
        <v>44105</v>
      </c>
      <c r="BNY361" s="628">
        <v>44136</v>
      </c>
      <c r="BNZ361" s="628">
        <v>44166</v>
      </c>
      <c r="BOA361" s="629">
        <v>2020</v>
      </c>
      <c r="BOB361" s="630" t="s">
        <v>1870</v>
      </c>
      <c r="BOC361" s="626"/>
      <c r="BOD361" s="627" t="s">
        <v>1669</v>
      </c>
      <c r="BOE361" s="628">
        <v>43831</v>
      </c>
      <c r="BOF361" s="628">
        <v>43862</v>
      </c>
      <c r="BOG361" s="628">
        <v>43891</v>
      </c>
      <c r="BOH361" s="628">
        <v>43922</v>
      </c>
      <c r="BOI361" s="628">
        <v>43952</v>
      </c>
      <c r="BOJ361" s="628">
        <v>43983</v>
      </c>
      <c r="BOK361" s="628">
        <v>44013</v>
      </c>
      <c r="BOL361" s="628">
        <v>44044</v>
      </c>
      <c r="BOM361" s="628">
        <v>44075</v>
      </c>
      <c r="BON361" s="628">
        <v>44105</v>
      </c>
      <c r="BOO361" s="628">
        <v>44136</v>
      </c>
      <c r="BOP361" s="628">
        <v>44166</v>
      </c>
      <c r="BOQ361" s="629">
        <v>2020</v>
      </c>
      <c r="BOR361" s="630" t="s">
        <v>1870</v>
      </c>
      <c r="BOS361" s="626"/>
      <c r="BOT361" s="627" t="s">
        <v>1669</v>
      </c>
      <c r="BOU361" s="628">
        <v>43831</v>
      </c>
      <c r="BOV361" s="628">
        <v>43862</v>
      </c>
      <c r="BOW361" s="628">
        <v>43891</v>
      </c>
      <c r="BOX361" s="628">
        <v>43922</v>
      </c>
      <c r="BOY361" s="628">
        <v>43952</v>
      </c>
      <c r="BOZ361" s="628">
        <v>43983</v>
      </c>
      <c r="BPA361" s="628">
        <v>44013</v>
      </c>
      <c r="BPB361" s="628">
        <v>44044</v>
      </c>
      <c r="BPC361" s="628">
        <v>44075</v>
      </c>
      <c r="BPD361" s="628">
        <v>44105</v>
      </c>
      <c r="BPE361" s="628">
        <v>44136</v>
      </c>
      <c r="BPF361" s="628">
        <v>44166</v>
      </c>
      <c r="BPG361" s="629">
        <v>2020</v>
      </c>
      <c r="BPH361" s="630" t="s">
        <v>1870</v>
      </c>
      <c r="BPI361" s="626"/>
      <c r="BPJ361" s="627" t="s">
        <v>1669</v>
      </c>
      <c r="BPK361" s="628">
        <v>43831</v>
      </c>
      <c r="BPL361" s="628">
        <v>43862</v>
      </c>
      <c r="BPM361" s="628">
        <v>43891</v>
      </c>
      <c r="BPN361" s="628">
        <v>43922</v>
      </c>
      <c r="BPO361" s="628">
        <v>43952</v>
      </c>
      <c r="BPP361" s="628">
        <v>43983</v>
      </c>
      <c r="BPQ361" s="628">
        <v>44013</v>
      </c>
      <c r="BPR361" s="628">
        <v>44044</v>
      </c>
      <c r="BPS361" s="628">
        <v>44075</v>
      </c>
      <c r="BPT361" s="628">
        <v>44105</v>
      </c>
      <c r="BPU361" s="628">
        <v>44136</v>
      </c>
      <c r="BPV361" s="628">
        <v>44166</v>
      </c>
      <c r="BPW361" s="629">
        <v>2020</v>
      </c>
      <c r="BPX361" s="630" t="s">
        <v>1870</v>
      </c>
      <c r="BPY361" s="626"/>
      <c r="BPZ361" s="627" t="s">
        <v>1669</v>
      </c>
      <c r="BQA361" s="628">
        <v>43831</v>
      </c>
      <c r="BQB361" s="628">
        <v>43862</v>
      </c>
      <c r="BQC361" s="628">
        <v>43891</v>
      </c>
      <c r="BQD361" s="628">
        <v>43922</v>
      </c>
      <c r="BQE361" s="628">
        <v>43952</v>
      </c>
      <c r="BQF361" s="628">
        <v>43983</v>
      </c>
      <c r="BQG361" s="628">
        <v>44013</v>
      </c>
      <c r="BQH361" s="628">
        <v>44044</v>
      </c>
      <c r="BQI361" s="628">
        <v>44075</v>
      </c>
      <c r="BQJ361" s="628">
        <v>44105</v>
      </c>
      <c r="BQK361" s="628">
        <v>44136</v>
      </c>
      <c r="BQL361" s="628">
        <v>44166</v>
      </c>
      <c r="BQM361" s="629">
        <v>2020</v>
      </c>
      <c r="BQN361" s="630" t="s">
        <v>1870</v>
      </c>
      <c r="BQO361" s="626"/>
      <c r="BQP361" s="627" t="s">
        <v>1669</v>
      </c>
      <c r="BQQ361" s="628">
        <v>43831</v>
      </c>
      <c r="BQR361" s="628">
        <v>43862</v>
      </c>
      <c r="BQS361" s="628">
        <v>43891</v>
      </c>
      <c r="BQT361" s="628">
        <v>43922</v>
      </c>
      <c r="BQU361" s="628">
        <v>43952</v>
      </c>
      <c r="BQV361" s="628">
        <v>43983</v>
      </c>
      <c r="BQW361" s="628">
        <v>44013</v>
      </c>
      <c r="BQX361" s="628">
        <v>44044</v>
      </c>
      <c r="BQY361" s="628">
        <v>44075</v>
      </c>
      <c r="BQZ361" s="628">
        <v>44105</v>
      </c>
      <c r="BRA361" s="628">
        <v>44136</v>
      </c>
      <c r="BRB361" s="628">
        <v>44166</v>
      </c>
      <c r="BRC361" s="629">
        <v>2020</v>
      </c>
      <c r="BRD361" s="630" t="s">
        <v>1870</v>
      </c>
      <c r="BRE361" s="626"/>
      <c r="BRF361" s="627" t="s">
        <v>1669</v>
      </c>
      <c r="BRG361" s="628">
        <v>43831</v>
      </c>
      <c r="BRH361" s="628">
        <v>43862</v>
      </c>
      <c r="BRI361" s="628">
        <v>43891</v>
      </c>
      <c r="BRJ361" s="628">
        <v>43922</v>
      </c>
      <c r="BRK361" s="628">
        <v>43952</v>
      </c>
      <c r="BRL361" s="628">
        <v>43983</v>
      </c>
      <c r="BRM361" s="628">
        <v>44013</v>
      </c>
      <c r="BRN361" s="628">
        <v>44044</v>
      </c>
      <c r="BRO361" s="628">
        <v>44075</v>
      </c>
      <c r="BRP361" s="628">
        <v>44105</v>
      </c>
      <c r="BRQ361" s="628">
        <v>44136</v>
      </c>
      <c r="BRR361" s="628">
        <v>44166</v>
      </c>
      <c r="BRS361" s="629">
        <v>2020</v>
      </c>
      <c r="BRT361" s="630" t="s">
        <v>1870</v>
      </c>
      <c r="BRU361" s="626"/>
      <c r="BRV361" s="627" t="s">
        <v>1669</v>
      </c>
      <c r="BRW361" s="628">
        <v>43831</v>
      </c>
      <c r="BRX361" s="628">
        <v>43862</v>
      </c>
      <c r="BRY361" s="628">
        <v>43891</v>
      </c>
      <c r="BRZ361" s="628">
        <v>43922</v>
      </c>
      <c r="BSA361" s="628">
        <v>43952</v>
      </c>
      <c r="BSB361" s="628">
        <v>43983</v>
      </c>
      <c r="BSC361" s="628">
        <v>44013</v>
      </c>
      <c r="BSD361" s="628">
        <v>44044</v>
      </c>
      <c r="BSE361" s="628">
        <v>44075</v>
      </c>
      <c r="BSF361" s="628">
        <v>44105</v>
      </c>
      <c r="BSG361" s="628">
        <v>44136</v>
      </c>
      <c r="BSH361" s="628">
        <v>44166</v>
      </c>
      <c r="BSI361" s="629">
        <v>2020</v>
      </c>
      <c r="BSJ361" s="630" t="s">
        <v>1870</v>
      </c>
      <c r="BSK361" s="626"/>
      <c r="BSL361" s="627" t="s">
        <v>1669</v>
      </c>
      <c r="BSM361" s="628">
        <v>43831</v>
      </c>
      <c r="BSN361" s="628">
        <v>43862</v>
      </c>
      <c r="BSO361" s="628">
        <v>43891</v>
      </c>
      <c r="BSP361" s="628">
        <v>43922</v>
      </c>
      <c r="BSQ361" s="628">
        <v>43952</v>
      </c>
      <c r="BSR361" s="628">
        <v>43983</v>
      </c>
      <c r="BSS361" s="628">
        <v>44013</v>
      </c>
      <c r="BST361" s="628">
        <v>44044</v>
      </c>
      <c r="BSU361" s="628">
        <v>44075</v>
      </c>
      <c r="BSV361" s="628">
        <v>44105</v>
      </c>
      <c r="BSW361" s="628">
        <v>44136</v>
      </c>
      <c r="BSX361" s="628">
        <v>44166</v>
      </c>
      <c r="BSY361" s="629">
        <v>2020</v>
      </c>
      <c r="BSZ361" s="630" t="s">
        <v>1870</v>
      </c>
      <c r="BTA361" s="626"/>
      <c r="BTB361" s="627" t="s">
        <v>1669</v>
      </c>
      <c r="BTC361" s="628">
        <v>43831</v>
      </c>
      <c r="BTD361" s="628">
        <v>43862</v>
      </c>
      <c r="BTE361" s="628">
        <v>43891</v>
      </c>
      <c r="BTF361" s="628">
        <v>43922</v>
      </c>
      <c r="BTG361" s="628">
        <v>43952</v>
      </c>
      <c r="BTH361" s="628">
        <v>43983</v>
      </c>
      <c r="BTI361" s="628">
        <v>44013</v>
      </c>
      <c r="BTJ361" s="628">
        <v>44044</v>
      </c>
      <c r="BTK361" s="628">
        <v>44075</v>
      </c>
      <c r="BTL361" s="628">
        <v>44105</v>
      </c>
      <c r="BTM361" s="628">
        <v>44136</v>
      </c>
      <c r="BTN361" s="628">
        <v>44166</v>
      </c>
      <c r="BTO361" s="629">
        <v>2020</v>
      </c>
      <c r="BTP361" s="630" t="s">
        <v>1870</v>
      </c>
      <c r="BTQ361" s="626"/>
      <c r="BTR361" s="627" t="s">
        <v>1669</v>
      </c>
      <c r="BTS361" s="628">
        <v>43831</v>
      </c>
      <c r="BTT361" s="628">
        <v>43862</v>
      </c>
      <c r="BTU361" s="628">
        <v>43891</v>
      </c>
      <c r="BTV361" s="628">
        <v>43922</v>
      </c>
      <c r="BTW361" s="628">
        <v>43952</v>
      </c>
      <c r="BTX361" s="628">
        <v>43983</v>
      </c>
      <c r="BTY361" s="628">
        <v>44013</v>
      </c>
      <c r="BTZ361" s="628">
        <v>44044</v>
      </c>
      <c r="BUA361" s="628">
        <v>44075</v>
      </c>
      <c r="BUB361" s="628">
        <v>44105</v>
      </c>
      <c r="BUC361" s="628">
        <v>44136</v>
      </c>
      <c r="BUD361" s="628">
        <v>44166</v>
      </c>
      <c r="BUE361" s="629">
        <v>2020</v>
      </c>
      <c r="BUF361" s="630" t="s">
        <v>1870</v>
      </c>
      <c r="BUG361" s="626"/>
      <c r="BUH361" s="627" t="s">
        <v>1669</v>
      </c>
      <c r="BUI361" s="628">
        <v>43831</v>
      </c>
      <c r="BUJ361" s="628">
        <v>43862</v>
      </c>
      <c r="BUK361" s="628">
        <v>43891</v>
      </c>
      <c r="BUL361" s="628">
        <v>43922</v>
      </c>
      <c r="BUM361" s="628">
        <v>43952</v>
      </c>
      <c r="BUN361" s="628">
        <v>43983</v>
      </c>
      <c r="BUO361" s="628">
        <v>44013</v>
      </c>
      <c r="BUP361" s="628">
        <v>44044</v>
      </c>
      <c r="BUQ361" s="628">
        <v>44075</v>
      </c>
      <c r="BUR361" s="628">
        <v>44105</v>
      </c>
      <c r="BUS361" s="628">
        <v>44136</v>
      </c>
      <c r="BUT361" s="628">
        <v>44166</v>
      </c>
      <c r="BUU361" s="629">
        <v>2020</v>
      </c>
      <c r="BUV361" s="630" t="s">
        <v>1870</v>
      </c>
      <c r="BUW361" s="626"/>
      <c r="BUX361" s="627" t="s">
        <v>1669</v>
      </c>
      <c r="BUY361" s="628">
        <v>43831</v>
      </c>
      <c r="BUZ361" s="628">
        <v>43862</v>
      </c>
      <c r="BVA361" s="628">
        <v>43891</v>
      </c>
      <c r="BVB361" s="628">
        <v>43922</v>
      </c>
      <c r="BVC361" s="628">
        <v>43952</v>
      </c>
      <c r="BVD361" s="628">
        <v>43983</v>
      </c>
      <c r="BVE361" s="628">
        <v>44013</v>
      </c>
      <c r="BVF361" s="628">
        <v>44044</v>
      </c>
      <c r="BVG361" s="628">
        <v>44075</v>
      </c>
      <c r="BVH361" s="628">
        <v>44105</v>
      </c>
      <c r="BVI361" s="628">
        <v>44136</v>
      </c>
      <c r="BVJ361" s="628">
        <v>44166</v>
      </c>
      <c r="BVK361" s="629">
        <v>2020</v>
      </c>
      <c r="BVL361" s="630" t="s">
        <v>1870</v>
      </c>
      <c r="BVM361" s="626"/>
      <c r="BVN361" s="627" t="s">
        <v>1669</v>
      </c>
      <c r="BVO361" s="628">
        <v>43831</v>
      </c>
      <c r="BVP361" s="628">
        <v>43862</v>
      </c>
      <c r="BVQ361" s="628">
        <v>43891</v>
      </c>
      <c r="BVR361" s="628">
        <v>43922</v>
      </c>
      <c r="BVS361" s="628">
        <v>43952</v>
      </c>
      <c r="BVT361" s="628">
        <v>43983</v>
      </c>
      <c r="BVU361" s="628">
        <v>44013</v>
      </c>
      <c r="BVV361" s="628">
        <v>44044</v>
      </c>
      <c r="BVW361" s="628">
        <v>44075</v>
      </c>
      <c r="BVX361" s="628">
        <v>44105</v>
      </c>
      <c r="BVY361" s="628">
        <v>44136</v>
      </c>
      <c r="BVZ361" s="628">
        <v>44166</v>
      </c>
      <c r="BWA361" s="629">
        <v>2020</v>
      </c>
      <c r="BWB361" s="630" t="s">
        <v>1870</v>
      </c>
      <c r="BWC361" s="626"/>
      <c r="BWD361" s="627" t="s">
        <v>1669</v>
      </c>
      <c r="BWE361" s="628">
        <v>43831</v>
      </c>
      <c r="BWF361" s="628">
        <v>43862</v>
      </c>
      <c r="BWG361" s="628">
        <v>43891</v>
      </c>
      <c r="BWH361" s="628">
        <v>43922</v>
      </c>
      <c r="BWI361" s="628">
        <v>43952</v>
      </c>
      <c r="BWJ361" s="628">
        <v>43983</v>
      </c>
      <c r="BWK361" s="628">
        <v>44013</v>
      </c>
      <c r="BWL361" s="628">
        <v>44044</v>
      </c>
      <c r="BWM361" s="628">
        <v>44075</v>
      </c>
      <c r="BWN361" s="628">
        <v>44105</v>
      </c>
      <c r="BWO361" s="628">
        <v>44136</v>
      </c>
      <c r="BWP361" s="628">
        <v>44166</v>
      </c>
      <c r="BWQ361" s="629">
        <v>2020</v>
      </c>
      <c r="BWR361" s="630" t="s">
        <v>1870</v>
      </c>
      <c r="BWS361" s="626"/>
      <c r="BWT361" s="627" t="s">
        <v>1669</v>
      </c>
      <c r="BWU361" s="628">
        <v>43831</v>
      </c>
      <c r="BWV361" s="628">
        <v>43862</v>
      </c>
      <c r="BWW361" s="628">
        <v>43891</v>
      </c>
      <c r="BWX361" s="628">
        <v>43922</v>
      </c>
      <c r="BWY361" s="628">
        <v>43952</v>
      </c>
      <c r="BWZ361" s="628">
        <v>43983</v>
      </c>
      <c r="BXA361" s="628">
        <v>44013</v>
      </c>
      <c r="BXB361" s="628">
        <v>44044</v>
      </c>
      <c r="BXC361" s="628">
        <v>44075</v>
      </c>
      <c r="BXD361" s="628">
        <v>44105</v>
      </c>
      <c r="BXE361" s="628">
        <v>44136</v>
      </c>
      <c r="BXF361" s="628">
        <v>44166</v>
      </c>
      <c r="BXG361" s="629">
        <v>2020</v>
      </c>
      <c r="BXH361" s="630" t="s">
        <v>1870</v>
      </c>
      <c r="BXI361" s="626"/>
      <c r="BXJ361" s="627" t="s">
        <v>1669</v>
      </c>
      <c r="BXK361" s="628">
        <v>43831</v>
      </c>
      <c r="BXL361" s="628">
        <v>43862</v>
      </c>
      <c r="BXM361" s="628">
        <v>43891</v>
      </c>
      <c r="BXN361" s="628">
        <v>43922</v>
      </c>
      <c r="BXO361" s="628">
        <v>43952</v>
      </c>
      <c r="BXP361" s="628">
        <v>43983</v>
      </c>
      <c r="BXQ361" s="628">
        <v>44013</v>
      </c>
      <c r="BXR361" s="628">
        <v>44044</v>
      </c>
      <c r="BXS361" s="628">
        <v>44075</v>
      </c>
      <c r="BXT361" s="628">
        <v>44105</v>
      </c>
      <c r="BXU361" s="628">
        <v>44136</v>
      </c>
      <c r="BXV361" s="628">
        <v>44166</v>
      </c>
      <c r="BXW361" s="629">
        <v>2020</v>
      </c>
      <c r="BXX361" s="630" t="s">
        <v>1870</v>
      </c>
      <c r="BXY361" s="626"/>
      <c r="BXZ361" s="627" t="s">
        <v>1669</v>
      </c>
      <c r="BYA361" s="628">
        <v>43831</v>
      </c>
      <c r="BYB361" s="628">
        <v>43862</v>
      </c>
      <c r="BYC361" s="628">
        <v>43891</v>
      </c>
      <c r="BYD361" s="628">
        <v>43922</v>
      </c>
      <c r="BYE361" s="628">
        <v>43952</v>
      </c>
      <c r="BYF361" s="628">
        <v>43983</v>
      </c>
      <c r="BYG361" s="628">
        <v>44013</v>
      </c>
      <c r="BYH361" s="628">
        <v>44044</v>
      </c>
      <c r="BYI361" s="628">
        <v>44075</v>
      </c>
      <c r="BYJ361" s="628">
        <v>44105</v>
      </c>
      <c r="BYK361" s="628">
        <v>44136</v>
      </c>
      <c r="BYL361" s="628">
        <v>44166</v>
      </c>
      <c r="BYM361" s="629">
        <v>2020</v>
      </c>
      <c r="BYN361" s="630" t="s">
        <v>1870</v>
      </c>
      <c r="BYO361" s="626"/>
      <c r="BYP361" s="627" t="s">
        <v>1669</v>
      </c>
      <c r="BYQ361" s="628">
        <v>43831</v>
      </c>
      <c r="BYR361" s="628">
        <v>43862</v>
      </c>
      <c r="BYS361" s="628">
        <v>43891</v>
      </c>
      <c r="BYT361" s="628">
        <v>43922</v>
      </c>
      <c r="BYU361" s="628">
        <v>43952</v>
      </c>
      <c r="BYV361" s="628">
        <v>43983</v>
      </c>
      <c r="BYW361" s="628">
        <v>44013</v>
      </c>
      <c r="BYX361" s="628">
        <v>44044</v>
      </c>
      <c r="BYY361" s="628">
        <v>44075</v>
      </c>
      <c r="BYZ361" s="628">
        <v>44105</v>
      </c>
      <c r="BZA361" s="628">
        <v>44136</v>
      </c>
      <c r="BZB361" s="628">
        <v>44166</v>
      </c>
      <c r="BZC361" s="629">
        <v>2020</v>
      </c>
      <c r="BZD361" s="630" t="s">
        <v>1870</v>
      </c>
      <c r="BZE361" s="626"/>
      <c r="BZF361" s="627" t="s">
        <v>1669</v>
      </c>
      <c r="BZG361" s="628">
        <v>43831</v>
      </c>
      <c r="BZH361" s="628">
        <v>43862</v>
      </c>
      <c r="BZI361" s="628">
        <v>43891</v>
      </c>
      <c r="BZJ361" s="628">
        <v>43922</v>
      </c>
      <c r="BZK361" s="628">
        <v>43952</v>
      </c>
      <c r="BZL361" s="628">
        <v>43983</v>
      </c>
      <c r="BZM361" s="628">
        <v>44013</v>
      </c>
      <c r="BZN361" s="628">
        <v>44044</v>
      </c>
      <c r="BZO361" s="628">
        <v>44075</v>
      </c>
      <c r="BZP361" s="628">
        <v>44105</v>
      </c>
      <c r="BZQ361" s="628">
        <v>44136</v>
      </c>
      <c r="BZR361" s="628">
        <v>44166</v>
      </c>
      <c r="BZS361" s="629">
        <v>2020</v>
      </c>
      <c r="BZT361" s="630" t="s">
        <v>1870</v>
      </c>
      <c r="BZU361" s="626"/>
      <c r="BZV361" s="627" t="s">
        <v>1669</v>
      </c>
      <c r="BZW361" s="628">
        <v>43831</v>
      </c>
      <c r="BZX361" s="628">
        <v>43862</v>
      </c>
      <c r="BZY361" s="628">
        <v>43891</v>
      </c>
      <c r="BZZ361" s="628">
        <v>43922</v>
      </c>
      <c r="CAA361" s="628">
        <v>43952</v>
      </c>
      <c r="CAB361" s="628">
        <v>43983</v>
      </c>
      <c r="CAC361" s="628">
        <v>44013</v>
      </c>
      <c r="CAD361" s="628">
        <v>44044</v>
      </c>
      <c r="CAE361" s="628">
        <v>44075</v>
      </c>
      <c r="CAF361" s="628">
        <v>44105</v>
      </c>
      <c r="CAG361" s="628">
        <v>44136</v>
      </c>
      <c r="CAH361" s="628">
        <v>44166</v>
      </c>
      <c r="CAI361" s="629">
        <v>2020</v>
      </c>
      <c r="CAJ361" s="630" t="s">
        <v>1870</v>
      </c>
      <c r="CAK361" s="626"/>
      <c r="CAL361" s="627" t="s">
        <v>1669</v>
      </c>
      <c r="CAM361" s="628">
        <v>43831</v>
      </c>
      <c r="CAN361" s="628">
        <v>43862</v>
      </c>
      <c r="CAO361" s="628">
        <v>43891</v>
      </c>
      <c r="CAP361" s="628">
        <v>43922</v>
      </c>
      <c r="CAQ361" s="628">
        <v>43952</v>
      </c>
      <c r="CAR361" s="628">
        <v>43983</v>
      </c>
      <c r="CAS361" s="628">
        <v>44013</v>
      </c>
      <c r="CAT361" s="628">
        <v>44044</v>
      </c>
      <c r="CAU361" s="628">
        <v>44075</v>
      </c>
      <c r="CAV361" s="628">
        <v>44105</v>
      </c>
      <c r="CAW361" s="628">
        <v>44136</v>
      </c>
      <c r="CAX361" s="628">
        <v>44166</v>
      </c>
      <c r="CAY361" s="629">
        <v>2020</v>
      </c>
      <c r="CAZ361" s="630" t="s">
        <v>1870</v>
      </c>
      <c r="CBA361" s="626"/>
      <c r="CBB361" s="627" t="s">
        <v>1669</v>
      </c>
      <c r="CBC361" s="628">
        <v>43831</v>
      </c>
      <c r="CBD361" s="628">
        <v>43862</v>
      </c>
      <c r="CBE361" s="628">
        <v>43891</v>
      </c>
      <c r="CBF361" s="628">
        <v>43922</v>
      </c>
      <c r="CBG361" s="628">
        <v>43952</v>
      </c>
      <c r="CBH361" s="628">
        <v>43983</v>
      </c>
      <c r="CBI361" s="628">
        <v>44013</v>
      </c>
      <c r="CBJ361" s="628">
        <v>44044</v>
      </c>
      <c r="CBK361" s="628">
        <v>44075</v>
      </c>
      <c r="CBL361" s="628">
        <v>44105</v>
      </c>
      <c r="CBM361" s="628">
        <v>44136</v>
      </c>
      <c r="CBN361" s="628">
        <v>44166</v>
      </c>
      <c r="CBO361" s="629">
        <v>2020</v>
      </c>
      <c r="CBP361" s="630" t="s">
        <v>1870</v>
      </c>
      <c r="CBQ361" s="626"/>
      <c r="CBR361" s="627" t="s">
        <v>1669</v>
      </c>
      <c r="CBS361" s="628">
        <v>43831</v>
      </c>
      <c r="CBT361" s="628">
        <v>43862</v>
      </c>
      <c r="CBU361" s="628">
        <v>43891</v>
      </c>
      <c r="CBV361" s="628">
        <v>43922</v>
      </c>
      <c r="CBW361" s="628">
        <v>43952</v>
      </c>
      <c r="CBX361" s="628">
        <v>43983</v>
      </c>
      <c r="CBY361" s="628">
        <v>44013</v>
      </c>
      <c r="CBZ361" s="628">
        <v>44044</v>
      </c>
      <c r="CCA361" s="628">
        <v>44075</v>
      </c>
      <c r="CCB361" s="628">
        <v>44105</v>
      </c>
      <c r="CCC361" s="628">
        <v>44136</v>
      </c>
      <c r="CCD361" s="628">
        <v>44166</v>
      </c>
      <c r="CCE361" s="629">
        <v>2020</v>
      </c>
      <c r="CCF361" s="630" t="s">
        <v>1870</v>
      </c>
      <c r="CCG361" s="626"/>
      <c r="CCH361" s="627" t="s">
        <v>1669</v>
      </c>
      <c r="CCI361" s="628">
        <v>43831</v>
      </c>
      <c r="CCJ361" s="628">
        <v>43862</v>
      </c>
      <c r="CCK361" s="628">
        <v>43891</v>
      </c>
      <c r="CCL361" s="628">
        <v>43922</v>
      </c>
      <c r="CCM361" s="628">
        <v>43952</v>
      </c>
      <c r="CCN361" s="628">
        <v>43983</v>
      </c>
      <c r="CCO361" s="628">
        <v>44013</v>
      </c>
      <c r="CCP361" s="628">
        <v>44044</v>
      </c>
      <c r="CCQ361" s="628">
        <v>44075</v>
      </c>
      <c r="CCR361" s="628">
        <v>44105</v>
      </c>
      <c r="CCS361" s="628">
        <v>44136</v>
      </c>
      <c r="CCT361" s="628">
        <v>44166</v>
      </c>
      <c r="CCU361" s="629">
        <v>2020</v>
      </c>
      <c r="CCV361" s="630" t="s">
        <v>1870</v>
      </c>
      <c r="CCW361" s="626"/>
      <c r="CCX361" s="627" t="s">
        <v>1669</v>
      </c>
      <c r="CCY361" s="628">
        <v>43831</v>
      </c>
      <c r="CCZ361" s="628">
        <v>43862</v>
      </c>
      <c r="CDA361" s="628">
        <v>43891</v>
      </c>
      <c r="CDB361" s="628">
        <v>43922</v>
      </c>
      <c r="CDC361" s="628">
        <v>43952</v>
      </c>
      <c r="CDD361" s="628">
        <v>43983</v>
      </c>
      <c r="CDE361" s="628">
        <v>44013</v>
      </c>
      <c r="CDF361" s="628">
        <v>44044</v>
      </c>
      <c r="CDG361" s="628">
        <v>44075</v>
      </c>
      <c r="CDH361" s="628">
        <v>44105</v>
      </c>
      <c r="CDI361" s="628">
        <v>44136</v>
      </c>
      <c r="CDJ361" s="628">
        <v>44166</v>
      </c>
      <c r="CDK361" s="629">
        <v>2020</v>
      </c>
      <c r="CDL361" s="630" t="s">
        <v>1870</v>
      </c>
      <c r="CDM361" s="626"/>
      <c r="CDN361" s="627" t="s">
        <v>1669</v>
      </c>
      <c r="CDO361" s="628">
        <v>43831</v>
      </c>
      <c r="CDP361" s="628">
        <v>43862</v>
      </c>
      <c r="CDQ361" s="628">
        <v>43891</v>
      </c>
      <c r="CDR361" s="628">
        <v>43922</v>
      </c>
      <c r="CDS361" s="628">
        <v>43952</v>
      </c>
      <c r="CDT361" s="628">
        <v>43983</v>
      </c>
      <c r="CDU361" s="628">
        <v>44013</v>
      </c>
      <c r="CDV361" s="628">
        <v>44044</v>
      </c>
      <c r="CDW361" s="628">
        <v>44075</v>
      </c>
      <c r="CDX361" s="628">
        <v>44105</v>
      </c>
      <c r="CDY361" s="628">
        <v>44136</v>
      </c>
      <c r="CDZ361" s="628">
        <v>44166</v>
      </c>
      <c r="CEA361" s="629">
        <v>2020</v>
      </c>
      <c r="CEB361" s="630" t="s">
        <v>1870</v>
      </c>
      <c r="CEC361" s="626"/>
      <c r="CED361" s="627" t="s">
        <v>1669</v>
      </c>
      <c r="CEE361" s="628">
        <v>43831</v>
      </c>
      <c r="CEF361" s="628">
        <v>43862</v>
      </c>
      <c r="CEG361" s="628">
        <v>43891</v>
      </c>
      <c r="CEH361" s="628">
        <v>43922</v>
      </c>
      <c r="CEI361" s="628">
        <v>43952</v>
      </c>
      <c r="CEJ361" s="628">
        <v>43983</v>
      </c>
      <c r="CEK361" s="628">
        <v>44013</v>
      </c>
      <c r="CEL361" s="628">
        <v>44044</v>
      </c>
      <c r="CEM361" s="628">
        <v>44075</v>
      </c>
      <c r="CEN361" s="628">
        <v>44105</v>
      </c>
      <c r="CEO361" s="628">
        <v>44136</v>
      </c>
      <c r="CEP361" s="628">
        <v>44166</v>
      </c>
      <c r="CEQ361" s="629">
        <v>2020</v>
      </c>
      <c r="CER361" s="630" t="s">
        <v>1870</v>
      </c>
      <c r="CES361" s="626"/>
      <c r="CET361" s="627" t="s">
        <v>1669</v>
      </c>
      <c r="CEU361" s="628">
        <v>43831</v>
      </c>
      <c r="CEV361" s="628">
        <v>43862</v>
      </c>
      <c r="CEW361" s="628">
        <v>43891</v>
      </c>
      <c r="CEX361" s="628">
        <v>43922</v>
      </c>
      <c r="CEY361" s="628">
        <v>43952</v>
      </c>
      <c r="CEZ361" s="628">
        <v>43983</v>
      </c>
      <c r="CFA361" s="628">
        <v>44013</v>
      </c>
      <c r="CFB361" s="628">
        <v>44044</v>
      </c>
      <c r="CFC361" s="628">
        <v>44075</v>
      </c>
      <c r="CFD361" s="628">
        <v>44105</v>
      </c>
      <c r="CFE361" s="628">
        <v>44136</v>
      </c>
      <c r="CFF361" s="628">
        <v>44166</v>
      </c>
      <c r="CFG361" s="629">
        <v>2020</v>
      </c>
      <c r="CFH361" s="630" t="s">
        <v>1870</v>
      </c>
      <c r="CFI361" s="626"/>
      <c r="CFJ361" s="627" t="s">
        <v>1669</v>
      </c>
      <c r="CFK361" s="628">
        <v>43831</v>
      </c>
      <c r="CFL361" s="628">
        <v>43862</v>
      </c>
      <c r="CFM361" s="628">
        <v>43891</v>
      </c>
      <c r="CFN361" s="628">
        <v>43922</v>
      </c>
      <c r="CFO361" s="628">
        <v>43952</v>
      </c>
      <c r="CFP361" s="628">
        <v>43983</v>
      </c>
      <c r="CFQ361" s="628">
        <v>44013</v>
      </c>
      <c r="CFR361" s="628">
        <v>44044</v>
      </c>
      <c r="CFS361" s="628">
        <v>44075</v>
      </c>
      <c r="CFT361" s="628">
        <v>44105</v>
      </c>
      <c r="CFU361" s="628">
        <v>44136</v>
      </c>
      <c r="CFV361" s="628">
        <v>44166</v>
      </c>
      <c r="CFW361" s="629">
        <v>2020</v>
      </c>
      <c r="CFX361" s="630" t="s">
        <v>1870</v>
      </c>
      <c r="CFY361" s="626"/>
      <c r="CFZ361" s="627" t="s">
        <v>1669</v>
      </c>
      <c r="CGA361" s="628">
        <v>43831</v>
      </c>
      <c r="CGB361" s="628">
        <v>43862</v>
      </c>
      <c r="CGC361" s="628">
        <v>43891</v>
      </c>
      <c r="CGD361" s="628">
        <v>43922</v>
      </c>
      <c r="CGE361" s="628">
        <v>43952</v>
      </c>
      <c r="CGF361" s="628">
        <v>43983</v>
      </c>
      <c r="CGG361" s="628">
        <v>44013</v>
      </c>
      <c r="CGH361" s="628">
        <v>44044</v>
      </c>
      <c r="CGI361" s="628">
        <v>44075</v>
      </c>
      <c r="CGJ361" s="628">
        <v>44105</v>
      </c>
      <c r="CGK361" s="628">
        <v>44136</v>
      </c>
      <c r="CGL361" s="628">
        <v>44166</v>
      </c>
      <c r="CGM361" s="629">
        <v>2020</v>
      </c>
      <c r="CGN361" s="630" t="s">
        <v>1870</v>
      </c>
      <c r="CGO361" s="626"/>
      <c r="CGP361" s="627" t="s">
        <v>1669</v>
      </c>
      <c r="CGQ361" s="628">
        <v>43831</v>
      </c>
      <c r="CGR361" s="628">
        <v>43862</v>
      </c>
      <c r="CGS361" s="628">
        <v>43891</v>
      </c>
      <c r="CGT361" s="628">
        <v>43922</v>
      </c>
      <c r="CGU361" s="628">
        <v>43952</v>
      </c>
      <c r="CGV361" s="628">
        <v>43983</v>
      </c>
      <c r="CGW361" s="628">
        <v>44013</v>
      </c>
      <c r="CGX361" s="628">
        <v>44044</v>
      </c>
      <c r="CGY361" s="628">
        <v>44075</v>
      </c>
      <c r="CGZ361" s="628">
        <v>44105</v>
      </c>
      <c r="CHA361" s="628">
        <v>44136</v>
      </c>
      <c r="CHB361" s="628">
        <v>44166</v>
      </c>
      <c r="CHC361" s="629">
        <v>2020</v>
      </c>
      <c r="CHD361" s="630" t="s">
        <v>1870</v>
      </c>
      <c r="CHE361" s="626"/>
      <c r="CHF361" s="627" t="s">
        <v>1669</v>
      </c>
      <c r="CHG361" s="628">
        <v>43831</v>
      </c>
      <c r="CHH361" s="628">
        <v>43862</v>
      </c>
      <c r="CHI361" s="628">
        <v>43891</v>
      </c>
      <c r="CHJ361" s="628">
        <v>43922</v>
      </c>
      <c r="CHK361" s="628">
        <v>43952</v>
      </c>
      <c r="CHL361" s="628">
        <v>43983</v>
      </c>
      <c r="CHM361" s="628">
        <v>44013</v>
      </c>
      <c r="CHN361" s="628">
        <v>44044</v>
      </c>
      <c r="CHO361" s="628">
        <v>44075</v>
      </c>
      <c r="CHP361" s="628">
        <v>44105</v>
      </c>
      <c r="CHQ361" s="628">
        <v>44136</v>
      </c>
      <c r="CHR361" s="628">
        <v>44166</v>
      </c>
      <c r="CHS361" s="629">
        <v>2020</v>
      </c>
      <c r="CHT361" s="630" t="s">
        <v>1870</v>
      </c>
      <c r="CHU361" s="626"/>
      <c r="CHV361" s="627" t="s">
        <v>1669</v>
      </c>
      <c r="CHW361" s="628">
        <v>43831</v>
      </c>
      <c r="CHX361" s="628">
        <v>43862</v>
      </c>
      <c r="CHY361" s="628">
        <v>43891</v>
      </c>
      <c r="CHZ361" s="628">
        <v>43922</v>
      </c>
      <c r="CIA361" s="628">
        <v>43952</v>
      </c>
      <c r="CIB361" s="628">
        <v>43983</v>
      </c>
      <c r="CIC361" s="628">
        <v>44013</v>
      </c>
      <c r="CID361" s="628">
        <v>44044</v>
      </c>
      <c r="CIE361" s="628">
        <v>44075</v>
      </c>
      <c r="CIF361" s="628">
        <v>44105</v>
      </c>
      <c r="CIG361" s="628">
        <v>44136</v>
      </c>
      <c r="CIH361" s="628">
        <v>44166</v>
      </c>
      <c r="CII361" s="629">
        <v>2020</v>
      </c>
      <c r="CIJ361" s="630" t="s">
        <v>1870</v>
      </c>
      <c r="CIK361" s="626"/>
      <c r="CIL361" s="627" t="s">
        <v>1669</v>
      </c>
      <c r="CIM361" s="628">
        <v>43831</v>
      </c>
      <c r="CIN361" s="628">
        <v>43862</v>
      </c>
      <c r="CIO361" s="628">
        <v>43891</v>
      </c>
      <c r="CIP361" s="628">
        <v>43922</v>
      </c>
      <c r="CIQ361" s="628">
        <v>43952</v>
      </c>
      <c r="CIR361" s="628">
        <v>43983</v>
      </c>
      <c r="CIS361" s="628">
        <v>44013</v>
      </c>
      <c r="CIT361" s="628">
        <v>44044</v>
      </c>
      <c r="CIU361" s="628">
        <v>44075</v>
      </c>
      <c r="CIV361" s="628">
        <v>44105</v>
      </c>
      <c r="CIW361" s="628">
        <v>44136</v>
      </c>
      <c r="CIX361" s="628">
        <v>44166</v>
      </c>
      <c r="CIY361" s="629">
        <v>2020</v>
      </c>
      <c r="CIZ361" s="630" t="s">
        <v>1870</v>
      </c>
      <c r="CJA361" s="626"/>
      <c r="CJB361" s="627" t="s">
        <v>1669</v>
      </c>
      <c r="CJC361" s="628">
        <v>43831</v>
      </c>
      <c r="CJD361" s="628">
        <v>43862</v>
      </c>
      <c r="CJE361" s="628">
        <v>43891</v>
      </c>
      <c r="CJF361" s="628">
        <v>43922</v>
      </c>
      <c r="CJG361" s="628">
        <v>43952</v>
      </c>
      <c r="CJH361" s="628">
        <v>43983</v>
      </c>
      <c r="CJI361" s="628">
        <v>44013</v>
      </c>
      <c r="CJJ361" s="628">
        <v>44044</v>
      </c>
      <c r="CJK361" s="628">
        <v>44075</v>
      </c>
      <c r="CJL361" s="628">
        <v>44105</v>
      </c>
      <c r="CJM361" s="628">
        <v>44136</v>
      </c>
      <c r="CJN361" s="628">
        <v>44166</v>
      </c>
      <c r="CJO361" s="629">
        <v>2020</v>
      </c>
      <c r="CJP361" s="630" t="s">
        <v>1870</v>
      </c>
      <c r="CJQ361" s="626"/>
      <c r="CJR361" s="627" t="s">
        <v>1669</v>
      </c>
      <c r="CJS361" s="628">
        <v>43831</v>
      </c>
      <c r="CJT361" s="628">
        <v>43862</v>
      </c>
      <c r="CJU361" s="628">
        <v>43891</v>
      </c>
      <c r="CJV361" s="628">
        <v>43922</v>
      </c>
      <c r="CJW361" s="628">
        <v>43952</v>
      </c>
      <c r="CJX361" s="628">
        <v>43983</v>
      </c>
      <c r="CJY361" s="628">
        <v>44013</v>
      </c>
      <c r="CJZ361" s="628">
        <v>44044</v>
      </c>
      <c r="CKA361" s="628">
        <v>44075</v>
      </c>
      <c r="CKB361" s="628">
        <v>44105</v>
      </c>
      <c r="CKC361" s="628">
        <v>44136</v>
      </c>
      <c r="CKD361" s="628">
        <v>44166</v>
      </c>
      <c r="CKE361" s="629">
        <v>2020</v>
      </c>
      <c r="CKF361" s="630" t="s">
        <v>1870</v>
      </c>
      <c r="CKG361" s="626"/>
      <c r="CKH361" s="627" t="s">
        <v>1669</v>
      </c>
      <c r="CKI361" s="628">
        <v>43831</v>
      </c>
      <c r="CKJ361" s="628">
        <v>43862</v>
      </c>
      <c r="CKK361" s="628">
        <v>43891</v>
      </c>
      <c r="CKL361" s="628">
        <v>43922</v>
      </c>
      <c r="CKM361" s="628">
        <v>43952</v>
      </c>
      <c r="CKN361" s="628">
        <v>43983</v>
      </c>
      <c r="CKO361" s="628">
        <v>44013</v>
      </c>
      <c r="CKP361" s="628">
        <v>44044</v>
      </c>
      <c r="CKQ361" s="628">
        <v>44075</v>
      </c>
      <c r="CKR361" s="628">
        <v>44105</v>
      </c>
      <c r="CKS361" s="628">
        <v>44136</v>
      </c>
      <c r="CKT361" s="628">
        <v>44166</v>
      </c>
      <c r="CKU361" s="629">
        <v>2020</v>
      </c>
      <c r="CKV361" s="630" t="s">
        <v>1870</v>
      </c>
      <c r="CKW361" s="626"/>
      <c r="CKX361" s="627" t="s">
        <v>1669</v>
      </c>
      <c r="CKY361" s="628">
        <v>43831</v>
      </c>
      <c r="CKZ361" s="628">
        <v>43862</v>
      </c>
      <c r="CLA361" s="628">
        <v>43891</v>
      </c>
      <c r="CLB361" s="628">
        <v>43922</v>
      </c>
      <c r="CLC361" s="628">
        <v>43952</v>
      </c>
      <c r="CLD361" s="628">
        <v>43983</v>
      </c>
      <c r="CLE361" s="628">
        <v>44013</v>
      </c>
      <c r="CLF361" s="628">
        <v>44044</v>
      </c>
      <c r="CLG361" s="628">
        <v>44075</v>
      </c>
      <c r="CLH361" s="628">
        <v>44105</v>
      </c>
      <c r="CLI361" s="628">
        <v>44136</v>
      </c>
      <c r="CLJ361" s="628">
        <v>44166</v>
      </c>
      <c r="CLK361" s="629">
        <v>2020</v>
      </c>
      <c r="CLL361" s="630" t="s">
        <v>1870</v>
      </c>
      <c r="CLM361" s="626"/>
      <c r="CLN361" s="627" t="s">
        <v>1669</v>
      </c>
      <c r="CLO361" s="628">
        <v>43831</v>
      </c>
      <c r="CLP361" s="628">
        <v>43862</v>
      </c>
      <c r="CLQ361" s="628">
        <v>43891</v>
      </c>
      <c r="CLR361" s="628">
        <v>43922</v>
      </c>
      <c r="CLS361" s="628">
        <v>43952</v>
      </c>
      <c r="CLT361" s="628">
        <v>43983</v>
      </c>
      <c r="CLU361" s="628">
        <v>44013</v>
      </c>
      <c r="CLV361" s="628">
        <v>44044</v>
      </c>
      <c r="CLW361" s="628">
        <v>44075</v>
      </c>
      <c r="CLX361" s="628">
        <v>44105</v>
      </c>
      <c r="CLY361" s="628">
        <v>44136</v>
      </c>
      <c r="CLZ361" s="628">
        <v>44166</v>
      </c>
      <c r="CMA361" s="629">
        <v>2020</v>
      </c>
      <c r="CMB361" s="630" t="s">
        <v>1870</v>
      </c>
      <c r="CMC361" s="626"/>
      <c r="CMD361" s="627" t="s">
        <v>1669</v>
      </c>
      <c r="CME361" s="628">
        <v>43831</v>
      </c>
      <c r="CMF361" s="628">
        <v>43862</v>
      </c>
      <c r="CMG361" s="628">
        <v>43891</v>
      </c>
      <c r="CMH361" s="628">
        <v>43922</v>
      </c>
      <c r="CMI361" s="628">
        <v>43952</v>
      </c>
      <c r="CMJ361" s="628">
        <v>43983</v>
      </c>
      <c r="CMK361" s="628">
        <v>44013</v>
      </c>
      <c r="CML361" s="628">
        <v>44044</v>
      </c>
      <c r="CMM361" s="628">
        <v>44075</v>
      </c>
      <c r="CMN361" s="628">
        <v>44105</v>
      </c>
      <c r="CMO361" s="628">
        <v>44136</v>
      </c>
      <c r="CMP361" s="628">
        <v>44166</v>
      </c>
      <c r="CMQ361" s="629">
        <v>2020</v>
      </c>
      <c r="CMR361" s="630" t="s">
        <v>1870</v>
      </c>
      <c r="CMS361" s="626"/>
      <c r="CMT361" s="627" t="s">
        <v>1669</v>
      </c>
      <c r="CMU361" s="628">
        <v>43831</v>
      </c>
      <c r="CMV361" s="628">
        <v>43862</v>
      </c>
      <c r="CMW361" s="628">
        <v>43891</v>
      </c>
      <c r="CMX361" s="628">
        <v>43922</v>
      </c>
      <c r="CMY361" s="628">
        <v>43952</v>
      </c>
      <c r="CMZ361" s="628">
        <v>43983</v>
      </c>
      <c r="CNA361" s="628">
        <v>44013</v>
      </c>
      <c r="CNB361" s="628">
        <v>44044</v>
      </c>
      <c r="CNC361" s="628">
        <v>44075</v>
      </c>
      <c r="CND361" s="628">
        <v>44105</v>
      </c>
      <c r="CNE361" s="628">
        <v>44136</v>
      </c>
      <c r="CNF361" s="628">
        <v>44166</v>
      </c>
      <c r="CNG361" s="629">
        <v>2020</v>
      </c>
      <c r="CNH361" s="630" t="s">
        <v>1870</v>
      </c>
      <c r="CNI361" s="626"/>
      <c r="CNJ361" s="627" t="s">
        <v>1669</v>
      </c>
      <c r="CNK361" s="628">
        <v>43831</v>
      </c>
      <c r="CNL361" s="628">
        <v>43862</v>
      </c>
      <c r="CNM361" s="628">
        <v>43891</v>
      </c>
      <c r="CNN361" s="628">
        <v>43922</v>
      </c>
      <c r="CNO361" s="628">
        <v>43952</v>
      </c>
      <c r="CNP361" s="628">
        <v>43983</v>
      </c>
      <c r="CNQ361" s="628">
        <v>44013</v>
      </c>
      <c r="CNR361" s="628">
        <v>44044</v>
      </c>
      <c r="CNS361" s="628">
        <v>44075</v>
      </c>
      <c r="CNT361" s="628">
        <v>44105</v>
      </c>
      <c r="CNU361" s="628">
        <v>44136</v>
      </c>
      <c r="CNV361" s="628">
        <v>44166</v>
      </c>
      <c r="CNW361" s="629">
        <v>2020</v>
      </c>
      <c r="CNX361" s="630" t="s">
        <v>1870</v>
      </c>
      <c r="CNY361" s="626"/>
      <c r="CNZ361" s="627" t="s">
        <v>1669</v>
      </c>
      <c r="COA361" s="628">
        <v>43831</v>
      </c>
      <c r="COB361" s="628">
        <v>43862</v>
      </c>
      <c r="COC361" s="628">
        <v>43891</v>
      </c>
      <c r="COD361" s="628">
        <v>43922</v>
      </c>
      <c r="COE361" s="628">
        <v>43952</v>
      </c>
      <c r="COF361" s="628">
        <v>43983</v>
      </c>
      <c r="COG361" s="628">
        <v>44013</v>
      </c>
      <c r="COH361" s="628">
        <v>44044</v>
      </c>
      <c r="COI361" s="628">
        <v>44075</v>
      </c>
      <c r="COJ361" s="628">
        <v>44105</v>
      </c>
      <c r="COK361" s="628">
        <v>44136</v>
      </c>
      <c r="COL361" s="628">
        <v>44166</v>
      </c>
      <c r="COM361" s="629">
        <v>2020</v>
      </c>
      <c r="CON361" s="630" t="s">
        <v>1870</v>
      </c>
      <c r="COO361" s="626"/>
      <c r="COP361" s="627" t="s">
        <v>1669</v>
      </c>
      <c r="COQ361" s="628">
        <v>43831</v>
      </c>
      <c r="COR361" s="628">
        <v>43862</v>
      </c>
      <c r="COS361" s="628">
        <v>43891</v>
      </c>
      <c r="COT361" s="628">
        <v>43922</v>
      </c>
      <c r="COU361" s="628">
        <v>43952</v>
      </c>
      <c r="COV361" s="628">
        <v>43983</v>
      </c>
      <c r="COW361" s="628">
        <v>44013</v>
      </c>
      <c r="COX361" s="628">
        <v>44044</v>
      </c>
      <c r="COY361" s="628">
        <v>44075</v>
      </c>
      <c r="COZ361" s="628">
        <v>44105</v>
      </c>
      <c r="CPA361" s="628">
        <v>44136</v>
      </c>
      <c r="CPB361" s="628">
        <v>44166</v>
      </c>
      <c r="CPC361" s="629">
        <v>2020</v>
      </c>
      <c r="CPD361" s="630" t="s">
        <v>1870</v>
      </c>
      <c r="CPE361" s="626"/>
      <c r="CPF361" s="627" t="s">
        <v>1669</v>
      </c>
      <c r="CPG361" s="628">
        <v>43831</v>
      </c>
      <c r="CPH361" s="628">
        <v>43862</v>
      </c>
      <c r="CPI361" s="628">
        <v>43891</v>
      </c>
      <c r="CPJ361" s="628">
        <v>43922</v>
      </c>
      <c r="CPK361" s="628">
        <v>43952</v>
      </c>
      <c r="CPL361" s="628">
        <v>43983</v>
      </c>
      <c r="CPM361" s="628">
        <v>44013</v>
      </c>
      <c r="CPN361" s="628">
        <v>44044</v>
      </c>
      <c r="CPO361" s="628">
        <v>44075</v>
      </c>
      <c r="CPP361" s="628">
        <v>44105</v>
      </c>
      <c r="CPQ361" s="628">
        <v>44136</v>
      </c>
      <c r="CPR361" s="628">
        <v>44166</v>
      </c>
      <c r="CPS361" s="629">
        <v>2020</v>
      </c>
      <c r="CPT361" s="630" t="s">
        <v>1870</v>
      </c>
      <c r="CPU361" s="626"/>
      <c r="CPV361" s="627" t="s">
        <v>1669</v>
      </c>
      <c r="CPW361" s="628">
        <v>43831</v>
      </c>
      <c r="CPX361" s="628">
        <v>43862</v>
      </c>
      <c r="CPY361" s="628">
        <v>43891</v>
      </c>
      <c r="CPZ361" s="628">
        <v>43922</v>
      </c>
      <c r="CQA361" s="628">
        <v>43952</v>
      </c>
      <c r="CQB361" s="628">
        <v>43983</v>
      </c>
      <c r="CQC361" s="628">
        <v>44013</v>
      </c>
      <c r="CQD361" s="628">
        <v>44044</v>
      </c>
      <c r="CQE361" s="628">
        <v>44075</v>
      </c>
      <c r="CQF361" s="628">
        <v>44105</v>
      </c>
      <c r="CQG361" s="628">
        <v>44136</v>
      </c>
      <c r="CQH361" s="628">
        <v>44166</v>
      </c>
      <c r="CQI361" s="629">
        <v>2020</v>
      </c>
      <c r="CQJ361" s="630" t="s">
        <v>1870</v>
      </c>
      <c r="CQK361" s="626"/>
      <c r="CQL361" s="627" t="s">
        <v>1669</v>
      </c>
      <c r="CQM361" s="628">
        <v>43831</v>
      </c>
      <c r="CQN361" s="628">
        <v>43862</v>
      </c>
      <c r="CQO361" s="628">
        <v>43891</v>
      </c>
      <c r="CQP361" s="628">
        <v>43922</v>
      </c>
      <c r="CQQ361" s="628">
        <v>43952</v>
      </c>
      <c r="CQR361" s="628">
        <v>43983</v>
      </c>
      <c r="CQS361" s="628">
        <v>44013</v>
      </c>
      <c r="CQT361" s="628">
        <v>44044</v>
      </c>
      <c r="CQU361" s="628">
        <v>44075</v>
      </c>
      <c r="CQV361" s="628">
        <v>44105</v>
      </c>
      <c r="CQW361" s="628">
        <v>44136</v>
      </c>
      <c r="CQX361" s="628">
        <v>44166</v>
      </c>
      <c r="CQY361" s="629">
        <v>2020</v>
      </c>
      <c r="CQZ361" s="630" t="s">
        <v>1870</v>
      </c>
      <c r="CRA361" s="626"/>
      <c r="CRB361" s="627" t="s">
        <v>1669</v>
      </c>
      <c r="CRC361" s="628">
        <v>43831</v>
      </c>
      <c r="CRD361" s="628">
        <v>43862</v>
      </c>
      <c r="CRE361" s="628">
        <v>43891</v>
      </c>
      <c r="CRF361" s="628">
        <v>43922</v>
      </c>
      <c r="CRG361" s="628">
        <v>43952</v>
      </c>
      <c r="CRH361" s="628">
        <v>43983</v>
      </c>
      <c r="CRI361" s="628">
        <v>44013</v>
      </c>
      <c r="CRJ361" s="628">
        <v>44044</v>
      </c>
      <c r="CRK361" s="628">
        <v>44075</v>
      </c>
      <c r="CRL361" s="628">
        <v>44105</v>
      </c>
      <c r="CRM361" s="628">
        <v>44136</v>
      </c>
      <c r="CRN361" s="628">
        <v>44166</v>
      </c>
      <c r="CRO361" s="629">
        <v>2020</v>
      </c>
      <c r="CRP361" s="630" t="s">
        <v>1870</v>
      </c>
      <c r="CRQ361" s="626"/>
      <c r="CRR361" s="627" t="s">
        <v>1669</v>
      </c>
      <c r="CRS361" s="628">
        <v>43831</v>
      </c>
      <c r="CRT361" s="628">
        <v>43862</v>
      </c>
      <c r="CRU361" s="628">
        <v>43891</v>
      </c>
      <c r="CRV361" s="628">
        <v>43922</v>
      </c>
      <c r="CRW361" s="628">
        <v>43952</v>
      </c>
      <c r="CRX361" s="628">
        <v>43983</v>
      </c>
      <c r="CRY361" s="628">
        <v>44013</v>
      </c>
      <c r="CRZ361" s="628">
        <v>44044</v>
      </c>
      <c r="CSA361" s="628">
        <v>44075</v>
      </c>
      <c r="CSB361" s="628">
        <v>44105</v>
      </c>
      <c r="CSC361" s="628">
        <v>44136</v>
      </c>
      <c r="CSD361" s="628">
        <v>44166</v>
      </c>
      <c r="CSE361" s="629">
        <v>2020</v>
      </c>
      <c r="CSF361" s="630" t="s">
        <v>1870</v>
      </c>
      <c r="CSG361" s="626"/>
      <c r="CSH361" s="627" t="s">
        <v>1669</v>
      </c>
      <c r="CSI361" s="628">
        <v>43831</v>
      </c>
      <c r="CSJ361" s="628">
        <v>43862</v>
      </c>
      <c r="CSK361" s="628">
        <v>43891</v>
      </c>
      <c r="CSL361" s="628">
        <v>43922</v>
      </c>
      <c r="CSM361" s="628">
        <v>43952</v>
      </c>
      <c r="CSN361" s="628">
        <v>43983</v>
      </c>
      <c r="CSO361" s="628">
        <v>44013</v>
      </c>
      <c r="CSP361" s="628">
        <v>44044</v>
      </c>
      <c r="CSQ361" s="628">
        <v>44075</v>
      </c>
      <c r="CSR361" s="628">
        <v>44105</v>
      </c>
      <c r="CSS361" s="628">
        <v>44136</v>
      </c>
      <c r="CST361" s="628">
        <v>44166</v>
      </c>
      <c r="CSU361" s="629">
        <v>2020</v>
      </c>
      <c r="CSV361" s="630" t="s">
        <v>1870</v>
      </c>
      <c r="CSW361" s="626"/>
      <c r="CSX361" s="627" t="s">
        <v>1669</v>
      </c>
      <c r="CSY361" s="628">
        <v>43831</v>
      </c>
      <c r="CSZ361" s="628">
        <v>43862</v>
      </c>
      <c r="CTA361" s="628">
        <v>43891</v>
      </c>
      <c r="CTB361" s="628">
        <v>43922</v>
      </c>
      <c r="CTC361" s="628">
        <v>43952</v>
      </c>
      <c r="CTD361" s="628">
        <v>43983</v>
      </c>
      <c r="CTE361" s="628">
        <v>44013</v>
      </c>
      <c r="CTF361" s="628">
        <v>44044</v>
      </c>
      <c r="CTG361" s="628">
        <v>44075</v>
      </c>
      <c r="CTH361" s="628">
        <v>44105</v>
      </c>
      <c r="CTI361" s="628">
        <v>44136</v>
      </c>
      <c r="CTJ361" s="628">
        <v>44166</v>
      </c>
      <c r="CTK361" s="629">
        <v>2020</v>
      </c>
      <c r="CTL361" s="630" t="s">
        <v>1870</v>
      </c>
      <c r="CTM361" s="626"/>
      <c r="CTN361" s="627" t="s">
        <v>1669</v>
      </c>
      <c r="CTO361" s="628">
        <v>43831</v>
      </c>
      <c r="CTP361" s="628">
        <v>43862</v>
      </c>
      <c r="CTQ361" s="628">
        <v>43891</v>
      </c>
      <c r="CTR361" s="628">
        <v>43922</v>
      </c>
      <c r="CTS361" s="628">
        <v>43952</v>
      </c>
      <c r="CTT361" s="628">
        <v>43983</v>
      </c>
      <c r="CTU361" s="628">
        <v>44013</v>
      </c>
      <c r="CTV361" s="628">
        <v>44044</v>
      </c>
      <c r="CTW361" s="628">
        <v>44075</v>
      </c>
      <c r="CTX361" s="628">
        <v>44105</v>
      </c>
      <c r="CTY361" s="628">
        <v>44136</v>
      </c>
      <c r="CTZ361" s="628">
        <v>44166</v>
      </c>
      <c r="CUA361" s="629">
        <v>2020</v>
      </c>
      <c r="CUB361" s="630" t="s">
        <v>1870</v>
      </c>
      <c r="CUC361" s="626"/>
      <c r="CUD361" s="627" t="s">
        <v>1669</v>
      </c>
      <c r="CUE361" s="628">
        <v>43831</v>
      </c>
      <c r="CUF361" s="628">
        <v>43862</v>
      </c>
      <c r="CUG361" s="628">
        <v>43891</v>
      </c>
      <c r="CUH361" s="628">
        <v>43922</v>
      </c>
      <c r="CUI361" s="628">
        <v>43952</v>
      </c>
      <c r="CUJ361" s="628">
        <v>43983</v>
      </c>
      <c r="CUK361" s="628">
        <v>44013</v>
      </c>
      <c r="CUL361" s="628">
        <v>44044</v>
      </c>
      <c r="CUM361" s="628">
        <v>44075</v>
      </c>
      <c r="CUN361" s="628">
        <v>44105</v>
      </c>
      <c r="CUO361" s="628">
        <v>44136</v>
      </c>
      <c r="CUP361" s="628">
        <v>44166</v>
      </c>
      <c r="CUQ361" s="629">
        <v>2020</v>
      </c>
      <c r="CUR361" s="630" t="s">
        <v>1870</v>
      </c>
      <c r="CUS361" s="626"/>
      <c r="CUT361" s="627" t="s">
        <v>1669</v>
      </c>
      <c r="CUU361" s="628">
        <v>43831</v>
      </c>
      <c r="CUV361" s="628">
        <v>43862</v>
      </c>
      <c r="CUW361" s="628">
        <v>43891</v>
      </c>
      <c r="CUX361" s="628">
        <v>43922</v>
      </c>
      <c r="CUY361" s="628">
        <v>43952</v>
      </c>
      <c r="CUZ361" s="628">
        <v>43983</v>
      </c>
      <c r="CVA361" s="628">
        <v>44013</v>
      </c>
      <c r="CVB361" s="628">
        <v>44044</v>
      </c>
      <c r="CVC361" s="628">
        <v>44075</v>
      </c>
      <c r="CVD361" s="628">
        <v>44105</v>
      </c>
      <c r="CVE361" s="628">
        <v>44136</v>
      </c>
      <c r="CVF361" s="628">
        <v>44166</v>
      </c>
      <c r="CVG361" s="629">
        <v>2020</v>
      </c>
      <c r="CVH361" s="630" t="s">
        <v>1870</v>
      </c>
      <c r="CVI361" s="626"/>
      <c r="CVJ361" s="627" t="s">
        <v>1669</v>
      </c>
      <c r="CVK361" s="628">
        <v>43831</v>
      </c>
      <c r="CVL361" s="628">
        <v>43862</v>
      </c>
      <c r="CVM361" s="628">
        <v>43891</v>
      </c>
      <c r="CVN361" s="628">
        <v>43922</v>
      </c>
      <c r="CVO361" s="628">
        <v>43952</v>
      </c>
      <c r="CVP361" s="628">
        <v>43983</v>
      </c>
      <c r="CVQ361" s="628">
        <v>44013</v>
      </c>
      <c r="CVR361" s="628">
        <v>44044</v>
      </c>
      <c r="CVS361" s="628">
        <v>44075</v>
      </c>
      <c r="CVT361" s="628">
        <v>44105</v>
      </c>
      <c r="CVU361" s="628">
        <v>44136</v>
      </c>
      <c r="CVV361" s="628">
        <v>44166</v>
      </c>
      <c r="CVW361" s="629">
        <v>2020</v>
      </c>
      <c r="CVX361" s="630" t="s">
        <v>1870</v>
      </c>
      <c r="CVY361" s="626"/>
      <c r="CVZ361" s="627" t="s">
        <v>1669</v>
      </c>
      <c r="CWA361" s="628">
        <v>43831</v>
      </c>
      <c r="CWB361" s="628">
        <v>43862</v>
      </c>
      <c r="CWC361" s="628">
        <v>43891</v>
      </c>
      <c r="CWD361" s="628">
        <v>43922</v>
      </c>
      <c r="CWE361" s="628">
        <v>43952</v>
      </c>
      <c r="CWF361" s="628">
        <v>43983</v>
      </c>
      <c r="CWG361" s="628">
        <v>44013</v>
      </c>
      <c r="CWH361" s="628">
        <v>44044</v>
      </c>
      <c r="CWI361" s="628">
        <v>44075</v>
      </c>
      <c r="CWJ361" s="628">
        <v>44105</v>
      </c>
      <c r="CWK361" s="628">
        <v>44136</v>
      </c>
      <c r="CWL361" s="628">
        <v>44166</v>
      </c>
      <c r="CWM361" s="629">
        <v>2020</v>
      </c>
      <c r="CWN361" s="630" t="s">
        <v>1870</v>
      </c>
      <c r="CWO361" s="626"/>
      <c r="CWP361" s="627" t="s">
        <v>1669</v>
      </c>
      <c r="CWQ361" s="628">
        <v>43831</v>
      </c>
      <c r="CWR361" s="628">
        <v>43862</v>
      </c>
      <c r="CWS361" s="628">
        <v>43891</v>
      </c>
      <c r="CWT361" s="628">
        <v>43922</v>
      </c>
      <c r="CWU361" s="628">
        <v>43952</v>
      </c>
      <c r="CWV361" s="628">
        <v>43983</v>
      </c>
      <c r="CWW361" s="628">
        <v>44013</v>
      </c>
      <c r="CWX361" s="628">
        <v>44044</v>
      </c>
      <c r="CWY361" s="628">
        <v>44075</v>
      </c>
      <c r="CWZ361" s="628">
        <v>44105</v>
      </c>
      <c r="CXA361" s="628">
        <v>44136</v>
      </c>
      <c r="CXB361" s="628">
        <v>44166</v>
      </c>
      <c r="CXC361" s="629">
        <v>2020</v>
      </c>
      <c r="CXD361" s="630" t="s">
        <v>1870</v>
      </c>
      <c r="CXE361" s="626"/>
      <c r="CXF361" s="627" t="s">
        <v>1669</v>
      </c>
      <c r="CXG361" s="628">
        <v>43831</v>
      </c>
      <c r="CXH361" s="628">
        <v>43862</v>
      </c>
      <c r="CXI361" s="628">
        <v>43891</v>
      </c>
      <c r="CXJ361" s="628">
        <v>43922</v>
      </c>
      <c r="CXK361" s="628">
        <v>43952</v>
      </c>
      <c r="CXL361" s="628">
        <v>43983</v>
      </c>
      <c r="CXM361" s="628">
        <v>44013</v>
      </c>
      <c r="CXN361" s="628">
        <v>44044</v>
      </c>
      <c r="CXO361" s="628">
        <v>44075</v>
      </c>
      <c r="CXP361" s="628">
        <v>44105</v>
      </c>
      <c r="CXQ361" s="628">
        <v>44136</v>
      </c>
      <c r="CXR361" s="628">
        <v>44166</v>
      </c>
      <c r="CXS361" s="629">
        <v>2020</v>
      </c>
      <c r="CXT361" s="630" t="s">
        <v>1870</v>
      </c>
      <c r="CXU361" s="626"/>
      <c r="CXV361" s="627" t="s">
        <v>1669</v>
      </c>
      <c r="CXW361" s="628">
        <v>43831</v>
      </c>
      <c r="CXX361" s="628">
        <v>43862</v>
      </c>
      <c r="CXY361" s="628">
        <v>43891</v>
      </c>
      <c r="CXZ361" s="628">
        <v>43922</v>
      </c>
      <c r="CYA361" s="628">
        <v>43952</v>
      </c>
      <c r="CYB361" s="628">
        <v>43983</v>
      </c>
      <c r="CYC361" s="628">
        <v>44013</v>
      </c>
      <c r="CYD361" s="628">
        <v>44044</v>
      </c>
      <c r="CYE361" s="628">
        <v>44075</v>
      </c>
      <c r="CYF361" s="628">
        <v>44105</v>
      </c>
      <c r="CYG361" s="628">
        <v>44136</v>
      </c>
      <c r="CYH361" s="628">
        <v>44166</v>
      </c>
      <c r="CYI361" s="629">
        <v>2020</v>
      </c>
      <c r="CYJ361" s="630" t="s">
        <v>1870</v>
      </c>
      <c r="CYK361" s="626"/>
      <c r="CYL361" s="627" t="s">
        <v>1669</v>
      </c>
      <c r="CYM361" s="628">
        <v>43831</v>
      </c>
      <c r="CYN361" s="628">
        <v>43862</v>
      </c>
      <c r="CYO361" s="628">
        <v>43891</v>
      </c>
      <c r="CYP361" s="628">
        <v>43922</v>
      </c>
      <c r="CYQ361" s="628">
        <v>43952</v>
      </c>
      <c r="CYR361" s="628">
        <v>43983</v>
      </c>
      <c r="CYS361" s="628">
        <v>44013</v>
      </c>
      <c r="CYT361" s="628">
        <v>44044</v>
      </c>
      <c r="CYU361" s="628">
        <v>44075</v>
      </c>
      <c r="CYV361" s="628">
        <v>44105</v>
      </c>
      <c r="CYW361" s="628">
        <v>44136</v>
      </c>
      <c r="CYX361" s="628">
        <v>44166</v>
      </c>
      <c r="CYY361" s="629">
        <v>2020</v>
      </c>
      <c r="CYZ361" s="630" t="s">
        <v>1870</v>
      </c>
      <c r="CZA361" s="626"/>
      <c r="CZB361" s="627" t="s">
        <v>1669</v>
      </c>
      <c r="CZC361" s="628">
        <v>43831</v>
      </c>
      <c r="CZD361" s="628">
        <v>43862</v>
      </c>
      <c r="CZE361" s="628">
        <v>43891</v>
      </c>
      <c r="CZF361" s="628">
        <v>43922</v>
      </c>
      <c r="CZG361" s="628">
        <v>43952</v>
      </c>
      <c r="CZH361" s="628">
        <v>43983</v>
      </c>
      <c r="CZI361" s="628">
        <v>44013</v>
      </c>
      <c r="CZJ361" s="628">
        <v>44044</v>
      </c>
      <c r="CZK361" s="628">
        <v>44075</v>
      </c>
      <c r="CZL361" s="628">
        <v>44105</v>
      </c>
      <c r="CZM361" s="628">
        <v>44136</v>
      </c>
      <c r="CZN361" s="628">
        <v>44166</v>
      </c>
      <c r="CZO361" s="629">
        <v>2020</v>
      </c>
      <c r="CZP361" s="630" t="s">
        <v>1870</v>
      </c>
      <c r="CZQ361" s="626"/>
      <c r="CZR361" s="627" t="s">
        <v>1669</v>
      </c>
      <c r="CZS361" s="628">
        <v>43831</v>
      </c>
      <c r="CZT361" s="628">
        <v>43862</v>
      </c>
      <c r="CZU361" s="628">
        <v>43891</v>
      </c>
      <c r="CZV361" s="628">
        <v>43922</v>
      </c>
      <c r="CZW361" s="628">
        <v>43952</v>
      </c>
      <c r="CZX361" s="628">
        <v>43983</v>
      </c>
      <c r="CZY361" s="628">
        <v>44013</v>
      </c>
      <c r="CZZ361" s="628">
        <v>44044</v>
      </c>
      <c r="DAA361" s="628">
        <v>44075</v>
      </c>
      <c r="DAB361" s="628">
        <v>44105</v>
      </c>
      <c r="DAC361" s="628">
        <v>44136</v>
      </c>
      <c r="DAD361" s="628">
        <v>44166</v>
      </c>
      <c r="DAE361" s="629">
        <v>2020</v>
      </c>
      <c r="DAF361" s="630" t="s">
        <v>1870</v>
      </c>
      <c r="DAG361" s="626"/>
      <c r="DAH361" s="627" t="s">
        <v>1669</v>
      </c>
      <c r="DAI361" s="628">
        <v>43831</v>
      </c>
      <c r="DAJ361" s="628">
        <v>43862</v>
      </c>
      <c r="DAK361" s="628">
        <v>43891</v>
      </c>
      <c r="DAL361" s="628">
        <v>43922</v>
      </c>
      <c r="DAM361" s="628">
        <v>43952</v>
      </c>
      <c r="DAN361" s="628">
        <v>43983</v>
      </c>
      <c r="DAO361" s="628">
        <v>44013</v>
      </c>
      <c r="DAP361" s="628">
        <v>44044</v>
      </c>
      <c r="DAQ361" s="628">
        <v>44075</v>
      </c>
      <c r="DAR361" s="628">
        <v>44105</v>
      </c>
      <c r="DAS361" s="628">
        <v>44136</v>
      </c>
      <c r="DAT361" s="628">
        <v>44166</v>
      </c>
      <c r="DAU361" s="629">
        <v>2020</v>
      </c>
      <c r="DAV361" s="630" t="s">
        <v>1870</v>
      </c>
      <c r="DAW361" s="626"/>
      <c r="DAX361" s="627" t="s">
        <v>1669</v>
      </c>
      <c r="DAY361" s="628">
        <v>43831</v>
      </c>
      <c r="DAZ361" s="628">
        <v>43862</v>
      </c>
      <c r="DBA361" s="628">
        <v>43891</v>
      </c>
      <c r="DBB361" s="628">
        <v>43922</v>
      </c>
      <c r="DBC361" s="628">
        <v>43952</v>
      </c>
      <c r="DBD361" s="628">
        <v>43983</v>
      </c>
      <c r="DBE361" s="628">
        <v>44013</v>
      </c>
      <c r="DBF361" s="628">
        <v>44044</v>
      </c>
      <c r="DBG361" s="628">
        <v>44075</v>
      </c>
      <c r="DBH361" s="628">
        <v>44105</v>
      </c>
      <c r="DBI361" s="628">
        <v>44136</v>
      </c>
      <c r="DBJ361" s="628">
        <v>44166</v>
      </c>
      <c r="DBK361" s="629">
        <v>2020</v>
      </c>
      <c r="DBL361" s="630" t="s">
        <v>1870</v>
      </c>
      <c r="DBM361" s="626"/>
      <c r="DBN361" s="627" t="s">
        <v>1669</v>
      </c>
      <c r="DBO361" s="628">
        <v>43831</v>
      </c>
      <c r="DBP361" s="628">
        <v>43862</v>
      </c>
      <c r="DBQ361" s="628">
        <v>43891</v>
      </c>
      <c r="DBR361" s="628">
        <v>43922</v>
      </c>
      <c r="DBS361" s="628">
        <v>43952</v>
      </c>
      <c r="DBT361" s="628">
        <v>43983</v>
      </c>
      <c r="DBU361" s="628">
        <v>44013</v>
      </c>
      <c r="DBV361" s="628">
        <v>44044</v>
      </c>
      <c r="DBW361" s="628">
        <v>44075</v>
      </c>
      <c r="DBX361" s="628">
        <v>44105</v>
      </c>
      <c r="DBY361" s="628">
        <v>44136</v>
      </c>
      <c r="DBZ361" s="628">
        <v>44166</v>
      </c>
      <c r="DCA361" s="629">
        <v>2020</v>
      </c>
      <c r="DCB361" s="630" t="s">
        <v>1870</v>
      </c>
      <c r="DCC361" s="626"/>
      <c r="DCD361" s="627" t="s">
        <v>1669</v>
      </c>
      <c r="DCE361" s="628">
        <v>43831</v>
      </c>
      <c r="DCF361" s="628">
        <v>43862</v>
      </c>
      <c r="DCG361" s="628">
        <v>43891</v>
      </c>
      <c r="DCH361" s="628">
        <v>43922</v>
      </c>
      <c r="DCI361" s="628">
        <v>43952</v>
      </c>
      <c r="DCJ361" s="628">
        <v>43983</v>
      </c>
      <c r="DCK361" s="628">
        <v>44013</v>
      </c>
      <c r="DCL361" s="628">
        <v>44044</v>
      </c>
      <c r="DCM361" s="628">
        <v>44075</v>
      </c>
      <c r="DCN361" s="628">
        <v>44105</v>
      </c>
      <c r="DCO361" s="628">
        <v>44136</v>
      </c>
      <c r="DCP361" s="628">
        <v>44166</v>
      </c>
      <c r="DCQ361" s="629">
        <v>2020</v>
      </c>
      <c r="DCR361" s="630" t="s">
        <v>1870</v>
      </c>
      <c r="DCS361" s="626"/>
      <c r="DCT361" s="627" t="s">
        <v>1669</v>
      </c>
      <c r="DCU361" s="628">
        <v>43831</v>
      </c>
      <c r="DCV361" s="628">
        <v>43862</v>
      </c>
      <c r="DCW361" s="628">
        <v>43891</v>
      </c>
      <c r="DCX361" s="628">
        <v>43922</v>
      </c>
      <c r="DCY361" s="628">
        <v>43952</v>
      </c>
      <c r="DCZ361" s="628">
        <v>43983</v>
      </c>
      <c r="DDA361" s="628">
        <v>44013</v>
      </c>
      <c r="DDB361" s="628">
        <v>44044</v>
      </c>
      <c r="DDC361" s="628">
        <v>44075</v>
      </c>
      <c r="DDD361" s="628">
        <v>44105</v>
      </c>
      <c r="DDE361" s="628">
        <v>44136</v>
      </c>
      <c r="DDF361" s="628">
        <v>44166</v>
      </c>
      <c r="DDG361" s="629">
        <v>2020</v>
      </c>
      <c r="DDH361" s="630" t="s">
        <v>1870</v>
      </c>
      <c r="DDI361" s="626"/>
      <c r="DDJ361" s="627" t="s">
        <v>1669</v>
      </c>
      <c r="DDK361" s="628">
        <v>43831</v>
      </c>
      <c r="DDL361" s="628">
        <v>43862</v>
      </c>
      <c r="DDM361" s="628">
        <v>43891</v>
      </c>
      <c r="DDN361" s="628">
        <v>43922</v>
      </c>
      <c r="DDO361" s="628">
        <v>43952</v>
      </c>
      <c r="DDP361" s="628">
        <v>43983</v>
      </c>
      <c r="DDQ361" s="628">
        <v>44013</v>
      </c>
      <c r="DDR361" s="628">
        <v>44044</v>
      </c>
      <c r="DDS361" s="628">
        <v>44075</v>
      </c>
      <c r="DDT361" s="628">
        <v>44105</v>
      </c>
      <c r="DDU361" s="628">
        <v>44136</v>
      </c>
      <c r="DDV361" s="628">
        <v>44166</v>
      </c>
      <c r="DDW361" s="629">
        <v>2020</v>
      </c>
      <c r="DDX361" s="630" t="s">
        <v>1870</v>
      </c>
      <c r="DDY361" s="626"/>
      <c r="DDZ361" s="627" t="s">
        <v>1669</v>
      </c>
      <c r="DEA361" s="628">
        <v>43831</v>
      </c>
      <c r="DEB361" s="628">
        <v>43862</v>
      </c>
      <c r="DEC361" s="628">
        <v>43891</v>
      </c>
      <c r="DED361" s="628">
        <v>43922</v>
      </c>
      <c r="DEE361" s="628">
        <v>43952</v>
      </c>
      <c r="DEF361" s="628">
        <v>43983</v>
      </c>
      <c r="DEG361" s="628">
        <v>44013</v>
      </c>
      <c r="DEH361" s="628">
        <v>44044</v>
      </c>
      <c r="DEI361" s="628">
        <v>44075</v>
      </c>
      <c r="DEJ361" s="628">
        <v>44105</v>
      </c>
      <c r="DEK361" s="628">
        <v>44136</v>
      </c>
      <c r="DEL361" s="628">
        <v>44166</v>
      </c>
      <c r="DEM361" s="629">
        <v>2020</v>
      </c>
      <c r="DEN361" s="630" t="s">
        <v>1870</v>
      </c>
      <c r="DEO361" s="626"/>
      <c r="DEP361" s="627" t="s">
        <v>1669</v>
      </c>
      <c r="DEQ361" s="628">
        <v>43831</v>
      </c>
      <c r="DER361" s="628">
        <v>43862</v>
      </c>
      <c r="DES361" s="628">
        <v>43891</v>
      </c>
      <c r="DET361" s="628">
        <v>43922</v>
      </c>
      <c r="DEU361" s="628">
        <v>43952</v>
      </c>
      <c r="DEV361" s="628">
        <v>43983</v>
      </c>
      <c r="DEW361" s="628">
        <v>44013</v>
      </c>
      <c r="DEX361" s="628">
        <v>44044</v>
      </c>
      <c r="DEY361" s="628">
        <v>44075</v>
      </c>
      <c r="DEZ361" s="628">
        <v>44105</v>
      </c>
      <c r="DFA361" s="628">
        <v>44136</v>
      </c>
      <c r="DFB361" s="628">
        <v>44166</v>
      </c>
      <c r="DFC361" s="629">
        <v>2020</v>
      </c>
      <c r="DFD361" s="630" t="s">
        <v>1870</v>
      </c>
      <c r="DFE361" s="626"/>
      <c r="DFF361" s="627" t="s">
        <v>1669</v>
      </c>
      <c r="DFG361" s="628">
        <v>43831</v>
      </c>
      <c r="DFH361" s="628">
        <v>43862</v>
      </c>
      <c r="DFI361" s="628">
        <v>43891</v>
      </c>
      <c r="DFJ361" s="628">
        <v>43922</v>
      </c>
      <c r="DFK361" s="628">
        <v>43952</v>
      </c>
      <c r="DFL361" s="628">
        <v>43983</v>
      </c>
      <c r="DFM361" s="628">
        <v>44013</v>
      </c>
      <c r="DFN361" s="628">
        <v>44044</v>
      </c>
      <c r="DFO361" s="628">
        <v>44075</v>
      </c>
      <c r="DFP361" s="628">
        <v>44105</v>
      </c>
      <c r="DFQ361" s="628">
        <v>44136</v>
      </c>
      <c r="DFR361" s="628">
        <v>44166</v>
      </c>
      <c r="DFS361" s="629">
        <v>2020</v>
      </c>
      <c r="DFT361" s="630" t="s">
        <v>1870</v>
      </c>
      <c r="DFU361" s="626"/>
      <c r="DFV361" s="627" t="s">
        <v>1669</v>
      </c>
      <c r="DFW361" s="628">
        <v>43831</v>
      </c>
      <c r="DFX361" s="628">
        <v>43862</v>
      </c>
      <c r="DFY361" s="628">
        <v>43891</v>
      </c>
      <c r="DFZ361" s="628">
        <v>43922</v>
      </c>
      <c r="DGA361" s="628">
        <v>43952</v>
      </c>
      <c r="DGB361" s="628">
        <v>43983</v>
      </c>
      <c r="DGC361" s="628">
        <v>44013</v>
      </c>
      <c r="DGD361" s="628">
        <v>44044</v>
      </c>
      <c r="DGE361" s="628">
        <v>44075</v>
      </c>
      <c r="DGF361" s="628">
        <v>44105</v>
      </c>
      <c r="DGG361" s="628">
        <v>44136</v>
      </c>
      <c r="DGH361" s="628">
        <v>44166</v>
      </c>
      <c r="DGI361" s="629">
        <v>2020</v>
      </c>
      <c r="DGJ361" s="630" t="s">
        <v>1870</v>
      </c>
      <c r="DGK361" s="626"/>
      <c r="DGL361" s="627" t="s">
        <v>1669</v>
      </c>
      <c r="DGM361" s="628">
        <v>43831</v>
      </c>
      <c r="DGN361" s="628">
        <v>43862</v>
      </c>
      <c r="DGO361" s="628">
        <v>43891</v>
      </c>
      <c r="DGP361" s="628">
        <v>43922</v>
      </c>
      <c r="DGQ361" s="628">
        <v>43952</v>
      </c>
      <c r="DGR361" s="628">
        <v>43983</v>
      </c>
      <c r="DGS361" s="628">
        <v>44013</v>
      </c>
      <c r="DGT361" s="628">
        <v>44044</v>
      </c>
      <c r="DGU361" s="628">
        <v>44075</v>
      </c>
      <c r="DGV361" s="628">
        <v>44105</v>
      </c>
      <c r="DGW361" s="628">
        <v>44136</v>
      </c>
      <c r="DGX361" s="628">
        <v>44166</v>
      </c>
      <c r="DGY361" s="629">
        <v>2020</v>
      </c>
      <c r="DGZ361" s="630" t="s">
        <v>1870</v>
      </c>
      <c r="DHA361" s="626"/>
      <c r="DHB361" s="627" t="s">
        <v>1669</v>
      </c>
      <c r="DHC361" s="628">
        <v>43831</v>
      </c>
      <c r="DHD361" s="628">
        <v>43862</v>
      </c>
      <c r="DHE361" s="628">
        <v>43891</v>
      </c>
      <c r="DHF361" s="628">
        <v>43922</v>
      </c>
      <c r="DHG361" s="628">
        <v>43952</v>
      </c>
      <c r="DHH361" s="628">
        <v>43983</v>
      </c>
      <c r="DHI361" s="628">
        <v>44013</v>
      </c>
      <c r="DHJ361" s="628">
        <v>44044</v>
      </c>
      <c r="DHK361" s="628">
        <v>44075</v>
      </c>
      <c r="DHL361" s="628">
        <v>44105</v>
      </c>
      <c r="DHM361" s="628">
        <v>44136</v>
      </c>
      <c r="DHN361" s="628">
        <v>44166</v>
      </c>
      <c r="DHO361" s="629">
        <v>2020</v>
      </c>
      <c r="DHP361" s="630" t="s">
        <v>1870</v>
      </c>
      <c r="DHQ361" s="626"/>
      <c r="DHR361" s="627" t="s">
        <v>1669</v>
      </c>
      <c r="DHS361" s="628">
        <v>43831</v>
      </c>
      <c r="DHT361" s="628">
        <v>43862</v>
      </c>
      <c r="DHU361" s="628">
        <v>43891</v>
      </c>
      <c r="DHV361" s="628">
        <v>43922</v>
      </c>
      <c r="DHW361" s="628">
        <v>43952</v>
      </c>
      <c r="DHX361" s="628">
        <v>43983</v>
      </c>
      <c r="DHY361" s="628">
        <v>44013</v>
      </c>
      <c r="DHZ361" s="628">
        <v>44044</v>
      </c>
      <c r="DIA361" s="628">
        <v>44075</v>
      </c>
      <c r="DIB361" s="628">
        <v>44105</v>
      </c>
      <c r="DIC361" s="628">
        <v>44136</v>
      </c>
      <c r="DID361" s="628">
        <v>44166</v>
      </c>
      <c r="DIE361" s="629">
        <v>2020</v>
      </c>
      <c r="DIF361" s="630" t="s">
        <v>1870</v>
      </c>
      <c r="DIG361" s="626"/>
      <c r="DIH361" s="627" t="s">
        <v>1669</v>
      </c>
      <c r="DII361" s="628">
        <v>43831</v>
      </c>
      <c r="DIJ361" s="628">
        <v>43862</v>
      </c>
      <c r="DIK361" s="628">
        <v>43891</v>
      </c>
      <c r="DIL361" s="628">
        <v>43922</v>
      </c>
      <c r="DIM361" s="628">
        <v>43952</v>
      </c>
      <c r="DIN361" s="628">
        <v>43983</v>
      </c>
      <c r="DIO361" s="628">
        <v>44013</v>
      </c>
      <c r="DIP361" s="628">
        <v>44044</v>
      </c>
      <c r="DIQ361" s="628">
        <v>44075</v>
      </c>
      <c r="DIR361" s="628">
        <v>44105</v>
      </c>
      <c r="DIS361" s="628">
        <v>44136</v>
      </c>
      <c r="DIT361" s="628">
        <v>44166</v>
      </c>
      <c r="DIU361" s="629">
        <v>2020</v>
      </c>
      <c r="DIV361" s="630" t="s">
        <v>1870</v>
      </c>
      <c r="DIW361" s="626"/>
      <c r="DIX361" s="627" t="s">
        <v>1669</v>
      </c>
      <c r="DIY361" s="628">
        <v>43831</v>
      </c>
      <c r="DIZ361" s="628">
        <v>43862</v>
      </c>
      <c r="DJA361" s="628">
        <v>43891</v>
      </c>
      <c r="DJB361" s="628">
        <v>43922</v>
      </c>
      <c r="DJC361" s="628">
        <v>43952</v>
      </c>
      <c r="DJD361" s="628">
        <v>43983</v>
      </c>
      <c r="DJE361" s="628">
        <v>44013</v>
      </c>
      <c r="DJF361" s="628">
        <v>44044</v>
      </c>
      <c r="DJG361" s="628">
        <v>44075</v>
      </c>
      <c r="DJH361" s="628">
        <v>44105</v>
      </c>
      <c r="DJI361" s="628">
        <v>44136</v>
      </c>
      <c r="DJJ361" s="628">
        <v>44166</v>
      </c>
      <c r="DJK361" s="629">
        <v>2020</v>
      </c>
      <c r="DJL361" s="630" t="s">
        <v>1870</v>
      </c>
      <c r="DJM361" s="626"/>
      <c r="DJN361" s="627" t="s">
        <v>1669</v>
      </c>
      <c r="DJO361" s="628">
        <v>43831</v>
      </c>
      <c r="DJP361" s="628">
        <v>43862</v>
      </c>
      <c r="DJQ361" s="628">
        <v>43891</v>
      </c>
      <c r="DJR361" s="628">
        <v>43922</v>
      </c>
      <c r="DJS361" s="628">
        <v>43952</v>
      </c>
      <c r="DJT361" s="628">
        <v>43983</v>
      </c>
      <c r="DJU361" s="628">
        <v>44013</v>
      </c>
      <c r="DJV361" s="628">
        <v>44044</v>
      </c>
      <c r="DJW361" s="628">
        <v>44075</v>
      </c>
      <c r="DJX361" s="628">
        <v>44105</v>
      </c>
      <c r="DJY361" s="628">
        <v>44136</v>
      </c>
      <c r="DJZ361" s="628">
        <v>44166</v>
      </c>
      <c r="DKA361" s="629">
        <v>2020</v>
      </c>
      <c r="DKB361" s="630" t="s">
        <v>1870</v>
      </c>
      <c r="DKC361" s="626"/>
      <c r="DKD361" s="627" t="s">
        <v>1669</v>
      </c>
      <c r="DKE361" s="628">
        <v>43831</v>
      </c>
      <c r="DKF361" s="628">
        <v>43862</v>
      </c>
      <c r="DKG361" s="628">
        <v>43891</v>
      </c>
      <c r="DKH361" s="628">
        <v>43922</v>
      </c>
      <c r="DKI361" s="628">
        <v>43952</v>
      </c>
      <c r="DKJ361" s="628">
        <v>43983</v>
      </c>
      <c r="DKK361" s="628">
        <v>44013</v>
      </c>
      <c r="DKL361" s="628">
        <v>44044</v>
      </c>
      <c r="DKM361" s="628">
        <v>44075</v>
      </c>
      <c r="DKN361" s="628">
        <v>44105</v>
      </c>
      <c r="DKO361" s="628">
        <v>44136</v>
      </c>
      <c r="DKP361" s="628">
        <v>44166</v>
      </c>
      <c r="DKQ361" s="629">
        <v>2020</v>
      </c>
      <c r="DKR361" s="630" t="s">
        <v>1870</v>
      </c>
      <c r="DKS361" s="626"/>
      <c r="DKT361" s="627" t="s">
        <v>1669</v>
      </c>
      <c r="DKU361" s="628">
        <v>43831</v>
      </c>
      <c r="DKV361" s="628">
        <v>43862</v>
      </c>
      <c r="DKW361" s="628">
        <v>43891</v>
      </c>
      <c r="DKX361" s="628">
        <v>43922</v>
      </c>
      <c r="DKY361" s="628">
        <v>43952</v>
      </c>
      <c r="DKZ361" s="628">
        <v>43983</v>
      </c>
      <c r="DLA361" s="628">
        <v>44013</v>
      </c>
      <c r="DLB361" s="628">
        <v>44044</v>
      </c>
      <c r="DLC361" s="628">
        <v>44075</v>
      </c>
      <c r="DLD361" s="628">
        <v>44105</v>
      </c>
      <c r="DLE361" s="628">
        <v>44136</v>
      </c>
      <c r="DLF361" s="628">
        <v>44166</v>
      </c>
      <c r="DLG361" s="629">
        <v>2020</v>
      </c>
      <c r="DLH361" s="630" t="s">
        <v>1870</v>
      </c>
      <c r="DLI361" s="626"/>
      <c r="DLJ361" s="627" t="s">
        <v>1669</v>
      </c>
      <c r="DLK361" s="628">
        <v>43831</v>
      </c>
      <c r="DLL361" s="628">
        <v>43862</v>
      </c>
      <c r="DLM361" s="628">
        <v>43891</v>
      </c>
      <c r="DLN361" s="628">
        <v>43922</v>
      </c>
      <c r="DLO361" s="628">
        <v>43952</v>
      </c>
      <c r="DLP361" s="628">
        <v>43983</v>
      </c>
      <c r="DLQ361" s="628">
        <v>44013</v>
      </c>
      <c r="DLR361" s="628">
        <v>44044</v>
      </c>
      <c r="DLS361" s="628">
        <v>44075</v>
      </c>
      <c r="DLT361" s="628">
        <v>44105</v>
      </c>
      <c r="DLU361" s="628">
        <v>44136</v>
      </c>
      <c r="DLV361" s="628">
        <v>44166</v>
      </c>
      <c r="DLW361" s="629">
        <v>2020</v>
      </c>
      <c r="DLX361" s="630" t="s">
        <v>1870</v>
      </c>
      <c r="DLY361" s="626"/>
      <c r="DLZ361" s="627" t="s">
        <v>1669</v>
      </c>
      <c r="DMA361" s="628">
        <v>43831</v>
      </c>
      <c r="DMB361" s="628">
        <v>43862</v>
      </c>
      <c r="DMC361" s="628">
        <v>43891</v>
      </c>
      <c r="DMD361" s="628">
        <v>43922</v>
      </c>
      <c r="DME361" s="628">
        <v>43952</v>
      </c>
      <c r="DMF361" s="628">
        <v>43983</v>
      </c>
      <c r="DMG361" s="628">
        <v>44013</v>
      </c>
      <c r="DMH361" s="628">
        <v>44044</v>
      </c>
      <c r="DMI361" s="628">
        <v>44075</v>
      </c>
      <c r="DMJ361" s="628">
        <v>44105</v>
      </c>
      <c r="DMK361" s="628">
        <v>44136</v>
      </c>
      <c r="DML361" s="628">
        <v>44166</v>
      </c>
      <c r="DMM361" s="629">
        <v>2020</v>
      </c>
      <c r="DMN361" s="630" t="s">
        <v>1870</v>
      </c>
      <c r="DMO361" s="626"/>
      <c r="DMP361" s="627" t="s">
        <v>1669</v>
      </c>
      <c r="DMQ361" s="628">
        <v>43831</v>
      </c>
      <c r="DMR361" s="628">
        <v>43862</v>
      </c>
      <c r="DMS361" s="628">
        <v>43891</v>
      </c>
      <c r="DMT361" s="628">
        <v>43922</v>
      </c>
      <c r="DMU361" s="628">
        <v>43952</v>
      </c>
      <c r="DMV361" s="628">
        <v>43983</v>
      </c>
      <c r="DMW361" s="628">
        <v>44013</v>
      </c>
      <c r="DMX361" s="628">
        <v>44044</v>
      </c>
      <c r="DMY361" s="628">
        <v>44075</v>
      </c>
      <c r="DMZ361" s="628">
        <v>44105</v>
      </c>
      <c r="DNA361" s="628">
        <v>44136</v>
      </c>
      <c r="DNB361" s="628">
        <v>44166</v>
      </c>
      <c r="DNC361" s="629">
        <v>2020</v>
      </c>
      <c r="DND361" s="630" t="s">
        <v>1870</v>
      </c>
      <c r="DNE361" s="626"/>
      <c r="DNF361" s="627" t="s">
        <v>1669</v>
      </c>
      <c r="DNG361" s="628">
        <v>43831</v>
      </c>
      <c r="DNH361" s="628">
        <v>43862</v>
      </c>
      <c r="DNI361" s="628">
        <v>43891</v>
      </c>
      <c r="DNJ361" s="628">
        <v>43922</v>
      </c>
      <c r="DNK361" s="628">
        <v>43952</v>
      </c>
      <c r="DNL361" s="628">
        <v>43983</v>
      </c>
      <c r="DNM361" s="628">
        <v>44013</v>
      </c>
      <c r="DNN361" s="628">
        <v>44044</v>
      </c>
      <c r="DNO361" s="628">
        <v>44075</v>
      </c>
      <c r="DNP361" s="628">
        <v>44105</v>
      </c>
      <c r="DNQ361" s="628">
        <v>44136</v>
      </c>
      <c r="DNR361" s="628">
        <v>44166</v>
      </c>
      <c r="DNS361" s="629">
        <v>2020</v>
      </c>
      <c r="DNT361" s="630" t="s">
        <v>1870</v>
      </c>
      <c r="DNU361" s="626"/>
      <c r="DNV361" s="627" t="s">
        <v>1669</v>
      </c>
      <c r="DNW361" s="628">
        <v>43831</v>
      </c>
      <c r="DNX361" s="628">
        <v>43862</v>
      </c>
      <c r="DNY361" s="628">
        <v>43891</v>
      </c>
      <c r="DNZ361" s="628">
        <v>43922</v>
      </c>
      <c r="DOA361" s="628">
        <v>43952</v>
      </c>
      <c r="DOB361" s="628">
        <v>43983</v>
      </c>
      <c r="DOC361" s="628">
        <v>44013</v>
      </c>
      <c r="DOD361" s="628">
        <v>44044</v>
      </c>
      <c r="DOE361" s="628">
        <v>44075</v>
      </c>
      <c r="DOF361" s="628">
        <v>44105</v>
      </c>
      <c r="DOG361" s="628">
        <v>44136</v>
      </c>
      <c r="DOH361" s="628">
        <v>44166</v>
      </c>
      <c r="DOI361" s="629">
        <v>2020</v>
      </c>
      <c r="DOJ361" s="630" t="s">
        <v>1870</v>
      </c>
      <c r="DOK361" s="626"/>
      <c r="DOL361" s="627" t="s">
        <v>1669</v>
      </c>
      <c r="DOM361" s="628">
        <v>43831</v>
      </c>
      <c r="DON361" s="628">
        <v>43862</v>
      </c>
      <c r="DOO361" s="628">
        <v>43891</v>
      </c>
      <c r="DOP361" s="628">
        <v>43922</v>
      </c>
      <c r="DOQ361" s="628">
        <v>43952</v>
      </c>
      <c r="DOR361" s="628">
        <v>43983</v>
      </c>
      <c r="DOS361" s="628">
        <v>44013</v>
      </c>
      <c r="DOT361" s="628">
        <v>44044</v>
      </c>
      <c r="DOU361" s="628">
        <v>44075</v>
      </c>
      <c r="DOV361" s="628">
        <v>44105</v>
      </c>
      <c r="DOW361" s="628">
        <v>44136</v>
      </c>
      <c r="DOX361" s="628">
        <v>44166</v>
      </c>
      <c r="DOY361" s="629">
        <v>2020</v>
      </c>
      <c r="DOZ361" s="630" t="s">
        <v>1870</v>
      </c>
      <c r="DPA361" s="626"/>
      <c r="DPB361" s="627" t="s">
        <v>1669</v>
      </c>
      <c r="DPC361" s="628">
        <v>43831</v>
      </c>
      <c r="DPD361" s="628">
        <v>43862</v>
      </c>
      <c r="DPE361" s="628">
        <v>43891</v>
      </c>
      <c r="DPF361" s="628">
        <v>43922</v>
      </c>
      <c r="DPG361" s="628">
        <v>43952</v>
      </c>
      <c r="DPH361" s="628">
        <v>43983</v>
      </c>
      <c r="DPI361" s="628">
        <v>44013</v>
      </c>
      <c r="DPJ361" s="628">
        <v>44044</v>
      </c>
      <c r="DPK361" s="628">
        <v>44075</v>
      </c>
      <c r="DPL361" s="628">
        <v>44105</v>
      </c>
      <c r="DPM361" s="628">
        <v>44136</v>
      </c>
      <c r="DPN361" s="628">
        <v>44166</v>
      </c>
      <c r="DPO361" s="629">
        <v>2020</v>
      </c>
      <c r="DPP361" s="630" t="s">
        <v>1870</v>
      </c>
      <c r="DPQ361" s="626"/>
      <c r="DPR361" s="627" t="s">
        <v>1669</v>
      </c>
      <c r="DPS361" s="628">
        <v>43831</v>
      </c>
      <c r="DPT361" s="628">
        <v>43862</v>
      </c>
      <c r="DPU361" s="628">
        <v>43891</v>
      </c>
      <c r="DPV361" s="628">
        <v>43922</v>
      </c>
      <c r="DPW361" s="628">
        <v>43952</v>
      </c>
      <c r="DPX361" s="628">
        <v>43983</v>
      </c>
      <c r="DPY361" s="628">
        <v>44013</v>
      </c>
      <c r="DPZ361" s="628">
        <v>44044</v>
      </c>
      <c r="DQA361" s="628">
        <v>44075</v>
      </c>
      <c r="DQB361" s="628">
        <v>44105</v>
      </c>
      <c r="DQC361" s="628">
        <v>44136</v>
      </c>
      <c r="DQD361" s="628">
        <v>44166</v>
      </c>
      <c r="DQE361" s="629">
        <v>2020</v>
      </c>
      <c r="DQF361" s="630" t="s">
        <v>1870</v>
      </c>
      <c r="DQG361" s="626"/>
      <c r="DQH361" s="627" t="s">
        <v>1669</v>
      </c>
      <c r="DQI361" s="628">
        <v>43831</v>
      </c>
      <c r="DQJ361" s="628">
        <v>43862</v>
      </c>
      <c r="DQK361" s="628">
        <v>43891</v>
      </c>
      <c r="DQL361" s="628">
        <v>43922</v>
      </c>
      <c r="DQM361" s="628">
        <v>43952</v>
      </c>
      <c r="DQN361" s="628">
        <v>43983</v>
      </c>
      <c r="DQO361" s="628">
        <v>44013</v>
      </c>
      <c r="DQP361" s="628">
        <v>44044</v>
      </c>
      <c r="DQQ361" s="628">
        <v>44075</v>
      </c>
      <c r="DQR361" s="628">
        <v>44105</v>
      </c>
      <c r="DQS361" s="628">
        <v>44136</v>
      </c>
      <c r="DQT361" s="628">
        <v>44166</v>
      </c>
      <c r="DQU361" s="629">
        <v>2020</v>
      </c>
      <c r="DQV361" s="630" t="s">
        <v>1870</v>
      </c>
      <c r="DQW361" s="626"/>
      <c r="DQX361" s="627" t="s">
        <v>1669</v>
      </c>
      <c r="DQY361" s="628">
        <v>43831</v>
      </c>
      <c r="DQZ361" s="628">
        <v>43862</v>
      </c>
      <c r="DRA361" s="628">
        <v>43891</v>
      </c>
      <c r="DRB361" s="628">
        <v>43922</v>
      </c>
      <c r="DRC361" s="628">
        <v>43952</v>
      </c>
      <c r="DRD361" s="628">
        <v>43983</v>
      </c>
      <c r="DRE361" s="628">
        <v>44013</v>
      </c>
      <c r="DRF361" s="628">
        <v>44044</v>
      </c>
      <c r="DRG361" s="628">
        <v>44075</v>
      </c>
      <c r="DRH361" s="628">
        <v>44105</v>
      </c>
      <c r="DRI361" s="628">
        <v>44136</v>
      </c>
      <c r="DRJ361" s="628">
        <v>44166</v>
      </c>
      <c r="DRK361" s="629">
        <v>2020</v>
      </c>
      <c r="DRL361" s="630" t="s">
        <v>1870</v>
      </c>
      <c r="DRM361" s="626"/>
      <c r="DRN361" s="627" t="s">
        <v>1669</v>
      </c>
      <c r="DRO361" s="628">
        <v>43831</v>
      </c>
      <c r="DRP361" s="628">
        <v>43862</v>
      </c>
      <c r="DRQ361" s="628">
        <v>43891</v>
      </c>
      <c r="DRR361" s="628">
        <v>43922</v>
      </c>
      <c r="DRS361" s="628">
        <v>43952</v>
      </c>
      <c r="DRT361" s="628">
        <v>43983</v>
      </c>
      <c r="DRU361" s="628">
        <v>44013</v>
      </c>
      <c r="DRV361" s="628">
        <v>44044</v>
      </c>
      <c r="DRW361" s="628">
        <v>44075</v>
      </c>
      <c r="DRX361" s="628">
        <v>44105</v>
      </c>
      <c r="DRY361" s="628">
        <v>44136</v>
      </c>
      <c r="DRZ361" s="628">
        <v>44166</v>
      </c>
      <c r="DSA361" s="629">
        <v>2020</v>
      </c>
      <c r="DSB361" s="630" t="s">
        <v>1870</v>
      </c>
      <c r="DSC361" s="626"/>
      <c r="DSD361" s="627" t="s">
        <v>1669</v>
      </c>
      <c r="DSE361" s="628">
        <v>43831</v>
      </c>
      <c r="DSF361" s="628">
        <v>43862</v>
      </c>
      <c r="DSG361" s="628">
        <v>43891</v>
      </c>
      <c r="DSH361" s="628">
        <v>43922</v>
      </c>
      <c r="DSI361" s="628">
        <v>43952</v>
      </c>
      <c r="DSJ361" s="628">
        <v>43983</v>
      </c>
      <c r="DSK361" s="628">
        <v>44013</v>
      </c>
      <c r="DSL361" s="628">
        <v>44044</v>
      </c>
      <c r="DSM361" s="628">
        <v>44075</v>
      </c>
      <c r="DSN361" s="628">
        <v>44105</v>
      </c>
      <c r="DSO361" s="628">
        <v>44136</v>
      </c>
      <c r="DSP361" s="628">
        <v>44166</v>
      </c>
      <c r="DSQ361" s="629">
        <v>2020</v>
      </c>
      <c r="DSR361" s="630" t="s">
        <v>1870</v>
      </c>
      <c r="DSS361" s="626"/>
      <c r="DST361" s="627" t="s">
        <v>1669</v>
      </c>
      <c r="DSU361" s="628">
        <v>43831</v>
      </c>
      <c r="DSV361" s="628">
        <v>43862</v>
      </c>
      <c r="DSW361" s="628">
        <v>43891</v>
      </c>
      <c r="DSX361" s="628">
        <v>43922</v>
      </c>
      <c r="DSY361" s="628">
        <v>43952</v>
      </c>
      <c r="DSZ361" s="628">
        <v>43983</v>
      </c>
      <c r="DTA361" s="628">
        <v>44013</v>
      </c>
      <c r="DTB361" s="628">
        <v>44044</v>
      </c>
      <c r="DTC361" s="628">
        <v>44075</v>
      </c>
      <c r="DTD361" s="628">
        <v>44105</v>
      </c>
      <c r="DTE361" s="628">
        <v>44136</v>
      </c>
      <c r="DTF361" s="628">
        <v>44166</v>
      </c>
      <c r="DTG361" s="629">
        <v>2020</v>
      </c>
      <c r="DTH361" s="630" t="s">
        <v>1870</v>
      </c>
      <c r="DTI361" s="626"/>
      <c r="DTJ361" s="627" t="s">
        <v>1669</v>
      </c>
      <c r="DTK361" s="628">
        <v>43831</v>
      </c>
      <c r="DTL361" s="628">
        <v>43862</v>
      </c>
      <c r="DTM361" s="628">
        <v>43891</v>
      </c>
      <c r="DTN361" s="628">
        <v>43922</v>
      </c>
      <c r="DTO361" s="628">
        <v>43952</v>
      </c>
      <c r="DTP361" s="628">
        <v>43983</v>
      </c>
      <c r="DTQ361" s="628">
        <v>44013</v>
      </c>
      <c r="DTR361" s="628">
        <v>44044</v>
      </c>
      <c r="DTS361" s="628">
        <v>44075</v>
      </c>
      <c r="DTT361" s="628">
        <v>44105</v>
      </c>
      <c r="DTU361" s="628">
        <v>44136</v>
      </c>
      <c r="DTV361" s="628">
        <v>44166</v>
      </c>
      <c r="DTW361" s="629">
        <v>2020</v>
      </c>
      <c r="DTX361" s="630" t="s">
        <v>1870</v>
      </c>
      <c r="DTY361" s="626"/>
      <c r="DTZ361" s="627" t="s">
        <v>1669</v>
      </c>
      <c r="DUA361" s="628">
        <v>43831</v>
      </c>
      <c r="DUB361" s="628">
        <v>43862</v>
      </c>
      <c r="DUC361" s="628">
        <v>43891</v>
      </c>
      <c r="DUD361" s="628">
        <v>43922</v>
      </c>
      <c r="DUE361" s="628">
        <v>43952</v>
      </c>
      <c r="DUF361" s="628">
        <v>43983</v>
      </c>
      <c r="DUG361" s="628">
        <v>44013</v>
      </c>
      <c r="DUH361" s="628">
        <v>44044</v>
      </c>
      <c r="DUI361" s="628">
        <v>44075</v>
      </c>
      <c r="DUJ361" s="628">
        <v>44105</v>
      </c>
      <c r="DUK361" s="628">
        <v>44136</v>
      </c>
      <c r="DUL361" s="628">
        <v>44166</v>
      </c>
      <c r="DUM361" s="629">
        <v>2020</v>
      </c>
      <c r="DUN361" s="630" t="s">
        <v>1870</v>
      </c>
      <c r="DUO361" s="626"/>
      <c r="DUP361" s="627" t="s">
        <v>1669</v>
      </c>
      <c r="DUQ361" s="628">
        <v>43831</v>
      </c>
      <c r="DUR361" s="628">
        <v>43862</v>
      </c>
      <c r="DUS361" s="628">
        <v>43891</v>
      </c>
      <c r="DUT361" s="628">
        <v>43922</v>
      </c>
      <c r="DUU361" s="628">
        <v>43952</v>
      </c>
      <c r="DUV361" s="628">
        <v>43983</v>
      </c>
      <c r="DUW361" s="628">
        <v>44013</v>
      </c>
      <c r="DUX361" s="628">
        <v>44044</v>
      </c>
      <c r="DUY361" s="628">
        <v>44075</v>
      </c>
      <c r="DUZ361" s="628">
        <v>44105</v>
      </c>
      <c r="DVA361" s="628">
        <v>44136</v>
      </c>
      <c r="DVB361" s="628">
        <v>44166</v>
      </c>
      <c r="DVC361" s="629">
        <v>2020</v>
      </c>
      <c r="DVD361" s="630" t="s">
        <v>1870</v>
      </c>
      <c r="DVE361" s="626"/>
      <c r="DVF361" s="627" t="s">
        <v>1669</v>
      </c>
      <c r="DVG361" s="628">
        <v>43831</v>
      </c>
      <c r="DVH361" s="628">
        <v>43862</v>
      </c>
      <c r="DVI361" s="628">
        <v>43891</v>
      </c>
      <c r="DVJ361" s="628">
        <v>43922</v>
      </c>
      <c r="DVK361" s="628">
        <v>43952</v>
      </c>
      <c r="DVL361" s="628">
        <v>43983</v>
      </c>
      <c r="DVM361" s="628">
        <v>44013</v>
      </c>
      <c r="DVN361" s="628">
        <v>44044</v>
      </c>
      <c r="DVO361" s="628">
        <v>44075</v>
      </c>
      <c r="DVP361" s="628">
        <v>44105</v>
      </c>
      <c r="DVQ361" s="628">
        <v>44136</v>
      </c>
      <c r="DVR361" s="628">
        <v>44166</v>
      </c>
      <c r="DVS361" s="629">
        <v>2020</v>
      </c>
      <c r="DVT361" s="630" t="s">
        <v>1870</v>
      </c>
      <c r="DVU361" s="626"/>
      <c r="DVV361" s="627" t="s">
        <v>1669</v>
      </c>
      <c r="DVW361" s="628">
        <v>43831</v>
      </c>
      <c r="DVX361" s="628">
        <v>43862</v>
      </c>
      <c r="DVY361" s="628">
        <v>43891</v>
      </c>
      <c r="DVZ361" s="628">
        <v>43922</v>
      </c>
      <c r="DWA361" s="628">
        <v>43952</v>
      </c>
      <c r="DWB361" s="628">
        <v>43983</v>
      </c>
      <c r="DWC361" s="628">
        <v>44013</v>
      </c>
      <c r="DWD361" s="628">
        <v>44044</v>
      </c>
      <c r="DWE361" s="628">
        <v>44075</v>
      </c>
      <c r="DWF361" s="628">
        <v>44105</v>
      </c>
      <c r="DWG361" s="628">
        <v>44136</v>
      </c>
      <c r="DWH361" s="628">
        <v>44166</v>
      </c>
      <c r="DWI361" s="629">
        <v>2020</v>
      </c>
      <c r="DWJ361" s="630" t="s">
        <v>1870</v>
      </c>
      <c r="DWK361" s="626"/>
      <c r="DWL361" s="627" t="s">
        <v>1669</v>
      </c>
      <c r="DWM361" s="628">
        <v>43831</v>
      </c>
      <c r="DWN361" s="628">
        <v>43862</v>
      </c>
      <c r="DWO361" s="628">
        <v>43891</v>
      </c>
      <c r="DWP361" s="628">
        <v>43922</v>
      </c>
      <c r="DWQ361" s="628">
        <v>43952</v>
      </c>
      <c r="DWR361" s="628">
        <v>43983</v>
      </c>
      <c r="DWS361" s="628">
        <v>44013</v>
      </c>
      <c r="DWT361" s="628">
        <v>44044</v>
      </c>
      <c r="DWU361" s="628">
        <v>44075</v>
      </c>
      <c r="DWV361" s="628">
        <v>44105</v>
      </c>
      <c r="DWW361" s="628">
        <v>44136</v>
      </c>
      <c r="DWX361" s="628">
        <v>44166</v>
      </c>
      <c r="DWY361" s="629">
        <v>2020</v>
      </c>
      <c r="DWZ361" s="630" t="s">
        <v>1870</v>
      </c>
      <c r="DXA361" s="626"/>
      <c r="DXB361" s="627" t="s">
        <v>1669</v>
      </c>
      <c r="DXC361" s="628">
        <v>43831</v>
      </c>
      <c r="DXD361" s="628">
        <v>43862</v>
      </c>
      <c r="DXE361" s="628">
        <v>43891</v>
      </c>
      <c r="DXF361" s="628">
        <v>43922</v>
      </c>
      <c r="DXG361" s="628">
        <v>43952</v>
      </c>
      <c r="DXH361" s="628">
        <v>43983</v>
      </c>
      <c r="DXI361" s="628">
        <v>44013</v>
      </c>
      <c r="DXJ361" s="628">
        <v>44044</v>
      </c>
      <c r="DXK361" s="628">
        <v>44075</v>
      </c>
      <c r="DXL361" s="628">
        <v>44105</v>
      </c>
      <c r="DXM361" s="628">
        <v>44136</v>
      </c>
      <c r="DXN361" s="628">
        <v>44166</v>
      </c>
      <c r="DXO361" s="629">
        <v>2020</v>
      </c>
      <c r="DXP361" s="630" t="s">
        <v>1870</v>
      </c>
      <c r="DXQ361" s="626"/>
      <c r="DXR361" s="627" t="s">
        <v>1669</v>
      </c>
      <c r="DXS361" s="628">
        <v>43831</v>
      </c>
      <c r="DXT361" s="628">
        <v>43862</v>
      </c>
      <c r="DXU361" s="628">
        <v>43891</v>
      </c>
      <c r="DXV361" s="628">
        <v>43922</v>
      </c>
      <c r="DXW361" s="628">
        <v>43952</v>
      </c>
      <c r="DXX361" s="628">
        <v>43983</v>
      </c>
      <c r="DXY361" s="628">
        <v>44013</v>
      </c>
      <c r="DXZ361" s="628">
        <v>44044</v>
      </c>
      <c r="DYA361" s="628">
        <v>44075</v>
      </c>
      <c r="DYB361" s="628">
        <v>44105</v>
      </c>
      <c r="DYC361" s="628">
        <v>44136</v>
      </c>
      <c r="DYD361" s="628">
        <v>44166</v>
      </c>
      <c r="DYE361" s="629">
        <v>2020</v>
      </c>
      <c r="DYF361" s="630" t="s">
        <v>1870</v>
      </c>
      <c r="DYG361" s="626"/>
      <c r="DYH361" s="627" t="s">
        <v>1669</v>
      </c>
      <c r="DYI361" s="628">
        <v>43831</v>
      </c>
      <c r="DYJ361" s="628">
        <v>43862</v>
      </c>
      <c r="DYK361" s="628">
        <v>43891</v>
      </c>
      <c r="DYL361" s="628">
        <v>43922</v>
      </c>
      <c r="DYM361" s="628">
        <v>43952</v>
      </c>
      <c r="DYN361" s="628">
        <v>43983</v>
      </c>
      <c r="DYO361" s="628">
        <v>44013</v>
      </c>
      <c r="DYP361" s="628">
        <v>44044</v>
      </c>
      <c r="DYQ361" s="628">
        <v>44075</v>
      </c>
      <c r="DYR361" s="628">
        <v>44105</v>
      </c>
      <c r="DYS361" s="628">
        <v>44136</v>
      </c>
      <c r="DYT361" s="628">
        <v>44166</v>
      </c>
      <c r="DYU361" s="629">
        <v>2020</v>
      </c>
      <c r="DYV361" s="630" t="s">
        <v>1870</v>
      </c>
      <c r="DYW361" s="626"/>
      <c r="DYX361" s="627" t="s">
        <v>1669</v>
      </c>
      <c r="DYY361" s="628">
        <v>43831</v>
      </c>
      <c r="DYZ361" s="628">
        <v>43862</v>
      </c>
      <c r="DZA361" s="628">
        <v>43891</v>
      </c>
      <c r="DZB361" s="628">
        <v>43922</v>
      </c>
      <c r="DZC361" s="628">
        <v>43952</v>
      </c>
      <c r="DZD361" s="628">
        <v>43983</v>
      </c>
      <c r="DZE361" s="628">
        <v>44013</v>
      </c>
      <c r="DZF361" s="628">
        <v>44044</v>
      </c>
      <c r="DZG361" s="628">
        <v>44075</v>
      </c>
      <c r="DZH361" s="628">
        <v>44105</v>
      </c>
      <c r="DZI361" s="628">
        <v>44136</v>
      </c>
      <c r="DZJ361" s="628">
        <v>44166</v>
      </c>
      <c r="DZK361" s="629">
        <v>2020</v>
      </c>
      <c r="DZL361" s="630" t="s">
        <v>1870</v>
      </c>
      <c r="DZM361" s="626"/>
      <c r="DZN361" s="627" t="s">
        <v>1669</v>
      </c>
      <c r="DZO361" s="628">
        <v>43831</v>
      </c>
      <c r="DZP361" s="628">
        <v>43862</v>
      </c>
      <c r="DZQ361" s="628">
        <v>43891</v>
      </c>
      <c r="DZR361" s="628">
        <v>43922</v>
      </c>
      <c r="DZS361" s="628">
        <v>43952</v>
      </c>
      <c r="DZT361" s="628">
        <v>43983</v>
      </c>
      <c r="DZU361" s="628">
        <v>44013</v>
      </c>
      <c r="DZV361" s="628">
        <v>44044</v>
      </c>
      <c r="DZW361" s="628">
        <v>44075</v>
      </c>
      <c r="DZX361" s="628">
        <v>44105</v>
      </c>
      <c r="DZY361" s="628">
        <v>44136</v>
      </c>
      <c r="DZZ361" s="628">
        <v>44166</v>
      </c>
      <c r="EAA361" s="629">
        <v>2020</v>
      </c>
      <c r="EAB361" s="630" t="s">
        <v>1870</v>
      </c>
      <c r="EAC361" s="626"/>
      <c r="EAD361" s="627" t="s">
        <v>1669</v>
      </c>
      <c r="EAE361" s="628">
        <v>43831</v>
      </c>
      <c r="EAF361" s="628">
        <v>43862</v>
      </c>
      <c r="EAG361" s="628">
        <v>43891</v>
      </c>
      <c r="EAH361" s="628">
        <v>43922</v>
      </c>
      <c r="EAI361" s="628">
        <v>43952</v>
      </c>
      <c r="EAJ361" s="628">
        <v>43983</v>
      </c>
      <c r="EAK361" s="628">
        <v>44013</v>
      </c>
      <c r="EAL361" s="628">
        <v>44044</v>
      </c>
      <c r="EAM361" s="628">
        <v>44075</v>
      </c>
      <c r="EAN361" s="628">
        <v>44105</v>
      </c>
      <c r="EAO361" s="628">
        <v>44136</v>
      </c>
      <c r="EAP361" s="628">
        <v>44166</v>
      </c>
      <c r="EAQ361" s="629">
        <v>2020</v>
      </c>
      <c r="EAR361" s="630" t="s">
        <v>1870</v>
      </c>
      <c r="EAS361" s="626"/>
      <c r="EAT361" s="627" t="s">
        <v>1669</v>
      </c>
      <c r="EAU361" s="628">
        <v>43831</v>
      </c>
      <c r="EAV361" s="628">
        <v>43862</v>
      </c>
      <c r="EAW361" s="628">
        <v>43891</v>
      </c>
      <c r="EAX361" s="628">
        <v>43922</v>
      </c>
      <c r="EAY361" s="628">
        <v>43952</v>
      </c>
      <c r="EAZ361" s="628">
        <v>43983</v>
      </c>
      <c r="EBA361" s="628">
        <v>44013</v>
      </c>
      <c r="EBB361" s="628">
        <v>44044</v>
      </c>
      <c r="EBC361" s="628">
        <v>44075</v>
      </c>
      <c r="EBD361" s="628">
        <v>44105</v>
      </c>
      <c r="EBE361" s="628">
        <v>44136</v>
      </c>
      <c r="EBF361" s="628">
        <v>44166</v>
      </c>
      <c r="EBG361" s="629">
        <v>2020</v>
      </c>
      <c r="EBH361" s="630" t="s">
        <v>1870</v>
      </c>
      <c r="EBI361" s="626"/>
      <c r="EBJ361" s="627" t="s">
        <v>1669</v>
      </c>
      <c r="EBK361" s="628">
        <v>43831</v>
      </c>
      <c r="EBL361" s="628">
        <v>43862</v>
      </c>
      <c r="EBM361" s="628">
        <v>43891</v>
      </c>
      <c r="EBN361" s="628">
        <v>43922</v>
      </c>
      <c r="EBO361" s="628">
        <v>43952</v>
      </c>
      <c r="EBP361" s="628">
        <v>43983</v>
      </c>
      <c r="EBQ361" s="628">
        <v>44013</v>
      </c>
      <c r="EBR361" s="628">
        <v>44044</v>
      </c>
      <c r="EBS361" s="628">
        <v>44075</v>
      </c>
      <c r="EBT361" s="628">
        <v>44105</v>
      </c>
      <c r="EBU361" s="628">
        <v>44136</v>
      </c>
      <c r="EBV361" s="628">
        <v>44166</v>
      </c>
      <c r="EBW361" s="629">
        <v>2020</v>
      </c>
      <c r="EBX361" s="630" t="s">
        <v>1870</v>
      </c>
      <c r="EBY361" s="626"/>
      <c r="EBZ361" s="627" t="s">
        <v>1669</v>
      </c>
      <c r="ECA361" s="628">
        <v>43831</v>
      </c>
      <c r="ECB361" s="628">
        <v>43862</v>
      </c>
      <c r="ECC361" s="628">
        <v>43891</v>
      </c>
      <c r="ECD361" s="628">
        <v>43922</v>
      </c>
      <c r="ECE361" s="628">
        <v>43952</v>
      </c>
      <c r="ECF361" s="628">
        <v>43983</v>
      </c>
      <c r="ECG361" s="628">
        <v>44013</v>
      </c>
      <c r="ECH361" s="628">
        <v>44044</v>
      </c>
      <c r="ECI361" s="628">
        <v>44075</v>
      </c>
      <c r="ECJ361" s="628">
        <v>44105</v>
      </c>
      <c r="ECK361" s="628">
        <v>44136</v>
      </c>
      <c r="ECL361" s="628">
        <v>44166</v>
      </c>
      <c r="ECM361" s="629">
        <v>2020</v>
      </c>
      <c r="ECN361" s="630" t="s">
        <v>1870</v>
      </c>
      <c r="ECO361" s="626"/>
      <c r="ECP361" s="627" t="s">
        <v>1669</v>
      </c>
      <c r="ECQ361" s="628">
        <v>43831</v>
      </c>
      <c r="ECR361" s="628">
        <v>43862</v>
      </c>
      <c r="ECS361" s="628">
        <v>43891</v>
      </c>
      <c r="ECT361" s="628">
        <v>43922</v>
      </c>
      <c r="ECU361" s="628">
        <v>43952</v>
      </c>
      <c r="ECV361" s="628">
        <v>43983</v>
      </c>
      <c r="ECW361" s="628">
        <v>44013</v>
      </c>
      <c r="ECX361" s="628">
        <v>44044</v>
      </c>
      <c r="ECY361" s="628">
        <v>44075</v>
      </c>
      <c r="ECZ361" s="628">
        <v>44105</v>
      </c>
      <c r="EDA361" s="628">
        <v>44136</v>
      </c>
      <c r="EDB361" s="628">
        <v>44166</v>
      </c>
      <c r="EDC361" s="629">
        <v>2020</v>
      </c>
      <c r="EDD361" s="630" t="s">
        <v>1870</v>
      </c>
      <c r="EDE361" s="626"/>
      <c r="EDF361" s="627" t="s">
        <v>1669</v>
      </c>
      <c r="EDG361" s="628">
        <v>43831</v>
      </c>
      <c r="EDH361" s="628">
        <v>43862</v>
      </c>
      <c r="EDI361" s="628">
        <v>43891</v>
      </c>
      <c r="EDJ361" s="628">
        <v>43922</v>
      </c>
      <c r="EDK361" s="628">
        <v>43952</v>
      </c>
      <c r="EDL361" s="628">
        <v>43983</v>
      </c>
      <c r="EDM361" s="628">
        <v>44013</v>
      </c>
      <c r="EDN361" s="628">
        <v>44044</v>
      </c>
      <c r="EDO361" s="628">
        <v>44075</v>
      </c>
      <c r="EDP361" s="628">
        <v>44105</v>
      </c>
      <c r="EDQ361" s="628">
        <v>44136</v>
      </c>
      <c r="EDR361" s="628">
        <v>44166</v>
      </c>
      <c r="EDS361" s="629">
        <v>2020</v>
      </c>
      <c r="EDT361" s="630" t="s">
        <v>1870</v>
      </c>
      <c r="EDU361" s="626"/>
      <c r="EDV361" s="627" t="s">
        <v>1669</v>
      </c>
      <c r="EDW361" s="628">
        <v>43831</v>
      </c>
      <c r="EDX361" s="628">
        <v>43862</v>
      </c>
      <c r="EDY361" s="628">
        <v>43891</v>
      </c>
      <c r="EDZ361" s="628">
        <v>43922</v>
      </c>
      <c r="EEA361" s="628">
        <v>43952</v>
      </c>
      <c r="EEB361" s="628">
        <v>43983</v>
      </c>
      <c r="EEC361" s="628">
        <v>44013</v>
      </c>
      <c r="EED361" s="628">
        <v>44044</v>
      </c>
      <c r="EEE361" s="628">
        <v>44075</v>
      </c>
      <c r="EEF361" s="628">
        <v>44105</v>
      </c>
      <c r="EEG361" s="628">
        <v>44136</v>
      </c>
      <c r="EEH361" s="628">
        <v>44166</v>
      </c>
      <c r="EEI361" s="629">
        <v>2020</v>
      </c>
      <c r="EEJ361" s="630" t="s">
        <v>1870</v>
      </c>
      <c r="EEK361" s="626"/>
      <c r="EEL361" s="627" t="s">
        <v>1669</v>
      </c>
      <c r="EEM361" s="628">
        <v>43831</v>
      </c>
      <c r="EEN361" s="628">
        <v>43862</v>
      </c>
      <c r="EEO361" s="628">
        <v>43891</v>
      </c>
      <c r="EEP361" s="628">
        <v>43922</v>
      </c>
      <c r="EEQ361" s="628">
        <v>43952</v>
      </c>
      <c r="EER361" s="628">
        <v>43983</v>
      </c>
      <c r="EES361" s="628">
        <v>44013</v>
      </c>
      <c r="EET361" s="628">
        <v>44044</v>
      </c>
      <c r="EEU361" s="628">
        <v>44075</v>
      </c>
      <c r="EEV361" s="628">
        <v>44105</v>
      </c>
      <c r="EEW361" s="628">
        <v>44136</v>
      </c>
      <c r="EEX361" s="628">
        <v>44166</v>
      </c>
      <c r="EEY361" s="629">
        <v>2020</v>
      </c>
      <c r="EEZ361" s="630" t="s">
        <v>1870</v>
      </c>
      <c r="EFA361" s="626"/>
      <c r="EFB361" s="627" t="s">
        <v>1669</v>
      </c>
      <c r="EFC361" s="628">
        <v>43831</v>
      </c>
      <c r="EFD361" s="628">
        <v>43862</v>
      </c>
      <c r="EFE361" s="628">
        <v>43891</v>
      </c>
      <c r="EFF361" s="628">
        <v>43922</v>
      </c>
      <c r="EFG361" s="628">
        <v>43952</v>
      </c>
      <c r="EFH361" s="628">
        <v>43983</v>
      </c>
      <c r="EFI361" s="628">
        <v>44013</v>
      </c>
      <c r="EFJ361" s="628">
        <v>44044</v>
      </c>
      <c r="EFK361" s="628">
        <v>44075</v>
      </c>
      <c r="EFL361" s="628">
        <v>44105</v>
      </c>
      <c r="EFM361" s="628">
        <v>44136</v>
      </c>
      <c r="EFN361" s="628">
        <v>44166</v>
      </c>
      <c r="EFO361" s="629">
        <v>2020</v>
      </c>
      <c r="EFP361" s="630" t="s">
        <v>1870</v>
      </c>
      <c r="EFQ361" s="626"/>
      <c r="EFR361" s="627" t="s">
        <v>1669</v>
      </c>
      <c r="EFS361" s="628">
        <v>43831</v>
      </c>
      <c r="EFT361" s="628">
        <v>43862</v>
      </c>
      <c r="EFU361" s="628">
        <v>43891</v>
      </c>
      <c r="EFV361" s="628">
        <v>43922</v>
      </c>
      <c r="EFW361" s="628">
        <v>43952</v>
      </c>
      <c r="EFX361" s="628">
        <v>43983</v>
      </c>
      <c r="EFY361" s="628">
        <v>44013</v>
      </c>
      <c r="EFZ361" s="628">
        <v>44044</v>
      </c>
      <c r="EGA361" s="628">
        <v>44075</v>
      </c>
      <c r="EGB361" s="628">
        <v>44105</v>
      </c>
      <c r="EGC361" s="628">
        <v>44136</v>
      </c>
      <c r="EGD361" s="628">
        <v>44166</v>
      </c>
      <c r="EGE361" s="629">
        <v>2020</v>
      </c>
      <c r="EGF361" s="630" t="s">
        <v>1870</v>
      </c>
      <c r="EGG361" s="626"/>
      <c r="EGH361" s="627" t="s">
        <v>1669</v>
      </c>
      <c r="EGI361" s="628">
        <v>43831</v>
      </c>
      <c r="EGJ361" s="628">
        <v>43862</v>
      </c>
      <c r="EGK361" s="628">
        <v>43891</v>
      </c>
      <c r="EGL361" s="628">
        <v>43922</v>
      </c>
      <c r="EGM361" s="628">
        <v>43952</v>
      </c>
      <c r="EGN361" s="628">
        <v>43983</v>
      </c>
      <c r="EGO361" s="628">
        <v>44013</v>
      </c>
      <c r="EGP361" s="628">
        <v>44044</v>
      </c>
      <c r="EGQ361" s="628">
        <v>44075</v>
      </c>
      <c r="EGR361" s="628">
        <v>44105</v>
      </c>
      <c r="EGS361" s="628">
        <v>44136</v>
      </c>
      <c r="EGT361" s="628">
        <v>44166</v>
      </c>
      <c r="EGU361" s="629">
        <v>2020</v>
      </c>
      <c r="EGV361" s="630" t="s">
        <v>1870</v>
      </c>
      <c r="EGW361" s="626"/>
      <c r="EGX361" s="627" t="s">
        <v>1669</v>
      </c>
      <c r="EGY361" s="628">
        <v>43831</v>
      </c>
      <c r="EGZ361" s="628">
        <v>43862</v>
      </c>
      <c r="EHA361" s="628">
        <v>43891</v>
      </c>
      <c r="EHB361" s="628">
        <v>43922</v>
      </c>
      <c r="EHC361" s="628">
        <v>43952</v>
      </c>
      <c r="EHD361" s="628">
        <v>43983</v>
      </c>
      <c r="EHE361" s="628">
        <v>44013</v>
      </c>
      <c r="EHF361" s="628">
        <v>44044</v>
      </c>
      <c r="EHG361" s="628">
        <v>44075</v>
      </c>
      <c r="EHH361" s="628">
        <v>44105</v>
      </c>
      <c r="EHI361" s="628">
        <v>44136</v>
      </c>
      <c r="EHJ361" s="628">
        <v>44166</v>
      </c>
      <c r="EHK361" s="629">
        <v>2020</v>
      </c>
      <c r="EHL361" s="630" t="s">
        <v>1870</v>
      </c>
      <c r="EHM361" s="626"/>
      <c r="EHN361" s="627" t="s">
        <v>1669</v>
      </c>
      <c r="EHO361" s="628">
        <v>43831</v>
      </c>
      <c r="EHP361" s="628">
        <v>43862</v>
      </c>
      <c r="EHQ361" s="628">
        <v>43891</v>
      </c>
      <c r="EHR361" s="628">
        <v>43922</v>
      </c>
      <c r="EHS361" s="628">
        <v>43952</v>
      </c>
      <c r="EHT361" s="628">
        <v>43983</v>
      </c>
      <c r="EHU361" s="628">
        <v>44013</v>
      </c>
      <c r="EHV361" s="628">
        <v>44044</v>
      </c>
      <c r="EHW361" s="628">
        <v>44075</v>
      </c>
      <c r="EHX361" s="628">
        <v>44105</v>
      </c>
      <c r="EHY361" s="628">
        <v>44136</v>
      </c>
      <c r="EHZ361" s="628">
        <v>44166</v>
      </c>
      <c r="EIA361" s="629">
        <v>2020</v>
      </c>
      <c r="EIB361" s="630" t="s">
        <v>1870</v>
      </c>
      <c r="EIC361" s="626"/>
      <c r="EID361" s="627" t="s">
        <v>1669</v>
      </c>
      <c r="EIE361" s="628">
        <v>43831</v>
      </c>
      <c r="EIF361" s="628">
        <v>43862</v>
      </c>
      <c r="EIG361" s="628">
        <v>43891</v>
      </c>
      <c r="EIH361" s="628">
        <v>43922</v>
      </c>
      <c r="EII361" s="628">
        <v>43952</v>
      </c>
      <c r="EIJ361" s="628">
        <v>43983</v>
      </c>
      <c r="EIK361" s="628">
        <v>44013</v>
      </c>
      <c r="EIL361" s="628">
        <v>44044</v>
      </c>
      <c r="EIM361" s="628">
        <v>44075</v>
      </c>
      <c r="EIN361" s="628">
        <v>44105</v>
      </c>
      <c r="EIO361" s="628">
        <v>44136</v>
      </c>
      <c r="EIP361" s="628">
        <v>44166</v>
      </c>
      <c r="EIQ361" s="629">
        <v>2020</v>
      </c>
      <c r="EIR361" s="630" t="s">
        <v>1870</v>
      </c>
      <c r="EIS361" s="626"/>
      <c r="EIT361" s="627" t="s">
        <v>1669</v>
      </c>
      <c r="EIU361" s="628">
        <v>43831</v>
      </c>
      <c r="EIV361" s="628">
        <v>43862</v>
      </c>
      <c r="EIW361" s="628">
        <v>43891</v>
      </c>
      <c r="EIX361" s="628">
        <v>43922</v>
      </c>
      <c r="EIY361" s="628">
        <v>43952</v>
      </c>
      <c r="EIZ361" s="628">
        <v>43983</v>
      </c>
      <c r="EJA361" s="628">
        <v>44013</v>
      </c>
      <c r="EJB361" s="628">
        <v>44044</v>
      </c>
      <c r="EJC361" s="628">
        <v>44075</v>
      </c>
      <c r="EJD361" s="628">
        <v>44105</v>
      </c>
      <c r="EJE361" s="628">
        <v>44136</v>
      </c>
      <c r="EJF361" s="628">
        <v>44166</v>
      </c>
      <c r="EJG361" s="629">
        <v>2020</v>
      </c>
      <c r="EJH361" s="630" t="s">
        <v>1870</v>
      </c>
      <c r="EJI361" s="626"/>
      <c r="EJJ361" s="627" t="s">
        <v>1669</v>
      </c>
      <c r="EJK361" s="628">
        <v>43831</v>
      </c>
      <c r="EJL361" s="628">
        <v>43862</v>
      </c>
      <c r="EJM361" s="628">
        <v>43891</v>
      </c>
      <c r="EJN361" s="628">
        <v>43922</v>
      </c>
      <c r="EJO361" s="628">
        <v>43952</v>
      </c>
      <c r="EJP361" s="628">
        <v>43983</v>
      </c>
      <c r="EJQ361" s="628">
        <v>44013</v>
      </c>
      <c r="EJR361" s="628">
        <v>44044</v>
      </c>
      <c r="EJS361" s="628">
        <v>44075</v>
      </c>
      <c r="EJT361" s="628">
        <v>44105</v>
      </c>
      <c r="EJU361" s="628">
        <v>44136</v>
      </c>
      <c r="EJV361" s="628">
        <v>44166</v>
      </c>
      <c r="EJW361" s="629">
        <v>2020</v>
      </c>
      <c r="EJX361" s="630" t="s">
        <v>1870</v>
      </c>
      <c r="EJY361" s="626"/>
      <c r="EJZ361" s="627" t="s">
        <v>1669</v>
      </c>
      <c r="EKA361" s="628">
        <v>43831</v>
      </c>
      <c r="EKB361" s="628">
        <v>43862</v>
      </c>
      <c r="EKC361" s="628">
        <v>43891</v>
      </c>
      <c r="EKD361" s="628">
        <v>43922</v>
      </c>
      <c r="EKE361" s="628">
        <v>43952</v>
      </c>
      <c r="EKF361" s="628">
        <v>43983</v>
      </c>
      <c r="EKG361" s="628">
        <v>44013</v>
      </c>
      <c r="EKH361" s="628">
        <v>44044</v>
      </c>
      <c r="EKI361" s="628">
        <v>44075</v>
      </c>
      <c r="EKJ361" s="628">
        <v>44105</v>
      </c>
      <c r="EKK361" s="628">
        <v>44136</v>
      </c>
      <c r="EKL361" s="628">
        <v>44166</v>
      </c>
      <c r="EKM361" s="629">
        <v>2020</v>
      </c>
      <c r="EKN361" s="630" t="s">
        <v>1870</v>
      </c>
      <c r="EKO361" s="626"/>
      <c r="EKP361" s="627" t="s">
        <v>1669</v>
      </c>
      <c r="EKQ361" s="628">
        <v>43831</v>
      </c>
      <c r="EKR361" s="628">
        <v>43862</v>
      </c>
      <c r="EKS361" s="628">
        <v>43891</v>
      </c>
      <c r="EKT361" s="628">
        <v>43922</v>
      </c>
      <c r="EKU361" s="628">
        <v>43952</v>
      </c>
      <c r="EKV361" s="628">
        <v>43983</v>
      </c>
      <c r="EKW361" s="628">
        <v>44013</v>
      </c>
      <c r="EKX361" s="628">
        <v>44044</v>
      </c>
      <c r="EKY361" s="628">
        <v>44075</v>
      </c>
      <c r="EKZ361" s="628">
        <v>44105</v>
      </c>
      <c r="ELA361" s="628">
        <v>44136</v>
      </c>
      <c r="ELB361" s="628">
        <v>44166</v>
      </c>
      <c r="ELC361" s="629">
        <v>2020</v>
      </c>
      <c r="ELD361" s="630" t="s">
        <v>1870</v>
      </c>
      <c r="ELE361" s="626"/>
      <c r="ELF361" s="627" t="s">
        <v>1669</v>
      </c>
      <c r="ELG361" s="628">
        <v>43831</v>
      </c>
      <c r="ELH361" s="628">
        <v>43862</v>
      </c>
      <c r="ELI361" s="628">
        <v>43891</v>
      </c>
      <c r="ELJ361" s="628">
        <v>43922</v>
      </c>
      <c r="ELK361" s="628">
        <v>43952</v>
      </c>
      <c r="ELL361" s="628">
        <v>43983</v>
      </c>
      <c r="ELM361" s="628">
        <v>44013</v>
      </c>
      <c r="ELN361" s="628">
        <v>44044</v>
      </c>
      <c r="ELO361" s="628">
        <v>44075</v>
      </c>
      <c r="ELP361" s="628">
        <v>44105</v>
      </c>
      <c r="ELQ361" s="628">
        <v>44136</v>
      </c>
      <c r="ELR361" s="628">
        <v>44166</v>
      </c>
      <c r="ELS361" s="629">
        <v>2020</v>
      </c>
      <c r="ELT361" s="630" t="s">
        <v>1870</v>
      </c>
      <c r="ELU361" s="626"/>
      <c r="ELV361" s="627" t="s">
        <v>1669</v>
      </c>
      <c r="ELW361" s="628">
        <v>43831</v>
      </c>
      <c r="ELX361" s="628">
        <v>43862</v>
      </c>
      <c r="ELY361" s="628">
        <v>43891</v>
      </c>
      <c r="ELZ361" s="628">
        <v>43922</v>
      </c>
      <c r="EMA361" s="628">
        <v>43952</v>
      </c>
      <c r="EMB361" s="628">
        <v>43983</v>
      </c>
      <c r="EMC361" s="628">
        <v>44013</v>
      </c>
      <c r="EMD361" s="628">
        <v>44044</v>
      </c>
      <c r="EME361" s="628">
        <v>44075</v>
      </c>
      <c r="EMF361" s="628">
        <v>44105</v>
      </c>
      <c r="EMG361" s="628">
        <v>44136</v>
      </c>
      <c r="EMH361" s="628">
        <v>44166</v>
      </c>
      <c r="EMI361" s="629">
        <v>2020</v>
      </c>
      <c r="EMJ361" s="630" t="s">
        <v>1870</v>
      </c>
      <c r="EMK361" s="626"/>
      <c r="EML361" s="627" t="s">
        <v>1669</v>
      </c>
      <c r="EMM361" s="628">
        <v>43831</v>
      </c>
      <c r="EMN361" s="628">
        <v>43862</v>
      </c>
      <c r="EMO361" s="628">
        <v>43891</v>
      </c>
      <c r="EMP361" s="628">
        <v>43922</v>
      </c>
      <c r="EMQ361" s="628">
        <v>43952</v>
      </c>
      <c r="EMR361" s="628">
        <v>43983</v>
      </c>
      <c r="EMS361" s="628">
        <v>44013</v>
      </c>
      <c r="EMT361" s="628">
        <v>44044</v>
      </c>
      <c r="EMU361" s="628">
        <v>44075</v>
      </c>
      <c r="EMV361" s="628">
        <v>44105</v>
      </c>
      <c r="EMW361" s="628">
        <v>44136</v>
      </c>
      <c r="EMX361" s="628">
        <v>44166</v>
      </c>
      <c r="EMY361" s="629">
        <v>2020</v>
      </c>
      <c r="EMZ361" s="630" t="s">
        <v>1870</v>
      </c>
      <c r="ENA361" s="626"/>
      <c r="ENB361" s="627" t="s">
        <v>1669</v>
      </c>
      <c r="ENC361" s="628">
        <v>43831</v>
      </c>
      <c r="END361" s="628">
        <v>43862</v>
      </c>
      <c r="ENE361" s="628">
        <v>43891</v>
      </c>
      <c r="ENF361" s="628">
        <v>43922</v>
      </c>
      <c r="ENG361" s="628">
        <v>43952</v>
      </c>
      <c r="ENH361" s="628">
        <v>43983</v>
      </c>
      <c r="ENI361" s="628">
        <v>44013</v>
      </c>
      <c r="ENJ361" s="628">
        <v>44044</v>
      </c>
      <c r="ENK361" s="628">
        <v>44075</v>
      </c>
      <c r="ENL361" s="628">
        <v>44105</v>
      </c>
      <c r="ENM361" s="628">
        <v>44136</v>
      </c>
      <c r="ENN361" s="628">
        <v>44166</v>
      </c>
      <c r="ENO361" s="629">
        <v>2020</v>
      </c>
      <c r="ENP361" s="630" t="s">
        <v>1870</v>
      </c>
      <c r="ENQ361" s="626"/>
      <c r="ENR361" s="627" t="s">
        <v>1669</v>
      </c>
      <c r="ENS361" s="628">
        <v>43831</v>
      </c>
      <c r="ENT361" s="628">
        <v>43862</v>
      </c>
      <c r="ENU361" s="628">
        <v>43891</v>
      </c>
      <c r="ENV361" s="628">
        <v>43922</v>
      </c>
      <c r="ENW361" s="628">
        <v>43952</v>
      </c>
      <c r="ENX361" s="628">
        <v>43983</v>
      </c>
      <c r="ENY361" s="628">
        <v>44013</v>
      </c>
      <c r="ENZ361" s="628">
        <v>44044</v>
      </c>
      <c r="EOA361" s="628">
        <v>44075</v>
      </c>
      <c r="EOB361" s="628">
        <v>44105</v>
      </c>
      <c r="EOC361" s="628">
        <v>44136</v>
      </c>
      <c r="EOD361" s="628">
        <v>44166</v>
      </c>
      <c r="EOE361" s="629">
        <v>2020</v>
      </c>
      <c r="EOF361" s="630" t="s">
        <v>1870</v>
      </c>
      <c r="EOG361" s="626"/>
      <c r="EOH361" s="627" t="s">
        <v>1669</v>
      </c>
      <c r="EOI361" s="628">
        <v>43831</v>
      </c>
      <c r="EOJ361" s="628">
        <v>43862</v>
      </c>
      <c r="EOK361" s="628">
        <v>43891</v>
      </c>
      <c r="EOL361" s="628">
        <v>43922</v>
      </c>
      <c r="EOM361" s="628">
        <v>43952</v>
      </c>
      <c r="EON361" s="628">
        <v>43983</v>
      </c>
      <c r="EOO361" s="628">
        <v>44013</v>
      </c>
      <c r="EOP361" s="628">
        <v>44044</v>
      </c>
      <c r="EOQ361" s="628">
        <v>44075</v>
      </c>
      <c r="EOR361" s="628">
        <v>44105</v>
      </c>
      <c r="EOS361" s="628">
        <v>44136</v>
      </c>
      <c r="EOT361" s="628">
        <v>44166</v>
      </c>
      <c r="EOU361" s="629">
        <v>2020</v>
      </c>
      <c r="EOV361" s="630" t="s">
        <v>1870</v>
      </c>
      <c r="EOW361" s="626"/>
      <c r="EOX361" s="627" t="s">
        <v>1669</v>
      </c>
      <c r="EOY361" s="628">
        <v>43831</v>
      </c>
      <c r="EOZ361" s="628">
        <v>43862</v>
      </c>
      <c r="EPA361" s="628">
        <v>43891</v>
      </c>
      <c r="EPB361" s="628">
        <v>43922</v>
      </c>
      <c r="EPC361" s="628">
        <v>43952</v>
      </c>
      <c r="EPD361" s="628">
        <v>43983</v>
      </c>
      <c r="EPE361" s="628">
        <v>44013</v>
      </c>
      <c r="EPF361" s="628">
        <v>44044</v>
      </c>
      <c r="EPG361" s="628">
        <v>44075</v>
      </c>
      <c r="EPH361" s="628">
        <v>44105</v>
      </c>
      <c r="EPI361" s="628">
        <v>44136</v>
      </c>
      <c r="EPJ361" s="628">
        <v>44166</v>
      </c>
      <c r="EPK361" s="629">
        <v>2020</v>
      </c>
      <c r="EPL361" s="630" t="s">
        <v>1870</v>
      </c>
      <c r="EPM361" s="626"/>
      <c r="EPN361" s="627" t="s">
        <v>1669</v>
      </c>
      <c r="EPO361" s="628">
        <v>43831</v>
      </c>
      <c r="EPP361" s="628">
        <v>43862</v>
      </c>
      <c r="EPQ361" s="628">
        <v>43891</v>
      </c>
      <c r="EPR361" s="628">
        <v>43922</v>
      </c>
      <c r="EPS361" s="628">
        <v>43952</v>
      </c>
      <c r="EPT361" s="628">
        <v>43983</v>
      </c>
      <c r="EPU361" s="628">
        <v>44013</v>
      </c>
      <c r="EPV361" s="628">
        <v>44044</v>
      </c>
      <c r="EPW361" s="628">
        <v>44075</v>
      </c>
      <c r="EPX361" s="628">
        <v>44105</v>
      </c>
      <c r="EPY361" s="628">
        <v>44136</v>
      </c>
      <c r="EPZ361" s="628">
        <v>44166</v>
      </c>
      <c r="EQA361" s="629">
        <v>2020</v>
      </c>
      <c r="EQB361" s="630" t="s">
        <v>1870</v>
      </c>
      <c r="EQC361" s="626"/>
      <c r="EQD361" s="627" t="s">
        <v>1669</v>
      </c>
      <c r="EQE361" s="628">
        <v>43831</v>
      </c>
      <c r="EQF361" s="628">
        <v>43862</v>
      </c>
      <c r="EQG361" s="628">
        <v>43891</v>
      </c>
      <c r="EQH361" s="628">
        <v>43922</v>
      </c>
      <c r="EQI361" s="628">
        <v>43952</v>
      </c>
      <c r="EQJ361" s="628">
        <v>43983</v>
      </c>
      <c r="EQK361" s="628">
        <v>44013</v>
      </c>
      <c r="EQL361" s="628">
        <v>44044</v>
      </c>
      <c r="EQM361" s="628">
        <v>44075</v>
      </c>
      <c r="EQN361" s="628">
        <v>44105</v>
      </c>
      <c r="EQO361" s="628">
        <v>44136</v>
      </c>
      <c r="EQP361" s="628">
        <v>44166</v>
      </c>
      <c r="EQQ361" s="629">
        <v>2020</v>
      </c>
      <c r="EQR361" s="630" t="s">
        <v>1870</v>
      </c>
      <c r="EQS361" s="626"/>
      <c r="EQT361" s="627" t="s">
        <v>1669</v>
      </c>
      <c r="EQU361" s="628">
        <v>43831</v>
      </c>
      <c r="EQV361" s="628">
        <v>43862</v>
      </c>
      <c r="EQW361" s="628">
        <v>43891</v>
      </c>
      <c r="EQX361" s="628">
        <v>43922</v>
      </c>
      <c r="EQY361" s="628">
        <v>43952</v>
      </c>
      <c r="EQZ361" s="628">
        <v>43983</v>
      </c>
      <c r="ERA361" s="628">
        <v>44013</v>
      </c>
      <c r="ERB361" s="628">
        <v>44044</v>
      </c>
      <c r="ERC361" s="628">
        <v>44075</v>
      </c>
      <c r="ERD361" s="628">
        <v>44105</v>
      </c>
      <c r="ERE361" s="628">
        <v>44136</v>
      </c>
      <c r="ERF361" s="628">
        <v>44166</v>
      </c>
      <c r="ERG361" s="629">
        <v>2020</v>
      </c>
      <c r="ERH361" s="630" t="s">
        <v>1870</v>
      </c>
      <c r="ERI361" s="626"/>
      <c r="ERJ361" s="627" t="s">
        <v>1669</v>
      </c>
      <c r="ERK361" s="628">
        <v>43831</v>
      </c>
      <c r="ERL361" s="628">
        <v>43862</v>
      </c>
      <c r="ERM361" s="628">
        <v>43891</v>
      </c>
      <c r="ERN361" s="628">
        <v>43922</v>
      </c>
      <c r="ERO361" s="628">
        <v>43952</v>
      </c>
      <c r="ERP361" s="628">
        <v>43983</v>
      </c>
      <c r="ERQ361" s="628">
        <v>44013</v>
      </c>
      <c r="ERR361" s="628">
        <v>44044</v>
      </c>
      <c r="ERS361" s="628">
        <v>44075</v>
      </c>
      <c r="ERT361" s="628">
        <v>44105</v>
      </c>
      <c r="ERU361" s="628">
        <v>44136</v>
      </c>
      <c r="ERV361" s="628">
        <v>44166</v>
      </c>
      <c r="ERW361" s="629">
        <v>2020</v>
      </c>
      <c r="ERX361" s="630" t="s">
        <v>1870</v>
      </c>
      <c r="ERY361" s="626"/>
      <c r="ERZ361" s="627" t="s">
        <v>1669</v>
      </c>
      <c r="ESA361" s="628">
        <v>43831</v>
      </c>
      <c r="ESB361" s="628">
        <v>43862</v>
      </c>
      <c r="ESC361" s="628">
        <v>43891</v>
      </c>
      <c r="ESD361" s="628">
        <v>43922</v>
      </c>
      <c r="ESE361" s="628">
        <v>43952</v>
      </c>
      <c r="ESF361" s="628">
        <v>43983</v>
      </c>
      <c r="ESG361" s="628">
        <v>44013</v>
      </c>
      <c r="ESH361" s="628">
        <v>44044</v>
      </c>
      <c r="ESI361" s="628">
        <v>44075</v>
      </c>
      <c r="ESJ361" s="628">
        <v>44105</v>
      </c>
      <c r="ESK361" s="628">
        <v>44136</v>
      </c>
      <c r="ESL361" s="628">
        <v>44166</v>
      </c>
      <c r="ESM361" s="629">
        <v>2020</v>
      </c>
      <c r="ESN361" s="630" t="s">
        <v>1870</v>
      </c>
      <c r="ESO361" s="626"/>
      <c r="ESP361" s="627" t="s">
        <v>1669</v>
      </c>
      <c r="ESQ361" s="628">
        <v>43831</v>
      </c>
      <c r="ESR361" s="628">
        <v>43862</v>
      </c>
      <c r="ESS361" s="628">
        <v>43891</v>
      </c>
      <c r="EST361" s="628">
        <v>43922</v>
      </c>
      <c r="ESU361" s="628">
        <v>43952</v>
      </c>
      <c r="ESV361" s="628">
        <v>43983</v>
      </c>
      <c r="ESW361" s="628">
        <v>44013</v>
      </c>
      <c r="ESX361" s="628">
        <v>44044</v>
      </c>
      <c r="ESY361" s="628">
        <v>44075</v>
      </c>
      <c r="ESZ361" s="628">
        <v>44105</v>
      </c>
      <c r="ETA361" s="628">
        <v>44136</v>
      </c>
      <c r="ETB361" s="628">
        <v>44166</v>
      </c>
      <c r="ETC361" s="629">
        <v>2020</v>
      </c>
      <c r="ETD361" s="630" t="s">
        <v>1870</v>
      </c>
      <c r="ETE361" s="626"/>
      <c r="ETF361" s="627" t="s">
        <v>1669</v>
      </c>
      <c r="ETG361" s="628">
        <v>43831</v>
      </c>
      <c r="ETH361" s="628">
        <v>43862</v>
      </c>
      <c r="ETI361" s="628">
        <v>43891</v>
      </c>
      <c r="ETJ361" s="628">
        <v>43922</v>
      </c>
      <c r="ETK361" s="628">
        <v>43952</v>
      </c>
      <c r="ETL361" s="628">
        <v>43983</v>
      </c>
      <c r="ETM361" s="628">
        <v>44013</v>
      </c>
      <c r="ETN361" s="628">
        <v>44044</v>
      </c>
      <c r="ETO361" s="628">
        <v>44075</v>
      </c>
      <c r="ETP361" s="628">
        <v>44105</v>
      </c>
      <c r="ETQ361" s="628">
        <v>44136</v>
      </c>
      <c r="ETR361" s="628">
        <v>44166</v>
      </c>
      <c r="ETS361" s="629">
        <v>2020</v>
      </c>
      <c r="ETT361" s="630" t="s">
        <v>1870</v>
      </c>
      <c r="ETU361" s="626"/>
      <c r="ETV361" s="627" t="s">
        <v>1669</v>
      </c>
      <c r="ETW361" s="628">
        <v>43831</v>
      </c>
      <c r="ETX361" s="628">
        <v>43862</v>
      </c>
      <c r="ETY361" s="628">
        <v>43891</v>
      </c>
      <c r="ETZ361" s="628">
        <v>43922</v>
      </c>
      <c r="EUA361" s="628">
        <v>43952</v>
      </c>
      <c r="EUB361" s="628">
        <v>43983</v>
      </c>
      <c r="EUC361" s="628">
        <v>44013</v>
      </c>
      <c r="EUD361" s="628">
        <v>44044</v>
      </c>
      <c r="EUE361" s="628">
        <v>44075</v>
      </c>
      <c r="EUF361" s="628">
        <v>44105</v>
      </c>
      <c r="EUG361" s="628">
        <v>44136</v>
      </c>
      <c r="EUH361" s="628">
        <v>44166</v>
      </c>
      <c r="EUI361" s="629">
        <v>2020</v>
      </c>
      <c r="EUJ361" s="630" t="s">
        <v>1870</v>
      </c>
      <c r="EUK361" s="626"/>
      <c r="EUL361" s="627" t="s">
        <v>1669</v>
      </c>
      <c r="EUM361" s="628">
        <v>43831</v>
      </c>
      <c r="EUN361" s="628">
        <v>43862</v>
      </c>
      <c r="EUO361" s="628">
        <v>43891</v>
      </c>
      <c r="EUP361" s="628">
        <v>43922</v>
      </c>
      <c r="EUQ361" s="628">
        <v>43952</v>
      </c>
      <c r="EUR361" s="628">
        <v>43983</v>
      </c>
      <c r="EUS361" s="628">
        <v>44013</v>
      </c>
      <c r="EUT361" s="628">
        <v>44044</v>
      </c>
      <c r="EUU361" s="628">
        <v>44075</v>
      </c>
      <c r="EUV361" s="628">
        <v>44105</v>
      </c>
      <c r="EUW361" s="628">
        <v>44136</v>
      </c>
      <c r="EUX361" s="628">
        <v>44166</v>
      </c>
      <c r="EUY361" s="629">
        <v>2020</v>
      </c>
      <c r="EUZ361" s="630" t="s">
        <v>1870</v>
      </c>
      <c r="EVA361" s="626"/>
      <c r="EVB361" s="627" t="s">
        <v>1669</v>
      </c>
      <c r="EVC361" s="628">
        <v>43831</v>
      </c>
      <c r="EVD361" s="628">
        <v>43862</v>
      </c>
      <c r="EVE361" s="628">
        <v>43891</v>
      </c>
      <c r="EVF361" s="628">
        <v>43922</v>
      </c>
      <c r="EVG361" s="628">
        <v>43952</v>
      </c>
      <c r="EVH361" s="628">
        <v>43983</v>
      </c>
      <c r="EVI361" s="628">
        <v>44013</v>
      </c>
      <c r="EVJ361" s="628">
        <v>44044</v>
      </c>
      <c r="EVK361" s="628">
        <v>44075</v>
      </c>
      <c r="EVL361" s="628">
        <v>44105</v>
      </c>
      <c r="EVM361" s="628">
        <v>44136</v>
      </c>
      <c r="EVN361" s="628">
        <v>44166</v>
      </c>
      <c r="EVO361" s="629">
        <v>2020</v>
      </c>
      <c r="EVP361" s="630" t="s">
        <v>1870</v>
      </c>
      <c r="EVQ361" s="626"/>
      <c r="EVR361" s="627" t="s">
        <v>1669</v>
      </c>
      <c r="EVS361" s="628">
        <v>43831</v>
      </c>
      <c r="EVT361" s="628">
        <v>43862</v>
      </c>
      <c r="EVU361" s="628">
        <v>43891</v>
      </c>
      <c r="EVV361" s="628">
        <v>43922</v>
      </c>
      <c r="EVW361" s="628">
        <v>43952</v>
      </c>
      <c r="EVX361" s="628">
        <v>43983</v>
      </c>
      <c r="EVY361" s="628">
        <v>44013</v>
      </c>
      <c r="EVZ361" s="628">
        <v>44044</v>
      </c>
      <c r="EWA361" s="628">
        <v>44075</v>
      </c>
      <c r="EWB361" s="628">
        <v>44105</v>
      </c>
      <c r="EWC361" s="628">
        <v>44136</v>
      </c>
      <c r="EWD361" s="628">
        <v>44166</v>
      </c>
      <c r="EWE361" s="629">
        <v>2020</v>
      </c>
      <c r="EWF361" s="630" t="s">
        <v>1870</v>
      </c>
      <c r="EWG361" s="626"/>
      <c r="EWH361" s="627" t="s">
        <v>1669</v>
      </c>
      <c r="EWI361" s="628">
        <v>43831</v>
      </c>
      <c r="EWJ361" s="628">
        <v>43862</v>
      </c>
      <c r="EWK361" s="628">
        <v>43891</v>
      </c>
      <c r="EWL361" s="628">
        <v>43922</v>
      </c>
      <c r="EWM361" s="628">
        <v>43952</v>
      </c>
      <c r="EWN361" s="628">
        <v>43983</v>
      </c>
      <c r="EWO361" s="628">
        <v>44013</v>
      </c>
      <c r="EWP361" s="628">
        <v>44044</v>
      </c>
      <c r="EWQ361" s="628">
        <v>44075</v>
      </c>
      <c r="EWR361" s="628">
        <v>44105</v>
      </c>
      <c r="EWS361" s="628">
        <v>44136</v>
      </c>
      <c r="EWT361" s="628">
        <v>44166</v>
      </c>
      <c r="EWU361" s="629">
        <v>2020</v>
      </c>
      <c r="EWV361" s="630" t="s">
        <v>1870</v>
      </c>
      <c r="EWW361" s="626"/>
      <c r="EWX361" s="627" t="s">
        <v>1669</v>
      </c>
      <c r="EWY361" s="628">
        <v>43831</v>
      </c>
      <c r="EWZ361" s="628">
        <v>43862</v>
      </c>
      <c r="EXA361" s="628">
        <v>43891</v>
      </c>
      <c r="EXB361" s="628">
        <v>43922</v>
      </c>
      <c r="EXC361" s="628">
        <v>43952</v>
      </c>
      <c r="EXD361" s="628">
        <v>43983</v>
      </c>
      <c r="EXE361" s="628">
        <v>44013</v>
      </c>
      <c r="EXF361" s="628">
        <v>44044</v>
      </c>
      <c r="EXG361" s="628">
        <v>44075</v>
      </c>
      <c r="EXH361" s="628">
        <v>44105</v>
      </c>
      <c r="EXI361" s="628">
        <v>44136</v>
      </c>
      <c r="EXJ361" s="628">
        <v>44166</v>
      </c>
      <c r="EXK361" s="629">
        <v>2020</v>
      </c>
      <c r="EXL361" s="630" t="s">
        <v>1870</v>
      </c>
      <c r="EXM361" s="626"/>
      <c r="EXN361" s="627" t="s">
        <v>1669</v>
      </c>
      <c r="EXO361" s="628">
        <v>43831</v>
      </c>
      <c r="EXP361" s="628">
        <v>43862</v>
      </c>
      <c r="EXQ361" s="628">
        <v>43891</v>
      </c>
      <c r="EXR361" s="628">
        <v>43922</v>
      </c>
      <c r="EXS361" s="628">
        <v>43952</v>
      </c>
      <c r="EXT361" s="628">
        <v>43983</v>
      </c>
      <c r="EXU361" s="628">
        <v>44013</v>
      </c>
      <c r="EXV361" s="628">
        <v>44044</v>
      </c>
      <c r="EXW361" s="628">
        <v>44075</v>
      </c>
      <c r="EXX361" s="628">
        <v>44105</v>
      </c>
      <c r="EXY361" s="628">
        <v>44136</v>
      </c>
      <c r="EXZ361" s="628">
        <v>44166</v>
      </c>
      <c r="EYA361" s="629">
        <v>2020</v>
      </c>
      <c r="EYB361" s="630" t="s">
        <v>1870</v>
      </c>
      <c r="EYC361" s="626"/>
      <c r="EYD361" s="627" t="s">
        <v>1669</v>
      </c>
      <c r="EYE361" s="628">
        <v>43831</v>
      </c>
      <c r="EYF361" s="628">
        <v>43862</v>
      </c>
      <c r="EYG361" s="628">
        <v>43891</v>
      </c>
      <c r="EYH361" s="628">
        <v>43922</v>
      </c>
      <c r="EYI361" s="628">
        <v>43952</v>
      </c>
      <c r="EYJ361" s="628">
        <v>43983</v>
      </c>
      <c r="EYK361" s="628">
        <v>44013</v>
      </c>
      <c r="EYL361" s="628">
        <v>44044</v>
      </c>
      <c r="EYM361" s="628">
        <v>44075</v>
      </c>
      <c r="EYN361" s="628">
        <v>44105</v>
      </c>
      <c r="EYO361" s="628">
        <v>44136</v>
      </c>
      <c r="EYP361" s="628">
        <v>44166</v>
      </c>
      <c r="EYQ361" s="629">
        <v>2020</v>
      </c>
      <c r="EYR361" s="630" t="s">
        <v>1870</v>
      </c>
      <c r="EYS361" s="626"/>
      <c r="EYT361" s="627" t="s">
        <v>1669</v>
      </c>
      <c r="EYU361" s="628">
        <v>43831</v>
      </c>
      <c r="EYV361" s="628">
        <v>43862</v>
      </c>
      <c r="EYW361" s="628">
        <v>43891</v>
      </c>
      <c r="EYX361" s="628">
        <v>43922</v>
      </c>
      <c r="EYY361" s="628">
        <v>43952</v>
      </c>
      <c r="EYZ361" s="628">
        <v>43983</v>
      </c>
      <c r="EZA361" s="628">
        <v>44013</v>
      </c>
      <c r="EZB361" s="628">
        <v>44044</v>
      </c>
      <c r="EZC361" s="628">
        <v>44075</v>
      </c>
      <c r="EZD361" s="628">
        <v>44105</v>
      </c>
      <c r="EZE361" s="628">
        <v>44136</v>
      </c>
      <c r="EZF361" s="628">
        <v>44166</v>
      </c>
      <c r="EZG361" s="629">
        <v>2020</v>
      </c>
      <c r="EZH361" s="630" t="s">
        <v>1870</v>
      </c>
      <c r="EZI361" s="626"/>
      <c r="EZJ361" s="627" t="s">
        <v>1669</v>
      </c>
      <c r="EZK361" s="628">
        <v>43831</v>
      </c>
      <c r="EZL361" s="628">
        <v>43862</v>
      </c>
      <c r="EZM361" s="628">
        <v>43891</v>
      </c>
      <c r="EZN361" s="628">
        <v>43922</v>
      </c>
      <c r="EZO361" s="628">
        <v>43952</v>
      </c>
      <c r="EZP361" s="628">
        <v>43983</v>
      </c>
      <c r="EZQ361" s="628">
        <v>44013</v>
      </c>
      <c r="EZR361" s="628">
        <v>44044</v>
      </c>
      <c r="EZS361" s="628">
        <v>44075</v>
      </c>
      <c r="EZT361" s="628">
        <v>44105</v>
      </c>
      <c r="EZU361" s="628">
        <v>44136</v>
      </c>
      <c r="EZV361" s="628">
        <v>44166</v>
      </c>
      <c r="EZW361" s="629">
        <v>2020</v>
      </c>
      <c r="EZX361" s="630" t="s">
        <v>1870</v>
      </c>
      <c r="EZY361" s="626"/>
      <c r="EZZ361" s="627" t="s">
        <v>1669</v>
      </c>
      <c r="FAA361" s="628">
        <v>43831</v>
      </c>
      <c r="FAB361" s="628">
        <v>43862</v>
      </c>
      <c r="FAC361" s="628">
        <v>43891</v>
      </c>
      <c r="FAD361" s="628">
        <v>43922</v>
      </c>
      <c r="FAE361" s="628">
        <v>43952</v>
      </c>
      <c r="FAF361" s="628">
        <v>43983</v>
      </c>
      <c r="FAG361" s="628">
        <v>44013</v>
      </c>
      <c r="FAH361" s="628">
        <v>44044</v>
      </c>
      <c r="FAI361" s="628">
        <v>44075</v>
      </c>
      <c r="FAJ361" s="628">
        <v>44105</v>
      </c>
      <c r="FAK361" s="628">
        <v>44136</v>
      </c>
      <c r="FAL361" s="628">
        <v>44166</v>
      </c>
      <c r="FAM361" s="629">
        <v>2020</v>
      </c>
      <c r="FAN361" s="630" t="s">
        <v>1870</v>
      </c>
      <c r="FAO361" s="626"/>
      <c r="FAP361" s="627" t="s">
        <v>1669</v>
      </c>
      <c r="FAQ361" s="628">
        <v>43831</v>
      </c>
      <c r="FAR361" s="628">
        <v>43862</v>
      </c>
      <c r="FAS361" s="628">
        <v>43891</v>
      </c>
      <c r="FAT361" s="628">
        <v>43922</v>
      </c>
      <c r="FAU361" s="628">
        <v>43952</v>
      </c>
      <c r="FAV361" s="628">
        <v>43983</v>
      </c>
      <c r="FAW361" s="628">
        <v>44013</v>
      </c>
      <c r="FAX361" s="628">
        <v>44044</v>
      </c>
      <c r="FAY361" s="628">
        <v>44075</v>
      </c>
      <c r="FAZ361" s="628">
        <v>44105</v>
      </c>
      <c r="FBA361" s="628">
        <v>44136</v>
      </c>
      <c r="FBB361" s="628">
        <v>44166</v>
      </c>
      <c r="FBC361" s="629">
        <v>2020</v>
      </c>
      <c r="FBD361" s="630" t="s">
        <v>1870</v>
      </c>
      <c r="FBE361" s="626"/>
      <c r="FBF361" s="627" t="s">
        <v>1669</v>
      </c>
      <c r="FBG361" s="628">
        <v>43831</v>
      </c>
      <c r="FBH361" s="628">
        <v>43862</v>
      </c>
      <c r="FBI361" s="628">
        <v>43891</v>
      </c>
      <c r="FBJ361" s="628">
        <v>43922</v>
      </c>
      <c r="FBK361" s="628">
        <v>43952</v>
      </c>
      <c r="FBL361" s="628">
        <v>43983</v>
      </c>
      <c r="FBM361" s="628">
        <v>44013</v>
      </c>
      <c r="FBN361" s="628">
        <v>44044</v>
      </c>
      <c r="FBO361" s="628">
        <v>44075</v>
      </c>
      <c r="FBP361" s="628">
        <v>44105</v>
      </c>
      <c r="FBQ361" s="628">
        <v>44136</v>
      </c>
      <c r="FBR361" s="628">
        <v>44166</v>
      </c>
      <c r="FBS361" s="629">
        <v>2020</v>
      </c>
      <c r="FBT361" s="630" t="s">
        <v>1870</v>
      </c>
      <c r="FBU361" s="626"/>
      <c r="FBV361" s="627" t="s">
        <v>1669</v>
      </c>
      <c r="FBW361" s="628">
        <v>43831</v>
      </c>
      <c r="FBX361" s="628">
        <v>43862</v>
      </c>
      <c r="FBY361" s="628">
        <v>43891</v>
      </c>
      <c r="FBZ361" s="628">
        <v>43922</v>
      </c>
      <c r="FCA361" s="628">
        <v>43952</v>
      </c>
      <c r="FCB361" s="628">
        <v>43983</v>
      </c>
      <c r="FCC361" s="628">
        <v>44013</v>
      </c>
      <c r="FCD361" s="628">
        <v>44044</v>
      </c>
      <c r="FCE361" s="628">
        <v>44075</v>
      </c>
      <c r="FCF361" s="628">
        <v>44105</v>
      </c>
      <c r="FCG361" s="628">
        <v>44136</v>
      </c>
      <c r="FCH361" s="628">
        <v>44166</v>
      </c>
      <c r="FCI361" s="629">
        <v>2020</v>
      </c>
      <c r="FCJ361" s="630" t="s">
        <v>1870</v>
      </c>
      <c r="FCK361" s="626"/>
      <c r="FCL361" s="627" t="s">
        <v>1669</v>
      </c>
      <c r="FCM361" s="628">
        <v>43831</v>
      </c>
      <c r="FCN361" s="628">
        <v>43862</v>
      </c>
      <c r="FCO361" s="628">
        <v>43891</v>
      </c>
      <c r="FCP361" s="628">
        <v>43922</v>
      </c>
      <c r="FCQ361" s="628">
        <v>43952</v>
      </c>
      <c r="FCR361" s="628">
        <v>43983</v>
      </c>
      <c r="FCS361" s="628">
        <v>44013</v>
      </c>
      <c r="FCT361" s="628">
        <v>44044</v>
      </c>
      <c r="FCU361" s="628">
        <v>44075</v>
      </c>
      <c r="FCV361" s="628">
        <v>44105</v>
      </c>
      <c r="FCW361" s="628">
        <v>44136</v>
      </c>
      <c r="FCX361" s="628">
        <v>44166</v>
      </c>
      <c r="FCY361" s="629">
        <v>2020</v>
      </c>
      <c r="FCZ361" s="630" t="s">
        <v>1870</v>
      </c>
      <c r="FDA361" s="626"/>
      <c r="FDB361" s="627" t="s">
        <v>1669</v>
      </c>
      <c r="FDC361" s="628">
        <v>43831</v>
      </c>
      <c r="FDD361" s="628">
        <v>43862</v>
      </c>
      <c r="FDE361" s="628">
        <v>43891</v>
      </c>
      <c r="FDF361" s="628">
        <v>43922</v>
      </c>
      <c r="FDG361" s="628">
        <v>43952</v>
      </c>
      <c r="FDH361" s="628">
        <v>43983</v>
      </c>
      <c r="FDI361" s="628">
        <v>44013</v>
      </c>
      <c r="FDJ361" s="628">
        <v>44044</v>
      </c>
      <c r="FDK361" s="628">
        <v>44075</v>
      </c>
      <c r="FDL361" s="628">
        <v>44105</v>
      </c>
      <c r="FDM361" s="628">
        <v>44136</v>
      </c>
      <c r="FDN361" s="628">
        <v>44166</v>
      </c>
      <c r="FDO361" s="629">
        <v>2020</v>
      </c>
      <c r="FDP361" s="630" t="s">
        <v>1870</v>
      </c>
      <c r="FDQ361" s="626"/>
      <c r="FDR361" s="627" t="s">
        <v>1669</v>
      </c>
      <c r="FDS361" s="628">
        <v>43831</v>
      </c>
      <c r="FDT361" s="628">
        <v>43862</v>
      </c>
      <c r="FDU361" s="628">
        <v>43891</v>
      </c>
      <c r="FDV361" s="628">
        <v>43922</v>
      </c>
      <c r="FDW361" s="628">
        <v>43952</v>
      </c>
      <c r="FDX361" s="628">
        <v>43983</v>
      </c>
      <c r="FDY361" s="628">
        <v>44013</v>
      </c>
      <c r="FDZ361" s="628">
        <v>44044</v>
      </c>
      <c r="FEA361" s="628">
        <v>44075</v>
      </c>
      <c r="FEB361" s="628">
        <v>44105</v>
      </c>
      <c r="FEC361" s="628">
        <v>44136</v>
      </c>
      <c r="FED361" s="628">
        <v>44166</v>
      </c>
      <c r="FEE361" s="629">
        <v>2020</v>
      </c>
      <c r="FEF361" s="630" t="s">
        <v>1870</v>
      </c>
      <c r="FEG361" s="626"/>
      <c r="FEH361" s="627" t="s">
        <v>1669</v>
      </c>
      <c r="FEI361" s="628">
        <v>43831</v>
      </c>
      <c r="FEJ361" s="628">
        <v>43862</v>
      </c>
      <c r="FEK361" s="628">
        <v>43891</v>
      </c>
      <c r="FEL361" s="628">
        <v>43922</v>
      </c>
      <c r="FEM361" s="628">
        <v>43952</v>
      </c>
      <c r="FEN361" s="628">
        <v>43983</v>
      </c>
      <c r="FEO361" s="628">
        <v>44013</v>
      </c>
      <c r="FEP361" s="628">
        <v>44044</v>
      </c>
      <c r="FEQ361" s="628">
        <v>44075</v>
      </c>
      <c r="FER361" s="628">
        <v>44105</v>
      </c>
      <c r="FES361" s="628">
        <v>44136</v>
      </c>
      <c r="FET361" s="628">
        <v>44166</v>
      </c>
      <c r="FEU361" s="629">
        <v>2020</v>
      </c>
      <c r="FEV361" s="630" t="s">
        <v>1870</v>
      </c>
      <c r="FEW361" s="626"/>
      <c r="FEX361" s="627" t="s">
        <v>1669</v>
      </c>
      <c r="FEY361" s="628">
        <v>43831</v>
      </c>
      <c r="FEZ361" s="628">
        <v>43862</v>
      </c>
      <c r="FFA361" s="628">
        <v>43891</v>
      </c>
      <c r="FFB361" s="628">
        <v>43922</v>
      </c>
      <c r="FFC361" s="628">
        <v>43952</v>
      </c>
      <c r="FFD361" s="628">
        <v>43983</v>
      </c>
      <c r="FFE361" s="628">
        <v>44013</v>
      </c>
      <c r="FFF361" s="628">
        <v>44044</v>
      </c>
      <c r="FFG361" s="628">
        <v>44075</v>
      </c>
      <c r="FFH361" s="628">
        <v>44105</v>
      </c>
      <c r="FFI361" s="628">
        <v>44136</v>
      </c>
      <c r="FFJ361" s="628">
        <v>44166</v>
      </c>
      <c r="FFK361" s="629">
        <v>2020</v>
      </c>
      <c r="FFL361" s="630" t="s">
        <v>1870</v>
      </c>
      <c r="FFM361" s="626"/>
      <c r="FFN361" s="627" t="s">
        <v>1669</v>
      </c>
      <c r="FFO361" s="628">
        <v>43831</v>
      </c>
      <c r="FFP361" s="628">
        <v>43862</v>
      </c>
      <c r="FFQ361" s="628">
        <v>43891</v>
      </c>
      <c r="FFR361" s="628">
        <v>43922</v>
      </c>
      <c r="FFS361" s="628">
        <v>43952</v>
      </c>
      <c r="FFT361" s="628">
        <v>43983</v>
      </c>
      <c r="FFU361" s="628">
        <v>44013</v>
      </c>
      <c r="FFV361" s="628">
        <v>44044</v>
      </c>
      <c r="FFW361" s="628">
        <v>44075</v>
      </c>
      <c r="FFX361" s="628">
        <v>44105</v>
      </c>
      <c r="FFY361" s="628">
        <v>44136</v>
      </c>
      <c r="FFZ361" s="628">
        <v>44166</v>
      </c>
      <c r="FGA361" s="629">
        <v>2020</v>
      </c>
      <c r="FGB361" s="630" t="s">
        <v>1870</v>
      </c>
      <c r="FGC361" s="626"/>
      <c r="FGD361" s="627" t="s">
        <v>1669</v>
      </c>
      <c r="FGE361" s="628">
        <v>43831</v>
      </c>
      <c r="FGF361" s="628">
        <v>43862</v>
      </c>
      <c r="FGG361" s="628">
        <v>43891</v>
      </c>
      <c r="FGH361" s="628">
        <v>43922</v>
      </c>
      <c r="FGI361" s="628">
        <v>43952</v>
      </c>
      <c r="FGJ361" s="628">
        <v>43983</v>
      </c>
      <c r="FGK361" s="628">
        <v>44013</v>
      </c>
      <c r="FGL361" s="628">
        <v>44044</v>
      </c>
      <c r="FGM361" s="628">
        <v>44075</v>
      </c>
      <c r="FGN361" s="628">
        <v>44105</v>
      </c>
      <c r="FGO361" s="628">
        <v>44136</v>
      </c>
      <c r="FGP361" s="628">
        <v>44166</v>
      </c>
      <c r="FGQ361" s="629">
        <v>2020</v>
      </c>
      <c r="FGR361" s="630" t="s">
        <v>1870</v>
      </c>
      <c r="FGS361" s="626"/>
      <c r="FGT361" s="627" t="s">
        <v>1669</v>
      </c>
      <c r="FGU361" s="628">
        <v>43831</v>
      </c>
      <c r="FGV361" s="628">
        <v>43862</v>
      </c>
      <c r="FGW361" s="628">
        <v>43891</v>
      </c>
      <c r="FGX361" s="628">
        <v>43922</v>
      </c>
      <c r="FGY361" s="628">
        <v>43952</v>
      </c>
      <c r="FGZ361" s="628">
        <v>43983</v>
      </c>
      <c r="FHA361" s="628">
        <v>44013</v>
      </c>
      <c r="FHB361" s="628">
        <v>44044</v>
      </c>
      <c r="FHC361" s="628">
        <v>44075</v>
      </c>
      <c r="FHD361" s="628">
        <v>44105</v>
      </c>
      <c r="FHE361" s="628">
        <v>44136</v>
      </c>
      <c r="FHF361" s="628">
        <v>44166</v>
      </c>
      <c r="FHG361" s="629">
        <v>2020</v>
      </c>
      <c r="FHH361" s="630" t="s">
        <v>1870</v>
      </c>
      <c r="FHI361" s="626"/>
      <c r="FHJ361" s="627" t="s">
        <v>1669</v>
      </c>
      <c r="FHK361" s="628">
        <v>43831</v>
      </c>
      <c r="FHL361" s="628">
        <v>43862</v>
      </c>
      <c r="FHM361" s="628">
        <v>43891</v>
      </c>
      <c r="FHN361" s="628">
        <v>43922</v>
      </c>
      <c r="FHO361" s="628">
        <v>43952</v>
      </c>
      <c r="FHP361" s="628">
        <v>43983</v>
      </c>
      <c r="FHQ361" s="628">
        <v>44013</v>
      </c>
      <c r="FHR361" s="628">
        <v>44044</v>
      </c>
      <c r="FHS361" s="628">
        <v>44075</v>
      </c>
      <c r="FHT361" s="628">
        <v>44105</v>
      </c>
      <c r="FHU361" s="628">
        <v>44136</v>
      </c>
      <c r="FHV361" s="628">
        <v>44166</v>
      </c>
      <c r="FHW361" s="629">
        <v>2020</v>
      </c>
      <c r="FHX361" s="630" t="s">
        <v>1870</v>
      </c>
      <c r="FHY361" s="626"/>
      <c r="FHZ361" s="627" t="s">
        <v>1669</v>
      </c>
      <c r="FIA361" s="628">
        <v>43831</v>
      </c>
      <c r="FIB361" s="628">
        <v>43862</v>
      </c>
      <c r="FIC361" s="628">
        <v>43891</v>
      </c>
      <c r="FID361" s="628">
        <v>43922</v>
      </c>
      <c r="FIE361" s="628">
        <v>43952</v>
      </c>
      <c r="FIF361" s="628">
        <v>43983</v>
      </c>
      <c r="FIG361" s="628">
        <v>44013</v>
      </c>
      <c r="FIH361" s="628">
        <v>44044</v>
      </c>
      <c r="FII361" s="628">
        <v>44075</v>
      </c>
      <c r="FIJ361" s="628">
        <v>44105</v>
      </c>
      <c r="FIK361" s="628">
        <v>44136</v>
      </c>
      <c r="FIL361" s="628">
        <v>44166</v>
      </c>
      <c r="FIM361" s="629">
        <v>2020</v>
      </c>
      <c r="FIN361" s="630" t="s">
        <v>1870</v>
      </c>
      <c r="FIO361" s="626"/>
      <c r="FIP361" s="627" t="s">
        <v>1669</v>
      </c>
      <c r="FIQ361" s="628">
        <v>43831</v>
      </c>
      <c r="FIR361" s="628">
        <v>43862</v>
      </c>
      <c r="FIS361" s="628">
        <v>43891</v>
      </c>
      <c r="FIT361" s="628">
        <v>43922</v>
      </c>
      <c r="FIU361" s="628">
        <v>43952</v>
      </c>
      <c r="FIV361" s="628">
        <v>43983</v>
      </c>
      <c r="FIW361" s="628">
        <v>44013</v>
      </c>
      <c r="FIX361" s="628">
        <v>44044</v>
      </c>
      <c r="FIY361" s="628">
        <v>44075</v>
      </c>
      <c r="FIZ361" s="628">
        <v>44105</v>
      </c>
      <c r="FJA361" s="628">
        <v>44136</v>
      </c>
      <c r="FJB361" s="628">
        <v>44166</v>
      </c>
      <c r="FJC361" s="629">
        <v>2020</v>
      </c>
      <c r="FJD361" s="630" t="s">
        <v>1870</v>
      </c>
      <c r="FJE361" s="626"/>
      <c r="FJF361" s="627" t="s">
        <v>1669</v>
      </c>
      <c r="FJG361" s="628">
        <v>43831</v>
      </c>
      <c r="FJH361" s="628">
        <v>43862</v>
      </c>
      <c r="FJI361" s="628">
        <v>43891</v>
      </c>
      <c r="FJJ361" s="628">
        <v>43922</v>
      </c>
      <c r="FJK361" s="628">
        <v>43952</v>
      </c>
      <c r="FJL361" s="628">
        <v>43983</v>
      </c>
      <c r="FJM361" s="628">
        <v>44013</v>
      </c>
      <c r="FJN361" s="628">
        <v>44044</v>
      </c>
      <c r="FJO361" s="628">
        <v>44075</v>
      </c>
      <c r="FJP361" s="628">
        <v>44105</v>
      </c>
      <c r="FJQ361" s="628">
        <v>44136</v>
      </c>
      <c r="FJR361" s="628">
        <v>44166</v>
      </c>
      <c r="FJS361" s="629">
        <v>2020</v>
      </c>
      <c r="FJT361" s="630" t="s">
        <v>1870</v>
      </c>
      <c r="FJU361" s="626"/>
      <c r="FJV361" s="627" t="s">
        <v>1669</v>
      </c>
      <c r="FJW361" s="628">
        <v>43831</v>
      </c>
      <c r="FJX361" s="628">
        <v>43862</v>
      </c>
      <c r="FJY361" s="628">
        <v>43891</v>
      </c>
      <c r="FJZ361" s="628">
        <v>43922</v>
      </c>
      <c r="FKA361" s="628">
        <v>43952</v>
      </c>
      <c r="FKB361" s="628">
        <v>43983</v>
      </c>
      <c r="FKC361" s="628">
        <v>44013</v>
      </c>
      <c r="FKD361" s="628">
        <v>44044</v>
      </c>
      <c r="FKE361" s="628">
        <v>44075</v>
      </c>
      <c r="FKF361" s="628">
        <v>44105</v>
      </c>
      <c r="FKG361" s="628">
        <v>44136</v>
      </c>
      <c r="FKH361" s="628">
        <v>44166</v>
      </c>
      <c r="FKI361" s="629">
        <v>2020</v>
      </c>
      <c r="FKJ361" s="630" t="s">
        <v>1870</v>
      </c>
      <c r="FKK361" s="626"/>
      <c r="FKL361" s="627" t="s">
        <v>1669</v>
      </c>
      <c r="FKM361" s="628">
        <v>43831</v>
      </c>
      <c r="FKN361" s="628">
        <v>43862</v>
      </c>
      <c r="FKO361" s="628">
        <v>43891</v>
      </c>
      <c r="FKP361" s="628">
        <v>43922</v>
      </c>
      <c r="FKQ361" s="628">
        <v>43952</v>
      </c>
      <c r="FKR361" s="628">
        <v>43983</v>
      </c>
      <c r="FKS361" s="628">
        <v>44013</v>
      </c>
      <c r="FKT361" s="628">
        <v>44044</v>
      </c>
      <c r="FKU361" s="628">
        <v>44075</v>
      </c>
      <c r="FKV361" s="628">
        <v>44105</v>
      </c>
      <c r="FKW361" s="628">
        <v>44136</v>
      </c>
      <c r="FKX361" s="628">
        <v>44166</v>
      </c>
      <c r="FKY361" s="629">
        <v>2020</v>
      </c>
      <c r="FKZ361" s="630" t="s">
        <v>1870</v>
      </c>
      <c r="FLA361" s="626"/>
      <c r="FLB361" s="627" t="s">
        <v>1669</v>
      </c>
      <c r="FLC361" s="628">
        <v>43831</v>
      </c>
      <c r="FLD361" s="628">
        <v>43862</v>
      </c>
      <c r="FLE361" s="628">
        <v>43891</v>
      </c>
      <c r="FLF361" s="628">
        <v>43922</v>
      </c>
      <c r="FLG361" s="628">
        <v>43952</v>
      </c>
      <c r="FLH361" s="628">
        <v>43983</v>
      </c>
      <c r="FLI361" s="628">
        <v>44013</v>
      </c>
      <c r="FLJ361" s="628">
        <v>44044</v>
      </c>
      <c r="FLK361" s="628">
        <v>44075</v>
      </c>
      <c r="FLL361" s="628">
        <v>44105</v>
      </c>
      <c r="FLM361" s="628">
        <v>44136</v>
      </c>
      <c r="FLN361" s="628">
        <v>44166</v>
      </c>
      <c r="FLO361" s="629">
        <v>2020</v>
      </c>
      <c r="FLP361" s="630" t="s">
        <v>1870</v>
      </c>
      <c r="FLQ361" s="626"/>
      <c r="FLR361" s="627" t="s">
        <v>1669</v>
      </c>
      <c r="FLS361" s="628">
        <v>43831</v>
      </c>
      <c r="FLT361" s="628">
        <v>43862</v>
      </c>
      <c r="FLU361" s="628">
        <v>43891</v>
      </c>
      <c r="FLV361" s="628">
        <v>43922</v>
      </c>
      <c r="FLW361" s="628">
        <v>43952</v>
      </c>
      <c r="FLX361" s="628">
        <v>43983</v>
      </c>
      <c r="FLY361" s="628">
        <v>44013</v>
      </c>
      <c r="FLZ361" s="628">
        <v>44044</v>
      </c>
      <c r="FMA361" s="628">
        <v>44075</v>
      </c>
      <c r="FMB361" s="628">
        <v>44105</v>
      </c>
      <c r="FMC361" s="628">
        <v>44136</v>
      </c>
      <c r="FMD361" s="628">
        <v>44166</v>
      </c>
      <c r="FME361" s="629">
        <v>2020</v>
      </c>
      <c r="FMF361" s="630" t="s">
        <v>1870</v>
      </c>
      <c r="FMG361" s="626"/>
      <c r="FMH361" s="627" t="s">
        <v>1669</v>
      </c>
      <c r="FMI361" s="628">
        <v>43831</v>
      </c>
      <c r="FMJ361" s="628">
        <v>43862</v>
      </c>
      <c r="FMK361" s="628">
        <v>43891</v>
      </c>
      <c r="FML361" s="628">
        <v>43922</v>
      </c>
      <c r="FMM361" s="628">
        <v>43952</v>
      </c>
      <c r="FMN361" s="628">
        <v>43983</v>
      </c>
      <c r="FMO361" s="628">
        <v>44013</v>
      </c>
      <c r="FMP361" s="628">
        <v>44044</v>
      </c>
      <c r="FMQ361" s="628">
        <v>44075</v>
      </c>
      <c r="FMR361" s="628">
        <v>44105</v>
      </c>
      <c r="FMS361" s="628">
        <v>44136</v>
      </c>
      <c r="FMT361" s="628">
        <v>44166</v>
      </c>
      <c r="FMU361" s="629">
        <v>2020</v>
      </c>
      <c r="FMV361" s="630" t="s">
        <v>1870</v>
      </c>
      <c r="FMW361" s="626"/>
      <c r="FMX361" s="627" t="s">
        <v>1669</v>
      </c>
      <c r="FMY361" s="628">
        <v>43831</v>
      </c>
      <c r="FMZ361" s="628">
        <v>43862</v>
      </c>
      <c r="FNA361" s="628">
        <v>43891</v>
      </c>
      <c r="FNB361" s="628">
        <v>43922</v>
      </c>
      <c r="FNC361" s="628">
        <v>43952</v>
      </c>
      <c r="FND361" s="628">
        <v>43983</v>
      </c>
      <c r="FNE361" s="628">
        <v>44013</v>
      </c>
      <c r="FNF361" s="628">
        <v>44044</v>
      </c>
      <c r="FNG361" s="628">
        <v>44075</v>
      </c>
      <c r="FNH361" s="628">
        <v>44105</v>
      </c>
      <c r="FNI361" s="628">
        <v>44136</v>
      </c>
      <c r="FNJ361" s="628">
        <v>44166</v>
      </c>
      <c r="FNK361" s="629">
        <v>2020</v>
      </c>
      <c r="FNL361" s="630" t="s">
        <v>1870</v>
      </c>
      <c r="FNM361" s="626"/>
      <c r="FNN361" s="627" t="s">
        <v>1669</v>
      </c>
      <c r="FNO361" s="628">
        <v>43831</v>
      </c>
      <c r="FNP361" s="628">
        <v>43862</v>
      </c>
      <c r="FNQ361" s="628">
        <v>43891</v>
      </c>
      <c r="FNR361" s="628">
        <v>43922</v>
      </c>
      <c r="FNS361" s="628">
        <v>43952</v>
      </c>
      <c r="FNT361" s="628">
        <v>43983</v>
      </c>
      <c r="FNU361" s="628">
        <v>44013</v>
      </c>
      <c r="FNV361" s="628">
        <v>44044</v>
      </c>
      <c r="FNW361" s="628">
        <v>44075</v>
      </c>
      <c r="FNX361" s="628">
        <v>44105</v>
      </c>
      <c r="FNY361" s="628">
        <v>44136</v>
      </c>
      <c r="FNZ361" s="628">
        <v>44166</v>
      </c>
      <c r="FOA361" s="629">
        <v>2020</v>
      </c>
      <c r="FOB361" s="630" t="s">
        <v>1870</v>
      </c>
      <c r="FOC361" s="626"/>
      <c r="FOD361" s="627" t="s">
        <v>1669</v>
      </c>
      <c r="FOE361" s="628">
        <v>43831</v>
      </c>
      <c r="FOF361" s="628">
        <v>43862</v>
      </c>
      <c r="FOG361" s="628">
        <v>43891</v>
      </c>
      <c r="FOH361" s="628">
        <v>43922</v>
      </c>
      <c r="FOI361" s="628">
        <v>43952</v>
      </c>
      <c r="FOJ361" s="628">
        <v>43983</v>
      </c>
      <c r="FOK361" s="628">
        <v>44013</v>
      </c>
      <c r="FOL361" s="628">
        <v>44044</v>
      </c>
      <c r="FOM361" s="628">
        <v>44075</v>
      </c>
      <c r="FON361" s="628">
        <v>44105</v>
      </c>
      <c r="FOO361" s="628">
        <v>44136</v>
      </c>
      <c r="FOP361" s="628">
        <v>44166</v>
      </c>
      <c r="FOQ361" s="629">
        <v>2020</v>
      </c>
      <c r="FOR361" s="630" t="s">
        <v>1870</v>
      </c>
      <c r="FOS361" s="626"/>
      <c r="FOT361" s="627" t="s">
        <v>1669</v>
      </c>
      <c r="FOU361" s="628">
        <v>43831</v>
      </c>
      <c r="FOV361" s="628">
        <v>43862</v>
      </c>
      <c r="FOW361" s="628">
        <v>43891</v>
      </c>
      <c r="FOX361" s="628">
        <v>43922</v>
      </c>
      <c r="FOY361" s="628">
        <v>43952</v>
      </c>
      <c r="FOZ361" s="628">
        <v>43983</v>
      </c>
      <c r="FPA361" s="628">
        <v>44013</v>
      </c>
      <c r="FPB361" s="628">
        <v>44044</v>
      </c>
      <c r="FPC361" s="628">
        <v>44075</v>
      </c>
      <c r="FPD361" s="628">
        <v>44105</v>
      </c>
      <c r="FPE361" s="628">
        <v>44136</v>
      </c>
      <c r="FPF361" s="628">
        <v>44166</v>
      </c>
      <c r="FPG361" s="629">
        <v>2020</v>
      </c>
      <c r="FPH361" s="630" t="s">
        <v>1870</v>
      </c>
      <c r="FPI361" s="626"/>
      <c r="FPJ361" s="627" t="s">
        <v>1669</v>
      </c>
      <c r="FPK361" s="628">
        <v>43831</v>
      </c>
      <c r="FPL361" s="628">
        <v>43862</v>
      </c>
      <c r="FPM361" s="628">
        <v>43891</v>
      </c>
      <c r="FPN361" s="628">
        <v>43922</v>
      </c>
      <c r="FPO361" s="628">
        <v>43952</v>
      </c>
      <c r="FPP361" s="628">
        <v>43983</v>
      </c>
      <c r="FPQ361" s="628">
        <v>44013</v>
      </c>
      <c r="FPR361" s="628">
        <v>44044</v>
      </c>
      <c r="FPS361" s="628">
        <v>44075</v>
      </c>
      <c r="FPT361" s="628">
        <v>44105</v>
      </c>
      <c r="FPU361" s="628">
        <v>44136</v>
      </c>
      <c r="FPV361" s="628">
        <v>44166</v>
      </c>
      <c r="FPW361" s="629">
        <v>2020</v>
      </c>
      <c r="FPX361" s="630" t="s">
        <v>1870</v>
      </c>
      <c r="FPY361" s="626"/>
      <c r="FPZ361" s="627" t="s">
        <v>1669</v>
      </c>
      <c r="FQA361" s="628">
        <v>43831</v>
      </c>
      <c r="FQB361" s="628">
        <v>43862</v>
      </c>
      <c r="FQC361" s="628">
        <v>43891</v>
      </c>
      <c r="FQD361" s="628">
        <v>43922</v>
      </c>
      <c r="FQE361" s="628">
        <v>43952</v>
      </c>
      <c r="FQF361" s="628">
        <v>43983</v>
      </c>
      <c r="FQG361" s="628">
        <v>44013</v>
      </c>
      <c r="FQH361" s="628">
        <v>44044</v>
      </c>
      <c r="FQI361" s="628">
        <v>44075</v>
      </c>
      <c r="FQJ361" s="628">
        <v>44105</v>
      </c>
      <c r="FQK361" s="628">
        <v>44136</v>
      </c>
      <c r="FQL361" s="628">
        <v>44166</v>
      </c>
      <c r="FQM361" s="629">
        <v>2020</v>
      </c>
      <c r="FQN361" s="630" t="s">
        <v>1870</v>
      </c>
      <c r="FQO361" s="626"/>
      <c r="FQP361" s="627" t="s">
        <v>1669</v>
      </c>
      <c r="FQQ361" s="628">
        <v>43831</v>
      </c>
      <c r="FQR361" s="628">
        <v>43862</v>
      </c>
      <c r="FQS361" s="628">
        <v>43891</v>
      </c>
      <c r="FQT361" s="628">
        <v>43922</v>
      </c>
      <c r="FQU361" s="628">
        <v>43952</v>
      </c>
      <c r="FQV361" s="628">
        <v>43983</v>
      </c>
      <c r="FQW361" s="628">
        <v>44013</v>
      </c>
      <c r="FQX361" s="628">
        <v>44044</v>
      </c>
      <c r="FQY361" s="628">
        <v>44075</v>
      </c>
      <c r="FQZ361" s="628">
        <v>44105</v>
      </c>
      <c r="FRA361" s="628">
        <v>44136</v>
      </c>
      <c r="FRB361" s="628">
        <v>44166</v>
      </c>
      <c r="FRC361" s="629">
        <v>2020</v>
      </c>
      <c r="FRD361" s="630" t="s">
        <v>1870</v>
      </c>
      <c r="FRE361" s="626"/>
      <c r="FRF361" s="627" t="s">
        <v>1669</v>
      </c>
      <c r="FRG361" s="628">
        <v>43831</v>
      </c>
      <c r="FRH361" s="628">
        <v>43862</v>
      </c>
      <c r="FRI361" s="628">
        <v>43891</v>
      </c>
      <c r="FRJ361" s="628">
        <v>43922</v>
      </c>
      <c r="FRK361" s="628">
        <v>43952</v>
      </c>
      <c r="FRL361" s="628">
        <v>43983</v>
      </c>
      <c r="FRM361" s="628">
        <v>44013</v>
      </c>
      <c r="FRN361" s="628">
        <v>44044</v>
      </c>
      <c r="FRO361" s="628">
        <v>44075</v>
      </c>
      <c r="FRP361" s="628">
        <v>44105</v>
      </c>
      <c r="FRQ361" s="628">
        <v>44136</v>
      </c>
      <c r="FRR361" s="628">
        <v>44166</v>
      </c>
      <c r="FRS361" s="629">
        <v>2020</v>
      </c>
      <c r="FRT361" s="630" t="s">
        <v>1870</v>
      </c>
      <c r="FRU361" s="626"/>
      <c r="FRV361" s="627" t="s">
        <v>1669</v>
      </c>
      <c r="FRW361" s="628">
        <v>43831</v>
      </c>
      <c r="FRX361" s="628">
        <v>43862</v>
      </c>
      <c r="FRY361" s="628">
        <v>43891</v>
      </c>
      <c r="FRZ361" s="628">
        <v>43922</v>
      </c>
      <c r="FSA361" s="628">
        <v>43952</v>
      </c>
      <c r="FSB361" s="628">
        <v>43983</v>
      </c>
      <c r="FSC361" s="628">
        <v>44013</v>
      </c>
      <c r="FSD361" s="628">
        <v>44044</v>
      </c>
      <c r="FSE361" s="628">
        <v>44075</v>
      </c>
      <c r="FSF361" s="628">
        <v>44105</v>
      </c>
      <c r="FSG361" s="628">
        <v>44136</v>
      </c>
      <c r="FSH361" s="628">
        <v>44166</v>
      </c>
      <c r="FSI361" s="629">
        <v>2020</v>
      </c>
      <c r="FSJ361" s="630" t="s">
        <v>1870</v>
      </c>
      <c r="FSK361" s="626"/>
      <c r="FSL361" s="627" t="s">
        <v>1669</v>
      </c>
      <c r="FSM361" s="628">
        <v>43831</v>
      </c>
      <c r="FSN361" s="628">
        <v>43862</v>
      </c>
      <c r="FSO361" s="628">
        <v>43891</v>
      </c>
      <c r="FSP361" s="628">
        <v>43922</v>
      </c>
      <c r="FSQ361" s="628">
        <v>43952</v>
      </c>
      <c r="FSR361" s="628">
        <v>43983</v>
      </c>
      <c r="FSS361" s="628">
        <v>44013</v>
      </c>
      <c r="FST361" s="628">
        <v>44044</v>
      </c>
      <c r="FSU361" s="628">
        <v>44075</v>
      </c>
      <c r="FSV361" s="628">
        <v>44105</v>
      </c>
      <c r="FSW361" s="628">
        <v>44136</v>
      </c>
      <c r="FSX361" s="628">
        <v>44166</v>
      </c>
      <c r="FSY361" s="629">
        <v>2020</v>
      </c>
      <c r="FSZ361" s="630" t="s">
        <v>1870</v>
      </c>
      <c r="FTA361" s="626"/>
      <c r="FTB361" s="627" t="s">
        <v>1669</v>
      </c>
      <c r="FTC361" s="628">
        <v>43831</v>
      </c>
      <c r="FTD361" s="628">
        <v>43862</v>
      </c>
      <c r="FTE361" s="628">
        <v>43891</v>
      </c>
      <c r="FTF361" s="628">
        <v>43922</v>
      </c>
      <c r="FTG361" s="628">
        <v>43952</v>
      </c>
      <c r="FTH361" s="628">
        <v>43983</v>
      </c>
      <c r="FTI361" s="628">
        <v>44013</v>
      </c>
      <c r="FTJ361" s="628">
        <v>44044</v>
      </c>
      <c r="FTK361" s="628">
        <v>44075</v>
      </c>
      <c r="FTL361" s="628">
        <v>44105</v>
      </c>
      <c r="FTM361" s="628">
        <v>44136</v>
      </c>
      <c r="FTN361" s="628">
        <v>44166</v>
      </c>
      <c r="FTO361" s="629">
        <v>2020</v>
      </c>
      <c r="FTP361" s="630" t="s">
        <v>1870</v>
      </c>
      <c r="FTQ361" s="626"/>
      <c r="FTR361" s="627" t="s">
        <v>1669</v>
      </c>
      <c r="FTS361" s="628">
        <v>43831</v>
      </c>
      <c r="FTT361" s="628">
        <v>43862</v>
      </c>
      <c r="FTU361" s="628">
        <v>43891</v>
      </c>
      <c r="FTV361" s="628">
        <v>43922</v>
      </c>
      <c r="FTW361" s="628">
        <v>43952</v>
      </c>
      <c r="FTX361" s="628">
        <v>43983</v>
      </c>
      <c r="FTY361" s="628">
        <v>44013</v>
      </c>
      <c r="FTZ361" s="628">
        <v>44044</v>
      </c>
      <c r="FUA361" s="628">
        <v>44075</v>
      </c>
      <c r="FUB361" s="628">
        <v>44105</v>
      </c>
      <c r="FUC361" s="628">
        <v>44136</v>
      </c>
      <c r="FUD361" s="628">
        <v>44166</v>
      </c>
      <c r="FUE361" s="629">
        <v>2020</v>
      </c>
      <c r="FUF361" s="630" t="s">
        <v>1870</v>
      </c>
      <c r="FUG361" s="626"/>
      <c r="FUH361" s="627" t="s">
        <v>1669</v>
      </c>
      <c r="FUI361" s="628">
        <v>43831</v>
      </c>
      <c r="FUJ361" s="628">
        <v>43862</v>
      </c>
      <c r="FUK361" s="628">
        <v>43891</v>
      </c>
      <c r="FUL361" s="628">
        <v>43922</v>
      </c>
      <c r="FUM361" s="628">
        <v>43952</v>
      </c>
      <c r="FUN361" s="628">
        <v>43983</v>
      </c>
      <c r="FUO361" s="628">
        <v>44013</v>
      </c>
      <c r="FUP361" s="628">
        <v>44044</v>
      </c>
      <c r="FUQ361" s="628">
        <v>44075</v>
      </c>
      <c r="FUR361" s="628">
        <v>44105</v>
      </c>
      <c r="FUS361" s="628">
        <v>44136</v>
      </c>
      <c r="FUT361" s="628">
        <v>44166</v>
      </c>
      <c r="FUU361" s="629">
        <v>2020</v>
      </c>
      <c r="FUV361" s="630" t="s">
        <v>1870</v>
      </c>
      <c r="FUW361" s="626"/>
      <c r="FUX361" s="627" t="s">
        <v>1669</v>
      </c>
      <c r="FUY361" s="628">
        <v>43831</v>
      </c>
      <c r="FUZ361" s="628">
        <v>43862</v>
      </c>
      <c r="FVA361" s="628">
        <v>43891</v>
      </c>
      <c r="FVB361" s="628">
        <v>43922</v>
      </c>
      <c r="FVC361" s="628">
        <v>43952</v>
      </c>
      <c r="FVD361" s="628">
        <v>43983</v>
      </c>
      <c r="FVE361" s="628">
        <v>44013</v>
      </c>
      <c r="FVF361" s="628">
        <v>44044</v>
      </c>
      <c r="FVG361" s="628">
        <v>44075</v>
      </c>
      <c r="FVH361" s="628">
        <v>44105</v>
      </c>
      <c r="FVI361" s="628">
        <v>44136</v>
      </c>
      <c r="FVJ361" s="628">
        <v>44166</v>
      </c>
      <c r="FVK361" s="629">
        <v>2020</v>
      </c>
      <c r="FVL361" s="630" t="s">
        <v>1870</v>
      </c>
      <c r="FVM361" s="626"/>
      <c r="FVN361" s="627" t="s">
        <v>1669</v>
      </c>
      <c r="FVO361" s="628">
        <v>43831</v>
      </c>
      <c r="FVP361" s="628">
        <v>43862</v>
      </c>
      <c r="FVQ361" s="628">
        <v>43891</v>
      </c>
      <c r="FVR361" s="628">
        <v>43922</v>
      </c>
      <c r="FVS361" s="628">
        <v>43952</v>
      </c>
      <c r="FVT361" s="628">
        <v>43983</v>
      </c>
      <c r="FVU361" s="628">
        <v>44013</v>
      </c>
      <c r="FVV361" s="628">
        <v>44044</v>
      </c>
      <c r="FVW361" s="628">
        <v>44075</v>
      </c>
      <c r="FVX361" s="628">
        <v>44105</v>
      </c>
      <c r="FVY361" s="628">
        <v>44136</v>
      </c>
      <c r="FVZ361" s="628">
        <v>44166</v>
      </c>
      <c r="FWA361" s="629">
        <v>2020</v>
      </c>
      <c r="FWB361" s="630" t="s">
        <v>1870</v>
      </c>
      <c r="FWC361" s="626"/>
      <c r="FWD361" s="627" t="s">
        <v>1669</v>
      </c>
      <c r="FWE361" s="628">
        <v>43831</v>
      </c>
      <c r="FWF361" s="628">
        <v>43862</v>
      </c>
      <c r="FWG361" s="628">
        <v>43891</v>
      </c>
      <c r="FWH361" s="628">
        <v>43922</v>
      </c>
      <c r="FWI361" s="628">
        <v>43952</v>
      </c>
      <c r="FWJ361" s="628">
        <v>43983</v>
      </c>
      <c r="FWK361" s="628">
        <v>44013</v>
      </c>
      <c r="FWL361" s="628">
        <v>44044</v>
      </c>
      <c r="FWM361" s="628">
        <v>44075</v>
      </c>
      <c r="FWN361" s="628">
        <v>44105</v>
      </c>
      <c r="FWO361" s="628">
        <v>44136</v>
      </c>
      <c r="FWP361" s="628">
        <v>44166</v>
      </c>
      <c r="FWQ361" s="629">
        <v>2020</v>
      </c>
      <c r="FWR361" s="630" t="s">
        <v>1870</v>
      </c>
      <c r="FWS361" s="626"/>
      <c r="FWT361" s="627" t="s">
        <v>1669</v>
      </c>
      <c r="FWU361" s="628">
        <v>43831</v>
      </c>
      <c r="FWV361" s="628">
        <v>43862</v>
      </c>
      <c r="FWW361" s="628">
        <v>43891</v>
      </c>
      <c r="FWX361" s="628">
        <v>43922</v>
      </c>
      <c r="FWY361" s="628">
        <v>43952</v>
      </c>
      <c r="FWZ361" s="628">
        <v>43983</v>
      </c>
      <c r="FXA361" s="628">
        <v>44013</v>
      </c>
      <c r="FXB361" s="628">
        <v>44044</v>
      </c>
      <c r="FXC361" s="628">
        <v>44075</v>
      </c>
      <c r="FXD361" s="628">
        <v>44105</v>
      </c>
      <c r="FXE361" s="628">
        <v>44136</v>
      </c>
      <c r="FXF361" s="628">
        <v>44166</v>
      </c>
      <c r="FXG361" s="629">
        <v>2020</v>
      </c>
      <c r="FXH361" s="630" t="s">
        <v>1870</v>
      </c>
      <c r="FXI361" s="626"/>
      <c r="FXJ361" s="627" t="s">
        <v>1669</v>
      </c>
      <c r="FXK361" s="628">
        <v>43831</v>
      </c>
      <c r="FXL361" s="628">
        <v>43862</v>
      </c>
      <c r="FXM361" s="628">
        <v>43891</v>
      </c>
      <c r="FXN361" s="628">
        <v>43922</v>
      </c>
      <c r="FXO361" s="628">
        <v>43952</v>
      </c>
      <c r="FXP361" s="628">
        <v>43983</v>
      </c>
      <c r="FXQ361" s="628">
        <v>44013</v>
      </c>
      <c r="FXR361" s="628">
        <v>44044</v>
      </c>
      <c r="FXS361" s="628">
        <v>44075</v>
      </c>
      <c r="FXT361" s="628">
        <v>44105</v>
      </c>
      <c r="FXU361" s="628">
        <v>44136</v>
      </c>
      <c r="FXV361" s="628">
        <v>44166</v>
      </c>
      <c r="FXW361" s="629">
        <v>2020</v>
      </c>
      <c r="FXX361" s="630" t="s">
        <v>1870</v>
      </c>
      <c r="FXY361" s="626"/>
      <c r="FXZ361" s="627" t="s">
        <v>1669</v>
      </c>
      <c r="FYA361" s="628">
        <v>43831</v>
      </c>
      <c r="FYB361" s="628">
        <v>43862</v>
      </c>
      <c r="FYC361" s="628">
        <v>43891</v>
      </c>
      <c r="FYD361" s="628">
        <v>43922</v>
      </c>
      <c r="FYE361" s="628">
        <v>43952</v>
      </c>
      <c r="FYF361" s="628">
        <v>43983</v>
      </c>
      <c r="FYG361" s="628">
        <v>44013</v>
      </c>
      <c r="FYH361" s="628">
        <v>44044</v>
      </c>
      <c r="FYI361" s="628">
        <v>44075</v>
      </c>
      <c r="FYJ361" s="628">
        <v>44105</v>
      </c>
      <c r="FYK361" s="628">
        <v>44136</v>
      </c>
      <c r="FYL361" s="628">
        <v>44166</v>
      </c>
      <c r="FYM361" s="629">
        <v>2020</v>
      </c>
      <c r="FYN361" s="630" t="s">
        <v>1870</v>
      </c>
      <c r="FYO361" s="626"/>
      <c r="FYP361" s="627" t="s">
        <v>1669</v>
      </c>
      <c r="FYQ361" s="628">
        <v>43831</v>
      </c>
      <c r="FYR361" s="628">
        <v>43862</v>
      </c>
      <c r="FYS361" s="628">
        <v>43891</v>
      </c>
      <c r="FYT361" s="628">
        <v>43922</v>
      </c>
      <c r="FYU361" s="628">
        <v>43952</v>
      </c>
      <c r="FYV361" s="628">
        <v>43983</v>
      </c>
      <c r="FYW361" s="628">
        <v>44013</v>
      </c>
      <c r="FYX361" s="628">
        <v>44044</v>
      </c>
      <c r="FYY361" s="628">
        <v>44075</v>
      </c>
      <c r="FYZ361" s="628">
        <v>44105</v>
      </c>
      <c r="FZA361" s="628">
        <v>44136</v>
      </c>
      <c r="FZB361" s="628">
        <v>44166</v>
      </c>
      <c r="FZC361" s="629">
        <v>2020</v>
      </c>
      <c r="FZD361" s="630" t="s">
        <v>1870</v>
      </c>
      <c r="FZE361" s="626"/>
      <c r="FZF361" s="627" t="s">
        <v>1669</v>
      </c>
      <c r="FZG361" s="628">
        <v>43831</v>
      </c>
      <c r="FZH361" s="628">
        <v>43862</v>
      </c>
      <c r="FZI361" s="628">
        <v>43891</v>
      </c>
      <c r="FZJ361" s="628">
        <v>43922</v>
      </c>
      <c r="FZK361" s="628">
        <v>43952</v>
      </c>
      <c r="FZL361" s="628">
        <v>43983</v>
      </c>
      <c r="FZM361" s="628">
        <v>44013</v>
      </c>
      <c r="FZN361" s="628">
        <v>44044</v>
      </c>
      <c r="FZO361" s="628">
        <v>44075</v>
      </c>
      <c r="FZP361" s="628">
        <v>44105</v>
      </c>
      <c r="FZQ361" s="628">
        <v>44136</v>
      </c>
      <c r="FZR361" s="628">
        <v>44166</v>
      </c>
      <c r="FZS361" s="629">
        <v>2020</v>
      </c>
      <c r="FZT361" s="630" t="s">
        <v>1870</v>
      </c>
      <c r="FZU361" s="626"/>
      <c r="FZV361" s="627" t="s">
        <v>1669</v>
      </c>
      <c r="FZW361" s="628">
        <v>43831</v>
      </c>
      <c r="FZX361" s="628">
        <v>43862</v>
      </c>
      <c r="FZY361" s="628">
        <v>43891</v>
      </c>
      <c r="FZZ361" s="628">
        <v>43922</v>
      </c>
      <c r="GAA361" s="628">
        <v>43952</v>
      </c>
      <c r="GAB361" s="628">
        <v>43983</v>
      </c>
      <c r="GAC361" s="628">
        <v>44013</v>
      </c>
      <c r="GAD361" s="628">
        <v>44044</v>
      </c>
      <c r="GAE361" s="628">
        <v>44075</v>
      </c>
      <c r="GAF361" s="628">
        <v>44105</v>
      </c>
      <c r="GAG361" s="628">
        <v>44136</v>
      </c>
      <c r="GAH361" s="628">
        <v>44166</v>
      </c>
      <c r="GAI361" s="629">
        <v>2020</v>
      </c>
      <c r="GAJ361" s="630" t="s">
        <v>1870</v>
      </c>
      <c r="GAK361" s="626"/>
      <c r="GAL361" s="627" t="s">
        <v>1669</v>
      </c>
      <c r="GAM361" s="628">
        <v>43831</v>
      </c>
      <c r="GAN361" s="628">
        <v>43862</v>
      </c>
      <c r="GAO361" s="628">
        <v>43891</v>
      </c>
      <c r="GAP361" s="628">
        <v>43922</v>
      </c>
      <c r="GAQ361" s="628">
        <v>43952</v>
      </c>
      <c r="GAR361" s="628">
        <v>43983</v>
      </c>
      <c r="GAS361" s="628">
        <v>44013</v>
      </c>
      <c r="GAT361" s="628">
        <v>44044</v>
      </c>
      <c r="GAU361" s="628">
        <v>44075</v>
      </c>
      <c r="GAV361" s="628">
        <v>44105</v>
      </c>
      <c r="GAW361" s="628">
        <v>44136</v>
      </c>
      <c r="GAX361" s="628">
        <v>44166</v>
      </c>
      <c r="GAY361" s="629">
        <v>2020</v>
      </c>
      <c r="GAZ361" s="630" t="s">
        <v>1870</v>
      </c>
      <c r="GBA361" s="626"/>
      <c r="GBB361" s="627" t="s">
        <v>1669</v>
      </c>
      <c r="GBC361" s="628">
        <v>43831</v>
      </c>
      <c r="GBD361" s="628">
        <v>43862</v>
      </c>
      <c r="GBE361" s="628">
        <v>43891</v>
      </c>
      <c r="GBF361" s="628">
        <v>43922</v>
      </c>
      <c r="GBG361" s="628">
        <v>43952</v>
      </c>
      <c r="GBH361" s="628">
        <v>43983</v>
      </c>
      <c r="GBI361" s="628">
        <v>44013</v>
      </c>
      <c r="GBJ361" s="628">
        <v>44044</v>
      </c>
      <c r="GBK361" s="628">
        <v>44075</v>
      </c>
      <c r="GBL361" s="628">
        <v>44105</v>
      </c>
      <c r="GBM361" s="628">
        <v>44136</v>
      </c>
      <c r="GBN361" s="628">
        <v>44166</v>
      </c>
      <c r="GBO361" s="629">
        <v>2020</v>
      </c>
      <c r="GBP361" s="630" t="s">
        <v>1870</v>
      </c>
      <c r="GBQ361" s="626"/>
      <c r="GBR361" s="627" t="s">
        <v>1669</v>
      </c>
      <c r="GBS361" s="628">
        <v>43831</v>
      </c>
      <c r="GBT361" s="628">
        <v>43862</v>
      </c>
      <c r="GBU361" s="628">
        <v>43891</v>
      </c>
      <c r="GBV361" s="628">
        <v>43922</v>
      </c>
      <c r="GBW361" s="628">
        <v>43952</v>
      </c>
      <c r="GBX361" s="628">
        <v>43983</v>
      </c>
      <c r="GBY361" s="628">
        <v>44013</v>
      </c>
      <c r="GBZ361" s="628">
        <v>44044</v>
      </c>
      <c r="GCA361" s="628">
        <v>44075</v>
      </c>
      <c r="GCB361" s="628">
        <v>44105</v>
      </c>
      <c r="GCC361" s="628">
        <v>44136</v>
      </c>
      <c r="GCD361" s="628">
        <v>44166</v>
      </c>
      <c r="GCE361" s="629">
        <v>2020</v>
      </c>
      <c r="GCF361" s="630" t="s">
        <v>1870</v>
      </c>
      <c r="GCG361" s="626"/>
      <c r="GCH361" s="627" t="s">
        <v>1669</v>
      </c>
      <c r="GCI361" s="628">
        <v>43831</v>
      </c>
      <c r="GCJ361" s="628">
        <v>43862</v>
      </c>
      <c r="GCK361" s="628">
        <v>43891</v>
      </c>
      <c r="GCL361" s="628">
        <v>43922</v>
      </c>
      <c r="GCM361" s="628">
        <v>43952</v>
      </c>
      <c r="GCN361" s="628">
        <v>43983</v>
      </c>
      <c r="GCO361" s="628">
        <v>44013</v>
      </c>
      <c r="GCP361" s="628">
        <v>44044</v>
      </c>
      <c r="GCQ361" s="628">
        <v>44075</v>
      </c>
      <c r="GCR361" s="628">
        <v>44105</v>
      </c>
      <c r="GCS361" s="628">
        <v>44136</v>
      </c>
      <c r="GCT361" s="628">
        <v>44166</v>
      </c>
      <c r="GCU361" s="629">
        <v>2020</v>
      </c>
      <c r="GCV361" s="630" t="s">
        <v>1870</v>
      </c>
      <c r="GCW361" s="626"/>
      <c r="GCX361" s="627" t="s">
        <v>1669</v>
      </c>
      <c r="GCY361" s="628">
        <v>43831</v>
      </c>
      <c r="GCZ361" s="628">
        <v>43862</v>
      </c>
      <c r="GDA361" s="628">
        <v>43891</v>
      </c>
      <c r="GDB361" s="628">
        <v>43922</v>
      </c>
      <c r="GDC361" s="628">
        <v>43952</v>
      </c>
      <c r="GDD361" s="628">
        <v>43983</v>
      </c>
      <c r="GDE361" s="628">
        <v>44013</v>
      </c>
      <c r="GDF361" s="628">
        <v>44044</v>
      </c>
      <c r="GDG361" s="628">
        <v>44075</v>
      </c>
      <c r="GDH361" s="628">
        <v>44105</v>
      </c>
      <c r="GDI361" s="628">
        <v>44136</v>
      </c>
      <c r="GDJ361" s="628">
        <v>44166</v>
      </c>
      <c r="GDK361" s="629">
        <v>2020</v>
      </c>
      <c r="GDL361" s="630" t="s">
        <v>1870</v>
      </c>
      <c r="GDM361" s="626"/>
      <c r="GDN361" s="627" t="s">
        <v>1669</v>
      </c>
      <c r="GDO361" s="628">
        <v>43831</v>
      </c>
      <c r="GDP361" s="628">
        <v>43862</v>
      </c>
      <c r="GDQ361" s="628">
        <v>43891</v>
      </c>
      <c r="GDR361" s="628">
        <v>43922</v>
      </c>
      <c r="GDS361" s="628">
        <v>43952</v>
      </c>
      <c r="GDT361" s="628">
        <v>43983</v>
      </c>
      <c r="GDU361" s="628">
        <v>44013</v>
      </c>
      <c r="GDV361" s="628">
        <v>44044</v>
      </c>
      <c r="GDW361" s="628">
        <v>44075</v>
      </c>
      <c r="GDX361" s="628">
        <v>44105</v>
      </c>
      <c r="GDY361" s="628">
        <v>44136</v>
      </c>
      <c r="GDZ361" s="628">
        <v>44166</v>
      </c>
      <c r="GEA361" s="629">
        <v>2020</v>
      </c>
      <c r="GEB361" s="630" t="s">
        <v>1870</v>
      </c>
      <c r="GEC361" s="626"/>
      <c r="GED361" s="627" t="s">
        <v>1669</v>
      </c>
      <c r="GEE361" s="628">
        <v>43831</v>
      </c>
      <c r="GEF361" s="628">
        <v>43862</v>
      </c>
      <c r="GEG361" s="628">
        <v>43891</v>
      </c>
      <c r="GEH361" s="628">
        <v>43922</v>
      </c>
      <c r="GEI361" s="628">
        <v>43952</v>
      </c>
      <c r="GEJ361" s="628">
        <v>43983</v>
      </c>
      <c r="GEK361" s="628">
        <v>44013</v>
      </c>
      <c r="GEL361" s="628">
        <v>44044</v>
      </c>
      <c r="GEM361" s="628">
        <v>44075</v>
      </c>
      <c r="GEN361" s="628">
        <v>44105</v>
      </c>
      <c r="GEO361" s="628">
        <v>44136</v>
      </c>
      <c r="GEP361" s="628">
        <v>44166</v>
      </c>
      <c r="GEQ361" s="629">
        <v>2020</v>
      </c>
      <c r="GER361" s="630" t="s">
        <v>1870</v>
      </c>
      <c r="GES361" s="626"/>
      <c r="GET361" s="627" t="s">
        <v>1669</v>
      </c>
      <c r="GEU361" s="628">
        <v>43831</v>
      </c>
      <c r="GEV361" s="628">
        <v>43862</v>
      </c>
      <c r="GEW361" s="628">
        <v>43891</v>
      </c>
      <c r="GEX361" s="628">
        <v>43922</v>
      </c>
      <c r="GEY361" s="628">
        <v>43952</v>
      </c>
      <c r="GEZ361" s="628">
        <v>43983</v>
      </c>
      <c r="GFA361" s="628">
        <v>44013</v>
      </c>
      <c r="GFB361" s="628">
        <v>44044</v>
      </c>
      <c r="GFC361" s="628">
        <v>44075</v>
      </c>
      <c r="GFD361" s="628">
        <v>44105</v>
      </c>
      <c r="GFE361" s="628">
        <v>44136</v>
      </c>
      <c r="GFF361" s="628">
        <v>44166</v>
      </c>
      <c r="GFG361" s="629">
        <v>2020</v>
      </c>
      <c r="GFH361" s="630" t="s">
        <v>1870</v>
      </c>
      <c r="GFI361" s="626"/>
      <c r="GFJ361" s="627" t="s">
        <v>1669</v>
      </c>
      <c r="GFK361" s="628">
        <v>43831</v>
      </c>
      <c r="GFL361" s="628">
        <v>43862</v>
      </c>
      <c r="GFM361" s="628">
        <v>43891</v>
      </c>
      <c r="GFN361" s="628">
        <v>43922</v>
      </c>
      <c r="GFO361" s="628">
        <v>43952</v>
      </c>
      <c r="GFP361" s="628">
        <v>43983</v>
      </c>
      <c r="GFQ361" s="628">
        <v>44013</v>
      </c>
      <c r="GFR361" s="628">
        <v>44044</v>
      </c>
      <c r="GFS361" s="628">
        <v>44075</v>
      </c>
      <c r="GFT361" s="628">
        <v>44105</v>
      </c>
      <c r="GFU361" s="628">
        <v>44136</v>
      </c>
      <c r="GFV361" s="628">
        <v>44166</v>
      </c>
      <c r="GFW361" s="629">
        <v>2020</v>
      </c>
      <c r="GFX361" s="630" t="s">
        <v>1870</v>
      </c>
      <c r="GFY361" s="626"/>
      <c r="GFZ361" s="627" t="s">
        <v>1669</v>
      </c>
      <c r="GGA361" s="628">
        <v>43831</v>
      </c>
      <c r="GGB361" s="628">
        <v>43862</v>
      </c>
      <c r="GGC361" s="628">
        <v>43891</v>
      </c>
      <c r="GGD361" s="628">
        <v>43922</v>
      </c>
      <c r="GGE361" s="628">
        <v>43952</v>
      </c>
      <c r="GGF361" s="628">
        <v>43983</v>
      </c>
      <c r="GGG361" s="628">
        <v>44013</v>
      </c>
      <c r="GGH361" s="628">
        <v>44044</v>
      </c>
      <c r="GGI361" s="628">
        <v>44075</v>
      </c>
      <c r="GGJ361" s="628">
        <v>44105</v>
      </c>
      <c r="GGK361" s="628">
        <v>44136</v>
      </c>
      <c r="GGL361" s="628">
        <v>44166</v>
      </c>
      <c r="GGM361" s="629">
        <v>2020</v>
      </c>
      <c r="GGN361" s="630" t="s">
        <v>1870</v>
      </c>
      <c r="GGO361" s="626"/>
      <c r="GGP361" s="627" t="s">
        <v>1669</v>
      </c>
      <c r="GGQ361" s="628">
        <v>43831</v>
      </c>
      <c r="GGR361" s="628">
        <v>43862</v>
      </c>
      <c r="GGS361" s="628">
        <v>43891</v>
      </c>
      <c r="GGT361" s="628">
        <v>43922</v>
      </c>
      <c r="GGU361" s="628">
        <v>43952</v>
      </c>
      <c r="GGV361" s="628">
        <v>43983</v>
      </c>
      <c r="GGW361" s="628">
        <v>44013</v>
      </c>
      <c r="GGX361" s="628">
        <v>44044</v>
      </c>
      <c r="GGY361" s="628">
        <v>44075</v>
      </c>
      <c r="GGZ361" s="628">
        <v>44105</v>
      </c>
      <c r="GHA361" s="628">
        <v>44136</v>
      </c>
      <c r="GHB361" s="628">
        <v>44166</v>
      </c>
      <c r="GHC361" s="629">
        <v>2020</v>
      </c>
      <c r="GHD361" s="630" t="s">
        <v>1870</v>
      </c>
      <c r="GHE361" s="626"/>
      <c r="GHF361" s="627" t="s">
        <v>1669</v>
      </c>
      <c r="GHG361" s="628">
        <v>43831</v>
      </c>
      <c r="GHH361" s="628">
        <v>43862</v>
      </c>
      <c r="GHI361" s="628">
        <v>43891</v>
      </c>
      <c r="GHJ361" s="628">
        <v>43922</v>
      </c>
      <c r="GHK361" s="628">
        <v>43952</v>
      </c>
      <c r="GHL361" s="628">
        <v>43983</v>
      </c>
      <c r="GHM361" s="628">
        <v>44013</v>
      </c>
      <c r="GHN361" s="628">
        <v>44044</v>
      </c>
      <c r="GHO361" s="628">
        <v>44075</v>
      </c>
      <c r="GHP361" s="628">
        <v>44105</v>
      </c>
      <c r="GHQ361" s="628">
        <v>44136</v>
      </c>
      <c r="GHR361" s="628">
        <v>44166</v>
      </c>
      <c r="GHS361" s="629">
        <v>2020</v>
      </c>
      <c r="GHT361" s="630" t="s">
        <v>1870</v>
      </c>
      <c r="GHU361" s="626"/>
      <c r="GHV361" s="627" t="s">
        <v>1669</v>
      </c>
      <c r="GHW361" s="628">
        <v>43831</v>
      </c>
      <c r="GHX361" s="628">
        <v>43862</v>
      </c>
      <c r="GHY361" s="628">
        <v>43891</v>
      </c>
      <c r="GHZ361" s="628">
        <v>43922</v>
      </c>
      <c r="GIA361" s="628">
        <v>43952</v>
      </c>
      <c r="GIB361" s="628">
        <v>43983</v>
      </c>
      <c r="GIC361" s="628">
        <v>44013</v>
      </c>
      <c r="GID361" s="628">
        <v>44044</v>
      </c>
      <c r="GIE361" s="628">
        <v>44075</v>
      </c>
      <c r="GIF361" s="628">
        <v>44105</v>
      </c>
      <c r="GIG361" s="628">
        <v>44136</v>
      </c>
      <c r="GIH361" s="628">
        <v>44166</v>
      </c>
      <c r="GII361" s="629">
        <v>2020</v>
      </c>
      <c r="GIJ361" s="630" t="s">
        <v>1870</v>
      </c>
      <c r="GIK361" s="626"/>
      <c r="GIL361" s="627" t="s">
        <v>1669</v>
      </c>
      <c r="GIM361" s="628">
        <v>43831</v>
      </c>
      <c r="GIN361" s="628">
        <v>43862</v>
      </c>
      <c r="GIO361" s="628">
        <v>43891</v>
      </c>
      <c r="GIP361" s="628">
        <v>43922</v>
      </c>
      <c r="GIQ361" s="628">
        <v>43952</v>
      </c>
      <c r="GIR361" s="628">
        <v>43983</v>
      </c>
      <c r="GIS361" s="628">
        <v>44013</v>
      </c>
      <c r="GIT361" s="628">
        <v>44044</v>
      </c>
      <c r="GIU361" s="628">
        <v>44075</v>
      </c>
      <c r="GIV361" s="628">
        <v>44105</v>
      </c>
      <c r="GIW361" s="628">
        <v>44136</v>
      </c>
      <c r="GIX361" s="628">
        <v>44166</v>
      </c>
      <c r="GIY361" s="629">
        <v>2020</v>
      </c>
      <c r="GIZ361" s="630" t="s">
        <v>1870</v>
      </c>
      <c r="GJA361" s="626"/>
      <c r="GJB361" s="627" t="s">
        <v>1669</v>
      </c>
      <c r="GJC361" s="628">
        <v>43831</v>
      </c>
      <c r="GJD361" s="628">
        <v>43862</v>
      </c>
      <c r="GJE361" s="628">
        <v>43891</v>
      </c>
      <c r="GJF361" s="628">
        <v>43922</v>
      </c>
      <c r="GJG361" s="628">
        <v>43952</v>
      </c>
      <c r="GJH361" s="628">
        <v>43983</v>
      </c>
      <c r="GJI361" s="628">
        <v>44013</v>
      </c>
      <c r="GJJ361" s="628">
        <v>44044</v>
      </c>
      <c r="GJK361" s="628">
        <v>44075</v>
      </c>
      <c r="GJL361" s="628">
        <v>44105</v>
      </c>
      <c r="GJM361" s="628">
        <v>44136</v>
      </c>
      <c r="GJN361" s="628">
        <v>44166</v>
      </c>
      <c r="GJO361" s="629">
        <v>2020</v>
      </c>
      <c r="GJP361" s="630" t="s">
        <v>1870</v>
      </c>
      <c r="GJQ361" s="626"/>
      <c r="GJR361" s="627" t="s">
        <v>1669</v>
      </c>
      <c r="GJS361" s="628">
        <v>43831</v>
      </c>
      <c r="GJT361" s="628">
        <v>43862</v>
      </c>
      <c r="GJU361" s="628">
        <v>43891</v>
      </c>
      <c r="GJV361" s="628">
        <v>43922</v>
      </c>
      <c r="GJW361" s="628">
        <v>43952</v>
      </c>
      <c r="GJX361" s="628">
        <v>43983</v>
      </c>
      <c r="GJY361" s="628">
        <v>44013</v>
      </c>
      <c r="GJZ361" s="628">
        <v>44044</v>
      </c>
      <c r="GKA361" s="628">
        <v>44075</v>
      </c>
      <c r="GKB361" s="628">
        <v>44105</v>
      </c>
      <c r="GKC361" s="628">
        <v>44136</v>
      </c>
      <c r="GKD361" s="628">
        <v>44166</v>
      </c>
      <c r="GKE361" s="629">
        <v>2020</v>
      </c>
      <c r="GKF361" s="630" t="s">
        <v>1870</v>
      </c>
      <c r="GKG361" s="626"/>
      <c r="GKH361" s="627" t="s">
        <v>1669</v>
      </c>
      <c r="GKI361" s="628">
        <v>43831</v>
      </c>
      <c r="GKJ361" s="628">
        <v>43862</v>
      </c>
      <c r="GKK361" s="628">
        <v>43891</v>
      </c>
      <c r="GKL361" s="628">
        <v>43922</v>
      </c>
      <c r="GKM361" s="628">
        <v>43952</v>
      </c>
      <c r="GKN361" s="628">
        <v>43983</v>
      </c>
      <c r="GKO361" s="628">
        <v>44013</v>
      </c>
      <c r="GKP361" s="628">
        <v>44044</v>
      </c>
      <c r="GKQ361" s="628">
        <v>44075</v>
      </c>
      <c r="GKR361" s="628">
        <v>44105</v>
      </c>
      <c r="GKS361" s="628">
        <v>44136</v>
      </c>
      <c r="GKT361" s="628">
        <v>44166</v>
      </c>
      <c r="GKU361" s="629">
        <v>2020</v>
      </c>
      <c r="GKV361" s="630" t="s">
        <v>1870</v>
      </c>
      <c r="GKW361" s="626"/>
      <c r="GKX361" s="627" t="s">
        <v>1669</v>
      </c>
      <c r="GKY361" s="628">
        <v>43831</v>
      </c>
      <c r="GKZ361" s="628">
        <v>43862</v>
      </c>
      <c r="GLA361" s="628">
        <v>43891</v>
      </c>
      <c r="GLB361" s="628">
        <v>43922</v>
      </c>
      <c r="GLC361" s="628">
        <v>43952</v>
      </c>
      <c r="GLD361" s="628">
        <v>43983</v>
      </c>
      <c r="GLE361" s="628">
        <v>44013</v>
      </c>
      <c r="GLF361" s="628">
        <v>44044</v>
      </c>
      <c r="GLG361" s="628">
        <v>44075</v>
      </c>
      <c r="GLH361" s="628">
        <v>44105</v>
      </c>
      <c r="GLI361" s="628">
        <v>44136</v>
      </c>
      <c r="GLJ361" s="628">
        <v>44166</v>
      </c>
      <c r="GLK361" s="629">
        <v>2020</v>
      </c>
      <c r="GLL361" s="630" t="s">
        <v>1870</v>
      </c>
      <c r="GLM361" s="626"/>
      <c r="GLN361" s="627" t="s">
        <v>1669</v>
      </c>
      <c r="GLO361" s="628">
        <v>43831</v>
      </c>
      <c r="GLP361" s="628">
        <v>43862</v>
      </c>
      <c r="GLQ361" s="628">
        <v>43891</v>
      </c>
      <c r="GLR361" s="628">
        <v>43922</v>
      </c>
      <c r="GLS361" s="628">
        <v>43952</v>
      </c>
      <c r="GLT361" s="628">
        <v>43983</v>
      </c>
      <c r="GLU361" s="628">
        <v>44013</v>
      </c>
      <c r="GLV361" s="628">
        <v>44044</v>
      </c>
      <c r="GLW361" s="628">
        <v>44075</v>
      </c>
      <c r="GLX361" s="628">
        <v>44105</v>
      </c>
      <c r="GLY361" s="628">
        <v>44136</v>
      </c>
      <c r="GLZ361" s="628">
        <v>44166</v>
      </c>
      <c r="GMA361" s="629">
        <v>2020</v>
      </c>
      <c r="GMB361" s="630" t="s">
        <v>1870</v>
      </c>
      <c r="GMC361" s="626"/>
      <c r="GMD361" s="627" t="s">
        <v>1669</v>
      </c>
      <c r="GME361" s="628">
        <v>43831</v>
      </c>
      <c r="GMF361" s="628">
        <v>43862</v>
      </c>
      <c r="GMG361" s="628">
        <v>43891</v>
      </c>
      <c r="GMH361" s="628">
        <v>43922</v>
      </c>
      <c r="GMI361" s="628">
        <v>43952</v>
      </c>
      <c r="GMJ361" s="628">
        <v>43983</v>
      </c>
      <c r="GMK361" s="628">
        <v>44013</v>
      </c>
      <c r="GML361" s="628">
        <v>44044</v>
      </c>
      <c r="GMM361" s="628">
        <v>44075</v>
      </c>
      <c r="GMN361" s="628">
        <v>44105</v>
      </c>
      <c r="GMO361" s="628">
        <v>44136</v>
      </c>
      <c r="GMP361" s="628">
        <v>44166</v>
      </c>
      <c r="GMQ361" s="629">
        <v>2020</v>
      </c>
      <c r="GMR361" s="630" t="s">
        <v>1870</v>
      </c>
      <c r="GMS361" s="626"/>
      <c r="GMT361" s="627" t="s">
        <v>1669</v>
      </c>
      <c r="GMU361" s="628">
        <v>43831</v>
      </c>
      <c r="GMV361" s="628">
        <v>43862</v>
      </c>
      <c r="GMW361" s="628">
        <v>43891</v>
      </c>
      <c r="GMX361" s="628">
        <v>43922</v>
      </c>
      <c r="GMY361" s="628">
        <v>43952</v>
      </c>
      <c r="GMZ361" s="628">
        <v>43983</v>
      </c>
      <c r="GNA361" s="628">
        <v>44013</v>
      </c>
      <c r="GNB361" s="628">
        <v>44044</v>
      </c>
      <c r="GNC361" s="628">
        <v>44075</v>
      </c>
      <c r="GND361" s="628">
        <v>44105</v>
      </c>
      <c r="GNE361" s="628">
        <v>44136</v>
      </c>
      <c r="GNF361" s="628">
        <v>44166</v>
      </c>
      <c r="GNG361" s="629">
        <v>2020</v>
      </c>
      <c r="GNH361" s="630" t="s">
        <v>1870</v>
      </c>
      <c r="GNI361" s="626"/>
      <c r="GNJ361" s="627" t="s">
        <v>1669</v>
      </c>
      <c r="GNK361" s="628">
        <v>43831</v>
      </c>
      <c r="GNL361" s="628">
        <v>43862</v>
      </c>
      <c r="GNM361" s="628">
        <v>43891</v>
      </c>
      <c r="GNN361" s="628">
        <v>43922</v>
      </c>
      <c r="GNO361" s="628">
        <v>43952</v>
      </c>
      <c r="GNP361" s="628">
        <v>43983</v>
      </c>
      <c r="GNQ361" s="628">
        <v>44013</v>
      </c>
      <c r="GNR361" s="628">
        <v>44044</v>
      </c>
      <c r="GNS361" s="628">
        <v>44075</v>
      </c>
      <c r="GNT361" s="628">
        <v>44105</v>
      </c>
      <c r="GNU361" s="628">
        <v>44136</v>
      </c>
      <c r="GNV361" s="628">
        <v>44166</v>
      </c>
      <c r="GNW361" s="629">
        <v>2020</v>
      </c>
      <c r="GNX361" s="630" t="s">
        <v>1870</v>
      </c>
      <c r="GNY361" s="626"/>
      <c r="GNZ361" s="627" t="s">
        <v>1669</v>
      </c>
      <c r="GOA361" s="628">
        <v>43831</v>
      </c>
      <c r="GOB361" s="628">
        <v>43862</v>
      </c>
      <c r="GOC361" s="628">
        <v>43891</v>
      </c>
      <c r="GOD361" s="628">
        <v>43922</v>
      </c>
      <c r="GOE361" s="628">
        <v>43952</v>
      </c>
      <c r="GOF361" s="628">
        <v>43983</v>
      </c>
      <c r="GOG361" s="628">
        <v>44013</v>
      </c>
      <c r="GOH361" s="628">
        <v>44044</v>
      </c>
      <c r="GOI361" s="628">
        <v>44075</v>
      </c>
      <c r="GOJ361" s="628">
        <v>44105</v>
      </c>
      <c r="GOK361" s="628">
        <v>44136</v>
      </c>
      <c r="GOL361" s="628">
        <v>44166</v>
      </c>
      <c r="GOM361" s="629">
        <v>2020</v>
      </c>
      <c r="GON361" s="630" t="s">
        <v>1870</v>
      </c>
      <c r="GOO361" s="626"/>
      <c r="GOP361" s="627" t="s">
        <v>1669</v>
      </c>
      <c r="GOQ361" s="628">
        <v>43831</v>
      </c>
      <c r="GOR361" s="628">
        <v>43862</v>
      </c>
      <c r="GOS361" s="628">
        <v>43891</v>
      </c>
      <c r="GOT361" s="628">
        <v>43922</v>
      </c>
      <c r="GOU361" s="628">
        <v>43952</v>
      </c>
      <c r="GOV361" s="628">
        <v>43983</v>
      </c>
      <c r="GOW361" s="628">
        <v>44013</v>
      </c>
      <c r="GOX361" s="628">
        <v>44044</v>
      </c>
      <c r="GOY361" s="628">
        <v>44075</v>
      </c>
      <c r="GOZ361" s="628">
        <v>44105</v>
      </c>
      <c r="GPA361" s="628">
        <v>44136</v>
      </c>
      <c r="GPB361" s="628">
        <v>44166</v>
      </c>
      <c r="GPC361" s="629">
        <v>2020</v>
      </c>
      <c r="GPD361" s="630" t="s">
        <v>1870</v>
      </c>
      <c r="GPE361" s="626"/>
      <c r="GPF361" s="627" t="s">
        <v>1669</v>
      </c>
      <c r="GPG361" s="628">
        <v>43831</v>
      </c>
      <c r="GPH361" s="628">
        <v>43862</v>
      </c>
      <c r="GPI361" s="628">
        <v>43891</v>
      </c>
      <c r="GPJ361" s="628">
        <v>43922</v>
      </c>
      <c r="GPK361" s="628">
        <v>43952</v>
      </c>
      <c r="GPL361" s="628">
        <v>43983</v>
      </c>
      <c r="GPM361" s="628">
        <v>44013</v>
      </c>
      <c r="GPN361" s="628">
        <v>44044</v>
      </c>
      <c r="GPO361" s="628">
        <v>44075</v>
      </c>
      <c r="GPP361" s="628">
        <v>44105</v>
      </c>
      <c r="GPQ361" s="628">
        <v>44136</v>
      </c>
      <c r="GPR361" s="628">
        <v>44166</v>
      </c>
      <c r="GPS361" s="629">
        <v>2020</v>
      </c>
      <c r="GPT361" s="630" t="s">
        <v>1870</v>
      </c>
      <c r="GPU361" s="626"/>
      <c r="GPV361" s="627" t="s">
        <v>1669</v>
      </c>
      <c r="GPW361" s="628">
        <v>43831</v>
      </c>
      <c r="GPX361" s="628">
        <v>43862</v>
      </c>
      <c r="GPY361" s="628">
        <v>43891</v>
      </c>
      <c r="GPZ361" s="628">
        <v>43922</v>
      </c>
      <c r="GQA361" s="628">
        <v>43952</v>
      </c>
      <c r="GQB361" s="628">
        <v>43983</v>
      </c>
      <c r="GQC361" s="628">
        <v>44013</v>
      </c>
      <c r="GQD361" s="628">
        <v>44044</v>
      </c>
      <c r="GQE361" s="628">
        <v>44075</v>
      </c>
      <c r="GQF361" s="628">
        <v>44105</v>
      </c>
      <c r="GQG361" s="628">
        <v>44136</v>
      </c>
      <c r="GQH361" s="628">
        <v>44166</v>
      </c>
      <c r="GQI361" s="629">
        <v>2020</v>
      </c>
      <c r="GQJ361" s="630" t="s">
        <v>1870</v>
      </c>
      <c r="GQK361" s="626"/>
      <c r="GQL361" s="627" t="s">
        <v>1669</v>
      </c>
      <c r="GQM361" s="628">
        <v>43831</v>
      </c>
      <c r="GQN361" s="628">
        <v>43862</v>
      </c>
      <c r="GQO361" s="628">
        <v>43891</v>
      </c>
      <c r="GQP361" s="628">
        <v>43922</v>
      </c>
      <c r="GQQ361" s="628">
        <v>43952</v>
      </c>
      <c r="GQR361" s="628">
        <v>43983</v>
      </c>
      <c r="GQS361" s="628">
        <v>44013</v>
      </c>
      <c r="GQT361" s="628">
        <v>44044</v>
      </c>
      <c r="GQU361" s="628">
        <v>44075</v>
      </c>
      <c r="GQV361" s="628">
        <v>44105</v>
      </c>
      <c r="GQW361" s="628">
        <v>44136</v>
      </c>
      <c r="GQX361" s="628">
        <v>44166</v>
      </c>
      <c r="GQY361" s="629">
        <v>2020</v>
      </c>
      <c r="GQZ361" s="630" t="s">
        <v>1870</v>
      </c>
      <c r="GRA361" s="626"/>
      <c r="GRB361" s="627" t="s">
        <v>1669</v>
      </c>
      <c r="GRC361" s="628">
        <v>43831</v>
      </c>
      <c r="GRD361" s="628">
        <v>43862</v>
      </c>
      <c r="GRE361" s="628">
        <v>43891</v>
      </c>
      <c r="GRF361" s="628">
        <v>43922</v>
      </c>
      <c r="GRG361" s="628">
        <v>43952</v>
      </c>
      <c r="GRH361" s="628">
        <v>43983</v>
      </c>
      <c r="GRI361" s="628">
        <v>44013</v>
      </c>
      <c r="GRJ361" s="628">
        <v>44044</v>
      </c>
      <c r="GRK361" s="628">
        <v>44075</v>
      </c>
      <c r="GRL361" s="628">
        <v>44105</v>
      </c>
      <c r="GRM361" s="628">
        <v>44136</v>
      </c>
      <c r="GRN361" s="628">
        <v>44166</v>
      </c>
      <c r="GRO361" s="629">
        <v>2020</v>
      </c>
      <c r="GRP361" s="630" t="s">
        <v>1870</v>
      </c>
      <c r="GRQ361" s="626"/>
      <c r="GRR361" s="627" t="s">
        <v>1669</v>
      </c>
      <c r="GRS361" s="628">
        <v>43831</v>
      </c>
      <c r="GRT361" s="628">
        <v>43862</v>
      </c>
      <c r="GRU361" s="628">
        <v>43891</v>
      </c>
      <c r="GRV361" s="628">
        <v>43922</v>
      </c>
      <c r="GRW361" s="628">
        <v>43952</v>
      </c>
      <c r="GRX361" s="628">
        <v>43983</v>
      </c>
      <c r="GRY361" s="628">
        <v>44013</v>
      </c>
      <c r="GRZ361" s="628">
        <v>44044</v>
      </c>
      <c r="GSA361" s="628">
        <v>44075</v>
      </c>
      <c r="GSB361" s="628">
        <v>44105</v>
      </c>
      <c r="GSC361" s="628">
        <v>44136</v>
      </c>
      <c r="GSD361" s="628">
        <v>44166</v>
      </c>
      <c r="GSE361" s="629">
        <v>2020</v>
      </c>
      <c r="GSF361" s="630" t="s">
        <v>1870</v>
      </c>
      <c r="GSG361" s="626"/>
      <c r="GSH361" s="627" t="s">
        <v>1669</v>
      </c>
      <c r="GSI361" s="628">
        <v>43831</v>
      </c>
      <c r="GSJ361" s="628">
        <v>43862</v>
      </c>
      <c r="GSK361" s="628">
        <v>43891</v>
      </c>
      <c r="GSL361" s="628">
        <v>43922</v>
      </c>
      <c r="GSM361" s="628">
        <v>43952</v>
      </c>
      <c r="GSN361" s="628">
        <v>43983</v>
      </c>
      <c r="GSO361" s="628">
        <v>44013</v>
      </c>
      <c r="GSP361" s="628">
        <v>44044</v>
      </c>
      <c r="GSQ361" s="628">
        <v>44075</v>
      </c>
      <c r="GSR361" s="628">
        <v>44105</v>
      </c>
      <c r="GSS361" s="628">
        <v>44136</v>
      </c>
      <c r="GST361" s="628">
        <v>44166</v>
      </c>
      <c r="GSU361" s="629">
        <v>2020</v>
      </c>
      <c r="GSV361" s="630" t="s">
        <v>1870</v>
      </c>
      <c r="GSW361" s="626"/>
      <c r="GSX361" s="627" t="s">
        <v>1669</v>
      </c>
      <c r="GSY361" s="628">
        <v>43831</v>
      </c>
      <c r="GSZ361" s="628">
        <v>43862</v>
      </c>
      <c r="GTA361" s="628">
        <v>43891</v>
      </c>
      <c r="GTB361" s="628">
        <v>43922</v>
      </c>
      <c r="GTC361" s="628">
        <v>43952</v>
      </c>
      <c r="GTD361" s="628">
        <v>43983</v>
      </c>
      <c r="GTE361" s="628">
        <v>44013</v>
      </c>
      <c r="GTF361" s="628">
        <v>44044</v>
      </c>
      <c r="GTG361" s="628">
        <v>44075</v>
      </c>
      <c r="GTH361" s="628">
        <v>44105</v>
      </c>
      <c r="GTI361" s="628">
        <v>44136</v>
      </c>
      <c r="GTJ361" s="628">
        <v>44166</v>
      </c>
      <c r="GTK361" s="629">
        <v>2020</v>
      </c>
      <c r="GTL361" s="630" t="s">
        <v>1870</v>
      </c>
      <c r="GTM361" s="626"/>
      <c r="GTN361" s="627" t="s">
        <v>1669</v>
      </c>
      <c r="GTO361" s="628">
        <v>43831</v>
      </c>
      <c r="GTP361" s="628">
        <v>43862</v>
      </c>
      <c r="GTQ361" s="628">
        <v>43891</v>
      </c>
      <c r="GTR361" s="628">
        <v>43922</v>
      </c>
      <c r="GTS361" s="628">
        <v>43952</v>
      </c>
      <c r="GTT361" s="628">
        <v>43983</v>
      </c>
      <c r="GTU361" s="628">
        <v>44013</v>
      </c>
      <c r="GTV361" s="628">
        <v>44044</v>
      </c>
      <c r="GTW361" s="628">
        <v>44075</v>
      </c>
      <c r="GTX361" s="628">
        <v>44105</v>
      </c>
      <c r="GTY361" s="628">
        <v>44136</v>
      </c>
      <c r="GTZ361" s="628">
        <v>44166</v>
      </c>
      <c r="GUA361" s="629">
        <v>2020</v>
      </c>
      <c r="GUB361" s="630" t="s">
        <v>1870</v>
      </c>
      <c r="GUC361" s="626"/>
      <c r="GUD361" s="627" t="s">
        <v>1669</v>
      </c>
      <c r="GUE361" s="628">
        <v>43831</v>
      </c>
      <c r="GUF361" s="628">
        <v>43862</v>
      </c>
      <c r="GUG361" s="628">
        <v>43891</v>
      </c>
      <c r="GUH361" s="628">
        <v>43922</v>
      </c>
      <c r="GUI361" s="628">
        <v>43952</v>
      </c>
      <c r="GUJ361" s="628">
        <v>43983</v>
      </c>
      <c r="GUK361" s="628">
        <v>44013</v>
      </c>
      <c r="GUL361" s="628">
        <v>44044</v>
      </c>
      <c r="GUM361" s="628">
        <v>44075</v>
      </c>
      <c r="GUN361" s="628">
        <v>44105</v>
      </c>
      <c r="GUO361" s="628">
        <v>44136</v>
      </c>
      <c r="GUP361" s="628">
        <v>44166</v>
      </c>
      <c r="GUQ361" s="629">
        <v>2020</v>
      </c>
      <c r="GUR361" s="630" t="s">
        <v>1870</v>
      </c>
      <c r="GUS361" s="626"/>
      <c r="GUT361" s="627" t="s">
        <v>1669</v>
      </c>
      <c r="GUU361" s="628">
        <v>43831</v>
      </c>
      <c r="GUV361" s="628">
        <v>43862</v>
      </c>
      <c r="GUW361" s="628">
        <v>43891</v>
      </c>
      <c r="GUX361" s="628">
        <v>43922</v>
      </c>
      <c r="GUY361" s="628">
        <v>43952</v>
      </c>
      <c r="GUZ361" s="628">
        <v>43983</v>
      </c>
      <c r="GVA361" s="628">
        <v>44013</v>
      </c>
      <c r="GVB361" s="628">
        <v>44044</v>
      </c>
      <c r="GVC361" s="628">
        <v>44075</v>
      </c>
      <c r="GVD361" s="628">
        <v>44105</v>
      </c>
      <c r="GVE361" s="628">
        <v>44136</v>
      </c>
      <c r="GVF361" s="628">
        <v>44166</v>
      </c>
      <c r="GVG361" s="629">
        <v>2020</v>
      </c>
      <c r="GVH361" s="630" t="s">
        <v>1870</v>
      </c>
      <c r="GVI361" s="626"/>
      <c r="GVJ361" s="627" t="s">
        <v>1669</v>
      </c>
      <c r="GVK361" s="628">
        <v>43831</v>
      </c>
      <c r="GVL361" s="628">
        <v>43862</v>
      </c>
      <c r="GVM361" s="628">
        <v>43891</v>
      </c>
      <c r="GVN361" s="628">
        <v>43922</v>
      </c>
      <c r="GVO361" s="628">
        <v>43952</v>
      </c>
      <c r="GVP361" s="628">
        <v>43983</v>
      </c>
      <c r="GVQ361" s="628">
        <v>44013</v>
      </c>
      <c r="GVR361" s="628">
        <v>44044</v>
      </c>
      <c r="GVS361" s="628">
        <v>44075</v>
      </c>
      <c r="GVT361" s="628">
        <v>44105</v>
      </c>
      <c r="GVU361" s="628">
        <v>44136</v>
      </c>
      <c r="GVV361" s="628">
        <v>44166</v>
      </c>
      <c r="GVW361" s="629">
        <v>2020</v>
      </c>
      <c r="GVX361" s="630" t="s">
        <v>1870</v>
      </c>
      <c r="GVY361" s="626"/>
      <c r="GVZ361" s="627" t="s">
        <v>1669</v>
      </c>
      <c r="GWA361" s="628">
        <v>43831</v>
      </c>
      <c r="GWB361" s="628">
        <v>43862</v>
      </c>
      <c r="GWC361" s="628">
        <v>43891</v>
      </c>
      <c r="GWD361" s="628">
        <v>43922</v>
      </c>
      <c r="GWE361" s="628">
        <v>43952</v>
      </c>
      <c r="GWF361" s="628">
        <v>43983</v>
      </c>
      <c r="GWG361" s="628">
        <v>44013</v>
      </c>
      <c r="GWH361" s="628">
        <v>44044</v>
      </c>
      <c r="GWI361" s="628">
        <v>44075</v>
      </c>
      <c r="GWJ361" s="628">
        <v>44105</v>
      </c>
      <c r="GWK361" s="628">
        <v>44136</v>
      </c>
      <c r="GWL361" s="628">
        <v>44166</v>
      </c>
      <c r="GWM361" s="629">
        <v>2020</v>
      </c>
      <c r="GWN361" s="630" t="s">
        <v>1870</v>
      </c>
      <c r="GWO361" s="626"/>
      <c r="GWP361" s="627" t="s">
        <v>1669</v>
      </c>
      <c r="GWQ361" s="628">
        <v>43831</v>
      </c>
      <c r="GWR361" s="628">
        <v>43862</v>
      </c>
      <c r="GWS361" s="628">
        <v>43891</v>
      </c>
      <c r="GWT361" s="628">
        <v>43922</v>
      </c>
      <c r="GWU361" s="628">
        <v>43952</v>
      </c>
      <c r="GWV361" s="628">
        <v>43983</v>
      </c>
      <c r="GWW361" s="628">
        <v>44013</v>
      </c>
      <c r="GWX361" s="628">
        <v>44044</v>
      </c>
      <c r="GWY361" s="628">
        <v>44075</v>
      </c>
      <c r="GWZ361" s="628">
        <v>44105</v>
      </c>
      <c r="GXA361" s="628">
        <v>44136</v>
      </c>
      <c r="GXB361" s="628">
        <v>44166</v>
      </c>
      <c r="GXC361" s="629">
        <v>2020</v>
      </c>
      <c r="GXD361" s="630" t="s">
        <v>1870</v>
      </c>
      <c r="GXE361" s="626"/>
      <c r="GXF361" s="627" t="s">
        <v>1669</v>
      </c>
      <c r="GXG361" s="628">
        <v>43831</v>
      </c>
      <c r="GXH361" s="628">
        <v>43862</v>
      </c>
      <c r="GXI361" s="628">
        <v>43891</v>
      </c>
      <c r="GXJ361" s="628">
        <v>43922</v>
      </c>
      <c r="GXK361" s="628">
        <v>43952</v>
      </c>
      <c r="GXL361" s="628">
        <v>43983</v>
      </c>
      <c r="GXM361" s="628">
        <v>44013</v>
      </c>
      <c r="GXN361" s="628">
        <v>44044</v>
      </c>
      <c r="GXO361" s="628">
        <v>44075</v>
      </c>
      <c r="GXP361" s="628">
        <v>44105</v>
      </c>
      <c r="GXQ361" s="628">
        <v>44136</v>
      </c>
      <c r="GXR361" s="628">
        <v>44166</v>
      </c>
      <c r="GXS361" s="629">
        <v>2020</v>
      </c>
      <c r="GXT361" s="630" t="s">
        <v>1870</v>
      </c>
      <c r="GXU361" s="626"/>
      <c r="GXV361" s="627" t="s">
        <v>1669</v>
      </c>
      <c r="GXW361" s="628">
        <v>43831</v>
      </c>
      <c r="GXX361" s="628">
        <v>43862</v>
      </c>
      <c r="GXY361" s="628">
        <v>43891</v>
      </c>
      <c r="GXZ361" s="628">
        <v>43922</v>
      </c>
      <c r="GYA361" s="628">
        <v>43952</v>
      </c>
      <c r="GYB361" s="628">
        <v>43983</v>
      </c>
      <c r="GYC361" s="628">
        <v>44013</v>
      </c>
      <c r="GYD361" s="628">
        <v>44044</v>
      </c>
      <c r="GYE361" s="628">
        <v>44075</v>
      </c>
      <c r="GYF361" s="628">
        <v>44105</v>
      </c>
      <c r="GYG361" s="628">
        <v>44136</v>
      </c>
      <c r="GYH361" s="628">
        <v>44166</v>
      </c>
      <c r="GYI361" s="629">
        <v>2020</v>
      </c>
      <c r="GYJ361" s="630" t="s">
        <v>1870</v>
      </c>
      <c r="GYK361" s="626"/>
      <c r="GYL361" s="627" t="s">
        <v>1669</v>
      </c>
      <c r="GYM361" s="628">
        <v>43831</v>
      </c>
      <c r="GYN361" s="628">
        <v>43862</v>
      </c>
      <c r="GYO361" s="628">
        <v>43891</v>
      </c>
      <c r="GYP361" s="628">
        <v>43922</v>
      </c>
      <c r="GYQ361" s="628">
        <v>43952</v>
      </c>
      <c r="GYR361" s="628">
        <v>43983</v>
      </c>
      <c r="GYS361" s="628">
        <v>44013</v>
      </c>
      <c r="GYT361" s="628">
        <v>44044</v>
      </c>
      <c r="GYU361" s="628">
        <v>44075</v>
      </c>
      <c r="GYV361" s="628">
        <v>44105</v>
      </c>
      <c r="GYW361" s="628">
        <v>44136</v>
      </c>
      <c r="GYX361" s="628">
        <v>44166</v>
      </c>
      <c r="GYY361" s="629">
        <v>2020</v>
      </c>
      <c r="GYZ361" s="630" t="s">
        <v>1870</v>
      </c>
      <c r="GZA361" s="626"/>
      <c r="GZB361" s="627" t="s">
        <v>1669</v>
      </c>
      <c r="GZC361" s="628">
        <v>43831</v>
      </c>
      <c r="GZD361" s="628">
        <v>43862</v>
      </c>
      <c r="GZE361" s="628">
        <v>43891</v>
      </c>
      <c r="GZF361" s="628">
        <v>43922</v>
      </c>
      <c r="GZG361" s="628">
        <v>43952</v>
      </c>
      <c r="GZH361" s="628">
        <v>43983</v>
      </c>
      <c r="GZI361" s="628">
        <v>44013</v>
      </c>
      <c r="GZJ361" s="628">
        <v>44044</v>
      </c>
      <c r="GZK361" s="628">
        <v>44075</v>
      </c>
      <c r="GZL361" s="628">
        <v>44105</v>
      </c>
      <c r="GZM361" s="628">
        <v>44136</v>
      </c>
      <c r="GZN361" s="628">
        <v>44166</v>
      </c>
      <c r="GZO361" s="629">
        <v>2020</v>
      </c>
      <c r="GZP361" s="630" t="s">
        <v>1870</v>
      </c>
      <c r="GZQ361" s="626"/>
      <c r="GZR361" s="627" t="s">
        <v>1669</v>
      </c>
      <c r="GZS361" s="628">
        <v>43831</v>
      </c>
      <c r="GZT361" s="628">
        <v>43862</v>
      </c>
      <c r="GZU361" s="628">
        <v>43891</v>
      </c>
      <c r="GZV361" s="628">
        <v>43922</v>
      </c>
      <c r="GZW361" s="628">
        <v>43952</v>
      </c>
      <c r="GZX361" s="628">
        <v>43983</v>
      </c>
      <c r="GZY361" s="628">
        <v>44013</v>
      </c>
      <c r="GZZ361" s="628">
        <v>44044</v>
      </c>
      <c r="HAA361" s="628">
        <v>44075</v>
      </c>
      <c r="HAB361" s="628">
        <v>44105</v>
      </c>
      <c r="HAC361" s="628">
        <v>44136</v>
      </c>
      <c r="HAD361" s="628">
        <v>44166</v>
      </c>
      <c r="HAE361" s="629">
        <v>2020</v>
      </c>
      <c r="HAF361" s="630" t="s">
        <v>1870</v>
      </c>
      <c r="HAG361" s="626"/>
      <c r="HAH361" s="627" t="s">
        <v>1669</v>
      </c>
      <c r="HAI361" s="628">
        <v>43831</v>
      </c>
      <c r="HAJ361" s="628">
        <v>43862</v>
      </c>
      <c r="HAK361" s="628">
        <v>43891</v>
      </c>
      <c r="HAL361" s="628">
        <v>43922</v>
      </c>
      <c r="HAM361" s="628">
        <v>43952</v>
      </c>
      <c r="HAN361" s="628">
        <v>43983</v>
      </c>
      <c r="HAO361" s="628">
        <v>44013</v>
      </c>
      <c r="HAP361" s="628">
        <v>44044</v>
      </c>
      <c r="HAQ361" s="628">
        <v>44075</v>
      </c>
      <c r="HAR361" s="628">
        <v>44105</v>
      </c>
      <c r="HAS361" s="628">
        <v>44136</v>
      </c>
      <c r="HAT361" s="628">
        <v>44166</v>
      </c>
      <c r="HAU361" s="629">
        <v>2020</v>
      </c>
      <c r="HAV361" s="630" t="s">
        <v>1870</v>
      </c>
      <c r="HAW361" s="626"/>
      <c r="HAX361" s="627" t="s">
        <v>1669</v>
      </c>
      <c r="HAY361" s="628">
        <v>43831</v>
      </c>
      <c r="HAZ361" s="628">
        <v>43862</v>
      </c>
      <c r="HBA361" s="628">
        <v>43891</v>
      </c>
      <c r="HBB361" s="628">
        <v>43922</v>
      </c>
      <c r="HBC361" s="628">
        <v>43952</v>
      </c>
      <c r="HBD361" s="628">
        <v>43983</v>
      </c>
      <c r="HBE361" s="628">
        <v>44013</v>
      </c>
      <c r="HBF361" s="628">
        <v>44044</v>
      </c>
      <c r="HBG361" s="628">
        <v>44075</v>
      </c>
      <c r="HBH361" s="628">
        <v>44105</v>
      </c>
      <c r="HBI361" s="628">
        <v>44136</v>
      </c>
      <c r="HBJ361" s="628">
        <v>44166</v>
      </c>
      <c r="HBK361" s="629">
        <v>2020</v>
      </c>
      <c r="HBL361" s="630" t="s">
        <v>1870</v>
      </c>
      <c r="HBM361" s="626"/>
      <c r="HBN361" s="627" t="s">
        <v>1669</v>
      </c>
      <c r="HBO361" s="628">
        <v>43831</v>
      </c>
      <c r="HBP361" s="628">
        <v>43862</v>
      </c>
      <c r="HBQ361" s="628">
        <v>43891</v>
      </c>
      <c r="HBR361" s="628">
        <v>43922</v>
      </c>
      <c r="HBS361" s="628">
        <v>43952</v>
      </c>
      <c r="HBT361" s="628">
        <v>43983</v>
      </c>
      <c r="HBU361" s="628">
        <v>44013</v>
      </c>
      <c r="HBV361" s="628">
        <v>44044</v>
      </c>
      <c r="HBW361" s="628">
        <v>44075</v>
      </c>
      <c r="HBX361" s="628">
        <v>44105</v>
      </c>
      <c r="HBY361" s="628">
        <v>44136</v>
      </c>
      <c r="HBZ361" s="628">
        <v>44166</v>
      </c>
      <c r="HCA361" s="629">
        <v>2020</v>
      </c>
      <c r="HCB361" s="630" t="s">
        <v>1870</v>
      </c>
      <c r="HCC361" s="626"/>
      <c r="HCD361" s="627" t="s">
        <v>1669</v>
      </c>
      <c r="HCE361" s="628">
        <v>43831</v>
      </c>
      <c r="HCF361" s="628">
        <v>43862</v>
      </c>
      <c r="HCG361" s="628">
        <v>43891</v>
      </c>
      <c r="HCH361" s="628">
        <v>43922</v>
      </c>
      <c r="HCI361" s="628">
        <v>43952</v>
      </c>
      <c r="HCJ361" s="628">
        <v>43983</v>
      </c>
      <c r="HCK361" s="628">
        <v>44013</v>
      </c>
      <c r="HCL361" s="628">
        <v>44044</v>
      </c>
      <c r="HCM361" s="628">
        <v>44075</v>
      </c>
      <c r="HCN361" s="628">
        <v>44105</v>
      </c>
      <c r="HCO361" s="628">
        <v>44136</v>
      </c>
      <c r="HCP361" s="628">
        <v>44166</v>
      </c>
      <c r="HCQ361" s="629">
        <v>2020</v>
      </c>
      <c r="HCR361" s="630" t="s">
        <v>1870</v>
      </c>
      <c r="HCS361" s="626"/>
      <c r="HCT361" s="627" t="s">
        <v>1669</v>
      </c>
      <c r="HCU361" s="628">
        <v>43831</v>
      </c>
      <c r="HCV361" s="628">
        <v>43862</v>
      </c>
      <c r="HCW361" s="628">
        <v>43891</v>
      </c>
      <c r="HCX361" s="628">
        <v>43922</v>
      </c>
      <c r="HCY361" s="628">
        <v>43952</v>
      </c>
      <c r="HCZ361" s="628">
        <v>43983</v>
      </c>
      <c r="HDA361" s="628">
        <v>44013</v>
      </c>
      <c r="HDB361" s="628">
        <v>44044</v>
      </c>
      <c r="HDC361" s="628">
        <v>44075</v>
      </c>
      <c r="HDD361" s="628">
        <v>44105</v>
      </c>
      <c r="HDE361" s="628">
        <v>44136</v>
      </c>
      <c r="HDF361" s="628">
        <v>44166</v>
      </c>
      <c r="HDG361" s="629">
        <v>2020</v>
      </c>
      <c r="HDH361" s="630" t="s">
        <v>1870</v>
      </c>
      <c r="HDI361" s="626"/>
      <c r="HDJ361" s="627" t="s">
        <v>1669</v>
      </c>
      <c r="HDK361" s="628">
        <v>43831</v>
      </c>
      <c r="HDL361" s="628">
        <v>43862</v>
      </c>
      <c r="HDM361" s="628">
        <v>43891</v>
      </c>
      <c r="HDN361" s="628">
        <v>43922</v>
      </c>
      <c r="HDO361" s="628">
        <v>43952</v>
      </c>
      <c r="HDP361" s="628">
        <v>43983</v>
      </c>
      <c r="HDQ361" s="628">
        <v>44013</v>
      </c>
      <c r="HDR361" s="628">
        <v>44044</v>
      </c>
      <c r="HDS361" s="628">
        <v>44075</v>
      </c>
      <c r="HDT361" s="628">
        <v>44105</v>
      </c>
      <c r="HDU361" s="628">
        <v>44136</v>
      </c>
      <c r="HDV361" s="628">
        <v>44166</v>
      </c>
      <c r="HDW361" s="629">
        <v>2020</v>
      </c>
      <c r="HDX361" s="630" t="s">
        <v>1870</v>
      </c>
      <c r="HDY361" s="626"/>
      <c r="HDZ361" s="627" t="s">
        <v>1669</v>
      </c>
      <c r="HEA361" s="628">
        <v>43831</v>
      </c>
      <c r="HEB361" s="628">
        <v>43862</v>
      </c>
      <c r="HEC361" s="628">
        <v>43891</v>
      </c>
      <c r="HED361" s="628">
        <v>43922</v>
      </c>
      <c r="HEE361" s="628">
        <v>43952</v>
      </c>
      <c r="HEF361" s="628">
        <v>43983</v>
      </c>
      <c r="HEG361" s="628">
        <v>44013</v>
      </c>
      <c r="HEH361" s="628">
        <v>44044</v>
      </c>
      <c r="HEI361" s="628">
        <v>44075</v>
      </c>
      <c r="HEJ361" s="628">
        <v>44105</v>
      </c>
      <c r="HEK361" s="628">
        <v>44136</v>
      </c>
      <c r="HEL361" s="628">
        <v>44166</v>
      </c>
      <c r="HEM361" s="629">
        <v>2020</v>
      </c>
      <c r="HEN361" s="630" t="s">
        <v>1870</v>
      </c>
      <c r="HEO361" s="626"/>
      <c r="HEP361" s="627" t="s">
        <v>1669</v>
      </c>
      <c r="HEQ361" s="628">
        <v>43831</v>
      </c>
      <c r="HER361" s="628">
        <v>43862</v>
      </c>
      <c r="HES361" s="628">
        <v>43891</v>
      </c>
      <c r="HET361" s="628">
        <v>43922</v>
      </c>
      <c r="HEU361" s="628">
        <v>43952</v>
      </c>
      <c r="HEV361" s="628">
        <v>43983</v>
      </c>
      <c r="HEW361" s="628">
        <v>44013</v>
      </c>
      <c r="HEX361" s="628">
        <v>44044</v>
      </c>
      <c r="HEY361" s="628">
        <v>44075</v>
      </c>
      <c r="HEZ361" s="628">
        <v>44105</v>
      </c>
      <c r="HFA361" s="628">
        <v>44136</v>
      </c>
      <c r="HFB361" s="628">
        <v>44166</v>
      </c>
      <c r="HFC361" s="629">
        <v>2020</v>
      </c>
      <c r="HFD361" s="630" t="s">
        <v>1870</v>
      </c>
      <c r="HFE361" s="626"/>
      <c r="HFF361" s="627" t="s">
        <v>1669</v>
      </c>
      <c r="HFG361" s="628">
        <v>43831</v>
      </c>
      <c r="HFH361" s="628">
        <v>43862</v>
      </c>
      <c r="HFI361" s="628">
        <v>43891</v>
      </c>
      <c r="HFJ361" s="628">
        <v>43922</v>
      </c>
      <c r="HFK361" s="628">
        <v>43952</v>
      </c>
      <c r="HFL361" s="628">
        <v>43983</v>
      </c>
      <c r="HFM361" s="628">
        <v>44013</v>
      </c>
      <c r="HFN361" s="628">
        <v>44044</v>
      </c>
      <c r="HFO361" s="628">
        <v>44075</v>
      </c>
      <c r="HFP361" s="628">
        <v>44105</v>
      </c>
      <c r="HFQ361" s="628">
        <v>44136</v>
      </c>
      <c r="HFR361" s="628">
        <v>44166</v>
      </c>
      <c r="HFS361" s="629">
        <v>2020</v>
      </c>
      <c r="HFT361" s="630" t="s">
        <v>1870</v>
      </c>
      <c r="HFU361" s="626"/>
      <c r="HFV361" s="627" t="s">
        <v>1669</v>
      </c>
      <c r="HFW361" s="628">
        <v>43831</v>
      </c>
      <c r="HFX361" s="628">
        <v>43862</v>
      </c>
      <c r="HFY361" s="628">
        <v>43891</v>
      </c>
      <c r="HFZ361" s="628">
        <v>43922</v>
      </c>
      <c r="HGA361" s="628">
        <v>43952</v>
      </c>
      <c r="HGB361" s="628">
        <v>43983</v>
      </c>
      <c r="HGC361" s="628">
        <v>44013</v>
      </c>
      <c r="HGD361" s="628">
        <v>44044</v>
      </c>
      <c r="HGE361" s="628">
        <v>44075</v>
      </c>
      <c r="HGF361" s="628">
        <v>44105</v>
      </c>
      <c r="HGG361" s="628">
        <v>44136</v>
      </c>
      <c r="HGH361" s="628">
        <v>44166</v>
      </c>
      <c r="HGI361" s="629">
        <v>2020</v>
      </c>
      <c r="HGJ361" s="630" t="s">
        <v>1870</v>
      </c>
      <c r="HGK361" s="626"/>
      <c r="HGL361" s="627" t="s">
        <v>1669</v>
      </c>
      <c r="HGM361" s="628">
        <v>43831</v>
      </c>
      <c r="HGN361" s="628">
        <v>43862</v>
      </c>
      <c r="HGO361" s="628">
        <v>43891</v>
      </c>
      <c r="HGP361" s="628">
        <v>43922</v>
      </c>
      <c r="HGQ361" s="628">
        <v>43952</v>
      </c>
      <c r="HGR361" s="628">
        <v>43983</v>
      </c>
      <c r="HGS361" s="628">
        <v>44013</v>
      </c>
      <c r="HGT361" s="628">
        <v>44044</v>
      </c>
      <c r="HGU361" s="628">
        <v>44075</v>
      </c>
      <c r="HGV361" s="628">
        <v>44105</v>
      </c>
      <c r="HGW361" s="628">
        <v>44136</v>
      </c>
      <c r="HGX361" s="628">
        <v>44166</v>
      </c>
      <c r="HGY361" s="629">
        <v>2020</v>
      </c>
      <c r="HGZ361" s="630" t="s">
        <v>1870</v>
      </c>
      <c r="HHA361" s="626"/>
      <c r="HHB361" s="627" t="s">
        <v>1669</v>
      </c>
      <c r="HHC361" s="628">
        <v>43831</v>
      </c>
      <c r="HHD361" s="628">
        <v>43862</v>
      </c>
      <c r="HHE361" s="628">
        <v>43891</v>
      </c>
      <c r="HHF361" s="628">
        <v>43922</v>
      </c>
      <c r="HHG361" s="628">
        <v>43952</v>
      </c>
      <c r="HHH361" s="628">
        <v>43983</v>
      </c>
      <c r="HHI361" s="628">
        <v>44013</v>
      </c>
      <c r="HHJ361" s="628">
        <v>44044</v>
      </c>
      <c r="HHK361" s="628">
        <v>44075</v>
      </c>
      <c r="HHL361" s="628">
        <v>44105</v>
      </c>
      <c r="HHM361" s="628">
        <v>44136</v>
      </c>
      <c r="HHN361" s="628">
        <v>44166</v>
      </c>
      <c r="HHO361" s="629">
        <v>2020</v>
      </c>
      <c r="HHP361" s="630" t="s">
        <v>1870</v>
      </c>
      <c r="HHQ361" s="626"/>
      <c r="HHR361" s="627" t="s">
        <v>1669</v>
      </c>
      <c r="HHS361" s="628">
        <v>43831</v>
      </c>
      <c r="HHT361" s="628">
        <v>43862</v>
      </c>
      <c r="HHU361" s="628">
        <v>43891</v>
      </c>
      <c r="HHV361" s="628">
        <v>43922</v>
      </c>
      <c r="HHW361" s="628">
        <v>43952</v>
      </c>
      <c r="HHX361" s="628">
        <v>43983</v>
      </c>
      <c r="HHY361" s="628">
        <v>44013</v>
      </c>
      <c r="HHZ361" s="628">
        <v>44044</v>
      </c>
      <c r="HIA361" s="628">
        <v>44075</v>
      </c>
      <c r="HIB361" s="628">
        <v>44105</v>
      </c>
      <c r="HIC361" s="628">
        <v>44136</v>
      </c>
      <c r="HID361" s="628">
        <v>44166</v>
      </c>
      <c r="HIE361" s="629">
        <v>2020</v>
      </c>
      <c r="HIF361" s="630" t="s">
        <v>1870</v>
      </c>
      <c r="HIG361" s="626"/>
      <c r="HIH361" s="627" t="s">
        <v>1669</v>
      </c>
      <c r="HII361" s="628">
        <v>43831</v>
      </c>
      <c r="HIJ361" s="628">
        <v>43862</v>
      </c>
      <c r="HIK361" s="628">
        <v>43891</v>
      </c>
      <c r="HIL361" s="628">
        <v>43922</v>
      </c>
      <c r="HIM361" s="628">
        <v>43952</v>
      </c>
      <c r="HIN361" s="628">
        <v>43983</v>
      </c>
      <c r="HIO361" s="628">
        <v>44013</v>
      </c>
      <c r="HIP361" s="628">
        <v>44044</v>
      </c>
      <c r="HIQ361" s="628">
        <v>44075</v>
      </c>
      <c r="HIR361" s="628">
        <v>44105</v>
      </c>
      <c r="HIS361" s="628">
        <v>44136</v>
      </c>
      <c r="HIT361" s="628">
        <v>44166</v>
      </c>
      <c r="HIU361" s="629">
        <v>2020</v>
      </c>
      <c r="HIV361" s="630" t="s">
        <v>1870</v>
      </c>
      <c r="HIW361" s="626"/>
      <c r="HIX361" s="627" t="s">
        <v>1669</v>
      </c>
      <c r="HIY361" s="628">
        <v>43831</v>
      </c>
      <c r="HIZ361" s="628">
        <v>43862</v>
      </c>
      <c r="HJA361" s="628">
        <v>43891</v>
      </c>
      <c r="HJB361" s="628">
        <v>43922</v>
      </c>
      <c r="HJC361" s="628">
        <v>43952</v>
      </c>
      <c r="HJD361" s="628">
        <v>43983</v>
      </c>
      <c r="HJE361" s="628">
        <v>44013</v>
      </c>
      <c r="HJF361" s="628">
        <v>44044</v>
      </c>
      <c r="HJG361" s="628">
        <v>44075</v>
      </c>
      <c r="HJH361" s="628">
        <v>44105</v>
      </c>
      <c r="HJI361" s="628">
        <v>44136</v>
      </c>
      <c r="HJJ361" s="628">
        <v>44166</v>
      </c>
      <c r="HJK361" s="629">
        <v>2020</v>
      </c>
      <c r="HJL361" s="630" t="s">
        <v>1870</v>
      </c>
      <c r="HJM361" s="626"/>
      <c r="HJN361" s="627" t="s">
        <v>1669</v>
      </c>
      <c r="HJO361" s="628">
        <v>43831</v>
      </c>
      <c r="HJP361" s="628">
        <v>43862</v>
      </c>
      <c r="HJQ361" s="628">
        <v>43891</v>
      </c>
      <c r="HJR361" s="628">
        <v>43922</v>
      </c>
      <c r="HJS361" s="628">
        <v>43952</v>
      </c>
      <c r="HJT361" s="628">
        <v>43983</v>
      </c>
      <c r="HJU361" s="628">
        <v>44013</v>
      </c>
      <c r="HJV361" s="628">
        <v>44044</v>
      </c>
      <c r="HJW361" s="628">
        <v>44075</v>
      </c>
      <c r="HJX361" s="628">
        <v>44105</v>
      </c>
      <c r="HJY361" s="628">
        <v>44136</v>
      </c>
      <c r="HJZ361" s="628">
        <v>44166</v>
      </c>
      <c r="HKA361" s="629">
        <v>2020</v>
      </c>
      <c r="HKB361" s="630" t="s">
        <v>1870</v>
      </c>
      <c r="HKC361" s="626"/>
      <c r="HKD361" s="627" t="s">
        <v>1669</v>
      </c>
      <c r="HKE361" s="628">
        <v>43831</v>
      </c>
      <c r="HKF361" s="628">
        <v>43862</v>
      </c>
      <c r="HKG361" s="628">
        <v>43891</v>
      </c>
      <c r="HKH361" s="628">
        <v>43922</v>
      </c>
      <c r="HKI361" s="628">
        <v>43952</v>
      </c>
      <c r="HKJ361" s="628">
        <v>43983</v>
      </c>
      <c r="HKK361" s="628">
        <v>44013</v>
      </c>
      <c r="HKL361" s="628">
        <v>44044</v>
      </c>
      <c r="HKM361" s="628">
        <v>44075</v>
      </c>
      <c r="HKN361" s="628">
        <v>44105</v>
      </c>
      <c r="HKO361" s="628">
        <v>44136</v>
      </c>
      <c r="HKP361" s="628">
        <v>44166</v>
      </c>
      <c r="HKQ361" s="629">
        <v>2020</v>
      </c>
      <c r="HKR361" s="630" t="s">
        <v>1870</v>
      </c>
      <c r="HKS361" s="626"/>
      <c r="HKT361" s="627" t="s">
        <v>1669</v>
      </c>
      <c r="HKU361" s="628">
        <v>43831</v>
      </c>
      <c r="HKV361" s="628">
        <v>43862</v>
      </c>
      <c r="HKW361" s="628">
        <v>43891</v>
      </c>
      <c r="HKX361" s="628">
        <v>43922</v>
      </c>
      <c r="HKY361" s="628">
        <v>43952</v>
      </c>
      <c r="HKZ361" s="628">
        <v>43983</v>
      </c>
      <c r="HLA361" s="628">
        <v>44013</v>
      </c>
      <c r="HLB361" s="628">
        <v>44044</v>
      </c>
      <c r="HLC361" s="628">
        <v>44075</v>
      </c>
      <c r="HLD361" s="628">
        <v>44105</v>
      </c>
      <c r="HLE361" s="628">
        <v>44136</v>
      </c>
      <c r="HLF361" s="628">
        <v>44166</v>
      </c>
      <c r="HLG361" s="629">
        <v>2020</v>
      </c>
      <c r="HLH361" s="630" t="s">
        <v>1870</v>
      </c>
      <c r="HLI361" s="626"/>
      <c r="HLJ361" s="627" t="s">
        <v>1669</v>
      </c>
      <c r="HLK361" s="628">
        <v>43831</v>
      </c>
      <c r="HLL361" s="628">
        <v>43862</v>
      </c>
      <c r="HLM361" s="628">
        <v>43891</v>
      </c>
      <c r="HLN361" s="628">
        <v>43922</v>
      </c>
      <c r="HLO361" s="628">
        <v>43952</v>
      </c>
      <c r="HLP361" s="628">
        <v>43983</v>
      </c>
      <c r="HLQ361" s="628">
        <v>44013</v>
      </c>
      <c r="HLR361" s="628">
        <v>44044</v>
      </c>
      <c r="HLS361" s="628">
        <v>44075</v>
      </c>
      <c r="HLT361" s="628">
        <v>44105</v>
      </c>
      <c r="HLU361" s="628">
        <v>44136</v>
      </c>
      <c r="HLV361" s="628">
        <v>44166</v>
      </c>
      <c r="HLW361" s="629">
        <v>2020</v>
      </c>
      <c r="HLX361" s="630" t="s">
        <v>1870</v>
      </c>
      <c r="HLY361" s="626"/>
      <c r="HLZ361" s="627" t="s">
        <v>1669</v>
      </c>
      <c r="HMA361" s="628">
        <v>43831</v>
      </c>
      <c r="HMB361" s="628">
        <v>43862</v>
      </c>
      <c r="HMC361" s="628">
        <v>43891</v>
      </c>
      <c r="HMD361" s="628">
        <v>43922</v>
      </c>
      <c r="HME361" s="628">
        <v>43952</v>
      </c>
      <c r="HMF361" s="628">
        <v>43983</v>
      </c>
      <c r="HMG361" s="628">
        <v>44013</v>
      </c>
      <c r="HMH361" s="628">
        <v>44044</v>
      </c>
      <c r="HMI361" s="628">
        <v>44075</v>
      </c>
      <c r="HMJ361" s="628">
        <v>44105</v>
      </c>
      <c r="HMK361" s="628">
        <v>44136</v>
      </c>
      <c r="HML361" s="628">
        <v>44166</v>
      </c>
      <c r="HMM361" s="629">
        <v>2020</v>
      </c>
      <c r="HMN361" s="630" t="s">
        <v>1870</v>
      </c>
      <c r="HMO361" s="626"/>
      <c r="HMP361" s="627" t="s">
        <v>1669</v>
      </c>
      <c r="HMQ361" s="628">
        <v>43831</v>
      </c>
      <c r="HMR361" s="628">
        <v>43862</v>
      </c>
      <c r="HMS361" s="628">
        <v>43891</v>
      </c>
      <c r="HMT361" s="628">
        <v>43922</v>
      </c>
      <c r="HMU361" s="628">
        <v>43952</v>
      </c>
      <c r="HMV361" s="628">
        <v>43983</v>
      </c>
      <c r="HMW361" s="628">
        <v>44013</v>
      </c>
      <c r="HMX361" s="628">
        <v>44044</v>
      </c>
      <c r="HMY361" s="628">
        <v>44075</v>
      </c>
      <c r="HMZ361" s="628">
        <v>44105</v>
      </c>
      <c r="HNA361" s="628">
        <v>44136</v>
      </c>
      <c r="HNB361" s="628">
        <v>44166</v>
      </c>
      <c r="HNC361" s="629">
        <v>2020</v>
      </c>
      <c r="HND361" s="630" t="s">
        <v>1870</v>
      </c>
      <c r="HNE361" s="626"/>
      <c r="HNF361" s="627" t="s">
        <v>1669</v>
      </c>
      <c r="HNG361" s="628">
        <v>43831</v>
      </c>
      <c r="HNH361" s="628">
        <v>43862</v>
      </c>
      <c r="HNI361" s="628">
        <v>43891</v>
      </c>
      <c r="HNJ361" s="628">
        <v>43922</v>
      </c>
      <c r="HNK361" s="628">
        <v>43952</v>
      </c>
      <c r="HNL361" s="628">
        <v>43983</v>
      </c>
      <c r="HNM361" s="628">
        <v>44013</v>
      </c>
      <c r="HNN361" s="628">
        <v>44044</v>
      </c>
      <c r="HNO361" s="628">
        <v>44075</v>
      </c>
      <c r="HNP361" s="628">
        <v>44105</v>
      </c>
      <c r="HNQ361" s="628">
        <v>44136</v>
      </c>
      <c r="HNR361" s="628">
        <v>44166</v>
      </c>
      <c r="HNS361" s="629">
        <v>2020</v>
      </c>
      <c r="HNT361" s="630" t="s">
        <v>1870</v>
      </c>
      <c r="HNU361" s="626"/>
      <c r="HNV361" s="627" t="s">
        <v>1669</v>
      </c>
      <c r="HNW361" s="628">
        <v>43831</v>
      </c>
      <c r="HNX361" s="628">
        <v>43862</v>
      </c>
      <c r="HNY361" s="628">
        <v>43891</v>
      </c>
      <c r="HNZ361" s="628">
        <v>43922</v>
      </c>
      <c r="HOA361" s="628">
        <v>43952</v>
      </c>
      <c r="HOB361" s="628">
        <v>43983</v>
      </c>
      <c r="HOC361" s="628">
        <v>44013</v>
      </c>
      <c r="HOD361" s="628">
        <v>44044</v>
      </c>
      <c r="HOE361" s="628">
        <v>44075</v>
      </c>
      <c r="HOF361" s="628">
        <v>44105</v>
      </c>
      <c r="HOG361" s="628">
        <v>44136</v>
      </c>
      <c r="HOH361" s="628">
        <v>44166</v>
      </c>
      <c r="HOI361" s="629">
        <v>2020</v>
      </c>
      <c r="HOJ361" s="630" t="s">
        <v>1870</v>
      </c>
      <c r="HOK361" s="626"/>
      <c r="HOL361" s="627" t="s">
        <v>1669</v>
      </c>
      <c r="HOM361" s="628">
        <v>43831</v>
      </c>
      <c r="HON361" s="628">
        <v>43862</v>
      </c>
      <c r="HOO361" s="628">
        <v>43891</v>
      </c>
      <c r="HOP361" s="628">
        <v>43922</v>
      </c>
      <c r="HOQ361" s="628">
        <v>43952</v>
      </c>
      <c r="HOR361" s="628">
        <v>43983</v>
      </c>
      <c r="HOS361" s="628">
        <v>44013</v>
      </c>
      <c r="HOT361" s="628">
        <v>44044</v>
      </c>
      <c r="HOU361" s="628">
        <v>44075</v>
      </c>
      <c r="HOV361" s="628">
        <v>44105</v>
      </c>
      <c r="HOW361" s="628">
        <v>44136</v>
      </c>
      <c r="HOX361" s="628">
        <v>44166</v>
      </c>
      <c r="HOY361" s="629">
        <v>2020</v>
      </c>
      <c r="HOZ361" s="630" t="s">
        <v>1870</v>
      </c>
      <c r="HPA361" s="626"/>
      <c r="HPB361" s="627" t="s">
        <v>1669</v>
      </c>
      <c r="HPC361" s="628">
        <v>43831</v>
      </c>
      <c r="HPD361" s="628">
        <v>43862</v>
      </c>
      <c r="HPE361" s="628">
        <v>43891</v>
      </c>
      <c r="HPF361" s="628">
        <v>43922</v>
      </c>
      <c r="HPG361" s="628">
        <v>43952</v>
      </c>
      <c r="HPH361" s="628">
        <v>43983</v>
      </c>
      <c r="HPI361" s="628">
        <v>44013</v>
      </c>
      <c r="HPJ361" s="628">
        <v>44044</v>
      </c>
      <c r="HPK361" s="628">
        <v>44075</v>
      </c>
      <c r="HPL361" s="628">
        <v>44105</v>
      </c>
      <c r="HPM361" s="628">
        <v>44136</v>
      </c>
      <c r="HPN361" s="628">
        <v>44166</v>
      </c>
      <c r="HPO361" s="629">
        <v>2020</v>
      </c>
      <c r="HPP361" s="630" t="s">
        <v>1870</v>
      </c>
      <c r="HPQ361" s="626"/>
      <c r="HPR361" s="627" t="s">
        <v>1669</v>
      </c>
      <c r="HPS361" s="628">
        <v>43831</v>
      </c>
      <c r="HPT361" s="628">
        <v>43862</v>
      </c>
      <c r="HPU361" s="628">
        <v>43891</v>
      </c>
      <c r="HPV361" s="628">
        <v>43922</v>
      </c>
      <c r="HPW361" s="628">
        <v>43952</v>
      </c>
      <c r="HPX361" s="628">
        <v>43983</v>
      </c>
      <c r="HPY361" s="628">
        <v>44013</v>
      </c>
      <c r="HPZ361" s="628">
        <v>44044</v>
      </c>
      <c r="HQA361" s="628">
        <v>44075</v>
      </c>
      <c r="HQB361" s="628">
        <v>44105</v>
      </c>
      <c r="HQC361" s="628">
        <v>44136</v>
      </c>
      <c r="HQD361" s="628">
        <v>44166</v>
      </c>
      <c r="HQE361" s="629">
        <v>2020</v>
      </c>
      <c r="HQF361" s="630" t="s">
        <v>1870</v>
      </c>
      <c r="HQG361" s="626"/>
      <c r="HQH361" s="627" t="s">
        <v>1669</v>
      </c>
      <c r="HQI361" s="628">
        <v>43831</v>
      </c>
      <c r="HQJ361" s="628">
        <v>43862</v>
      </c>
      <c r="HQK361" s="628">
        <v>43891</v>
      </c>
      <c r="HQL361" s="628">
        <v>43922</v>
      </c>
      <c r="HQM361" s="628">
        <v>43952</v>
      </c>
      <c r="HQN361" s="628">
        <v>43983</v>
      </c>
      <c r="HQO361" s="628">
        <v>44013</v>
      </c>
      <c r="HQP361" s="628">
        <v>44044</v>
      </c>
      <c r="HQQ361" s="628">
        <v>44075</v>
      </c>
      <c r="HQR361" s="628">
        <v>44105</v>
      </c>
      <c r="HQS361" s="628">
        <v>44136</v>
      </c>
      <c r="HQT361" s="628">
        <v>44166</v>
      </c>
      <c r="HQU361" s="629">
        <v>2020</v>
      </c>
      <c r="HQV361" s="630" t="s">
        <v>1870</v>
      </c>
      <c r="HQW361" s="626"/>
      <c r="HQX361" s="627" t="s">
        <v>1669</v>
      </c>
      <c r="HQY361" s="628">
        <v>43831</v>
      </c>
      <c r="HQZ361" s="628">
        <v>43862</v>
      </c>
      <c r="HRA361" s="628">
        <v>43891</v>
      </c>
      <c r="HRB361" s="628">
        <v>43922</v>
      </c>
      <c r="HRC361" s="628">
        <v>43952</v>
      </c>
      <c r="HRD361" s="628">
        <v>43983</v>
      </c>
      <c r="HRE361" s="628">
        <v>44013</v>
      </c>
      <c r="HRF361" s="628">
        <v>44044</v>
      </c>
      <c r="HRG361" s="628">
        <v>44075</v>
      </c>
      <c r="HRH361" s="628">
        <v>44105</v>
      </c>
      <c r="HRI361" s="628">
        <v>44136</v>
      </c>
      <c r="HRJ361" s="628">
        <v>44166</v>
      </c>
      <c r="HRK361" s="629">
        <v>2020</v>
      </c>
      <c r="HRL361" s="630" t="s">
        <v>1870</v>
      </c>
      <c r="HRM361" s="626"/>
      <c r="HRN361" s="627" t="s">
        <v>1669</v>
      </c>
      <c r="HRO361" s="628">
        <v>43831</v>
      </c>
      <c r="HRP361" s="628">
        <v>43862</v>
      </c>
      <c r="HRQ361" s="628">
        <v>43891</v>
      </c>
      <c r="HRR361" s="628">
        <v>43922</v>
      </c>
      <c r="HRS361" s="628">
        <v>43952</v>
      </c>
      <c r="HRT361" s="628">
        <v>43983</v>
      </c>
      <c r="HRU361" s="628">
        <v>44013</v>
      </c>
      <c r="HRV361" s="628">
        <v>44044</v>
      </c>
      <c r="HRW361" s="628">
        <v>44075</v>
      </c>
      <c r="HRX361" s="628">
        <v>44105</v>
      </c>
      <c r="HRY361" s="628">
        <v>44136</v>
      </c>
      <c r="HRZ361" s="628">
        <v>44166</v>
      </c>
      <c r="HSA361" s="629">
        <v>2020</v>
      </c>
      <c r="HSB361" s="630" t="s">
        <v>1870</v>
      </c>
      <c r="HSC361" s="626"/>
      <c r="HSD361" s="627" t="s">
        <v>1669</v>
      </c>
      <c r="HSE361" s="628">
        <v>43831</v>
      </c>
      <c r="HSF361" s="628">
        <v>43862</v>
      </c>
      <c r="HSG361" s="628">
        <v>43891</v>
      </c>
      <c r="HSH361" s="628">
        <v>43922</v>
      </c>
      <c r="HSI361" s="628">
        <v>43952</v>
      </c>
      <c r="HSJ361" s="628">
        <v>43983</v>
      </c>
      <c r="HSK361" s="628">
        <v>44013</v>
      </c>
      <c r="HSL361" s="628">
        <v>44044</v>
      </c>
      <c r="HSM361" s="628">
        <v>44075</v>
      </c>
      <c r="HSN361" s="628">
        <v>44105</v>
      </c>
      <c r="HSO361" s="628">
        <v>44136</v>
      </c>
      <c r="HSP361" s="628">
        <v>44166</v>
      </c>
      <c r="HSQ361" s="629">
        <v>2020</v>
      </c>
      <c r="HSR361" s="630" t="s">
        <v>1870</v>
      </c>
      <c r="HSS361" s="626"/>
      <c r="HST361" s="627" t="s">
        <v>1669</v>
      </c>
      <c r="HSU361" s="628">
        <v>43831</v>
      </c>
      <c r="HSV361" s="628">
        <v>43862</v>
      </c>
      <c r="HSW361" s="628">
        <v>43891</v>
      </c>
      <c r="HSX361" s="628">
        <v>43922</v>
      </c>
      <c r="HSY361" s="628">
        <v>43952</v>
      </c>
      <c r="HSZ361" s="628">
        <v>43983</v>
      </c>
      <c r="HTA361" s="628">
        <v>44013</v>
      </c>
      <c r="HTB361" s="628">
        <v>44044</v>
      </c>
      <c r="HTC361" s="628">
        <v>44075</v>
      </c>
      <c r="HTD361" s="628">
        <v>44105</v>
      </c>
      <c r="HTE361" s="628">
        <v>44136</v>
      </c>
      <c r="HTF361" s="628">
        <v>44166</v>
      </c>
      <c r="HTG361" s="629">
        <v>2020</v>
      </c>
      <c r="HTH361" s="630" t="s">
        <v>1870</v>
      </c>
      <c r="HTI361" s="626"/>
      <c r="HTJ361" s="627" t="s">
        <v>1669</v>
      </c>
      <c r="HTK361" s="628">
        <v>43831</v>
      </c>
      <c r="HTL361" s="628">
        <v>43862</v>
      </c>
      <c r="HTM361" s="628">
        <v>43891</v>
      </c>
      <c r="HTN361" s="628">
        <v>43922</v>
      </c>
      <c r="HTO361" s="628">
        <v>43952</v>
      </c>
      <c r="HTP361" s="628">
        <v>43983</v>
      </c>
      <c r="HTQ361" s="628">
        <v>44013</v>
      </c>
      <c r="HTR361" s="628">
        <v>44044</v>
      </c>
      <c r="HTS361" s="628">
        <v>44075</v>
      </c>
      <c r="HTT361" s="628">
        <v>44105</v>
      </c>
      <c r="HTU361" s="628">
        <v>44136</v>
      </c>
      <c r="HTV361" s="628">
        <v>44166</v>
      </c>
      <c r="HTW361" s="629">
        <v>2020</v>
      </c>
      <c r="HTX361" s="630" t="s">
        <v>1870</v>
      </c>
      <c r="HTY361" s="626"/>
      <c r="HTZ361" s="627" t="s">
        <v>1669</v>
      </c>
      <c r="HUA361" s="628">
        <v>43831</v>
      </c>
      <c r="HUB361" s="628">
        <v>43862</v>
      </c>
      <c r="HUC361" s="628">
        <v>43891</v>
      </c>
      <c r="HUD361" s="628">
        <v>43922</v>
      </c>
      <c r="HUE361" s="628">
        <v>43952</v>
      </c>
      <c r="HUF361" s="628">
        <v>43983</v>
      </c>
      <c r="HUG361" s="628">
        <v>44013</v>
      </c>
      <c r="HUH361" s="628">
        <v>44044</v>
      </c>
      <c r="HUI361" s="628">
        <v>44075</v>
      </c>
      <c r="HUJ361" s="628">
        <v>44105</v>
      </c>
      <c r="HUK361" s="628">
        <v>44136</v>
      </c>
      <c r="HUL361" s="628">
        <v>44166</v>
      </c>
      <c r="HUM361" s="629">
        <v>2020</v>
      </c>
      <c r="HUN361" s="630" t="s">
        <v>1870</v>
      </c>
      <c r="HUO361" s="626"/>
      <c r="HUP361" s="627" t="s">
        <v>1669</v>
      </c>
      <c r="HUQ361" s="628">
        <v>43831</v>
      </c>
      <c r="HUR361" s="628">
        <v>43862</v>
      </c>
      <c r="HUS361" s="628">
        <v>43891</v>
      </c>
      <c r="HUT361" s="628">
        <v>43922</v>
      </c>
      <c r="HUU361" s="628">
        <v>43952</v>
      </c>
      <c r="HUV361" s="628">
        <v>43983</v>
      </c>
      <c r="HUW361" s="628">
        <v>44013</v>
      </c>
      <c r="HUX361" s="628">
        <v>44044</v>
      </c>
      <c r="HUY361" s="628">
        <v>44075</v>
      </c>
      <c r="HUZ361" s="628">
        <v>44105</v>
      </c>
      <c r="HVA361" s="628">
        <v>44136</v>
      </c>
      <c r="HVB361" s="628">
        <v>44166</v>
      </c>
      <c r="HVC361" s="629">
        <v>2020</v>
      </c>
      <c r="HVD361" s="630" t="s">
        <v>1870</v>
      </c>
      <c r="HVE361" s="626"/>
      <c r="HVF361" s="627" t="s">
        <v>1669</v>
      </c>
      <c r="HVG361" s="628">
        <v>43831</v>
      </c>
      <c r="HVH361" s="628">
        <v>43862</v>
      </c>
      <c r="HVI361" s="628">
        <v>43891</v>
      </c>
      <c r="HVJ361" s="628">
        <v>43922</v>
      </c>
      <c r="HVK361" s="628">
        <v>43952</v>
      </c>
      <c r="HVL361" s="628">
        <v>43983</v>
      </c>
      <c r="HVM361" s="628">
        <v>44013</v>
      </c>
      <c r="HVN361" s="628">
        <v>44044</v>
      </c>
      <c r="HVO361" s="628">
        <v>44075</v>
      </c>
      <c r="HVP361" s="628">
        <v>44105</v>
      </c>
      <c r="HVQ361" s="628">
        <v>44136</v>
      </c>
      <c r="HVR361" s="628">
        <v>44166</v>
      </c>
      <c r="HVS361" s="629">
        <v>2020</v>
      </c>
      <c r="HVT361" s="630" t="s">
        <v>1870</v>
      </c>
      <c r="HVU361" s="626"/>
      <c r="HVV361" s="627" t="s">
        <v>1669</v>
      </c>
      <c r="HVW361" s="628">
        <v>43831</v>
      </c>
      <c r="HVX361" s="628">
        <v>43862</v>
      </c>
      <c r="HVY361" s="628">
        <v>43891</v>
      </c>
      <c r="HVZ361" s="628">
        <v>43922</v>
      </c>
      <c r="HWA361" s="628">
        <v>43952</v>
      </c>
      <c r="HWB361" s="628">
        <v>43983</v>
      </c>
      <c r="HWC361" s="628">
        <v>44013</v>
      </c>
      <c r="HWD361" s="628">
        <v>44044</v>
      </c>
      <c r="HWE361" s="628">
        <v>44075</v>
      </c>
      <c r="HWF361" s="628">
        <v>44105</v>
      </c>
      <c r="HWG361" s="628">
        <v>44136</v>
      </c>
      <c r="HWH361" s="628">
        <v>44166</v>
      </c>
      <c r="HWI361" s="629">
        <v>2020</v>
      </c>
      <c r="HWJ361" s="630" t="s">
        <v>1870</v>
      </c>
      <c r="HWK361" s="626"/>
      <c r="HWL361" s="627" t="s">
        <v>1669</v>
      </c>
      <c r="HWM361" s="628">
        <v>43831</v>
      </c>
      <c r="HWN361" s="628">
        <v>43862</v>
      </c>
      <c r="HWO361" s="628">
        <v>43891</v>
      </c>
      <c r="HWP361" s="628">
        <v>43922</v>
      </c>
      <c r="HWQ361" s="628">
        <v>43952</v>
      </c>
      <c r="HWR361" s="628">
        <v>43983</v>
      </c>
      <c r="HWS361" s="628">
        <v>44013</v>
      </c>
      <c r="HWT361" s="628">
        <v>44044</v>
      </c>
      <c r="HWU361" s="628">
        <v>44075</v>
      </c>
      <c r="HWV361" s="628">
        <v>44105</v>
      </c>
      <c r="HWW361" s="628">
        <v>44136</v>
      </c>
      <c r="HWX361" s="628">
        <v>44166</v>
      </c>
      <c r="HWY361" s="629">
        <v>2020</v>
      </c>
      <c r="HWZ361" s="630" t="s">
        <v>1870</v>
      </c>
      <c r="HXA361" s="626"/>
      <c r="HXB361" s="627" t="s">
        <v>1669</v>
      </c>
      <c r="HXC361" s="628">
        <v>43831</v>
      </c>
      <c r="HXD361" s="628">
        <v>43862</v>
      </c>
      <c r="HXE361" s="628">
        <v>43891</v>
      </c>
      <c r="HXF361" s="628">
        <v>43922</v>
      </c>
      <c r="HXG361" s="628">
        <v>43952</v>
      </c>
      <c r="HXH361" s="628">
        <v>43983</v>
      </c>
      <c r="HXI361" s="628">
        <v>44013</v>
      </c>
      <c r="HXJ361" s="628">
        <v>44044</v>
      </c>
      <c r="HXK361" s="628">
        <v>44075</v>
      </c>
      <c r="HXL361" s="628">
        <v>44105</v>
      </c>
      <c r="HXM361" s="628">
        <v>44136</v>
      </c>
      <c r="HXN361" s="628">
        <v>44166</v>
      </c>
      <c r="HXO361" s="629">
        <v>2020</v>
      </c>
      <c r="HXP361" s="630" t="s">
        <v>1870</v>
      </c>
      <c r="HXQ361" s="626"/>
      <c r="HXR361" s="627" t="s">
        <v>1669</v>
      </c>
      <c r="HXS361" s="628">
        <v>43831</v>
      </c>
      <c r="HXT361" s="628">
        <v>43862</v>
      </c>
      <c r="HXU361" s="628">
        <v>43891</v>
      </c>
      <c r="HXV361" s="628">
        <v>43922</v>
      </c>
      <c r="HXW361" s="628">
        <v>43952</v>
      </c>
      <c r="HXX361" s="628">
        <v>43983</v>
      </c>
      <c r="HXY361" s="628">
        <v>44013</v>
      </c>
      <c r="HXZ361" s="628">
        <v>44044</v>
      </c>
      <c r="HYA361" s="628">
        <v>44075</v>
      </c>
      <c r="HYB361" s="628">
        <v>44105</v>
      </c>
      <c r="HYC361" s="628">
        <v>44136</v>
      </c>
      <c r="HYD361" s="628">
        <v>44166</v>
      </c>
      <c r="HYE361" s="629">
        <v>2020</v>
      </c>
      <c r="HYF361" s="630" t="s">
        <v>1870</v>
      </c>
      <c r="HYG361" s="626"/>
      <c r="HYH361" s="627" t="s">
        <v>1669</v>
      </c>
      <c r="HYI361" s="628">
        <v>43831</v>
      </c>
      <c r="HYJ361" s="628">
        <v>43862</v>
      </c>
      <c r="HYK361" s="628">
        <v>43891</v>
      </c>
      <c r="HYL361" s="628">
        <v>43922</v>
      </c>
      <c r="HYM361" s="628">
        <v>43952</v>
      </c>
      <c r="HYN361" s="628">
        <v>43983</v>
      </c>
      <c r="HYO361" s="628">
        <v>44013</v>
      </c>
      <c r="HYP361" s="628">
        <v>44044</v>
      </c>
      <c r="HYQ361" s="628">
        <v>44075</v>
      </c>
      <c r="HYR361" s="628">
        <v>44105</v>
      </c>
      <c r="HYS361" s="628">
        <v>44136</v>
      </c>
      <c r="HYT361" s="628">
        <v>44166</v>
      </c>
      <c r="HYU361" s="629">
        <v>2020</v>
      </c>
      <c r="HYV361" s="630" t="s">
        <v>1870</v>
      </c>
      <c r="HYW361" s="626"/>
      <c r="HYX361" s="627" t="s">
        <v>1669</v>
      </c>
      <c r="HYY361" s="628">
        <v>43831</v>
      </c>
      <c r="HYZ361" s="628">
        <v>43862</v>
      </c>
      <c r="HZA361" s="628">
        <v>43891</v>
      </c>
      <c r="HZB361" s="628">
        <v>43922</v>
      </c>
      <c r="HZC361" s="628">
        <v>43952</v>
      </c>
      <c r="HZD361" s="628">
        <v>43983</v>
      </c>
      <c r="HZE361" s="628">
        <v>44013</v>
      </c>
      <c r="HZF361" s="628">
        <v>44044</v>
      </c>
      <c r="HZG361" s="628">
        <v>44075</v>
      </c>
      <c r="HZH361" s="628">
        <v>44105</v>
      </c>
      <c r="HZI361" s="628">
        <v>44136</v>
      </c>
      <c r="HZJ361" s="628">
        <v>44166</v>
      </c>
      <c r="HZK361" s="629">
        <v>2020</v>
      </c>
      <c r="HZL361" s="630" t="s">
        <v>1870</v>
      </c>
      <c r="HZM361" s="626"/>
      <c r="HZN361" s="627" t="s">
        <v>1669</v>
      </c>
      <c r="HZO361" s="628">
        <v>43831</v>
      </c>
      <c r="HZP361" s="628">
        <v>43862</v>
      </c>
      <c r="HZQ361" s="628">
        <v>43891</v>
      </c>
      <c r="HZR361" s="628">
        <v>43922</v>
      </c>
      <c r="HZS361" s="628">
        <v>43952</v>
      </c>
      <c r="HZT361" s="628">
        <v>43983</v>
      </c>
      <c r="HZU361" s="628">
        <v>44013</v>
      </c>
      <c r="HZV361" s="628">
        <v>44044</v>
      </c>
      <c r="HZW361" s="628">
        <v>44075</v>
      </c>
      <c r="HZX361" s="628">
        <v>44105</v>
      </c>
      <c r="HZY361" s="628">
        <v>44136</v>
      </c>
      <c r="HZZ361" s="628">
        <v>44166</v>
      </c>
      <c r="IAA361" s="629">
        <v>2020</v>
      </c>
      <c r="IAB361" s="630" t="s">
        <v>1870</v>
      </c>
      <c r="IAC361" s="626"/>
      <c r="IAD361" s="627" t="s">
        <v>1669</v>
      </c>
      <c r="IAE361" s="628">
        <v>43831</v>
      </c>
      <c r="IAF361" s="628">
        <v>43862</v>
      </c>
      <c r="IAG361" s="628">
        <v>43891</v>
      </c>
      <c r="IAH361" s="628">
        <v>43922</v>
      </c>
      <c r="IAI361" s="628">
        <v>43952</v>
      </c>
      <c r="IAJ361" s="628">
        <v>43983</v>
      </c>
      <c r="IAK361" s="628">
        <v>44013</v>
      </c>
      <c r="IAL361" s="628">
        <v>44044</v>
      </c>
      <c r="IAM361" s="628">
        <v>44075</v>
      </c>
      <c r="IAN361" s="628">
        <v>44105</v>
      </c>
      <c r="IAO361" s="628">
        <v>44136</v>
      </c>
      <c r="IAP361" s="628">
        <v>44166</v>
      </c>
      <c r="IAQ361" s="629">
        <v>2020</v>
      </c>
      <c r="IAR361" s="630" t="s">
        <v>1870</v>
      </c>
      <c r="IAS361" s="626"/>
      <c r="IAT361" s="627" t="s">
        <v>1669</v>
      </c>
      <c r="IAU361" s="628">
        <v>43831</v>
      </c>
      <c r="IAV361" s="628">
        <v>43862</v>
      </c>
      <c r="IAW361" s="628">
        <v>43891</v>
      </c>
      <c r="IAX361" s="628">
        <v>43922</v>
      </c>
      <c r="IAY361" s="628">
        <v>43952</v>
      </c>
      <c r="IAZ361" s="628">
        <v>43983</v>
      </c>
      <c r="IBA361" s="628">
        <v>44013</v>
      </c>
      <c r="IBB361" s="628">
        <v>44044</v>
      </c>
      <c r="IBC361" s="628">
        <v>44075</v>
      </c>
      <c r="IBD361" s="628">
        <v>44105</v>
      </c>
      <c r="IBE361" s="628">
        <v>44136</v>
      </c>
      <c r="IBF361" s="628">
        <v>44166</v>
      </c>
      <c r="IBG361" s="629">
        <v>2020</v>
      </c>
      <c r="IBH361" s="630" t="s">
        <v>1870</v>
      </c>
      <c r="IBI361" s="626"/>
      <c r="IBJ361" s="627" t="s">
        <v>1669</v>
      </c>
      <c r="IBK361" s="628">
        <v>43831</v>
      </c>
      <c r="IBL361" s="628">
        <v>43862</v>
      </c>
      <c r="IBM361" s="628">
        <v>43891</v>
      </c>
      <c r="IBN361" s="628">
        <v>43922</v>
      </c>
      <c r="IBO361" s="628">
        <v>43952</v>
      </c>
      <c r="IBP361" s="628">
        <v>43983</v>
      </c>
      <c r="IBQ361" s="628">
        <v>44013</v>
      </c>
      <c r="IBR361" s="628">
        <v>44044</v>
      </c>
      <c r="IBS361" s="628">
        <v>44075</v>
      </c>
      <c r="IBT361" s="628">
        <v>44105</v>
      </c>
      <c r="IBU361" s="628">
        <v>44136</v>
      </c>
      <c r="IBV361" s="628">
        <v>44166</v>
      </c>
      <c r="IBW361" s="629">
        <v>2020</v>
      </c>
      <c r="IBX361" s="630" t="s">
        <v>1870</v>
      </c>
      <c r="IBY361" s="626"/>
      <c r="IBZ361" s="627" t="s">
        <v>1669</v>
      </c>
      <c r="ICA361" s="628">
        <v>43831</v>
      </c>
      <c r="ICB361" s="628">
        <v>43862</v>
      </c>
      <c r="ICC361" s="628">
        <v>43891</v>
      </c>
      <c r="ICD361" s="628">
        <v>43922</v>
      </c>
      <c r="ICE361" s="628">
        <v>43952</v>
      </c>
      <c r="ICF361" s="628">
        <v>43983</v>
      </c>
      <c r="ICG361" s="628">
        <v>44013</v>
      </c>
      <c r="ICH361" s="628">
        <v>44044</v>
      </c>
      <c r="ICI361" s="628">
        <v>44075</v>
      </c>
      <c r="ICJ361" s="628">
        <v>44105</v>
      </c>
      <c r="ICK361" s="628">
        <v>44136</v>
      </c>
      <c r="ICL361" s="628">
        <v>44166</v>
      </c>
      <c r="ICM361" s="629">
        <v>2020</v>
      </c>
      <c r="ICN361" s="630" t="s">
        <v>1870</v>
      </c>
      <c r="ICO361" s="626"/>
      <c r="ICP361" s="627" t="s">
        <v>1669</v>
      </c>
      <c r="ICQ361" s="628">
        <v>43831</v>
      </c>
      <c r="ICR361" s="628">
        <v>43862</v>
      </c>
      <c r="ICS361" s="628">
        <v>43891</v>
      </c>
      <c r="ICT361" s="628">
        <v>43922</v>
      </c>
      <c r="ICU361" s="628">
        <v>43952</v>
      </c>
      <c r="ICV361" s="628">
        <v>43983</v>
      </c>
      <c r="ICW361" s="628">
        <v>44013</v>
      </c>
      <c r="ICX361" s="628">
        <v>44044</v>
      </c>
      <c r="ICY361" s="628">
        <v>44075</v>
      </c>
      <c r="ICZ361" s="628">
        <v>44105</v>
      </c>
      <c r="IDA361" s="628">
        <v>44136</v>
      </c>
      <c r="IDB361" s="628">
        <v>44166</v>
      </c>
      <c r="IDC361" s="629">
        <v>2020</v>
      </c>
      <c r="IDD361" s="630" t="s">
        <v>1870</v>
      </c>
      <c r="IDE361" s="626"/>
      <c r="IDF361" s="627" t="s">
        <v>1669</v>
      </c>
      <c r="IDG361" s="628">
        <v>43831</v>
      </c>
      <c r="IDH361" s="628">
        <v>43862</v>
      </c>
      <c r="IDI361" s="628">
        <v>43891</v>
      </c>
      <c r="IDJ361" s="628">
        <v>43922</v>
      </c>
      <c r="IDK361" s="628">
        <v>43952</v>
      </c>
      <c r="IDL361" s="628">
        <v>43983</v>
      </c>
      <c r="IDM361" s="628">
        <v>44013</v>
      </c>
      <c r="IDN361" s="628">
        <v>44044</v>
      </c>
      <c r="IDO361" s="628">
        <v>44075</v>
      </c>
      <c r="IDP361" s="628">
        <v>44105</v>
      </c>
      <c r="IDQ361" s="628">
        <v>44136</v>
      </c>
      <c r="IDR361" s="628">
        <v>44166</v>
      </c>
      <c r="IDS361" s="629">
        <v>2020</v>
      </c>
      <c r="IDT361" s="630" t="s">
        <v>1870</v>
      </c>
      <c r="IDU361" s="626"/>
      <c r="IDV361" s="627" t="s">
        <v>1669</v>
      </c>
      <c r="IDW361" s="628">
        <v>43831</v>
      </c>
      <c r="IDX361" s="628">
        <v>43862</v>
      </c>
      <c r="IDY361" s="628">
        <v>43891</v>
      </c>
      <c r="IDZ361" s="628">
        <v>43922</v>
      </c>
      <c r="IEA361" s="628">
        <v>43952</v>
      </c>
      <c r="IEB361" s="628">
        <v>43983</v>
      </c>
      <c r="IEC361" s="628">
        <v>44013</v>
      </c>
      <c r="IED361" s="628">
        <v>44044</v>
      </c>
      <c r="IEE361" s="628">
        <v>44075</v>
      </c>
      <c r="IEF361" s="628">
        <v>44105</v>
      </c>
      <c r="IEG361" s="628">
        <v>44136</v>
      </c>
      <c r="IEH361" s="628">
        <v>44166</v>
      </c>
      <c r="IEI361" s="629">
        <v>2020</v>
      </c>
      <c r="IEJ361" s="630" t="s">
        <v>1870</v>
      </c>
      <c r="IEK361" s="626"/>
      <c r="IEL361" s="627" t="s">
        <v>1669</v>
      </c>
      <c r="IEM361" s="628">
        <v>43831</v>
      </c>
      <c r="IEN361" s="628">
        <v>43862</v>
      </c>
      <c r="IEO361" s="628">
        <v>43891</v>
      </c>
      <c r="IEP361" s="628">
        <v>43922</v>
      </c>
      <c r="IEQ361" s="628">
        <v>43952</v>
      </c>
      <c r="IER361" s="628">
        <v>43983</v>
      </c>
      <c r="IES361" s="628">
        <v>44013</v>
      </c>
      <c r="IET361" s="628">
        <v>44044</v>
      </c>
      <c r="IEU361" s="628">
        <v>44075</v>
      </c>
      <c r="IEV361" s="628">
        <v>44105</v>
      </c>
      <c r="IEW361" s="628">
        <v>44136</v>
      </c>
      <c r="IEX361" s="628">
        <v>44166</v>
      </c>
      <c r="IEY361" s="629">
        <v>2020</v>
      </c>
      <c r="IEZ361" s="630" t="s">
        <v>1870</v>
      </c>
      <c r="IFA361" s="626"/>
      <c r="IFB361" s="627" t="s">
        <v>1669</v>
      </c>
      <c r="IFC361" s="628">
        <v>43831</v>
      </c>
      <c r="IFD361" s="628">
        <v>43862</v>
      </c>
      <c r="IFE361" s="628">
        <v>43891</v>
      </c>
      <c r="IFF361" s="628">
        <v>43922</v>
      </c>
      <c r="IFG361" s="628">
        <v>43952</v>
      </c>
      <c r="IFH361" s="628">
        <v>43983</v>
      </c>
      <c r="IFI361" s="628">
        <v>44013</v>
      </c>
      <c r="IFJ361" s="628">
        <v>44044</v>
      </c>
      <c r="IFK361" s="628">
        <v>44075</v>
      </c>
      <c r="IFL361" s="628">
        <v>44105</v>
      </c>
      <c r="IFM361" s="628">
        <v>44136</v>
      </c>
      <c r="IFN361" s="628">
        <v>44166</v>
      </c>
      <c r="IFO361" s="629">
        <v>2020</v>
      </c>
      <c r="IFP361" s="630" t="s">
        <v>1870</v>
      </c>
      <c r="IFQ361" s="626"/>
      <c r="IFR361" s="627" t="s">
        <v>1669</v>
      </c>
      <c r="IFS361" s="628">
        <v>43831</v>
      </c>
      <c r="IFT361" s="628">
        <v>43862</v>
      </c>
      <c r="IFU361" s="628">
        <v>43891</v>
      </c>
      <c r="IFV361" s="628">
        <v>43922</v>
      </c>
      <c r="IFW361" s="628">
        <v>43952</v>
      </c>
      <c r="IFX361" s="628">
        <v>43983</v>
      </c>
      <c r="IFY361" s="628">
        <v>44013</v>
      </c>
      <c r="IFZ361" s="628">
        <v>44044</v>
      </c>
      <c r="IGA361" s="628">
        <v>44075</v>
      </c>
      <c r="IGB361" s="628">
        <v>44105</v>
      </c>
      <c r="IGC361" s="628">
        <v>44136</v>
      </c>
      <c r="IGD361" s="628">
        <v>44166</v>
      </c>
      <c r="IGE361" s="629">
        <v>2020</v>
      </c>
      <c r="IGF361" s="630" t="s">
        <v>1870</v>
      </c>
      <c r="IGG361" s="626"/>
      <c r="IGH361" s="627" t="s">
        <v>1669</v>
      </c>
      <c r="IGI361" s="628">
        <v>43831</v>
      </c>
      <c r="IGJ361" s="628">
        <v>43862</v>
      </c>
      <c r="IGK361" s="628">
        <v>43891</v>
      </c>
      <c r="IGL361" s="628">
        <v>43922</v>
      </c>
      <c r="IGM361" s="628">
        <v>43952</v>
      </c>
      <c r="IGN361" s="628">
        <v>43983</v>
      </c>
      <c r="IGO361" s="628">
        <v>44013</v>
      </c>
      <c r="IGP361" s="628">
        <v>44044</v>
      </c>
      <c r="IGQ361" s="628">
        <v>44075</v>
      </c>
      <c r="IGR361" s="628">
        <v>44105</v>
      </c>
      <c r="IGS361" s="628">
        <v>44136</v>
      </c>
      <c r="IGT361" s="628">
        <v>44166</v>
      </c>
      <c r="IGU361" s="629">
        <v>2020</v>
      </c>
      <c r="IGV361" s="630" t="s">
        <v>1870</v>
      </c>
      <c r="IGW361" s="626"/>
      <c r="IGX361" s="627" t="s">
        <v>1669</v>
      </c>
      <c r="IGY361" s="628">
        <v>43831</v>
      </c>
      <c r="IGZ361" s="628">
        <v>43862</v>
      </c>
      <c r="IHA361" s="628">
        <v>43891</v>
      </c>
      <c r="IHB361" s="628">
        <v>43922</v>
      </c>
      <c r="IHC361" s="628">
        <v>43952</v>
      </c>
      <c r="IHD361" s="628">
        <v>43983</v>
      </c>
      <c r="IHE361" s="628">
        <v>44013</v>
      </c>
      <c r="IHF361" s="628">
        <v>44044</v>
      </c>
      <c r="IHG361" s="628">
        <v>44075</v>
      </c>
      <c r="IHH361" s="628">
        <v>44105</v>
      </c>
      <c r="IHI361" s="628">
        <v>44136</v>
      </c>
      <c r="IHJ361" s="628">
        <v>44166</v>
      </c>
      <c r="IHK361" s="629">
        <v>2020</v>
      </c>
      <c r="IHL361" s="630" t="s">
        <v>1870</v>
      </c>
      <c r="IHM361" s="626"/>
      <c r="IHN361" s="627" t="s">
        <v>1669</v>
      </c>
      <c r="IHO361" s="628">
        <v>43831</v>
      </c>
      <c r="IHP361" s="628">
        <v>43862</v>
      </c>
      <c r="IHQ361" s="628">
        <v>43891</v>
      </c>
      <c r="IHR361" s="628">
        <v>43922</v>
      </c>
      <c r="IHS361" s="628">
        <v>43952</v>
      </c>
      <c r="IHT361" s="628">
        <v>43983</v>
      </c>
      <c r="IHU361" s="628">
        <v>44013</v>
      </c>
      <c r="IHV361" s="628">
        <v>44044</v>
      </c>
      <c r="IHW361" s="628">
        <v>44075</v>
      </c>
      <c r="IHX361" s="628">
        <v>44105</v>
      </c>
      <c r="IHY361" s="628">
        <v>44136</v>
      </c>
      <c r="IHZ361" s="628">
        <v>44166</v>
      </c>
      <c r="IIA361" s="629">
        <v>2020</v>
      </c>
      <c r="IIB361" s="630" t="s">
        <v>1870</v>
      </c>
      <c r="IIC361" s="626"/>
      <c r="IID361" s="627" t="s">
        <v>1669</v>
      </c>
      <c r="IIE361" s="628">
        <v>43831</v>
      </c>
      <c r="IIF361" s="628">
        <v>43862</v>
      </c>
      <c r="IIG361" s="628">
        <v>43891</v>
      </c>
      <c r="IIH361" s="628">
        <v>43922</v>
      </c>
      <c r="III361" s="628">
        <v>43952</v>
      </c>
      <c r="IIJ361" s="628">
        <v>43983</v>
      </c>
      <c r="IIK361" s="628">
        <v>44013</v>
      </c>
      <c r="IIL361" s="628">
        <v>44044</v>
      </c>
      <c r="IIM361" s="628">
        <v>44075</v>
      </c>
      <c r="IIN361" s="628">
        <v>44105</v>
      </c>
      <c r="IIO361" s="628">
        <v>44136</v>
      </c>
      <c r="IIP361" s="628">
        <v>44166</v>
      </c>
      <c r="IIQ361" s="629">
        <v>2020</v>
      </c>
      <c r="IIR361" s="630" t="s">
        <v>1870</v>
      </c>
      <c r="IIS361" s="626"/>
      <c r="IIT361" s="627" t="s">
        <v>1669</v>
      </c>
      <c r="IIU361" s="628">
        <v>43831</v>
      </c>
      <c r="IIV361" s="628">
        <v>43862</v>
      </c>
      <c r="IIW361" s="628">
        <v>43891</v>
      </c>
      <c r="IIX361" s="628">
        <v>43922</v>
      </c>
      <c r="IIY361" s="628">
        <v>43952</v>
      </c>
      <c r="IIZ361" s="628">
        <v>43983</v>
      </c>
      <c r="IJA361" s="628">
        <v>44013</v>
      </c>
      <c r="IJB361" s="628">
        <v>44044</v>
      </c>
      <c r="IJC361" s="628">
        <v>44075</v>
      </c>
      <c r="IJD361" s="628">
        <v>44105</v>
      </c>
      <c r="IJE361" s="628">
        <v>44136</v>
      </c>
      <c r="IJF361" s="628">
        <v>44166</v>
      </c>
      <c r="IJG361" s="629">
        <v>2020</v>
      </c>
      <c r="IJH361" s="630" t="s">
        <v>1870</v>
      </c>
      <c r="IJI361" s="626"/>
      <c r="IJJ361" s="627" t="s">
        <v>1669</v>
      </c>
      <c r="IJK361" s="628">
        <v>43831</v>
      </c>
      <c r="IJL361" s="628">
        <v>43862</v>
      </c>
      <c r="IJM361" s="628">
        <v>43891</v>
      </c>
      <c r="IJN361" s="628">
        <v>43922</v>
      </c>
      <c r="IJO361" s="628">
        <v>43952</v>
      </c>
      <c r="IJP361" s="628">
        <v>43983</v>
      </c>
      <c r="IJQ361" s="628">
        <v>44013</v>
      </c>
      <c r="IJR361" s="628">
        <v>44044</v>
      </c>
      <c r="IJS361" s="628">
        <v>44075</v>
      </c>
      <c r="IJT361" s="628">
        <v>44105</v>
      </c>
      <c r="IJU361" s="628">
        <v>44136</v>
      </c>
      <c r="IJV361" s="628">
        <v>44166</v>
      </c>
      <c r="IJW361" s="629">
        <v>2020</v>
      </c>
      <c r="IJX361" s="630" t="s">
        <v>1870</v>
      </c>
      <c r="IJY361" s="626"/>
      <c r="IJZ361" s="627" t="s">
        <v>1669</v>
      </c>
      <c r="IKA361" s="628">
        <v>43831</v>
      </c>
      <c r="IKB361" s="628">
        <v>43862</v>
      </c>
      <c r="IKC361" s="628">
        <v>43891</v>
      </c>
      <c r="IKD361" s="628">
        <v>43922</v>
      </c>
      <c r="IKE361" s="628">
        <v>43952</v>
      </c>
      <c r="IKF361" s="628">
        <v>43983</v>
      </c>
      <c r="IKG361" s="628">
        <v>44013</v>
      </c>
      <c r="IKH361" s="628">
        <v>44044</v>
      </c>
      <c r="IKI361" s="628">
        <v>44075</v>
      </c>
      <c r="IKJ361" s="628">
        <v>44105</v>
      </c>
      <c r="IKK361" s="628">
        <v>44136</v>
      </c>
      <c r="IKL361" s="628">
        <v>44166</v>
      </c>
      <c r="IKM361" s="629">
        <v>2020</v>
      </c>
      <c r="IKN361" s="630" t="s">
        <v>1870</v>
      </c>
      <c r="IKO361" s="626"/>
      <c r="IKP361" s="627" t="s">
        <v>1669</v>
      </c>
      <c r="IKQ361" s="628">
        <v>43831</v>
      </c>
      <c r="IKR361" s="628">
        <v>43862</v>
      </c>
      <c r="IKS361" s="628">
        <v>43891</v>
      </c>
      <c r="IKT361" s="628">
        <v>43922</v>
      </c>
      <c r="IKU361" s="628">
        <v>43952</v>
      </c>
      <c r="IKV361" s="628">
        <v>43983</v>
      </c>
      <c r="IKW361" s="628">
        <v>44013</v>
      </c>
      <c r="IKX361" s="628">
        <v>44044</v>
      </c>
      <c r="IKY361" s="628">
        <v>44075</v>
      </c>
      <c r="IKZ361" s="628">
        <v>44105</v>
      </c>
      <c r="ILA361" s="628">
        <v>44136</v>
      </c>
      <c r="ILB361" s="628">
        <v>44166</v>
      </c>
      <c r="ILC361" s="629">
        <v>2020</v>
      </c>
      <c r="ILD361" s="630" t="s">
        <v>1870</v>
      </c>
      <c r="ILE361" s="626"/>
      <c r="ILF361" s="627" t="s">
        <v>1669</v>
      </c>
      <c r="ILG361" s="628">
        <v>43831</v>
      </c>
      <c r="ILH361" s="628">
        <v>43862</v>
      </c>
      <c r="ILI361" s="628">
        <v>43891</v>
      </c>
      <c r="ILJ361" s="628">
        <v>43922</v>
      </c>
      <c r="ILK361" s="628">
        <v>43952</v>
      </c>
      <c r="ILL361" s="628">
        <v>43983</v>
      </c>
      <c r="ILM361" s="628">
        <v>44013</v>
      </c>
      <c r="ILN361" s="628">
        <v>44044</v>
      </c>
      <c r="ILO361" s="628">
        <v>44075</v>
      </c>
      <c r="ILP361" s="628">
        <v>44105</v>
      </c>
      <c r="ILQ361" s="628">
        <v>44136</v>
      </c>
      <c r="ILR361" s="628">
        <v>44166</v>
      </c>
      <c r="ILS361" s="629">
        <v>2020</v>
      </c>
      <c r="ILT361" s="630" t="s">
        <v>1870</v>
      </c>
      <c r="ILU361" s="626"/>
      <c r="ILV361" s="627" t="s">
        <v>1669</v>
      </c>
      <c r="ILW361" s="628">
        <v>43831</v>
      </c>
      <c r="ILX361" s="628">
        <v>43862</v>
      </c>
      <c r="ILY361" s="628">
        <v>43891</v>
      </c>
      <c r="ILZ361" s="628">
        <v>43922</v>
      </c>
      <c r="IMA361" s="628">
        <v>43952</v>
      </c>
      <c r="IMB361" s="628">
        <v>43983</v>
      </c>
      <c r="IMC361" s="628">
        <v>44013</v>
      </c>
      <c r="IMD361" s="628">
        <v>44044</v>
      </c>
      <c r="IME361" s="628">
        <v>44075</v>
      </c>
      <c r="IMF361" s="628">
        <v>44105</v>
      </c>
      <c r="IMG361" s="628">
        <v>44136</v>
      </c>
      <c r="IMH361" s="628">
        <v>44166</v>
      </c>
      <c r="IMI361" s="629">
        <v>2020</v>
      </c>
      <c r="IMJ361" s="630" t="s">
        <v>1870</v>
      </c>
      <c r="IMK361" s="626"/>
      <c r="IML361" s="627" t="s">
        <v>1669</v>
      </c>
      <c r="IMM361" s="628">
        <v>43831</v>
      </c>
      <c r="IMN361" s="628">
        <v>43862</v>
      </c>
      <c r="IMO361" s="628">
        <v>43891</v>
      </c>
      <c r="IMP361" s="628">
        <v>43922</v>
      </c>
      <c r="IMQ361" s="628">
        <v>43952</v>
      </c>
      <c r="IMR361" s="628">
        <v>43983</v>
      </c>
      <c r="IMS361" s="628">
        <v>44013</v>
      </c>
      <c r="IMT361" s="628">
        <v>44044</v>
      </c>
      <c r="IMU361" s="628">
        <v>44075</v>
      </c>
      <c r="IMV361" s="628">
        <v>44105</v>
      </c>
      <c r="IMW361" s="628">
        <v>44136</v>
      </c>
      <c r="IMX361" s="628">
        <v>44166</v>
      </c>
      <c r="IMY361" s="629">
        <v>2020</v>
      </c>
      <c r="IMZ361" s="630" t="s">
        <v>1870</v>
      </c>
      <c r="INA361" s="626"/>
      <c r="INB361" s="627" t="s">
        <v>1669</v>
      </c>
      <c r="INC361" s="628">
        <v>43831</v>
      </c>
      <c r="IND361" s="628">
        <v>43862</v>
      </c>
      <c r="INE361" s="628">
        <v>43891</v>
      </c>
      <c r="INF361" s="628">
        <v>43922</v>
      </c>
      <c r="ING361" s="628">
        <v>43952</v>
      </c>
      <c r="INH361" s="628">
        <v>43983</v>
      </c>
      <c r="INI361" s="628">
        <v>44013</v>
      </c>
      <c r="INJ361" s="628">
        <v>44044</v>
      </c>
      <c r="INK361" s="628">
        <v>44075</v>
      </c>
      <c r="INL361" s="628">
        <v>44105</v>
      </c>
      <c r="INM361" s="628">
        <v>44136</v>
      </c>
      <c r="INN361" s="628">
        <v>44166</v>
      </c>
      <c r="INO361" s="629">
        <v>2020</v>
      </c>
      <c r="INP361" s="630" t="s">
        <v>1870</v>
      </c>
      <c r="INQ361" s="626"/>
      <c r="INR361" s="627" t="s">
        <v>1669</v>
      </c>
      <c r="INS361" s="628">
        <v>43831</v>
      </c>
      <c r="INT361" s="628">
        <v>43862</v>
      </c>
      <c r="INU361" s="628">
        <v>43891</v>
      </c>
      <c r="INV361" s="628">
        <v>43922</v>
      </c>
      <c r="INW361" s="628">
        <v>43952</v>
      </c>
      <c r="INX361" s="628">
        <v>43983</v>
      </c>
      <c r="INY361" s="628">
        <v>44013</v>
      </c>
      <c r="INZ361" s="628">
        <v>44044</v>
      </c>
      <c r="IOA361" s="628">
        <v>44075</v>
      </c>
      <c r="IOB361" s="628">
        <v>44105</v>
      </c>
      <c r="IOC361" s="628">
        <v>44136</v>
      </c>
      <c r="IOD361" s="628">
        <v>44166</v>
      </c>
      <c r="IOE361" s="629">
        <v>2020</v>
      </c>
      <c r="IOF361" s="630" t="s">
        <v>1870</v>
      </c>
      <c r="IOG361" s="626"/>
      <c r="IOH361" s="627" t="s">
        <v>1669</v>
      </c>
      <c r="IOI361" s="628">
        <v>43831</v>
      </c>
      <c r="IOJ361" s="628">
        <v>43862</v>
      </c>
      <c r="IOK361" s="628">
        <v>43891</v>
      </c>
      <c r="IOL361" s="628">
        <v>43922</v>
      </c>
      <c r="IOM361" s="628">
        <v>43952</v>
      </c>
      <c r="ION361" s="628">
        <v>43983</v>
      </c>
      <c r="IOO361" s="628">
        <v>44013</v>
      </c>
      <c r="IOP361" s="628">
        <v>44044</v>
      </c>
      <c r="IOQ361" s="628">
        <v>44075</v>
      </c>
      <c r="IOR361" s="628">
        <v>44105</v>
      </c>
      <c r="IOS361" s="628">
        <v>44136</v>
      </c>
      <c r="IOT361" s="628">
        <v>44166</v>
      </c>
      <c r="IOU361" s="629">
        <v>2020</v>
      </c>
      <c r="IOV361" s="630" t="s">
        <v>1870</v>
      </c>
      <c r="IOW361" s="626"/>
      <c r="IOX361" s="627" t="s">
        <v>1669</v>
      </c>
      <c r="IOY361" s="628">
        <v>43831</v>
      </c>
      <c r="IOZ361" s="628">
        <v>43862</v>
      </c>
      <c r="IPA361" s="628">
        <v>43891</v>
      </c>
      <c r="IPB361" s="628">
        <v>43922</v>
      </c>
      <c r="IPC361" s="628">
        <v>43952</v>
      </c>
      <c r="IPD361" s="628">
        <v>43983</v>
      </c>
      <c r="IPE361" s="628">
        <v>44013</v>
      </c>
      <c r="IPF361" s="628">
        <v>44044</v>
      </c>
      <c r="IPG361" s="628">
        <v>44075</v>
      </c>
      <c r="IPH361" s="628">
        <v>44105</v>
      </c>
      <c r="IPI361" s="628">
        <v>44136</v>
      </c>
      <c r="IPJ361" s="628">
        <v>44166</v>
      </c>
      <c r="IPK361" s="629">
        <v>2020</v>
      </c>
      <c r="IPL361" s="630" t="s">
        <v>1870</v>
      </c>
      <c r="IPM361" s="626"/>
      <c r="IPN361" s="627" t="s">
        <v>1669</v>
      </c>
      <c r="IPO361" s="628">
        <v>43831</v>
      </c>
      <c r="IPP361" s="628">
        <v>43862</v>
      </c>
      <c r="IPQ361" s="628">
        <v>43891</v>
      </c>
      <c r="IPR361" s="628">
        <v>43922</v>
      </c>
      <c r="IPS361" s="628">
        <v>43952</v>
      </c>
      <c r="IPT361" s="628">
        <v>43983</v>
      </c>
      <c r="IPU361" s="628">
        <v>44013</v>
      </c>
      <c r="IPV361" s="628">
        <v>44044</v>
      </c>
      <c r="IPW361" s="628">
        <v>44075</v>
      </c>
      <c r="IPX361" s="628">
        <v>44105</v>
      </c>
      <c r="IPY361" s="628">
        <v>44136</v>
      </c>
      <c r="IPZ361" s="628">
        <v>44166</v>
      </c>
      <c r="IQA361" s="629">
        <v>2020</v>
      </c>
      <c r="IQB361" s="630" t="s">
        <v>1870</v>
      </c>
      <c r="IQC361" s="626"/>
      <c r="IQD361" s="627" t="s">
        <v>1669</v>
      </c>
      <c r="IQE361" s="628">
        <v>43831</v>
      </c>
      <c r="IQF361" s="628">
        <v>43862</v>
      </c>
      <c r="IQG361" s="628">
        <v>43891</v>
      </c>
      <c r="IQH361" s="628">
        <v>43922</v>
      </c>
      <c r="IQI361" s="628">
        <v>43952</v>
      </c>
      <c r="IQJ361" s="628">
        <v>43983</v>
      </c>
      <c r="IQK361" s="628">
        <v>44013</v>
      </c>
      <c r="IQL361" s="628">
        <v>44044</v>
      </c>
      <c r="IQM361" s="628">
        <v>44075</v>
      </c>
      <c r="IQN361" s="628">
        <v>44105</v>
      </c>
      <c r="IQO361" s="628">
        <v>44136</v>
      </c>
      <c r="IQP361" s="628">
        <v>44166</v>
      </c>
      <c r="IQQ361" s="629">
        <v>2020</v>
      </c>
      <c r="IQR361" s="630" t="s">
        <v>1870</v>
      </c>
      <c r="IQS361" s="626"/>
      <c r="IQT361" s="627" t="s">
        <v>1669</v>
      </c>
      <c r="IQU361" s="628">
        <v>43831</v>
      </c>
      <c r="IQV361" s="628">
        <v>43862</v>
      </c>
      <c r="IQW361" s="628">
        <v>43891</v>
      </c>
      <c r="IQX361" s="628">
        <v>43922</v>
      </c>
      <c r="IQY361" s="628">
        <v>43952</v>
      </c>
      <c r="IQZ361" s="628">
        <v>43983</v>
      </c>
      <c r="IRA361" s="628">
        <v>44013</v>
      </c>
      <c r="IRB361" s="628">
        <v>44044</v>
      </c>
      <c r="IRC361" s="628">
        <v>44075</v>
      </c>
      <c r="IRD361" s="628">
        <v>44105</v>
      </c>
      <c r="IRE361" s="628">
        <v>44136</v>
      </c>
      <c r="IRF361" s="628">
        <v>44166</v>
      </c>
      <c r="IRG361" s="629">
        <v>2020</v>
      </c>
      <c r="IRH361" s="630" t="s">
        <v>1870</v>
      </c>
      <c r="IRI361" s="626"/>
      <c r="IRJ361" s="627" t="s">
        <v>1669</v>
      </c>
      <c r="IRK361" s="628">
        <v>43831</v>
      </c>
      <c r="IRL361" s="628">
        <v>43862</v>
      </c>
      <c r="IRM361" s="628">
        <v>43891</v>
      </c>
      <c r="IRN361" s="628">
        <v>43922</v>
      </c>
      <c r="IRO361" s="628">
        <v>43952</v>
      </c>
      <c r="IRP361" s="628">
        <v>43983</v>
      </c>
      <c r="IRQ361" s="628">
        <v>44013</v>
      </c>
      <c r="IRR361" s="628">
        <v>44044</v>
      </c>
      <c r="IRS361" s="628">
        <v>44075</v>
      </c>
      <c r="IRT361" s="628">
        <v>44105</v>
      </c>
      <c r="IRU361" s="628">
        <v>44136</v>
      </c>
      <c r="IRV361" s="628">
        <v>44166</v>
      </c>
      <c r="IRW361" s="629">
        <v>2020</v>
      </c>
      <c r="IRX361" s="630" t="s">
        <v>1870</v>
      </c>
      <c r="IRY361" s="626"/>
      <c r="IRZ361" s="627" t="s">
        <v>1669</v>
      </c>
      <c r="ISA361" s="628">
        <v>43831</v>
      </c>
      <c r="ISB361" s="628">
        <v>43862</v>
      </c>
      <c r="ISC361" s="628">
        <v>43891</v>
      </c>
      <c r="ISD361" s="628">
        <v>43922</v>
      </c>
      <c r="ISE361" s="628">
        <v>43952</v>
      </c>
      <c r="ISF361" s="628">
        <v>43983</v>
      </c>
      <c r="ISG361" s="628">
        <v>44013</v>
      </c>
      <c r="ISH361" s="628">
        <v>44044</v>
      </c>
      <c r="ISI361" s="628">
        <v>44075</v>
      </c>
      <c r="ISJ361" s="628">
        <v>44105</v>
      </c>
      <c r="ISK361" s="628">
        <v>44136</v>
      </c>
      <c r="ISL361" s="628">
        <v>44166</v>
      </c>
      <c r="ISM361" s="629">
        <v>2020</v>
      </c>
      <c r="ISN361" s="630" t="s">
        <v>1870</v>
      </c>
      <c r="ISO361" s="626"/>
      <c r="ISP361" s="627" t="s">
        <v>1669</v>
      </c>
      <c r="ISQ361" s="628">
        <v>43831</v>
      </c>
      <c r="ISR361" s="628">
        <v>43862</v>
      </c>
      <c r="ISS361" s="628">
        <v>43891</v>
      </c>
      <c r="IST361" s="628">
        <v>43922</v>
      </c>
      <c r="ISU361" s="628">
        <v>43952</v>
      </c>
      <c r="ISV361" s="628">
        <v>43983</v>
      </c>
      <c r="ISW361" s="628">
        <v>44013</v>
      </c>
      <c r="ISX361" s="628">
        <v>44044</v>
      </c>
      <c r="ISY361" s="628">
        <v>44075</v>
      </c>
      <c r="ISZ361" s="628">
        <v>44105</v>
      </c>
      <c r="ITA361" s="628">
        <v>44136</v>
      </c>
      <c r="ITB361" s="628">
        <v>44166</v>
      </c>
      <c r="ITC361" s="629">
        <v>2020</v>
      </c>
      <c r="ITD361" s="630" t="s">
        <v>1870</v>
      </c>
      <c r="ITE361" s="626"/>
      <c r="ITF361" s="627" t="s">
        <v>1669</v>
      </c>
      <c r="ITG361" s="628">
        <v>43831</v>
      </c>
      <c r="ITH361" s="628">
        <v>43862</v>
      </c>
      <c r="ITI361" s="628">
        <v>43891</v>
      </c>
      <c r="ITJ361" s="628">
        <v>43922</v>
      </c>
      <c r="ITK361" s="628">
        <v>43952</v>
      </c>
      <c r="ITL361" s="628">
        <v>43983</v>
      </c>
      <c r="ITM361" s="628">
        <v>44013</v>
      </c>
      <c r="ITN361" s="628">
        <v>44044</v>
      </c>
      <c r="ITO361" s="628">
        <v>44075</v>
      </c>
      <c r="ITP361" s="628">
        <v>44105</v>
      </c>
      <c r="ITQ361" s="628">
        <v>44136</v>
      </c>
      <c r="ITR361" s="628">
        <v>44166</v>
      </c>
      <c r="ITS361" s="629">
        <v>2020</v>
      </c>
      <c r="ITT361" s="630" t="s">
        <v>1870</v>
      </c>
      <c r="ITU361" s="626"/>
      <c r="ITV361" s="627" t="s">
        <v>1669</v>
      </c>
      <c r="ITW361" s="628">
        <v>43831</v>
      </c>
      <c r="ITX361" s="628">
        <v>43862</v>
      </c>
      <c r="ITY361" s="628">
        <v>43891</v>
      </c>
      <c r="ITZ361" s="628">
        <v>43922</v>
      </c>
      <c r="IUA361" s="628">
        <v>43952</v>
      </c>
      <c r="IUB361" s="628">
        <v>43983</v>
      </c>
      <c r="IUC361" s="628">
        <v>44013</v>
      </c>
      <c r="IUD361" s="628">
        <v>44044</v>
      </c>
      <c r="IUE361" s="628">
        <v>44075</v>
      </c>
      <c r="IUF361" s="628">
        <v>44105</v>
      </c>
      <c r="IUG361" s="628">
        <v>44136</v>
      </c>
      <c r="IUH361" s="628">
        <v>44166</v>
      </c>
      <c r="IUI361" s="629">
        <v>2020</v>
      </c>
      <c r="IUJ361" s="630" t="s">
        <v>1870</v>
      </c>
      <c r="IUK361" s="626"/>
      <c r="IUL361" s="627" t="s">
        <v>1669</v>
      </c>
      <c r="IUM361" s="628">
        <v>43831</v>
      </c>
      <c r="IUN361" s="628">
        <v>43862</v>
      </c>
      <c r="IUO361" s="628">
        <v>43891</v>
      </c>
      <c r="IUP361" s="628">
        <v>43922</v>
      </c>
      <c r="IUQ361" s="628">
        <v>43952</v>
      </c>
      <c r="IUR361" s="628">
        <v>43983</v>
      </c>
      <c r="IUS361" s="628">
        <v>44013</v>
      </c>
      <c r="IUT361" s="628">
        <v>44044</v>
      </c>
      <c r="IUU361" s="628">
        <v>44075</v>
      </c>
      <c r="IUV361" s="628">
        <v>44105</v>
      </c>
      <c r="IUW361" s="628">
        <v>44136</v>
      </c>
      <c r="IUX361" s="628">
        <v>44166</v>
      </c>
      <c r="IUY361" s="629">
        <v>2020</v>
      </c>
      <c r="IUZ361" s="630" t="s">
        <v>1870</v>
      </c>
      <c r="IVA361" s="626"/>
      <c r="IVB361" s="627" t="s">
        <v>1669</v>
      </c>
      <c r="IVC361" s="628">
        <v>43831</v>
      </c>
      <c r="IVD361" s="628">
        <v>43862</v>
      </c>
      <c r="IVE361" s="628">
        <v>43891</v>
      </c>
      <c r="IVF361" s="628">
        <v>43922</v>
      </c>
      <c r="IVG361" s="628">
        <v>43952</v>
      </c>
      <c r="IVH361" s="628">
        <v>43983</v>
      </c>
      <c r="IVI361" s="628">
        <v>44013</v>
      </c>
      <c r="IVJ361" s="628">
        <v>44044</v>
      </c>
      <c r="IVK361" s="628">
        <v>44075</v>
      </c>
      <c r="IVL361" s="628">
        <v>44105</v>
      </c>
      <c r="IVM361" s="628">
        <v>44136</v>
      </c>
      <c r="IVN361" s="628">
        <v>44166</v>
      </c>
      <c r="IVO361" s="629">
        <v>2020</v>
      </c>
      <c r="IVP361" s="630" t="s">
        <v>1870</v>
      </c>
      <c r="IVQ361" s="626"/>
      <c r="IVR361" s="627" t="s">
        <v>1669</v>
      </c>
      <c r="IVS361" s="628">
        <v>43831</v>
      </c>
      <c r="IVT361" s="628">
        <v>43862</v>
      </c>
      <c r="IVU361" s="628">
        <v>43891</v>
      </c>
      <c r="IVV361" s="628">
        <v>43922</v>
      </c>
      <c r="IVW361" s="628">
        <v>43952</v>
      </c>
      <c r="IVX361" s="628">
        <v>43983</v>
      </c>
      <c r="IVY361" s="628">
        <v>44013</v>
      </c>
      <c r="IVZ361" s="628">
        <v>44044</v>
      </c>
      <c r="IWA361" s="628">
        <v>44075</v>
      </c>
      <c r="IWB361" s="628">
        <v>44105</v>
      </c>
      <c r="IWC361" s="628">
        <v>44136</v>
      </c>
      <c r="IWD361" s="628">
        <v>44166</v>
      </c>
      <c r="IWE361" s="629">
        <v>2020</v>
      </c>
      <c r="IWF361" s="630" t="s">
        <v>1870</v>
      </c>
      <c r="IWG361" s="626"/>
      <c r="IWH361" s="627" t="s">
        <v>1669</v>
      </c>
      <c r="IWI361" s="628">
        <v>43831</v>
      </c>
      <c r="IWJ361" s="628">
        <v>43862</v>
      </c>
      <c r="IWK361" s="628">
        <v>43891</v>
      </c>
      <c r="IWL361" s="628">
        <v>43922</v>
      </c>
      <c r="IWM361" s="628">
        <v>43952</v>
      </c>
      <c r="IWN361" s="628">
        <v>43983</v>
      </c>
      <c r="IWO361" s="628">
        <v>44013</v>
      </c>
      <c r="IWP361" s="628">
        <v>44044</v>
      </c>
      <c r="IWQ361" s="628">
        <v>44075</v>
      </c>
      <c r="IWR361" s="628">
        <v>44105</v>
      </c>
      <c r="IWS361" s="628">
        <v>44136</v>
      </c>
      <c r="IWT361" s="628">
        <v>44166</v>
      </c>
      <c r="IWU361" s="629">
        <v>2020</v>
      </c>
      <c r="IWV361" s="630" t="s">
        <v>1870</v>
      </c>
      <c r="IWW361" s="626"/>
      <c r="IWX361" s="627" t="s">
        <v>1669</v>
      </c>
      <c r="IWY361" s="628">
        <v>43831</v>
      </c>
      <c r="IWZ361" s="628">
        <v>43862</v>
      </c>
      <c r="IXA361" s="628">
        <v>43891</v>
      </c>
      <c r="IXB361" s="628">
        <v>43922</v>
      </c>
      <c r="IXC361" s="628">
        <v>43952</v>
      </c>
      <c r="IXD361" s="628">
        <v>43983</v>
      </c>
      <c r="IXE361" s="628">
        <v>44013</v>
      </c>
      <c r="IXF361" s="628">
        <v>44044</v>
      </c>
      <c r="IXG361" s="628">
        <v>44075</v>
      </c>
      <c r="IXH361" s="628">
        <v>44105</v>
      </c>
      <c r="IXI361" s="628">
        <v>44136</v>
      </c>
      <c r="IXJ361" s="628">
        <v>44166</v>
      </c>
      <c r="IXK361" s="629">
        <v>2020</v>
      </c>
      <c r="IXL361" s="630" t="s">
        <v>1870</v>
      </c>
      <c r="IXM361" s="626"/>
      <c r="IXN361" s="627" t="s">
        <v>1669</v>
      </c>
      <c r="IXO361" s="628">
        <v>43831</v>
      </c>
      <c r="IXP361" s="628">
        <v>43862</v>
      </c>
      <c r="IXQ361" s="628">
        <v>43891</v>
      </c>
      <c r="IXR361" s="628">
        <v>43922</v>
      </c>
      <c r="IXS361" s="628">
        <v>43952</v>
      </c>
      <c r="IXT361" s="628">
        <v>43983</v>
      </c>
      <c r="IXU361" s="628">
        <v>44013</v>
      </c>
      <c r="IXV361" s="628">
        <v>44044</v>
      </c>
      <c r="IXW361" s="628">
        <v>44075</v>
      </c>
      <c r="IXX361" s="628">
        <v>44105</v>
      </c>
      <c r="IXY361" s="628">
        <v>44136</v>
      </c>
      <c r="IXZ361" s="628">
        <v>44166</v>
      </c>
      <c r="IYA361" s="629">
        <v>2020</v>
      </c>
      <c r="IYB361" s="630" t="s">
        <v>1870</v>
      </c>
      <c r="IYC361" s="626"/>
      <c r="IYD361" s="627" t="s">
        <v>1669</v>
      </c>
      <c r="IYE361" s="628">
        <v>43831</v>
      </c>
      <c r="IYF361" s="628">
        <v>43862</v>
      </c>
      <c r="IYG361" s="628">
        <v>43891</v>
      </c>
      <c r="IYH361" s="628">
        <v>43922</v>
      </c>
      <c r="IYI361" s="628">
        <v>43952</v>
      </c>
      <c r="IYJ361" s="628">
        <v>43983</v>
      </c>
      <c r="IYK361" s="628">
        <v>44013</v>
      </c>
      <c r="IYL361" s="628">
        <v>44044</v>
      </c>
      <c r="IYM361" s="628">
        <v>44075</v>
      </c>
      <c r="IYN361" s="628">
        <v>44105</v>
      </c>
      <c r="IYO361" s="628">
        <v>44136</v>
      </c>
      <c r="IYP361" s="628">
        <v>44166</v>
      </c>
      <c r="IYQ361" s="629">
        <v>2020</v>
      </c>
      <c r="IYR361" s="630" t="s">
        <v>1870</v>
      </c>
      <c r="IYS361" s="626"/>
      <c r="IYT361" s="627" t="s">
        <v>1669</v>
      </c>
      <c r="IYU361" s="628">
        <v>43831</v>
      </c>
      <c r="IYV361" s="628">
        <v>43862</v>
      </c>
      <c r="IYW361" s="628">
        <v>43891</v>
      </c>
      <c r="IYX361" s="628">
        <v>43922</v>
      </c>
      <c r="IYY361" s="628">
        <v>43952</v>
      </c>
      <c r="IYZ361" s="628">
        <v>43983</v>
      </c>
      <c r="IZA361" s="628">
        <v>44013</v>
      </c>
      <c r="IZB361" s="628">
        <v>44044</v>
      </c>
      <c r="IZC361" s="628">
        <v>44075</v>
      </c>
      <c r="IZD361" s="628">
        <v>44105</v>
      </c>
      <c r="IZE361" s="628">
        <v>44136</v>
      </c>
      <c r="IZF361" s="628">
        <v>44166</v>
      </c>
      <c r="IZG361" s="629">
        <v>2020</v>
      </c>
      <c r="IZH361" s="630" t="s">
        <v>1870</v>
      </c>
      <c r="IZI361" s="626"/>
      <c r="IZJ361" s="627" t="s">
        <v>1669</v>
      </c>
      <c r="IZK361" s="628">
        <v>43831</v>
      </c>
      <c r="IZL361" s="628">
        <v>43862</v>
      </c>
      <c r="IZM361" s="628">
        <v>43891</v>
      </c>
      <c r="IZN361" s="628">
        <v>43922</v>
      </c>
      <c r="IZO361" s="628">
        <v>43952</v>
      </c>
      <c r="IZP361" s="628">
        <v>43983</v>
      </c>
      <c r="IZQ361" s="628">
        <v>44013</v>
      </c>
      <c r="IZR361" s="628">
        <v>44044</v>
      </c>
      <c r="IZS361" s="628">
        <v>44075</v>
      </c>
      <c r="IZT361" s="628">
        <v>44105</v>
      </c>
      <c r="IZU361" s="628">
        <v>44136</v>
      </c>
      <c r="IZV361" s="628">
        <v>44166</v>
      </c>
      <c r="IZW361" s="629">
        <v>2020</v>
      </c>
      <c r="IZX361" s="630" t="s">
        <v>1870</v>
      </c>
      <c r="IZY361" s="626"/>
      <c r="IZZ361" s="627" t="s">
        <v>1669</v>
      </c>
      <c r="JAA361" s="628">
        <v>43831</v>
      </c>
      <c r="JAB361" s="628">
        <v>43862</v>
      </c>
      <c r="JAC361" s="628">
        <v>43891</v>
      </c>
      <c r="JAD361" s="628">
        <v>43922</v>
      </c>
      <c r="JAE361" s="628">
        <v>43952</v>
      </c>
      <c r="JAF361" s="628">
        <v>43983</v>
      </c>
      <c r="JAG361" s="628">
        <v>44013</v>
      </c>
      <c r="JAH361" s="628">
        <v>44044</v>
      </c>
      <c r="JAI361" s="628">
        <v>44075</v>
      </c>
      <c r="JAJ361" s="628">
        <v>44105</v>
      </c>
      <c r="JAK361" s="628">
        <v>44136</v>
      </c>
      <c r="JAL361" s="628">
        <v>44166</v>
      </c>
      <c r="JAM361" s="629">
        <v>2020</v>
      </c>
      <c r="JAN361" s="630" t="s">
        <v>1870</v>
      </c>
      <c r="JAO361" s="626"/>
      <c r="JAP361" s="627" t="s">
        <v>1669</v>
      </c>
      <c r="JAQ361" s="628">
        <v>43831</v>
      </c>
      <c r="JAR361" s="628">
        <v>43862</v>
      </c>
      <c r="JAS361" s="628">
        <v>43891</v>
      </c>
      <c r="JAT361" s="628">
        <v>43922</v>
      </c>
      <c r="JAU361" s="628">
        <v>43952</v>
      </c>
      <c r="JAV361" s="628">
        <v>43983</v>
      </c>
      <c r="JAW361" s="628">
        <v>44013</v>
      </c>
      <c r="JAX361" s="628">
        <v>44044</v>
      </c>
      <c r="JAY361" s="628">
        <v>44075</v>
      </c>
      <c r="JAZ361" s="628">
        <v>44105</v>
      </c>
      <c r="JBA361" s="628">
        <v>44136</v>
      </c>
      <c r="JBB361" s="628">
        <v>44166</v>
      </c>
      <c r="JBC361" s="629">
        <v>2020</v>
      </c>
      <c r="JBD361" s="630" t="s">
        <v>1870</v>
      </c>
      <c r="JBE361" s="626"/>
      <c r="JBF361" s="627" t="s">
        <v>1669</v>
      </c>
      <c r="JBG361" s="628">
        <v>43831</v>
      </c>
      <c r="JBH361" s="628">
        <v>43862</v>
      </c>
      <c r="JBI361" s="628">
        <v>43891</v>
      </c>
      <c r="JBJ361" s="628">
        <v>43922</v>
      </c>
      <c r="JBK361" s="628">
        <v>43952</v>
      </c>
      <c r="JBL361" s="628">
        <v>43983</v>
      </c>
      <c r="JBM361" s="628">
        <v>44013</v>
      </c>
      <c r="JBN361" s="628">
        <v>44044</v>
      </c>
      <c r="JBO361" s="628">
        <v>44075</v>
      </c>
      <c r="JBP361" s="628">
        <v>44105</v>
      </c>
      <c r="JBQ361" s="628">
        <v>44136</v>
      </c>
      <c r="JBR361" s="628">
        <v>44166</v>
      </c>
      <c r="JBS361" s="629">
        <v>2020</v>
      </c>
      <c r="JBT361" s="630" t="s">
        <v>1870</v>
      </c>
      <c r="JBU361" s="626"/>
      <c r="JBV361" s="627" t="s">
        <v>1669</v>
      </c>
      <c r="JBW361" s="628">
        <v>43831</v>
      </c>
      <c r="JBX361" s="628">
        <v>43862</v>
      </c>
      <c r="JBY361" s="628">
        <v>43891</v>
      </c>
      <c r="JBZ361" s="628">
        <v>43922</v>
      </c>
      <c r="JCA361" s="628">
        <v>43952</v>
      </c>
      <c r="JCB361" s="628">
        <v>43983</v>
      </c>
      <c r="JCC361" s="628">
        <v>44013</v>
      </c>
      <c r="JCD361" s="628">
        <v>44044</v>
      </c>
      <c r="JCE361" s="628">
        <v>44075</v>
      </c>
      <c r="JCF361" s="628">
        <v>44105</v>
      </c>
      <c r="JCG361" s="628">
        <v>44136</v>
      </c>
      <c r="JCH361" s="628">
        <v>44166</v>
      </c>
      <c r="JCI361" s="629">
        <v>2020</v>
      </c>
      <c r="JCJ361" s="630" t="s">
        <v>1870</v>
      </c>
      <c r="JCK361" s="626"/>
      <c r="JCL361" s="627" t="s">
        <v>1669</v>
      </c>
      <c r="JCM361" s="628">
        <v>43831</v>
      </c>
      <c r="JCN361" s="628">
        <v>43862</v>
      </c>
      <c r="JCO361" s="628">
        <v>43891</v>
      </c>
      <c r="JCP361" s="628">
        <v>43922</v>
      </c>
      <c r="JCQ361" s="628">
        <v>43952</v>
      </c>
      <c r="JCR361" s="628">
        <v>43983</v>
      </c>
      <c r="JCS361" s="628">
        <v>44013</v>
      </c>
      <c r="JCT361" s="628">
        <v>44044</v>
      </c>
      <c r="JCU361" s="628">
        <v>44075</v>
      </c>
      <c r="JCV361" s="628">
        <v>44105</v>
      </c>
      <c r="JCW361" s="628">
        <v>44136</v>
      </c>
      <c r="JCX361" s="628">
        <v>44166</v>
      </c>
      <c r="JCY361" s="629">
        <v>2020</v>
      </c>
      <c r="JCZ361" s="630" t="s">
        <v>1870</v>
      </c>
      <c r="JDA361" s="626"/>
      <c r="JDB361" s="627" t="s">
        <v>1669</v>
      </c>
      <c r="JDC361" s="628">
        <v>43831</v>
      </c>
      <c r="JDD361" s="628">
        <v>43862</v>
      </c>
      <c r="JDE361" s="628">
        <v>43891</v>
      </c>
      <c r="JDF361" s="628">
        <v>43922</v>
      </c>
      <c r="JDG361" s="628">
        <v>43952</v>
      </c>
      <c r="JDH361" s="628">
        <v>43983</v>
      </c>
      <c r="JDI361" s="628">
        <v>44013</v>
      </c>
      <c r="JDJ361" s="628">
        <v>44044</v>
      </c>
      <c r="JDK361" s="628">
        <v>44075</v>
      </c>
      <c r="JDL361" s="628">
        <v>44105</v>
      </c>
      <c r="JDM361" s="628">
        <v>44136</v>
      </c>
      <c r="JDN361" s="628">
        <v>44166</v>
      </c>
      <c r="JDO361" s="629">
        <v>2020</v>
      </c>
      <c r="JDP361" s="630" t="s">
        <v>1870</v>
      </c>
      <c r="JDQ361" s="626"/>
      <c r="JDR361" s="627" t="s">
        <v>1669</v>
      </c>
      <c r="JDS361" s="628">
        <v>43831</v>
      </c>
      <c r="JDT361" s="628">
        <v>43862</v>
      </c>
      <c r="JDU361" s="628">
        <v>43891</v>
      </c>
      <c r="JDV361" s="628">
        <v>43922</v>
      </c>
      <c r="JDW361" s="628">
        <v>43952</v>
      </c>
      <c r="JDX361" s="628">
        <v>43983</v>
      </c>
      <c r="JDY361" s="628">
        <v>44013</v>
      </c>
      <c r="JDZ361" s="628">
        <v>44044</v>
      </c>
      <c r="JEA361" s="628">
        <v>44075</v>
      </c>
      <c r="JEB361" s="628">
        <v>44105</v>
      </c>
      <c r="JEC361" s="628">
        <v>44136</v>
      </c>
      <c r="JED361" s="628">
        <v>44166</v>
      </c>
      <c r="JEE361" s="629">
        <v>2020</v>
      </c>
      <c r="JEF361" s="630" t="s">
        <v>1870</v>
      </c>
      <c r="JEG361" s="626"/>
      <c r="JEH361" s="627" t="s">
        <v>1669</v>
      </c>
      <c r="JEI361" s="628">
        <v>43831</v>
      </c>
      <c r="JEJ361" s="628">
        <v>43862</v>
      </c>
      <c r="JEK361" s="628">
        <v>43891</v>
      </c>
      <c r="JEL361" s="628">
        <v>43922</v>
      </c>
      <c r="JEM361" s="628">
        <v>43952</v>
      </c>
      <c r="JEN361" s="628">
        <v>43983</v>
      </c>
      <c r="JEO361" s="628">
        <v>44013</v>
      </c>
      <c r="JEP361" s="628">
        <v>44044</v>
      </c>
      <c r="JEQ361" s="628">
        <v>44075</v>
      </c>
      <c r="JER361" s="628">
        <v>44105</v>
      </c>
      <c r="JES361" s="628">
        <v>44136</v>
      </c>
      <c r="JET361" s="628">
        <v>44166</v>
      </c>
      <c r="JEU361" s="629">
        <v>2020</v>
      </c>
      <c r="JEV361" s="630" t="s">
        <v>1870</v>
      </c>
      <c r="JEW361" s="626"/>
      <c r="JEX361" s="627" t="s">
        <v>1669</v>
      </c>
      <c r="JEY361" s="628">
        <v>43831</v>
      </c>
      <c r="JEZ361" s="628">
        <v>43862</v>
      </c>
      <c r="JFA361" s="628">
        <v>43891</v>
      </c>
      <c r="JFB361" s="628">
        <v>43922</v>
      </c>
      <c r="JFC361" s="628">
        <v>43952</v>
      </c>
      <c r="JFD361" s="628">
        <v>43983</v>
      </c>
      <c r="JFE361" s="628">
        <v>44013</v>
      </c>
      <c r="JFF361" s="628">
        <v>44044</v>
      </c>
      <c r="JFG361" s="628">
        <v>44075</v>
      </c>
      <c r="JFH361" s="628">
        <v>44105</v>
      </c>
      <c r="JFI361" s="628">
        <v>44136</v>
      </c>
      <c r="JFJ361" s="628">
        <v>44166</v>
      </c>
      <c r="JFK361" s="629">
        <v>2020</v>
      </c>
      <c r="JFL361" s="630" t="s">
        <v>1870</v>
      </c>
      <c r="JFM361" s="626"/>
      <c r="JFN361" s="627" t="s">
        <v>1669</v>
      </c>
      <c r="JFO361" s="628">
        <v>43831</v>
      </c>
      <c r="JFP361" s="628">
        <v>43862</v>
      </c>
      <c r="JFQ361" s="628">
        <v>43891</v>
      </c>
      <c r="JFR361" s="628">
        <v>43922</v>
      </c>
      <c r="JFS361" s="628">
        <v>43952</v>
      </c>
      <c r="JFT361" s="628">
        <v>43983</v>
      </c>
      <c r="JFU361" s="628">
        <v>44013</v>
      </c>
      <c r="JFV361" s="628">
        <v>44044</v>
      </c>
      <c r="JFW361" s="628">
        <v>44075</v>
      </c>
      <c r="JFX361" s="628">
        <v>44105</v>
      </c>
      <c r="JFY361" s="628">
        <v>44136</v>
      </c>
      <c r="JFZ361" s="628">
        <v>44166</v>
      </c>
      <c r="JGA361" s="629">
        <v>2020</v>
      </c>
      <c r="JGB361" s="630" t="s">
        <v>1870</v>
      </c>
      <c r="JGC361" s="626"/>
      <c r="JGD361" s="627" t="s">
        <v>1669</v>
      </c>
      <c r="JGE361" s="628">
        <v>43831</v>
      </c>
      <c r="JGF361" s="628">
        <v>43862</v>
      </c>
      <c r="JGG361" s="628">
        <v>43891</v>
      </c>
      <c r="JGH361" s="628">
        <v>43922</v>
      </c>
      <c r="JGI361" s="628">
        <v>43952</v>
      </c>
      <c r="JGJ361" s="628">
        <v>43983</v>
      </c>
      <c r="JGK361" s="628">
        <v>44013</v>
      </c>
      <c r="JGL361" s="628">
        <v>44044</v>
      </c>
      <c r="JGM361" s="628">
        <v>44075</v>
      </c>
      <c r="JGN361" s="628">
        <v>44105</v>
      </c>
      <c r="JGO361" s="628">
        <v>44136</v>
      </c>
      <c r="JGP361" s="628">
        <v>44166</v>
      </c>
      <c r="JGQ361" s="629">
        <v>2020</v>
      </c>
      <c r="JGR361" s="630" t="s">
        <v>1870</v>
      </c>
      <c r="JGS361" s="626"/>
      <c r="JGT361" s="627" t="s">
        <v>1669</v>
      </c>
      <c r="JGU361" s="628">
        <v>43831</v>
      </c>
      <c r="JGV361" s="628">
        <v>43862</v>
      </c>
      <c r="JGW361" s="628">
        <v>43891</v>
      </c>
      <c r="JGX361" s="628">
        <v>43922</v>
      </c>
      <c r="JGY361" s="628">
        <v>43952</v>
      </c>
      <c r="JGZ361" s="628">
        <v>43983</v>
      </c>
      <c r="JHA361" s="628">
        <v>44013</v>
      </c>
      <c r="JHB361" s="628">
        <v>44044</v>
      </c>
      <c r="JHC361" s="628">
        <v>44075</v>
      </c>
      <c r="JHD361" s="628">
        <v>44105</v>
      </c>
      <c r="JHE361" s="628">
        <v>44136</v>
      </c>
      <c r="JHF361" s="628">
        <v>44166</v>
      </c>
      <c r="JHG361" s="629">
        <v>2020</v>
      </c>
      <c r="JHH361" s="630" t="s">
        <v>1870</v>
      </c>
      <c r="JHI361" s="626"/>
      <c r="JHJ361" s="627" t="s">
        <v>1669</v>
      </c>
      <c r="JHK361" s="628">
        <v>43831</v>
      </c>
      <c r="JHL361" s="628">
        <v>43862</v>
      </c>
      <c r="JHM361" s="628">
        <v>43891</v>
      </c>
      <c r="JHN361" s="628">
        <v>43922</v>
      </c>
      <c r="JHO361" s="628">
        <v>43952</v>
      </c>
      <c r="JHP361" s="628">
        <v>43983</v>
      </c>
      <c r="JHQ361" s="628">
        <v>44013</v>
      </c>
      <c r="JHR361" s="628">
        <v>44044</v>
      </c>
      <c r="JHS361" s="628">
        <v>44075</v>
      </c>
      <c r="JHT361" s="628">
        <v>44105</v>
      </c>
      <c r="JHU361" s="628">
        <v>44136</v>
      </c>
      <c r="JHV361" s="628">
        <v>44166</v>
      </c>
      <c r="JHW361" s="629">
        <v>2020</v>
      </c>
      <c r="JHX361" s="630" t="s">
        <v>1870</v>
      </c>
      <c r="JHY361" s="626"/>
      <c r="JHZ361" s="627" t="s">
        <v>1669</v>
      </c>
      <c r="JIA361" s="628">
        <v>43831</v>
      </c>
      <c r="JIB361" s="628">
        <v>43862</v>
      </c>
      <c r="JIC361" s="628">
        <v>43891</v>
      </c>
      <c r="JID361" s="628">
        <v>43922</v>
      </c>
      <c r="JIE361" s="628">
        <v>43952</v>
      </c>
      <c r="JIF361" s="628">
        <v>43983</v>
      </c>
      <c r="JIG361" s="628">
        <v>44013</v>
      </c>
      <c r="JIH361" s="628">
        <v>44044</v>
      </c>
      <c r="JII361" s="628">
        <v>44075</v>
      </c>
      <c r="JIJ361" s="628">
        <v>44105</v>
      </c>
      <c r="JIK361" s="628">
        <v>44136</v>
      </c>
      <c r="JIL361" s="628">
        <v>44166</v>
      </c>
      <c r="JIM361" s="629">
        <v>2020</v>
      </c>
      <c r="JIN361" s="630" t="s">
        <v>1870</v>
      </c>
      <c r="JIO361" s="626"/>
      <c r="JIP361" s="627" t="s">
        <v>1669</v>
      </c>
      <c r="JIQ361" s="628">
        <v>43831</v>
      </c>
      <c r="JIR361" s="628">
        <v>43862</v>
      </c>
      <c r="JIS361" s="628">
        <v>43891</v>
      </c>
      <c r="JIT361" s="628">
        <v>43922</v>
      </c>
      <c r="JIU361" s="628">
        <v>43952</v>
      </c>
      <c r="JIV361" s="628">
        <v>43983</v>
      </c>
      <c r="JIW361" s="628">
        <v>44013</v>
      </c>
      <c r="JIX361" s="628">
        <v>44044</v>
      </c>
      <c r="JIY361" s="628">
        <v>44075</v>
      </c>
      <c r="JIZ361" s="628">
        <v>44105</v>
      </c>
      <c r="JJA361" s="628">
        <v>44136</v>
      </c>
      <c r="JJB361" s="628">
        <v>44166</v>
      </c>
      <c r="JJC361" s="629">
        <v>2020</v>
      </c>
      <c r="JJD361" s="630" t="s">
        <v>1870</v>
      </c>
      <c r="JJE361" s="626"/>
      <c r="JJF361" s="627" t="s">
        <v>1669</v>
      </c>
      <c r="JJG361" s="628">
        <v>43831</v>
      </c>
      <c r="JJH361" s="628">
        <v>43862</v>
      </c>
      <c r="JJI361" s="628">
        <v>43891</v>
      </c>
      <c r="JJJ361" s="628">
        <v>43922</v>
      </c>
      <c r="JJK361" s="628">
        <v>43952</v>
      </c>
      <c r="JJL361" s="628">
        <v>43983</v>
      </c>
      <c r="JJM361" s="628">
        <v>44013</v>
      </c>
      <c r="JJN361" s="628">
        <v>44044</v>
      </c>
      <c r="JJO361" s="628">
        <v>44075</v>
      </c>
      <c r="JJP361" s="628">
        <v>44105</v>
      </c>
      <c r="JJQ361" s="628">
        <v>44136</v>
      </c>
      <c r="JJR361" s="628">
        <v>44166</v>
      </c>
      <c r="JJS361" s="629">
        <v>2020</v>
      </c>
      <c r="JJT361" s="630" t="s">
        <v>1870</v>
      </c>
      <c r="JJU361" s="626"/>
      <c r="JJV361" s="627" t="s">
        <v>1669</v>
      </c>
      <c r="JJW361" s="628">
        <v>43831</v>
      </c>
      <c r="JJX361" s="628">
        <v>43862</v>
      </c>
      <c r="JJY361" s="628">
        <v>43891</v>
      </c>
      <c r="JJZ361" s="628">
        <v>43922</v>
      </c>
      <c r="JKA361" s="628">
        <v>43952</v>
      </c>
      <c r="JKB361" s="628">
        <v>43983</v>
      </c>
      <c r="JKC361" s="628">
        <v>44013</v>
      </c>
      <c r="JKD361" s="628">
        <v>44044</v>
      </c>
      <c r="JKE361" s="628">
        <v>44075</v>
      </c>
      <c r="JKF361" s="628">
        <v>44105</v>
      </c>
      <c r="JKG361" s="628">
        <v>44136</v>
      </c>
      <c r="JKH361" s="628">
        <v>44166</v>
      </c>
      <c r="JKI361" s="629">
        <v>2020</v>
      </c>
      <c r="JKJ361" s="630" t="s">
        <v>1870</v>
      </c>
      <c r="JKK361" s="626"/>
      <c r="JKL361" s="627" t="s">
        <v>1669</v>
      </c>
      <c r="JKM361" s="628">
        <v>43831</v>
      </c>
      <c r="JKN361" s="628">
        <v>43862</v>
      </c>
      <c r="JKO361" s="628">
        <v>43891</v>
      </c>
      <c r="JKP361" s="628">
        <v>43922</v>
      </c>
      <c r="JKQ361" s="628">
        <v>43952</v>
      </c>
      <c r="JKR361" s="628">
        <v>43983</v>
      </c>
      <c r="JKS361" s="628">
        <v>44013</v>
      </c>
      <c r="JKT361" s="628">
        <v>44044</v>
      </c>
      <c r="JKU361" s="628">
        <v>44075</v>
      </c>
      <c r="JKV361" s="628">
        <v>44105</v>
      </c>
      <c r="JKW361" s="628">
        <v>44136</v>
      </c>
      <c r="JKX361" s="628">
        <v>44166</v>
      </c>
      <c r="JKY361" s="629">
        <v>2020</v>
      </c>
      <c r="JKZ361" s="630" t="s">
        <v>1870</v>
      </c>
      <c r="JLA361" s="626"/>
      <c r="JLB361" s="627" t="s">
        <v>1669</v>
      </c>
      <c r="JLC361" s="628">
        <v>43831</v>
      </c>
      <c r="JLD361" s="628">
        <v>43862</v>
      </c>
      <c r="JLE361" s="628">
        <v>43891</v>
      </c>
      <c r="JLF361" s="628">
        <v>43922</v>
      </c>
      <c r="JLG361" s="628">
        <v>43952</v>
      </c>
      <c r="JLH361" s="628">
        <v>43983</v>
      </c>
      <c r="JLI361" s="628">
        <v>44013</v>
      </c>
      <c r="JLJ361" s="628">
        <v>44044</v>
      </c>
      <c r="JLK361" s="628">
        <v>44075</v>
      </c>
      <c r="JLL361" s="628">
        <v>44105</v>
      </c>
      <c r="JLM361" s="628">
        <v>44136</v>
      </c>
      <c r="JLN361" s="628">
        <v>44166</v>
      </c>
      <c r="JLO361" s="629">
        <v>2020</v>
      </c>
      <c r="JLP361" s="630" t="s">
        <v>1870</v>
      </c>
      <c r="JLQ361" s="626"/>
      <c r="JLR361" s="627" t="s">
        <v>1669</v>
      </c>
      <c r="JLS361" s="628">
        <v>43831</v>
      </c>
      <c r="JLT361" s="628">
        <v>43862</v>
      </c>
      <c r="JLU361" s="628">
        <v>43891</v>
      </c>
      <c r="JLV361" s="628">
        <v>43922</v>
      </c>
      <c r="JLW361" s="628">
        <v>43952</v>
      </c>
      <c r="JLX361" s="628">
        <v>43983</v>
      </c>
      <c r="JLY361" s="628">
        <v>44013</v>
      </c>
      <c r="JLZ361" s="628">
        <v>44044</v>
      </c>
      <c r="JMA361" s="628">
        <v>44075</v>
      </c>
      <c r="JMB361" s="628">
        <v>44105</v>
      </c>
      <c r="JMC361" s="628">
        <v>44136</v>
      </c>
      <c r="JMD361" s="628">
        <v>44166</v>
      </c>
      <c r="JME361" s="629">
        <v>2020</v>
      </c>
      <c r="JMF361" s="630" t="s">
        <v>1870</v>
      </c>
      <c r="JMG361" s="626"/>
      <c r="JMH361" s="627" t="s">
        <v>1669</v>
      </c>
      <c r="JMI361" s="628">
        <v>43831</v>
      </c>
      <c r="JMJ361" s="628">
        <v>43862</v>
      </c>
      <c r="JMK361" s="628">
        <v>43891</v>
      </c>
      <c r="JML361" s="628">
        <v>43922</v>
      </c>
      <c r="JMM361" s="628">
        <v>43952</v>
      </c>
      <c r="JMN361" s="628">
        <v>43983</v>
      </c>
      <c r="JMO361" s="628">
        <v>44013</v>
      </c>
      <c r="JMP361" s="628">
        <v>44044</v>
      </c>
      <c r="JMQ361" s="628">
        <v>44075</v>
      </c>
      <c r="JMR361" s="628">
        <v>44105</v>
      </c>
      <c r="JMS361" s="628">
        <v>44136</v>
      </c>
      <c r="JMT361" s="628">
        <v>44166</v>
      </c>
      <c r="JMU361" s="629">
        <v>2020</v>
      </c>
      <c r="JMV361" s="630" t="s">
        <v>1870</v>
      </c>
      <c r="JMW361" s="626"/>
      <c r="JMX361" s="627" t="s">
        <v>1669</v>
      </c>
      <c r="JMY361" s="628">
        <v>43831</v>
      </c>
      <c r="JMZ361" s="628">
        <v>43862</v>
      </c>
      <c r="JNA361" s="628">
        <v>43891</v>
      </c>
      <c r="JNB361" s="628">
        <v>43922</v>
      </c>
      <c r="JNC361" s="628">
        <v>43952</v>
      </c>
      <c r="JND361" s="628">
        <v>43983</v>
      </c>
      <c r="JNE361" s="628">
        <v>44013</v>
      </c>
      <c r="JNF361" s="628">
        <v>44044</v>
      </c>
      <c r="JNG361" s="628">
        <v>44075</v>
      </c>
      <c r="JNH361" s="628">
        <v>44105</v>
      </c>
      <c r="JNI361" s="628">
        <v>44136</v>
      </c>
      <c r="JNJ361" s="628">
        <v>44166</v>
      </c>
      <c r="JNK361" s="629">
        <v>2020</v>
      </c>
      <c r="JNL361" s="630" t="s">
        <v>1870</v>
      </c>
      <c r="JNM361" s="626"/>
      <c r="JNN361" s="627" t="s">
        <v>1669</v>
      </c>
      <c r="JNO361" s="628">
        <v>43831</v>
      </c>
      <c r="JNP361" s="628">
        <v>43862</v>
      </c>
      <c r="JNQ361" s="628">
        <v>43891</v>
      </c>
      <c r="JNR361" s="628">
        <v>43922</v>
      </c>
      <c r="JNS361" s="628">
        <v>43952</v>
      </c>
      <c r="JNT361" s="628">
        <v>43983</v>
      </c>
      <c r="JNU361" s="628">
        <v>44013</v>
      </c>
      <c r="JNV361" s="628">
        <v>44044</v>
      </c>
      <c r="JNW361" s="628">
        <v>44075</v>
      </c>
      <c r="JNX361" s="628">
        <v>44105</v>
      </c>
      <c r="JNY361" s="628">
        <v>44136</v>
      </c>
      <c r="JNZ361" s="628">
        <v>44166</v>
      </c>
      <c r="JOA361" s="629">
        <v>2020</v>
      </c>
      <c r="JOB361" s="630" t="s">
        <v>1870</v>
      </c>
      <c r="JOC361" s="626"/>
      <c r="JOD361" s="627" t="s">
        <v>1669</v>
      </c>
      <c r="JOE361" s="628">
        <v>43831</v>
      </c>
      <c r="JOF361" s="628">
        <v>43862</v>
      </c>
      <c r="JOG361" s="628">
        <v>43891</v>
      </c>
      <c r="JOH361" s="628">
        <v>43922</v>
      </c>
      <c r="JOI361" s="628">
        <v>43952</v>
      </c>
      <c r="JOJ361" s="628">
        <v>43983</v>
      </c>
      <c r="JOK361" s="628">
        <v>44013</v>
      </c>
      <c r="JOL361" s="628">
        <v>44044</v>
      </c>
      <c r="JOM361" s="628">
        <v>44075</v>
      </c>
      <c r="JON361" s="628">
        <v>44105</v>
      </c>
      <c r="JOO361" s="628">
        <v>44136</v>
      </c>
      <c r="JOP361" s="628">
        <v>44166</v>
      </c>
      <c r="JOQ361" s="629">
        <v>2020</v>
      </c>
      <c r="JOR361" s="630" t="s">
        <v>1870</v>
      </c>
      <c r="JOS361" s="626"/>
      <c r="JOT361" s="627" t="s">
        <v>1669</v>
      </c>
      <c r="JOU361" s="628">
        <v>43831</v>
      </c>
      <c r="JOV361" s="628">
        <v>43862</v>
      </c>
      <c r="JOW361" s="628">
        <v>43891</v>
      </c>
      <c r="JOX361" s="628">
        <v>43922</v>
      </c>
      <c r="JOY361" s="628">
        <v>43952</v>
      </c>
      <c r="JOZ361" s="628">
        <v>43983</v>
      </c>
      <c r="JPA361" s="628">
        <v>44013</v>
      </c>
      <c r="JPB361" s="628">
        <v>44044</v>
      </c>
      <c r="JPC361" s="628">
        <v>44075</v>
      </c>
      <c r="JPD361" s="628">
        <v>44105</v>
      </c>
      <c r="JPE361" s="628">
        <v>44136</v>
      </c>
      <c r="JPF361" s="628">
        <v>44166</v>
      </c>
      <c r="JPG361" s="629">
        <v>2020</v>
      </c>
      <c r="JPH361" s="630" t="s">
        <v>1870</v>
      </c>
      <c r="JPI361" s="626"/>
      <c r="JPJ361" s="627" t="s">
        <v>1669</v>
      </c>
      <c r="JPK361" s="628">
        <v>43831</v>
      </c>
      <c r="JPL361" s="628">
        <v>43862</v>
      </c>
      <c r="JPM361" s="628">
        <v>43891</v>
      </c>
      <c r="JPN361" s="628">
        <v>43922</v>
      </c>
      <c r="JPO361" s="628">
        <v>43952</v>
      </c>
      <c r="JPP361" s="628">
        <v>43983</v>
      </c>
      <c r="JPQ361" s="628">
        <v>44013</v>
      </c>
      <c r="JPR361" s="628">
        <v>44044</v>
      </c>
      <c r="JPS361" s="628">
        <v>44075</v>
      </c>
      <c r="JPT361" s="628">
        <v>44105</v>
      </c>
      <c r="JPU361" s="628">
        <v>44136</v>
      </c>
      <c r="JPV361" s="628">
        <v>44166</v>
      </c>
      <c r="JPW361" s="629">
        <v>2020</v>
      </c>
      <c r="JPX361" s="630" t="s">
        <v>1870</v>
      </c>
      <c r="JPY361" s="626"/>
      <c r="JPZ361" s="627" t="s">
        <v>1669</v>
      </c>
      <c r="JQA361" s="628">
        <v>43831</v>
      </c>
      <c r="JQB361" s="628">
        <v>43862</v>
      </c>
      <c r="JQC361" s="628">
        <v>43891</v>
      </c>
      <c r="JQD361" s="628">
        <v>43922</v>
      </c>
      <c r="JQE361" s="628">
        <v>43952</v>
      </c>
      <c r="JQF361" s="628">
        <v>43983</v>
      </c>
      <c r="JQG361" s="628">
        <v>44013</v>
      </c>
      <c r="JQH361" s="628">
        <v>44044</v>
      </c>
      <c r="JQI361" s="628">
        <v>44075</v>
      </c>
      <c r="JQJ361" s="628">
        <v>44105</v>
      </c>
      <c r="JQK361" s="628">
        <v>44136</v>
      </c>
      <c r="JQL361" s="628">
        <v>44166</v>
      </c>
      <c r="JQM361" s="629">
        <v>2020</v>
      </c>
      <c r="JQN361" s="630" t="s">
        <v>1870</v>
      </c>
      <c r="JQO361" s="626"/>
      <c r="JQP361" s="627" t="s">
        <v>1669</v>
      </c>
      <c r="JQQ361" s="628">
        <v>43831</v>
      </c>
      <c r="JQR361" s="628">
        <v>43862</v>
      </c>
      <c r="JQS361" s="628">
        <v>43891</v>
      </c>
      <c r="JQT361" s="628">
        <v>43922</v>
      </c>
      <c r="JQU361" s="628">
        <v>43952</v>
      </c>
      <c r="JQV361" s="628">
        <v>43983</v>
      </c>
      <c r="JQW361" s="628">
        <v>44013</v>
      </c>
      <c r="JQX361" s="628">
        <v>44044</v>
      </c>
      <c r="JQY361" s="628">
        <v>44075</v>
      </c>
      <c r="JQZ361" s="628">
        <v>44105</v>
      </c>
      <c r="JRA361" s="628">
        <v>44136</v>
      </c>
      <c r="JRB361" s="628">
        <v>44166</v>
      </c>
      <c r="JRC361" s="629">
        <v>2020</v>
      </c>
      <c r="JRD361" s="630" t="s">
        <v>1870</v>
      </c>
      <c r="JRE361" s="626"/>
      <c r="JRF361" s="627" t="s">
        <v>1669</v>
      </c>
      <c r="JRG361" s="628">
        <v>43831</v>
      </c>
      <c r="JRH361" s="628">
        <v>43862</v>
      </c>
      <c r="JRI361" s="628">
        <v>43891</v>
      </c>
      <c r="JRJ361" s="628">
        <v>43922</v>
      </c>
      <c r="JRK361" s="628">
        <v>43952</v>
      </c>
      <c r="JRL361" s="628">
        <v>43983</v>
      </c>
      <c r="JRM361" s="628">
        <v>44013</v>
      </c>
      <c r="JRN361" s="628">
        <v>44044</v>
      </c>
      <c r="JRO361" s="628">
        <v>44075</v>
      </c>
      <c r="JRP361" s="628">
        <v>44105</v>
      </c>
      <c r="JRQ361" s="628">
        <v>44136</v>
      </c>
      <c r="JRR361" s="628">
        <v>44166</v>
      </c>
      <c r="JRS361" s="629">
        <v>2020</v>
      </c>
      <c r="JRT361" s="630" t="s">
        <v>1870</v>
      </c>
      <c r="JRU361" s="626"/>
      <c r="JRV361" s="627" t="s">
        <v>1669</v>
      </c>
      <c r="JRW361" s="628">
        <v>43831</v>
      </c>
      <c r="JRX361" s="628">
        <v>43862</v>
      </c>
      <c r="JRY361" s="628">
        <v>43891</v>
      </c>
      <c r="JRZ361" s="628">
        <v>43922</v>
      </c>
      <c r="JSA361" s="628">
        <v>43952</v>
      </c>
      <c r="JSB361" s="628">
        <v>43983</v>
      </c>
      <c r="JSC361" s="628">
        <v>44013</v>
      </c>
      <c r="JSD361" s="628">
        <v>44044</v>
      </c>
      <c r="JSE361" s="628">
        <v>44075</v>
      </c>
      <c r="JSF361" s="628">
        <v>44105</v>
      </c>
      <c r="JSG361" s="628">
        <v>44136</v>
      </c>
      <c r="JSH361" s="628">
        <v>44166</v>
      </c>
      <c r="JSI361" s="629">
        <v>2020</v>
      </c>
      <c r="JSJ361" s="630" t="s">
        <v>1870</v>
      </c>
      <c r="JSK361" s="626"/>
      <c r="JSL361" s="627" t="s">
        <v>1669</v>
      </c>
      <c r="JSM361" s="628">
        <v>43831</v>
      </c>
      <c r="JSN361" s="628">
        <v>43862</v>
      </c>
      <c r="JSO361" s="628">
        <v>43891</v>
      </c>
      <c r="JSP361" s="628">
        <v>43922</v>
      </c>
      <c r="JSQ361" s="628">
        <v>43952</v>
      </c>
      <c r="JSR361" s="628">
        <v>43983</v>
      </c>
      <c r="JSS361" s="628">
        <v>44013</v>
      </c>
      <c r="JST361" s="628">
        <v>44044</v>
      </c>
      <c r="JSU361" s="628">
        <v>44075</v>
      </c>
      <c r="JSV361" s="628">
        <v>44105</v>
      </c>
      <c r="JSW361" s="628">
        <v>44136</v>
      </c>
      <c r="JSX361" s="628">
        <v>44166</v>
      </c>
      <c r="JSY361" s="629">
        <v>2020</v>
      </c>
      <c r="JSZ361" s="630" t="s">
        <v>1870</v>
      </c>
      <c r="JTA361" s="626"/>
      <c r="JTB361" s="627" t="s">
        <v>1669</v>
      </c>
      <c r="JTC361" s="628">
        <v>43831</v>
      </c>
      <c r="JTD361" s="628">
        <v>43862</v>
      </c>
      <c r="JTE361" s="628">
        <v>43891</v>
      </c>
      <c r="JTF361" s="628">
        <v>43922</v>
      </c>
      <c r="JTG361" s="628">
        <v>43952</v>
      </c>
      <c r="JTH361" s="628">
        <v>43983</v>
      </c>
      <c r="JTI361" s="628">
        <v>44013</v>
      </c>
      <c r="JTJ361" s="628">
        <v>44044</v>
      </c>
      <c r="JTK361" s="628">
        <v>44075</v>
      </c>
      <c r="JTL361" s="628">
        <v>44105</v>
      </c>
      <c r="JTM361" s="628">
        <v>44136</v>
      </c>
      <c r="JTN361" s="628">
        <v>44166</v>
      </c>
      <c r="JTO361" s="629">
        <v>2020</v>
      </c>
      <c r="JTP361" s="630" t="s">
        <v>1870</v>
      </c>
      <c r="JTQ361" s="626"/>
      <c r="JTR361" s="627" t="s">
        <v>1669</v>
      </c>
      <c r="JTS361" s="628">
        <v>43831</v>
      </c>
      <c r="JTT361" s="628">
        <v>43862</v>
      </c>
      <c r="JTU361" s="628">
        <v>43891</v>
      </c>
      <c r="JTV361" s="628">
        <v>43922</v>
      </c>
      <c r="JTW361" s="628">
        <v>43952</v>
      </c>
      <c r="JTX361" s="628">
        <v>43983</v>
      </c>
      <c r="JTY361" s="628">
        <v>44013</v>
      </c>
      <c r="JTZ361" s="628">
        <v>44044</v>
      </c>
      <c r="JUA361" s="628">
        <v>44075</v>
      </c>
      <c r="JUB361" s="628">
        <v>44105</v>
      </c>
      <c r="JUC361" s="628">
        <v>44136</v>
      </c>
      <c r="JUD361" s="628">
        <v>44166</v>
      </c>
      <c r="JUE361" s="629">
        <v>2020</v>
      </c>
      <c r="JUF361" s="630" t="s">
        <v>1870</v>
      </c>
      <c r="JUG361" s="626"/>
      <c r="JUH361" s="627" t="s">
        <v>1669</v>
      </c>
      <c r="JUI361" s="628">
        <v>43831</v>
      </c>
      <c r="JUJ361" s="628">
        <v>43862</v>
      </c>
      <c r="JUK361" s="628">
        <v>43891</v>
      </c>
      <c r="JUL361" s="628">
        <v>43922</v>
      </c>
      <c r="JUM361" s="628">
        <v>43952</v>
      </c>
      <c r="JUN361" s="628">
        <v>43983</v>
      </c>
      <c r="JUO361" s="628">
        <v>44013</v>
      </c>
      <c r="JUP361" s="628">
        <v>44044</v>
      </c>
      <c r="JUQ361" s="628">
        <v>44075</v>
      </c>
      <c r="JUR361" s="628">
        <v>44105</v>
      </c>
      <c r="JUS361" s="628">
        <v>44136</v>
      </c>
      <c r="JUT361" s="628">
        <v>44166</v>
      </c>
      <c r="JUU361" s="629">
        <v>2020</v>
      </c>
      <c r="JUV361" s="630" t="s">
        <v>1870</v>
      </c>
      <c r="JUW361" s="626"/>
      <c r="JUX361" s="627" t="s">
        <v>1669</v>
      </c>
      <c r="JUY361" s="628">
        <v>43831</v>
      </c>
      <c r="JUZ361" s="628">
        <v>43862</v>
      </c>
      <c r="JVA361" s="628">
        <v>43891</v>
      </c>
      <c r="JVB361" s="628">
        <v>43922</v>
      </c>
      <c r="JVC361" s="628">
        <v>43952</v>
      </c>
      <c r="JVD361" s="628">
        <v>43983</v>
      </c>
      <c r="JVE361" s="628">
        <v>44013</v>
      </c>
      <c r="JVF361" s="628">
        <v>44044</v>
      </c>
      <c r="JVG361" s="628">
        <v>44075</v>
      </c>
      <c r="JVH361" s="628">
        <v>44105</v>
      </c>
      <c r="JVI361" s="628">
        <v>44136</v>
      </c>
      <c r="JVJ361" s="628">
        <v>44166</v>
      </c>
      <c r="JVK361" s="629">
        <v>2020</v>
      </c>
      <c r="JVL361" s="630" t="s">
        <v>1870</v>
      </c>
      <c r="JVM361" s="626"/>
      <c r="JVN361" s="627" t="s">
        <v>1669</v>
      </c>
      <c r="JVO361" s="628">
        <v>43831</v>
      </c>
      <c r="JVP361" s="628">
        <v>43862</v>
      </c>
      <c r="JVQ361" s="628">
        <v>43891</v>
      </c>
      <c r="JVR361" s="628">
        <v>43922</v>
      </c>
      <c r="JVS361" s="628">
        <v>43952</v>
      </c>
      <c r="JVT361" s="628">
        <v>43983</v>
      </c>
      <c r="JVU361" s="628">
        <v>44013</v>
      </c>
      <c r="JVV361" s="628">
        <v>44044</v>
      </c>
      <c r="JVW361" s="628">
        <v>44075</v>
      </c>
      <c r="JVX361" s="628">
        <v>44105</v>
      </c>
      <c r="JVY361" s="628">
        <v>44136</v>
      </c>
      <c r="JVZ361" s="628">
        <v>44166</v>
      </c>
      <c r="JWA361" s="629">
        <v>2020</v>
      </c>
      <c r="JWB361" s="630" t="s">
        <v>1870</v>
      </c>
      <c r="JWC361" s="626"/>
      <c r="JWD361" s="627" t="s">
        <v>1669</v>
      </c>
      <c r="JWE361" s="628">
        <v>43831</v>
      </c>
      <c r="JWF361" s="628">
        <v>43862</v>
      </c>
      <c r="JWG361" s="628">
        <v>43891</v>
      </c>
      <c r="JWH361" s="628">
        <v>43922</v>
      </c>
      <c r="JWI361" s="628">
        <v>43952</v>
      </c>
      <c r="JWJ361" s="628">
        <v>43983</v>
      </c>
      <c r="JWK361" s="628">
        <v>44013</v>
      </c>
      <c r="JWL361" s="628">
        <v>44044</v>
      </c>
      <c r="JWM361" s="628">
        <v>44075</v>
      </c>
      <c r="JWN361" s="628">
        <v>44105</v>
      </c>
      <c r="JWO361" s="628">
        <v>44136</v>
      </c>
      <c r="JWP361" s="628">
        <v>44166</v>
      </c>
      <c r="JWQ361" s="629">
        <v>2020</v>
      </c>
      <c r="JWR361" s="630" t="s">
        <v>1870</v>
      </c>
      <c r="JWS361" s="626"/>
      <c r="JWT361" s="627" t="s">
        <v>1669</v>
      </c>
      <c r="JWU361" s="628">
        <v>43831</v>
      </c>
      <c r="JWV361" s="628">
        <v>43862</v>
      </c>
      <c r="JWW361" s="628">
        <v>43891</v>
      </c>
      <c r="JWX361" s="628">
        <v>43922</v>
      </c>
      <c r="JWY361" s="628">
        <v>43952</v>
      </c>
      <c r="JWZ361" s="628">
        <v>43983</v>
      </c>
      <c r="JXA361" s="628">
        <v>44013</v>
      </c>
      <c r="JXB361" s="628">
        <v>44044</v>
      </c>
      <c r="JXC361" s="628">
        <v>44075</v>
      </c>
      <c r="JXD361" s="628">
        <v>44105</v>
      </c>
      <c r="JXE361" s="628">
        <v>44136</v>
      </c>
      <c r="JXF361" s="628">
        <v>44166</v>
      </c>
      <c r="JXG361" s="629">
        <v>2020</v>
      </c>
      <c r="JXH361" s="630" t="s">
        <v>1870</v>
      </c>
      <c r="JXI361" s="626"/>
      <c r="JXJ361" s="627" t="s">
        <v>1669</v>
      </c>
      <c r="JXK361" s="628">
        <v>43831</v>
      </c>
      <c r="JXL361" s="628">
        <v>43862</v>
      </c>
      <c r="JXM361" s="628">
        <v>43891</v>
      </c>
      <c r="JXN361" s="628">
        <v>43922</v>
      </c>
      <c r="JXO361" s="628">
        <v>43952</v>
      </c>
      <c r="JXP361" s="628">
        <v>43983</v>
      </c>
      <c r="JXQ361" s="628">
        <v>44013</v>
      </c>
      <c r="JXR361" s="628">
        <v>44044</v>
      </c>
      <c r="JXS361" s="628">
        <v>44075</v>
      </c>
      <c r="JXT361" s="628">
        <v>44105</v>
      </c>
      <c r="JXU361" s="628">
        <v>44136</v>
      </c>
      <c r="JXV361" s="628">
        <v>44166</v>
      </c>
      <c r="JXW361" s="629">
        <v>2020</v>
      </c>
      <c r="JXX361" s="630" t="s">
        <v>1870</v>
      </c>
      <c r="JXY361" s="626"/>
      <c r="JXZ361" s="627" t="s">
        <v>1669</v>
      </c>
      <c r="JYA361" s="628">
        <v>43831</v>
      </c>
      <c r="JYB361" s="628">
        <v>43862</v>
      </c>
      <c r="JYC361" s="628">
        <v>43891</v>
      </c>
      <c r="JYD361" s="628">
        <v>43922</v>
      </c>
      <c r="JYE361" s="628">
        <v>43952</v>
      </c>
      <c r="JYF361" s="628">
        <v>43983</v>
      </c>
      <c r="JYG361" s="628">
        <v>44013</v>
      </c>
      <c r="JYH361" s="628">
        <v>44044</v>
      </c>
      <c r="JYI361" s="628">
        <v>44075</v>
      </c>
      <c r="JYJ361" s="628">
        <v>44105</v>
      </c>
      <c r="JYK361" s="628">
        <v>44136</v>
      </c>
      <c r="JYL361" s="628">
        <v>44166</v>
      </c>
      <c r="JYM361" s="629">
        <v>2020</v>
      </c>
      <c r="JYN361" s="630" t="s">
        <v>1870</v>
      </c>
      <c r="JYO361" s="626"/>
      <c r="JYP361" s="627" t="s">
        <v>1669</v>
      </c>
      <c r="JYQ361" s="628">
        <v>43831</v>
      </c>
      <c r="JYR361" s="628">
        <v>43862</v>
      </c>
      <c r="JYS361" s="628">
        <v>43891</v>
      </c>
      <c r="JYT361" s="628">
        <v>43922</v>
      </c>
      <c r="JYU361" s="628">
        <v>43952</v>
      </c>
      <c r="JYV361" s="628">
        <v>43983</v>
      </c>
      <c r="JYW361" s="628">
        <v>44013</v>
      </c>
      <c r="JYX361" s="628">
        <v>44044</v>
      </c>
      <c r="JYY361" s="628">
        <v>44075</v>
      </c>
      <c r="JYZ361" s="628">
        <v>44105</v>
      </c>
      <c r="JZA361" s="628">
        <v>44136</v>
      </c>
      <c r="JZB361" s="628">
        <v>44166</v>
      </c>
      <c r="JZC361" s="629">
        <v>2020</v>
      </c>
      <c r="JZD361" s="630" t="s">
        <v>1870</v>
      </c>
      <c r="JZE361" s="626"/>
      <c r="JZF361" s="627" t="s">
        <v>1669</v>
      </c>
      <c r="JZG361" s="628">
        <v>43831</v>
      </c>
      <c r="JZH361" s="628">
        <v>43862</v>
      </c>
      <c r="JZI361" s="628">
        <v>43891</v>
      </c>
      <c r="JZJ361" s="628">
        <v>43922</v>
      </c>
      <c r="JZK361" s="628">
        <v>43952</v>
      </c>
      <c r="JZL361" s="628">
        <v>43983</v>
      </c>
      <c r="JZM361" s="628">
        <v>44013</v>
      </c>
      <c r="JZN361" s="628">
        <v>44044</v>
      </c>
      <c r="JZO361" s="628">
        <v>44075</v>
      </c>
      <c r="JZP361" s="628">
        <v>44105</v>
      </c>
      <c r="JZQ361" s="628">
        <v>44136</v>
      </c>
      <c r="JZR361" s="628">
        <v>44166</v>
      </c>
      <c r="JZS361" s="629">
        <v>2020</v>
      </c>
      <c r="JZT361" s="630" t="s">
        <v>1870</v>
      </c>
      <c r="JZU361" s="626"/>
      <c r="JZV361" s="627" t="s">
        <v>1669</v>
      </c>
      <c r="JZW361" s="628">
        <v>43831</v>
      </c>
      <c r="JZX361" s="628">
        <v>43862</v>
      </c>
      <c r="JZY361" s="628">
        <v>43891</v>
      </c>
      <c r="JZZ361" s="628">
        <v>43922</v>
      </c>
      <c r="KAA361" s="628">
        <v>43952</v>
      </c>
      <c r="KAB361" s="628">
        <v>43983</v>
      </c>
      <c r="KAC361" s="628">
        <v>44013</v>
      </c>
      <c r="KAD361" s="628">
        <v>44044</v>
      </c>
      <c r="KAE361" s="628">
        <v>44075</v>
      </c>
      <c r="KAF361" s="628">
        <v>44105</v>
      </c>
      <c r="KAG361" s="628">
        <v>44136</v>
      </c>
      <c r="KAH361" s="628">
        <v>44166</v>
      </c>
      <c r="KAI361" s="629">
        <v>2020</v>
      </c>
      <c r="KAJ361" s="630" t="s">
        <v>1870</v>
      </c>
      <c r="KAK361" s="626"/>
      <c r="KAL361" s="627" t="s">
        <v>1669</v>
      </c>
      <c r="KAM361" s="628">
        <v>43831</v>
      </c>
      <c r="KAN361" s="628">
        <v>43862</v>
      </c>
      <c r="KAO361" s="628">
        <v>43891</v>
      </c>
      <c r="KAP361" s="628">
        <v>43922</v>
      </c>
      <c r="KAQ361" s="628">
        <v>43952</v>
      </c>
      <c r="KAR361" s="628">
        <v>43983</v>
      </c>
      <c r="KAS361" s="628">
        <v>44013</v>
      </c>
      <c r="KAT361" s="628">
        <v>44044</v>
      </c>
      <c r="KAU361" s="628">
        <v>44075</v>
      </c>
      <c r="KAV361" s="628">
        <v>44105</v>
      </c>
      <c r="KAW361" s="628">
        <v>44136</v>
      </c>
      <c r="KAX361" s="628">
        <v>44166</v>
      </c>
      <c r="KAY361" s="629">
        <v>2020</v>
      </c>
      <c r="KAZ361" s="630" t="s">
        <v>1870</v>
      </c>
      <c r="KBA361" s="626"/>
      <c r="KBB361" s="627" t="s">
        <v>1669</v>
      </c>
      <c r="KBC361" s="628">
        <v>43831</v>
      </c>
      <c r="KBD361" s="628">
        <v>43862</v>
      </c>
      <c r="KBE361" s="628">
        <v>43891</v>
      </c>
      <c r="KBF361" s="628">
        <v>43922</v>
      </c>
      <c r="KBG361" s="628">
        <v>43952</v>
      </c>
      <c r="KBH361" s="628">
        <v>43983</v>
      </c>
      <c r="KBI361" s="628">
        <v>44013</v>
      </c>
      <c r="KBJ361" s="628">
        <v>44044</v>
      </c>
      <c r="KBK361" s="628">
        <v>44075</v>
      </c>
      <c r="KBL361" s="628">
        <v>44105</v>
      </c>
      <c r="KBM361" s="628">
        <v>44136</v>
      </c>
      <c r="KBN361" s="628">
        <v>44166</v>
      </c>
      <c r="KBO361" s="629">
        <v>2020</v>
      </c>
      <c r="KBP361" s="630" t="s">
        <v>1870</v>
      </c>
      <c r="KBQ361" s="626"/>
      <c r="KBR361" s="627" t="s">
        <v>1669</v>
      </c>
      <c r="KBS361" s="628">
        <v>43831</v>
      </c>
      <c r="KBT361" s="628">
        <v>43862</v>
      </c>
      <c r="KBU361" s="628">
        <v>43891</v>
      </c>
      <c r="KBV361" s="628">
        <v>43922</v>
      </c>
      <c r="KBW361" s="628">
        <v>43952</v>
      </c>
      <c r="KBX361" s="628">
        <v>43983</v>
      </c>
      <c r="KBY361" s="628">
        <v>44013</v>
      </c>
      <c r="KBZ361" s="628">
        <v>44044</v>
      </c>
      <c r="KCA361" s="628">
        <v>44075</v>
      </c>
      <c r="KCB361" s="628">
        <v>44105</v>
      </c>
      <c r="KCC361" s="628">
        <v>44136</v>
      </c>
      <c r="KCD361" s="628">
        <v>44166</v>
      </c>
      <c r="KCE361" s="629">
        <v>2020</v>
      </c>
      <c r="KCF361" s="630" t="s">
        <v>1870</v>
      </c>
      <c r="KCG361" s="626"/>
      <c r="KCH361" s="627" t="s">
        <v>1669</v>
      </c>
      <c r="KCI361" s="628">
        <v>43831</v>
      </c>
      <c r="KCJ361" s="628">
        <v>43862</v>
      </c>
      <c r="KCK361" s="628">
        <v>43891</v>
      </c>
      <c r="KCL361" s="628">
        <v>43922</v>
      </c>
      <c r="KCM361" s="628">
        <v>43952</v>
      </c>
      <c r="KCN361" s="628">
        <v>43983</v>
      </c>
      <c r="KCO361" s="628">
        <v>44013</v>
      </c>
      <c r="KCP361" s="628">
        <v>44044</v>
      </c>
      <c r="KCQ361" s="628">
        <v>44075</v>
      </c>
      <c r="KCR361" s="628">
        <v>44105</v>
      </c>
      <c r="KCS361" s="628">
        <v>44136</v>
      </c>
      <c r="KCT361" s="628">
        <v>44166</v>
      </c>
      <c r="KCU361" s="629">
        <v>2020</v>
      </c>
      <c r="KCV361" s="630" t="s">
        <v>1870</v>
      </c>
      <c r="KCW361" s="626"/>
      <c r="KCX361" s="627" t="s">
        <v>1669</v>
      </c>
      <c r="KCY361" s="628">
        <v>43831</v>
      </c>
      <c r="KCZ361" s="628">
        <v>43862</v>
      </c>
      <c r="KDA361" s="628">
        <v>43891</v>
      </c>
      <c r="KDB361" s="628">
        <v>43922</v>
      </c>
      <c r="KDC361" s="628">
        <v>43952</v>
      </c>
      <c r="KDD361" s="628">
        <v>43983</v>
      </c>
      <c r="KDE361" s="628">
        <v>44013</v>
      </c>
      <c r="KDF361" s="628">
        <v>44044</v>
      </c>
      <c r="KDG361" s="628">
        <v>44075</v>
      </c>
      <c r="KDH361" s="628">
        <v>44105</v>
      </c>
      <c r="KDI361" s="628">
        <v>44136</v>
      </c>
      <c r="KDJ361" s="628">
        <v>44166</v>
      </c>
      <c r="KDK361" s="629">
        <v>2020</v>
      </c>
      <c r="KDL361" s="630" t="s">
        <v>1870</v>
      </c>
      <c r="KDM361" s="626"/>
      <c r="KDN361" s="627" t="s">
        <v>1669</v>
      </c>
      <c r="KDO361" s="628">
        <v>43831</v>
      </c>
      <c r="KDP361" s="628">
        <v>43862</v>
      </c>
      <c r="KDQ361" s="628">
        <v>43891</v>
      </c>
      <c r="KDR361" s="628">
        <v>43922</v>
      </c>
      <c r="KDS361" s="628">
        <v>43952</v>
      </c>
      <c r="KDT361" s="628">
        <v>43983</v>
      </c>
      <c r="KDU361" s="628">
        <v>44013</v>
      </c>
      <c r="KDV361" s="628">
        <v>44044</v>
      </c>
      <c r="KDW361" s="628">
        <v>44075</v>
      </c>
      <c r="KDX361" s="628">
        <v>44105</v>
      </c>
      <c r="KDY361" s="628">
        <v>44136</v>
      </c>
      <c r="KDZ361" s="628">
        <v>44166</v>
      </c>
      <c r="KEA361" s="629">
        <v>2020</v>
      </c>
      <c r="KEB361" s="630" t="s">
        <v>1870</v>
      </c>
      <c r="KEC361" s="626"/>
      <c r="KED361" s="627" t="s">
        <v>1669</v>
      </c>
      <c r="KEE361" s="628">
        <v>43831</v>
      </c>
      <c r="KEF361" s="628">
        <v>43862</v>
      </c>
      <c r="KEG361" s="628">
        <v>43891</v>
      </c>
      <c r="KEH361" s="628">
        <v>43922</v>
      </c>
      <c r="KEI361" s="628">
        <v>43952</v>
      </c>
      <c r="KEJ361" s="628">
        <v>43983</v>
      </c>
      <c r="KEK361" s="628">
        <v>44013</v>
      </c>
      <c r="KEL361" s="628">
        <v>44044</v>
      </c>
      <c r="KEM361" s="628">
        <v>44075</v>
      </c>
      <c r="KEN361" s="628">
        <v>44105</v>
      </c>
      <c r="KEO361" s="628">
        <v>44136</v>
      </c>
      <c r="KEP361" s="628">
        <v>44166</v>
      </c>
      <c r="KEQ361" s="629">
        <v>2020</v>
      </c>
      <c r="KER361" s="630" t="s">
        <v>1870</v>
      </c>
      <c r="KES361" s="626"/>
      <c r="KET361" s="627" t="s">
        <v>1669</v>
      </c>
      <c r="KEU361" s="628">
        <v>43831</v>
      </c>
      <c r="KEV361" s="628">
        <v>43862</v>
      </c>
      <c r="KEW361" s="628">
        <v>43891</v>
      </c>
      <c r="KEX361" s="628">
        <v>43922</v>
      </c>
      <c r="KEY361" s="628">
        <v>43952</v>
      </c>
      <c r="KEZ361" s="628">
        <v>43983</v>
      </c>
      <c r="KFA361" s="628">
        <v>44013</v>
      </c>
      <c r="KFB361" s="628">
        <v>44044</v>
      </c>
      <c r="KFC361" s="628">
        <v>44075</v>
      </c>
      <c r="KFD361" s="628">
        <v>44105</v>
      </c>
      <c r="KFE361" s="628">
        <v>44136</v>
      </c>
      <c r="KFF361" s="628">
        <v>44166</v>
      </c>
      <c r="KFG361" s="629">
        <v>2020</v>
      </c>
      <c r="KFH361" s="630" t="s">
        <v>1870</v>
      </c>
      <c r="KFI361" s="626"/>
      <c r="KFJ361" s="627" t="s">
        <v>1669</v>
      </c>
      <c r="KFK361" s="628">
        <v>43831</v>
      </c>
      <c r="KFL361" s="628">
        <v>43862</v>
      </c>
      <c r="KFM361" s="628">
        <v>43891</v>
      </c>
      <c r="KFN361" s="628">
        <v>43922</v>
      </c>
      <c r="KFO361" s="628">
        <v>43952</v>
      </c>
      <c r="KFP361" s="628">
        <v>43983</v>
      </c>
      <c r="KFQ361" s="628">
        <v>44013</v>
      </c>
      <c r="KFR361" s="628">
        <v>44044</v>
      </c>
      <c r="KFS361" s="628">
        <v>44075</v>
      </c>
      <c r="KFT361" s="628">
        <v>44105</v>
      </c>
      <c r="KFU361" s="628">
        <v>44136</v>
      </c>
      <c r="KFV361" s="628">
        <v>44166</v>
      </c>
      <c r="KFW361" s="629">
        <v>2020</v>
      </c>
      <c r="KFX361" s="630" t="s">
        <v>1870</v>
      </c>
      <c r="KFY361" s="626"/>
      <c r="KFZ361" s="627" t="s">
        <v>1669</v>
      </c>
      <c r="KGA361" s="628">
        <v>43831</v>
      </c>
      <c r="KGB361" s="628">
        <v>43862</v>
      </c>
      <c r="KGC361" s="628">
        <v>43891</v>
      </c>
      <c r="KGD361" s="628">
        <v>43922</v>
      </c>
      <c r="KGE361" s="628">
        <v>43952</v>
      </c>
      <c r="KGF361" s="628">
        <v>43983</v>
      </c>
      <c r="KGG361" s="628">
        <v>44013</v>
      </c>
      <c r="KGH361" s="628">
        <v>44044</v>
      </c>
      <c r="KGI361" s="628">
        <v>44075</v>
      </c>
      <c r="KGJ361" s="628">
        <v>44105</v>
      </c>
      <c r="KGK361" s="628">
        <v>44136</v>
      </c>
      <c r="KGL361" s="628">
        <v>44166</v>
      </c>
      <c r="KGM361" s="629">
        <v>2020</v>
      </c>
      <c r="KGN361" s="630" t="s">
        <v>1870</v>
      </c>
      <c r="KGO361" s="626"/>
      <c r="KGP361" s="627" t="s">
        <v>1669</v>
      </c>
      <c r="KGQ361" s="628">
        <v>43831</v>
      </c>
      <c r="KGR361" s="628">
        <v>43862</v>
      </c>
      <c r="KGS361" s="628">
        <v>43891</v>
      </c>
      <c r="KGT361" s="628">
        <v>43922</v>
      </c>
      <c r="KGU361" s="628">
        <v>43952</v>
      </c>
      <c r="KGV361" s="628">
        <v>43983</v>
      </c>
      <c r="KGW361" s="628">
        <v>44013</v>
      </c>
      <c r="KGX361" s="628">
        <v>44044</v>
      </c>
      <c r="KGY361" s="628">
        <v>44075</v>
      </c>
      <c r="KGZ361" s="628">
        <v>44105</v>
      </c>
      <c r="KHA361" s="628">
        <v>44136</v>
      </c>
      <c r="KHB361" s="628">
        <v>44166</v>
      </c>
      <c r="KHC361" s="629">
        <v>2020</v>
      </c>
      <c r="KHD361" s="630" t="s">
        <v>1870</v>
      </c>
      <c r="KHE361" s="626"/>
      <c r="KHF361" s="627" t="s">
        <v>1669</v>
      </c>
      <c r="KHG361" s="628">
        <v>43831</v>
      </c>
      <c r="KHH361" s="628">
        <v>43862</v>
      </c>
      <c r="KHI361" s="628">
        <v>43891</v>
      </c>
      <c r="KHJ361" s="628">
        <v>43922</v>
      </c>
      <c r="KHK361" s="628">
        <v>43952</v>
      </c>
      <c r="KHL361" s="628">
        <v>43983</v>
      </c>
      <c r="KHM361" s="628">
        <v>44013</v>
      </c>
      <c r="KHN361" s="628">
        <v>44044</v>
      </c>
      <c r="KHO361" s="628">
        <v>44075</v>
      </c>
      <c r="KHP361" s="628">
        <v>44105</v>
      </c>
      <c r="KHQ361" s="628">
        <v>44136</v>
      </c>
      <c r="KHR361" s="628">
        <v>44166</v>
      </c>
      <c r="KHS361" s="629">
        <v>2020</v>
      </c>
      <c r="KHT361" s="630" t="s">
        <v>1870</v>
      </c>
      <c r="KHU361" s="626"/>
      <c r="KHV361" s="627" t="s">
        <v>1669</v>
      </c>
      <c r="KHW361" s="628">
        <v>43831</v>
      </c>
      <c r="KHX361" s="628">
        <v>43862</v>
      </c>
      <c r="KHY361" s="628">
        <v>43891</v>
      </c>
      <c r="KHZ361" s="628">
        <v>43922</v>
      </c>
      <c r="KIA361" s="628">
        <v>43952</v>
      </c>
      <c r="KIB361" s="628">
        <v>43983</v>
      </c>
      <c r="KIC361" s="628">
        <v>44013</v>
      </c>
      <c r="KID361" s="628">
        <v>44044</v>
      </c>
      <c r="KIE361" s="628">
        <v>44075</v>
      </c>
      <c r="KIF361" s="628">
        <v>44105</v>
      </c>
      <c r="KIG361" s="628">
        <v>44136</v>
      </c>
      <c r="KIH361" s="628">
        <v>44166</v>
      </c>
      <c r="KII361" s="629">
        <v>2020</v>
      </c>
      <c r="KIJ361" s="630" t="s">
        <v>1870</v>
      </c>
      <c r="KIK361" s="626"/>
      <c r="KIL361" s="627" t="s">
        <v>1669</v>
      </c>
      <c r="KIM361" s="628">
        <v>43831</v>
      </c>
      <c r="KIN361" s="628">
        <v>43862</v>
      </c>
      <c r="KIO361" s="628">
        <v>43891</v>
      </c>
      <c r="KIP361" s="628">
        <v>43922</v>
      </c>
      <c r="KIQ361" s="628">
        <v>43952</v>
      </c>
      <c r="KIR361" s="628">
        <v>43983</v>
      </c>
      <c r="KIS361" s="628">
        <v>44013</v>
      </c>
      <c r="KIT361" s="628">
        <v>44044</v>
      </c>
      <c r="KIU361" s="628">
        <v>44075</v>
      </c>
      <c r="KIV361" s="628">
        <v>44105</v>
      </c>
      <c r="KIW361" s="628">
        <v>44136</v>
      </c>
      <c r="KIX361" s="628">
        <v>44166</v>
      </c>
      <c r="KIY361" s="629">
        <v>2020</v>
      </c>
      <c r="KIZ361" s="630" t="s">
        <v>1870</v>
      </c>
      <c r="KJA361" s="626"/>
      <c r="KJB361" s="627" t="s">
        <v>1669</v>
      </c>
      <c r="KJC361" s="628">
        <v>43831</v>
      </c>
      <c r="KJD361" s="628">
        <v>43862</v>
      </c>
      <c r="KJE361" s="628">
        <v>43891</v>
      </c>
      <c r="KJF361" s="628">
        <v>43922</v>
      </c>
      <c r="KJG361" s="628">
        <v>43952</v>
      </c>
      <c r="KJH361" s="628">
        <v>43983</v>
      </c>
      <c r="KJI361" s="628">
        <v>44013</v>
      </c>
      <c r="KJJ361" s="628">
        <v>44044</v>
      </c>
      <c r="KJK361" s="628">
        <v>44075</v>
      </c>
      <c r="KJL361" s="628">
        <v>44105</v>
      </c>
      <c r="KJM361" s="628">
        <v>44136</v>
      </c>
      <c r="KJN361" s="628">
        <v>44166</v>
      </c>
      <c r="KJO361" s="629">
        <v>2020</v>
      </c>
      <c r="KJP361" s="630" t="s">
        <v>1870</v>
      </c>
      <c r="KJQ361" s="626"/>
      <c r="KJR361" s="627" t="s">
        <v>1669</v>
      </c>
      <c r="KJS361" s="628">
        <v>43831</v>
      </c>
      <c r="KJT361" s="628">
        <v>43862</v>
      </c>
      <c r="KJU361" s="628">
        <v>43891</v>
      </c>
      <c r="KJV361" s="628">
        <v>43922</v>
      </c>
      <c r="KJW361" s="628">
        <v>43952</v>
      </c>
      <c r="KJX361" s="628">
        <v>43983</v>
      </c>
      <c r="KJY361" s="628">
        <v>44013</v>
      </c>
      <c r="KJZ361" s="628">
        <v>44044</v>
      </c>
      <c r="KKA361" s="628">
        <v>44075</v>
      </c>
      <c r="KKB361" s="628">
        <v>44105</v>
      </c>
      <c r="KKC361" s="628">
        <v>44136</v>
      </c>
      <c r="KKD361" s="628">
        <v>44166</v>
      </c>
      <c r="KKE361" s="629">
        <v>2020</v>
      </c>
      <c r="KKF361" s="630" t="s">
        <v>1870</v>
      </c>
      <c r="KKG361" s="626"/>
      <c r="KKH361" s="627" t="s">
        <v>1669</v>
      </c>
      <c r="KKI361" s="628">
        <v>43831</v>
      </c>
      <c r="KKJ361" s="628">
        <v>43862</v>
      </c>
      <c r="KKK361" s="628">
        <v>43891</v>
      </c>
      <c r="KKL361" s="628">
        <v>43922</v>
      </c>
      <c r="KKM361" s="628">
        <v>43952</v>
      </c>
      <c r="KKN361" s="628">
        <v>43983</v>
      </c>
      <c r="KKO361" s="628">
        <v>44013</v>
      </c>
      <c r="KKP361" s="628">
        <v>44044</v>
      </c>
      <c r="KKQ361" s="628">
        <v>44075</v>
      </c>
      <c r="KKR361" s="628">
        <v>44105</v>
      </c>
      <c r="KKS361" s="628">
        <v>44136</v>
      </c>
      <c r="KKT361" s="628">
        <v>44166</v>
      </c>
      <c r="KKU361" s="629">
        <v>2020</v>
      </c>
      <c r="KKV361" s="630" t="s">
        <v>1870</v>
      </c>
      <c r="KKW361" s="626"/>
      <c r="KKX361" s="627" t="s">
        <v>1669</v>
      </c>
      <c r="KKY361" s="628">
        <v>43831</v>
      </c>
      <c r="KKZ361" s="628">
        <v>43862</v>
      </c>
      <c r="KLA361" s="628">
        <v>43891</v>
      </c>
      <c r="KLB361" s="628">
        <v>43922</v>
      </c>
      <c r="KLC361" s="628">
        <v>43952</v>
      </c>
      <c r="KLD361" s="628">
        <v>43983</v>
      </c>
      <c r="KLE361" s="628">
        <v>44013</v>
      </c>
      <c r="KLF361" s="628">
        <v>44044</v>
      </c>
      <c r="KLG361" s="628">
        <v>44075</v>
      </c>
      <c r="KLH361" s="628">
        <v>44105</v>
      </c>
      <c r="KLI361" s="628">
        <v>44136</v>
      </c>
      <c r="KLJ361" s="628">
        <v>44166</v>
      </c>
      <c r="KLK361" s="629">
        <v>2020</v>
      </c>
      <c r="KLL361" s="630" t="s">
        <v>1870</v>
      </c>
      <c r="KLM361" s="626"/>
      <c r="KLN361" s="627" t="s">
        <v>1669</v>
      </c>
      <c r="KLO361" s="628">
        <v>43831</v>
      </c>
      <c r="KLP361" s="628">
        <v>43862</v>
      </c>
      <c r="KLQ361" s="628">
        <v>43891</v>
      </c>
      <c r="KLR361" s="628">
        <v>43922</v>
      </c>
      <c r="KLS361" s="628">
        <v>43952</v>
      </c>
      <c r="KLT361" s="628">
        <v>43983</v>
      </c>
      <c r="KLU361" s="628">
        <v>44013</v>
      </c>
      <c r="KLV361" s="628">
        <v>44044</v>
      </c>
      <c r="KLW361" s="628">
        <v>44075</v>
      </c>
      <c r="KLX361" s="628">
        <v>44105</v>
      </c>
      <c r="KLY361" s="628">
        <v>44136</v>
      </c>
      <c r="KLZ361" s="628">
        <v>44166</v>
      </c>
      <c r="KMA361" s="629">
        <v>2020</v>
      </c>
      <c r="KMB361" s="630" t="s">
        <v>1870</v>
      </c>
      <c r="KMC361" s="626"/>
      <c r="KMD361" s="627" t="s">
        <v>1669</v>
      </c>
      <c r="KME361" s="628">
        <v>43831</v>
      </c>
      <c r="KMF361" s="628">
        <v>43862</v>
      </c>
      <c r="KMG361" s="628">
        <v>43891</v>
      </c>
      <c r="KMH361" s="628">
        <v>43922</v>
      </c>
      <c r="KMI361" s="628">
        <v>43952</v>
      </c>
      <c r="KMJ361" s="628">
        <v>43983</v>
      </c>
      <c r="KMK361" s="628">
        <v>44013</v>
      </c>
      <c r="KML361" s="628">
        <v>44044</v>
      </c>
      <c r="KMM361" s="628">
        <v>44075</v>
      </c>
      <c r="KMN361" s="628">
        <v>44105</v>
      </c>
      <c r="KMO361" s="628">
        <v>44136</v>
      </c>
      <c r="KMP361" s="628">
        <v>44166</v>
      </c>
      <c r="KMQ361" s="629">
        <v>2020</v>
      </c>
      <c r="KMR361" s="630" t="s">
        <v>1870</v>
      </c>
      <c r="KMS361" s="626"/>
      <c r="KMT361" s="627" t="s">
        <v>1669</v>
      </c>
      <c r="KMU361" s="628">
        <v>43831</v>
      </c>
      <c r="KMV361" s="628">
        <v>43862</v>
      </c>
      <c r="KMW361" s="628">
        <v>43891</v>
      </c>
      <c r="KMX361" s="628">
        <v>43922</v>
      </c>
      <c r="KMY361" s="628">
        <v>43952</v>
      </c>
      <c r="KMZ361" s="628">
        <v>43983</v>
      </c>
      <c r="KNA361" s="628">
        <v>44013</v>
      </c>
      <c r="KNB361" s="628">
        <v>44044</v>
      </c>
      <c r="KNC361" s="628">
        <v>44075</v>
      </c>
      <c r="KND361" s="628">
        <v>44105</v>
      </c>
      <c r="KNE361" s="628">
        <v>44136</v>
      </c>
      <c r="KNF361" s="628">
        <v>44166</v>
      </c>
      <c r="KNG361" s="629">
        <v>2020</v>
      </c>
      <c r="KNH361" s="630" t="s">
        <v>1870</v>
      </c>
      <c r="KNI361" s="626"/>
      <c r="KNJ361" s="627" t="s">
        <v>1669</v>
      </c>
      <c r="KNK361" s="628">
        <v>43831</v>
      </c>
      <c r="KNL361" s="628">
        <v>43862</v>
      </c>
      <c r="KNM361" s="628">
        <v>43891</v>
      </c>
      <c r="KNN361" s="628">
        <v>43922</v>
      </c>
      <c r="KNO361" s="628">
        <v>43952</v>
      </c>
      <c r="KNP361" s="628">
        <v>43983</v>
      </c>
      <c r="KNQ361" s="628">
        <v>44013</v>
      </c>
      <c r="KNR361" s="628">
        <v>44044</v>
      </c>
      <c r="KNS361" s="628">
        <v>44075</v>
      </c>
      <c r="KNT361" s="628">
        <v>44105</v>
      </c>
      <c r="KNU361" s="628">
        <v>44136</v>
      </c>
      <c r="KNV361" s="628">
        <v>44166</v>
      </c>
      <c r="KNW361" s="629">
        <v>2020</v>
      </c>
      <c r="KNX361" s="630" t="s">
        <v>1870</v>
      </c>
      <c r="KNY361" s="626"/>
      <c r="KNZ361" s="627" t="s">
        <v>1669</v>
      </c>
      <c r="KOA361" s="628">
        <v>43831</v>
      </c>
      <c r="KOB361" s="628">
        <v>43862</v>
      </c>
      <c r="KOC361" s="628">
        <v>43891</v>
      </c>
      <c r="KOD361" s="628">
        <v>43922</v>
      </c>
      <c r="KOE361" s="628">
        <v>43952</v>
      </c>
      <c r="KOF361" s="628">
        <v>43983</v>
      </c>
      <c r="KOG361" s="628">
        <v>44013</v>
      </c>
      <c r="KOH361" s="628">
        <v>44044</v>
      </c>
      <c r="KOI361" s="628">
        <v>44075</v>
      </c>
      <c r="KOJ361" s="628">
        <v>44105</v>
      </c>
      <c r="KOK361" s="628">
        <v>44136</v>
      </c>
      <c r="KOL361" s="628">
        <v>44166</v>
      </c>
      <c r="KOM361" s="629">
        <v>2020</v>
      </c>
      <c r="KON361" s="630" t="s">
        <v>1870</v>
      </c>
      <c r="KOO361" s="626"/>
      <c r="KOP361" s="627" t="s">
        <v>1669</v>
      </c>
      <c r="KOQ361" s="628">
        <v>43831</v>
      </c>
      <c r="KOR361" s="628">
        <v>43862</v>
      </c>
      <c r="KOS361" s="628">
        <v>43891</v>
      </c>
      <c r="KOT361" s="628">
        <v>43922</v>
      </c>
      <c r="KOU361" s="628">
        <v>43952</v>
      </c>
      <c r="KOV361" s="628">
        <v>43983</v>
      </c>
      <c r="KOW361" s="628">
        <v>44013</v>
      </c>
      <c r="KOX361" s="628">
        <v>44044</v>
      </c>
      <c r="KOY361" s="628">
        <v>44075</v>
      </c>
      <c r="KOZ361" s="628">
        <v>44105</v>
      </c>
      <c r="KPA361" s="628">
        <v>44136</v>
      </c>
      <c r="KPB361" s="628">
        <v>44166</v>
      </c>
      <c r="KPC361" s="629">
        <v>2020</v>
      </c>
      <c r="KPD361" s="630" t="s">
        <v>1870</v>
      </c>
      <c r="KPE361" s="626"/>
      <c r="KPF361" s="627" t="s">
        <v>1669</v>
      </c>
      <c r="KPG361" s="628">
        <v>43831</v>
      </c>
      <c r="KPH361" s="628">
        <v>43862</v>
      </c>
      <c r="KPI361" s="628">
        <v>43891</v>
      </c>
      <c r="KPJ361" s="628">
        <v>43922</v>
      </c>
      <c r="KPK361" s="628">
        <v>43952</v>
      </c>
      <c r="KPL361" s="628">
        <v>43983</v>
      </c>
      <c r="KPM361" s="628">
        <v>44013</v>
      </c>
      <c r="KPN361" s="628">
        <v>44044</v>
      </c>
      <c r="KPO361" s="628">
        <v>44075</v>
      </c>
      <c r="KPP361" s="628">
        <v>44105</v>
      </c>
      <c r="KPQ361" s="628">
        <v>44136</v>
      </c>
      <c r="KPR361" s="628">
        <v>44166</v>
      </c>
      <c r="KPS361" s="629">
        <v>2020</v>
      </c>
      <c r="KPT361" s="630" t="s">
        <v>1870</v>
      </c>
      <c r="KPU361" s="626"/>
      <c r="KPV361" s="627" t="s">
        <v>1669</v>
      </c>
      <c r="KPW361" s="628">
        <v>43831</v>
      </c>
      <c r="KPX361" s="628">
        <v>43862</v>
      </c>
      <c r="KPY361" s="628">
        <v>43891</v>
      </c>
      <c r="KPZ361" s="628">
        <v>43922</v>
      </c>
      <c r="KQA361" s="628">
        <v>43952</v>
      </c>
      <c r="KQB361" s="628">
        <v>43983</v>
      </c>
      <c r="KQC361" s="628">
        <v>44013</v>
      </c>
      <c r="KQD361" s="628">
        <v>44044</v>
      </c>
      <c r="KQE361" s="628">
        <v>44075</v>
      </c>
      <c r="KQF361" s="628">
        <v>44105</v>
      </c>
      <c r="KQG361" s="628">
        <v>44136</v>
      </c>
      <c r="KQH361" s="628">
        <v>44166</v>
      </c>
      <c r="KQI361" s="629">
        <v>2020</v>
      </c>
      <c r="KQJ361" s="630" t="s">
        <v>1870</v>
      </c>
      <c r="KQK361" s="626"/>
      <c r="KQL361" s="627" t="s">
        <v>1669</v>
      </c>
      <c r="KQM361" s="628">
        <v>43831</v>
      </c>
      <c r="KQN361" s="628">
        <v>43862</v>
      </c>
      <c r="KQO361" s="628">
        <v>43891</v>
      </c>
      <c r="KQP361" s="628">
        <v>43922</v>
      </c>
      <c r="KQQ361" s="628">
        <v>43952</v>
      </c>
      <c r="KQR361" s="628">
        <v>43983</v>
      </c>
      <c r="KQS361" s="628">
        <v>44013</v>
      </c>
      <c r="KQT361" s="628">
        <v>44044</v>
      </c>
      <c r="KQU361" s="628">
        <v>44075</v>
      </c>
      <c r="KQV361" s="628">
        <v>44105</v>
      </c>
      <c r="KQW361" s="628">
        <v>44136</v>
      </c>
      <c r="KQX361" s="628">
        <v>44166</v>
      </c>
      <c r="KQY361" s="629">
        <v>2020</v>
      </c>
      <c r="KQZ361" s="630" t="s">
        <v>1870</v>
      </c>
      <c r="KRA361" s="626"/>
      <c r="KRB361" s="627" t="s">
        <v>1669</v>
      </c>
      <c r="KRC361" s="628">
        <v>43831</v>
      </c>
      <c r="KRD361" s="628">
        <v>43862</v>
      </c>
      <c r="KRE361" s="628">
        <v>43891</v>
      </c>
      <c r="KRF361" s="628">
        <v>43922</v>
      </c>
      <c r="KRG361" s="628">
        <v>43952</v>
      </c>
      <c r="KRH361" s="628">
        <v>43983</v>
      </c>
      <c r="KRI361" s="628">
        <v>44013</v>
      </c>
      <c r="KRJ361" s="628">
        <v>44044</v>
      </c>
      <c r="KRK361" s="628">
        <v>44075</v>
      </c>
      <c r="KRL361" s="628">
        <v>44105</v>
      </c>
      <c r="KRM361" s="628">
        <v>44136</v>
      </c>
      <c r="KRN361" s="628">
        <v>44166</v>
      </c>
      <c r="KRO361" s="629">
        <v>2020</v>
      </c>
      <c r="KRP361" s="630" t="s">
        <v>1870</v>
      </c>
      <c r="KRQ361" s="626"/>
      <c r="KRR361" s="627" t="s">
        <v>1669</v>
      </c>
      <c r="KRS361" s="628">
        <v>43831</v>
      </c>
      <c r="KRT361" s="628">
        <v>43862</v>
      </c>
      <c r="KRU361" s="628">
        <v>43891</v>
      </c>
      <c r="KRV361" s="628">
        <v>43922</v>
      </c>
      <c r="KRW361" s="628">
        <v>43952</v>
      </c>
      <c r="KRX361" s="628">
        <v>43983</v>
      </c>
      <c r="KRY361" s="628">
        <v>44013</v>
      </c>
      <c r="KRZ361" s="628">
        <v>44044</v>
      </c>
      <c r="KSA361" s="628">
        <v>44075</v>
      </c>
      <c r="KSB361" s="628">
        <v>44105</v>
      </c>
      <c r="KSC361" s="628">
        <v>44136</v>
      </c>
      <c r="KSD361" s="628">
        <v>44166</v>
      </c>
      <c r="KSE361" s="629">
        <v>2020</v>
      </c>
      <c r="KSF361" s="630" t="s">
        <v>1870</v>
      </c>
      <c r="KSG361" s="626"/>
      <c r="KSH361" s="627" t="s">
        <v>1669</v>
      </c>
      <c r="KSI361" s="628">
        <v>43831</v>
      </c>
      <c r="KSJ361" s="628">
        <v>43862</v>
      </c>
      <c r="KSK361" s="628">
        <v>43891</v>
      </c>
      <c r="KSL361" s="628">
        <v>43922</v>
      </c>
      <c r="KSM361" s="628">
        <v>43952</v>
      </c>
      <c r="KSN361" s="628">
        <v>43983</v>
      </c>
      <c r="KSO361" s="628">
        <v>44013</v>
      </c>
      <c r="KSP361" s="628">
        <v>44044</v>
      </c>
      <c r="KSQ361" s="628">
        <v>44075</v>
      </c>
      <c r="KSR361" s="628">
        <v>44105</v>
      </c>
      <c r="KSS361" s="628">
        <v>44136</v>
      </c>
      <c r="KST361" s="628">
        <v>44166</v>
      </c>
      <c r="KSU361" s="629">
        <v>2020</v>
      </c>
      <c r="KSV361" s="630" t="s">
        <v>1870</v>
      </c>
      <c r="KSW361" s="626"/>
      <c r="KSX361" s="627" t="s">
        <v>1669</v>
      </c>
      <c r="KSY361" s="628">
        <v>43831</v>
      </c>
      <c r="KSZ361" s="628">
        <v>43862</v>
      </c>
      <c r="KTA361" s="628">
        <v>43891</v>
      </c>
      <c r="KTB361" s="628">
        <v>43922</v>
      </c>
      <c r="KTC361" s="628">
        <v>43952</v>
      </c>
      <c r="KTD361" s="628">
        <v>43983</v>
      </c>
      <c r="KTE361" s="628">
        <v>44013</v>
      </c>
      <c r="KTF361" s="628">
        <v>44044</v>
      </c>
      <c r="KTG361" s="628">
        <v>44075</v>
      </c>
      <c r="KTH361" s="628">
        <v>44105</v>
      </c>
      <c r="KTI361" s="628">
        <v>44136</v>
      </c>
      <c r="KTJ361" s="628">
        <v>44166</v>
      </c>
      <c r="KTK361" s="629">
        <v>2020</v>
      </c>
      <c r="KTL361" s="630" t="s">
        <v>1870</v>
      </c>
      <c r="KTM361" s="626"/>
      <c r="KTN361" s="627" t="s">
        <v>1669</v>
      </c>
      <c r="KTO361" s="628">
        <v>43831</v>
      </c>
      <c r="KTP361" s="628">
        <v>43862</v>
      </c>
      <c r="KTQ361" s="628">
        <v>43891</v>
      </c>
      <c r="KTR361" s="628">
        <v>43922</v>
      </c>
      <c r="KTS361" s="628">
        <v>43952</v>
      </c>
      <c r="KTT361" s="628">
        <v>43983</v>
      </c>
      <c r="KTU361" s="628">
        <v>44013</v>
      </c>
      <c r="KTV361" s="628">
        <v>44044</v>
      </c>
      <c r="KTW361" s="628">
        <v>44075</v>
      </c>
      <c r="KTX361" s="628">
        <v>44105</v>
      </c>
      <c r="KTY361" s="628">
        <v>44136</v>
      </c>
      <c r="KTZ361" s="628">
        <v>44166</v>
      </c>
      <c r="KUA361" s="629">
        <v>2020</v>
      </c>
      <c r="KUB361" s="630" t="s">
        <v>1870</v>
      </c>
      <c r="KUC361" s="626"/>
      <c r="KUD361" s="627" t="s">
        <v>1669</v>
      </c>
      <c r="KUE361" s="628">
        <v>43831</v>
      </c>
      <c r="KUF361" s="628">
        <v>43862</v>
      </c>
      <c r="KUG361" s="628">
        <v>43891</v>
      </c>
      <c r="KUH361" s="628">
        <v>43922</v>
      </c>
      <c r="KUI361" s="628">
        <v>43952</v>
      </c>
      <c r="KUJ361" s="628">
        <v>43983</v>
      </c>
      <c r="KUK361" s="628">
        <v>44013</v>
      </c>
      <c r="KUL361" s="628">
        <v>44044</v>
      </c>
      <c r="KUM361" s="628">
        <v>44075</v>
      </c>
      <c r="KUN361" s="628">
        <v>44105</v>
      </c>
      <c r="KUO361" s="628">
        <v>44136</v>
      </c>
      <c r="KUP361" s="628">
        <v>44166</v>
      </c>
      <c r="KUQ361" s="629">
        <v>2020</v>
      </c>
      <c r="KUR361" s="630" t="s">
        <v>1870</v>
      </c>
      <c r="KUS361" s="626"/>
      <c r="KUT361" s="627" t="s">
        <v>1669</v>
      </c>
      <c r="KUU361" s="628">
        <v>43831</v>
      </c>
      <c r="KUV361" s="628">
        <v>43862</v>
      </c>
      <c r="KUW361" s="628">
        <v>43891</v>
      </c>
      <c r="KUX361" s="628">
        <v>43922</v>
      </c>
      <c r="KUY361" s="628">
        <v>43952</v>
      </c>
      <c r="KUZ361" s="628">
        <v>43983</v>
      </c>
      <c r="KVA361" s="628">
        <v>44013</v>
      </c>
      <c r="KVB361" s="628">
        <v>44044</v>
      </c>
      <c r="KVC361" s="628">
        <v>44075</v>
      </c>
      <c r="KVD361" s="628">
        <v>44105</v>
      </c>
      <c r="KVE361" s="628">
        <v>44136</v>
      </c>
      <c r="KVF361" s="628">
        <v>44166</v>
      </c>
      <c r="KVG361" s="629">
        <v>2020</v>
      </c>
      <c r="KVH361" s="630" t="s">
        <v>1870</v>
      </c>
      <c r="KVI361" s="626"/>
      <c r="KVJ361" s="627" t="s">
        <v>1669</v>
      </c>
      <c r="KVK361" s="628">
        <v>43831</v>
      </c>
      <c r="KVL361" s="628">
        <v>43862</v>
      </c>
      <c r="KVM361" s="628">
        <v>43891</v>
      </c>
      <c r="KVN361" s="628">
        <v>43922</v>
      </c>
      <c r="KVO361" s="628">
        <v>43952</v>
      </c>
      <c r="KVP361" s="628">
        <v>43983</v>
      </c>
      <c r="KVQ361" s="628">
        <v>44013</v>
      </c>
      <c r="KVR361" s="628">
        <v>44044</v>
      </c>
      <c r="KVS361" s="628">
        <v>44075</v>
      </c>
      <c r="KVT361" s="628">
        <v>44105</v>
      </c>
      <c r="KVU361" s="628">
        <v>44136</v>
      </c>
      <c r="KVV361" s="628">
        <v>44166</v>
      </c>
      <c r="KVW361" s="629">
        <v>2020</v>
      </c>
      <c r="KVX361" s="630" t="s">
        <v>1870</v>
      </c>
      <c r="KVY361" s="626"/>
      <c r="KVZ361" s="627" t="s">
        <v>1669</v>
      </c>
      <c r="KWA361" s="628">
        <v>43831</v>
      </c>
      <c r="KWB361" s="628">
        <v>43862</v>
      </c>
      <c r="KWC361" s="628">
        <v>43891</v>
      </c>
      <c r="KWD361" s="628">
        <v>43922</v>
      </c>
      <c r="KWE361" s="628">
        <v>43952</v>
      </c>
      <c r="KWF361" s="628">
        <v>43983</v>
      </c>
      <c r="KWG361" s="628">
        <v>44013</v>
      </c>
      <c r="KWH361" s="628">
        <v>44044</v>
      </c>
      <c r="KWI361" s="628">
        <v>44075</v>
      </c>
      <c r="KWJ361" s="628">
        <v>44105</v>
      </c>
      <c r="KWK361" s="628">
        <v>44136</v>
      </c>
      <c r="KWL361" s="628">
        <v>44166</v>
      </c>
      <c r="KWM361" s="629">
        <v>2020</v>
      </c>
      <c r="KWN361" s="630" t="s">
        <v>1870</v>
      </c>
      <c r="KWO361" s="626"/>
      <c r="KWP361" s="627" t="s">
        <v>1669</v>
      </c>
      <c r="KWQ361" s="628">
        <v>43831</v>
      </c>
      <c r="KWR361" s="628">
        <v>43862</v>
      </c>
      <c r="KWS361" s="628">
        <v>43891</v>
      </c>
      <c r="KWT361" s="628">
        <v>43922</v>
      </c>
      <c r="KWU361" s="628">
        <v>43952</v>
      </c>
      <c r="KWV361" s="628">
        <v>43983</v>
      </c>
      <c r="KWW361" s="628">
        <v>44013</v>
      </c>
      <c r="KWX361" s="628">
        <v>44044</v>
      </c>
      <c r="KWY361" s="628">
        <v>44075</v>
      </c>
      <c r="KWZ361" s="628">
        <v>44105</v>
      </c>
      <c r="KXA361" s="628">
        <v>44136</v>
      </c>
      <c r="KXB361" s="628">
        <v>44166</v>
      </c>
      <c r="KXC361" s="629">
        <v>2020</v>
      </c>
      <c r="KXD361" s="630" t="s">
        <v>1870</v>
      </c>
      <c r="KXE361" s="626"/>
      <c r="KXF361" s="627" t="s">
        <v>1669</v>
      </c>
      <c r="KXG361" s="628">
        <v>43831</v>
      </c>
      <c r="KXH361" s="628">
        <v>43862</v>
      </c>
      <c r="KXI361" s="628">
        <v>43891</v>
      </c>
      <c r="KXJ361" s="628">
        <v>43922</v>
      </c>
      <c r="KXK361" s="628">
        <v>43952</v>
      </c>
      <c r="KXL361" s="628">
        <v>43983</v>
      </c>
      <c r="KXM361" s="628">
        <v>44013</v>
      </c>
      <c r="KXN361" s="628">
        <v>44044</v>
      </c>
      <c r="KXO361" s="628">
        <v>44075</v>
      </c>
      <c r="KXP361" s="628">
        <v>44105</v>
      </c>
      <c r="KXQ361" s="628">
        <v>44136</v>
      </c>
      <c r="KXR361" s="628">
        <v>44166</v>
      </c>
      <c r="KXS361" s="629">
        <v>2020</v>
      </c>
      <c r="KXT361" s="630" t="s">
        <v>1870</v>
      </c>
      <c r="KXU361" s="626"/>
      <c r="KXV361" s="627" t="s">
        <v>1669</v>
      </c>
      <c r="KXW361" s="628">
        <v>43831</v>
      </c>
      <c r="KXX361" s="628">
        <v>43862</v>
      </c>
      <c r="KXY361" s="628">
        <v>43891</v>
      </c>
      <c r="KXZ361" s="628">
        <v>43922</v>
      </c>
      <c r="KYA361" s="628">
        <v>43952</v>
      </c>
      <c r="KYB361" s="628">
        <v>43983</v>
      </c>
      <c r="KYC361" s="628">
        <v>44013</v>
      </c>
      <c r="KYD361" s="628">
        <v>44044</v>
      </c>
      <c r="KYE361" s="628">
        <v>44075</v>
      </c>
      <c r="KYF361" s="628">
        <v>44105</v>
      </c>
      <c r="KYG361" s="628">
        <v>44136</v>
      </c>
      <c r="KYH361" s="628">
        <v>44166</v>
      </c>
      <c r="KYI361" s="629">
        <v>2020</v>
      </c>
      <c r="KYJ361" s="630" t="s">
        <v>1870</v>
      </c>
      <c r="KYK361" s="626"/>
      <c r="KYL361" s="627" t="s">
        <v>1669</v>
      </c>
      <c r="KYM361" s="628">
        <v>43831</v>
      </c>
      <c r="KYN361" s="628">
        <v>43862</v>
      </c>
      <c r="KYO361" s="628">
        <v>43891</v>
      </c>
      <c r="KYP361" s="628">
        <v>43922</v>
      </c>
      <c r="KYQ361" s="628">
        <v>43952</v>
      </c>
      <c r="KYR361" s="628">
        <v>43983</v>
      </c>
      <c r="KYS361" s="628">
        <v>44013</v>
      </c>
      <c r="KYT361" s="628">
        <v>44044</v>
      </c>
      <c r="KYU361" s="628">
        <v>44075</v>
      </c>
      <c r="KYV361" s="628">
        <v>44105</v>
      </c>
      <c r="KYW361" s="628">
        <v>44136</v>
      </c>
      <c r="KYX361" s="628">
        <v>44166</v>
      </c>
      <c r="KYY361" s="629">
        <v>2020</v>
      </c>
      <c r="KYZ361" s="630" t="s">
        <v>1870</v>
      </c>
      <c r="KZA361" s="626"/>
      <c r="KZB361" s="627" t="s">
        <v>1669</v>
      </c>
      <c r="KZC361" s="628">
        <v>43831</v>
      </c>
      <c r="KZD361" s="628">
        <v>43862</v>
      </c>
      <c r="KZE361" s="628">
        <v>43891</v>
      </c>
      <c r="KZF361" s="628">
        <v>43922</v>
      </c>
      <c r="KZG361" s="628">
        <v>43952</v>
      </c>
      <c r="KZH361" s="628">
        <v>43983</v>
      </c>
      <c r="KZI361" s="628">
        <v>44013</v>
      </c>
      <c r="KZJ361" s="628">
        <v>44044</v>
      </c>
      <c r="KZK361" s="628">
        <v>44075</v>
      </c>
      <c r="KZL361" s="628">
        <v>44105</v>
      </c>
      <c r="KZM361" s="628">
        <v>44136</v>
      </c>
      <c r="KZN361" s="628">
        <v>44166</v>
      </c>
      <c r="KZO361" s="629">
        <v>2020</v>
      </c>
      <c r="KZP361" s="630" t="s">
        <v>1870</v>
      </c>
      <c r="KZQ361" s="626"/>
      <c r="KZR361" s="627" t="s">
        <v>1669</v>
      </c>
      <c r="KZS361" s="628">
        <v>43831</v>
      </c>
      <c r="KZT361" s="628">
        <v>43862</v>
      </c>
      <c r="KZU361" s="628">
        <v>43891</v>
      </c>
      <c r="KZV361" s="628">
        <v>43922</v>
      </c>
      <c r="KZW361" s="628">
        <v>43952</v>
      </c>
      <c r="KZX361" s="628">
        <v>43983</v>
      </c>
      <c r="KZY361" s="628">
        <v>44013</v>
      </c>
      <c r="KZZ361" s="628">
        <v>44044</v>
      </c>
      <c r="LAA361" s="628">
        <v>44075</v>
      </c>
      <c r="LAB361" s="628">
        <v>44105</v>
      </c>
      <c r="LAC361" s="628">
        <v>44136</v>
      </c>
      <c r="LAD361" s="628">
        <v>44166</v>
      </c>
      <c r="LAE361" s="629">
        <v>2020</v>
      </c>
      <c r="LAF361" s="630" t="s">
        <v>1870</v>
      </c>
      <c r="LAG361" s="626"/>
      <c r="LAH361" s="627" t="s">
        <v>1669</v>
      </c>
      <c r="LAI361" s="628">
        <v>43831</v>
      </c>
      <c r="LAJ361" s="628">
        <v>43862</v>
      </c>
      <c r="LAK361" s="628">
        <v>43891</v>
      </c>
      <c r="LAL361" s="628">
        <v>43922</v>
      </c>
      <c r="LAM361" s="628">
        <v>43952</v>
      </c>
      <c r="LAN361" s="628">
        <v>43983</v>
      </c>
      <c r="LAO361" s="628">
        <v>44013</v>
      </c>
      <c r="LAP361" s="628">
        <v>44044</v>
      </c>
      <c r="LAQ361" s="628">
        <v>44075</v>
      </c>
      <c r="LAR361" s="628">
        <v>44105</v>
      </c>
      <c r="LAS361" s="628">
        <v>44136</v>
      </c>
      <c r="LAT361" s="628">
        <v>44166</v>
      </c>
      <c r="LAU361" s="629">
        <v>2020</v>
      </c>
      <c r="LAV361" s="630" t="s">
        <v>1870</v>
      </c>
      <c r="LAW361" s="626"/>
      <c r="LAX361" s="627" t="s">
        <v>1669</v>
      </c>
      <c r="LAY361" s="628">
        <v>43831</v>
      </c>
      <c r="LAZ361" s="628">
        <v>43862</v>
      </c>
      <c r="LBA361" s="628">
        <v>43891</v>
      </c>
      <c r="LBB361" s="628">
        <v>43922</v>
      </c>
      <c r="LBC361" s="628">
        <v>43952</v>
      </c>
      <c r="LBD361" s="628">
        <v>43983</v>
      </c>
      <c r="LBE361" s="628">
        <v>44013</v>
      </c>
      <c r="LBF361" s="628">
        <v>44044</v>
      </c>
      <c r="LBG361" s="628">
        <v>44075</v>
      </c>
      <c r="LBH361" s="628">
        <v>44105</v>
      </c>
      <c r="LBI361" s="628">
        <v>44136</v>
      </c>
      <c r="LBJ361" s="628">
        <v>44166</v>
      </c>
      <c r="LBK361" s="629">
        <v>2020</v>
      </c>
      <c r="LBL361" s="630" t="s">
        <v>1870</v>
      </c>
      <c r="LBM361" s="626"/>
      <c r="LBN361" s="627" t="s">
        <v>1669</v>
      </c>
      <c r="LBO361" s="628">
        <v>43831</v>
      </c>
      <c r="LBP361" s="628">
        <v>43862</v>
      </c>
      <c r="LBQ361" s="628">
        <v>43891</v>
      </c>
      <c r="LBR361" s="628">
        <v>43922</v>
      </c>
      <c r="LBS361" s="628">
        <v>43952</v>
      </c>
      <c r="LBT361" s="628">
        <v>43983</v>
      </c>
      <c r="LBU361" s="628">
        <v>44013</v>
      </c>
      <c r="LBV361" s="628">
        <v>44044</v>
      </c>
      <c r="LBW361" s="628">
        <v>44075</v>
      </c>
      <c r="LBX361" s="628">
        <v>44105</v>
      </c>
      <c r="LBY361" s="628">
        <v>44136</v>
      </c>
      <c r="LBZ361" s="628">
        <v>44166</v>
      </c>
      <c r="LCA361" s="629">
        <v>2020</v>
      </c>
      <c r="LCB361" s="630" t="s">
        <v>1870</v>
      </c>
      <c r="LCC361" s="626"/>
      <c r="LCD361" s="627" t="s">
        <v>1669</v>
      </c>
      <c r="LCE361" s="628">
        <v>43831</v>
      </c>
      <c r="LCF361" s="628">
        <v>43862</v>
      </c>
      <c r="LCG361" s="628">
        <v>43891</v>
      </c>
      <c r="LCH361" s="628">
        <v>43922</v>
      </c>
      <c r="LCI361" s="628">
        <v>43952</v>
      </c>
      <c r="LCJ361" s="628">
        <v>43983</v>
      </c>
      <c r="LCK361" s="628">
        <v>44013</v>
      </c>
      <c r="LCL361" s="628">
        <v>44044</v>
      </c>
      <c r="LCM361" s="628">
        <v>44075</v>
      </c>
      <c r="LCN361" s="628">
        <v>44105</v>
      </c>
      <c r="LCO361" s="628">
        <v>44136</v>
      </c>
      <c r="LCP361" s="628">
        <v>44166</v>
      </c>
      <c r="LCQ361" s="629">
        <v>2020</v>
      </c>
      <c r="LCR361" s="630" t="s">
        <v>1870</v>
      </c>
      <c r="LCS361" s="626"/>
      <c r="LCT361" s="627" t="s">
        <v>1669</v>
      </c>
      <c r="LCU361" s="628">
        <v>43831</v>
      </c>
      <c r="LCV361" s="628">
        <v>43862</v>
      </c>
      <c r="LCW361" s="628">
        <v>43891</v>
      </c>
      <c r="LCX361" s="628">
        <v>43922</v>
      </c>
      <c r="LCY361" s="628">
        <v>43952</v>
      </c>
      <c r="LCZ361" s="628">
        <v>43983</v>
      </c>
      <c r="LDA361" s="628">
        <v>44013</v>
      </c>
      <c r="LDB361" s="628">
        <v>44044</v>
      </c>
      <c r="LDC361" s="628">
        <v>44075</v>
      </c>
      <c r="LDD361" s="628">
        <v>44105</v>
      </c>
      <c r="LDE361" s="628">
        <v>44136</v>
      </c>
      <c r="LDF361" s="628">
        <v>44166</v>
      </c>
      <c r="LDG361" s="629">
        <v>2020</v>
      </c>
      <c r="LDH361" s="630" t="s">
        <v>1870</v>
      </c>
      <c r="LDI361" s="626"/>
      <c r="LDJ361" s="627" t="s">
        <v>1669</v>
      </c>
      <c r="LDK361" s="628">
        <v>43831</v>
      </c>
      <c r="LDL361" s="628">
        <v>43862</v>
      </c>
      <c r="LDM361" s="628">
        <v>43891</v>
      </c>
      <c r="LDN361" s="628">
        <v>43922</v>
      </c>
      <c r="LDO361" s="628">
        <v>43952</v>
      </c>
      <c r="LDP361" s="628">
        <v>43983</v>
      </c>
      <c r="LDQ361" s="628">
        <v>44013</v>
      </c>
      <c r="LDR361" s="628">
        <v>44044</v>
      </c>
      <c r="LDS361" s="628">
        <v>44075</v>
      </c>
      <c r="LDT361" s="628">
        <v>44105</v>
      </c>
      <c r="LDU361" s="628">
        <v>44136</v>
      </c>
      <c r="LDV361" s="628">
        <v>44166</v>
      </c>
      <c r="LDW361" s="629">
        <v>2020</v>
      </c>
      <c r="LDX361" s="630" t="s">
        <v>1870</v>
      </c>
      <c r="LDY361" s="626"/>
      <c r="LDZ361" s="627" t="s">
        <v>1669</v>
      </c>
      <c r="LEA361" s="628">
        <v>43831</v>
      </c>
      <c r="LEB361" s="628">
        <v>43862</v>
      </c>
      <c r="LEC361" s="628">
        <v>43891</v>
      </c>
      <c r="LED361" s="628">
        <v>43922</v>
      </c>
      <c r="LEE361" s="628">
        <v>43952</v>
      </c>
      <c r="LEF361" s="628">
        <v>43983</v>
      </c>
      <c r="LEG361" s="628">
        <v>44013</v>
      </c>
      <c r="LEH361" s="628">
        <v>44044</v>
      </c>
      <c r="LEI361" s="628">
        <v>44075</v>
      </c>
      <c r="LEJ361" s="628">
        <v>44105</v>
      </c>
      <c r="LEK361" s="628">
        <v>44136</v>
      </c>
      <c r="LEL361" s="628">
        <v>44166</v>
      </c>
      <c r="LEM361" s="629">
        <v>2020</v>
      </c>
      <c r="LEN361" s="630" t="s">
        <v>1870</v>
      </c>
      <c r="LEO361" s="626"/>
      <c r="LEP361" s="627" t="s">
        <v>1669</v>
      </c>
      <c r="LEQ361" s="628">
        <v>43831</v>
      </c>
      <c r="LER361" s="628">
        <v>43862</v>
      </c>
      <c r="LES361" s="628">
        <v>43891</v>
      </c>
      <c r="LET361" s="628">
        <v>43922</v>
      </c>
      <c r="LEU361" s="628">
        <v>43952</v>
      </c>
      <c r="LEV361" s="628">
        <v>43983</v>
      </c>
      <c r="LEW361" s="628">
        <v>44013</v>
      </c>
      <c r="LEX361" s="628">
        <v>44044</v>
      </c>
      <c r="LEY361" s="628">
        <v>44075</v>
      </c>
      <c r="LEZ361" s="628">
        <v>44105</v>
      </c>
      <c r="LFA361" s="628">
        <v>44136</v>
      </c>
      <c r="LFB361" s="628">
        <v>44166</v>
      </c>
      <c r="LFC361" s="629">
        <v>2020</v>
      </c>
      <c r="LFD361" s="630" t="s">
        <v>1870</v>
      </c>
      <c r="LFE361" s="626"/>
      <c r="LFF361" s="627" t="s">
        <v>1669</v>
      </c>
      <c r="LFG361" s="628">
        <v>43831</v>
      </c>
      <c r="LFH361" s="628">
        <v>43862</v>
      </c>
      <c r="LFI361" s="628">
        <v>43891</v>
      </c>
      <c r="LFJ361" s="628">
        <v>43922</v>
      </c>
      <c r="LFK361" s="628">
        <v>43952</v>
      </c>
      <c r="LFL361" s="628">
        <v>43983</v>
      </c>
      <c r="LFM361" s="628">
        <v>44013</v>
      </c>
      <c r="LFN361" s="628">
        <v>44044</v>
      </c>
      <c r="LFO361" s="628">
        <v>44075</v>
      </c>
      <c r="LFP361" s="628">
        <v>44105</v>
      </c>
      <c r="LFQ361" s="628">
        <v>44136</v>
      </c>
      <c r="LFR361" s="628">
        <v>44166</v>
      </c>
      <c r="LFS361" s="629">
        <v>2020</v>
      </c>
      <c r="LFT361" s="630" t="s">
        <v>1870</v>
      </c>
      <c r="LFU361" s="626"/>
      <c r="LFV361" s="627" t="s">
        <v>1669</v>
      </c>
      <c r="LFW361" s="628">
        <v>43831</v>
      </c>
      <c r="LFX361" s="628">
        <v>43862</v>
      </c>
      <c r="LFY361" s="628">
        <v>43891</v>
      </c>
      <c r="LFZ361" s="628">
        <v>43922</v>
      </c>
      <c r="LGA361" s="628">
        <v>43952</v>
      </c>
      <c r="LGB361" s="628">
        <v>43983</v>
      </c>
      <c r="LGC361" s="628">
        <v>44013</v>
      </c>
      <c r="LGD361" s="628">
        <v>44044</v>
      </c>
      <c r="LGE361" s="628">
        <v>44075</v>
      </c>
      <c r="LGF361" s="628">
        <v>44105</v>
      </c>
      <c r="LGG361" s="628">
        <v>44136</v>
      </c>
      <c r="LGH361" s="628">
        <v>44166</v>
      </c>
      <c r="LGI361" s="629">
        <v>2020</v>
      </c>
      <c r="LGJ361" s="630" t="s">
        <v>1870</v>
      </c>
      <c r="LGK361" s="626"/>
      <c r="LGL361" s="627" t="s">
        <v>1669</v>
      </c>
      <c r="LGM361" s="628">
        <v>43831</v>
      </c>
      <c r="LGN361" s="628">
        <v>43862</v>
      </c>
      <c r="LGO361" s="628">
        <v>43891</v>
      </c>
      <c r="LGP361" s="628">
        <v>43922</v>
      </c>
      <c r="LGQ361" s="628">
        <v>43952</v>
      </c>
      <c r="LGR361" s="628">
        <v>43983</v>
      </c>
      <c r="LGS361" s="628">
        <v>44013</v>
      </c>
      <c r="LGT361" s="628">
        <v>44044</v>
      </c>
      <c r="LGU361" s="628">
        <v>44075</v>
      </c>
      <c r="LGV361" s="628">
        <v>44105</v>
      </c>
      <c r="LGW361" s="628">
        <v>44136</v>
      </c>
      <c r="LGX361" s="628">
        <v>44166</v>
      </c>
      <c r="LGY361" s="629">
        <v>2020</v>
      </c>
      <c r="LGZ361" s="630" t="s">
        <v>1870</v>
      </c>
      <c r="LHA361" s="626"/>
      <c r="LHB361" s="627" t="s">
        <v>1669</v>
      </c>
      <c r="LHC361" s="628">
        <v>43831</v>
      </c>
      <c r="LHD361" s="628">
        <v>43862</v>
      </c>
      <c r="LHE361" s="628">
        <v>43891</v>
      </c>
      <c r="LHF361" s="628">
        <v>43922</v>
      </c>
      <c r="LHG361" s="628">
        <v>43952</v>
      </c>
      <c r="LHH361" s="628">
        <v>43983</v>
      </c>
      <c r="LHI361" s="628">
        <v>44013</v>
      </c>
      <c r="LHJ361" s="628">
        <v>44044</v>
      </c>
      <c r="LHK361" s="628">
        <v>44075</v>
      </c>
      <c r="LHL361" s="628">
        <v>44105</v>
      </c>
      <c r="LHM361" s="628">
        <v>44136</v>
      </c>
      <c r="LHN361" s="628">
        <v>44166</v>
      </c>
      <c r="LHO361" s="629">
        <v>2020</v>
      </c>
      <c r="LHP361" s="630" t="s">
        <v>1870</v>
      </c>
      <c r="LHQ361" s="626"/>
      <c r="LHR361" s="627" t="s">
        <v>1669</v>
      </c>
      <c r="LHS361" s="628">
        <v>43831</v>
      </c>
      <c r="LHT361" s="628">
        <v>43862</v>
      </c>
      <c r="LHU361" s="628">
        <v>43891</v>
      </c>
      <c r="LHV361" s="628">
        <v>43922</v>
      </c>
      <c r="LHW361" s="628">
        <v>43952</v>
      </c>
      <c r="LHX361" s="628">
        <v>43983</v>
      </c>
      <c r="LHY361" s="628">
        <v>44013</v>
      </c>
      <c r="LHZ361" s="628">
        <v>44044</v>
      </c>
      <c r="LIA361" s="628">
        <v>44075</v>
      </c>
      <c r="LIB361" s="628">
        <v>44105</v>
      </c>
      <c r="LIC361" s="628">
        <v>44136</v>
      </c>
      <c r="LID361" s="628">
        <v>44166</v>
      </c>
      <c r="LIE361" s="629">
        <v>2020</v>
      </c>
      <c r="LIF361" s="630" t="s">
        <v>1870</v>
      </c>
      <c r="LIG361" s="626"/>
      <c r="LIH361" s="627" t="s">
        <v>1669</v>
      </c>
      <c r="LII361" s="628">
        <v>43831</v>
      </c>
      <c r="LIJ361" s="628">
        <v>43862</v>
      </c>
      <c r="LIK361" s="628">
        <v>43891</v>
      </c>
      <c r="LIL361" s="628">
        <v>43922</v>
      </c>
      <c r="LIM361" s="628">
        <v>43952</v>
      </c>
      <c r="LIN361" s="628">
        <v>43983</v>
      </c>
      <c r="LIO361" s="628">
        <v>44013</v>
      </c>
      <c r="LIP361" s="628">
        <v>44044</v>
      </c>
      <c r="LIQ361" s="628">
        <v>44075</v>
      </c>
      <c r="LIR361" s="628">
        <v>44105</v>
      </c>
      <c r="LIS361" s="628">
        <v>44136</v>
      </c>
      <c r="LIT361" s="628">
        <v>44166</v>
      </c>
      <c r="LIU361" s="629">
        <v>2020</v>
      </c>
      <c r="LIV361" s="630" t="s">
        <v>1870</v>
      </c>
      <c r="LIW361" s="626"/>
      <c r="LIX361" s="627" t="s">
        <v>1669</v>
      </c>
      <c r="LIY361" s="628">
        <v>43831</v>
      </c>
      <c r="LIZ361" s="628">
        <v>43862</v>
      </c>
      <c r="LJA361" s="628">
        <v>43891</v>
      </c>
      <c r="LJB361" s="628">
        <v>43922</v>
      </c>
      <c r="LJC361" s="628">
        <v>43952</v>
      </c>
      <c r="LJD361" s="628">
        <v>43983</v>
      </c>
      <c r="LJE361" s="628">
        <v>44013</v>
      </c>
      <c r="LJF361" s="628">
        <v>44044</v>
      </c>
      <c r="LJG361" s="628">
        <v>44075</v>
      </c>
      <c r="LJH361" s="628">
        <v>44105</v>
      </c>
      <c r="LJI361" s="628">
        <v>44136</v>
      </c>
      <c r="LJJ361" s="628">
        <v>44166</v>
      </c>
      <c r="LJK361" s="629">
        <v>2020</v>
      </c>
      <c r="LJL361" s="630" t="s">
        <v>1870</v>
      </c>
      <c r="LJM361" s="626"/>
      <c r="LJN361" s="627" t="s">
        <v>1669</v>
      </c>
      <c r="LJO361" s="628">
        <v>43831</v>
      </c>
      <c r="LJP361" s="628">
        <v>43862</v>
      </c>
      <c r="LJQ361" s="628">
        <v>43891</v>
      </c>
      <c r="LJR361" s="628">
        <v>43922</v>
      </c>
      <c r="LJS361" s="628">
        <v>43952</v>
      </c>
      <c r="LJT361" s="628">
        <v>43983</v>
      </c>
      <c r="LJU361" s="628">
        <v>44013</v>
      </c>
      <c r="LJV361" s="628">
        <v>44044</v>
      </c>
      <c r="LJW361" s="628">
        <v>44075</v>
      </c>
      <c r="LJX361" s="628">
        <v>44105</v>
      </c>
      <c r="LJY361" s="628">
        <v>44136</v>
      </c>
      <c r="LJZ361" s="628">
        <v>44166</v>
      </c>
      <c r="LKA361" s="629">
        <v>2020</v>
      </c>
      <c r="LKB361" s="630" t="s">
        <v>1870</v>
      </c>
      <c r="LKC361" s="626"/>
      <c r="LKD361" s="627" t="s">
        <v>1669</v>
      </c>
      <c r="LKE361" s="628">
        <v>43831</v>
      </c>
      <c r="LKF361" s="628">
        <v>43862</v>
      </c>
      <c r="LKG361" s="628">
        <v>43891</v>
      </c>
      <c r="LKH361" s="628">
        <v>43922</v>
      </c>
      <c r="LKI361" s="628">
        <v>43952</v>
      </c>
      <c r="LKJ361" s="628">
        <v>43983</v>
      </c>
      <c r="LKK361" s="628">
        <v>44013</v>
      </c>
      <c r="LKL361" s="628">
        <v>44044</v>
      </c>
      <c r="LKM361" s="628">
        <v>44075</v>
      </c>
      <c r="LKN361" s="628">
        <v>44105</v>
      </c>
      <c r="LKO361" s="628">
        <v>44136</v>
      </c>
      <c r="LKP361" s="628">
        <v>44166</v>
      </c>
      <c r="LKQ361" s="629">
        <v>2020</v>
      </c>
      <c r="LKR361" s="630" t="s">
        <v>1870</v>
      </c>
      <c r="LKS361" s="626"/>
      <c r="LKT361" s="627" t="s">
        <v>1669</v>
      </c>
      <c r="LKU361" s="628">
        <v>43831</v>
      </c>
      <c r="LKV361" s="628">
        <v>43862</v>
      </c>
      <c r="LKW361" s="628">
        <v>43891</v>
      </c>
      <c r="LKX361" s="628">
        <v>43922</v>
      </c>
      <c r="LKY361" s="628">
        <v>43952</v>
      </c>
      <c r="LKZ361" s="628">
        <v>43983</v>
      </c>
      <c r="LLA361" s="628">
        <v>44013</v>
      </c>
      <c r="LLB361" s="628">
        <v>44044</v>
      </c>
      <c r="LLC361" s="628">
        <v>44075</v>
      </c>
      <c r="LLD361" s="628">
        <v>44105</v>
      </c>
      <c r="LLE361" s="628">
        <v>44136</v>
      </c>
      <c r="LLF361" s="628">
        <v>44166</v>
      </c>
      <c r="LLG361" s="629">
        <v>2020</v>
      </c>
      <c r="LLH361" s="630" t="s">
        <v>1870</v>
      </c>
      <c r="LLI361" s="626"/>
      <c r="LLJ361" s="627" t="s">
        <v>1669</v>
      </c>
      <c r="LLK361" s="628">
        <v>43831</v>
      </c>
      <c r="LLL361" s="628">
        <v>43862</v>
      </c>
      <c r="LLM361" s="628">
        <v>43891</v>
      </c>
      <c r="LLN361" s="628">
        <v>43922</v>
      </c>
      <c r="LLO361" s="628">
        <v>43952</v>
      </c>
      <c r="LLP361" s="628">
        <v>43983</v>
      </c>
      <c r="LLQ361" s="628">
        <v>44013</v>
      </c>
      <c r="LLR361" s="628">
        <v>44044</v>
      </c>
      <c r="LLS361" s="628">
        <v>44075</v>
      </c>
      <c r="LLT361" s="628">
        <v>44105</v>
      </c>
      <c r="LLU361" s="628">
        <v>44136</v>
      </c>
      <c r="LLV361" s="628">
        <v>44166</v>
      </c>
      <c r="LLW361" s="629">
        <v>2020</v>
      </c>
      <c r="LLX361" s="630" t="s">
        <v>1870</v>
      </c>
      <c r="LLY361" s="626"/>
      <c r="LLZ361" s="627" t="s">
        <v>1669</v>
      </c>
      <c r="LMA361" s="628">
        <v>43831</v>
      </c>
      <c r="LMB361" s="628">
        <v>43862</v>
      </c>
      <c r="LMC361" s="628">
        <v>43891</v>
      </c>
      <c r="LMD361" s="628">
        <v>43922</v>
      </c>
      <c r="LME361" s="628">
        <v>43952</v>
      </c>
      <c r="LMF361" s="628">
        <v>43983</v>
      </c>
      <c r="LMG361" s="628">
        <v>44013</v>
      </c>
      <c r="LMH361" s="628">
        <v>44044</v>
      </c>
      <c r="LMI361" s="628">
        <v>44075</v>
      </c>
      <c r="LMJ361" s="628">
        <v>44105</v>
      </c>
      <c r="LMK361" s="628">
        <v>44136</v>
      </c>
      <c r="LML361" s="628">
        <v>44166</v>
      </c>
      <c r="LMM361" s="629">
        <v>2020</v>
      </c>
      <c r="LMN361" s="630" t="s">
        <v>1870</v>
      </c>
      <c r="LMO361" s="626"/>
      <c r="LMP361" s="627" t="s">
        <v>1669</v>
      </c>
      <c r="LMQ361" s="628">
        <v>43831</v>
      </c>
      <c r="LMR361" s="628">
        <v>43862</v>
      </c>
      <c r="LMS361" s="628">
        <v>43891</v>
      </c>
      <c r="LMT361" s="628">
        <v>43922</v>
      </c>
      <c r="LMU361" s="628">
        <v>43952</v>
      </c>
      <c r="LMV361" s="628">
        <v>43983</v>
      </c>
      <c r="LMW361" s="628">
        <v>44013</v>
      </c>
      <c r="LMX361" s="628">
        <v>44044</v>
      </c>
      <c r="LMY361" s="628">
        <v>44075</v>
      </c>
      <c r="LMZ361" s="628">
        <v>44105</v>
      </c>
      <c r="LNA361" s="628">
        <v>44136</v>
      </c>
      <c r="LNB361" s="628">
        <v>44166</v>
      </c>
      <c r="LNC361" s="629">
        <v>2020</v>
      </c>
      <c r="LND361" s="630" t="s">
        <v>1870</v>
      </c>
      <c r="LNE361" s="626"/>
      <c r="LNF361" s="627" t="s">
        <v>1669</v>
      </c>
      <c r="LNG361" s="628">
        <v>43831</v>
      </c>
      <c r="LNH361" s="628">
        <v>43862</v>
      </c>
      <c r="LNI361" s="628">
        <v>43891</v>
      </c>
      <c r="LNJ361" s="628">
        <v>43922</v>
      </c>
      <c r="LNK361" s="628">
        <v>43952</v>
      </c>
      <c r="LNL361" s="628">
        <v>43983</v>
      </c>
      <c r="LNM361" s="628">
        <v>44013</v>
      </c>
      <c r="LNN361" s="628">
        <v>44044</v>
      </c>
      <c r="LNO361" s="628">
        <v>44075</v>
      </c>
      <c r="LNP361" s="628">
        <v>44105</v>
      </c>
      <c r="LNQ361" s="628">
        <v>44136</v>
      </c>
      <c r="LNR361" s="628">
        <v>44166</v>
      </c>
      <c r="LNS361" s="629">
        <v>2020</v>
      </c>
      <c r="LNT361" s="630" t="s">
        <v>1870</v>
      </c>
      <c r="LNU361" s="626"/>
      <c r="LNV361" s="627" t="s">
        <v>1669</v>
      </c>
      <c r="LNW361" s="628">
        <v>43831</v>
      </c>
      <c r="LNX361" s="628">
        <v>43862</v>
      </c>
      <c r="LNY361" s="628">
        <v>43891</v>
      </c>
      <c r="LNZ361" s="628">
        <v>43922</v>
      </c>
      <c r="LOA361" s="628">
        <v>43952</v>
      </c>
      <c r="LOB361" s="628">
        <v>43983</v>
      </c>
      <c r="LOC361" s="628">
        <v>44013</v>
      </c>
      <c r="LOD361" s="628">
        <v>44044</v>
      </c>
      <c r="LOE361" s="628">
        <v>44075</v>
      </c>
      <c r="LOF361" s="628">
        <v>44105</v>
      </c>
      <c r="LOG361" s="628">
        <v>44136</v>
      </c>
      <c r="LOH361" s="628">
        <v>44166</v>
      </c>
      <c r="LOI361" s="629">
        <v>2020</v>
      </c>
      <c r="LOJ361" s="630" t="s">
        <v>1870</v>
      </c>
      <c r="LOK361" s="626"/>
      <c r="LOL361" s="627" t="s">
        <v>1669</v>
      </c>
      <c r="LOM361" s="628">
        <v>43831</v>
      </c>
      <c r="LON361" s="628">
        <v>43862</v>
      </c>
      <c r="LOO361" s="628">
        <v>43891</v>
      </c>
      <c r="LOP361" s="628">
        <v>43922</v>
      </c>
      <c r="LOQ361" s="628">
        <v>43952</v>
      </c>
      <c r="LOR361" s="628">
        <v>43983</v>
      </c>
      <c r="LOS361" s="628">
        <v>44013</v>
      </c>
      <c r="LOT361" s="628">
        <v>44044</v>
      </c>
      <c r="LOU361" s="628">
        <v>44075</v>
      </c>
      <c r="LOV361" s="628">
        <v>44105</v>
      </c>
      <c r="LOW361" s="628">
        <v>44136</v>
      </c>
      <c r="LOX361" s="628">
        <v>44166</v>
      </c>
      <c r="LOY361" s="629">
        <v>2020</v>
      </c>
      <c r="LOZ361" s="630" t="s">
        <v>1870</v>
      </c>
      <c r="LPA361" s="626"/>
      <c r="LPB361" s="627" t="s">
        <v>1669</v>
      </c>
      <c r="LPC361" s="628">
        <v>43831</v>
      </c>
      <c r="LPD361" s="628">
        <v>43862</v>
      </c>
      <c r="LPE361" s="628">
        <v>43891</v>
      </c>
      <c r="LPF361" s="628">
        <v>43922</v>
      </c>
      <c r="LPG361" s="628">
        <v>43952</v>
      </c>
      <c r="LPH361" s="628">
        <v>43983</v>
      </c>
      <c r="LPI361" s="628">
        <v>44013</v>
      </c>
      <c r="LPJ361" s="628">
        <v>44044</v>
      </c>
      <c r="LPK361" s="628">
        <v>44075</v>
      </c>
      <c r="LPL361" s="628">
        <v>44105</v>
      </c>
      <c r="LPM361" s="628">
        <v>44136</v>
      </c>
      <c r="LPN361" s="628">
        <v>44166</v>
      </c>
      <c r="LPO361" s="629">
        <v>2020</v>
      </c>
      <c r="LPP361" s="630" t="s">
        <v>1870</v>
      </c>
      <c r="LPQ361" s="626"/>
      <c r="LPR361" s="627" t="s">
        <v>1669</v>
      </c>
      <c r="LPS361" s="628">
        <v>43831</v>
      </c>
      <c r="LPT361" s="628">
        <v>43862</v>
      </c>
      <c r="LPU361" s="628">
        <v>43891</v>
      </c>
      <c r="LPV361" s="628">
        <v>43922</v>
      </c>
      <c r="LPW361" s="628">
        <v>43952</v>
      </c>
      <c r="LPX361" s="628">
        <v>43983</v>
      </c>
      <c r="LPY361" s="628">
        <v>44013</v>
      </c>
      <c r="LPZ361" s="628">
        <v>44044</v>
      </c>
      <c r="LQA361" s="628">
        <v>44075</v>
      </c>
      <c r="LQB361" s="628">
        <v>44105</v>
      </c>
      <c r="LQC361" s="628">
        <v>44136</v>
      </c>
      <c r="LQD361" s="628">
        <v>44166</v>
      </c>
      <c r="LQE361" s="629">
        <v>2020</v>
      </c>
      <c r="LQF361" s="630" t="s">
        <v>1870</v>
      </c>
      <c r="LQG361" s="626"/>
      <c r="LQH361" s="627" t="s">
        <v>1669</v>
      </c>
      <c r="LQI361" s="628">
        <v>43831</v>
      </c>
      <c r="LQJ361" s="628">
        <v>43862</v>
      </c>
      <c r="LQK361" s="628">
        <v>43891</v>
      </c>
      <c r="LQL361" s="628">
        <v>43922</v>
      </c>
      <c r="LQM361" s="628">
        <v>43952</v>
      </c>
      <c r="LQN361" s="628">
        <v>43983</v>
      </c>
      <c r="LQO361" s="628">
        <v>44013</v>
      </c>
      <c r="LQP361" s="628">
        <v>44044</v>
      </c>
      <c r="LQQ361" s="628">
        <v>44075</v>
      </c>
      <c r="LQR361" s="628">
        <v>44105</v>
      </c>
      <c r="LQS361" s="628">
        <v>44136</v>
      </c>
      <c r="LQT361" s="628">
        <v>44166</v>
      </c>
      <c r="LQU361" s="629">
        <v>2020</v>
      </c>
      <c r="LQV361" s="630" t="s">
        <v>1870</v>
      </c>
      <c r="LQW361" s="626"/>
      <c r="LQX361" s="627" t="s">
        <v>1669</v>
      </c>
      <c r="LQY361" s="628">
        <v>43831</v>
      </c>
      <c r="LQZ361" s="628">
        <v>43862</v>
      </c>
      <c r="LRA361" s="628">
        <v>43891</v>
      </c>
      <c r="LRB361" s="628">
        <v>43922</v>
      </c>
      <c r="LRC361" s="628">
        <v>43952</v>
      </c>
      <c r="LRD361" s="628">
        <v>43983</v>
      </c>
      <c r="LRE361" s="628">
        <v>44013</v>
      </c>
      <c r="LRF361" s="628">
        <v>44044</v>
      </c>
      <c r="LRG361" s="628">
        <v>44075</v>
      </c>
      <c r="LRH361" s="628">
        <v>44105</v>
      </c>
      <c r="LRI361" s="628">
        <v>44136</v>
      </c>
      <c r="LRJ361" s="628">
        <v>44166</v>
      </c>
      <c r="LRK361" s="629">
        <v>2020</v>
      </c>
      <c r="LRL361" s="630" t="s">
        <v>1870</v>
      </c>
      <c r="LRM361" s="626"/>
      <c r="LRN361" s="627" t="s">
        <v>1669</v>
      </c>
      <c r="LRO361" s="628">
        <v>43831</v>
      </c>
      <c r="LRP361" s="628">
        <v>43862</v>
      </c>
      <c r="LRQ361" s="628">
        <v>43891</v>
      </c>
      <c r="LRR361" s="628">
        <v>43922</v>
      </c>
      <c r="LRS361" s="628">
        <v>43952</v>
      </c>
      <c r="LRT361" s="628">
        <v>43983</v>
      </c>
      <c r="LRU361" s="628">
        <v>44013</v>
      </c>
      <c r="LRV361" s="628">
        <v>44044</v>
      </c>
      <c r="LRW361" s="628">
        <v>44075</v>
      </c>
      <c r="LRX361" s="628">
        <v>44105</v>
      </c>
      <c r="LRY361" s="628">
        <v>44136</v>
      </c>
      <c r="LRZ361" s="628">
        <v>44166</v>
      </c>
      <c r="LSA361" s="629">
        <v>2020</v>
      </c>
      <c r="LSB361" s="630" t="s">
        <v>1870</v>
      </c>
      <c r="LSC361" s="626"/>
      <c r="LSD361" s="627" t="s">
        <v>1669</v>
      </c>
      <c r="LSE361" s="628">
        <v>43831</v>
      </c>
      <c r="LSF361" s="628">
        <v>43862</v>
      </c>
      <c r="LSG361" s="628">
        <v>43891</v>
      </c>
      <c r="LSH361" s="628">
        <v>43922</v>
      </c>
      <c r="LSI361" s="628">
        <v>43952</v>
      </c>
      <c r="LSJ361" s="628">
        <v>43983</v>
      </c>
      <c r="LSK361" s="628">
        <v>44013</v>
      </c>
      <c r="LSL361" s="628">
        <v>44044</v>
      </c>
      <c r="LSM361" s="628">
        <v>44075</v>
      </c>
      <c r="LSN361" s="628">
        <v>44105</v>
      </c>
      <c r="LSO361" s="628">
        <v>44136</v>
      </c>
      <c r="LSP361" s="628">
        <v>44166</v>
      </c>
      <c r="LSQ361" s="629">
        <v>2020</v>
      </c>
      <c r="LSR361" s="630" t="s">
        <v>1870</v>
      </c>
      <c r="LSS361" s="626"/>
      <c r="LST361" s="627" t="s">
        <v>1669</v>
      </c>
      <c r="LSU361" s="628">
        <v>43831</v>
      </c>
      <c r="LSV361" s="628">
        <v>43862</v>
      </c>
      <c r="LSW361" s="628">
        <v>43891</v>
      </c>
      <c r="LSX361" s="628">
        <v>43922</v>
      </c>
      <c r="LSY361" s="628">
        <v>43952</v>
      </c>
      <c r="LSZ361" s="628">
        <v>43983</v>
      </c>
      <c r="LTA361" s="628">
        <v>44013</v>
      </c>
      <c r="LTB361" s="628">
        <v>44044</v>
      </c>
      <c r="LTC361" s="628">
        <v>44075</v>
      </c>
      <c r="LTD361" s="628">
        <v>44105</v>
      </c>
      <c r="LTE361" s="628">
        <v>44136</v>
      </c>
      <c r="LTF361" s="628">
        <v>44166</v>
      </c>
      <c r="LTG361" s="629">
        <v>2020</v>
      </c>
      <c r="LTH361" s="630" t="s">
        <v>1870</v>
      </c>
      <c r="LTI361" s="626"/>
      <c r="LTJ361" s="627" t="s">
        <v>1669</v>
      </c>
      <c r="LTK361" s="628">
        <v>43831</v>
      </c>
      <c r="LTL361" s="628">
        <v>43862</v>
      </c>
      <c r="LTM361" s="628">
        <v>43891</v>
      </c>
      <c r="LTN361" s="628">
        <v>43922</v>
      </c>
      <c r="LTO361" s="628">
        <v>43952</v>
      </c>
      <c r="LTP361" s="628">
        <v>43983</v>
      </c>
      <c r="LTQ361" s="628">
        <v>44013</v>
      </c>
      <c r="LTR361" s="628">
        <v>44044</v>
      </c>
      <c r="LTS361" s="628">
        <v>44075</v>
      </c>
      <c r="LTT361" s="628">
        <v>44105</v>
      </c>
      <c r="LTU361" s="628">
        <v>44136</v>
      </c>
      <c r="LTV361" s="628">
        <v>44166</v>
      </c>
      <c r="LTW361" s="629">
        <v>2020</v>
      </c>
      <c r="LTX361" s="630" t="s">
        <v>1870</v>
      </c>
      <c r="LTY361" s="626"/>
      <c r="LTZ361" s="627" t="s">
        <v>1669</v>
      </c>
      <c r="LUA361" s="628">
        <v>43831</v>
      </c>
      <c r="LUB361" s="628">
        <v>43862</v>
      </c>
      <c r="LUC361" s="628">
        <v>43891</v>
      </c>
      <c r="LUD361" s="628">
        <v>43922</v>
      </c>
      <c r="LUE361" s="628">
        <v>43952</v>
      </c>
      <c r="LUF361" s="628">
        <v>43983</v>
      </c>
      <c r="LUG361" s="628">
        <v>44013</v>
      </c>
      <c r="LUH361" s="628">
        <v>44044</v>
      </c>
      <c r="LUI361" s="628">
        <v>44075</v>
      </c>
      <c r="LUJ361" s="628">
        <v>44105</v>
      </c>
      <c r="LUK361" s="628">
        <v>44136</v>
      </c>
      <c r="LUL361" s="628">
        <v>44166</v>
      </c>
      <c r="LUM361" s="629">
        <v>2020</v>
      </c>
      <c r="LUN361" s="630" t="s">
        <v>1870</v>
      </c>
      <c r="LUO361" s="626"/>
      <c r="LUP361" s="627" t="s">
        <v>1669</v>
      </c>
      <c r="LUQ361" s="628">
        <v>43831</v>
      </c>
      <c r="LUR361" s="628">
        <v>43862</v>
      </c>
      <c r="LUS361" s="628">
        <v>43891</v>
      </c>
      <c r="LUT361" s="628">
        <v>43922</v>
      </c>
      <c r="LUU361" s="628">
        <v>43952</v>
      </c>
      <c r="LUV361" s="628">
        <v>43983</v>
      </c>
      <c r="LUW361" s="628">
        <v>44013</v>
      </c>
      <c r="LUX361" s="628">
        <v>44044</v>
      </c>
      <c r="LUY361" s="628">
        <v>44075</v>
      </c>
      <c r="LUZ361" s="628">
        <v>44105</v>
      </c>
      <c r="LVA361" s="628">
        <v>44136</v>
      </c>
      <c r="LVB361" s="628">
        <v>44166</v>
      </c>
      <c r="LVC361" s="629">
        <v>2020</v>
      </c>
      <c r="LVD361" s="630" t="s">
        <v>1870</v>
      </c>
      <c r="LVE361" s="626"/>
      <c r="LVF361" s="627" t="s">
        <v>1669</v>
      </c>
      <c r="LVG361" s="628">
        <v>43831</v>
      </c>
      <c r="LVH361" s="628">
        <v>43862</v>
      </c>
      <c r="LVI361" s="628">
        <v>43891</v>
      </c>
      <c r="LVJ361" s="628">
        <v>43922</v>
      </c>
      <c r="LVK361" s="628">
        <v>43952</v>
      </c>
      <c r="LVL361" s="628">
        <v>43983</v>
      </c>
      <c r="LVM361" s="628">
        <v>44013</v>
      </c>
      <c r="LVN361" s="628">
        <v>44044</v>
      </c>
      <c r="LVO361" s="628">
        <v>44075</v>
      </c>
      <c r="LVP361" s="628">
        <v>44105</v>
      </c>
      <c r="LVQ361" s="628">
        <v>44136</v>
      </c>
      <c r="LVR361" s="628">
        <v>44166</v>
      </c>
      <c r="LVS361" s="629">
        <v>2020</v>
      </c>
      <c r="LVT361" s="630" t="s">
        <v>1870</v>
      </c>
      <c r="LVU361" s="626"/>
      <c r="LVV361" s="627" t="s">
        <v>1669</v>
      </c>
      <c r="LVW361" s="628">
        <v>43831</v>
      </c>
      <c r="LVX361" s="628">
        <v>43862</v>
      </c>
      <c r="LVY361" s="628">
        <v>43891</v>
      </c>
      <c r="LVZ361" s="628">
        <v>43922</v>
      </c>
      <c r="LWA361" s="628">
        <v>43952</v>
      </c>
      <c r="LWB361" s="628">
        <v>43983</v>
      </c>
      <c r="LWC361" s="628">
        <v>44013</v>
      </c>
      <c r="LWD361" s="628">
        <v>44044</v>
      </c>
      <c r="LWE361" s="628">
        <v>44075</v>
      </c>
      <c r="LWF361" s="628">
        <v>44105</v>
      </c>
      <c r="LWG361" s="628">
        <v>44136</v>
      </c>
      <c r="LWH361" s="628">
        <v>44166</v>
      </c>
      <c r="LWI361" s="629">
        <v>2020</v>
      </c>
      <c r="LWJ361" s="630" t="s">
        <v>1870</v>
      </c>
      <c r="LWK361" s="626"/>
      <c r="LWL361" s="627" t="s">
        <v>1669</v>
      </c>
      <c r="LWM361" s="628">
        <v>43831</v>
      </c>
      <c r="LWN361" s="628">
        <v>43862</v>
      </c>
      <c r="LWO361" s="628">
        <v>43891</v>
      </c>
      <c r="LWP361" s="628">
        <v>43922</v>
      </c>
      <c r="LWQ361" s="628">
        <v>43952</v>
      </c>
      <c r="LWR361" s="628">
        <v>43983</v>
      </c>
      <c r="LWS361" s="628">
        <v>44013</v>
      </c>
      <c r="LWT361" s="628">
        <v>44044</v>
      </c>
      <c r="LWU361" s="628">
        <v>44075</v>
      </c>
      <c r="LWV361" s="628">
        <v>44105</v>
      </c>
      <c r="LWW361" s="628">
        <v>44136</v>
      </c>
      <c r="LWX361" s="628">
        <v>44166</v>
      </c>
      <c r="LWY361" s="629">
        <v>2020</v>
      </c>
      <c r="LWZ361" s="630" t="s">
        <v>1870</v>
      </c>
      <c r="LXA361" s="626"/>
      <c r="LXB361" s="627" t="s">
        <v>1669</v>
      </c>
      <c r="LXC361" s="628">
        <v>43831</v>
      </c>
      <c r="LXD361" s="628">
        <v>43862</v>
      </c>
      <c r="LXE361" s="628">
        <v>43891</v>
      </c>
      <c r="LXF361" s="628">
        <v>43922</v>
      </c>
      <c r="LXG361" s="628">
        <v>43952</v>
      </c>
      <c r="LXH361" s="628">
        <v>43983</v>
      </c>
      <c r="LXI361" s="628">
        <v>44013</v>
      </c>
      <c r="LXJ361" s="628">
        <v>44044</v>
      </c>
      <c r="LXK361" s="628">
        <v>44075</v>
      </c>
      <c r="LXL361" s="628">
        <v>44105</v>
      </c>
      <c r="LXM361" s="628">
        <v>44136</v>
      </c>
      <c r="LXN361" s="628">
        <v>44166</v>
      </c>
      <c r="LXO361" s="629">
        <v>2020</v>
      </c>
      <c r="LXP361" s="630" t="s">
        <v>1870</v>
      </c>
      <c r="LXQ361" s="626"/>
      <c r="LXR361" s="627" t="s">
        <v>1669</v>
      </c>
      <c r="LXS361" s="628">
        <v>43831</v>
      </c>
      <c r="LXT361" s="628">
        <v>43862</v>
      </c>
      <c r="LXU361" s="628">
        <v>43891</v>
      </c>
      <c r="LXV361" s="628">
        <v>43922</v>
      </c>
      <c r="LXW361" s="628">
        <v>43952</v>
      </c>
      <c r="LXX361" s="628">
        <v>43983</v>
      </c>
      <c r="LXY361" s="628">
        <v>44013</v>
      </c>
      <c r="LXZ361" s="628">
        <v>44044</v>
      </c>
      <c r="LYA361" s="628">
        <v>44075</v>
      </c>
      <c r="LYB361" s="628">
        <v>44105</v>
      </c>
      <c r="LYC361" s="628">
        <v>44136</v>
      </c>
      <c r="LYD361" s="628">
        <v>44166</v>
      </c>
      <c r="LYE361" s="629">
        <v>2020</v>
      </c>
      <c r="LYF361" s="630" t="s">
        <v>1870</v>
      </c>
      <c r="LYG361" s="626"/>
      <c r="LYH361" s="627" t="s">
        <v>1669</v>
      </c>
      <c r="LYI361" s="628">
        <v>43831</v>
      </c>
      <c r="LYJ361" s="628">
        <v>43862</v>
      </c>
      <c r="LYK361" s="628">
        <v>43891</v>
      </c>
      <c r="LYL361" s="628">
        <v>43922</v>
      </c>
      <c r="LYM361" s="628">
        <v>43952</v>
      </c>
      <c r="LYN361" s="628">
        <v>43983</v>
      </c>
      <c r="LYO361" s="628">
        <v>44013</v>
      </c>
      <c r="LYP361" s="628">
        <v>44044</v>
      </c>
      <c r="LYQ361" s="628">
        <v>44075</v>
      </c>
      <c r="LYR361" s="628">
        <v>44105</v>
      </c>
      <c r="LYS361" s="628">
        <v>44136</v>
      </c>
      <c r="LYT361" s="628">
        <v>44166</v>
      </c>
      <c r="LYU361" s="629">
        <v>2020</v>
      </c>
      <c r="LYV361" s="630" t="s">
        <v>1870</v>
      </c>
      <c r="LYW361" s="626"/>
      <c r="LYX361" s="627" t="s">
        <v>1669</v>
      </c>
      <c r="LYY361" s="628">
        <v>43831</v>
      </c>
      <c r="LYZ361" s="628">
        <v>43862</v>
      </c>
      <c r="LZA361" s="628">
        <v>43891</v>
      </c>
      <c r="LZB361" s="628">
        <v>43922</v>
      </c>
      <c r="LZC361" s="628">
        <v>43952</v>
      </c>
      <c r="LZD361" s="628">
        <v>43983</v>
      </c>
      <c r="LZE361" s="628">
        <v>44013</v>
      </c>
      <c r="LZF361" s="628">
        <v>44044</v>
      </c>
      <c r="LZG361" s="628">
        <v>44075</v>
      </c>
      <c r="LZH361" s="628">
        <v>44105</v>
      </c>
      <c r="LZI361" s="628">
        <v>44136</v>
      </c>
      <c r="LZJ361" s="628">
        <v>44166</v>
      </c>
      <c r="LZK361" s="629">
        <v>2020</v>
      </c>
      <c r="LZL361" s="630" t="s">
        <v>1870</v>
      </c>
      <c r="LZM361" s="626"/>
      <c r="LZN361" s="627" t="s">
        <v>1669</v>
      </c>
      <c r="LZO361" s="628">
        <v>43831</v>
      </c>
      <c r="LZP361" s="628">
        <v>43862</v>
      </c>
      <c r="LZQ361" s="628">
        <v>43891</v>
      </c>
      <c r="LZR361" s="628">
        <v>43922</v>
      </c>
      <c r="LZS361" s="628">
        <v>43952</v>
      </c>
      <c r="LZT361" s="628">
        <v>43983</v>
      </c>
      <c r="LZU361" s="628">
        <v>44013</v>
      </c>
      <c r="LZV361" s="628">
        <v>44044</v>
      </c>
      <c r="LZW361" s="628">
        <v>44075</v>
      </c>
      <c r="LZX361" s="628">
        <v>44105</v>
      </c>
      <c r="LZY361" s="628">
        <v>44136</v>
      </c>
      <c r="LZZ361" s="628">
        <v>44166</v>
      </c>
      <c r="MAA361" s="629">
        <v>2020</v>
      </c>
      <c r="MAB361" s="630" t="s">
        <v>1870</v>
      </c>
      <c r="MAC361" s="626"/>
      <c r="MAD361" s="627" t="s">
        <v>1669</v>
      </c>
      <c r="MAE361" s="628">
        <v>43831</v>
      </c>
      <c r="MAF361" s="628">
        <v>43862</v>
      </c>
      <c r="MAG361" s="628">
        <v>43891</v>
      </c>
      <c r="MAH361" s="628">
        <v>43922</v>
      </c>
      <c r="MAI361" s="628">
        <v>43952</v>
      </c>
      <c r="MAJ361" s="628">
        <v>43983</v>
      </c>
      <c r="MAK361" s="628">
        <v>44013</v>
      </c>
      <c r="MAL361" s="628">
        <v>44044</v>
      </c>
      <c r="MAM361" s="628">
        <v>44075</v>
      </c>
      <c r="MAN361" s="628">
        <v>44105</v>
      </c>
      <c r="MAO361" s="628">
        <v>44136</v>
      </c>
      <c r="MAP361" s="628">
        <v>44166</v>
      </c>
      <c r="MAQ361" s="629">
        <v>2020</v>
      </c>
      <c r="MAR361" s="630" t="s">
        <v>1870</v>
      </c>
      <c r="MAS361" s="626"/>
      <c r="MAT361" s="627" t="s">
        <v>1669</v>
      </c>
      <c r="MAU361" s="628">
        <v>43831</v>
      </c>
      <c r="MAV361" s="628">
        <v>43862</v>
      </c>
      <c r="MAW361" s="628">
        <v>43891</v>
      </c>
      <c r="MAX361" s="628">
        <v>43922</v>
      </c>
      <c r="MAY361" s="628">
        <v>43952</v>
      </c>
      <c r="MAZ361" s="628">
        <v>43983</v>
      </c>
      <c r="MBA361" s="628">
        <v>44013</v>
      </c>
      <c r="MBB361" s="628">
        <v>44044</v>
      </c>
      <c r="MBC361" s="628">
        <v>44075</v>
      </c>
      <c r="MBD361" s="628">
        <v>44105</v>
      </c>
      <c r="MBE361" s="628">
        <v>44136</v>
      </c>
      <c r="MBF361" s="628">
        <v>44166</v>
      </c>
      <c r="MBG361" s="629">
        <v>2020</v>
      </c>
      <c r="MBH361" s="630" t="s">
        <v>1870</v>
      </c>
      <c r="MBI361" s="626"/>
      <c r="MBJ361" s="627" t="s">
        <v>1669</v>
      </c>
      <c r="MBK361" s="628">
        <v>43831</v>
      </c>
      <c r="MBL361" s="628">
        <v>43862</v>
      </c>
      <c r="MBM361" s="628">
        <v>43891</v>
      </c>
      <c r="MBN361" s="628">
        <v>43922</v>
      </c>
      <c r="MBO361" s="628">
        <v>43952</v>
      </c>
      <c r="MBP361" s="628">
        <v>43983</v>
      </c>
      <c r="MBQ361" s="628">
        <v>44013</v>
      </c>
      <c r="MBR361" s="628">
        <v>44044</v>
      </c>
      <c r="MBS361" s="628">
        <v>44075</v>
      </c>
      <c r="MBT361" s="628">
        <v>44105</v>
      </c>
      <c r="MBU361" s="628">
        <v>44136</v>
      </c>
      <c r="MBV361" s="628">
        <v>44166</v>
      </c>
      <c r="MBW361" s="629">
        <v>2020</v>
      </c>
      <c r="MBX361" s="630" t="s">
        <v>1870</v>
      </c>
      <c r="MBY361" s="626"/>
      <c r="MBZ361" s="627" t="s">
        <v>1669</v>
      </c>
      <c r="MCA361" s="628">
        <v>43831</v>
      </c>
      <c r="MCB361" s="628">
        <v>43862</v>
      </c>
      <c r="MCC361" s="628">
        <v>43891</v>
      </c>
      <c r="MCD361" s="628">
        <v>43922</v>
      </c>
      <c r="MCE361" s="628">
        <v>43952</v>
      </c>
      <c r="MCF361" s="628">
        <v>43983</v>
      </c>
      <c r="MCG361" s="628">
        <v>44013</v>
      </c>
      <c r="MCH361" s="628">
        <v>44044</v>
      </c>
      <c r="MCI361" s="628">
        <v>44075</v>
      </c>
      <c r="MCJ361" s="628">
        <v>44105</v>
      </c>
      <c r="MCK361" s="628">
        <v>44136</v>
      </c>
      <c r="MCL361" s="628">
        <v>44166</v>
      </c>
      <c r="MCM361" s="629">
        <v>2020</v>
      </c>
      <c r="MCN361" s="630" t="s">
        <v>1870</v>
      </c>
      <c r="MCO361" s="626"/>
      <c r="MCP361" s="627" t="s">
        <v>1669</v>
      </c>
      <c r="MCQ361" s="628">
        <v>43831</v>
      </c>
      <c r="MCR361" s="628">
        <v>43862</v>
      </c>
      <c r="MCS361" s="628">
        <v>43891</v>
      </c>
      <c r="MCT361" s="628">
        <v>43922</v>
      </c>
      <c r="MCU361" s="628">
        <v>43952</v>
      </c>
      <c r="MCV361" s="628">
        <v>43983</v>
      </c>
      <c r="MCW361" s="628">
        <v>44013</v>
      </c>
      <c r="MCX361" s="628">
        <v>44044</v>
      </c>
      <c r="MCY361" s="628">
        <v>44075</v>
      </c>
      <c r="MCZ361" s="628">
        <v>44105</v>
      </c>
      <c r="MDA361" s="628">
        <v>44136</v>
      </c>
      <c r="MDB361" s="628">
        <v>44166</v>
      </c>
      <c r="MDC361" s="629">
        <v>2020</v>
      </c>
      <c r="MDD361" s="630" t="s">
        <v>1870</v>
      </c>
      <c r="MDE361" s="626"/>
      <c r="MDF361" s="627" t="s">
        <v>1669</v>
      </c>
      <c r="MDG361" s="628">
        <v>43831</v>
      </c>
      <c r="MDH361" s="628">
        <v>43862</v>
      </c>
      <c r="MDI361" s="628">
        <v>43891</v>
      </c>
      <c r="MDJ361" s="628">
        <v>43922</v>
      </c>
      <c r="MDK361" s="628">
        <v>43952</v>
      </c>
      <c r="MDL361" s="628">
        <v>43983</v>
      </c>
      <c r="MDM361" s="628">
        <v>44013</v>
      </c>
      <c r="MDN361" s="628">
        <v>44044</v>
      </c>
      <c r="MDO361" s="628">
        <v>44075</v>
      </c>
      <c r="MDP361" s="628">
        <v>44105</v>
      </c>
      <c r="MDQ361" s="628">
        <v>44136</v>
      </c>
      <c r="MDR361" s="628">
        <v>44166</v>
      </c>
      <c r="MDS361" s="629">
        <v>2020</v>
      </c>
      <c r="MDT361" s="630" t="s">
        <v>1870</v>
      </c>
      <c r="MDU361" s="626"/>
      <c r="MDV361" s="627" t="s">
        <v>1669</v>
      </c>
      <c r="MDW361" s="628">
        <v>43831</v>
      </c>
      <c r="MDX361" s="628">
        <v>43862</v>
      </c>
      <c r="MDY361" s="628">
        <v>43891</v>
      </c>
      <c r="MDZ361" s="628">
        <v>43922</v>
      </c>
      <c r="MEA361" s="628">
        <v>43952</v>
      </c>
      <c r="MEB361" s="628">
        <v>43983</v>
      </c>
      <c r="MEC361" s="628">
        <v>44013</v>
      </c>
      <c r="MED361" s="628">
        <v>44044</v>
      </c>
      <c r="MEE361" s="628">
        <v>44075</v>
      </c>
      <c r="MEF361" s="628">
        <v>44105</v>
      </c>
      <c r="MEG361" s="628">
        <v>44136</v>
      </c>
      <c r="MEH361" s="628">
        <v>44166</v>
      </c>
      <c r="MEI361" s="629">
        <v>2020</v>
      </c>
      <c r="MEJ361" s="630" t="s">
        <v>1870</v>
      </c>
      <c r="MEK361" s="626"/>
      <c r="MEL361" s="627" t="s">
        <v>1669</v>
      </c>
      <c r="MEM361" s="628">
        <v>43831</v>
      </c>
      <c r="MEN361" s="628">
        <v>43862</v>
      </c>
      <c r="MEO361" s="628">
        <v>43891</v>
      </c>
      <c r="MEP361" s="628">
        <v>43922</v>
      </c>
      <c r="MEQ361" s="628">
        <v>43952</v>
      </c>
      <c r="MER361" s="628">
        <v>43983</v>
      </c>
      <c r="MES361" s="628">
        <v>44013</v>
      </c>
      <c r="MET361" s="628">
        <v>44044</v>
      </c>
      <c r="MEU361" s="628">
        <v>44075</v>
      </c>
      <c r="MEV361" s="628">
        <v>44105</v>
      </c>
      <c r="MEW361" s="628">
        <v>44136</v>
      </c>
      <c r="MEX361" s="628">
        <v>44166</v>
      </c>
      <c r="MEY361" s="629">
        <v>2020</v>
      </c>
      <c r="MEZ361" s="630" t="s">
        <v>1870</v>
      </c>
      <c r="MFA361" s="626"/>
      <c r="MFB361" s="627" t="s">
        <v>1669</v>
      </c>
      <c r="MFC361" s="628">
        <v>43831</v>
      </c>
      <c r="MFD361" s="628">
        <v>43862</v>
      </c>
      <c r="MFE361" s="628">
        <v>43891</v>
      </c>
      <c r="MFF361" s="628">
        <v>43922</v>
      </c>
      <c r="MFG361" s="628">
        <v>43952</v>
      </c>
      <c r="MFH361" s="628">
        <v>43983</v>
      </c>
      <c r="MFI361" s="628">
        <v>44013</v>
      </c>
      <c r="MFJ361" s="628">
        <v>44044</v>
      </c>
      <c r="MFK361" s="628">
        <v>44075</v>
      </c>
      <c r="MFL361" s="628">
        <v>44105</v>
      </c>
      <c r="MFM361" s="628">
        <v>44136</v>
      </c>
      <c r="MFN361" s="628">
        <v>44166</v>
      </c>
      <c r="MFO361" s="629">
        <v>2020</v>
      </c>
      <c r="MFP361" s="630" t="s">
        <v>1870</v>
      </c>
      <c r="MFQ361" s="626"/>
      <c r="MFR361" s="627" t="s">
        <v>1669</v>
      </c>
      <c r="MFS361" s="628">
        <v>43831</v>
      </c>
      <c r="MFT361" s="628">
        <v>43862</v>
      </c>
      <c r="MFU361" s="628">
        <v>43891</v>
      </c>
      <c r="MFV361" s="628">
        <v>43922</v>
      </c>
      <c r="MFW361" s="628">
        <v>43952</v>
      </c>
      <c r="MFX361" s="628">
        <v>43983</v>
      </c>
      <c r="MFY361" s="628">
        <v>44013</v>
      </c>
      <c r="MFZ361" s="628">
        <v>44044</v>
      </c>
      <c r="MGA361" s="628">
        <v>44075</v>
      </c>
      <c r="MGB361" s="628">
        <v>44105</v>
      </c>
      <c r="MGC361" s="628">
        <v>44136</v>
      </c>
      <c r="MGD361" s="628">
        <v>44166</v>
      </c>
      <c r="MGE361" s="629">
        <v>2020</v>
      </c>
      <c r="MGF361" s="630" t="s">
        <v>1870</v>
      </c>
      <c r="MGG361" s="626"/>
      <c r="MGH361" s="627" t="s">
        <v>1669</v>
      </c>
      <c r="MGI361" s="628">
        <v>43831</v>
      </c>
      <c r="MGJ361" s="628">
        <v>43862</v>
      </c>
      <c r="MGK361" s="628">
        <v>43891</v>
      </c>
      <c r="MGL361" s="628">
        <v>43922</v>
      </c>
      <c r="MGM361" s="628">
        <v>43952</v>
      </c>
      <c r="MGN361" s="628">
        <v>43983</v>
      </c>
      <c r="MGO361" s="628">
        <v>44013</v>
      </c>
      <c r="MGP361" s="628">
        <v>44044</v>
      </c>
      <c r="MGQ361" s="628">
        <v>44075</v>
      </c>
      <c r="MGR361" s="628">
        <v>44105</v>
      </c>
      <c r="MGS361" s="628">
        <v>44136</v>
      </c>
      <c r="MGT361" s="628">
        <v>44166</v>
      </c>
      <c r="MGU361" s="629">
        <v>2020</v>
      </c>
      <c r="MGV361" s="630" t="s">
        <v>1870</v>
      </c>
      <c r="MGW361" s="626"/>
      <c r="MGX361" s="627" t="s">
        <v>1669</v>
      </c>
      <c r="MGY361" s="628">
        <v>43831</v>
      </c>
      <c r="MGZ361" s="628">
        <v>43862</v>
      </c>
      <c r="MHA361" s="628">
        <v>43891</v>
      </c>
      <c r="MHB361" s="628">
        <v>43922</v>
      </c>
      <c r="MHC361" s="628">
        <v>43952</v>
      </c>
      <c r="MHD361" s="628">
        <v>43983</v>
      </c>
      <c r="MHE361" s="628">
        <v>44013</v>
      </c>
      <c r="MHF361" s="628">
        <v>44044</v>
      </c>
      <c r="MHG361" s="628">
        <v>44075</v>
      </c>
      <c r="MHH361" s="628">
        <v>44105</v>
      </c>
      <c r="MHI361" s="628">
        <v>44136</v>
      </c>
      <c r="MHJ361" s="628">
        <v>44166</v>
      </c>
      <c r="MHK361" s="629">
        <v>2020</v>
      </c>
      <c r="MHL361" s="630" t="s">
        <v>1870</v>
      </c>
      <c r="MHM361" s="626"/>
      <c r="MHN361" s="627" t="s">
        <v>1669</v>
      </c>
      <c r="MHO361" s="628">
        <v>43831</v>
      </c>
      <c r="MHP361" s="628">
        <v>43862</v>
      </c>
      <c r="MHQ361" s="628">
        <v>43891</v>
      </c>
      <c r="MHR361" s="628">
        <v>43922</v>
      </c>
      <c r="MHS361" s="628">
        <v>43952</v>
      </c>
      <c r="MHT361" s="628">
        <v>43983</v>
      </c>
      <c r="MHU361" s="628">
        <v>44013</v>
      </c>
      <c r="MHV361" s="628">
        <v>44044</v>
      </c>
      <c r="MHW361" s="628">
        <v>44075</v>
      </c>
      <c r="MHX361" s="628">
        <v>44105</v>
      </c>
      <c r="MHY361" s="628">
        <v>44136</v>
      </c>
      <c r="MHZ361" s="628">
        <v>44166</v>
      </c>
      <c r="MIA361" s="629">
        <v>2020</v>
      </c>
      <c r="MIB361" s="630" t="s">
        <v>1870</v>
      </c>
      <c r="MIC361" s="626"/>
      <c r="MID361" s="627" t="s">
        <v>1669</v>
      </c>
      <c r="MIE361" s="628">
        <v>43831</v>
      </c>
      <c r="MIF361" s="628">
        <v>43862</v>
      </c>
      <c r="MIG361" s="628">
        <v>43891</v>
      </c>
      <c r="MIH361" s="628">
        <v>43922</v>
      </c>
      <c r="MII361" s="628">
        <v>43952</v>
      </c>
      <c r="MIJ361" s="628">
        <v>43983</v>
      </c>
      <c r="MIK361" s="628">
        <v>44013</v>
      </c>
      <c r="MIL361" s="628">
        <v>44044</v>
      </c>
      <c r="MIM361" s="628">
        <v>44075</v>
      </c>
      <c r="MIN361" s="628">
        <v>44105</v>
      </c>
      <c r="MIO361" s="628">
        <v>44136</v>
      </c>
      <c r="MIP361" s="628">
        <v>44166</v>
      </c>
      <c r="MIQ361" s="629">
        <v>2020</v>
      </c>
      <c r="MIR361" s="630" t="s">
        <v>1870</v>
      </c>
      <c r="MIS361" s="626"/>
      <c r="MIT361" s="627" t="s">
        <v>1669</v>
      </c>
      <c r="MIU361" s="628">
        <v>43831</v>
      </c>
      <c r="MIV361" s="628">
        <v>43862</v>
      </c>
      <c r="MIW361" s="628">
        <v>43891</v>
      </c>
      <c r="MIX361" s="628">
        <v>43922</v>
      </c>
      <c r="MIY361" s="628">
        <v>43952</v>
      </c>
      <c r="MIZ361" s="628">
        <v>43983</v>
      </c>
      <c r="MJA361" s="628">
        <v>44013</v>
      </c>
      <c r="MJB361" s="628">
        <v>44044</v>
      </c>
      <c r="MJC361" s="628">
        <v>44075</v>
      </c>
      <c r="MJD361" s="628">
        <v>44105</v>
      </c>
      <c r="MJE361" s="628">
        <v>44136</v>
      </c>
      <c r="MJF361" s="628">
        <v>44166</v>
      </c>
      <c r="MJG361" s="629">
        <v>2020</v>
      </c>
      <c r="MJH361" s="630" t="s">
        <v>1870</v>
      </c>
      <c r="MJI361" s="626"/>
      <c r="MJJ361" s="627" t="s">
        <v>1669</v>
      </c>
      <c r="MJK361" s="628">
        <v>43831</v>
      </c>
      <c r="MJL361" s="628">
        <v>43862</v>
      </c>
      <c r="MJM361" s="628">
        <v>43891</v>
      </c>
      <c r="MJN361" s="628">
        <v>43922</v>
      </c>
      <c r="MJO361" s="628">
        <v>43952</v>
      </c>
      <c r="MJP361" s="628">
        <v>43983</v>
      </c>
      <c r="MJQ361" s="628">
        <v>44013</v>
      </c>
      <c r="MJR361" s="628">
        <v>44044</v>
      </c>
      <c r="MJS361" s="628">
        <v>44075</v>
      </c>
      <c r="MJT361" s="628">
        <v>44105</v>
      </c>
      <c r="MJU361" s="628">
        <v>44136</v>
      </c>
      <c r="MJV361" s="628">
        <v>44166</v>
      </c>
      <c r="MJW361" s="629">
        <v>2020</v>
      </c>
      <c r="MJX361" s="630" t="s">
        <v>1870</v>
      </c>
      <c r="MJY361" s="626"/>
      <c r="MJZ361" s="627" t="s">
        <v>1669</v>
      </c>
      <c r="MKA361" s="628">
        <v>43831</v>
      </c>
      <c r="MKB361" s="628">
        <v>43862</v>
      </c>
      <c r="MKC361" s="628">
        <v>43891</v>
      </c>
      <c r="MKD361" s="628">
        <v>43922</v>
      </c>
      <c r="MKE361" s="628">
        <v>43952</v>
      </c>
      <c r="MKF361" s="628">
        <v>43983</v>
      </c>
      <c r="MKG361" s="628">
        <v>44013</v>
      </c>
      <c r="MKH361" s="628">
        <v>44044</v>
      </c>
      <c r="MKI361" s="628">
        <v>44075</v>
      </c>
      <c r="MKJ361" s="628">
        <v>44105</v>
      </c>
      <c r="MKK361" s="628">
        <v>44136</v>
      </c>
      <c r="MKL361" s="628">
        <v>44166</v>
      </c>
      <c r="MKM361" s="629">
        <v>2020</v>
      </c>
      <c r="MKN361" s="630" t="s">
        <v>1870</v>
      </c>
      <c r="MKO361" s="626"/>
      <c r="MKP361" s="627" t="s">
        <v>1669</v>
      </c>
      <c r="MKQ361" s="628">
        <v>43831</v>
      </c>
      <c r="MKR361" s="628">
        <v>43862</v>
      </c>
      <c r="MKS361" s="628">
        <v>43891</v>
      </c>
      <c r="MKT361" s="628">
        <v>43922</v>
      </c>
      <c r="MKU361" s="628">
        <v>43952</v>
      </c>
      <c r="MKV361" s="628">
        <v>43983</v>
      </c>
      <c r="MKW361" s="628">
        <v>44013</v>
      </c>
      <c r="MKX361" s="628">
        <v>44044</v>
      </c>
      <c r="MKY361" s="628">
        <v>44075</v>
      </c>
      <c r="MKZ361" s="628">
        <v>44105</v>
      </c>
      <c r="MLA361" s="628">
        <v>44136</v>
      </c>
      <c r="MLB361" s="628">
        <v>44166</v>
      </c>
      <c r="MLC361" s="629">
        <v>2020</v>
      </c>
      <c r="MLD361" s="630" t="s">
        <v>1870</v>
      </c>
      <c r="MLE361" s="626"/>
      <c r="MLF361" s="627" t="s">
        <v>1669</v>
      </c>
      <c r="MLG361" s="628">
        <v>43831</v>
      </c>
      <c r="MLH361" s="628">
        <v>43862</v>
      </c>
      <c r="MLI361" s="628">
        <v>43891</v>
      </c>
      <c r="MLJ361" s="628">
        <v>43922</v>
      </c>
      <c r="MLK361" s="628">
        <v>43952</v>
      </c>
      <c r="MLL361" s="628">
        <v>43983</v>
      </c>
      <c r="MLM361" s="628">
        <v>44013</v>
      </c>
      <c r="MLN361" s="628">
        <v>44044</v>
      </c>
      <c r="MLO361" s="628">
        <v>44075</v>
      </c>
      <c r="MLP361" s="628">
        <v>44105</v>
      </c>
      <c r="MLQ361" s="628">
        <v>44136</v>
      </c>
      <c r="MLR361" s="628">
        <v>44166</v>
      </c>
      <c r="MLS361" s="629">
        <v>2020</v>
      </c>
      <c r="MLT361" s="630" t="s">
        <v>1870</v>
      </c>
      <c r="MLU361" s="626"/>
      <c r="MLV361" s="627" t="s">
        <v>1669</v>
      </c>
      <c r="MLW361" s="628">
        <v>43831</v>
      </c>
      <c r="MLX361" s="628">
        <v>43862</v>
      </c>
      <c r="MLY361" s="628">
        <v>43891</v>
      </c>
      <c r="MLZ361" s="628">
        <v>43922</v>
      </c>
      <c r="MMA361" s="628">
        <v>43952</v>
      </c>
      <c r="MMB361" s="628">
        <v>43983</v>
      </c>
      <c r="MMC361" s="628">
        <v>44013</v>
      </c>
      <c r="MMD361" s="628">
        <v>44044</v>
      </c>
      <c r="MME361" s="628">
        <v>44075</v>
      </c>
      <c r="MMF361" s="628">
        <v>44105</v>
      </c>
      <c r="MMG361" s="628">
        <v>44136</v>
      </c>
      <c r="MMH361" s="628">
        <v>44166</v>
      </c>
      <c r="MMI361" s="629">
        <v>2020</v>
      </c>
      <c r="MMJ361" s="630" t="s">
        <v>1870</v>
      </c>
      <c r="MMK361" s="626"/>
      <c r="MML361" s="627" t="s">
        <v>1669</v>
      </c>
      <c r="MMM361" s="628">
        <v>43831</v>
      </c>
      <c r="MMN361" s="628">
        <v>43862</v>
      </c>
      <c r="MMO361" s="628">
        <v>43891</v>
      </c>
      <c r="MMP361" s="628">
        <v>43922</v>
      </c>
      <c r="MMQ361" s="628">
        <v>43952</v>
      </c>
      <c r="MMR361" s="628">
        <v>43983</v>
      </c>
      <c r="MMS361" s="628">
        <v>44013</v>
      </c>
      <c r="MMT361" s="628">
        <v>44044</v>
      </c>
      <c r="MMU361" s="628">
        <v>44075</v>
      </c>
      <c r="MMV361" s="628">
        <v>44105</v>
      </c>
      <c r="MMW361" s="628">
        <v>44136</v>
      </c>
      <c r="MMX361" s="628">
        <v>44166</v>
      </c>
      <c r="MMY361" s="629">
        <v>2020</v>
      </c>
      <c r="MMZ361" s="630" t="s">
        <v>1870</v>
      </c>
      <c r="MNA361" s="626"/>
      <c r="MNB361" s="627" t="s">
        <v>1669</v>
      </c>
      <c r="MNC361" s="628">
        <v>43831</v>
      </c>
      <c r="MND361" s="628">
        <v>43862</v>
      </c>
      <c r="MNE361" s="628">
        <v>43891</v>
      </c>
      <c r="MNF361" s="628">
        <v>43922</v>
      </c>
      <c r="MNG361" s="628">
        <v>43952</v>
      </c>
      <c r="MNH361" s="628">
        <v>43983</v>
      </c>
      <c r="MNI361" s="628">
        <v>44013</v>
      </c>
      <c r="MNJ361" s="628">
        <v>44044</v>
      </c>
      <c r="MNK361" s="628">
        <v>44075</v>
      </c>
      <c r="MNL361" s="628">
        <v>44105</v>
      </c>
      <c r="MNM361" s="628">
        <v>44136</v>
      </c>
      <c r="MNN361" s="628">
        <v>44166</v>
      </c>
      <c r="MNO361" s="629">
        <v>2020</v>
      </c>
      <c r="MNP361" s="630" t="s">
        <v>1870</v>
      </c>
      <c r="MNQ361" s="626"/>
      <c r="MNR361" s="627" t="s">
        <v>1669</v>
      </c>
      <c r="MNS361" s="628">
        <v>43831</v>
      </c>
      <c r="MNT361" s="628">
        <v>43862</v>
      </c>
      <c r="MNU361" s="628">
        <v>43891</v>
      </c>
      <c r="MNV361" s="628">
        <v>43922</v>
      </c>
      <c r="MNW361" s="628">
        <v>43952</v>
      </c>
      <c r="MNX361" s="628">
        <v>43983</v>
      </c>
      <c r="MNY361" s="628">
        <v>44013</v>
      </c>
      <c r="MNZ361" s="628">
        <v>44044</v>
      </c>
      <c r="MOA361" s="628">
        <v>44075</v>
      </c>
      <c r="MOB361" s="628">
        <v>44105</v>
      </c>
      <c r="MOC361" s="628">
        <v>44136</v>
      </c>
      <c r="MOD361" s="628">
        <v>44166</v>
      </c>
      <c r="MOE361" s="629">
        <v>2020</v>
      </c>
      <c r="MOF361" s="630" t="s">
        <v>1870</v>
      </c>
      <c r="MOG361" s="626"/>
      <c r="MOH361" s="627" t="s">
        <v>1669</v>
      </c>
      <c r="MOI361" s="628">
        <v>43831</v>
      </c>
      <c r="MOJ361" s="628">
        <v>43862</v>
      </c>
      <c r="MOK361" s="628">
        <v>43891</v>
      </c>
      <c r="MOL361" s="628">
        <v>43922</v>
      </c>
      <c r="MOM361" s="628">
        <v>43952</v>
      </c>
      <c r="MON361" s="628">
        <v>43983</v>
      </c>
      <c r="MOO361" s="628">
        <v>44013</v>
      </c>
      <c r="MOP361" s="628">
        <v>44044</v>
      </c>
      <c r="MOQ361" s="628">
        <v>44075</v>
      </c>
      <c r="MOR361" s="628">
        <v>44105</v>
      </c>
      <c r="MOS361" s="628">
        <v>44136</v>
      </c>
      <c r="MOT361" s="628">
        <v>44166</v>
      </c>
      <c r="MOU361" s="629">
        <v>2020</v>
      </c>
      <c r="MOV361" s="630" t="s">
        <v>1870</v>
      </c>
      <c r="MOW361" s="626"/>
      <c r="MOX361" s="627" t="s">
        <v>1669</v>
      </c>
      <c r="MOY361" s="628">
        <v>43831</v>
      </c>
      <c r="MOZ361" s="628">
        <v>43862</v>
      </c>
      <c r="MPA361" s="628">
        <v>43891</v>
      </c>
      <c r="MPB361" s="628">
        <v>43922</v>
      </c>
      <c r="MPC361" s="628">
        <v>43952</v>
      </c>
      <c r="MPD361" s="628">
        <v>43983</v>
      </c>
      <c r="MPE361" s="628">
        <v>44013</v>
      </c>
      <c r="MPF361" s="628">
        <v>44044</v>
      </c>
      <c r="MPG361" s="628">
        <v>44075</v>
      </c>
      <c r="MPH361" s="628">
        <v>44105</v>
      </c>
      <c r="MPI361" s="628">
        <v>44136</v>
      </c>
      <c r="MPJ361" s="628">
        <v>44166</v>
      </c>
      <c r="MPK361" s="629">
        <v>2020</v>
      </c>
      <c r="MPL361" s="630" t="s">
        <v>1870</v>
      </c>
      <c r="MPM361" s="626"/>
      <c r="MPN361" s="627" t="s">
        <v>1669</v>
      </c>
      <c r="MPO361" s="628">
        <v>43831</v>
      </c>
      <c r="MPP361" s="628">
        <v>43862</v>
      </c>
      <c r="MPQ361" s="628">
        <v>43891</v>
      </c>
      <c r="MPR361" s="628">
        <v>43922</v>
      </c>
      <c r="MPS361" s="628">
        <v>43952</v>
      </c>
      <c r="MPT361" s="628">
        <v>43983</v>
      </c>
      <c r="MPU361" s="628">
        <v>44013</v>
      </c>
      <c r="MPV361" s="628">
        <v>44044</v>
      </c>
      <c r="MPW361" s="628">
        <v>44075</v>
      </c>
      <c r="MPX361" s="628">
        <v>44105</v>
      </c>
      <c r="MPY361" s="628">
        <v>44136</v>
      </c>
      <c r="MPZ361" s="628">
        <v>44166</v>
      </c>
      <c r="MQA361" s="629">
        <v>2020</v>
      </c>
      <c r="MQB361" s="630" t="s">
        <v>1870</v>
      </c>
      <c r="MQC361" s="626"/>
      <c r="MQD361" s="627" t="s">
        <v>1669</v>
      </c>
      <c r="MQE361" s="628">
        <v>43831</v>
      </c>
      <c r="MQF361" s="628">
        <v>43862</v>
      </c>
      <c r="MQG361" s="628">
        <v>43891</v>
      </c>
      <c r="MQH361" s="628">
        <v>43922</v>
      </c>
      <c r="MQI361" s="628">
        <v>43952</v>
      </c>
      <c r="MQJ361" s="628">
        <v>43983</v>
      </c>
      <c r="MQK361" s="628">
        <v>44013</v>
      </c>
      <c r="MQL361" s="628">
        <v>44044</v>
      </c>
      <c r="MQM361" s="628">
        <v>44075</v>
      </c>
      <c r="MQN361" s="628">
        <v>44105</v>
      </c>
      <c r="MQO361" s="628">
        <v>44136</v>
      </c>
      <c r="MQP361" s="628">
        <v>44166</v>
      </c>
      <c r="MQQ361" s="629">
        <v>2020</v>
      </c>
      <c r="MQR361" s="630" t="s">
        <v>1870</v>
      </c>
      <c r="MQS361" s="626"/>
      <c r="MQT361" s="627" t="s">
        <v>1669</v>
      </c>
      <c r="MQU361" s="628">
        <v>43831</v>
      </c>
      <c r="MQV361" s="628">
        <v>43862</v>
      </c>
      <c r="MQW361" s="628">
        <v>43891</v>
      </c>
      <c r="MQX361" s="628">
        <v>43922</v>
      </c>
      <c r="MQY361" s="628">
        <v>43952</v>
      </c>
      <c r="MQZ361" s="628">
        <v>43983</v>
      </c>
      <c r="MRA361" s="628">
        <v>44013</v>
      </c>
      <c r="MRB361" s="628">
        <v>44044</v>
      </c>
      <c r="MRC361" s="628">
        <v>44075</v>
      </c>
      <c r="MRD361" s="628">
        <v>44105</v>
      </c>
      <c r="MRE361" s="628">
        <v>44136</v>
      </c>
      <c r="MRF361" s="628">
        <v>44166</v>
      </c>
      <c r="MRG361" s="629">
        <v>2020</v>
      </c>
      <c r="MRH361" s="630" t="s">
        <v>1870</v>
      </c>
      <c r="MRI361" s="626"/>
      <c r="MRJ361" s="627" t="s">
        <v>1669</v>
      </c>
      <c r="MRK361" s="628">
        <v>43831</v>
      </c>
      <c r="MRL361" s="628">
        <v>43862</v>
      </c>
      <c r="MRM361" s="628">
        <v>43891</v>
      </c>
      <c r="MRN361" s="628">
        <v>43922</v>
      </c>
      <c r="MRO361" s="628">
        <v>43952</v>
      </c>
      <c r="MRP361" s="628">
        <v>43983</v>
      </c>
      <c r="MRQ361" s="628">
        <v>44013</v>
      </c>
      <c r="MRR361" s="628">
        <v>44044</v>
      </c>
      <c r="MRS361" s="628">
        <v>44075</v>
      </c>
      <c r="MRT361" s="628">
        <v>44105</v>
      </c>
      <c r="MRU361" s="628">
        <v>44136</v>
      </c>
      <c r="MRV361" s="628">
        <v>44166</v>
      </c>
      <c r="MRW361" s="629">
        <v>2020</v>
      </c>
      <c r="MRX361" s="630" t="s">
        <v>1870</v>
      </c>
      <c r="MRY361" s="626"/>
      <c r="MRZ361" s="627" t="s">
        <v>1669</v>
      </c>
      <c r="MSA361" s="628">
        <v>43831</v>
      </c>
      <c r="MSB361" s="628">
        <v>43862</v>
      </c>
      <c r="MSC361" s="628">
        <v>43891</v>
      </c>
      <c r="MSD361" s="628">
        <v>43922</v>
      </c>
      <c r="MSE361" s="628">
        <v>43952</v>
      </c>
      <c r="MSF361" s="628">
        <v>43983</v>
      </c>
      <c r="MSG361" s="628">
        <v>44013</v>
      </c>
      <c r="MSH361" s="628">
        <v>44044</v>
      </c>
      <c r="MSI361" s="628">
        <v>44075</v>
      </c>
      <c r="MSJ361" s="628">
        <v>44105</v>
      </c>
      <c r="MSK361" s="628">
        <v>44136</v>
      </c>
      <c r="MSL361" s="628">
        <v>44166</v>
      </c>
      <c r="MSM361" s="629">
        <v>2020</v>
      </c>
      <c r="MSN361" s="630" t="s">
        <v>1870</v>
      </c>
      <c r="MSO361" s="626"/>
      <c r="MSP361" s="627" t="s">
        <v>1669</v>
      </c>
      <c r="MSQ361" s="628">
        <v>43831</v>
      </c>
      <c r="MSR361" s="628">
        <v>43862</v>
      </c>
      <c r="MSS361" s="628">
        <v>43891</v>
      </c>
      <c r="MST361" s="628">
        <v>43922</v>
      </c>
      <c r="MSU361" s="628">
        <v>43952</v>
      </c>
      <c r="MSV361" s="628">
        <v>43983</v>
      </c>
      <c r="MSW361" s="628">
        <v>44013</v>
      </c>
      <c r="MSX361" s="628">
        <v>44044</v>
      </c>
      <c r="MSY361" s="628">
        <v>44075</v>
      </c>
      <c r="MSZ361" s="628">
        <v>44105</v>
      </c>
      <c r="MTA361" s="628">
        <v>44136</v>
      </c>
      <c r="MTB361" s="628">
        <v>44166</v>
      </c>
      <c r="MTC361" s="629">
        <v>2020</v>
      </c>
      <c r="MTD361" s="630" t="s">
        <v>1870</v>
      </c>
      <c r="MTE361" s="626"/>
      <c r="MTF361" s="627" t="s">
        <v>1669</v>
      </c>
      <c r="MTG361" s="628">
        <v>43831</v>
      </c>
      <c r="MTH361" s="628">
        <v>43862</v>
      </c>
      <c r="MTI361" s="628">
        <v>43891</v>
      </c>
      <c r="MTJ361" s="628">
        <v>43922</v>
      </c>
      <c r="MTK361" s="628">
        <v>43952</v>
      </c>
      <c r="MTL361" s="628">
        <v>43983</v>
      </c>
      <c r="MTM361" s="628">
        <v>44013</v>
      </c>
      <c r="MTN361" s="628">
        <v>44044</v>
      </c>
      <c r="MTO361" s="628">
        <v>44075</v>
      </c>
      <c r="MTP361" s="628">
        <v>44105</v>
      </c>
      <c r="MTQ361" s="628">
        <v>44136</v>
      </c>
      <c r="MTR361" s="628">
        <v>44166</v>
      </c>
      <c r="MTS361" s="629">
        <v>2020</v>
      </c>
      <c r="MTT361" s="630" t="s">
        <v>1870</v>
      </c>
      <c r="MTU361" s="626"/>
      <c r="MTV361" s="627" t="s">
        <v>1669</v>
      </c>
      <c r="MTW361" s="628">
        <v>43831</v>
      </c>
      <c r="MTX361" s="628">
        <v>43862</v>
      </c>
      <c r="MTY361" s="628">
        <v>43891</v>
      </c>
      <c r="MTZ361" s="628">
        <v>43922</v>
      </c>
      <c r="MUA361" s="628">
        <v>43952</v>
      </c>
      <c r="MUB361" s="628">
        <v>43983</v>
      </c>
      <c r="MUC361" s="628">
        <v>44013</v>
      </c>
      <c r="MUD361" s="628">
        <v>44044</v>
      </c>
      <c r="MUE361" s="628">
        <v>44075</v>
      </c>
      <c r="MUF361" s="628">
        <v>44105</v>
      </c>
      <c r="MUG361" s="628">
        <v>44136</v>
      </c>
      <c r="MUH361" s="628">
        <v>44166</v>
      </c>
      <c r="MUI361" s="629">
        <v>2020</v>
      </c>
      <c r="MUJ361" s="630" t="s">
        <v>1870</v>
      </c>
      <c r="MUK361" s="626"/>
      <c r="MUL361" s="627" t="s">
        <v>1669</v>
      </c>
      <c r="MUM361" s="628">
        <v>43831</v>
      </c>
      <c r="MUN361" s="628">
        <v>43862</v>
      </c>
      <c r="MUO361" s="628">
        <v>43891</v>
      </c>
      <c r="MUP361" s="628">
        <v>43922</v>
      </c>
      <c r="MUQ361" s="628">
        <v>43952</v>
      </c>
      <c r="MUR361" s="628">
        <v>43983</v>
      </c>
      <c r="MUS361" s="628">
        <v>44013</v>
      </c>
      <c r="MUT361" s="628">
        <v>44044</v>
      </c>
      <c r="MUU361" s="628">
        <v>44075</v>
      </c>
      <c r="MUV361" s="628">
        <v>44105</v>
      </c>
      <c r="MUW361" s="628">
        <v>44136</v>
      </c>
      <c r="MUX361" s="628">
        <v>44166</v>
      </c>
      <c r="MUY361" s="629">
        <v>2020</v>
      </c>
      <c r="MUZ361" s="630" t="s">
        <v>1870</v>
      </c>
      <c r="MVA361" s="626"/>
      <c r="MVB361" s="627" t="s">
        <v>1669</v>
      </c>
      <c r="MVC361" s="628">
        <v>43831</v>
      </c>
      <c r="MVD361" s="628">
        <v>43862</v>
      </c>
      <c r="MVE361" s="628">
        <v>43891</v>
      </c>
      <c r="MVF361" s="628">
        <v>43922</v>
      </c>
      <c r="MVG361" s="628">
        <v>43952</v>
      </c>
      <c r="MVH361" s="628">
        <v>43983</v>
      </c>
      <c r="MVI361" s="628">
        <v>44013</v>
      </c>
      <c r="MVJ361" s="628">
        <v>44044</v>
      </c>
      <c r="MVK361" s="628">
        <v>44075</v>
      </c>
      <c r="MVL361" s="628">
        <v>44105</v>
      </c>
      <c r="MVM361" s="628">
        <v>44136</v>
      </c>
      <c r="MVN361" s="628">
        <v>44166</v>
      </c>
      <c r="MVO361" s="629">
        <v>2020</v>
      </c>
      <c r="MVP361" s="630" t="s">
        <v>1870</v>
      </c>
      <c r="MVQ361" s="626"/>
      <c r="MVR361" s="627" t="s">
        <v>1669</v>
      </c>
      <c r="MVS361" s="628">
        <v>43831</v>
      </c>
      <c r="MVT361" s="628">
        <v>43862</v>
      </c>
      <c r="MVU361" s="628">
        <v>43891</v>
      </c>
      <c r="MVV361" s="628">
        <v>43922</v>
      </c>
      <c r="MVW361" s="628">
        <v>43952</v>
      </c>
      <c r="MVX361" s="628">
        <v>43983</v>
      </c>
      <c r="MVY361" s="628">
        <v>44013</v>
      </c>
      <c r="MVZ361" s="628">
        <v>44044</v>
      </c>
      <c r="MWA361" s="628">
        <v>44075</v>
      </c>
      <c r="MWB361" s="628">
        <v>44105</v>
      </c>
      <c r="MWC361" s="628">
        <v>44136</v>
      </c>
      <c r="MWD361" s="628">
        <v>44166</v>
      </c>
      <c r="MWE361" s="629">
        <v>2020</v>
      </c>
      <c r="MWF361" s="630" t="s">
        <v>1870</v>
      </c>
      <c r="MWG361" s="626"/>
      <c r="MWH361" s="627" t="s">
        <v>1669</v>
      </c>
      <c r="MWI361" s="628">
        <v>43831</v>
      </c>
      <c r="MWJ361" s="628">
        <v>43862</v>
      </c>
      <c r="MWK361" s="628">
        <v>43891</v>
      </c>
      <c r="MWL361" s="628">
        <v>43922</v>
      </c>
      <c r="MWM361" s="628">
        <v>43952</v>
      </c>
      <c r="MWN361" s="628">
        <v>43983</v>
      </c>
      <c r="MWO361" s="628">
        <v>44013</v>
      </c>
      <c r="MWP361" s="628">
        <v>44044</v>
      </c>
      <c r="MWQ361" s="628">
        <v>44075</v>
      </c>
      <c r="MWR361" s="628">
        <v>44105</v>
      </c>
      <c r="MWS361" s="628">
        <v>44136</v>
      </c>
      <c r="MWT361" s="628">
        <v>44166</v>
      </c>
      <c r="MWU361" s="629">
        <v>2020</v>
      </c>
      <c r="MWV361" s="630" t="s">
        <v>1870</v>
      </c>
      <c r="MWW361" s="626"/>
      <c r="MWX361" s="627" t="s">
        <v>1669</v>
      </c>
      <c r="MWY361" s="628">
        <v>43831</v>
      </c>
      <c r="MWZ361" s="628">
        <v>43862</v>
      </c>
      <c r="MXA361" s="628">
        <v>43891</v>
      </c>
      <c r="MXB361" s="628">
        <v>43922</v>
      </c>
      <c r="MXC361" s="628">
        <v>43952</v>
      </c>
      <c r="MXD361" s="628">
        <v>43983</v>
      </c>
      <c r="MXE361" s="628">
        <v>44013</v>
      </c>
      <c r="MXF361" s="628">
        <v>44044</v>
      </c>
      <c r="MXG361" s="628">
        <v>44075</v>
      </c>
      <c r="MXH361" s="628">
        <v>44105</v>
      </c>
      <c r="MXI361" s="628">
        <v>44136</v>
      </c>
      <c r="MXJ361" s="628">
        <v>44166</v>
      </c>
      <c r="MXK361" s="629">
        <v>2020</v>
      </c>
      <c r="MXL361" s="630" t="s">
        <v>1870</v>
      </c>
      <c r="MXM361" s="626"/>
      <c r="MXN361" s="627" t="s">
        <v>1669</v>
      </c>
      <c r="MXO361" s="628">
        <v>43831</v>
      </c>
      <c r="MXP361" s="628">
        <v>43862</v>
      </c>
      <c r="MXQ361" s="628">
        <v>43891</v>
      </c>
      <c r="MXR361" s="628">
        <v>43922</v>
      </c>
      <c r="MXS361" s="628">
        <v>43952</v>
      </c>
      <c r="MXT361" s="628">
        <v>43983</v>
      </c>
      <c r="MXU361" s="628">
        <v>44013</v>
      </c>
      <c r="MXV361" s="628">
        <v>44044</v>
      </c>
      <c r="MXW361" s="628">
        <v>44075</v>
      </c>
      <c r="MXX361" s="628">
        <v>44105</v>
      </c>
      <c r="MXY361" s="628">
        <v>44136</v>
      </c>
      <c r="MXZ361" s="628">
        <v>44166</v>
      </c>
      <c r="MYA361" s="629">
        <v>2020</v>
      </c>
      <c r="MYB361" s="630" t="s">
        <v>1870</v>
      </c>
      <c r="MYC361" s="626"/>
      <c r="MYD361" s="627" t="s">
        <v>1669</v>
      </c>
      <c r="MYE361" s="628">
        <v>43831</v>
      </c>
      <c r="MYF361" s="628">
        <v>43862</v>
      </c>
      <c r="MYG361" s="628">
        <v>43891</v>
      </c>
      <c r="MYH361" s="628">
        <v>43922</v>
      </c>
      <c r="MYI361" s="628">
        <v>43952</v>
      </c>
      <c r="MYJ361" s="628">
        <v>43983</v>
      </c>
      <c r="MYK361" s="628">
        <v>44013</v>
      </c>
      <c r="MYL361" s="628">
        <v>44044</v>
      </c>
      <c r="MYM361" s="628">
        <v>44075</v>
      </c>
      <c r="MYN361" s="628">
        <v>44105</v>
      </c>
      <c r="MYO361" s="628">
        <v>44136</v>
      </c>
      <c r="MYP361" s="628">
        <v>44166</v>
      </c>
      <c r="MYQ361" s="629">
        <v>2020</v>
      </c>
      <c r="MYR361" s="630" t="s">
        <v>1870</v>
      </c>
      <c r="MYS361" s="626"/>
      <c r="MYT361" s="627" t="s">
        <v>1669</v>
      </c>
      <c r="MYU361" s="628">
        <v>43831</v>
      </c>
      <c r="MYV361" s="628">
        <v>43862</v>
      </c>
      <c r="MYW361" s="628">
        <v>43891</v>
      </c>
      <c r="MYX361" s="628">
        <v>43922</v>
      </c>
      <c r="MYY361" s="628">
        <v>43952</v>
      </c>
      <c r="MYZ361" s="628">
        <v>43983</v>
      </c>
      <c r="MZA361" s="628">
        <v>44013</v>
      </c>
      <c r="MZB361" s="628">
        <v>44044</v>
      </c>
      <c r="MZC361" s="628">
        <v>44075</v>
      </c>
      <c r="MZD361" s="628">
        <v>44105</v>
      </c>
      <c r="MZE361" s="628">
        <v>44136</v>
      </c>
      <c r="MZF361" s="628">
        <v>44166</v>
      </c>
      <c r="MZG361" s="629">
        <v>2020</v>
      </c>
      <c r="MZH361" s="630" t="s">
        <v>1870</v>
      </c>
      <c r="MZI361" s="626"/>
      <c r="MZJ361" s="627" t="s">
        <v>1669</v>
      </c>
      <c r="MZK361" s="628">
        <v>43831</v>
      </c>
      <c r="MZL361" s="628">
        <v>43862</v>
      </c>
      <c r="MZM361" s="628">
        <v>43891</v>
      </c>
      <c r="MZN361" s="628">
        <v>43922</v>
      </c>
      <c r="MZO361" s="628">
        <v>43952</v>
      </c>
      <c r="MZP361" s="628">
        <v>43983</v>
      </c>
      <c r="MZQ361" s="628">
        <v>44013</v>
      </c>
      <c r="MZR361" s="628">
        <v>44044</v>
      </c>
      <c r="MZS361" s="628">
        <v>44075</v>
      </c>
      <c r="MZT361" s="628">
        <v>44105</v>
      </c>
      <c r="MZU361" s="628">
        <v>44136</v>
      </c>
      <c r="MZV361" s="628">
        <v>44166</v>
      </c>
      <c r="MZW361" s="629">
        <v>2020</v>
      </c>
      <c r="MZX361" s="630" t="s">
        <v>1870</v>
      </c>
      <c r="MZY361" s="626"/>
      <c r="MZZ361" s="627" t="s">
        <v>1669</v>
      </c>
      <c r="NAA361" s="628">
        <v>43831</v>
      </c>
      <c r="NAB361" s="628">
        <v>43862</v>
      </c>
      <c r="NAC361" s="628">
        <v>43891</v>
      </c>
      <c r="NAD361" s="628">
        <v>43922</v>
      </c>
      <c r="NAE361" s="628">
        <v>43952</v>
      </c>
      <c r="NAF361" s="628">
        <v>43983</v>
      </c>
      <c r="NAG361" s="628">
        <v>44013</v>
      </c>
      <c r="NAH361" s="628">
        <v>44044</v>
      </c>
      <c r="NAI361" s="628">
        <v>44075</v>
      </c>
      <c r="NAJ361" s="628">
        <v>44105</v>
      </c>
      <c r="NAK361" s="628">
        <v>44136</v>
      </c>
      <c r="NAL361" s="628">
        <v>44166</v>
      </c>
      <c r="NAM361" s="629">
        <v>2020</v>
      </c>
      <c r="NAN361" s="630" t="s">
        <v>1870</v>
      </c>
      <c r="NAO361" s="626"/>
      <c r="NAP361" s="627" t="s">
        <v>1669</v>
      </c>
      <c r="NAQ361" s="628">
        <v>43831</v>
      </c>
      <c r="NAR361" s="628">
        <v>43862</v>
      </c>
      <c r="NAS361" s="628">
        <v>43891</v>
      </c>
      <c r="NAT361" s="628">
        <v>43922</v>
      </c>
      <c r="NAU361" s="628">
        <v>43952</v>
      </c>
      <c r="NAV361" s="628">
        <v>43983</v>
      </c>
      <c r="NAW361" s="628">
        <v>44013</v>
      </c>
      <c r="NAX361" s="628">
        <v>44044</v>
      </c>
      <c r="NAY361" s="628">
        <v>44075</v>
      </c>
      <c r="NAZ361" s="628">
        <v>44105</v>
      </c>
      <c r="NBA361" s="628">
        <v>44136</v>
      </c>
      <c r="NBB361" s="628">
        <v>44166</v>
      </c>
      <c r="NBC361" s="629">
        <v>2020</v>
      </c>
      <c r="NBD361" s="630" t="s">
        <v>1870</v>
      </c>
      <c r="NBE361" s="626"/>
      <c r="NBF361" s="627" t="s">
        <v>1669</v>
      </c>
      <c r="NBG361" s="628">
        <v>43831</v>
      </c>
      <c r="NBH361" s="628">
        <v>43862</v>
      </c>
      <c r="NBI361" s="628">
        <v>43891</v>
      </c>
      <c r="NBJ361" s="628">
        <v>43922</v>
      </c>
      <c r="NBK361" s="628">
        <v>43952</v>
      </c>
      <c r="NBL361" s="628">
        <v>43983</v>
      </c>
      <c r="NBM361" s="628">
        <v>44013</v>
      </c>
      <c r="NBN361" s="628">
        <v>44044</v>
      </c>
      <c r="NBO361" s="628">
        <v>44075</v>
      </c>
      <c r="NBP361" s="628">
        <v>44105</v>
      </c>
      <c r="NBQ361" s="628">
        <v>44136</v>
      </c>
      <c r="NBR361" s="628">
        <v>44166</v>
      </c>
      <c r="NBS361" s="629">
        <v>2020</v>
      </c>
      <c r="NBT361" s="630" t="s">
        <v>1870</v>
      </c>
      <c r="NBU361" s="626"/>
      <c r="NBV361" s="627" t="s">
        <v>1669</v>
      </c>
      <c r="NBW361" s="628">
        <v>43831</v>
      </c>
      <c r="NBX361" s="628">
        <v>43862</v>
      </c>
      <c r="NBY361" s="628">
        <v>43891</v>
      </c>
      <c r="NBZ361" s="628">
        <v>43922</v>
      </c>
      <c r="NCA361" s="628">
        <v>43952</v>
      </c>
      <c r="NCB361" s="628">
        <v>43983</v>
      </c>
      <c r="NCC361" s="628">
        <v>44013</v>
      </c>
      <c r="NCD361" s="628">
        <v>44044</v>
      </c>
      <c r="NCE361" s="628">
        <v>44075</v>
      </c>
      <c r="NCF361" s="628">
        <v>44105</v>
      </c>
      <c r="NCG361" s="628">
        <v>44136</v>
      </c>
      <c r="NCH361" s="628">
        <v>44166</v>
      </c>
      <c r="NCI361" s="629">
        <v>2020</v>
      </c>
      <c r="NCJ361" s="630" t="s">
        <v>1870</v>
      </c>
      <c r="NCK361" s="626"/>
      <c r="NCL361" s="627" t="s">
        <v>1669</v>
      </c>
      <c r="NCM361" s="628">
        <v>43831</v>
      </c>
      <c r="NCN361" s="628">
        <v>43862</v>
      </c>
      <c r="NCO361" s="628">
        <v>43891</v>
      </c>
      <c r="NCP361" s="628">
        <v>43922</v>
      </c>
      <c r="NCQ361" s="628">
        <v>43952</v>
      </c>
      <c r="NCR361" s="628">
        <v>43983</v>
      </c>
      <c r="NCS361" s="628">
        <v>44013</v>
      </c>
      <c r="NCT361" s="628">
        <v>44044</v>
      </c>
      <c r="NCU361" s="628">
        <v>44075</v>
      </c>
      <c r="NCV361" s="628">
        <v>44105</v>
      </c>
      <c r="NCW361" s="628">
        <v>44136</v>
      </c>
      <c r="NCX361" s="628">
        <v>44166</v>
      </c>
      <c r="NCY361" s="629">
        <v>2020</v>
      </c>
      <c r="NCZ361" s="630" t="s">
        <v>1870</v>
      </c>
      <c r="NDA361" s="626"/>
      <c r="NDB361" s="627" t="s">
        <v>1669</v>
      </c>
      <c r="NDC361" s="628">
        <v>43831</v>
      </c>
      <c r="NDD361" s="628">
        <v>43862</v>
      </c>
      <c r="NDE361" s="628">
        <v>43891</v>
      </c>
      <c r="NDF361" s="628">
        <v>43922</v>
      </c>
      <c r="NDG361" s="628">
        <v>43952</v>
      </c>
      <c r="NDH361" s="628">
        <v>43983</v>
      </c>
      <c r="NDI361" s="628">
        <v>44013</v>
      </c>
      <c r="NDJ361" s="628">
        <v>44044</v>
      </c>
      <c r="NDK361" s="628">
        <v>44075</v>
      </c>
      <c r="NDL361" s="628">
        <v>44105</v>
      </c>
      <c r="NDM361" s="628">
        <v>44136</v>
      </c>
      <c r="NDN361" s="628">
        <v>44166</v>
      </c>
      <c r="NDO361" s="629">
        <v>2020</v>
      </c>
      <c r="NDP361" s="630" t="s">
        <v>1870</v>
      </c>
      <c r="NDQ361" s="626"/>
      <c r="NDR361" s="627" t="s">
        <v>1669</v>
      </c>
      <c r="NDS361" s="628">
        <v>43831</v>
      </c>
      <c r="NDT361" s="628">
        <v>43862</v>
      </c>
      <c r="NDU361" s="628">
        <v>43891</v>
      </c>
      <c r="NDV361" s="628">
        <v>43922</v>
      </c>
      <c r="NDW361" s="628">
        <v>43952</v>
      </c>
      <c r="NDX361" s="628">
        <v>43983</v>
      </c>
      <c r="NDY361" s="628">
        <v>44013</v>
      </c>
      <c r="NDZ361" s="628">
        <v>44044</v>
      </c>
      <c r="NEA361" s="628">
        <v>44075</v>
      </c>
      <c r="NEB361" s="628">
        <v>44105</v>
      </c>
      <c r="NEC361" s="628">
        <v>44136</v>
      </c>
      <c r="NED361" s="628">
        <v>44166</v>
      </c>
      <c r="NEE361" s="629">
        <v>2020</v>
      </c>
      <c r="NEF361" s="630" t="s">
        <v>1870</v>
      </c>
      <c r="NEG361" s="626"/>
      <c r="NEH361" s="627" t="s">
        <v>1669</v>
      </c>
      <c r="NEI361" s="628">
        <v>43831</v>
      </c>
      <c r="NEJ361" s="628">
        <v>43862</v>
      </c>
      <c r="NEK361" s="628">
        <v>43891</v>
      </c>
      <c r="NEL361" s="628">
        <v>43922</v>
      </c>
      <c r="NEM361" s="628">
        <v>43952</v>
      </c>
      <c r="NEN361" s="628">
        <v>43983</v>
      </c>
      <c r="NEO361" s="628">
        <v>44013</v>
      </c>
      <c r="NEP361" s="628">
        <v>44044</v>
      </c>
      <c r="NEQ361" s="628">
        <v>44075</v>
      </c>
      <c r="NER361" s="628">
        <v>44105</v>
      </c>
      <c r="NES361" s="628">
        <v>44136</v>
      </c>
      <c r="NET361" s="628">
        <v>44166</v>
      </c>
      <c r="NEU361" s="629">
        <v>2020</v>
      </c>
      <c r="NEV361" s="630" t="s">
        <v>1870</v>
      </c>
      <c r="NEW361" s="626"/>
      <c r="NEX361" s="627" t="s">
        <v>1669</v>
      </c>
      <c r="NEY361" s="628">
        <v>43831</v>
      </c>
      <c r="NEZ361" s="628">
        <v>43862</v>
      </c>
      <c r="NFA361" s="628">
        <v>43891</v>
      </c>
      <c r="NFB361" s="628">
        <v>43922</v>
      </c>
      <c r="NFC361" s="628">
        <v>43952</v>
      </c>
      <c r="NFD361" s="628">
        <v>43983</v>
      </c>
      <c r="NFE361" s="628">
        <v>44013</v>
      </c>
      <c r="NFF361" s="628">
        <v>44044</v>
      </c>
      <c r="NFG361" s="628">
        <v>44075</v>
      </c>
      <c r="NFH361" s="628">
        <v>44105</v>
      </c>
      <c r="NFI361" s="628">
        <v>44136</v>
      </c>
      <c r="NFJ361" s="628">
        <v>44166</v>
      </c>
      <c r="NFK361" s="629">
        <v>2020</v>
      </c>
      <c r="NFL361" s="630" t="s">
        <v>1870</v>
      </c>
      <c r="NFM361" s="626"/>
      <c r="NFN361" s="627" t="s">
        <v>1669</v>
      </c>
      <c r="NFO361" s="628">
        <v>43831</v>
      </c>
      <c r="NFP361" s="628">
        <v>43862</v>
      </c>
      <c r="NFQ361" s="628">
        <v>43891</v>
      </c>
      <c r="NFR361" s="628">
        <v>43922</v>
      </c>
      <c r="NFS361" s="628">
        <v>43952</v>
      </c>
      <c r="NFT361" s="628">
        <v>43983</v>
      </c>
      <c r="NFU361" s="628">
        <v>44013</v>
      </c>
      <c r="NFV361" s="628">
        <v>44044</v>
      </c>
      <c r="NFW361" s="628">
        <v>44075</v>
      </c>
      <c r="NFX361" s="628">
        <v>44105</v>
      </c>
      <c r="NFY361" s="628">
        <v>44136</v>
      </c>
      <c r="NFZ361" s="628">
        <v>44166</v>
      </c>
      <c r="NGA361" s="629">
        <v>2020</v>
      </c>
      <c r="NGB361" s="630" t="s">
        <v>1870</v>
      </c>
      <c r="NGC361" s="626"/>
      <c r="NGD361" s="627" t="s">
        <v>1669</v>
      </c>
      <c r="NGE361" s="628">
        <v>43831</v>
      </c>
      <c r="NGF361" s="628">
        <v>43862</v>
      </c>
      <c r="NGG361" s="628">
        <v>43891</v>
      </c>
      <c r="NGH361" s="628">
        <v>43922</v>
      </c>
      <c r="NGI361" s="628">
        <v>43952</v>
      </c>
      <c r="NGJ361" s="628">
        <v>43983</v>
      </c>
      <c r="NGK361" s="628">
        <v>44013</v>
      </c>
      <c r="NGL361" s="628">
        <v>44044</v>
      </c>
      <c r="NGM361" s="628">
        <v>44075</v>
      </c>
      <c r="NGN361" s="628">
        <v>44105</v>
      </c>
      <c r="NGO361" s="628">
        <v>44136</v>
      </c>
      <c r="NGP361" s="628">
        <v>44166</v>
      </c>
      <c r="NGQ361" s="629">
        <v>2020</v>
      </c>
      <c r="NGR361" s="630" t="s">
        <v>1870</v>
      </c>
      <c r="NGS361" s="626"/>
      <c r="NGT361" s="627" t="s">
        <v>1669</v>
      </c>
      <c r="NGU361" s="628">
        <v>43831</v>
      </c>
      <c r="NGV361" s="628">
        <v>43862</v>
      </c>
      <c r="NGW361" s="628">
        <v>43891</v>
      </c>
      <c r="NGX361" s="628">
        <v>43922</v>
      </c>
      <c r="NGY361" s="628">
        <v>43952</v>
      </c>
      <c r="NGZ361" s="628">
        <v>43983</v>
      </c>
      <c r="NHA361" s="628">
        <v>44013</v>
      </c>
      <c r="NHB361" s="628">
        <v>44044</v>
      </c>
      <c r="NHC361" s="628">
        <v>44075</v>
      </c>
      <c r="NHD361" s="628">
        <v>44105</v>
      </c>
      <c r="NHE361" s="628">
        <v>44136</v>
      </c>
      <c r="NHF361" s="628">
        <v>44166</v>
      </c>
      <c r="NHG361" s="629">
        <v>2020</v>
      </c>
      <c r="NHH361" s="630" t="s">
        <v>1870</v>
      </c>
      <c r="NHI361" s="626"/>
      <c r="NHJ361" s="627" t="s">
        <v>1669</v>
      </c>
      <c r="NHK361" s="628">
        <v>43831</v>
      </c>
      <c r="NHL361" s="628">
        <v>43862</v>
      </c>
      <c r="NHM361" s="628">
        <v>43891</v>
      </c>
      <c r="NHN361" s="628">
        <v>43922</v>
      </c>
      <c r="NHO361" s="628">
        <v>43952</v>
      </c>
      <c r="NHP361" s="628">
        <v>43983</v>
      </c>
      <c r="NHQ361" s="628">
        <v>44013</v>
      </c>
      <c r="NHR361" s="628">
        <v>44044</v>
      </c>
      <c r="NHS361" s="628">
        <v>44075</v>
      </c>
      <c r="NHT361" s="628">
        <v>44105</v>
      </c>
      <c r="NHU361" s="628">
        <v>44136</v>
      </c>
      <c r="NHV361" s="628">
        <v>44166</v>
      </c>
      <c r="NHW361" s="629">
        <v>2020</v>
      </c>
      <c r="NHX361" s="630" t="s">
        <v>1870</v>
      </c>
      <c r="NHY361" s="626"/>
      <c r="NHZ361" s="627" t="s">
        <v>1669</v>
      </c>
      <c r="NIA361" s="628">
        <v>43831</v>
      </c>
      <c r="NIB361" s="628">
        <v>43862</v>
      </c>
      <c r="NIC361" s="628">
        <v>43891</v>
      </c>
      <c r="NID361" s="628">
        <v>43922</v>
      </c>
      <c r="NIE361" s="628">
        <v>43952</v>
      </c>
      <c r="NIF361" s="628">
        <v>43983</v>
      </c>
      <c r="NIG361" s="628">
        <v>44013</v>
      </c>
      <c r="NIH361" s="628">
        <v>44044</v>
      </c>
      <c r="NII361" s="628">
        <v>44075</v>
      </c>
      <c r="NIJ361" s="628">
        <v>44105</v>
      </c>
      <c r="NIK361" s="628">
        <v>44136</v>
      </c>
      <c r="NIL361" s="628">
        <v>44166</v>
      </c>
      <c r="NIM361" s="629">
        <v>2020</v>
      </c>
      <c r="NIN361" s="630" t="s">
        <v>1870</v>
      </c>
      <c r="NIO361" s="626"/>
      <c r="NIP361" s="627" t="s">
        <v>1669</v>
      </c>
      <c r="NIQ361" s="628">
        <v>43831</v>
      </c>
      <c r="NIR361" s="628">
        <v>43862</v>
      </c>
      <c r="NIS361" s="628">
        <v>43891</v>
      </c>
      <c r="NIT361" s="628">
        <v>43922</v>
      </c>
      <c r="NIU361" s="628">
        <v>43952</v>
      </c>
      <c r="NIV361" s="628">
        <v>43983</v>
      </c>
      <c r="NIW361" s="628">
        <v>44013</v>
      </c>
      <c r="NIX361" s="628">
        <v>44044</v>
      </c>
      <c r="NIY361" s="628">
        <v>44075</v>
      </c>
      <c r="NIZ361" s="628">
        <v>44105</v>
      </c>
      <c r="NJA361" s="628">
        <v>44136</v>
      </c>
      <c r="NJB361" s="628">
        <v>44166</v>
      </c>
      <c r="NJC361" s="629">
        <v>2020</v>
      </c>
      <c r="NJD361" s="630" t="s">
        <v>1870</v>
      </c>
      <c r="NJE361" s="626"/>
      <c r="NJF361" s="627" t="s">
        <v>1669</v>
      </c>
      <c r="NJG361" s="628">
        <v>43831</v>
      </c>
      <c r="NJH361" s="628">
        <v>43862</v>
      </c>
      <c r="NJI361" s="628">
        <v>43891</v>
      </c>
      <c r="NJJ361" s="628">
        <v>43922</v>
      </c>
      <c r="NJK361" s="628">
        <v>43952</v>
      </c>
      <c r="NJL361" s="628">
        <v>43983</v>
      </c>
      <c r="NJM361" s="628">
        <v>44013</v>
      </c>
      <c r="NJN361" s="628">
        <v>44044</v>
      </c>
      <c r="NJO361" s="628">
        <v>44075</v>
      </c>
      <c r="NJP361" s="628">
        <v>44105</v>
      </c>
      <c r="NJQ361" s="628">
        <v>44136</v>
      </c>
      <c r="NJR361" s="628">
        <v>44166</v>
      </c>
      <c r="NJS361" s="629">
        <v>2020</v>
      </c>
      <c r="NJT361" s="630" t="s">
        <v>1870</v>
      </c>
      <c r="NJU361" s="626"/>
      <c r="NJV361" s="627" t="s">
        <v>1669</v>
      </c>
      <c r="NJW361" s="628">
        <v>43831</v>
      </c>
      <c r="NJX361" s="628">
        <v>43862</v>
      </c>
      <c r="NJY361" s="628">
        <v>43891</v>
      </c>
      <c r="NJZ361" s="628">
        <v>43922</v>
      </c>
      <c r="NKA361" s="628">
        <v>43952</v>
      </c>
      <c r="NKB361" s="628">
        <v>43983</v>
      </c>
      <c r="NKC361" s="628">
        <v>44013</v>
      </c>
      <c r="NKD361" s="628">
        <v>44044</v>
      </c>
      <c r="NKE361" s="628">
        <v>44075</v>
      </c>
      <c r="NKF361" s="628">
        <v>44105</v>
      </c>
      <c r="NKG361" s="628">
        <v>44136</v>
      </c>
      <c r="NKH361" s="628">
        <v>44166</v>
      </c>
      <c r="NKI361" s="629">
        <v>2020</v>
      </c>
      <c r="NKJ361" s="630" t="s">
        <v>1870</v>
      </c>
      <c r="NKK361" s="626"/>
      <c r="NKL361" s="627" t="s">
        <v>1669</v>
      </c>
      <c r="NKM361" s="628">
        <v>43831</v>
      </c>
      <c r="NKN361" s="628">
        <v>43862</v>
      </c>
      <c r="NKO361" s="628">
        <v>43891</v>
      </c>
      <c r="NKP361" s="628">
        <v>43922</v>
      </c>
      <c r="NKQ361" s="628">
        <v>43952</v>
      </c>
      <c r="NKR361" s="628">
        <v>43983</v>
      </c>
      <c r="NKS361" s="628">
        <v>44013</v>
      </c>
      <c r="NKT361" s="628">
        <v>44044</v>
      </c>
      <c r="NKU361" s="628">
        <v>44075</v>
      </c>
      <c r="NKV361" s="628">
        <v>44105</v>
      </c>
      <c r="NKW361" s="628">
        <v>44136</v>
      </c>
      <c r="NKX361" s="628">
        <v>44166</v>
      </c>
      <c r="NKY361" s="629">
        <v>2020</v>
      </c>
      <c r="NKZ361" s="630" t="s">
        <v>1870</v>
      </c>
      <c r="NLA361" s="626"/>
      <c r="NLB361" s="627" t="s">
        <v>1669</v>
      </c>
      <c r="NLC361" s="628">
        <v>43831</v>
      </c>
      <c r="NLD361" s="628">
        <v>43862</v>
      </c>
      <c r="NLE361" s="628">
        <v>43891</v>
      </c>
      <c r="NLF361" s="628">
        <v>43922</v>
      </c>
      <c r="NLG361" s="628">
        <v>43952</v>
      </c>
      <c r="NLH361" s="628">
        <v>43983</v>
      </c>
      <c r="NLI361" s="628">
        <v>44013</v>
      </c>
      <c r="NLJ361" s="628">
        <v>44044</v>
      </c>
      <c r="NLK361" s="628">
        <v>44075</v>
      </c>
      <c r="NLL361" s="628">
        <v>44105</v>
      </c>
      <c r="NLM361" s="628">
        <v>44136</v>
      </c>
      <c r="NLN361" s="628">
        <v>44166</v>
      </c>
      <c r="NLO361" s="629">
        <v>2020</v>
      </c>
      <c r="NLP361" s="630" t="s">
        <v>1870</v>
      </c>
      <c r="NLQ361" s="626"/>
      <c r="NLR361" s="627" t="s">
        <v>1669</v>
      </c>
      <c r="NLS361" s="628">
        <v>43831</v>
      </c>
      <c r="NLT361" s="628">
        <v>43862</v>
      </c>
      <c r="NLU361" s="628">
        <v>43891</v>
      </c>
      <c r="NLV361" s="628">
        <v>43922</v>
      </c>
      <c r="NLW361" s="628">
        <v>43952</v>
      </c>
      <c r="NLX361" s="628">
        <v>43983</v>
      </c>
      <c r="NLY361" s="628">
        <v>44013</v>
      </c>
      <c r="NLZ361" s="628">
        <v>44044</v>
      </c>
      <c r="NMA361" s="628">
        <v>44075</v>
      </c>
      <c r="NMB361" s="628">
        <v>44105</v>
      </c>
      <c r="NMC361" s="628">
        <v>44136</v>
      </c>
      <c r="NMD361" s="628">
        <v>44166</v>
      </c>
      <c r="NME361" s="629">
        <v>2020</v>
      </c>
      <c r="NMF361" s="630" t="s">
        <v>1870</v>
      </c>
      <c r="NMG361" s="626"/>
      <c r="NMH361" s="627" t="s">
        <v>1669</v>
      </c>
      <c r="NMI361" s="628">
        <v>43831</v>
      </c>
      <c r="NMJ361" s="628">
        <v>43862</v>
      </c>
      <c r="NMK361" s="628">
        <v>43891</v>
      </c>
      <c r="NML361" s="628">
        <v>43922</v>
      </c>
      <c r="NMM361" s="628">
        <v>43952</v>
      </c>
      <c r="NMN361" s="628">
        <v>43983</v>
      </c>
      <c r="NMO361" s="628">
        <v>44013</v>
      </c>
      <c r="NMP361" s="628">
        <v>44044</v>
      </c>
      <c r="NMQ361" s="628">
        <v>44075</v>
      </c>
      <c r="NMR361" s="628">
        <v>44105</v>
      </c>
      <c r="NMS361" s="628">
        <v>44136</v>
      </c>
      <c r="NMT361" s="628">
        <v>44166</v>
      </c>
      <c r="NMU361" s="629">
        <v>2020</v>
      </c>
      <c r="NMV361" s="630" t="s">
        <v>1870</v>
      </c>
      <c r="NMW361" s="626"/>
      <c r="NMX361" s="627" t="s">
        <v>1669</v>
      </c>
      <c r="NMY361" s="628">
        <v>43831</v>
      </c>
      <c r="NMZ361" s="628">
        <v>43862</v>
      </c>
      <c r="NNA361" s="628">
        <v>43891</v>
      </c>
      <c r="NNB361" s="628">
        <v>43922</v>
      </c>
      <c r="NNC361" s="628">
        <v>43952</v>
      </c>
      <c r="NND361" s="628">
        <v>43983</v>
      </c>
      <c r="NNE361" s="628">
        <v>44013</v>
      </c>
      <c r="NNF361" s="628">
        <v>44044</v>
      </c>
      <c r="NNG361" s="628">
        <v>44075</v>
      </c>
      <c r="NNH361" s="628">
        <v>44105</v>
      </c>
      <c r="NNI361" s="628">
        <v>44136</v>
      </c>
      <c r="NNJ361" s="628">
        <v>44166</v>
      </c>
      <c r="NNK361" s="629">
        <v>2020</v>
      </c>
      <c r="NNL361" s="630" t="s">
        <v>1870</v>
      </c>
      <c r="NNM361" s="626"/>
      <c r="NNN361" s="627" t="s">
        <v>1669</v>
      </c>
      <c r="NNO361" s="628">
        <v>43831</v>
      </c>
      <c r="NNP361" s="628">
        <v>43862</v>
      </c>
      <c r="NNQ361" s="628">
        <v>43891</v>
      </c>
      <c r="NNR361" s="628">
        <v>43922</v>
      </c>
      <c r="NNS361" s="628">
        <v>43952</v>
      </c>
      <c r="NNT361" s="628">
        <v>43983</v>
      </c>
      <c r="NNU361" s="628">
        <v>44013</v>
      </c>
      <c r="NNV361" s="628">
        <v>44044</v>
      </c>
      <c r="NNW361" s="628">
        <v>44075</v>
      </c>
      <c r="NNX361" s="628">
        <v>44105</v>
      </c>
      <c r="NNY361" s="628">
        <v>44136</v>
      </c>
      <c r="NNZ361" s="628">
        <v>44166</v>
      </c>
      <c r="NOA361" s="629">
        <v>2020</v>
      </c>
      <c r="NOB361" s="630" t="s">
        <v>1870</v>
      </c>
      <c r="NOC361" s="626"/>
      <c r="NOD361" s="627" t="s">
        <v>1669</v>
      </c>
      <c r="NOE361" s="628">
        <v>43831</v>
      </c>
      <c r="NOF361" s="628">
        <v>43862</v>
      </c>
      <c r="NOG361" s="628">
        <v>43891</v>
      </c>
      <c r="NOH361" s="628">
        <v>43922</v>
      </c>
      <c r="NOI361" s="628">
        <v>43952</v>
      </c>
      <c r="NOJ361" s="628">
        <v>43983</v>
      </c>
      <c r="NOK361" s="628">
        <v>44013</v>
      </c>
      <c r="NOL361" s="628">
        <v>44044</v>
      </c>
      <c r="NOM361" s="628">
        <v>44075</v>
      </c>
      <c r="NON361" s="628">
        <v>44105</v>
      </c>
      <c r="NOO361" s="628">
        <v>44136</v>
      </c>
      <c r="NOP361" s="628">
        <v>44166</v>
      </c>
      <c r="NOQ361" s="629">
        <v>2020</v>
      </c>
      <c r="NOR361" s="630" t="s">
        <v>1870</v>
      </c>
      <c r="NOS361" s="626"/>
      <c r="NOT361" s="627" t="s">
        <v>1669</v>
      </c>
      <c r="NOU361" s="628">
        <v>43831</v>
      </c>
      <c r="NOV361" s="628">
        <v>43862</v>
      </c>
      <c r="NOW361" s="628">
        <v>43891</v>
      </c>
      <c r="NOX361" s="628">
        <v>43922</v>
      </c>
      <c r="NOY361" s="628">
        <v>43952</v>
      </c>
      <c r="NOZ361" s="628">
        <v>43983</v>
      </c>
      <c r="NPA361" s="628">
        <v>44013</v>
      </c>
      <c r="NPB361" s="628">
        <v>44044</v>
      </c>
      <c r="NPC361" s="628">
        <v>44075</v>
      </c>
      <c r="NPD361" s="628">
        <v>44105</v>
      </c>
      <c r="NPE361" s="628">
        <v>44136</v>
      </c>
      <c r="NPF361" s="628">
        <v>44166</v>
      </c>
      <c r="NPG361" s="629">
        <v>2020</v>
      </c>
      <c r="NPH361" s="630" t="s">
        <v>1870</v>
      </c>
      <c r="NPI361" s="626"/>
      <c r="NPJ361" s="627" t="s">
        <v>1669</v>
      </c>
      <c r="NPK361" s="628">
        <v>43831</v>
      </c>
      <c r="NPL361" s="628">
        <v>43862</v>
      </c>
      <c r="NPM361" s="628">
        <v>43891</v>
      </c>
      <c r="NPN361" s="628">
        <v>43922</v>
      </c>
      <c r="NPO361" s="628">
        <v>43952</v>
      </c>
      <c r="NPP361" s="628">
        <v>43983</v>
      </c>
      <c r="NPQ361" s="628">
        <v>44013</v>
      </c>
      <c r="NPR361" s="628">
        <v>44044</v>
      </c>
      <c r="NPS361" s="628">
        <v>44075</v>
      </c>
      <c r="NPT361" s="628">
        <v>44105</v>
      </c>
      <c r="NPU361" s="628">
        <v>44136</v>
      </c>
      <c r="NPV361" s="628">
        <v>44166</v>
      </c>
      <c r="NPW361" s="629">
        <v>2020</v>
      </c>
      <c r="NPX361" s="630" t="s">
        <v>1870</v>
      </c>
      <c r="NPY361" s="626"/>
      <c r="NPZ361" s="627" t="s">
        <v>1669</v>
      </c>
      <c r="NQA361" s="628">
        <v>43831</v>
      </c>
      <c r="NQB361" s="628">
        <v>43862</v>
      </c>
      <c r="NQC361" s="628">
        <v>43891</v>
      </c>
      <c r="NQD361" s="628">
        <v>43922</v>
      </c>
      <c r="NQE361" s="628">
        <v>43952</v>
      </c>
      <c r="NQF361" s="628">
        <v>43983</v>
      </c>
      <c r="NQG361" s="628">
        <v>44013</v>
      </c>
      <c r="NQH361" s="628">
        <v>44044</v>
      </c>
      <c r="NQI361" s="628">
        <v>44075</v>
      </c>
      <c r="NQJ361" s="628">
        <v>44105</v>
      </c>
      <c r="NQK361" s="628">
        <v>44136</v>
      </c>
      <c r="NQL361" s="628">
        <v>44166</v>
      </c>
      <c r="NQM361" s="629">
        <v>2020</v>
      </c>
      <c r="NQN361" s="630" t="s">
        <v>1870</v>
      </c>
      <c r="NQO361" s="626"/>
      <c r="NQP361" s="627" t="s">
        <v>1669</v>
      </c>
      <c r="NQQ361" s="628">
        <v>43831</v>
      </c>
      <c r="NQR361" s="628">
        <v>43862</v>
      </c>
      <c r="NQS361" s="628">
        <v>43891</v>
      </c>
      <c r="NQT361" s="628">
        <v>43922</v>
      </c>
      <c r="NQU361" s="628">
        <v>43952</v>
      </c>
      <c r="NQV361" s="628">
        <v>43983</v>
      </c>
      <c r="NQW361" s="628">
        <v>44013</v>
      </c>
      <c r="NQX361" s="628">
        <v>44044</v>
      </c>
      <c r="NQY361" s="628">
        <v>44075</v>
      </c>
      <c r="NQZ361" s="628">
        <v>44105</v>
      </c>
      <c r="NRA361" s="628">
        <v>44136</v>
      </c>
      <c r="NRB361" s="628">
        <v>44166</v>
      </c>
      <c r="NRC361" s="629">
        <v>2020</v>
      </c>
      <c r="NRD361" s="630" t="s">
        <v>1870</v>
      </c>
      <c r="NRE361" s="626"/>
      <c r="NRF361" s="627" t="s">
        <v>1669</v>
      </c>
      <c r="NRG361" s="628">
        <v>43831</v>
      </c>
      <c r="NRH361" s="628">
        <v>43862</v>
      </c>
      <c r="NRI361" s="628">
        <v>43891</v>
      </c>
      <c r="NRJ361" s="628">
        <v>43922</v>
      </c>
      <c r="NRK361" s="628">
        <v>43952</v>
      </c>
      <c r="NRL361" s="628">
        <v>43983</v>
      </c>
      <c r="NRM361" s="628">
        <v>44013</v>
      </c>
      <c r="NRN361" s="628">
        <v>44044</v>
      </c>
      <c r="NRO361" s="628">
        <v>44075</v>
      </c>
      <c r="NRP361" s="628">
        <v>44105</v>
      </c>
      <c r="NRQ361" s="628">
        <v>44136</v>
      </c>
      <c r="NRR361" s="628">
        <v>44166</v>
      </c>
      <c r="NRS361" s="629">
        <v>2020</v>
      </c>
      <c r="NRT361" s="630" t="s">
        <v>1870</v>
      </c>
      <c r="NRU361" s="626"/>
      <c r="NRV361" s="627" t="s">
        <v>1669</v>
      </c>
      <c r="NRW361" s="628">
        <v>43831</v>
      </c>
      <c r="NRX361" s="628">
        <v>43862</v>
      </c>
      <c r="NRY361" s="628">
        <v>43891</v>
      </c>
      <c r="NRZ361" s="628">
        <v>43922</v>
      </c>
      <c r="NSA361" s="628">
        <v>43952</v>
      </c>
      <c r="NSB361" s="628">
        <v>43983</v>
      </c>
      <c r="NSC361" s="628">
        <v>44013</v>
      </c>
      <c r="NSD361" s="628">
        <v>44044</v>
      </c>
      <c r="NSE361" s="628">
        <v>44075</v>
      </c>
      <c r="NSF361" s="628">
        <v>44105</v>
      </c>
      <c r="NSG361" s="628">
        <v>44136</v>
      </c>
      <c r="NSH361" s="628">
        <v>44166</v>
      </c>
      <c r="NSI361" s="629">
        <v>2020</v>
      </c>
      <c r="NSJ361" s="630" t="s">
        <v>1870</v>
      </c>
      <c r="NSK361" s="626"/>
      <c r="NSL361" s="627" t="s">
        <v>1669</v>
      </c>
      <c r="NSM361" s="628">
        <v>43831</v>
      </c>
      <c r="NSN361" s="628">
        <v>43862</v>
      </c>
      <c r="NSO361" s="628">
        <v>43891</v>
      </c>
      <c r="NSP361" s="628">
        <v>43922</v>
      </c>
      <c r="NSQ361" s="628">
        <v>43952</v>
      </c>
      <c r="NSR361" s="628">
        <v>43983</v>
      </c>
      <c r="NSS361" s="628">
        <v>44013</v>
      </c>
      <c r="NST361" s="628">
        <v>44044</v>
      </c>
      <c r="NSU361" s="628">
        <v>44075</v>
      </c>
      <c r="NSV361" s="628">
        <v>44105</v>
      </c>
      <c r="NSW361" s="628">
        <v>44136</v>
      </c>
      <c r="NSX361" s="628">
        <v>44166</v>
      </c>
      <c r="NSY361" s="629">
        <v>2020</v>
      </c>
      <c r="NSZ361" s="630" t="s">
        <v>1870</v>
      </c>
      <c r="NTA361" s="626"/>
      <c r="NTB361" s="627" t="s">
        <v>1669</v>
      </c>
      <c r="NTC361" s="628">
        <v>43831</v>
      </c>
      <c r="NTD361" s="628">
        <v>43862</v>
      </c>
      <c r="NTE361" s="628">
        <v>43891</v>
      </c>
      <c r="NTF361" s="628">
        <v>43922</v>
      </c>
      <c r="NTG361" s="628">
        <v>43952</v>
      </c>
      <c r="NTH361" s="628">
        <v>43983</v>
      </c>
      <c r="NTI361" s="628">
        <v>44013</v>
      </c>
      <c r="NTJ361" s="628">
        <v>44044</v>
      </c>
      <c r="NTK361" s="628">
        <v>44075</v>
      </c>
      <c r="NTL361" s="628">
        <v>44105</v>
      </c>
      <c r="NTM361" s="628">
        <v>44136</v>
      </c>
      <c r="NTN361" s="628">
        <v>44166</v>
      </c>
      <c r="NTO361" s="629">
        <v>2020</v>
      </c>
      <c r="NTP361" s="630" t="s">
        <v>1870</v>
      </c>
      <c r="NTQ361" s="626"/>
      <c r="NTR361" s="627" t="s">
        <v>1669</v>
      </c>
      <c r="NTS361" s="628">
        <v>43831</v>
      </c>
      <c r="NTT361" s="628">
        <v>43862</v>
      </c>
      <c r="NTU361" s="628">
        <v>43891</v>
      </c>
      <c r="NTV361" s="628">
        <v>43922</v>
      </c>
      <c r="NTW361" s="628">
        <v>43952</v>
      </c>
      <c r="NTX361" s="628">
        <v>43983</v>
      </c>
      <c r="NTY361" s="628">
        <v>44013</v>
      </c>
      <c r="NTZ361" s="628">
        <v>44044</v>
      </c>
      <c r="NUA361" s="628">
        <v>44075</v>
      </c>
      <c r="NUB361" s="628">
        <v>44105</v>
      </c>
      <c r="NUC361" s="628">
        <v>44136</v>
      </c>
      <c r="NUD361" s="628">
        <v>44166</v>
      </c>
      <c r="NUE361" s="629">
        <v>2020</v>
      </c>
      <c r="NUF361" s="630" t="s">
        <v>1870</v>
      </c>
      <c r="NUG361" s="626"/>
      <c r="NUH361" s="627" t="s">
        <v>1669</v>
      </c>
      <c r="NUI361" s="628">
        <v>43831</v>
      </c>
      <c r="NUJ361" s="628">
        <v>43862</v>
      </c>
      <c r="NUK361" s="628">
        <v>43891</v>
      </c>
      <c r="NUL361" s="628">
        <v>43922</v>
      </c>
      <c r="NUM361" s="628">
        <v>43952</v>
      </c>
      <c r="NUN361" s="628">
        <v>43983</v>
      </c>
      <c r="NUO361" s="628">
        <v>44013</v>
      </c>
      <c r="NUP361" s="628">
        <v>44044</v>
      </c>
      <c r="NUQ361" s="628">
        <v>44075</v>
      </c>
      <c r="NUR361" s="628">
        <v>44105</v>
      </c>
      <c r="NUS361" s="628">
        <v>44136</v>
      </c>
      <c r="NUT361" s="628">
        <v>44166</v>
      </c>
      <c r="NUU361" s="629">
        <v>2020</v>
      </c>
      <c r="NUV361" s="630" t="s">
        <v>1870</v>
      </c>
      <c r="NUW361" s="626"/>
      <c r="NUX361" s="627" t="s">
        <v>1669</v>
      </c>
      <c r="NUY361" s="628">
        <v>43831</v>
      </c>
      <c r="NUZ361" s="628">
        <v>43862</v>
      </c>
      <c r="NVA361" s="628">
        <v>43891</v>
      </c>
      <c r="NVB361" s="628">
        <v>43922</v>
      </c>
      <c r="NVC361" s="628">
        <v>43952</v>
      </c>
      <c r="NVD361" s="628">
        <v>43983</v>
      </c>
      <c r="NVE361" s="628">
        <v>44013</v>
      </c>
      <c r="NVF361" s="628">
        <v>44044</v>
      </c>
      <c r="NVG361" s="628">
        <v>44075</v>
      </c>
      <c r="NVH361" s="628">
        <v>44105</v>
      </c>
      <c r="NVI361" s="628">
        <v>44136</v>
      </c>
      <c r="NVJ361" s="628">
        <v>44166</v>
      </c>
      <c r="NVK361" s="629">
        <v>2020</v>
      </c>
      <c r="NVL361" s="630" t="s">
        <v>1870</v>
      </c>
      <c r="NVM361" s="626"/>
      <c r="NVN361" s="627" t="s">
        <v>1669</v>
      </c>
      <c r="NVO361" s="628">
        <v>43831</v>
      </c>
      <c r="NVP361" s="628">
        <v>43862</v>
      </c>
      <c r="NVQ361" s="628">
        <v>43891</v>
      </c>
      <c r="NVR361" s="628">
        <v>43922</v>
      </c>
      <c r="NVS361" s="628">
        <v>43952</v>
      </c>
      <c r="NVT361" s="628">
        <v>43983</v>
      </c>
      <c r="NVU361" s="628">
        <v>44013</v>
      </c>
      <c r="NVV361" s="628">
        <v>44044</v>
      </c>
      <c r="NVW361" s="628">
        <v>44075</v>
      </c>
      <c r="NVX361" s="628">
        <v>44105</v>
      </c>
      <c r="NVY361" s="628">
        <v>44136</v>
      </c>
      <c r="NVZ361" s="628">
        <v>44166</v>
      </c>
      <c r="NWA361" s="629">
        <v>2020</v>
      </c>
      <c r="NWB361" s="630" t="s">
        <v>1870</v>
      </c>
      <c r="NWC361" s="626"/>
      <c r="NWD361" s="627" t="s">
        <v>1669</v>
      </c>
      <c r="NWE361" s="628">
        <v>43831</v>
      </c>
      <c r="NWF361" s="628">
        <v>43862</v>
      </c>
      <c r="NWG361" s="628">
        <v>43891</v>
      </c>
      <c r="NWH361" s="628">
        <v>43922</v>
      </c>
      <c r="NWI361" s="628">
        <v>43952</v>
      </c>
      <c r="NWJ361" s="628">
        <v>43983</v>
      </c>
      <c r="NWK361" s="628">
        <v>44013</v>
      </c>
      <c r="NWL361" s="628">
        <v>44044</v>
      </c>
      <c r="NWM361" s="628">
        <v>44075</v>
      </c>
      <c r="NWN361" s="628">
        <v>44105</v>
      </c>
      <c r="NWO361" s="628">
        <v>44136</v>
      </c>
      <c r="NWP361" s="628">
        <v>44166</v>
      </c>
      <c r="NWQ361" s="629">
        <v>2020</v>
      </c>
      <c r="NWR361" s="630" t="s">
        <v>1870</v>
      </c>
      <c r="NWS361" s="626"/>
      <c r="NWT361" s="627" t="s">
        <v>1669</v>
      </c>
      <c r="NWU361" s="628">
        <v>43831</v>
      </c>
      <c r="NWV361" s="628">
        <v>43862</v>
      </c>
      <c r="NWW361" s="628">
        <v>43891</v>
      </c>
      <c r="NWX361" s="628">
        <v>43922</v>
      </c>
      <c r="NWY361" s="628">
        <v>43952</v>
      </c>
      <c r="NWZ361" s="628">
        <v>43983</v>
      </c>
      <c r="NXA361" s="628">
        <v>44013</v>
      </c>
      <c r="NXB361" s="628">
        <v>44044</v>
      </c>
      <c r="NXC361" s="628">
        <v>44075</v>
      </c>
      <c r="NXD361" s="628">
        <v>44105</v>
      </c>
      <c r="NXE361" s="628">
        <v>44136</v>
      </c>
      <c r="NXF361" s="628">
        <v>44166</v>
      </c>
      <c r="NXG361" s="629">
        <v>2020</v>
      </c>
      <c r="NXH361" s="630" t="s">
        <v>1870</v>
      </c>
      <c r="NXI361" s="626"/>
      <c r="NXJ361" s="627" t="s">
        <v>1669</v>
      </c>
      <c r="NXK361" s="628">
        <v>43831</v>
      </c>
      <c r="NXL361" s="628">
        <v>43862</v>
      </c>
      <c r="NXM361" s="628">
        <v>43891</v>
      </c>
      <c r="NXN361" s="628">
        <v>43922</v>
      </c>
      <c r="NXO361" s="628">
        <v>43952</v>
      </c>
      <c r="NXP361" s="628">
        <v>43983</v>
      </c>
      <c r="NXQ361" s="628">
        <v>44013</v>
      </c>
      <c r="NXR361" s="628">
        <v>44044</v>
      </c>
      <c r="NXS361" s="628">
        <v>44075</v>
      </c>
      <c r="NXT361" s="628">
        <v>44105</v>
      </c>
      <c r="NXU361" s="628">
        <v>44136</v>
      </c>
      <c r="NXV361" s="628">
        <v>44166</v>
      </c>
      <c r="NXW361" s="629">
        <v>2020</v>
      </c>
      <c r="NXX361" s="630" t="s">
        <v>1870</v>
      </c>
      <c r="NXY361" s="626"/>
      <c r="NXZ361" s="627" t="s">
        <v>1669</v>
      </c>
      <c r="NYA361" s="628">
        <v>43831</v>
      </c>
      <c r="NYB361" s="628">
        <v>43862</v>
      </c>
      <c r="NYC361" s="628">
        <v>43891</v>
      </c>
      <c r="NYD361" s="628">
        <v>43922</v>
      </c>
      <c r="NYE361" s="628">
        <v>43952</v>
      </c>
      <c r="NYF361" s="628">
        <v>43983</v>
      </c>
      <c r="NYG361" s="628">
        <v>44013</v>
      </c>
      <c r="NYH361" s="628">
        <v>44044</v>
      </c>
      <c r="NYI361" s="628">
        <v>44075</v>
      </c>
      <c r="NYJ361" s="628">
        <v>44105</v>
      </c>
      <c r="NYK361" s="628">
        <v>44136</v>
      </c>
      <c r="NYL361" s="628">
        <v>44166</v>
      </c>
      <c r="NYM361" s="629">
        <v>2020</v>
      </c>
      <c r="NYN361" s="630" t="s">
        <v>1870</v>
      </c>
      <c r="NYO361" s="626"/>
      <c r="NYP361" s="627" t="s">
        <v>1669</v>
      </c>
      <c r="NYQ361" s="628">
        <v>43831</v>
      </c>
      <c r="NYR361" s="628">
        <v>43862</v>
      </c>
      <c r="NYS361" s="628">
        <v>43891</v>
      </c>
      <c r="NYT361" s="628">
        <v>43922</v>
      </c>
      <c r="NYU361" s="628">
        <v>43952</v>
      </c>
      <c r="NYV361" s="628">
        <v>43983</v>
      </c>
      <c r="NYW361" s="628">
        <v>44013</v>
      </c>
      <c r="NYX361" s="628">
        <v>44044</v>
      </c>
      <c r="NYY361" s="628">
        <v>44075</v>
      </c>
      <c r="NYZ361" s="628">
        <v>44105</v>
      </c>
      <c r="NZA361" s="628">
        <v>44136</v>
      </c>
      <c r="NZB361" s="628">
        <v>44166</v>
      </c>
      <c r="NZC361" s="629">
        <v>2020</v>
      </c>
      <c r="NZD361" s="630" t="s">
        <v>1870</v>
      </c>
      <c r="NZE361" s="626"/>
      <c r="NZF361" s="627" t="s">
        <v>1669</v>
      </c>
      <c r="NZG361" s="628">
        <v>43831</v>
      </c>
      <c r="NZH361" s="628">
        <v>43862</v>
      </c>
      <c r="NZI361" s="628">
        <v>43891</v>
      </c>
      <c r="NZJ361" s="628">
        <v>43922</v>
      </c>
      <c r="NZK361" s="628">
        <v>43952</v>
      </c>
      <c r="NZL361" s="628">
        <v>43983</v>
      </c>
      <c r="NZM361" s="628">
        <v>44013</v>
      </c>
      <c r="NZN361" s="628">
        <v>44044</v>
      </c>
      <c r="NZO361" s="628">
        <v>44075</v>
      </c>
      <c r="NZP361" s="628">
        <v>44105</v>
      </c>
      <c r="NZQ361" s="628">
        <v>44136</v>
      </c>
      <c r="NZR361" s="628">
        <v>44166</v>
      </c>
      <c r="NZS361" s="629">
        <v>2020</v>
      </c>
      <c r="NZT361" s="630" t="s">
        <v>1870</v>
      </c>
      <c r="NZU361" s="626"/>
      <c r="NZV361" s="627" t="s">
        <v>1669</v>
      </c>
      <c r="NZW361" s="628">
        <v>43831</v>
      </c>
      <c r="NZX361" s="628">
        <v>43862</v>
      </c>
      <c r="NZY361" s="628">
        <v>43891</v>
      </c>
      <c r="NZZ361" s="628">
        <v>43922</v>
      </c>
      <c r="OAA361" s="628">
        <v>43952</v>
      </c>
      <c r="OAB361" s="628">
        <v>43983</v>
      </c>
      <c r="OAC361" s="628">
        <v>44013</v>
      </c>
      <c r="OAD361" s="628">
        <v>44044</v>
      </c>
      <c r="OAE361" s="628">
        <v>44075</v>
      </c>
      <c r="OAF361" s="628">
        <v>44105</v>
      </c>
      <c r="OAG361" s="628">
        <v>44136</v>
      </c>
      <c r="OAH361" s="628">
        <v>44166</v>
      </c>
      <c r="OAI361" s="629">
        <v>2020</v>
      </c>
      <c r="OAJ361" s="630" t="s">
        <v>1870</v>
      </c>
      <c r="OAK361" s="626"/>
      <c r="OAL361" s="627" t="s">
        <v>1669</v>
      </c>
      <c r="OAM361" s="628">
        <v>43831</v>
      </c>
      <c r="OAN361" s="628">
        <v>43862</v>
      </c>
      <c r="OAO361" s="628">
        <v>43891</v>
      </c>
      <c r="OAP361" s="628">
        <v>43922</v>
      </c>
      <c r="OAQ361" s="628">
        <v>43952</v>
      </c>
      <c r="OAR361" s="628">
        <v>43983</v>
      </c>
      <c r="OAS361" s="628">
        <v>44013</v>
      </c>
      <c r="OAT361" s="628">
        <v>44044</v>
      </c>
      <c r="OAU361" s="628">
        <v>44075</v>
      </c>
      <c r="OAV361" s="628">
        <v>44105</v>
      </c>
      <c r="OAW361" s="628">
        <v>44136</v>
      </c>
      <c r="OAX361" s="628">
        <v>44166</v>
      </c>
      <c r="OAY361" s="629">
        <v>2020</v>
      </c>
      <c r="OAZ361" s="630" t="s">
        <v>1870</v>
      </c>
      <c r="OBA361" s="626"/>
      <c r="OBB361" s="627" t="s">
        <v>1669</v>
      </c>
      <c r="OBC361" s="628">
        <v>43831</v>
      </c>
      <c r="OBD361" s="628">
        <v>43862</v>
      </c>
      <c r="OBE361" s="628">
        <v>43891</v>
      </c>
      <c r="OBF361" s="628">
        <v>43922</v>
      </c>
      <c r="OBG361" s="628">
        <v>43952</v>
      </c>
      <c r="OBH361" s="628">
        <v>43983</v>
      </c>
      <c r="OBI361" s="628">
        <v>44013</v>
      </c>
      <c r="OBJ361" s="628">
        <v>44044</v>
      </c>
      <c r="OBK361" s="628">
        <v>44075</v>
      </c>
      <c r="OBL361" s="628">
        <v>44105</v>
      </c>
      <c r="OBM361" s="628">
        <v>44136</v>
      </c>
      <c r="OBN361" s="628">
        <v>44166</v>
      </c>
      <c r="OBO361" s="629">
        <v>2020</v>
      </c>
      <c r="OBP361" s="630" t="s">
        <v>1870</v>
      </c>
      <c r="OBQ361" s="626"/>
      <c r="OBR361" s="627" t="s">
        <v>1669</v>
      </c>
      <c r="OBS361" s="628">
        <v>43831</v>
      </c>
      <c r="OBT361" s="628">
        <v>43862</v>
      </c>
      <c r="OBU361" s="628">
        <v>43891</v>
      </c>
      <c r="OBV361" s="628">
        <v>43922</v>
      </c>
      <c r="OBW361" s="628">
        <v>43952</v>
      </c>
      <c r="OBX361" s="628">
        <v>43983</v>
      </c>
      <c r="OBY361" s="628">
        <v>44013</v>
      </c>
      <c r="OBZ361" s="628">
        <v>44044</v>
      </c>
      <c r="OCA361" s="628">
        <v>44075</v>
      </c>
      <c r="OCB361" s="628">
        <v>44105</v>
      </c>
      <c r="OCC361" s="628">
        <v>44136</v>
      </c>
      <c r="OCD361" s="628">
        <v>44166</v>
      </c>
      <c r="OCE361" s="629">
        <v>2020</v>
      </c>
      <c r="OCF361" s="630" t="s">
        <v>1870</v>
      </c>
      <c r="OCG361" s="626"/>
      <c r="OCH361" s="627" t="s">
        <v>1669</v>
      </c>
      <c r="OCI361" s="628">
        <v>43831</v>
      </c>
      <c r="OCJ361" s="628">
        <v>43862</v>
      </c>
      <c r="OCK361" s="628">
        <v>43891</v>
      </c>
      <c r="OCL361" s="628">
        <v>43922</v>
      </c>
      <c r="OCM361" s="628">
        <v>43952</v>
      </c>
      <c r="OCN361" s="628">
        <v>43983</v>
      </c>
      <c r="OCO361" s="628">
        <v>44013</v>
      </c>
      <c r="OCP361" s="628">
        <v>44044</v>
      </c>
      <c r="OCQ361" s="628">
        <v>44075</v>
      </c>
      <c r="OCR361" s="628">
        <v>44105</v>
      </c>
      <c r="OCS361" s="628">
        <v>44136</v>
      </c>
      <c r="OCT361" s="628">
        <v>44166</v>
      </c>
      <c r="OCU361" s="629">
        <v>2020</v>
      </c>
      <c r="OCV361" s="630" t="s">
        <v>1870</v>
      </c>
      <c r="OCW361" s="626"/>
      <c r="OCX361" s="627" t="s">
        <v>1669</v>
      </c>
      <c r="OCY361" s="628">
        <v>43831</v>
      </c>
      <c r="OCZ361" s="628">
        <v>43862</v>
      </c>
      <c r="ODA361" s="628">
        <v>43891</v>
      </c>
      <c r="ODB361" s="628">
        <v>43922</v>
      </c>
      <c r="ODC361" s="628">
        <v>43952</v>
      </c>
      <c r="ODD361" s="628">
        <v>43983</v>
      </c>
      <c r="ODE361" s="628">
        <v>44013</v>
      </c>
      <c r="ODF361" s="628">
        <v>44044</v>
      </c>
      <c r="ODG361" s="628">
        <v>44075</v>
      </c>
      <c r="ODH361" s="628">
        <v>44105</v>
      </c>
      <c r="ODI361" s="628">
        <v>44136</v>
      </c>
      <c r="ODJ361" s="628">
        <v>44166</v>
      </c>
      <c r="ODK361" s="629">
        <v>2020</v>
      </c>
      <c r="ODL361" s="630" t="s">
        <v>1870</v>
      </c>
      <c r="ODM361" s="626"/>
      <c r="ODN361" s="627" t="s">
        <v>1669</v>
      </c>
      <c r="ODO361" s="628">
        <v>43831</v>
      </c>
      <c r="ODP361" s="628">
        <v>43862</v>
      </c>
      <c r="ODQ361" s="628">
        <v>43891</v>
      </c>
      <c r="ODR361" s="628">
        <v>43922</v>
      </c>
      <c r="ODS361" s="628">
        <v>43952</v>
      </c>
      <c r="ODT361" s="628">
        <v>43983</v>
      </c>
      <c r="ODU361" s="628">
        <v>44013</v>
      </c>
      <c r="ODV361" s="628">
        <v>44044</v>
      </c>
      <c r="ODW361" s="628">
        <v>44075</v>
      </c>
      <c r="ODX361" s="628">
        <v>44105</v>
      </c>
      <c r="ODY361" s="628">
        <v>44136</v>
      </c>
      <c r="ODZ361" s="628">
        <v>44166</v>
      </c>
      <c r="OEA361" s="629">
        <v>2020</v>
      </c>
      <c r="OEB361" s="630" t="s">
        <v>1870</v>
      </c>
      <c r="OEC361" s="626"/>
      <c r="OED361" s="627" t="s">
        <v>1669</v>
      </c>
      <c r="OEE361" s="628">
        <v>43831</v>
      </c>
      <c r="OEF361" s="628">
        <v>43862</v>
      </c>
      <c r="OEG361" s="628">
        <v>43891</v>
      </c>
      <c r="OEH361" s="628">
        <v>43922</v>
      </c>
      <c r="OEI361" s="628">
        <v>43952</v>
      </c>
      <c r="OEJ361" s="628">
        <v>43983</v>
      </c>
      <c r="OEK361" s="628">
        <v>44013</v>
      </c>
      <c r="OEL361" s="628">
        <v>44044</v>
      </c>
      <c r="OEM361" s="628">
        <v>44075</v>
      </c>
      <c r="OEN361" s="628">
        <v>44105</v>
      </c>
      <c r="OEO361" s="628">
        <v>44136</v>
      </c>
      <c r="OEP361" s="628">
        <v>44166</v>
      </c>
      <c r="OEQ361" s="629">
        <v>2020</v>
      </c>
      <c r="OER361" s="630" t="s">
        <v>1870</v>
      </c>
      <c r="OES361" s="626"/>
      <c r="OET361" s="627" t="s">
        <v>1669</v>
      </c>
      <c r="OEU361" s="628">
        <v>43831</v>
      </c>
      <c r="OEV361" s="628">
        <v>43862</v>
      </c>
      <c r="OEW361" s="628">
        <v>43891</v>
      </c>
      <c r="OEX361" s="628">
        <v>43922</v>
      </c>
      <c r="OEY361" s="628">
        <v>43952</v>
      </c>
      <c r="OEZ361" s="628">
        <v>43983</v>
      </c>
      <c r="OFA361" s="628">
        <v>44013</v>
      </c>
      <c r="OFB361" s="628">
        <v>44044</v>
      </c>
      <c r="OFC361" s="628">
        <v>44075</v>
      </c>
      <c r="OFD361" s="628">
        <v>44105</v>
      </c>
      <c r="OFE361" s="628">
        <v>44136</v>
      </c>
      <c r="OFF361" s="628">
        <v>44166</v>
      </c>
      <c r="OFG361" s="629">
        <v>2020</v>
      </c>
      <c r="OFH361" s="630" t="s">
        <v>1870</v>
      </c>
      <c r="OFI361" s="626"/>
      <c r="OFJ361" s="627" t="s">
        <v>1669</v>
      </c>
      <c r="OFK361" s="628">
        <v>43831</v>
      </c>
      <c r="OFL361" s="628">
        <v>43862</v>
      </c>
      <c r="OFM361" s="628">
        <v>43891</v>
      </c>
      <c r="OFN361" s="628">
        <v>43922</v>
      </c>
      <c r="OFO361" s="628">
        <v>43952</v>
      </c>
      <c r="OFP361" s="628">
        <v>43983</v>
      </c>
      <c r="OFQ361" s="628">
        <v>44013</v>
      </c>
      <c r="OFR361" s="628">
        <v>44044</v>
      </c>
      <c r="OFS361" s="628">
        <v>44075</v>
      </c>
      <c r="OFT361" s="628">
        <v>44105</v>
      </c>
      <c r="OFU361" s="628">
        <v>44136</v>
      </c>
      <c r="OFV361" s="628">
        <v>44166</v>
      </c>
      <c r="OFW361" s="629">
        <v>2020</v>
      </c>
      <c r="OFX361" s="630" t="s">
        <v>1870</v>
      </c>
      <c r="OFY361" s="626"/>
      <c r="OFZ361" s="627" t="s">
        <v>1669</v>
      </c>
      <c r="OGA361" s="628">
        <v>43831</v>
      </c>
      <c r="OGB361" s="628">
        <v>43862</v>
      </c>
      <c r="OGC361" s="628">
        <v>43891</v>
      </c>
      <c r="OGD361" s="628">
        <v>43922</v>
      </c>
      <c r="OGE361" s="628">
        <v>43952</v>
      </c>
      <c r="OGF361" s="628">
        <v>43983</v>
      </c>
      <c r="OGG361" s="628">
        <v>44013</v>
      </c>
      <c r="OGH361" s="628">
        <v>44044</v>
      </c>
      <c r="OGI361" s="628">
        <v>44075</v>
      </c>
      <c r="OGJ361" s="628">
        <v>44105</v>
      </c>
      <c r="OGK361" s="628">
        <v>44136</v>
      </c>
      <c r="OGL361" s="628">
        <v>44166</v>
      </c>
      <c r="OGM361" s="629">
        <v>2020</v>
      </c>
      <c r="OGN361" s="630" t="s">
        <v>1870</v>
      </c>
      <c r="OGO361" s="626"/>
      <c r="OGP361" s="627" t="s">
        <v>1669</v>
      </c>
      <c r="OGQ361" s="628">
        <v>43831</v>
      </c>
      <c r="OGR361" s="628">
        <v>43862</v>
      </c>
      <c r="OGS361" s="628">
        <v>43891</v>
      </c>
      <c r="OGT361" s="628">
        <v>43922</v>
      </c>
      <c r="OGU361" s="628">
        <v>43952</v>
      </c>
      <c r="OGV361" s="628">
        <v>43983</v>
      </c>
      <c r="OGW361" s="628">
        <v>44013</v>
      </c>
      <c r="OGX361" s="628">
        <v>44044</v>
      </c>
      <c r="OGY361" s="628">
        <v>44075</v>
      </c>
      <c r="OGZ361" s="628">
        <v>44105</v>
      </c>
      <c r="OHA361" s="628">
        <v>44136</v>
      </c>
      <c r="OHB361" s="628">
        <v>44166</v>
      </c>
      <c r="OHC361" s="629">
        <v>2020</v>
      </c>
      <c r="OHD361" s="630" t="s">
        <v>1870</v>
      </c>
      <c r="OHE361" s="626"/>
      <c r="OHF361" s="627" t="s">
        <v>1669</v>
      </c>
      <c r="OHG361" s="628">
        <v>43831</v>
      </c>
      <c r="OHH361" s="628">
        <v>43862</v>
      </c>
      <c r="OHI361" s="628">
        <v>43891</v>
      </c>
      <c r="OHJ361" s="628">
        <v>43922</v>
      </c>
      <c r="OHK361" s="628">
        <v>43952</v>
      </c>
      <c r="OHL361" s="628">
        <v>43983</v>
      </c>
      <c r="OHM361" s="628">
        <v>44013</v>
      </c>
      <c r="OHN361" s="628">
        <v>44044</v>
      </c>
      <c r="OHO361" s="628">
        <v>44075</v>
      </c>
      <c r="OHP361" s="628">
        <v>44105</v>
      </c>
      <c r="OHQ361" s="628">
        <v>44136</v>
      </c>
      <c r="OHR361" s="628">
        <v>44166</v>
      </c>
      <c r="OHS361" s="629">
        <v>2020</v>
      </c>
      <c r="OHT361" s="630" t="s">
        <v>1870</v>
      </c>
      <c r="OHU361" s="626"/>
      <c r="OHV361" s="627" t="s">
        <v>1669</v>
      </c>
      <c r="OHW361" s="628">
        <v>43831</v>
      </c>
      <c r="OHX361" s="628">
        <v>43862</v>
      </c>
      <c r="OHY361" s="628">
        <v>43891</v>
      </c>
      <c r="OHZ361" s="628">
        <v>43922</v>
      </c>
      <c r="OIA361" s="628">
        <v>43952</v>
      </c>
      <c r="OIB361" s="628">
        <v>43983</v>
      </c>
      <c r="OIC361" s="628">
        <v>44013</v>
      </c>
      <c r="OID361" s="628">
        <v>44044</v>
      </c>
      <c r="OIE361" s="628">
        <v>44075</v>
      </c>
      <c r="OIF361" s="628">
        <v>44105</v>
      </c>
      <c r="OIG361" s="628">
        <v>44136</v>
      </c>
      <c r="OIH361" s="628">
        <v>44166</v>
      </c>
      <c r="OII361" s="629">
        <v>2020</v>
      </c>
      <c r="OIJ361" s="630" t="s">
        <v>1870</v>
      </c>
      <c r="OIK361" s="626"/>
      <c r="OIL361" s="627" t="s">
        <v>1669</v>
      </c>
      <c r="OIM361" s="628">
        <v>43831</v>
      </c>
      <c r="OIN361" s="628">
        <v>43862</v>
      </c>
      <c r="OIO361" s="628">
        <v>43891</v>
      </c>
      <c r="OIP361" s="628">
        <v>43922</v>
      </c>
      <c r="OIQ361" s="628">
        <v>43952</v>
      </c>
      <c r="OIR361" s="628">
        <v>43983</v>
      </c>
      <c r="OIS361" s="628">
        <v>44013</v>
      </c>
      <c r="OIT361" s="628">
        <v>44044</v>
      </c>
      <c r="OIU361" s="628">
        <v>44075</v>
      </c>
      <c r="OIV361" s="628">
        <v>44105</v>
      </c>
      <c r="OIW361" s="628">
        <v>44136</v>
      </c>
      <c r="OIX361" s="628">
        <v>44166</v>
      </c>
      <c r="OIY361" s="629">
        <v>2020</v>
      </c>
      <c r="OIZ361" s="630" t="s">
        <v>1870</v>
      </c>
      <c r="OJA361" s="626"/>
      <c r="OJB361" s="627" t="s">
        <v>1669</v>
      </c>
      <c r="OJC361" s="628">
        <v>43831</v>
      </c>
      <c r="OJD361" s="628">
        <v>43862</v>
      </c>
      <c r="OJE361" s="628">
        <v>43891</v>
      </c>
      <c r="OJF361" s="628">
        <v>43922</v>
      </c>
      <c r="OJG361" s="628">
        <v>43952</v>
      </c>
      <c r="OJH361" s="628">
        <v>43983</v>
      </c>
      <c r="OJI361" s="628">
        <v>44013</v>
      </c>
      <c r="OJJ361" s="628">
        <v>44044</v>
      </c>
      <c r="OJK361" s="628">
        <v>44075</v>
      </c>
      <c r="OJL361" s="628">
        <v>44105</v>
      </c>
      <c r="OJM361" s="628">
        <v>44136</v>
      </c>
      <c r="OJN361" s="628">
        <v>44166</v>
      </c>
      <c r="OJO361" s="629">
        <v>2020</v>
      </c>
      <c r="OJP361" s="630" t="s">
        <v>1870</v>
      </c>
      <c r="OJQ361" s="626"/>
      <c r="OJR361" s="627" t="s">
        <v>1669</v>
      </c>
      <c r="OJS361" s="628">
        <v>43831</v>
      </c>
      <c r="OJT361" s="628">
        <v>43862</v>
      </c>
      <c r="OJU361" s="628">
        <v>43891</v>
      </c>
      <c r="OJV361" s="628">
        <v>43922</v>
      </c>
      <c r="OJW361" s="628">
        <v>43952</v>
      </c>
      <c r="OJX361" s="628">
        <v>43983</v>
      </c>
      <c r="OJY361" s="628">
        <v>44013</v>
      </c>
      <c r="OJZ361" s="628">
        <v>44044</v>
      </c>
      <c r="OKA361" s="628">
        <v>44075</v>
      </c>
      <c r="OKB361" s="628">
        <v>44105</v>
      </c>
      <c r="OKC361" s="628">
        <v>44136</v>
      </c>
      <c r="OKD361" s="628">
        <v>44166</v>
      </c>
      <c r="OKE361" s="629">
        <v>2020</v>
      </c>
      <c r="OKF361" s="630" t="s">
        <v>1870</v>
      </c>
      <c r="OKG361" s="626"/>
      <c r="OKH361" s="627" t="s">
        <v>1669</v>
      </c>
      <c r="OKI361" s="628">
        <v>43831</v>
      </c>
      <c r="OKJ361" s="628">
        <v>43862</v>
      </c>
      <c r="OKK361" s="628">
        <v>43891</v>
      </c>
      <c r="OKL361" s="628">
        <v>43922</v>
      </c>
      <c r="OKM361" s="628">
        <v>43952</v>
      </c>
      <c r="OKN361" s="628">
        <v>43983</v>
      </c>
      <c r="OKO361" s="628">
        <v>44013</v>
      </c>
      <c r="OKP361" s="628">
        <v>44044</v>
      </c>
      <c r="OKQ361" s="628">
        <v>44075</v>
      </c>
      <c r="OKR361" s="628">
        <v>44105</v>
      </c>
      <c r="OKS361" s="628">
        <v>44136</v>
      </c>
      <c r="OKT361" s="628">
        <v>44166</v>
      </c>
      <c r="OKU361" s="629">
        <v>2020</v>
      </c>
      <c r="OKV361" s="630" t="s">
        <v>1870</v>
      </c>
      <c r="OKW361" s="626"/>
      <c r="OKX361" s="627" t="s">
        <v>1669</v>
      </c>
      <c r="OKY361" s="628">
        <v>43831</v>
      </c>
      <c r="OKZ361" s="628">
        <v>43862</v>
      </c>
      <c r="OLA361" s="628">
        <v>43891</v>
      </c>
      <c r="OLB361" s="628">
        <v>43922</v>
      </c>
      <c r="OLC361" s="628">
        <v>43952</v>
      </c>
      <c r="OLD361" s="628">
        <v>43983</v>
      </c>
      <c r="OLE361" s="628">
        <v>44013</v>
      </c>
      <c r="OLF361" s="628">
        <v>44044</v>
      </c>
      <c r="OLG361" s="628">
        <v>44075</v>
      </c>
      <c r="OLH361" s="628">
        <v>44105</v>
      </c>
      <c r="OLI361" s="628">
        <v>44136</v>
      </c>
      <c r="OLJ361" s="628">
        <v>44166</v>
      </c>
      <c r="OLK361" s="629">
        <v>2020</v>
      </c>
      <c r="OLL361" s="630" t="s">
        <v>1870</v>
      </c>
      <c r="OLM361" s="626"/>
      <c r="OLN361" s="627" t="s">
        <v>1669</v>
      </c>
      <c r="OLO361" s="628">
        <v>43831</v>
      </c>
      <c r="OLP361" s="628">
        <v>43862</v>
      </c>
      <c r="OLQ361" s="628">
        <v>43891</v>
      </c>
      <c r="OLR361" s="628">
        <v>43922</v>
      </c>
      <c r="OLS361" s="628">
        <v>43952</v>
      </c>
      <c r="OLT361" s="628">
        <v>43983</v>
      </c>
      <c r="OLU361" s="628">
        <v>44013</v>
      </c>
      <c r="OLV361" s="628">
        <v>44044</v>
      </c>
      <c r="OLW361" s="628">
        <v>44075</v>
      </c>
      <c r="OLX361" s="628">
        <v>44105</v>
      </c>
      <c r="OLY361" s="628">
        <v>44136</v>
      </c>
      <c r="OLZ361" s="628">
        <v>44166</v>
      </c>
      <c r="OMA361" s="629">
        <v>2020</v>
      </c>
      <c r="OMB361" s="630" t="s">
        <v>1870</v>
      </c>
      <c r="OMC361" s="626"/>
      <c r="OMD361" s="627" t="s">
        <v>1669</v>
      </c>
      <c r="OME361" s="628">
        <v>43831</v>
      </c>
      <c r="OMF361" s="628">
        <v>43862</v>
      </c>
      <c r="OMG361" s="628">
        <v>43891</v>
      </c>
      <c r="OMH361" s="628">
        <v>43922</v>
      </c>
      <c r="OMI361" s="628">
        <v>43952</v>
      </c>
      <c r="OMJ361" s="628">
        <v>43983</v>
      </c>
      <c r="OMK361" s="628">
        <v>44013</v>
      </c>
      <c r="OML361" s="628">
        <v>44044</v>
      </c>
      <c r="OMM361" s="628">
        <v>44075</v>
      </c>
      <c r="OMN361" s="628">
        <v>44105</v>
      </c>
      <c r="OMO361" s="628">
        <v>44136</v>
      </c>
      <c r="OMP361" s="628">
        <v>44166</v>
      </c>
      <c r="OMQ361" s="629">
        <v>2020</v>
      </c>
      <c r="OMR361" s="630" t="s">
        <v>1870</v>
      </c>
      <c r="OMS361" s="626"/>
      <c r="OMT361" s="627" t="s">
        <v>1669</v>
      </c>
      <c r="OMU361" s="628">
        <v>43831</v>
      </c>
      <c r="OMV361" s="628">
        <v>43862</v>
      </c>
      <c r="OMW361" s="628">
        <v>43891</v>
      </c>
      <c r="OMX361" s="628">
        <v>43922</v>
      </c>
      <c r="OMY361" s="628">
        <v>43952</v>
      </c>
      <c r="OMZ361" s="628">
        <v>43983</v>
      </c>
      <c r="ONA361" s="628">
        <v>44013</v>
      </c>
      <c r="ONB361" s="628">
        <v>44044</v>
      </c>
      <c r="ONC361" s="628">
        <v>44075</v>
      </c>
      <c r="OND361" s="628">
        <v>44105</v>
      </c>
      <c r="ONE361" s="628">
        <v>44136</v>
      </c>
      <c r="ONF361" s="628">
        <v>44166</v>
      </c>
      <c r="ONG361" s="629">
        <v>2020</v>
      </c>
      <c r="ONH361" s="630" t="s">
        <v>1870</v>
      </c>
      <c r="ONI361" s="626"/>
      <c r="ONJ361" s="627" t="s">
        <v>1669</v>
      </c>
      <c r="ONK361" s="628">
        <v>43831</v>
      </c>
      <c r="ONL361" s="628">
        <v>43862</v>
      </c>
      <c r="ONM361" s="628">
        <v>43891</v>
      </c>
      <c r="ONN361" s="628">
        <v>43922</v>
      </c>
      <c r="ONO361" s="628">
        <v>43952</v>
      </c>
      <c r="ONP361" s="628">
        <v>43983</v>
      </c>
      <c r="ONQ361" s="628">
        <v>44013</v>
      </c>
      <c r="ONR361" s="628">
        <v>44044</v>
      </c>
      <c r="ONS361" s="628">
        <v>44075</v>
      </c>
      <c r="ONT361" s="628">
        <v>44105</v>
      </c>
      <c r="ONU361" s="628">
        <v>44136</v>
      </c>
      <c r="ONV361" s="628">
        <v>44166</v>
      </c>
      <c r="ONW361" s="629">
        <v>2020</v>
      </c>
      <c r="ONX361" s="630" t="s">
        <v>1870</v>
      </c>
      <c r="ONY361" s="626"/>
      <c r="ONZ361" s="627" t="s">
        <v>1669</v>
      </c>
      <c r="OOA361" s="628">
        <v>43831</v>
      </c>
      <c r="OOB361" s="628">
        <v>43862</v>
      </c>
      <c r="OOC361" s="628">
        <v>43891</v>
      </c>
      <c r="OOD361" s="628">
        <v>43922</v>
      </c>
      <c r="OOE361" s="628">
        <v>43952</v>
      </c>
      <c r="OOF361" s="628">
        <v>43983</v>
      </c>
      <c r="OOG361" s="628">
        <v>44013</v>
      </c>
      <c r="OOH361" s="628">
        <v>44044</v>
      </c>
      <c r="OOI361" s="628">
        <v>44075</v>
      </c>
      <c r="OOJ361" s="628">
        <v>44105</v>
      </c>
      <c r="OOK361" s="628">
        <v>44136</v>
      </c>
      <c r="OOL361" s="628">
        <v>44166</v>
      </c>
      <c r="OOM361" s="629">
        <v>2020</v>
      </c>
      <c r="OON361" s="630" t="s">
        <v>1870</v>
      </c>
      <c r="OOO361" s="626"/>
      <c r="OOP361" s="627" t="s">
        <v>1669</v>
      </c>
      <c r="OOQ361" s="628">
        <v>43831</v>
      </c>
      <c r="OOR361" s="628">
        <v>43862</v>
      </c>
      <c r="OOS361" s="628">
        <v>43891</v>
      </c>
      <c r="OOT361" s="628">
        <v>43922</v>
      </c>
      <c r="OOU361" s="628">
        <v>43952</v>
      </c>
      <c r="OOV361" s="628">
        <v>43983</v>
      </c>
      <c r="OOW361" s="628">
        <v>44013</v>
      </c>
      <c r="OOX361" s="628">
        <v>44044</v>
      </c>
      <c r="OOY361" s="628">
        <v>44075</v>
      </c>
      <c r="OOZ361" s="628">
        <v>44105</v>
      </c>
      <c r="OPA361" s="628">
        <v>44136</v>
      </c>
      <c r="OPB361" s="628">
        <v>44166</v>
      </c>
      <c r="OPC361" s="629">
        <v>2020</v>
      </c>
      <c r="OPD361" s="630" t="s">
        <v>1870</v>
      </c>
      <c r="OPE361" s="626"/>
      <c r="OPF361" s="627" t="s">
        <v>1669</v>
      </c>
      <c r="OPG361" s="628">
        <v>43831</v>
      </c>
      <c r="OPH361" s="628">
        <v>43862</v>
      </c>
      <c r="OPI361" s="628">
        <v>43891</v>
      </c>
      <c r="OPJ361" s="628">
        <v>43922</v>
      </c>
      <c r="OPK361" s="628">
        <v>43952</v>
      </c>
      <c r="OPL361" s="628">
        <v>43983</v>
      </c>
      <c r="OPM361" s="628">
        <v>44013</v>
      </c>
      <c r="OPN361" s="628">
        <v>44044</v>
      </c>
      <c r="OPO361" s="628">
        <v>44075</v>
      </c>
      <c r="OPP361" s="628">
        <v>44105</v>
      </c>
      <c r="OPQ361" s="628">
        <v>44136</v>
      </c>
      <c r="OPR361" s="628">
        <v>44166</v>
      </c>
      <c r="OPS361" s="629">
        <v>2020</v>
      </c>
      <c r="OPT361" s="630" t="s">
        <v>1870</v>
      </c>
      <c r="OPU361" s="626"/>
      <c r="OPV361" s="627" t="s">
        <v>1669</v>
      </c>
      <c r="OPW361" s="628">
        <v>43831</v>
      </c>
      <c r="OPX361" s="628">
        <v>43862</v>
      </c>
      <c r="OPY361" s="628">
        <v>43891</v>
      </c>
      <c r="OPZ361" s="628">
        <v>43922</v>
      </c>
      <c r="OQA361" s="628">
        <v>43952</v>
      </c>
      <c r="OQB361" s="628">
        <v>43983</v>
      </c>
      <c r="OQC361" s="628">
        <v>44013</v>
      </c>
      <c r="OQD361" s="628">
        <v>44044</v>
      </c>
      <c r="OQE361" s="628">
        <v>44075</v>
      </c>
      <c r="OQF361" s="628">
        <v>44105</v>
      </c>
      <c r="OQG361" s="628">
        <v>44136</v>
      </c>
      <c r="OQH361" s="628">
        <v>44166</v>
      </c>
      <c r="OQI361" s="629">
        <v>2020</v>
      </c>
      <c r="OQJ361" s="630" t="s">
        <v>1870</v>
      </c>
      <c r="OQK361" s="626"/>
      <c r="OQL361" s="627" t="s">
        <v>1669</v>
      </c>
      <c r="OQM361" s="628">
        <v>43831</v>
      </c>
      <c r="OQN361" s="628">
        <v>43862</v>
      </c>
      <c r="OQO361" s="628">
        <v>43891</v>
      </c>
      <c r="OQP361" s="628">
        <v>43922</v>
      </c>
      <c r="OQQ361" s="628">
        <v>43952</v>
      </c>
      <c r="OQR361" s="628">
        <v>43983</v>
      </c>
      <c r="OQS361" s="628">
        <v>44013</v>
      </c>
      <c r="OQT361" s="628">
        <v>44044</v>
      </c>
      <c r="OQU361" s="628">
        <v>44075</v>
      </c>
      <c r="OQV361" s="628">
        <v>44105</v>
      </c>
      <c r="OQW361" s="628">
        <v>44136</v>
      </c>
      <c r="OQX361" s="628">
        <v>44166</v>
      </c>
      <c r="OQY361" s="629">
        <v>2020</v>
      </c>
      <c r="OQZ361" s="630" t="s">
        <v>1870</v>
      </c>
      <c r="ORA361" s="626"/>
      <c r="ORB361" s="627" t="s">
        <v>1669</v>
      </c>
      <c r="ORC361" s="628">
        <v>43831</v>
      </c>
      <c r="ORD361" s="628">
        <v>43862</v>
      </c>
      <c r="ORE361" s="628">
        <v>43891</v>
      </c>
      <c r="ORF361" s="628">
        <v>43922</v>
      </c>
      <c r="ORG361" s="628">
        <v>43952</v>
      </c>
      <c r="ORH361" s="628">
        <v>43983</v>
      </c>
      <c r="ORI361" s="628">
        <v>44013</v>
      </c>
      <c r="ORJ361" s="628">
        <v>44044</v>
      </c>
      <c r="ORK361" s="628">
        <v>44075</v>
      </c>
      <c r="ORL361" s="628">
        <v>44105</v>
      </c>
      <c r="ORM361" s="628">
        <v>44136</v>
      </c>
      <c r="ORN361" s="628">
        <v>44166</v>
      </c>
      <c r="ORO361" s="629">
        <v>2020</v>
      </c>
      <c r="ORP361" s="630" t="s">
        <v>1870</v>
      </c>
      <c r="ORQ361" s="626"/>
      <c r="ORR361" s="627" t="s">
        <v>1669</v>
      </c>
      <c r="ORS361" s="628">
        <v>43831</v>
      </c>
      <c r="ORT361" s="628">
        <v>43862</v>
      </c>
      <c r="ORU361" s="628">
        <v>43891</v>
      </c>
      <c r="ORV361" s="628">
        <v>43922</v>
      </c>
      <c r="ORW361" s="628">
        <v>43952</v>
      </c>
      <c r="ORX361" s="628">
        <v>43983</v>
      </c>
      <c r="ORY361" s="628">
        <v>44013</v>
      </c>
      <c r="ORZ361" s="628">
        <v>44044</v>
      </c>
      <c r="OSA361" s="628">
        <v>44075</v>
      </c>
      <c r="OSB361" s="628">
        <v>44105</v>
      </c>
      <c r="OSC361" s="628">
        <v>44136</v>
      </c>
      <c r="OSD361" s="628">
        <v>44166</v>
      </c>
      <c r="OSE361" s="629">
        <v>2020</v>
      </c>
      <c r="OSF361" s="630" t="s">
        <v>1870</v>
      </c>
      <c r="OSG361" s="626"/>
      <c r="OSH361" s="627" t="s">
        <v>1669</v>
      </c>
      <c r="OSI361" s="628">
        <v>43831</v>
      </c>
      <c r="OSJ361" s="628">
        <v>43862</v>
      </c>
      <c r="OSK361" s="628">
        <v>43891</v>
      </c>
      <c r="OSL361" s="628">
        <v>43922</v>
      </c>
      <c r="OSM361" s="628">
        <v>43952</v>
      </c>
      <c r="OSN361" s="628">
        <v>43983</v>
      </c>
      <c r="OSO361" s="628">
        <v>44013</v>
      </c>
      <c r="OSP361" s="628">
        <v>44044</v>
      </c>
      <c r="OSQ361" s="628">
        <v>44075</v>
      </c>
      <c r="OSR361" s="628">
        <v>44105</v>
      </c>
      <c r="OSS361" s="628">
        <v>44136</v>
      </c>
      <c r="OST361" s="628">
        <v>44166</v>
      </c>
      <c r="OSU361" s="629">
        <v>2020</v>
      </c>
      <c r="OSV361" s="630" t="s">
        <v>1870</v>
      </c>
      <c r="OSW361" s="626"/>
      <c r="OSX361" s="627" t="s">
        <v>1669</v>
      </c>
      <c r="OSY361" s="628">
        <v>43831</v>
      </c>
      <c r="OSZ361" s="628">
        <v>43862</v>
      </c>
      <c r="OTA361" s="628">
        <v>43891</v>
      </c>
      <c r="OTB361" s="628">
        <v>43922</v>
      </c>
      <c r="OTC361" s="628">
        <v>43952</v>
      </c>
      <c r="OTD361" s="628">
        <v>43983</v>
      </c>
      <c r="OTE361" s="628">
        <v>44013</v>
      </c>
      <c r="OTF361" s="628">
        <v>44044</v>
      </c>
      <c r="OTG361" s="628">
        <v>44075</v>
      </c>
      <c r="OTH361" s="628">
        <v>44105</v>
      </c>
      <c r="OTI361" s="628">
        <v>44136</v>
      </c>
      <c r="OTJ361" s="628">
        <v>44166</v>
      </c>
      <c r="OTK361" s="629">
        <v>2020</v>
      </c>
      <c r="OTL361" s="630" t="s">
        <v>1870</v>
      </c>
      <c r="OTM361" s="626"/>
      <c r="OTN361" s="627" t="s">
        <v>1669</v>
      </c>
      <c r="OTO361" s="628">
        <v>43831</v>
      </c>
      <c r="OTP361" s="628">
        <v>43862</v>
      </c>
      <c r="OTQ361" s="628">
        <v>43891</v>
      </c>
      <c r="OTR361" s="628">
        <v>43922</v>
      </c>
      <c r="OTS361" s="628">
        <v>43952</v>
      </c>
      <c r="OTT361" s="628">
        <v>43983</v>
      </c>
      <c r="OTU361" s="628">
        <v>44013</v>
      </c>
      <c r="OTV361" s="628">
        <v>44044</v>
      </c>
      <c r="OTW361" s="628">
        <v>44075</v>
      </c>
      <c r="OTX361" s="628">
        <v>44105</v>
      </c>
      <c r="OTY361" s="628">
        <v>44136</v>
      </c>
      <c r="OTZ361" s="628">
        <v>44166</v>
      </c>
      <c r="OUA361" s="629">
        <v>2020</v>
      </c>
      <c r="OUB361" s="630" t="s">
        <v>1870</v>
      </c>
      <c r="OUC361" s="626"/>
      <c r="OUD361" s="627" t="s">
        <v>1669</v>
      </c>
      <c r="OUE361" s="628">
        <v>43831</v>
      </c>
      <c r="OUF361" s="628">
        <v>43862</v>
      </c>
      <c r="OUG361" s="628">
        <v>43891</v>
      </c>
      <c r="OUH361" s="628">
        <v>43922</v>
      </c>
      <c r="OUI361" s="628">
        <v>43952</v>
      </c>
      <c r="OUJ361" s="628">
        <v>43983</v>
      </c>
      <c r="OUK361" s="628">
        <v>44013</v>
      </c>
      <c r="OUL361" s="628">
        <v>44044</v>
      </c>
      <c r="OUM361" s="628">
        <v>44075</v>
      </c>
      <c r="OUN361" s="628">
        <v>44105</v>
      </c>
      <c r="OUO361" s="628">
        <v>44136</v>
      </c>
      <c r="OUP361" s="628">
        <v>44166</v>
      </c>
      <c r="OUQ361" s="629">
        <v>2020</v>
      </c>
      <c r="OUR361" s="630" t="s">
        <v>1870</v>
      </c>
      <c r="OUS361" s="626"/>
      <c r="OUT361" s="627" t="s">
        <v>1669</v>
      </c>
      <c r="OUU361" s="628">
        <v>43831</v>
      </c>
      <c r="OUV361" s="628">
        <v>43862</v>
      </c>
      <c r="OUW361" s="628">
        <v>43891</v>
      </c>
      <c r="OUX361" s="628">
        <v>43922</v>
      </c>
      <c r="OUY361" s="628">
        <v>43952</v>
      </c>
      <c r="OUZ361" s="628">
        <v>43983</v>
      </c>
      <c r="OVA361" s="628">
        <v>44013</v>
      </c>
      <c r="OVB361" s="628">
        <v>44044</v>
      </c>
      <c r="OVC361" s="628">
        <v>44075</v>
      </c>
      <c r="OVD361" s="628">
        <v>44105</v>
      </c>
      <c r="OVE361" s="628">
        <v>44136</v>
      </c>
      <c r="OVF361" s="628">
        <v>44166</v>
      </c>
      <c r="OVG361" s="629">
        <v>2020</v>
      </c>
      <c r="OVH361" s="630" t="s">
        <v>1870</v>
      </c>
      <c r="OVI361" s="626"/>
      <c r="OVJ361" s="627" t="s">
        <v>1669</v>
      </c>
      <c r="OVK361" s="628">
        <v>43831</v>
      </c>
      <c r="OVL361" s="628">
        <v>43862</v>
      </c>
      <c r="OVM361" s="628">
        <v>43891</v>
      </c>
      <c r="OVN361" s="628">
        <v>43922</v>
      </c>
      <c r="OVO361" s="628">
        <v>43952</v>
      </c>
      <c r="OVP361" s="628">
        <v>43983</v>
      </c>
      <c r="OVQ361" s="628">
        <v>44013</v>
      </c>
      <c r="OVR361" s="628">
        <v>44044</v>
      </c>
      <c r="OVS361" s="628">
        <v>44075</v>
      </c>
      <c r="OVT361" s="628">
        <v>44105</v>
      </c>
      <c r="OVU361" s="628">
        <v>44136</v>
      </c>
      <c r="OVV361" s="628">
        <v>44166</v>
      </c>
      <c r="OVW361" s="629">
        <v>2020</v>
      </c>
      <c r="OVX361" s="630" t="s">
        <v>1870</v>
      </c>
      <c r="OVY361" s="626"/>
      <c r="OVZ361" s="627" t="s">
        <v>1669</v>
      </c>
      <c r="OWA361" s="628">
        <v>43831</v>
      </c>
      <c r="OWB361" s="628">
        <v>43862</v>
      </c>
      <c r="OWC361" s="628">
        <v>43891</v>
      </c>
      <c r="OWD361" s="628">
        <v>43922</v>
      </c>
      <c r="OWE361" s="628">
        <v>43952</v>
      </c>
      <c r="OWF361" s="628">
        <v>43983</v>
      </c>
      <c r="OWG361" s="628">
        <v>44013</v>
      </c>
      <c r="OWH361" s="628">
        <v>44044</v>
      </c>
      <c r="OWI361" s="628">
        <v>44075</v>
      </c>
      <c r="OWJ361" s="628">
        <v>44105</v>
      </c>
      <c r="OWK361" s="628">
        <v>44136</v>
      </c>
      <c r="OWL361" s="628">
        <v>44166</v>
      </c>
      <c r="OWM361" s="629">
        <v>2020</v>
      </c>
      <c r="OWN361" s="630" t="s">
        <v>1870</v>
      </c>
      <c r="OWO361" s="626"/>
      <c r="OWP361" s="627" t="s">
        <v>1669</v>
      </c>
      <c r="OWQ361" s="628">
        <v>43831</v>
      </c>
      <c r="OWR361" s="628">
        <v>43862</v>
      </c>
      <c r="OWS361" s="628">
        <v>43891</v>
      </c>
      <c r="OWT361" s="628">
        <v>43922</v>
      </c>
      <c r="OWU361" s="628">
        <v>43952</v>
      </c>
      <c r="OWV361" s="628">
        <v>43983</v>
      </c>
      <c r="OWW361" s="628">
        <v>44013</v>
      </c>
      <c r="OWX361" s="628">
        <v>44044</v>
      </c>
      <c r="OWY361" s="628">
        <v>44075</v>
      </c>
      <c r="OWZ361" s="628">
        <v>44105</v>
      </c>
      <c r="OXA361" s="628">
        <v>44136</v>
      </c>
      <c r="OXB361" s="628">
        <v>44166</v>
      </c>
      <c r="OXC361" s="629">
        <v>2020</v>
      </c>
      <c r="OXD361" s="630" t="s">
        <v>1870</v>
      </c>
      <c r="OXE361" s="626"/>
      <c r="OXF361" s="627" t="s">
        <v>1669</v>
      </c>
      <c r="OXG361" s="628">
        <v>43831</v>
      </c>
      <c r="OXH361" s="628">
        <v>43862</v>
      </c>
      <c r="OXI361" s="628">
        <v>43891</v>
      </c>
      <c r="OXJ361" s="628">
        <v>43922</v>
      </c>
      <c r="OXK361" s="628">
        <v>43952</v>
      </c>
      <c r="OXL361" s="628">
        <v>43983</v>
      </c>
      <c r="OXM361" s="628">
        <v>44013</v>
      </c>
      <c r="OXN361" s="628">
        <v>44044</v>
      </c>
      <c r="OXO361" s="628">
        <v>44075</v>
      </c>
      <c r="OXP361" s="628">
        <v>44105</v>
      </c>
      <c r="OXQ361" s="628">
        <v>44136</v>
      </c>
      <c r="OXR361" s="628">
        <v>44166</v>
      </c>
      <c r="OXS361" s="629">
        <v>2020</v>
      </c>
      <c r="OXT361" s="630" t="s">
        <v>1870</v>
      </c>
      <c r="OXU361" s="626"/>
      <c r="OXV361" s="627" t="s">
        <v>1669</v>
      </c>
      <c r="OXW361" s="628">
        <v>43831</v>
      </c>
      <c r="OXX361" s="628">
        <v>43862</v>
      </c>
      <c r="OXY361" s="628">
        <v>43891</v>
      </c>
      <c r="OXZ361" s="628">
        <v>43922</v>
      </c>
      <c r="OYA361" s="628">
        <v>43952</v>
      </c>
      <c r="OYB361" s="628">
        <v>43983</v>
      </c>
      <c r="OYC361" s="628">
        <v>44013</v>
      </c>
      <c r="OYD361" s="628">
        <v>44044</v>
      </c>
      <c r="OYE361" s="628">
        <v>44075</v>
      </c>
      <c r="OYF361" s="628">
        <v>44105</v>
      </c>
      <c r="OYG361" s="628">
        <v>44136</v>
      </c>
      <c r="OYH361" s="628">
        <v>44166</v>
      </c>
      <c r="OYI361" s="629">
        <v>2020</v>
      </c>
      <c r="OYJ361" s="630" t="s">
        <v>1870</v>
      </c>
      <c r="OYK361" s="626"/>
      <c r="OYL361" s="627" t="s">
        <v>1669</v>
      </c>
      <c r="OYM361" s="628">
        <v>43831</v>
      </c>
      <c r="OYN361" s="628">
        <v>43862</v>
      </c>
      <c r="OYO361" s="628">
        <v>43891</v>
      </c>
      <c r="OYP361" s="628">
        <v>43922</v>
      </c>
      <c r="OYQ361" s="628">
        <v>43952</v>
      </c>
      <c r="OYR361" s="628">
        <v>43983</v>
      </c>
      <c r="OYS361" s="628">
        <v>44013</v>
      </c>
      <c r="OYT361" s="628">
        <v>44044</v>
      </c>
      <c r="OYU361" s="628">
        <v>44075</v>
      </c>
      <c r="OYV361" s="628">
        <v>44105</v>
      </c>
      <c r="OYW361" s="628">
        <v>44136</v>
      </c>
      <c r="OYX361" s="628">
        <v>44166</v>
      </c>
      <c r="OYY361" s="629">
        <v>2020</v>
      </c>
      <c r="OYZ361" s="630" t="s">
        <v>1870</v>
      </c>
      <c r="OZA361" s="626"/>
      <c r="OZB361" s="627" t="s">
        <v>1669</v>
      </c>
      <c r="OZC361" s="628">
        <v>43831</v>
      </c>
      <c r="OZD361" s="628">
        <v>43862</v>
      </c>
      <c r="OZE361" s="628">
        <v>43891</v>
      </c>
      <c r="OZF361" s="628">
        <v>43922</v>
      </c>
      <c r="OZG361" s="628">
        <v>43952</v>
      </c>
      <c r="OZH361" s="628">
        <v>43983</v>
      </c>
      <c r="OZI361" s="628">
        <v>44013</v>
      </c>
      <c r="OZJ361" s="628">
        <v>44044</v>
      </c>
      <c r="OZK361" s="628">
        <v>44075</v>
      </c>
      <c r="OZL361" s="628">
        <v>44105</v>
      </c>
      <c r="OZM361" s="628">
        <v>44136</v>
      </c>
      <c r="OZN361" s="628">
        <v>44166</v>
      </c>
      <c r="OZO361" s="629">
        <v>2020</v>
      </c>
      <c r="OZP361" s="630" t="s">
        <v>1870</v>
      </c>
      <c r="OZQ361" s="626"/>
      <c r="OZR361" s="627" t="s">
        <v>1669</v>
      </c>
      <c r="OZS361" s="628">
        <v>43831</v>
      </c>
      <c r="OZT361" s="628">
        <v>43862</v>
      </c>
      <c r="OZU361" s="628">
        <v>43891</v>
      </c>
      <c r="OZV361" s="628">
        <v>43922</v>
      </c>
      <c r="OZW361" s="628">
        <v>43952</v>
      </c>
      <c r="OZX361" s="628">
        <v>43983</v>
      </c>
      <c r="OZY361" s="628">
        <v>44013</v>
      </c>
      <c r="OZZ361" s="628">
        <v>44044</v>
      </c>
      <c r="PAA361" s="628">
        <v>44075</v>
      </c>
      <c r="PAB361" s="628">
        <v>44105</v>
      </c>
      <c r="PAC361" s="628">
        <v>44136</v>
      </c>
      <c r="PAD361" s="628">
        <v>44166</v>
      </c>
      <c r="PAE361" s="629">
        <v>2020</v>
      </c>
      <c r="PAF361" s="630" t="s">
        <v>1870</v>
      </c>
      <c r="PAG361" s="626"/>
      <c r="PAH361" s="627" t="s">
        <v>1669</v>
      </c>
      <c r="PAI361" s="628">
        <v>43831</v>
      </c>
      <c r="PAJ361" s="628">
        <v>43862</v>
      </c>
      <c r="PAK361" s="628">
        <v>43891</v>
      </c>
      <c r="PAL361" s="628">
        <v>43922</v>
      </c>
      <c r="PAM361" s="628">
        <v>43952</v>
      </c>
      <c r="PAN361" s="628">
        <v>43983</v>
      </c>
      <c r="PAO361" s="628">
        <v>44013</v>
      </c>
      <c r="PAP361" s="628">
        <v>44044</v>
      </c>
      <c r="PAQ361" s="628">
        <v>44075</v>
      </c>
      <c r="PAR361" s="628">
        <v>44105</v>
      </c>
      <c r="PAS361" s="628">
        <v>44136</v>
      </c>
      <c r="PAT361" s="628">
        <v>44166</v>
      </c>
      <c r="PAU361" s="629">
        <v>2020</v>
      </c>
      <c r="PAV361" s="630" t="s">
        <v>1870</v>
      </c>
      <c r="PAW361" s="626"/>
      <c r="PAX361" s="627" t="s">
        <v>1669</v>
      </c>
      <c r="PAY361" s="628">
        <v>43831</v>
      </c>
      <c r="PAZ361" s="628">
        <v>43862</v>
      </c>
      <c r="PBA361" s="628">
        <v>43891</v>
      </c>
      <c r="PBB361" s="628">
        <v>43922</v>
      </c>
      <c r="PBC361" s="628">
        <v>43952</v>
      </c>
      <c r="PBD361" s="628">
        <v>43983</v>
      </c>
      <c r="PBE361" s="628">
        <v>44013</v>
      </c>
      <c r="PBF361" s="628">
        <v>44044</v>
      </c>
      <c r="PBG361" s="628">
        <v>44075</v>
      </c>
      <c r="PBH361" s="628">
        <v>44105</v>
      </c>
      <c r="PBI361" s="628">
        <v>44136</v>
      </c>
      <c r="PBJ361" s="628">
        <v>44166</v>
      </c>
      <c r="PBK361" s="629">
        <v>2020</v>
      </c>
      <c r="PBL361" s="630" t="s">
        <v>1870</v>
      </c>
      <c r="PBM361" s="626"/>
      <c r="PBN361" s="627" t="s">
        <v>1669</v>
      </c>
      <c r="PBO361" s="628">
        <v>43831</v>
      </c>
      <c r="PBP361" s="628">
        <v>43862</v>
      </c>
      <c r="PBQ361" s="628">
        <v>43891</v>
      </c>
      <c r="PBR361" s="628">
        <v>43922</v>
      </c>
      <c r="PBS361" s="628">
        <v>43952</v>
      </c>
      <c r="PBT361" s="628">
        <v>43983</v>
      </c>
      <c r="PBU361" s="628">
        <v>44013</v>
      </c>
      <c r="PBV361" s="628">
        <v>44044</v>
      </c>
      <c r="PBW361" s="628">
        <v>44075</v>
      </c>
      <c r="PBX361" s="628">
        <v>44105</v>
      </c>
      <c r="PBY361" s="628">
        <v>44136</v>
      </c>
      <c r="PBZ361" s="628">
        <v>44166</v>
      </c>
      <c r="PCA361" s="629">
        <v>2020</v>
      </c>
      <c r="PCB361" s="630" t="s">
        <v>1870</v>
      </c>
      <c r="PCC361" s="626"/>
      <c r="PCD361" s="627" t="s">
        <v>1669</v>
      </c>
      <c r="PCE361" s="628">
        <v>43831</v>
      </c>
      <c r="PCF361" s="628">
        <v>43862</v>
      </c>
      <c r="PCG361" s="628">
        <v>43891</v>
      </c>
      <c r="PCH361" s="628">
        <v>43922</v>
      </c>
      <c r="PCI361" s="628">
        <v>43952</v>
      </c>
      <c r="PCJ361" s="628">
        <v>43983</v>
      </c>
      <c r="PCK361" s="628">
        <v>44013</v>
      </c>
      <c r="PCL361" s="628">
        <v>44044</v>
      </c>
      <c r="PCM361" s="628">
        <v>44075</v>
      </c>
      <c r="PCN361" s="628">
        <v>44105</v>
      </c>
      <c r="PCO361" s="628">
        <v>44136</v>
      </c>
      <c r="PCP361" s="628">
        <v>44166</v>
      </c>
      <c r="PCQ361" s="629">
        <v>2020</v>
      </c>
      <c r="PCR361" s="630" t="s">
        <v>1870</v>
      </c>
      <c r="PCS361" s="626"/>
      <c r="PCT361" s="627" t="s">
        <v>1669</v>
      </c>
      <c r="PCU361" s="628">
        <v>43831</v>
      </c>
      <c r="PCV361" s="628">
        <v>43862</v>
      </c>
      <c r="PCW361" s="628">
        <v>43891</v>
      </c>
      <c r="PCX361" s="628">
        <v>43922</v>
      </c>
      <c r="PCY361" s="628">
        <v>43952</v>
      </c>
      <c r="PCZ361" s="628">
        <v>43983</v>
      </c>
      <c r="PDA361" s="628">
        <v>44013</v>
      </c>
      <c r="PDB361" s="628">
        <v>44044</v>
      </c>
      <c r="PDC361" s="628">
        <v>44075</v>
      </c>
      <c r="PDD361" s="628">
        <v>44105</v>
      </c>
      <c r="PDE361" s="628">
        <v>44136</v>
      </c>
      <c r="PDF361" s="628">
        <v>44166</v>
      </c>
      <c r="PDG361" s="629">
        <v>2020</v>
      </c>
      <c r="PDH361" s="630" t="s">
        <v>1870</v>
      </c>
      <c r="PDI361" s="626"/>
      <c r="PDJ361" s="627" t="s">
        <v>1669</v>
      </c>
      <c r="PDK361" s="628">
        <v>43831</v>
      </c>
      <c r="PDL361" s="628">
        <v>43862</v>
      </c>
      <c r="PDM361" s="628">
        <v>43891</v>
      </c>
      <c r="PDN361" s="628">
        <v>43922</v>
      </c>
      <c r="PDO361" s="628">
        <v>43952</v>
      </c>
      <c r="PDP361" s="628">
        <v>43983</v>
      </c>
      <c r="PDQ361" s="628">
        <v>44013</v>
      </c>
      <c r="PDR361" s="628">
        <v>44044</v>
      </c>
      <c r="PDS361" s="628">
        <v>44075</v>
      </c>
      <c r="PDT361" s="628">
        <v>44105</v>
      </c>
      <c r="PDU361" s="628">
        <v>44136</v>
      </c>
      <c r="PDV361" s="628">
        <v>44166</v>
      </c>
      <c r="PDW361" s="629">
        <v>2020</v>
      </c>
      <c r="PDX361" s="630" t="s">
        <v>1870</v>
      </c>
      <c r="PDY361" s="626"/>
      <c r="PDZ361" s="627" t="s">
        <v>1669</v>
      </c>
      <c r="PEA361" s="628">
        <v>43831</v>
      </c>
      <c r="PEB361" s="628">
        <v>43862</v>
      </c>
      <c r="PEC361" s="628">
        <v>43891</v>
      </c>
      <c r="PED361" s="628">
        <v>43922</v>
      </c>
      <c r="PEE361" s="628">
        <v>43952</v>
      </c>
      <c r="PEF361" s="628">
        <v>43983</v>
      </c>
      <c r="PEG361" s="628">
        <v>44013</v>
      </c>
      <c r="PEH361" s="628">
        <v>44044</v>
      </c>
      <c r="PEI361" s="628">
        <v>44075</v>
      </c>
      <c r="PEJ361" s="628">
        <v>44105</v>
      </c>
      <c r="PEK361" s="628">
        <v>44136</v>
      </c>
      <c r="PEL361" s="628">
        <v>44166</v>
      </c>
      <c r="PEM361" s="629">
        <v>2020</v>
      </c>
      <c r="PEN361" s="630" t="s">
        <v>1870</v>
      </c>
      <c r="PEO361" s="626"/>
      <c r="PEP361" s="627" t="s">
        <v>1669</v>
      </c>
      <c r="PEQ361" s="628">
        <v>43831</v>
      </c>
      <c r="PER361" s="628">
        <v>43862</v>
      </c>
      <c r="PES361" s="628">
        <v>43891</v>
      </c>
      <c r="PET361" s="628">
        <v>43922</v>
      </c>
      <c r="PEU361" s="628">
        <v>43952</v>
      </c>
      <c r="PEV361" s="628">
        <v>43983</v>
      </c>
      <c r="PEW361" s="628">
        <v>44013</v>
      </c>
      <c r="PEX361" s="628">
        <v>44044</v>
      </c>
      <c r="PEY361" s="628">
        <v>44075</v>
      </c>
      <c r="PEZ361" s="628">
        <v>44105</v>
      </c>
      <c r="PFA361" s="628">
        <v>44136</v>
      </c>
      <c r="PFB361" s="628">
        <v>44166</v>
      </c>
      <c r="PFC361" s="629">
        <v>2020</v>
      </c>
      <c r="PFD361" s="630" t="s">
        <v>1870</v>
      </c>
      <c r="PFE361" s="626"/>
      <c r="PFF361" s="627" t="s">
        <v>1669</v>
      </c>
      <c r="PFG361" s="628">
        <v>43831</v>
      </c>
      <c r="PFH361" s="628">
        <v>43862</v>
      </c>
      <c r="PFI361" s="628">
        <v>43891</v>
      </c>
      <c r="PFJ361" s="628">
        <v>43922</v>
      </c>
      <c r="PFK361" s="628">
        <v>43952</v>
      </c>
      <c r="PFL361" s="628">
        <v>43983</v>
      </c>
      <c r="PFM361" s="628">
        <v>44013</v>
      </c>
      <c r="PFN361" s="628">
        <v>44044</v>
      </c>
      <c r="PFO361" s="628">
        <v>44075</v>
      </c>
      <c r="PFP361" s="628">
        <v>44105</v>
      </c>
      <c r="PFQ361" s="628">
        <v>44136</v>
      </c>
      <c r="PFR361" s="628">
        <v>44166</v>
      </c>
      <c r="PFS361" s="629">
        <v>2020</v>
      </c>
      <c r="PFT361" s="630" t="s">
        <v>1870</v>
      </c>
      <c r="PFU361" s="626"/>
      <c r="PFV361" s="627" t="s">
        <v>1669</v>
      </c>
      <c r="PFW361" s="628">
        <v>43831</v>
      </c>
      <c r="PFX361" s="628">
        <v>43862</v>
      </c>
      <c r="PFY361" s="628">
        <v>43891</v>
      </c>
      <c r="PFZ361" s="628">
        <v>43922</v>
      </c>
      <c r="PGA361" s="628">
        <v>43952</v>
      </c>
      <c r="PGB361" s="628">
        <v>43983</v>
      </c>
      <c r="PGC361" s="628">
        <v>44013</v>
      </c>
      <c r="PGD361" s="628">
        <v>44044</v>
      </c>
      <c r="PGE361" s="628">
        <v>44075</v>
      </c>
      <c r="PGF361" s="628">
        <v>44105</v>
      </c>
      <c r="PGG361" s="628">
        <v>44136</v>
      </c>
      <c r="PGH361" s="628">
        <v>44166</v>
      </c>
      <c r="PGI361" s="629">
        <v>2020</v>
      </c>
      <c r="PGJ361" s="630" t="s">
        <v>1870</v>
      </c>
      <c r="PGK361" s="626"/>
      <c r="PGL361" s="627" t="s">
        <v>1669</v>
      </c>
      <c r="PGM361" s="628">
        <v>43831</v>
      </c>
      <c r="PGN361" s="628">
        <v>43862</v>
      </c>
      <c r="PGO361" s="628">
        <v>43891</v>
      </c>
      <c r="PGP361" s="628">
        <v>43922</v>
      </c>
      <c r="PGQ361" s="628">
        <v>43952</v>
      </c>
      <c r="PGR361" s="628">
        <v>43983</v>
      </c>
      <c r="PGS361" s="628">
        <v>44013</v>
      </c>
      <c r="PGT361" s="628">
        <v>44044</v>
      </c>
      <c r="PGU361" s="628">
        <v>44075</v>
      </c>
      <c r="PGV361" s="628">
        <v>44105</v>
      </c>
      <c r="PGW361" s="628">
        <v>44136</v>
      </c>
      <c r="PGX361" s="628">
        <v>44166</v>
      </c>
      <c r="PGY361" s="629">
        <v>2020</v>
      </c>
      <c r="PGZ361" s="630" t="s">
        <v>1870</v>
      </c>
      <c r="PHA361" s="626"/>
      <c r="PHB361" s="627" t="s">
        <v>1669</v>
      </c>
      <c r="PHC361" s="628">
        <v>43831</v>
      </c>
      <c r="PHD361" s="628">
        <v>43862</v>
      </c>
      <c r="PHE361" s="628">
        <v>43891</v>
      </c>
      <c r="PHF361" s="628">
        <v>43922</v>
      </c>
      <c r="PHG361" s="628">
        <v>43952</v>
      </c>
      <c r="PHH361" s="628">
        <v>43983</v>
      </c>
      <c r="PHI361" s="628">
        <v>44013</v>
      </c>
      <c r="PHJ361" s="628">
        <v>44044</v>
      </c>
      <c r="PHK361" s="628">
        <v>44075</v>
      </c>
      <c r="PHL361" s="628">
        <v>44105</v>
      </c>
      <c r="PHM361" s="628">
        <v>44136</v>
      </c>
      <c r="PHN361" s="628">
        <v>44166</v>
      </c>
      <c r="PHO361" s="629">
        <v>2020</v>
      </c>
      <c r="PHP361" s="630" t="s">
        <v>1870</v>
      </c>
      <c r="PHQ361" s="626"/>
      <c r="PHR361" s="627" t="s">
        <v>1669</v>
      </c>
      <c r="PHS361" s="628">
        <v>43831</v>
      </c>
      <c r="PHT361" s="628">
        <v>43862</v>
      </c>
      <c r="PHU361" s="628">
        <v>43891</v>
      </c>
      <c r="PHV361" s="628">
        <v>43922</v>
      </c>
      <c r="PHW361" s="628">
        <v>43952</v>
      </c>
      <c r="PHX361" s="628">
        <v>43983</v>
      </c>
      <c r="PHY361" s="628">
        <v>44013</v>
      </c>
      <c r="PHZ361" s="628">
        <v>44044</v>
      </c>
      <c r="PIA361" s="628">
        <v>44075</v>
      </c>
      <c r="PIB361" s="628">
        <v>44105</v>
      </c>
      <c r="PIC361" s="628">
        <v>44136</v>
      </c>
      <c r="PID361" s="628">
        <v>44166</v>
      </c>
      <c r="PIE361" s="629">
        <v>2020</v>
      </c>
      <c r="PIF361" s="630" t="s">
        <v>1870</v>
      </c>
      <c r="PIG361" s="626"/>
      <c r="PIH361" s="627" t="s">
        <v>1669</v>
      </c>
      <c r="PII361" s="628">
        <v>43831</v>
      </c>
      <c r="PIJ361" s="628">
        <v>43862</v>
      </c>
      <c r="PIK361" s="628">
        <v>43891</v>
      </c>
      <c r="PIL361" s="628">
        <v>43922</v>
      </c>
      <c r="PIM361" s="628">
        <v>43952</v>
      </c>
      <c r="PIN361" s="628">
        <v>43983</v>
      </c>
      <c r="PIO361" s="628">
        <v>44013</v>
      </c>
      <c r="PIP361" s="628">
        <v>44044</v>
      </c>
      <c r="PIQ361" s="628">
        <v>44075</v>
      </c>
      <c r="PIR361" s="628">
        <v>44105</v>
      </c>
      <c r="PIS361" s="628">
        <v>44136</v>
      </c>
      <c r="PIT361" s="628">
        <v>44166</v>
      </c>
      <c r="PIU361" s="629">
        <v>2020</v>
      </c>
      <c r="PIV361" s="630" t="s">
        <v>1870</v>
      </c>
      <c r="PIW361" s="626"/>
      <c r="PIX361" s="627" t="s">
        <v>1669</v>
      </c>
      <c r="PIY361" s="628">
        <v>43831</v>
      </c>
      <c r="PIZ361" s="628">
        <v>43862</v>
      </c>
      <c r="PJA361" s="628">
        <v>43891</v>
      </c>
      <c r="PJB361" s="628">
        <v>43922</v>
      </c>
      <c r="PJC361" s="628">
        <v>43952</v>
      </c>
      <c r="PJD361" s="628">
        <v>43983</v>
      </c>
      <c r="PJE361" s="628">
        <v>44013</v>
      </c>
      <c r="PJF361" s="628">
        <v>44044</v>
      </c>
      <c r="PJG361" s="628">
        <v>44075</v>
      </c>
      <c r="PJH361" s="628">
        <v>44105</v>
      </c>
      <c r="PJI361" s="628">
        <v>44136</v>
      </c>
      <c r="PJJ361" s="628">
        <v>44166</v>
      </c>
      <c r="PJK361" s="629">
        <v>2020</v>
      </c>
      <c r="PJL361" s="630" t="s">
        <v>1870</v>
      </c>
      <c r="PJM361" s="626"/>
      <c r="PJN361" s="627" t="s">
        <v>1669</v>
      </c>
      <c r="PJO361" s="628">
        <v>43831</v>
      </c>
      <c r="PJP361" s="628">
        <v>43862</v>
      </c>
      <c r="PJQ361" s="628">
        <v>43891</v>
      </c>
      <c r="PJR361" s="628">
        <v>43922</v>
      </c>
      <c r="PJS361" s="628">
        <v>43952</v>
      </c>
      <c r="PJT361" s="628">
        <v>43983</v>
      </c>
      <c r="PJU361" s="628">
        <v>44013</v>
      </c>
      <c r="PJV361" s="628">
        <v>44044</v>
      </c>
      <c r="PJW361" s="628">
        <v>44075</v>
      </c>
      <c r="PJX361" s="628">
        <v>44105</v>
      </c>
      <c r="PJY361" s="628">
        <v>44136</v>
      </c>
      <c r="PJZ361" s="628">
        <v>44166</v>
      </c>
      <c r="PKA361" s="629">
        <v>2020</v>
      </c>
      <c r="PKB361" s="630" t="s">
        <v>1870</v>
      </c>
      <c r="PKC361" s="626"/>
      <c r="PKD361" s="627" t="s">
        <v>1669</v>
      </c>
      <c r="PKE361" s="628">
        <v>43831</v>
      </c>
      <c r="PKF361" s="628">
        <v>43862</v>
      </c>
      <c r="PKG361" s="628">
        <v>43891</v>
      </c>
      <c r="PKH361" s="628">
        <v>43922</v>
      </c>
      <c r="PKI361" s="628">
        <v>43952</v>
      </c>
      <c r="PKJ361" s="628">
        <v>43983</v>
      </c>
      <c r="PKK361" s="628">
        <v>44013</v>
      </c>
      <c r="PKL361" s="628">
        <v>44044</v>
      </c>
      <c r="PKM361" s="628">
        <v>44075</v>
      </c>
      <c r="PKN361" s="628">
        <v>44105</v>
      </c>
      <c r="PKO361" s="628">
        <v>44136</v>
      </c>
      <c r="PKP361" s="628">
        <v>44166</v>
      </c>
      <c r="PKQ361" s="629">
        <v>2020</v>
      </c>
      <c r="PKR361" s="630" t="s">
        <v>1870</v>
      </c>
      <c r="PKS361" s="626"/>
      <c r="PKT361" s="627" t="s">
        <v>1669</v>
      </c>
      <c r="PKU361" s="628">
        <v>43831</v>
      </c>
      <c r="PKV361" s="628">
        <v>43862</v>
      </c>
      <c r="PKW361" s="628">
        <v>43891</v>
      </c>
      <c r="PKX361" s="628">
        <v>43922</v>
      </c>
      <c r="PKY361" s="628">
        <v>43952</v>
      </c>
      <c r="PKZ361" s="628">
        <v>43983</v>
      </c>
      <c r="PLA361" s="628">
        <v>44013</v>
      </c>
      <c r="PLB361" s="628">
        <v>44044</v>
      </c>
      <c r="PLC361" s="628">
        <v>44075</v>
      </c>
      <c r="PLD361" s="628">
        <v>44105</v>
      </c>
      <c r="PLE361" s="628">
        <v>44136</v>
      </c>
      <c r="PLF361" s="628">
        <v>44166</v>
      </c>
      <c r="PLG361" s="629">
        <v>2020</v>
      </c>
      <c r="PLH361" s="630" t="s">
        <v>1870</v>
      </c>
      <c r="PLI361" s="626"/>
      <c r="PLJ361" s="627" t="s">
        <v>1669</v>
      </c>
      <c r="PLK361" s="628">
        <v>43831</v>
      </c>
      <c r="PLL361" s="628">
        <v>43862</v>
      </c>
      <c r="PLM361" s="628">
        <v>43891</v>
      </c>
      <c r="PLN361" s="628">
        <v>43922</v>
      </c>
      <c r="PLO361" s="628">
        <v>43952</v>
      </c>
      <c r="PLP361" s="628">
        <v>43983</v>
      </c>
      <c r="PLQ361" s="628">
        <v>44013</v>
      </c>
      <c r="PLR361" s="628">
        <v>44044</v>
      </c>
      <c r="PLS361" s="628">
        <v>44075</v>
      </c>
      <c r="PLT361" s="628">
        <v>44105</v>
      </c>
      <c r="PLU361" s="628">
        <v>44136</v>
      </c>
      <c r="PLV361" s="628">
        <v>44166</v>
      </c>
      <c r="PLW361" s="629">
        <v>2020</v>
      </c>
      <c r="PLX361" s="630" t="s">
        <v>1870</v>
      </c>
      <c r="PLY361" s="626"/>
      <c r="PLZ361" s="627" t="s">
        <v>1669</v>
      </c>
      <c r="PMA361" s="628">
        <v>43831</v>
      </c>
      <c r="PMB361" s="628">
        <v>43862</v>
      </c>
      <c r="PMC361" s="628">
        <v>43891</v>
      </c>
      <c r="PMD361" s="628">
        <v>43922</v>
      </c>
      <c r="PME361" s="628">
        <v>43952</v>
      </c>
      <c r="PMF361" s="628">
        <v>43983</v>
      </c>
      <c r="PMG361" s="628">
        <v>44013</v>
      </c>
      <c r="PMH361" s="628">
        <v>44044</v>
      </c>
      <c r="PMI361" s="628">
        <v>44075</v>
      </c>
      <c r="PMJ361" s="628">
        <v>44105</v>
      </c>
      <c r="PMK361" s="628">
        <v>44136</v>
      </c>
      <c r="PML361" s="628">
        <v>44166</v>
      </c>
      <c r="PMM361" s="629">
        <v>2020</v>
      </c>
      <c r="PMN361" s="630" t="s">
        <v>1870</v>
      </c>
      <c r="PMO361" s="626"/>
      <c r="PMP361" s="627" t="s">
        <v>1669</v>
      </c>
      <c r="PMQ361" s="628">
        <v>43831</v>
      </c>
      <c r="PMR361" s="628">
        <v>43862</v>
      </c>
      <c r="PMS361" s="628">
        <v>43891</v>
      </c>
      <c r="PMT361" s="628">
        <v>43922</v>
      </c>
      <c r="PMU361" s="628">
        <v>43952</v>
      </c>
      <c r="PMV361" s="628">
        <v>43983</v>
      </c>
      <c r="PMW361" s="628">
        <v>44013</v>
      </c>
      <c r="PMX361" s="628">
        <v>44044</v>
      </c>
      <c r="PMY361" s="628">
        <v>44075</v>
      </c>
      <c r="PMZ361" s="628">
        <v>44105</v>
      </c>
      <c r="PNA361" s="628">
        <v>44136</v>
      </c>
      <c r="PNB361" s="628">
        <v>44166</v>
      </c>
      <c r="PNC361" s="629">
        <v>2020</v>
      </c>
      <c r="PND361" s="630" t="s">
        <v>1870</v>
      </c>
      <c r="PNE361" s="626"/>
      <c r="PNF361" s="627" t="s">
        <v>1669</v>
      </c>
      <c r="PNG361" s="628">
        <v>43831</v>
      </c>
      <c r="PNH361" s="628">
        <v>43862</v>
      </c>
      <c r="PNI361" s="628">
        <v>43891</v>
      </c>
      <c r="PNJ361" s="628">
        <v>43922</v>
      </c>
      <c r="PNK361" s="628">
        <v>43952</v>
      </c>
      <c r="PNL361" s="628">
        <v>43983</v>
      </c>
      <c r="PNM361" s="628">
        <v>44013</v>
      </c>
      <c r="PNN361" s="628">
        <v>44044</v>
      </c>
      <c r="PNO361" s="628">
        <v>44075</v>
      </c>
      <c r="PNP361" s="628">
        <v>44105</v>
      </c>
      <c r="PNQ361" s="628">
        <v>44136</v>
      </c>
      <c r="PNR361" s="628">
        <v>44166</v>
      </c>
      <c r="PNS361" s="629">
        <v>2020</v>
      </c>
      <c r="PNT361" s="630" t="s">
        <v>1870</v>
      </c>
      <c r="PNU361" s="626"/>
      <c r="PNV361" s="627" t="s">
        <v>1669</v>
      </c>
      <c r="PNW361" s="628">
        <v>43831</v>
      </c>
      <c r="PNX361" s="628">
        <v>43862</v>
      </c>
      <c r="PNY361" s="628">
        <v>43891</v>
      </c>
      <c r="PNZ361" s="628">
        <v>43922</v>
      </c>
      <c r="POA361" s="628">
        <v>43952</v>
      </c>
      <c r="POB361" s="628">
        <v>43983</v>
      </c>
      <c r="POC361" s="628">
        <v>44013</v>
      </c>
      <c r="POD361" s="628">
        <v>44044</v>
      </c>
      <c r="POE361" s="628">
        <v>44075</v>
      </c>
      <c r="POF361" s="628">
        <v>44105</v>
      </c>
      <c r="POG361" s="628">
        <v>44136</v>
      </c>
      <c r="POH361" s="628">
        <v>44166</v>
      </c>
      <c r="POI361" s="629">
        <v>2020</v>
      </c>
      <c r="POJ361" s="630" t="s">
        <v>1870</v>
      </c>
      <c r="POK361" s="626"/>
      <c r="POL361" s="627" t="s">
        <v>1669</v>
      </c>
      <c r="POM361" s="628">
        <v>43831</v>
      </c>
      <c r="PON361" s="628">
        <v>43862</v>
      </c>
      <c r="POO361" s="628">
        <v>43891</v>
      </c>
      <c r="POP361" s="628">
        <v>43922</v>
      </c>
      <c r="POQ361" s="628">
        <v>43952</v>
      </c>
      <c r="POR361" s="628">
        <v>43983</v>
      </c>
      <c r="POS361" s="628">
        <v>44013</v>
      </c>
      <c r="POT361" s="628">
        <v>44044</v>
      </c>
      <c r="POU361" s="628">
        <v>44075</v>
      </c>
      <c r="POV361" s="628">
        <v>44105</v>
      </c>
      <c r="POW361" s="628">
        <v>44136</v>
      </c>
      <c r="POX361" s="628">
        <v>44166</v>
      </c>
      <c r="POY361" s="629">
        <v>2020</v>
      </c>
      <c r="POZ361" s="630" t="s">
        <v>1870</v>
      </c>
      <c r="PPA361" s="626"/>
      <c r="PPB361" s="627" t="s">
        <v>1669</v>
      </c>
      <c r="PPC361" s="628">
        <v>43831</v>
      </c>
      <c r="PPD361" s="628">
        <v>43862</v>
      </c>
      <c r="PPE361" s="628">
        <v>43891</v>
      </c>
      <c r="PPF361" s="628">
        <v>43922</v>
      </c>
      <c r="PPG361" s="628">
        <v>43952</v>
      </c>
      <c r="PPH361" s="628">
        <v>43983</v>
      </c>
      <c r="PPI361" s="628">
        <v>44013</v>
      </c>
      <c r="PPJ361" s="628">
        <v>44044</v>
      </c>
      <c r="PPK361" s="628">
        <v>44075</v>
      </c>
      <c r="PPL361" s="628">
        <v>44105</v>
      </c>
      <c r="PPM361" s="628">
        <v>44136</v>
      </c>
      <c r="PPN361" s="628">
        <v>44166</v>
      </c>
      <c r="PPO361" s="629">
        <v>2020</v>
      </c>
      <c r="PPP361" s="630" t="s">
        <v>1870</v>
      </c>
      <c r="PPQ361" s="626"/>
      <c r="PPR361" s="627" t="s">
        <v>1669</v>
      </c>
      <c r="PPS361" s="628">
        <v>43831</v>
      </c>
      <c r="PPT361" s="628">
        <v>43862</v>
      </c>
      <c r="PPU361" s="628">
        <v>43891</v>
      </c>
      <c r="PPV361" s="628">
        <v>43922</v>
      </c>
      <c r="PPW361" s="628">
        <v>43952</v>
      </c>
      <c r="PPX361" s="628">
        <v>43983</v>
      </c>
      <c r="PPY361" s="628">
        <v>44013</v>
      </c>
      <c r="PPZ361" s="628">
        <v>44044</v>
      </c>
      <c r="PQA361" s="628">
        <v>44075</v>
      </c>
      <c r="PQB361" s="628">
        <v>44105</v>
      </c>
      <c r="PQC361" s="628">
        <v>44136</v>
      </c>
      <c r="PQD361" s="628">
        <v>44166</v>
      </c>
      <c r="PQE361" s="629">
        <v>2020</v>
      </c>
      <c r="PQF361" s="630" t="s">
        <v>1870</v>
      </c>
      <c r="PQG361" s="626"/>
      <c r="PQH361" s="627" t="s">
        <v>1669</v>
      </c>
      <c r="PQI361" s="628">
        <v>43831</v>
      </c>
      <c r="PQJ361" s="628">
        <v>43862</v>
      </c>
      <c r="PQK361" s="628">
        <v>43891</v>
      </c>
      <c r="PQL361" s="628">
        <v>43922</v>
      </c>
      <c r="PQM361" s="628">
        <v>43952</v>
      </c>
      <c r="PQN361" s="628">
        <v>43983</v>
      </c>
      <c r="PQO361" s="628">
        <v>44013</v>
      </c>
      <c r="PQP361" s="628">
        <v>44044</v>
      </c>
      <c r="PQQ361" s="628">
        <v>44075</v>
      </c>
      <c r="PQR361" s="628">
        <v>44105</v>
      </c>
      <c r="PQS361" s="628">
        <v>44136</v>
      </c>
      <c r="PQT361" s="628">
        <v>44166</v>
      </c>
      <c r="PQU361" s="629">
        <v>2020</v>
      </c>
      <c r="PQV361" s="630" t="s">
        <v>1870</v>
      </c>
      <c r="PQW361" s="626"/>
      <c r="PQX361" s="627" t="s">
        <v>1669</v>
      </c>
      <c r="PQY361" s="628">
        <v>43831</v>
      </c>
      <c r="PQZ361" s="628">
        <v>43862</v>
      </c>
      <c r="PRA361" s="628">
        <v>43891</v>
      </c>
      <c r="PRB361" s="628">
        <v>43922</v>
      </c>
      <c r="PRC361" s="628">
        <v>43952</v>
      </c>
      <c r="PRD361" s="628">
        <v>43983</v>
      </c>
      <c r="PRE361" s="628">
        <v>44013</v>
      </c>
      <c r="PRF361" s="628">
        <v>44044</v>
      </c>
      <c r="PRG361" s="628">
        <v>44075</v>
      </c>
      <c r="PRH361" s="628">
        <v>44105</v>
      </c>
      <c r="PRI361" s="628">
        <v>44136</v>
      </c>
      <c r="PRJ361" s="628">
        <v>44166</v>
      </c>
      <c r="PRK361" s="629">
        <v>2020</v>
      </c>
      <c r="PRL361" s="630" t="s">
        <v>1870</v>
      </c>
      <c r="PRM361" s="626"/>
      <c r="PRN361" s="627" t="s">
        <v>1669</v>
      </c>
      <c r="PRO361" s="628">
        <v>43831</v>
      </c>
      <c r="PRP361" s="628">
        <v>43862</v>
      </c>
      <c r="PRQ361" s="628">
        <v>43891</v>
      </c>
      <c r="PRR361" s="628">
        <v>43922</v>
      </c>
      <c r="PRS361" s="628">
        <v>43952</v>
      </c>
      <c r="PRT361" s="628">
        <v>43983</v>
      </c>
      <c r="PRU361" s="628">
        <v>44013</v>
      </c>
      <c r="PRV361" s="628">
        <v>44044</v>
      </c>
      <c r="PRW361" s="628">
        <v>44075</v>
      </c>
      <c r="PRX361" s="628">
        <v>44105</v>
      </c>
      <c r="PRY361" s="628">
        <v>44136</v>
      </c>
      <c r="PRZ361" s="628">
        <v>44166</v>
      </c>
      <c r="PSA361" s="629">
        <v>2020</v>
      </c>
      <c r="PSB361" s="630" t="s">
        <v>1870</v>
      </c>
      <c r="PSC361" s="626"/>
      <c r="PSD361" s="627" t="s">
        <v>1669</v>
      </c>
      <c r="PSE361" s="628">
        <v>43831</v>
      </c>
      <c r="PSF361" s="628">
        <v>43862</v>
      </c>
      <c r="PSG361" s="628">
        <v>43891</v>
      </c>
      <c r="PSH361" s="628">
        <v>43922</v>
      </c>
      <c r="PSI361" s="628">
        <v>43952</v>
      </c>
      <c r="PSJ361" s="628">
        <v>43983</v>
      </c>
      <c r="PSK361" s="628">
        <v>44013</v>
      </c>
      <c r="PSL361" s="628">
        <v>44044</v>
      </c>
      <c r="PSM361" s="628">
        <v>44075</v>
      </c>
      <c r="PSN361" s="628">
        <v>44105</v>
      </c>
      <c r="PSO361" s="628">
        <v>44136</v>
      </c>
      <c r="PSP361" s="628">
        <v>44166</v>
      </c>
      <c r="PSQ361" s="629">
        <v>2020</v>
      </c>
      <c r="PSR361" s="630" t="s">
        <v>1870</v>
      </c>
      <c r="PSS361" s="626"/>
      <c r="PST361" s="627" t="s">
        <v>1669</v>
      </c>
      <c r="PSU361" s="628">
        <v>43831</v>
      </c>
      <c r="PSV361" s="628">
        <v>43862</v>
      </c>
      <c r="PSW361" s="628">
        <v>43891</v>
      </c>
      <c r="PSX361" s="628">
        <v>43922</v>
      </c>
      <c r="PSY361" s="628">
        <v>43952</v>
      </c>
      <c r="PSZ361" s="628">
        <v>43983</v>
      </c>
      <c r="PTA361" s="628">
        <v>44013</v>
      </c>
      <c r="PTB361" s="628">
        <v>44044</v>
      </c>
      <c r="PTC361" s="628">
        <v>44075</v>
      </c>
      <c r="PTD361" s="628">
        <v>44105</v>
      </c>
      <c r="PTE361" s="628">
        <v>44136</v>
      </c>
      <c r="PTF361" s="628">
        <v>44166</v>
      </c>
      <c r="PTG361" s="629">
        <v>2020</v>
      </c>
      <c r="PTH361" s="630" t="s">
        <v>1870</v>
      </c>
      <c r="PTI361" s="626"/>
      <c r="PTJ361" s="627" t="s">
        <v>1669</v>
      </c>
      <c r="PTK361" s="628">
        <v>43831</v>
      </c>
      <c r="PTL361" s="628">
        <v>43862</v>
      </c>
      <c r="PTM361" s="628">
        <v>43891</v>
      </c>
      <c r="PTN361" s="628">
        <v>43922</v>
      </c>
      <c r="PTO361" s="628">
        <v>43952</v>
      </c>
      <c r="PTP361" s="628">
        <v>43983</v>
      </c>
      <c r="PTQ361" s="628">
        <v>44013</v>
      </c>
      <c r="PTR361" s="628">
        <v>44044</v>
      </c>
      <c r="PTS361" s="628">
        <v>44075</v>
      </c>
      <c r="PTT361" s="628">
        <v>44105</v>
      </c>
      <c r="PTU361" s="628">
        <v>44136</v>
      </c>
      <c r="PTV361" s="628">
        <v>44166</v>
      </c>
      <c r="PTW361" s="629">
        <v>2020</v>
      </c>
      <c r="PTX361" s="630" t="s">
        <v>1870</v>
      </c>
      <c r="PTY361" s="626"/>
      <c r="PTZ361" s="627" t="s">
        <v>1669</v>
      </c>
      <c r="PUA361" s="628">
        <v>43831</v>
      </c>
      <c r="PUB361" s="628">
        <v>43862</v>
      </c>
      <c r="PUC361" s="628">
        <v>43891</v>
      </c>
      <c r="PUD361" s="628">
        <v>43922</v>
      </c>
      <c r="PUE361" s="628">
        <v>43952</v>
      </c>
      <c r="PUF361" s="628">
        <v>43983</v>
      </c>
      <c r="PUG361" s="628">
        <v>44013</v>
      </c>
      <c r="PUH361" s="628">
        <v>44044</v>
      </c>
      <c r="PUI361" s="628">
        <v>44075</v>
      </c>
      <c r="PUJ361" s="628">
        <v>44105</v>
      </c>
      <c r="PUK361" s="628">
        <v>44136</v>
      </c>
      <c r="PUL361" s="628">
        <v>44166</v>
      </c>
      <c r="PUM361" s="629">
        <v>2020</v>
      </c>
      <c r="PUN361" s="630" t="s">
        <v>1870</v>
      </c>
      <c r="PUO361" s="626"/>
      <c r="PUP361" s="627" t="s">
        <v>1669</v>
      </c>
      <c r="PUQ361" s="628">
        <v>43831</v>
      </c>
      <c r="PUR361" s="628">
        <v>43862</v>
      </c>
      <c r="PUS361" s="628">
        <v>43891</v>
      </c>
      <c r="PUT361" s="628">
        <v>43922</v>
      </c>
      <c r="PUU361" s="628">
        <v>43952</v>
      </c>
      <c r="PUV361" s="628">
        <v>43983</v>
      </c>
      <c r="PUW361" s="628">
        <v>44013</v>
      </c>
      <c r="PUX361" s="628">
        <v>44044</v>
      </c>
      <c r="PUY361" s="628">
        <v>44075</v>
      </c>
      <c r="PUZ361" s="628">
        <v>44105</v>
      </c>
      <c r="PVA361" s="628">
        <v>44136</v>
      </c>
      <c r="PVB361" s="628">
        <v>44166</v>
      </c>
      <c r="PVC361" s="629">
        <v>2020</v>
      </c>
      <c r="PVD361" s="630" t="s">
        <v>1870</v>
      </c>
      <c r="PVE361" s="626"/>
      <c r="PVF361" s="627" t="s">
        <v>1669</v>
      </c>
      <c r="PVG361" s="628">
        <v>43831</v>
      </c>
      <c r="PVH361" s="628">
        <v>43862</v>
      </c>
      <c r="PVI361" s="628">
        <v>43891</v>
      </c>
      <c r="PVJ361" s="628">
        <v>43922</v>
      </c>
      <c r="PVK361" s="628">
        <v>43952</v>
      </c>
      <c r="PVL361" s="628">
        <v>43983</v>
      </c>
      <c r="PVM361" s="628">
        <v>44013</v>
      </c>
      <c r="PVN361" s="628">
        <v>44044</v>
      </c>
      <c r="PVO361" s="628">
        <v>44075</v>
      </c>
      <c r="PVP361" s="628">
        <v>44105</v>
      </c>
      <c r="PVQ361" s="628">
        <v>44136</v>
      </c>
      <c r="PVR361" s="628">
        <v>44166</v>
      </c>
      <c r="PVS361" s="629">
        <v>2020</v>
      </c>
      <c r="PVT361" s="630" t="s">
        <v>1870</v>
      </c>
      <c r="PVU361" s="626"/>
      <c r="PVV361" s="627" t="s">
        <v>1669</v>
      </c>
      <c r="PVW361" s="628">
        <v>43831</v>
      </c>
      <c r="PVX361" s="628">
        <v>43862</v>
      </c>
      <c r="PVY361" s="628">
        <v>43891</v>
      </c>
      <c r="PVZ361" s="628">
        <v>43922</v>
      </c>
      <c r="PWA361" s="628">
        <v>43952</v>
      </c>
      <c r="PWB361" s="628">
        <v>43983</v>
      </c>
      <c r="PWC361" s="628">
        <v>44013</v>
      </c>
      <c r="PWD361" s="628">
        <v>44044</v>
      </c>
      <c r="PWE361" s="628">
        <v>44075</v>
      </c>
      <c r="PWF361" s="628">
        <v>44105</v>
      </c>
      <c r="PWG361" s="628">
        <v>44136</v>
      </c>
      <c r="PWH361" s="628">
        <v>44166</v>
      </c>
      <c r="PWI361" s="629">
        <v>2020</v>
      </c>
      <c r="PWJ361" s="630" t="s">
        <v>1870</v>
      </c>
      <c r="PWK361" s="626"/>
      <c r="PWL361" s="627" t="s">
        <v>1669</v>
      </c>
      <c r="PWM361" s="628">
        <v>43831</v>
      </c>
      <c r="PWN361" s="628">
        <v>43862</v>
      </c>
      <c r="PWO361" s="628">
        <v>43891</v>
      </c>
      <c r="PWP361" s="628">
        <v>43922</v>
      </c>
      <c r="PWQ361" s="628">
        <v>43952</v>
      </c>
      <c r="PWR361" s="628">
        <v>43983</v>
      </c>
      <c r="PWS361" s="628">
        <v>44013</v>
      </c>
      <c r="PWT361" s="628">
        <v>44044</v>
      </c>
      <c r="PWU361" s="628">
        <v>44075</v>
      </c>
      <c r="PWV361" s="628">
        <v>44105</v>
      </c>
      <c r="PWW361" s="628">
        <v>44136</v>
      </c>
      <c r="PWX361" s="628">
        <v>44166</v>
      </c>
      <c r="PWY361" s="629">
        <v>2020</v>
      </c>
      <c r="PWZ361" s="630" t="s">
        <v>1870</v>
      </c>
      <c r="PXA361" s="626"/>
      <c r="PXB361" s="627" t="s">
        <v>1669</v>
      </c>
      <c r="PXC361" s="628">
        <v>43831</v>
      </c>
      <c r="PXD361" s="628">
        <v>43862</v>
      </c>
      <c r="PXE361" s="628">
        <v>43891</v>
      </c>
      <c r="PXF361" s="628">
        <v>43922</v>
      </c>
      <c r="PXG361" s="628">
        <v>43952</v>
      </c>
      <c r="PXH361" s="628">
        <v>43983</v>
      </c>
      <c r="PXI361" s="628">
        <v>44013</v>
      </c>
      <c r="PXJ361" s="628">
        <v>44044</v>
      </c>
      <c r="PXK361" s="628">
        <v>44075</v>
      </c>
      <c r="PXL361" s="628">
        <v>44105</v>
      </c>
      <c r="PXM361" s="628">
        <v>44136</v>
      </c>
      <c r="PXN361" s="628">
        <v>44166</v>
      </c>
      <c r="PXO361" s="629">
        <v>2020</v>
      </c>
      <c r="PXP361" s="630" t="s">
        <v>1870</v>
      </c>
      <c r="PXQ361" s="626"/>
      <c r="PXR361" s="627" t="s">
        <v>1669</v>
      </c>
      <c r="PXS361" s="628">
        <v>43831</v>
      </c>
      <c r="PXT361" s="628">
        <v>43862</v>
      </c>
      <c r="PXU361" s="628">
        <v>43891</v>
      </c>
      <c r="PXV361" s="628">
        <v>43922</v>
      </c>
      <c r="PXW361" s="628">
        <v>43952</v>
      </c>
      <c r="PXX361" s="628">
        <v>43983</v>
      </c>
      <c r="PXY361" s="628">
        <v>44013</v>
      </c>
      <c r="PXZ361" s="628">
        <v>44044</v>
      </c>
      <c r="PYA361" s="628">
        <v>44075</v>
      </c>
      <c r="PYB361" s="628">
        <v>44105</v>
      </c>
      <c r="PYC361" s="628">
        <v>44136</v>
      </c>
      <c r="PYD361" s="628">
        <v>44166</v>
      </c>
      <c r="PYE361" s="629">
        <v>2020</v>
      </c>
      <c r="PYF361" s="630" t="s">
        <v>1870</v>
      </c>
      <c r="PYG361" s="626"/>
      <c r="PYH361" s="627" t="s">
        <v>1669</v>
      </c>
      <c r="PYI361" s="628">
        <v>43831</v>
      </c>
      <c r="PYJ361" s="628">
        <v>43862</v>
      </c>
      <c r="PYK361" s="628">
        <v>43891</v>
      </c>
      <c r="PYL361" s="628">
        <v>43922</v>
      </c>
      <c r="PYM361" s="628">
        <v>43952</v>
      </c>
      <c r="PYN361" s="628">
        <v>43983</v>
      </c>
      <c r="PYO361" s="628">
        <v>44013</v>
      </c>
      <c r="PYP361" s="628">
        <v>44044</v>
      </c>
      <c r="PYQ361" s="628">
        <v>44075</v>
      </c>
      <c r="PYR361" s="628">
        <v>44105</v>
      </c>
      <c r="PYS361" s="628">
        <v>44136</v>
      </c>
      <c r="PYT361" s="628">
        <v>44166</v>
      </c>
      <c r="PYU361" s="629">
        <v>2020</v>
      </c>
      <c r="PYV361" s="630" t="s">
        <v>1870</v>
      </c>
      <c r="PYW361" s="626"/>
      <c r="PYX361" s="627" t="s">
        <v>1669</v>
      </c>
      <c r="PYY361" s="628">
        <v>43831</v>
      </c>
      <c r="PYZ361" s="628">
        <v>43862</v>
      </c>
      <c r="PZA361" s="628">
        <v>43891</v>
      </c>
      <c r="PZB361" s="628">
        <v>43922</v>
      </c>
      <c r="PZC361" s="628">
        <v>43952</v>
      </c>
      <c r="PZD361" s="628">
        <v>43983</v>
      </c>
      <c r="PZE361" s="628">
        <v>44013</v>
      </c>
      <c r="PZF361" s="628">
        <v>44044</v>
      </c>
      <c r="PZG361" s="628">
        <v>44075</v>
      </c>
      <c r="PZH361" s="628">
        <v>44105</v>
      </c>
      <c r="PZI361" s="628">
        <v>44136</v>
      </c>
      <c r="PZJ361" s="628">
        <v>44166</v>
      </c>
      <c r="PZK361" s="629">
        <v>2020</v>
      </c>
      <c r="PZL361" s="630" t="s">
        <v>1870</v>
      </c>
      <c r="PZM361" s="626"/>
      <c r="PZN361" s="627" t="s">
        <v>1669</v>
      </c>
      <c r="PZO361" s="628">
        <v>43831</v>
      </c>
      <c r="PZP361" s="628">
        <v>43862</v>
      </c>
      <c r="PZQ361" s="628">
        <v>43891</v>
      </c>
      <c r="PZR361" s="628">
        <v>43922</v>
      </c>
      <c r="PZS361" s="628">
        <v>43952</v>
      </c>
      <c r="PZT361" s="628">
        <v>43983</v>
      </c>
      <c r="PZU361" s="628">
        <v>44013</v>
      </c>
      <c r="PZV361" s="628">
        <v>44044</v>
      </c>
      <c r="PZW361" s="628">
        <v>44075</v>
      </c>
      <c r="PZX361" s="628">
        <v>44105</v>
      </c>
      <c r="PZY361" s="628">
        <v>44136</v>
      </c>
      <c r="PZZ361" s="628">
        <v>44166</v>
      </c>
      <c r="QAA361" s="629">
        <v>2020</v>
      </c>
      <c r="QAB361" s="630" t="s">
        <v>1870</v>
      </c>
      <c r="QAC361" s="626"/>
      <c r="QAD361" s="627" t="s">
        <v>1669</v>
      </c>
      <c r="QAE361" s="628">
        <v>43831</v>
      </c>
      <c r="QAF361" s="628">
        <v>43862</v>
      </c>
      <c r="QAG361" s="628">
        <v>43891</v>
      </c>
      <c r="QAH361" s="628">
        <v>43922</v>
      </c>
      <c r="QAI361" s="628">
        <v>43952</v>
      </c>
      <c r="QAJ361" s="628">
        <v>43983</v>
      </c>
      <c r="QAK361" s="628">
        <v>44013</v>
      </c>
      <c r="QAL361" s="628">
        <v>44044</v>
      </c>
      <c r="QAM361" s="628">
        <v>44075</v>
      </c>
      <c r="QAN361" s="628">
        <v>44105</v>
      </c>
      <c r="QAO361" s="628">
        <v>44136</v>
      </c>
      <c r="QAP361" s="628">
        <v>44166</v>
      </c>
      <c r="QAQ361" s="629">
        <v>2020</v>
      </c>
      <c r="QAR361" s="630" t="s">
        <v>1870</v>
      </c>
      <c r="QAS361" s="626"/>
      <c r="QAT361" s="627" t="s">
        <v>1669</v>
      </c>
      <c r="QAU361" s="628">
        <v>43831</v>
      </c>
      <c r="QAV361" s="628">
        <v>43862</v>
      </c>
      <c r="QAW361" s="628">
        <v>43891</v>
      </c>
      <c r="QAX361" s="628">
        <v>43922</v>
      </c>
      <c r="QAY361" s="628">
        <v>43952</v>
      </c>
      <c r="QAZ361" s="628">
        <v>43983</v>
      </c>
      <c r="QBA361" s="628">
        <v>44013</v>
      </c>
      <c r="QBB361" s="628">
        <v>44044</v>
      </c>
      <c r="QBC361" s="628">
        <v>44075</v>
      </c>
      <c r="QBD361" s="628">
        <v>44105</v>
      </c>
      <c r="QBE361" s="628">
        <v>44136</v>
      </c>
      <c r="QBF361" s="628">
        <v>44166</v>
      </c>
      <c r="QBG361" s="629">
        <v>2020</v>
      </c>
      <c r="QBH361" s="630" t="s">
        <v>1870</v>
      </c>
      <c r="QBI361" s="626"/>
      <c r="QBJ361" s="627" t="s">
        <v>1669</v>
      </c>
      <c r="QBK361" s="628">
        <v>43831</v>
      </c>
      <c r="QBL361" s="628">
        <v>43862</v>
      </c>
      <c r="QBM361" s="628">
        <v>43891</v>
      </c>
      <c r="QBN361" s="628">
        <v>43922</v>
      </c>
      <c r="QBO361" s="628">
        <v>43952</v>
      </c>
      <c r="QBP361" s="628">
        <v>43983</v>
      </c>
      <c r="QBQ361" s="628">
        <v>44013</v>
      </c>
      <c r="QBR361" s="628">
        <v>44044</v>
      </c>
      <c r="QBS361" s="628">
        <v>44075</v>
      </c>
      <c r="QBT361" s="628">
        <v>44105</v>
      </c>
      <c r="QBU361" s="628">
        <v>44136</v>
      </c>
      <c r="QBV361" s="628">
        <v>44166</v>
      </c>
      <c r="QBW361" s="629">
        <v>2020</v>
      </c>
      <c r="QBX361" s="630" t="s">
        <v>1870</v>
      </c>
      <c r="QBY361" s="626"/>
      <c r="QBZ361" s="627" t="s">
        <v>1669</v>
      </c>
      <c r="QCA361" s="628">
        <v>43831</v>
      </c>
      <c r="QCB361" s="628">
        <v>43862</v>
      </c>
      <c r="QCC361" s="628">
        <v>43891</v>
      </c>
      <c r="QCD361" s="628">
        <v>43922</v>
      </c>
      <c r="QCE361" s="628">
        <v>43952</v>
      </c>
      <c r="QCF361" s="628">
        <v>43983</v>
      </c>
      <c r="QCG361" s="628">
        <v>44013</v>
      </c>
      <c r="QCH361" s="628">
        <v>44044</v>
      </c>
      <c r="QCI361" s="628">
        <v>44075</v>
      </c>
      <c r="QCJ361" s="628">
        <v>44105</v>
      </c>
      <c r="QCK361" s="628">
        <v>44136</v>
      </c>
      <c r="QCL361" s="628">
        <v>44166</v>
      </c>
      <c r="QCM361" s="629">
        <v>2020</v>
      </c>
      <c r="QCN361" s="630" t="s">
        <v>1870</v>
      </c>
      <c r="QCO361" s="626"/>
      <c r="QCP361" s="627" t="s">
        <v>1669</v>
      </c>
      <c r="QCQ361" s="628">
        <v>43831</v>
      </c>
      <c r="QCR361" s="628">
        <v>43862</v>
      </c>
      <c r="QCS361" s="628">
        <v>43891</v>
      </c>
      <c r="QCT361" s="628">
        <v>43922</v>
      </c>
      <c r="QCU361" s="628">
        <v>43952</v>
      </c>
      <c r="QCV361" s="628">
        <v>43983</v>
      </c>
      <c r="QCW361" s="628">
        <v>44013</v>
      </c>
      <c r="QCX361" s="628">
        <v>44044</v>
      </c>
      <c r="QCY361" s="628">
        <v>44075</v>
      </c>
      <c r="QCZ361" s="628">
        <v>44105</v>
      </c>
      <c r="QDA361" s="628">
        <v>44136</v>
      </c>
      <c r="QDB361" s="628">
        <v>44166</v>
      </c>
      <c r="QDC361" s="629">
        <v>2020</v>
      </c>
      <c r="QDD361" s="630" t="s">
        <v>1870</v>
      </c>
      <c r="QDE361" s="626"/>
      <c r="QDF361" s="627" t="s">
        <v>1669</v>
      </c>
      <c r="QDG361" s="628">
        <v>43831</v>
      </c>
      <c r="QDH361" s="628">
        <v>43862</v>
      </c>
      <c r="QDI361" s="628">
        <v>43891</v>
      </c>
      <c r="QDJ361" s="628">
        <v>43922</v>
      </c>
      <c r="QDK361" s="628">
        <v>43952</v>
      </c>
      <c r="QDL361" s="628">
        <v>43983</v>
      </c>
      <c r="QDM361" s="628">
        <v>44013</v>
      </c>
      <c r="QDN361" s="628">
        <v>44044</v>
      </c>
      <c r="QDO361" s="628">
        <v>44075</v>
      </c>
      <c r="QDP361" s="628">
        <v>44105</v>
      </c>
      <c r="QDQ361" s="628">
        <v>44136</v>
      </c>
      <c r="QDR361" s="628">
        <v>44166</v>
      </c>
      <c r="QDS361" s="629">
        <v>2020</v>
      </c>
      <c r="QDT361" s="630" t="s">
        <v>1870</v>
      </c>
      <c r="QDU361" s="626"/>
      <c r="QDV361" s="627" t="s">
        <v>1669</v>
      </c>
      <c r="QDW361" s="628">
        <v>43831</v>
      </c>
      <c r="QDX361" s="628">
        <v>43862</v>
      </c>
      <c r="QDY361" s="628">
        <v>43891</v>
      </c>
      <c r="QDZ361" s="628">
        <v>43922</v>
      </c>
      <c r="QEA361" s="628">
        <v>43952</v>
      </c>
      <c r="QEB361" s="628">
        <v>43983</v>
      </c>
      <c r="QEC361" s="628">
        <v>44013</v>
      </c>
      <c r="QED361" s="628">
        <v>44044</v>
      </c>
      <c r="QEE361" s="628">
        <v>44075</v>
      </c>
      <c r="QEF361" s="628">
        <v>44105</v>
      </c>
      <c r="QEG361" s="628">
        <v>44136</v>
      </c>
      <c r="QEH361" s="628">
        <v>44166</v>
      </c>
      <c r="QEI361" s="629">
        <v>2020</v>
      </c>
      <c r="QEJ361" s="630" t="s">
        <v>1870</v>
      </c>
      <c r="QEK361" s="626"/>
      <c r="QEL361" s="627" t="s">
        <v>1669</v>
      </c>
      <c r="QEM361" s="628">
        <v>43831</v>
      </c>
      <c r="QEN361" s="628">
        <v>43862</v>
      </c>
      <c r="QEO361" s="628">
        <v>43891</v>
      </c>
      <c r="QEP361" s="628">
        <v>43922</v>
      </c>
      <c r="QEQ361" s="628">
        <v>43952</v>
      </c>
      <c r="QER361" s="628">
        <v>43983</v>
      </c>
      <c r="QES361" s="628">
        <v>44013</v>
      </c>
      <c r="QET361" s="628">
        <v>44044</v>
      </c>
      <c r="QEU361" s="628">
        <v>44075</v>
      </c>
      <c r="QEV361" s="628">
        <v>44105</v>
      </c>
      <c r="QEW361" s="628">
        <v>44136</v>
      </c>
      <c r="QEX361" s="628">
        <v>44166</v>
      </c>
      <c r="QEY361" s="629">
        <v>2020</v>
      </c>
      <c r="QEZ361" s="630" t="s">
        <v>1870</v>
      </c>
      <c r="QFA361" s="626"/>
      <c r="QFB361" s="627" t="s">
        <v>1669</v>
      </c>
      <c r="QFC361" s="628">
        <v>43831</v>
      </c>
      <c r="QFD361" s="628">
        <v>43862</v>
      </c>
      <c r="QFE361" s="628">
        <v>43891</v>
      </c>
      <c r="QFF361" s="628">
        <v>43922</v>
      </c>
      <c r="QFG361" s="628">
        <v>43952</v>
      </c>
      <c r="QFH361" s="628">
        <v>43983</v>
      </c>
      <c r="QFI361" s="628">
        <v>44013</v>
      </c>
      <c r="QFJ361" s="628">
        <v>44044</v>
      </c>
      <c r="QFK361" s="628">
        <v>44075</v>
      </c>
      <c r="QFL361" s="628">
        <v>44105</v>
      </c>
      <c r="QFM361" s="628">
        <v>44136</v>
      </c>
      <c r="QFN361" s="628">
        <v>44166</v>
      </c>
      <c r="QFO361" s="629">
        <v>2020</v>
      </c>
      <c r="QFP361" s="630" t="s">
        <v>1870</v>
      </c>
      <c r="QFQ361" s="626"/>
      <c r="QFR361" s="627" t="s">
        <v>1669</v>
      </c>
      <c r="QFS361" s="628">
        <v>43831</v>
      </c>
      <c r="QFT361" s="628">
        <v>43862</v>
      </c>
      <c r="QFU361" s="628">
        <v>43891</v>
      </c>
      <c r="QFV361" s="628">
        <v>43922</v>
      </c>
      <c r="QFW361" s="628">
        <v>43952</v>
      </c>
      <c r="QFX361" s="628">
        <v>43983</v>
      </c>
      <c r="QFY361" s="628">
        <v>44013</v>
      </c>
      <c r="QFZ361" s="628">
        <v>44044</v>
      </c>
      <c r="QGA361" s="628">
        <v>44075</v>
      </c>
      <c r="QGB361" s="628">
        <v>44105</v>
      </c>
      <c r="QGC361" s="628">
        <v>44136</v>
      </c>
      <c r="QGD361" s="628">
        <v>44166</v>
      </c>
      <c r="QGE361" s="629">
        <v>2020</v>
      </c>
      <c r="QGF361" s="630" t="s">
        <v>1870</v>
      </c>
      <c r="QGG361" s="626"/>
      <c r="QGH361" s="627" t="s">
        <v>1669</v>
      </c>
      <c r="QGI361" s="628">
        <v>43831</v>
      </c>
      <c r="QGJ361" s="628">
        <v>43862</v>
      </c>
      <c r="QGK361" s="628">
        <v>43891</v>
      </c>
      <c r="QGL361" s="628">
        <v>43922</v>
      </c>
      <c r="QGM361" s="628">
        <v>43952</v>
      </c>
      <c r="QGN361" s="628">
        <v>43983</v>
      </c>
      <c r="QGO361" s="628">
        <v>44013</v>
      </c>
      <c r="QGP361" s="628">
        <v>44044</v>
      </c>
      <c r="QGQ361" s="628">
        <v>44075</v>
      </c>
      <c r="QGR361" s="628">
        <v>44105</v>
      </c>
      <c r="QGS361" s="628">
        <v>44136</v>
      </c>
      <c r="QGT361" s="628">
        <v>44166</v>
      </c>
      <c r="QGU361" s="629">
        <v>2020</v>
      </c>
      <c r="QGV361" s="630" t="s">
        <v>1870</v>
      </c>
      <c r="QGW361" s="626"/>
      <c r="QGX361" s="627" t="s">
        <v>1669</v>
      </c>
      <c r="QGY361" s="628">
        <v>43831</v>
      </c>
      <c r="QGZ361" s="628">
        <v>43862</v>
      </c>
      <c r="QHA361" s="628">
        <v>43891</v>
      </c>
      <c r="QHB361" s="628">
        <v>43922</v>
      </c>
      <c r="QHC361" s="628">
        <v>43952</v>
      </c>
      <c r="QHD361" s="628">
        <v>43983</v>
      </c>
      <c r="QHE361" s="628">
        <v>44013</v>
      </c>
      <c r="QHF361" s="628">
        <v>44044</v>
      </c>
      <c r="QHG361" s="628">
        <v>44075</v>
      </c>
      <c r="QHH361" s="628">
        <v>44105</v>
      </c>
      <c r="QHI361" s="628">
        <v>44136</v>
      </c>
      <c r="QHJ361" s="628">
        <v>44166</v>
      </c>
      <c r="QHK361" s="629">
        <v>2020</v>
      </c>
      <c r="QHL361" s="630" t="s">
        <v>1870</v>
      </c>
      <c r="QHM361" s="626"/>
      <c r="QHN361" s="627" t="s">
        <v>1669</v>
      </c>
      <c r="QHO361" s="628">
        <v>43831</v>
      </c>
      <c r="QHP361" s="628">
        <v>43862</v>
      </c>
      <c r="QHQ361" s="628">
        <v>43891</v>
      </c>
      <c r="QHR361" s="628">
        <v>43922</v>
      </c>
      <c r="QHS361" s="628">
        <v>43952</v>
      </c>
      <c r="QHT361" s="628">
        <v>43983</v>
      </c>
      <c r="QHU361" s="628">
        <v>44013</v>
      </c>
      <c r="QHV361" s="628">
        <v>44044</v>
      </c>
      <c r="QHW361" s="628">
        <v>44075</v>
      </c>
      <c r="QHX361" s="628">
        <v>44105</v>
      </c>
      <c r="QHY361" s="628">
        <v>44136</v>
      </c>
      <c r="QHZ361" s="628">
        <v>44166</v>
      </c>
      <c r="QIA361" s="629">
        <v>2020</v>
      </c>
      <c r="QIB361" s="630" t="s">
        <v>1870</v>
      </c>
      <c r="QIC361" s="626"/>
      <c r="QID361" s="627" t="s">
        <v>1669</v>
      </c>
      <c r="QIE361" s="628">
        <v>43831</v>
      </c>
      <c r="QIF361" s="628">
        <v>43862</v>
      </c>
      <c r="QIG361" s="628">
        <v>43891</v>
      </c>
      <c r="QIH361" s="628">
        <v>43922</v>
      </c>
      <c r="QII361" s="628">
        <v>43952</v>
      </c>
      <c r="QIJ361" s="628">
        <v>43983</v>
      </c>
      <c r="QIK361" s="628">
        <v>44013</v>
      </c>
      <c r="QIL361" s="628">
        <v>44044</v>
      </c>
      <c r="QIM361" s="628">
        <v>44075</v>
      </c>
      <c r="QIN361" s="628">
        <v>44105</v>
      </c>
      <c r="QIO361" s="628">
        <v>44136</v>
      </c>
      <c r="QIP361" s="628">
        <v>44166</v>
      </c>
      <c r="QIQ361" s="629">
        <v>2020</v>
      </c>
      <c r="QIR361" s="630" t="s">
        <v>1870</v>
      </c>
      <c r="QIS361" s="626"/>
      <c r="QIT361" s="627" t="s">
        <v>1669</v>
      </c>
      <c r="QIU361" s="628">
        <v>43831</v>
      </c>
      <c r="QIV361" s="628">
        <v>43862</v>
      </c>
      <c r="QIW361" s="628">
        <v>43891</v>
      </c>
      <c r="QIX361" s="628">
        <v>43922</v>
      </c>
      <c r="QIY361" s="628">
        <v>43952</v>
      </c>
      <c r="QIZ361" s="628">
        <v>43983</v>
      </c>
      <c r="QJA361" s="628">
        <v>44013</v>
      </c>
      <c r="QJB361" s="628">
        <v>44044</v>
      </c>
      <c r="QJC361" s="628">
        <v>44075</v>
      </c>
      <c r="QJD361" s="628">
        <v>44105</v>
      </c>
      <c r="QJE361" s="628">
        <v>44136</v>
      </c>
      <c r="QJF361" s="628">
        <v>44166</v>
      </c>
      <c r="QJG361" s="629">
        <v>2020</v>
      </c>
      <c r="QJH361" s="630" t="s">
        <v>1870</v>
      </c>
      <c r="QJI361" s="626"/>
      <c r="QJJ361" s="627" t="s">
        <v>1669</v>
      </c>
      <c r="QJK361" s="628">
        <v>43831</v>
      </c>
      <c r="QJL361" s="628">
        <v>43862</v>
      </c>
      <c r="QJM361" s="628">
        <v>43891</v>
      </c>
      <c r="QJN361" s="628">
        <v>43922</v>
      </c>
      <c r="QJO361" s="628">
        <v>43952</v>
      </c>
      <c r="QJP361" s="628">
        <v>43983</v>
      </c>
      <c r="QJQ361" s="628">
        <v>44013</v>
      </c>
      <c r="QJR361" s="628">
        <v>44044</v>
      </c>
      <c r="QJS361" s="628">
        <v>44075</v>
      </c>
      <c r="QJT361" s="628">
        <v>44105</v>
      </c>
      <c r="QJU361" s="628">
        <v>44136</v>
      </c>
      <c r="QJV361" s="628">
        <v>44166</v>
      </c>
      <c r="QJW361" s="629">
        <v>2020</v>
      </c>
      <c r="QJX361" s="630" t="s">
        <v>1870</v>
      </c>
      <c r="QJY361" s="626"/>
      <c r="QJZ361" s="627" t="s">
        <v>1669</v>
      </c>
      <c r="QKA361" s="628">
        <v>43831</v>
      </c>
      <c r="QKB361" s="628">
        <v>43862</v>
      </c>
      <c r="QKC361" s="628">
        <v>43891</v>
      </c>
      <c r="QKD361" s="628">
        <v>43922</v>
      </c>
      <c r="QKE361" s="628">
        <v>43952</v>
      </c>
      <c r="QKF361" s="628">
        <v>43983</v>
      </c>
      <c r="QKG361" s="628">
        <v>44013</v>
      </c>
      <c r="QKH361" s="628">
        <v>44044</v>
      </c>
      <c r="QKI361" s="628">
        <v>44075</v>
      </c>
      <c r="QKJ361" s="628">
        <v>44105</v>
      </c>
      <c r="QKK361" s="628">
        <v>44136</v>
      </c>
      <c r="QKL361" s="628">
        <v>44166</v>
      </c>
      <c r="QKM361" s="629">
        <v>2020</v>
      </c>
      <c r="QKN361" s="630" t="s">
        <v>1870</v>
      </c>
      <c r="QKO361" s="626"/>
      <c r="QKP361" s="627" t="s">
        <v>1669</v>
      </c>
      <c r="QKQ361" s="628">
        <v>43831</v>
      </c>
      <c r="QKR361" s="628">
        <v>43862</v>
      </c>
      <c r="QKS361" s="628">
        <v>43891</v>
      </c>
      <c r="QKT361" s="628">
        <v>43922</v>
      </c>
      <c r="QKU361" s="628">
        <v>43952</v>
      </c>
      <c r="QKV361" s="628">
        <v>43983</v>
      </c>
      <c r="QKW361" s="628">
        <v>44013</v>
      </c>
      <c r="QKX361" s="628">
        <v>44044</v>
      </c>
      <c r="QKY361" s="628">
        <v>44075</v>
      </c>
      <c r="QKZ361" s="628">
        <v>44105</v>
      </c>
      <c r="QLA361" s="628">
        <v>44136</v>
      </c>
      <c r="QLB361" s="628">
        <v>44166</v>
      </c>
      <c r="QLC361" s="629">
        <v>2020</v>
      </c>
      <c r="QLD361" s="630" t="s">
        <v>1870</v>
      </c>
      <c r="QLE361" s="626"/>
      <c r="QLF361" s="627" t="s">
        <v>1669</v>
      </c>
      <c r="QLG361" s="628">
        <v>43831</v>
      </c>
      <c r="QLH361" s="628">
        <v>43862</v>
      </c>
      <c r="QLI361" s="628">
        <v>43891</v>
      </c>
      <c r="QLJ361" s="628">
        <v>43922</v>
      </c>
      <c r="QLK361" s="628">
        <v>43952</v>
      </c>
      <c r="QLL361" s="628">
        <v>43983</v>
      </c>
      <c r="QLM361" s="628">
        <v>44013</v>
      </c>
      <c r="QLN361" s="628">
        <v>44044</v>
      </c>
      <c r="QLO361" s="628">
        <v>44075</v>
      </c>
      <c r="QLP361" s="628">
        <v>44105</v>
      </c>
      <c r="QLQ361" s="628">
        <v>44136</v>
      </c>
      <c r="QLR361" s="628">
        <v>44166</v>
      </c>
      <c r="QLS361" s="629">
        <v>2020</v>
      </c>
      <c r="QLT361" s="630" t="s">
        <v>1870</v>
      </c>
      <c r="QLU361" s="626"/>
      <c r="QLV361" s="627" t="s">
        <v>1669</v>
      </c>
      <c r="QLW361" s="628">
        <v>43831</v>
      </c>
      <c r="QLX361" s="628">
        <v>43862</v>
      </c>
      <c r="QLY361" s="628">
        <v>43891</v>
      </c>
      <c r="QLZ361" s="628">
        <v>43922</v>
      </c>
      <c r="QMA361" s="628">
        <v>43952</v>
      </c>
      <c r="QMB361" s="628">
        <v>43983</v>
      </c>
      <c r="QMC361" s="628">
        <v>44013</v>
      </c>
      <c r="QMD361" s="628">
        <v>44044</v>
      </c>
      <c r="QME361" s="628">
        <v>44075</v>
      </c>
      <c r="QMF361" s="628">
        <v>44105</v>
      </c>
      <c r="QMG361" s="628">
        <v>44136</v>
      </c>
      <c r="QMH361" s="628">
        <v>44166</v>
      </c>
      <c r="QMI361" s="629">
        <v>2020</v>
      </c>
      <c r="QMJ361" s="630" t="s">
        <v>1870</v>
      </c>
      <c r="QMK361" s="626"/>
      <c r="QML361" s="627" t="s">
        <v>1669</v>
      </c>
      <c r="QMM361" s="628">
        <v>43831</v>
      </c>
      <c r="QMN361" s="628">
        <v>43862</v>
      </c>
      <c r="QMO361" s="628">
        <v>43891</v>
      </c>
      <c r="QMP361" s="628">
        <v>43922</v>
      </c>
      <c r="QMQ361" s="628">
        <v>43952</v>
      </c>
      <c r="QMR361" s="628">
        <v>43983</v>
      </c>
      <c r="QMS361" s="628">
        <v>44013</v>
      </c>
      <c r="QMT361" s="628">
        <v>44044</v>
      </c>
      <c r="QMU361" s="628">
        <v>44075</v>
      </c>
      <c r="QMV361" s="628">
        <v>44105</v>
      </c>
      <c r="QMW361" s="628">
        <v>44136</v>
      </c>
      <c r="QMX361" s="628">
        <v>44166</v>
      </c>
      <c r="QMY361" s="629">
        <v>2020</v>
      </c>
      <c r="QMZ361" s="630" t="s">
        <v>1870</v>
      </c>
      <c r="QNA361" s="626"/>
      <c r="QNB361" s="627" t="s">
        <v>1669</v>
      </c>
      <c r="QNC361" s="628">
        <v>43831</v>
      </c>
      <c r="QND361" s="628">
        <v>43862</v>
      </c>
      <c r="QNE361" s="628">
        <v>43891</v>
      </c>
      <c r="QNF361" s="628">
        <v>43922</v>
      </c>
      <c r="QNG361" s="628">
        <v>43952</v>
      </c>
      <c r="QNH361" s="628">
        <v>43983</v>
      </c>
      <c r="QNI361" s="628">
        <v>44013</v>
      </c>
      <c r="QNJ361" s="628">
        <v>44044</v>
      </c>
      <c r="QNK361" s="628">
        <v>44075</v>
      </c>
      <c r="QNL361" s="628">
        <v>44105</v>
      </c>
      <c r="QNM361" s="628">
        <v>44136</v>
      </c>
      <c r="QNN361" s="628">
        <v>44166</v>
      </c>
      <c r="QNO361" s="629">
        <v>2020</v>
      </c>
      <c r="QNP361" s="630" t="s">
        <v>1870</v>
      </c>
      <c r="QNQ361" s="626"/>
      <c r="QNR361" s="627" t="s">
        <v>1669</v>
      </c>
      <c r="QNS361" s="628">
        <v>43831</v>
      </c>
      <c r="QNT361" s="628">
        <v>43862</v>
      </c>
      <c r="QNU361" s="628">
        <v>43891</v>
      </c>
      <c r="QNV361" s="628">
        <v>43922</v>
      </c>
      <c r="QNW361" s="628">
        <v>43952</v>
      </c>
      <c r="QNX361" s="628">
        <v>43983</v>
      </c>
      <c r="QNY361" s="628">
        <v>44013</v>
      </c>
      <c r="QNZ361" s="628">
        <v>44044</v>
      </c>
      <c r="QOA361" s="628">
        <v>44075</v>
      </c>
      <c r="QOB361" s="628">
        <v>44105</v>
      </c>
      <c r="QOC361" s="628">
        <v>44136</v>
      </c>
      <c r="QOD361" s="628">
        <v>44166</v>
      </c>
      <c r="QOE361" s="629">
        <v>2020</v>
      </c>
      <c r="QOF361" s="630" t="s">
        <v>1870</v>
      </c>
      <c r="QOG361" s="626"/>
      <c r="QOH361" s="627" t="s">
        <v>1669</v>
      </c>
      <c r="QOI361" s="628">
        <v>43831</v>
      </c>
      <c r="QOJ361" s="628">
        <v>43862</v>
      </c>
      <c r="QOK361" s="628">
        <v>43891</v>
      </c>
      <c r="QOL361" s="628">
        <v>43922</v>
      </c>
      <c r="QOM361" s="628">
        <v>43952</v>
      </c>
      <c r="QON361" s="628">
        <v>43983</v>
      </c>
      <c r="QOO361" s="628">
        <v>44013</v>
      </c>
      <c r="QOP361" s="628">
        <v>44044</v>
      </c>
      <c r="QOQ361" s="628">
        <v>44075</v>
      </c>
      <c r="QOR361" s="628">
        <v>44105</v>
      </c>
      <c r="QOS361" s="628">
        <v>44136</v>
      </c>
      <c r="QOT361" s="628">
        <v>44166</v>
      </c>
      <c r="QOU361" s="629">
        <v>2020</v>
      </c>
      <c r="QOV361" s="630" t="s">
        <v>1870</v>
      </c>
      <c r="QOW361" s="626"/>
      <c r="QOX361" s="627" t="s">
        <v>1669</v>
      </c>
      <c r="QOY361" s="628">
        <v>43831</v>
      </c>
      <c r="QOZ361" s="628">
        <v>43862</v>
      </c>
      <c r="QPA361" s="628">
        <v>43891</v>
      </c>
      <c r="QPB361" s="628">
        <v>43922</v>
      </c>
      <c r="QPC361" s="628">
        <v>43952</v>
      </c>
      <c r="QPD361" s="628">
        <v>43983</v>
      </c>
      <c r="QPE361" s="628">
        <v>44013</v>
      </c>
      <c r="QPF361" s="628">
        <v>44044</v>
      </c>
      <c r="QPG361" s="628">
        <v>44075</v>
      </c>
      <c r="QPH361" s="628">
        <v>44105</v>
      </c>
      <c r="QPI361" s="628">
        <v>44136</v>
      </c>
      <c r="QPJ361" s="628">
        <v>44166</v>
      </c>
      <c r="QPK361" s="629">
        <v>2020</v>
      </c>
      <c r="QPL361" s="630" t="s">
        <v>1870</v>
      </c>
      <c r="QPM361" s="626"/>
      <c r="QPN361" s="627" t="s">
        <v>1669</v>
      </c>
      <c r="QPO361" s="628">
        <v>43831</v>
      </c>
      <c r="QPP361" s="628">
        <v>43862</v>
      </c>
      <c r="QPQ361" s="628">
        <v>43891</v>
      </c>
      <c r="QPR361" s="628">
        <v>43922</v>
      </c>
      <c r="QPS361" s="628">
        <v>43952</v>
      </c>
      <c r="QPT361" s="628">
        <v>43983</v>
      </c>
      <c r="QPU361" s="628">
        <v>44013</v>
      </c>
      <c r="QPV361" s="628">
        <v>44044</v>
      </c>
      <c r="QPW361" s="628">
        <v>44075</v>
      </c>
      <c r="QPX361" s="628">
        <v>44105</v>
      </c>
      <c r="QPY361" s="628">
        <v>44136</v>
      </c>
      <c r="QPZ361" s="628">
        <v>44166</v>
      </c>
      <c r="QQA361" s="629">
        <v>2020</v>
      </c>
      <c r="QQB361" s="630" t="s">
        <v>1870</v>
      </c>
      <c r="QQC361" s="626"/>
      <c r="QQD361" s="627" t="s">
        <v>1669</v>
      </c>
      <c r="QQE361" s="628">
        <v>43831</v>
      </c>
      <c r="QQF361" s="628">
        <v>43862</v>
      </c>
      <c r="QQG361" s="628">
        <v>43891</v>
      </c>
      <c r="QQH361" s="628">
        <v>43922</v>
      </c>
      <c r="QQI361" s="628">
        <v>43952</v>
      </c>
      <c r="QQJ361" s="628">
        <v>43983</v>
      </c>
      <c r="QQK361" s="628">
        <v>44013</v>
      </c>
      <c r="QQL361" s="628">
        <v>44044</v>
      </c>
      <c r="QQM361" s="628">
        <v>44075</v>
      </c>
      <c r="QQN361" s="628">
        <v>44105</v>
      </c>
      <c r="QQO361" s="628">
        <v>44136</v>
      </c>
      <c r="QQP361" s="628">
        <v>44166</v>
      </c>
      <c r="QQQ361" s="629">
        <v>2020</v>
      </c>
      <c r="QQR361" s="630" t="s">
        <v>1870</v>
      </c>
      <c r="QQS361" s="626"/>
      <c r="QQT361" s="627" t="s">
        <v>1669</v>
      </c>
      <c r="QQU361" s="628">
        <v>43831</v>
      </c>
      <c r="QQV361" s="628">
        <v>43862</v>
      </c>
      <c r="QQW361" s="628">
        <v>43891</v>
      </c>
      <c r="QQX361" s="628">
        <v>43922</v>
      </c>
      <c r="QQY361" s="628">
        <v>43952</v>
      </c>
      <c r="QQZ361" s="628">
        <v>43983</v>
      </c>
      <c r="QRA361" s="628">
        <v>44013</v>
      </c>
      <c r="QRB361" s="628">
        <v>44044</v>
      </c>
      <c r="QRC361" s="628">
        <v>44075</v>
      </c>
      <c r="QRD361" s="628">
        <v>44105</v>
      </c>
      <c r="QRE361" s="628">
        <v>44136</v>
      </c>
      <c r="QRF361" s="628">
        <v>44166</v>
      </c>
      <c r="QRG361" s="629">
        <v>2020</v>
      </c>
      <c r="QRH361" s="630" t="s">
        <v>1870</v>
      </c>
      <c r="QRI361" s="626"/>
      <c r="QRJ361" s="627" t="s">
        <v>1669</v>
      </c>
      <c r="QRK361" s="628">
        <v>43831</v>
      </c>
      <c r="QRL361" s="628">
        <v>43862</v>
      </c>
      <c r="QRM361" s="628">
        <v>43891</v>
      </c>
      <c r="QRN361" s="628">
        <v>43922</v>
      </c>
      <c r="QRO361" s="628">
        <v>43952</v>
      </c>
      <c r="QRP361" s="628">
        <v>43983</v>
      </c>
      <c r="QRQ361" s="628">
        <v>44013</v>
      </c>
      <c r="QRR361" s="628">
        <v>44044</v>
      </c>
      <c r="QRS361" s="628">
        <v>44075</v>
      </c>
      <c r="QRT361" s="628">
        <v>44105</v>
      </c>
      <c r="QRU361" s="628">
        <v>44136</v>
      </c>
      <c r="QRV361" s="628">
        <v>44166</v>
      </c>
      <c r="QRW361" s="629">
        <v>2020</v>
      </c>
      <c r="QRX361" s="630" t="s">
        <v>1870</v>
      </c>
      <c r="QRY361" s="626"/>
      <c r="QRZ361" s="627" t="s">
        <v>1669</v>
      </c>
      <c r="QSA361" s="628">
        <v>43831</v>
      </c>
      <c r="QSB361" s="628">
        <v>43862</v>
      </c>
      <c r="QSC361" s="628">
        <v>43891</v>
      </c>
      <c r="QSD361" s="628">
        <v>43922</v>
      </c>
      <c r="QSE361" s="628">
        <v>43952</v>
      </c>
      <c r="QSF361" s="628">
        <v>43983</v>
      </c>
      <c r="QSG361" s="628">
        <v>44013</v>
      </c>
      <c r="QSH361" s="628">
        <v>44044</v>
      </c>
      <c r="QSI361" s="628">
        <v>44075</v>
      </c>
      <c r="QSJ361" s="628">
        <v>44105</v>
      </c>
      <c r="QSK361" s="628">
        <v>44136</v>
      </c>
      <c r="QSL361" s="628">
        <v>44166</v>
      </c>
      <c r="QSM361" s="629">
        <v>2020</v>
      </c>
      <c r="QSN361" s="630" t="s">
        <v>1870</v>
      </c>
      <c r="QSO361" s="626"/>
      <c r="QSP361" s="627" t="s">
        <v>1669</v>
      </c>
      <c r="QSQ361" s="628">
        <v>43831</v>
      </c>
      <c r="QSR361" s="628">
        <v>43862</v>
      </c>
      <c r="QSS361" s="628">
        <v>43891</v>
      </c>
      <c r="QST361" s="628">
        <v>43922</v>
      </c>
      <c r="QSU361" s="628">
        <v>43952</v>
      </c>
      <c r="QSV361" s="628">
        <v>43983</v>
      </c>
      <c r="QSW361" s="628">
        <v>44013</v>
      </c>
      <c r="QSX361" s="628">
        <v>44044</v>
      </c>
      <c r="QSY361" s="628">
        <v>44075</v>
      </c>
      <c r="QSZ361" s="628">
        <v>44105</v>
      </c>
      <c r="QTA361" s="628">
        <v>44136</v>
      </c>
      <c r="QTB361" s="628">
        <v>44166</v>
      </c>
      <c r="QTC361" s="629">
        <v>2020</v>
      </c>
      <c r="QTD361" s="630" t="s">
        <v>1870</v>
      </c>
      <c r="QTE361" s="626"/>
      <c r="QTF361" s="627" t="s">
        <v>1669</v>
      </c>
      <c r="QTG361" s="628">
        <v>43831</v>
      </c>
      <c r="QTH361" s="628">
        <v>43862</v>
      </c>
      <c r="QTI361" s="628">
        <v>43891</v>
      </c>
      <c r="QTJ361" s="628">
        <v>43922</v>
      </c>
      <c r="QTK361" s="628">
        <v>43952</v>
      </c>
      <c r="QTL361" s="628">
        <v>43983</v>
      </c>
      <c r="QTM361" s="628">
        <v>44013</v>
      </c>
      <c r="QTN361" s="628">
        <v>44044</v>
      </c>
      <c r="QTO361" s="628">
        <v>44075</v>
      </c>
      <c r="QTP361" s="628">
        <v>44105</v>
      </c>
      <c r="QTQ361" s="628">
        <v>44136</v>
      </c>
      <c r="QTR361" s="628">
        <v>44166</v>
      </c>
      <c r="QTS361" s="629">
        <v>2020</v>
      </c>
      <c r="QTT361" s="630" t="s">
        <v>1870</v>
      </c>
      <c r="QTU361" s="626"/>
      <c r="QTV361" s="627" t="s">
        <v>1669</v>
      </c>
      <c r="QTW361" s="628">
        <v>43831</v>
      </c>
      <c r="QTX361" s="628">
        <v>43862</v>
      </c>
      <c r="QTY361" s="628">
        <v>43891</v>
      </c>
      <c r="QTZ361" s="628">
        <v>43922</v>
      </c>
      <c r="QUA361" s="628">
        <v>43952</v>
      </c>
      <c r="QUB361" s="628">
        <v>43983</v>
      </c>
      <c r="QUC361" s="628">
        <v>44013</v>
      </c>
      <c r="QUD361" s="628">
        <v>44044</v>
      </c>
      <c r="QUE361" s="628">
        <v>44075</v>
      </c>
      <c r="QUF361" s="628">
        <v>44105</v>
      </c>
      <c r="QUG361" s="628">
        <v>44136</v>
      </c>
      <c r="QUH361" s="628">
        <v>44166</v>
      </c>
      <c r="QUI361" s="629">
        <v>2020</v>
      </c>
      <c r="QUJ361" s="630" t="s">
        <v>1870</v>
      </c>
      <c r="QUK361" s="626"/>
      <c r="QUL361" s="627" t="s">
        <v>1669</v>
      </c>
      <c r="QUM361" s="628">
        <v>43831</v>
      </c>
      <c r="QUN361" s="628">
        <v>43862</v>
      </c>
      <c r="QUO361" s="628">
        <v>43891</v>
      </c>
      <c r="QUP361" s="628">
        <v>43922</v>
      </c>
      <c r="QUQ361" s="628">
        <v>43952</v>
      </c>
      <c r="QUR361" s="628">
        <v>43983</v>
      </c>
      <c r="QUS361" s="628">
        <v>44013</v>
      </c>
      <c r="QUT361" s="628">
        <v>44044</v>
      </c>
      <c r="QUU361" s="628">
        <v>44075</v>
      </c>
      <c r="QUV361" s="628">
        <v>44105</v>
      </c>
      <c r="QUW361" s="628">
        <v>44136</v>
      </c>
      <c r="QUX361" s="628">
        <v>44166</v>
      </c>
      <c r="QUY361" s="629">
        <v>2020</v>
      </c>
      <c r="QUZ361" s="630" t="s">
        <v>1870</v>
      </c>
      <c r="QVA361" s="626"/>
      <c r="QVB361" s="627" t="s">
        <v>1669</v>
      </c>
      <c r="QVC361" s="628">
        <v>43831</v>
      </c>
      <c r="QVD361" s="628">
        <v>43862</v>
      </c>
      <c r="QVE361" s="628">
        <v>43891</v>
      </c>
      <c r="QVF361" s="628">
        <v>43922</v>
      </c>
      <c r="QVG361" s="628">
        <v>43952</v>
      </c>
      <c r="QVH361" s="628">
        <v>43983</v>
      </c>
      <c r="QVI361" s="628">
        <v>44013</v>
      </c>
      <c r="QVJ361" s="628">
        <v>44044</v>
      </c>
      <c r="QVK361" s="628">
        <v>44075</v>
      </c>
      <c r="QVL361" s="628">
        <v>44105</v>
      </c>
      <c r="QVM361" s="628">
        <v>44136</v>
      </c>
      <c r="QVN361" s="628">
        <v>44166</v>
      </c>
      <c r="QVO361" s="629">
        <v>2020</v>
      </c>
      <c r="QVP361" s="630" t="s">
        <v>1870</v>
      </c>
      <c r="QVQ361" s="626"/>
      <c r="QVR361" s="627" t="s">
        <v>1669</v>
      </c>
      <c r="QVS361" s="628">
        <v>43831</v>
      </c>
      <c r="QVT361" s="628">
        <v>43862</v>
      </c>
      <c r="QVU361" s="628">
        <v>43891</v>
      </c>
      <c r="QVV361" s="628">
        <v>43922</v>
      </c>
      <c r="QVW361" s="628">
        <v>43952</v>
      </c>
      <c r="QVX361" s="628">
        <v>43983</v>
      </c>
      <c r="QVY361" s="628">
        <v>44013</v>
      </c>
      <c r="QVZ361" s="628">
        <v>44044</v>
      </c>
      <c r="QWA361" s="628">
        <v>44075</v>
      </c>
      <c r="QWB361" s="628">
        <v>44105</v>
      </c>
      <c r="QWC361" s="628">
        <v>44136</v>
      </c>
      <c r="QWD361" s="628">
        <v>44166</v>
      </c>
      <c r="QWE361" s="629">
        <v>2020</v>
      </c>
      <c r="QWF361" s="630" t="s">
        <v>1870</v>
      </c>
      <c r="QWG361" s="626"/>
      <c r="QWH361" s="627" t="s">
        <v>1669</v>
      </c>
      <c r="QWI361" s="628">
        <v>43831</v>
      </c>
      <c r="QWJ361" s="628">
        <v>43862</v>
      </c>
      <c r="QWK361" s="628">
        <v>43891</v>
      </c>
      <c r="QWL361" s="628">
        <v>43922</v>
      </c>
      <c r="QWM361" s="628">
        <v>43952</v>
      </c>
      <c r="QWN361" s="628">
        <v>43983</v>
      </c>
      <c r="QWO361" s="628">
        <v>44013</v>
      </c>
      <c r="QWP361" s="628">
        <v>44044</v>
      </c>
      <c r="QWQ361" s="628">
        <v>44075</v>
      </c>
      <c r="QWR361" s="628">
        <v>44105</v>
      </c>
      <c r="QWS361" s="628">
        <v>44136</v>
      </c>
      <c r="QWT361" s="628">
        <v>44166</v>
      </c>
      <c r="QWU361" s="629">
        <v>2020</v>
      </c>
      <c r="QWV361" s="630" t="s">
        <v>1870</v>
      </c>
      <c r="QWW361" s="626"/>
      <c r="QWX361" s="627" t="s">
        <v>1669</v>
      </c>
      <c r="QWY361" s="628">
        <v>43831</v>
      </c>
      <c r="QWZ361" s="628">
        <v>43862</v>
      </c>
      <c r="QXA361" s="628">
        <v>43891</v>
      </c>
      <c r="QXB361" s="628">
        <v>43922</v>
      </c>
      <c r="QXC361" s="628">
        <v>43952</v>
      </c>
      <c r="QXD361" s="628">
        <v>43983</v>
      </c>
      <c r="QXE361" s="628">
        <v>44013</v>
      </c>
      <c r="QXF361" s="628">
        <v>44044</v>
      </c>
      <c r="QXG361" s="628">
        <v>44075</v>
      </c>
      <c r="QXH361" s="628">
        <v>44105</v>
      </c>
      <c r="QXI361" s="628">
        <v>44136</v>
      </c>
      <c r="QXJ361" s="628">
        <v>44166</v>
      </c>
      <c r="QXK361" s="629">
        <v>2020</v>
      </c>
      <c r="QXL361" s="630" t="s">
        <v>1870</v>
      </c>
      <c r="QXM361" s="626"/>
      <c r="QXN361" s="627" t="s">
        <v>1669</v>
      </c>
      <c r="QXO361" s="628">
        <v>43831</v>
      </c>
      <c r="QXP361" s="628">
        <v>43862</v>
      </c>
      <c r="QXQ361" s="628">
        <v>43891</v>
      </c>
      <c r="QXR361" s="628">
        <v>43922</v>
      </c>
      <c r="QXS361" s="628">
        <v>43952</v>
      </c>
      <c r="QXT361" s="628">
        <v>43983</v>
      </c>
      <c r="QXU361" s="628">
        <v>44013</v>
      </c>
      <c r="QXV361" s="628">
        <v>44044</v>
      </c>
      <c r="QXW361" s="628">
        <v>44075</v>
      </c>
      <c r="QXX361" s="628">
        <v>44105</v>
      </c>
      <c r="QXY361" s="628">
        <v>44136</v>
      </c>
      <c r="QXZ361" s="628">
        <v>44166</v>
      </c>
      <c r="QYA361" s="629">
        <v>2020</v>
      </c>
      <c r="QYB361" s="630" t="s">
        <v>1870</v>
      </c>
      <c r="QYC361" s="626"/>
      <c r="QYD361" s="627" t="s">
        <v>1669</v>
      </c>
      <c r="QYE361" s="628">
        <v>43831</v>
      </c>
      <c r="QYF361" s="628">
        <v>43862</v>
      </c>
      <c r="QYG361" s="628">
        <v>43891</v>
      </c>
      <c r="QYH361" s="628">
        <v>43922</v>
      </c>
      <c r="QYI361" s="628">
        <v>43952</v>
      </c>
      <c r="QYJ361" s="628">
        <v>43983</v>
      </c>
      <c r="QYK361" s="628">
        <v>44013</v>
      </c>
      <c r="QYL361" s="628">
        <v>44044</v>
      </c>
      <c r="QYM361" s="628">
        <v>44075</v>
      </c>
      <c r="QYN361" s="628">
        <v>44105</v>
      </c>
      <c r="QYO361" s="628">
        <v>44136</v>
      </c>
      <c r="QYP361" s="628">
        <v>44166</v>
      </c>
      <c r="QYQ361" s="629">
        <v>2020</v>
      </c>
      <c r="QYR361" s="630" t="s">
        <v>1870</v>
      </c>
      <c r="QYS361" s="626"/>
      <c r="QYT361" s="627" t="s">
        <v>1669</v>
      </c>
      <c r="QYU361" s="628">
        <v>43831</v>
      </c>
      <c r="QYV361" s="628">
        <v>43862</v>
      </c>
      <c r="QYW361" s="628">
        <v>43891</v>
      </c>
      <c r="QYX361" s="628">
        <v>43922</v>
      </c>
      <c r="QYY361" s="628">
        <v>43952</v>
      </c>
      <c r="QYZ361" s="628">
        <v>43983</v>
      </c>
      <c r="QZA361" s="628">
        <v>44013</v>
      </c>
      <c r="QZB361" s="628">
        <v>44044</v>
      </c>
      <c r="QZC361" s="628">
        <v>44075</v>
      </c>
      <c r="QZD361" s="628">
        <v>44105</v>
      </c>
      <c r="QZE361" s="628">
        <v>44136</v>
      </c>
      <c r="QZF361" s="628">
        <v>44166</v>
      </c>
      <c r="QZG361" s="629">
        <v>2020</v>
      </c>
      <c r="QZH361" s="630" t="s">
        <v>1870</v>
      </c>
      <c r="QZI361" s="626"/>
      <c r="QZJ361" s="627" t="s">
        <v>1669</v>
      </c>
      <c r="QZK361" s="628">
        <v>43831</v>
      </c>
      <c r="QZL361" s="628">
        <v>43862</v>
      </c>
      <c r="QZM361" s="628">
        <v>43891</v>
      </c>
      <c r="QZN361" s="628">
        <v>43922</v>
      </c>
      <c r="QZO361" s="628">
        <v>43952</v>
      </c>
      <c r="QZP361" s="628">
        <v>43983</v>
      </c>
      <c r="QZQ361" s="628">
        <v>44013</v>
      </c>
      <c r="QZR361" s="628">
        <v>44044</v>
      </c>
      <c r="QZS361" s="628">
        <v>44075</v>
      </c>
      <c r="QZT361" s="628">
        <v>44105</v>
      </c>
      <c r="QZU361" s="628">
        <v>44136</v>
      </c>
      <c r="QZV361" s="628">
        <v>44166</v>
      </c>
      <c r="QZW361" s="629">
        <v>2020</v>
      </c>
      <c r="QZX361" s="630" t="s">
        <v>1870</v>
      </c>
      <c r="QZY361" s="626"/>
      <c r="QZZ361" s="627" t="s">
        <v>1669</v>
      </c>
      <c r="RAA361" s="628">
        <v>43831</v>
      </c>
      <c r="RAB361" s="628">
        <v>43862</v>
      </c>
      <c r="RAC361" s="628">
        <v>43891</v>
      </c>
      <c r="RAD361" s="628">
        <v>43922</v>
      </c>
      <c r="RAE361" s="628">
        <v>43952</v>
      </c>
      <c r="RAF361" s="628">
        <v>43983</v>
      </c>
      <c r="RAG361" s="628">
        <v>44013</v>
      </c>
      <c r="RAH361" s="628">
        <v>44044</v>
      </c>
      <c r="RAI361" s="628">
        <v>44075</v>
      </c>
      <c r="RAJ361" s="628">
        <v>44105</v>
      </c>
      <c r="RAK361" s="628">
        <v>44136</v>
      </c>
      <c r="RAL361" s="628">
        <v>44166</v>
      </c>
      <c r="RAM361" s="629">
        <v>2020</v>
      </c>
      <c r="RAN361" s="630" t="s">
        <v>1870</v>
      </c>
      <c r="RAO361" s="626"/>
      <c r="RAP361" s="627" t="s">
        <v>1669</v>
      </c>
      <c r="RAQ361" s="628">
        <v>43831</v>
      </c>
      <c r="RAR361" s="628">
        <v>43862</v>
      </c>
      <c r="RAS361" s="628">
        <v>43891</v>
      </c>
      <c r="RAT361" s="628">
        <v>43922</v>
      </c>
      <c r="RAU361" s="628">
        <v>43952</v>
      </c>
      <c r="RAV361" s="628">
        <v>43983</v>
      </c>
      <c r="RAW361" s="628">
        <v>44013</v>
      </c>
      <c r="RAX361" s="628">
        <v>44044</v>
      </c>
      <c r="RAY361" s="628">
        <v>44075</v>
      </c>
      <c r="RAZ361" s="628">
        <v>44105</v>
      </c>
      <c r="RBA361" s="628">
        <v>44136</v>
      </c>
      <c r="RBB361" s="628">
        <v>44166</v>
      </c>
      <c r="RBC361" s="629">
        <v>2020</v>
      </c>
      <c r="RBD361" s="630" t="s">
        <v>1870</v>
      </c>
      <c r="RBE361" s="626"/>
      <c r="RBF361" s="627" t="s">
        <v>1669</v>
      </c>
      <c r="RBG361" s="628">
        <v>43831</v>
      </c>
      <c r="RBH361" s="628">
        <v>43862</v>
      </c>
      <c r="RBI361" s="628">
        <v>43891</v>
      </c>
      <c r="RBJ361" s="628">
        <v>43922</v>
      </c>
      <c r="RBK361" s="628">
        <v>43952</v>
      </c>
      <c r="RBL361" s="628">
        <v>43983</v>
      </c>
      <c r="RBM361" s="628">
        <v>44013</v>
      </c>
      <c r="RBN361" s="628">
        <v>44044</v>
      </c>
      <c r="RBO361" s="628">
        <v>44075</v>
      </c>
      <c r="RBP361" s="628">
        <v>44105</v>
      </c>
      <c r="RBQ361" s="628">
        <v>44136</v>
      </c>
      <c r="RBR361" s="628">
        <v>44166</v>
      </c>
      <c r="RBS361" s="629">
        <v>2020</v>
      </c>
      <c r="RBT361" s="630" t="s">
        <v>1870</v>
      </c>
      <c r="RBU361" s="626"/>
      <c r="RBV361" s="627" t="s">
        <v>1669</v>
      </c>
      <c r="RBW361" s="628">
        <v>43831</v>
      </c>
      <c r="RBX361" s="628">
        <v>43862</v>
      </c>
      <c r="RBY361" s="628">
        <v>43891</v>
      </c>
      <c r="RBZ361" s="628">
        <v>43922</v>
      </c>
      <c r="RCA361" s="628">
        <v>43952</v>
      </c>
      <c r="RCB361" s="628">
        <v>43983</v>
      </c>
      <c r="RCC361" s="628">
        <v>44013</v>
      </c>
      <c r="RCD361" s="628">
        <v>44044</v>
      </c>
      <c r="RCE361" s="628">
        <v>44075</v>
      </c>
      <c r="RCF361" s="628">
        <v>44105</v>
      </c>
      <c r="RCG361" s="628">
        <v>44136</v>
      </c>
      <c r="RCH361" s="628">
        <v>44166</v>
      </c>
      <c r="RCI361" s="629">
        <v>2020</v>
      </c>
      <c r="RCJ361" s="630" t="s">
        <v>1870</v>
      </c>
      <c r="RCK361" s="626"/>
      <c r="RCL361" s="627" t="s">
        <v>1669</v>
      </c>
      <c r="RCM361" s="628">
        <v>43831</v>
      </c>
      <c r="RCN361" s="628">
        <v>43862</v>
      </c>
      <c r="RCO361" s="628">
        <v>43891</v>
      </c>
      <c r="RCP361" s="628">
        <v>43922</v>
      </c>
      <c r="RCQ361" s="628">
        <v>43952</v>
      </c>
      <c r="RCR361" s="628">
        <v>43983</v>
      </c>
      <c r="RCS361" s="628">
        <v>44013</v>
      </c>
      <c r="RCT361" s="628">
        <v>44044</v>
      </c>
      <c r="RCU361" s="628">
        <v>44075</v>
      </c>
      <c r="RCV361" s="628">
        <v>44105</v>
      </c>
      <c r="RCW361" s="628">
        <v>44136</v>
      </c>
      <c r="RCX361" s="628">
        <v>44166</v>
      </c>
      <c r="RCY361" s="629">
        <v>2020</v>
      </c>
      <c r="RCZ361" s="630" t="s">
        <v>1870</v>
      </c>
      <c r="RDA361" s="626"/>
      <c r="RDB361" s="627" t="s">
        <v>1669</v>
      </c>
      <c r="RDC361" s="628">
        <v>43831</v>
      </c>
      <c r="RDD361" s="628">
        <v>43862</v>
      </c>
      <c r="RDE361" s="628">
        <v>43891</v>
      </c>
      <c r="RDF361" s="628">
        <v>43922</v>
      </c>
      <c r="RDG361" s="628">
        <v>43952</v>
      </c>
      <c r="RDH361" s="628">
        <v>43983</v>
      </c>
      <c r="RDI361" s="628">
        <v>44013</v>
      </c>
      <c r="RDJ361" s="628">
        <v>44044</v>
      </c>
      <c r="RDK361" s="628">
        <v>44075</v>
      </c>
      <c r="RDL361" s="628">
        <v>44105</v>
      </c>
      <c r="RDM361" s="628">
        <v>44136</v>
      </c>
      <c r="RDN361" s="628">
        <v>44166</v>
      </c>
      <c r="RDO361" s="629">
        <v>2020</v>
      </c>
      <c r="RDP361" s="630" t="s">
        <v>1870</v>
      </c>
      <c r="RDQ361" s="626"/>
      <c r="RDR361" s="627" t="s">
        <v>1669</v>
      </c>
      <c r="RDS361" s="628">
        <v>43831</v>
      </c>
      <c r="RDT361" s="628">
        <v>43862</v>
      </c>
      <c r="RDU361" s="628">
        <v>43891</v>
      </c>
      <c r="RDV361" s="628">
        <v>43922</v>
      </c>
      <c r="RDW361" s="628">
        <v>43952</v>
      </c>
      <c r="RDX361" s="628">
        <v>43983</v>
      </c>
      <c r="RDY361" s="628">
        <v>44013</v>
      </c>
      <c r="RDZ361" s="628">
        <v>44044</v>
      </c>
      <c r="REA361" s="628">
        <v>44075</v>
      </c>
      <c r="REB361" s="628">
        <v>44105</v>
      </c>
      <c r="REC361" s="628">
        <v>44136</v>
      </c>
      <c r="RED361" s="628">
        <v>44166</v>
      </c>
      <c r="REE361" s="629">
        <v>2020</v>
      </c>
      <c r="REF361" s="630" t="s">
        <v>1870</v>
      </c>
      <c r="REG361" s="626"/>
      <c r="REH361" s="627" t="s">
        <v>1669</v>
      </c>
      <c r="REI361" s="628">
        <v>43831</v>
      </c>
      <c r="REJ361" s="628">
        <v>43862</v>
      </c>
      <c r="REK361" s="628">
        <v>43891</v>
      </c>
      <c r="REL361" s="628">
        <v>43922</v>
      </c>
      <c r="REM361" s="628">
        <v>43952</v>
      </c>
      <c r="REN361" s="628">
        <v>43983</v>
      </c>
      <c r="REO361" s="628">
        <v>44013</v>
      </c>
      <c r="REP361" s="628">
        <v>44044</v>
      </c>
      <c r="REQ361" s="628">
        <v>44075</v>
      </c>
      <c r="RER361" s="628">
        <v>44105</v>
      </c>
      <c r="RES361" s="628">
        <v>44136</v>
      </c>
      <c r="RET361" s="628">
        <v>44166</v>
      </c>
      <c r="REU361" s="629">
        <v>2020</v>
      </c>
      <c r="REV361" s="630" t="s">
        <v>1870</v>
      </c>
      <c r="REW361" s="626"/>
      <c r="REX361" s="627" t="s">
        <v>1669</v>
      </c>
      <c r="REY361" s="628">
        <v>43831</v>
      </c>
      <c r="REZ361" s="628">
        <v>43862</v>
      </c>
      <c r="RFA361" s="628">
        <v>43891</v>
      </c>
      <c r="RFB361" s="628">
        <v>43922</v>
      </c>
      <c r="RFC361" s="628">
        <v>43952</v>
      </c>
      <c r="RFD361" s="628">
        <v>43983</v>
      </c>
      <c r="RFE361" s="628">
        <v>44013</v>
      </c>
      <c r="RFF361" s="628">
        <v>44044</v>
      </c>
      <c r="RFG361" s="628">
        <v>44075</v>
      </c>
      <c r="RFH361" s="628">
        <v>44105</v>
      </c>
      <c r="RFI361" s="628">
        <v>44136</v>
      </c>
      <c r="RFJ361" s="628">
        <v>44166</v>
      </c>
      <c r="RFK361" s="629">
        <v>2020</v>
      </c>
      <c r="RFL361" s="630" t="s">
        <v>1870</v>
      </c>
      <c r="RFM361" s="626"/>
      <c r="RFN361" s="627" t="s">
        <v>1669</v>
      </c>
      <c r="RFO361" s="628">
        <v>43831</v>
      </c>
      <c r="RFP361" s="628">
        <v>43862</v>
      </c>
      <c r="RFQ361" s="628">
        <v>43891</v>
      </c>
      <c r="RFR361" s="628">
        <v>43922</v>
      </c>
      <c r="RFS361" s="628">
        <v>43952</v>
      </c>
      <c r="RFT361" s="628">
        <v>43983</v>
      </c>
      <c r="RFU361" s="628">
        <v>44013</v>
      </c>
      <c r="RFV361" s="628">
        <v>44044</v>
      </c>
      <c r="RFW361" s="628">
        <v>44075</v>
      </c>
      <c r="RFX361" s="628">
        <v>44105</v>
      </c>
      <c r="RFY361" s="628">
        <v>44136</v>
      </c>
      <c r="RFZ361" s="628">
        <v>44166</v>
      </c>
      <c r="RGA361" s="629">
        <v>2020</v>
      </c>
      <c r="RGB361" s="630" t="s">
        <v>1870</v>
      </c>
      <c r="RGC361" s="626"/>
      <c r="RGD361" s="627" t="s">
        <v>1669</v>
      </c>
      <c r="RGE361" s="628">
        <v>43831</v>
      </c>
      <c r="RGF361" s="628">
        <v>43862</v>
      </c>
      <c r="RGG361" s="628">
        <v>43891</v>
      </c>
      <c r="RGH361" s="628">
        <v>43922</v>
      </c>
      <c r="RGI361" s="628">
        <v>43952</v>
      </c>
      <c r="RGJ361" s="628">
        <v>43983</v>
      </c>
      <c r="RGK361" s="628">
        <v>44013</v>
      </c>
      <c r="RGL361" s="628">
        <v>44044</v>
      </c>
      <c r="RGM361" s="628">
        <v>44075</v>
      </c>
      <c r="RGN361" s="628">
        <v>44105</v>
      </c>
      <c r="RGO361" s="628">
        <v>44136</v>
      </c>
      <c r="RGP361" s="628">
        <v>44166</v>
      </c>
      <c r="RGQ361" s="629">
        <v>2020</v>
      </c>
      <c r="RGR361" s="630" t="s">
        <v>1870</v>
      </c>
      <c r="RGS361" s="626"/>
      <c r="RGT361" s="627" t="s">
        <v>1669</v>
      </c>
      <c r="RGU361" s="628">
        <v>43831</v>
      </c>
      <c r="RGV361" s="628">
        <v>43862</v>
      </c>
      <c r="RGW361" s="628">
        <v>43891</v>
      </c>
      <c r="RGX361" s="628">
        <v>43922</v>
      </c>
      <c r="RGY361" s="628">
        <v>43952</v>
      </c>
      <c r="RGZ361" s="628">
        <v>43983</v>
      </c>
      <c r="RHA361" s="628">
        <v>44013</v>
      </c>
      <c r="RHB361" s="628">
        <v>44044</v>
      </c>
      <c r="RHC361" s="628">
        <v>44075</v>
      </c>
      <c r="RHD361" s="628">
        <v>44105</v>
      </c>
      <c r="RHE361" s="628">
        <v>44136</v>
      </c>
      <c r="RHF361" s="628">
        <v>44166</v>
      </c>
      <c r="RHG361" s="629">
        <v>2020</v>
      </c>
      <c r="RHH361" s="630" t="s">
        <v>1870</v>
      </c>
      <c r="RHI361" s="626"/>
      <c r="RHJ361" s="627" t="s">
        <v>1669</v>
      </c>
      <c r="RHK361" s="628">
        <v>43831</v>
      </c>
      <c r="RHL361" s="628">
        <v>43862</v>
      </c>
      <c r="RHM361" s="628">
        <v>43891</v>
      </c>
      <c r="RHN361" s="628">
        <v>43922</v>
      </c>
      <c r="RHO361" s="628">
        <v>43952</v>
      </c>
      <c r="RHP361" s="628">
        <v>43983</v>
      </c>
      <c r="RHQ361" s="628">
        <v>44013</v>
      </c>
      <c r="RHR361" s="628">
        <v>44044</v>
      </c>
      <c r="RHS361" s="628">
        <v>44075</v>
      </c>
      <c r="RHT361" s="628">
        <v>44105</v>
      </c>
      <c r="RHU361" s="628">
        <v>44136</v>
      </c>
      <c r="RHV361" s="628">
        <v>44166</v>
      </c>
      <c r="RHW361" s="629">
        <v>2020</v>
      </c>
      <c r="RHX361" s="630" t="s">
        <v>1870</v>
      </c>
      <c r="RHY361" s="626"/>
      <c r="RHZ361" s="627" t="s">
        <v>1669</v>
      </c>
      <c r="RIA361" s="628">
        <v>43831</v>
      </c>
      <c r="RIB361" s="628">
        <v>43862</v>
      </c>
      <c r="RIC361" s="628">
        <v>43891</v>
      </c>
      <c r="RID361" s="628">
        <v>43922</v>
      </c>
      <c r="RIE361" s="628">
        <v>43952</v>
      </c>
      <c r="RIF361" s="628">
        <v>43983</v>
      </c>
      <c r="RIG361" s="628">
        <v>44013</v>
      </c>
      <c r="RIH361" s="628">
        <v>44044</v>
      </c>
      <c r="RII361" s="628">
        <v>44075</v>
      </c>
      <c r="RIJ361" s="628">
        <v>44105</v>
      </c>
      <c r="RIK361" s="628">
        <v>44136</v>
      </c>
      <c r="RIL361" s="628">
        <v>44166</v>
      </c>
      <c r="RIM361" s="629">
        <v>2020</v>
      </c>
      <c r="RIN361" s="630" t="s">
        <v>1870</v>
      </c>
      <c r="RIO361" s="626"/>
      <c r="RIP361" s="627" t="s">
        <v>1669</v>
      </c>
      <c r="RIQ361" s="628">
        <v>43831</v>
      </c>
      <c r="RIR361" s="628">
        <v>43862</v>
      </c>
      <c r="RIS361" s="628">
        <v>43891</v>
      </c>
      <c r="RIT361" s="628">
        <v>43922</v>
      </c>
      <c r="RIU361" s="628">
        <v>43952</v>
      </c>
      <c r="RIV361" s="628">
        <v>43983</v>
      </c>
      <c r="RIW361" s="628">
        <v>44013</v>
      </c>
      <c r="RIX361" s="628">
        <v>44044</v>
      </c>
      <c r="RIY361" s="628">
        <v>44075</v>
      </c>
      <c r="RIZ361" s="628">
        <v>44105</v>
      </c>
      <c r="RJA361" s="628">
        <v>44136</v>
      </c>
      <c r="RJB361" s="628">
        <v>44166</v>
      </c>
      <c r="RJC361" s="629">
        <v>2020</v>
      </c>
      <c r="RJD361" s="630" t="s">
        <v>1870</v>
      </c>
      <c r="RJE361" s="626"/>
      <c r="RJF361" s="627" t="s">
        <v>1669</v>
      </c>
      <c r="RJG361" s="628">
        <v>43831</v>
      </c>
      <c r="RJH361" s="628">
        <v>43862</v>
      </c>
      <c r="RJI361" s="628">
        <v>43891</v>
      </c>
      <c r="RJJ361" s="628">
        <v>43922</v>
      </c>
      <c r="RJK361" s="628">
        <v>43952</v>
      </c>
      <c r="RJL361" s="628">
        <v>43983</v>
      </c>
      <c r="RJM361" s="628">
        <v>44013</v>
      </c>
      <c r="RJN361" s="628">
        <v>44044</v>
      </c>
      <c r="RJO361" s="628">
        <v>44075</v>
      </c>
      <c r="RJP361" s="628">
        <v>44105</v>
      </c>
      <c r="RJQ361" s="628">
        <v>44136</v>
      </c>
      <c r="RJR361" s="628">
        <v>44166</v>
      </c>
      <c r="RJS361" s="629">
        <v>2020</v>
      </c>
      <c r="RJT361" s="630" t="s">
        <v>1870</v>
      </c>
      <c r="RJU361" s="626"/>
      <c r="RJV361" s="627" t="s">
        <v>1669</v>
      </c>
      <c r="RJW361" s="628">
        <v>43831</v>
      </c>
      <c r="RJX361" s="628">
        <v>43862</v>
      </c>
      <c r="RJY361" s="628">
        <v>43891</v>
      </c>
      <c r="RJZ361" s="628">
        <v>43922</v>
      </c>
      <c r="RKA361" s="628">
        <v>43952</v>
      </c>
      <c r="RKB361" s="628">
        <v>43983</v>
      </c>
      <c r="RKC361" s="628">
        <v>44013</v>
      </c>
      <c r="RKD361" s="628">
        <v>44044</v>
      </c>
      <c r="RKE361" s="628">
        <v>44075</v>
      </c>
      <c r="RKF361" s="628">
        <v>44105</v>
      </c>
      <c r="RKG361" s="628">
        <v>44136</v>
      </c>
      <c r="RKH361" s="628">
        <v>44166</v>
      </c>
      <c r="RKI361" s="629">
        <v>2020</v>
      </c>
      <c r="RKJ361" s="630" t="s">
        <v>1870</v>
      </c>
      <c r="RKK361" s="626"/>
      <c r="RKL361" s="627" t="s">
        <v>1669</v>
      </c>
      <c r="RKM361" s="628">
        <v>43831</v>
      </c>
      <c r="RKN361" s="628">
        <v>43862</v>
      </c>
      <c r="RKO361" s="628">
        <v>43891</v>
      </c>
      <c r="RKP361" s="628">
        <v>43922</v>
      </c>
      <c r="RKQ361" s="628">
        <v>43952</v>
      </c>
      <c r="RKR361" s="628">
        <v>43983</v>
      </c>
      <c r="RKS361" s="628">
        <v>44013</v>
      </c>
      <c r="RKT361" s="628">
        <v>44044</v>
      </c>
      <c r="RKU361" s="628">
        <v>44075</v>
      </c>
      <c r="RKV361" s="628">
        <v>44105</v>
      </c>
      <c r="RKW361" s="628">
        <v>44136</v>
      </c>
      <c r="RKX361" s="628">
        <v>44166</v>
      </c>
      <c r="RKY361" s="629">
        <v>2020</v>
      </c>
      <c r="RKZ361" s="630" t="s">
        <v>1870</v>
      </c>
      <c r="RLA361" s="626"/>
      <c r="RLB361" s="627" t="s">
        <v>1669</v>
      </c>
      <c r="RLC361" s="628">
        <v>43831</v>
      </c>
      <c r="RLD361" s="628">
        <v>43862</v>
      </c>
      <c r="RLE361" s="628">
        <v>43891</v>
      </c>
      <c r="RLF361" s="628">
        <v>43922</v>
      </c>
      <c r="RLG361" s="628">
        <v>43952</v>
      </c>
      <c r="RLH361" s="628">
        <v>43983</v>
      </c>
      <c r="RLI361" s="628">
        <v>44013</v>
      </c>
      <c r="RLJ361" s="628">
        <v>44044</v>
      </c>
      <c r="RLK361" s="628">
        <v>44075</v>
      </c>
      <c r="RLL361" s="628">
        <v>44105</v>
      </c>
      <c r="RLM361" s="628">
        <v>44136</v>
      </c>
      <c r="RLN361" s="628">
        <v>44166</v>
      </c>
      <c r="RLO361" s="629">
        <v>2020</v>
      </c>
      <c r="RLP361" s="630" t="s">
        <v>1870</v>
      </c>
      <c r="RLQ361" s="626"/>
      <c r="RLR361" s="627" t="s">
        <v>1669</v>
      </c>
      <c r="RLS361" s="628">
        <v>43831</v>
      </c>
      <c r="RLT361" s="628">
        <v>43862</v>
      </c>
      <c r="RLU361" s="628">
        <v>43891</v>
      </c>
      <c r="RLV361" s="628">
        <v>43922</v>
      </c>
      <c r="RLW361" s="628">
        <v>43952</v>
      </c>
      <c r="RLX361" s="628">
        <v>43983</v>
      </c>
      <c r="RLY361" s="628">
        <v>44013</v>
      </c>
      <c r="RLZ361" s="628">
        <v>44044</v>
      </c>
      <c r="RMA361" s="628">
        <v>44075</v>
      </c>
      <c r="RMB361" s="628">
        <v>44105</v>
      </c>
      <c r="RMC361" s="628">
        <v>44136</v>
      </c>
      <c r="RMD361" s="628">
        <v>44166</v>
      </c>
      <c r="RME361" s="629">
        <v>2020</v>
      </c>
      <c r="RMF361" s="630" t="s">
        <v>1870</v>
      </c>
      <c r="RMG361" s="626"/>
      <c r="RMH361" s="627" t="s">
        <v>1669</v>
      </c>
      <c r="RMI361" s="628">
        <v>43831</v>
      </c>
      <c r="RMJ361" s="628">
        <v>43862</v>
      </c>
      <c r="RMK361" s="628">
        <v>43891</v>
      </c>
      <c r="RML361" s="628">
        <v>43922</v>
      </c>
      <c r="RMM361" s="628">
        <v>43952</v>
      </c>
      <c r="RMN361" s="628">
        <v>43983</v>
      </c>
      <c r="RMO361" s="628">
        <v>44013</v>
      </c>
      <c r="RMP361" s="628">
        <v>44044</v>
      </c>
      <c r="RMQ361" s="628">
        <v>44075</v>
      </c>
      <c r="RMR361" s="628">
        <v>44105</v>
      </c>
      <c r="RMS361" s="628">
        <v>44136</v>
      </c>
      <c r="RMT361" s="628">
        <v>44166</v>
      </c>
      <c r="RMU361" s="629">
        <v>2020</v>
      </c>
      <c r="RMV361" s="630" t="s">
        <v>1870</v>
      </c>
      <c r="RMW361" s="626"/>
      <c r="RMX361" s="627" t="s">
        <v>1669</v>
      </c>
      <c r="RMY361" s="628">
        <v>43831</v>
      </c>
      <c r="RMZ361" s="628">
        <v>43862</v>
      </c>
      <c r="RNA361" s="628">
        <v>43891</v>
      </c>
      <c r="RNB361" s="628">
        <v>43922</v>
      </c>
      <c r="RNC361" s="628">
        <v>43952</v>
      </c>
      <c r="RND361" s="628">
        <v>43983</v>
      </c>
      <c r="RNE361" s="628">
        <v>44013</v>
      </c>
      <c r="RNF361" s="628">
        <v>44044</v>
      </c>
      <c r="RNG361" s="628">
        <v>44075</v>
      </c>
      <c r="RNH361" s="628">
        <v>44105</v>
      </c>
      <c r="RNI361" s="628">
        <v>44136</v>
      </c>
      <c r="RNJ361" s="628">
        <v>44166</v>
      </c>
      <c r="RNK361" s="629">
        <v>2020</v>
      </c>
      <c r="RNL361" s="630" t="s">
        <v>1870</v>
      </c>
      <c r="RNM361" s="626"/>
      <c r="RNN361" s="627" t="s">
        <v>1669</v>
      </c>
      <c r="RNO361" s="628">
        <v>43831</v>
      </c>
      <c r="RNP361" s="628">
        <v>43862</v>
      </c>
      <c r="RNQ361" s="628">
        <v>43891</v>
      </c>
      <c r="RNR361" s="628">
        <v>43922</v>
      </c>
      <c r="RNS361" s="628">
        <v>43952</v>
      </c>
      <c r="RNT361" s="628">
        <v>43983</v>
      </c>
      <c r="RNU361" s="628">
        <v>44013</v>
      </c>
      <c r="RNV361" s="628">
        <v>44044</v>
      </c>
      <c r="RNW361" s="628">
        <v>44075</v>
      </c>
      <c r="RNX361" s="628">
        <v>44105</v>
      </c>
      <c r="RNY361" s="628">
        <v>44136</v>
      </c>
      <c r="RNZ361" s="628">
        <v>44166</v>
      </c>
      <c r="ROA361" s="629">
        <v>2020</v>
      </c>
      <c r="ROB361" s="630" t="s">
        <v>1870</v>
      </c>
      <c r="ROC361" s="626"/>
      <c r="ROD361" s="627" t="s">
        <v>1669</v>
      </c>
      <c r="ROE361" s="628">
        <v>43831</v>
      </c>
      <c r="ROF361" s="628">
        <v>43862</v>
      </c>
      <c r="ROG361" s="628">
        <v>43891</v>
      </c>
      <c r="ROH361" s="628">
        <v>43922</v>
      </c>
      <c r="ROI361" s="628">
        <v>43952</v>
      </c>
      <c r="ROJ361" s="628">
        <v>43983</v>
      </c>
      <c r="ROK361" s="628">
        <v>44013</v>
      </c>
      <c r="ROL361" s="628">
        <v>44044</v>
      </c>
      <c r="ROM361" s="628">
        <v>44075</v>
      </c>
      <c r="RON361" s="628">
        <v>44105</v>
      </c>
      <c r="ROO361" s="628">
        <v>44136</v>
      </c>
      <c r="ROP361" s="628">
        <v>44166</v>
      </c>
      <c r="ROQ361" s="629">
        <v>2020</v>
      </c>
      <c r="ROR361" s="630" t="s">
        <v>1870</v>
      </c>
      <c r="ROS361" s="626"/>
      <c r="ROT361" s="627" t="s">
        <v>1669</v>
      </c>
      <c r="ROU361" s="628">
        <v>43831</v>
      </c>
      <c r="ROV361" s="628">
        <v>43862</v>
      </c>
      <c r="ROW361" s="628">
        <v>43891</v>
      </c>
      <c r="ROX361" s="628">
        <v>43922</v>
      </c>
      <c r="ROY361" s="628">
        <v>43952</v>
      </c>
      <c r="ROZ361" s="628">
        <v>43983</v>
      </c>
      <c r="RPA361" s="628">
        <v>44013</v>
      </c>
      <c r="RPB361" s="628">
        <v>44044</v>
      </c>
      <c r="RPC361" s="628">
        <v>44075</v>
      </c>
      <c r="RPD361" s="628">
        <v>44105</v>
      </c>
      <c r="RPE361" s="628">
        <v>44136</v>
      </c>
      <c r="RPF361" s="628">
        <v>44166</v>
      </c>
      <c r="RPG361" s="629">
        <v>2020</v>
      </c>
      <c r="RPH361" s="630" t="s">
        <v>1870</v>
      </c>
      <c r="RPI361" s="626"/>
      <c r="RPJ361" s="627" t="s">
        <v>1669</v>
      </c>
      <c r="RPK361" s="628">
        <v>43831</v>
      </c>
      <c r="RPL361" s="628">
        <v>43862</v>
      </c>
      <c r="RPM361" s="628">
        <v>43891</v>
      </c>
      <c r="RPN361" s="628">
        <v>43922</v>
      </c>
      <c r="RPO361" s="628">
        <v>43952</v>
      </c>
      <c r="RPP361" s="628">
        <v>43983</v>
      </c>
      <c r="RPQ361" s="628">
        <v>44013</v>
      </c>
      <c r="RPR361" s="628">
        <v>44044</v>
      </c>
      <c r="RPS361" s="628">
        <v>44075</v>
      </c>
      <c r="RPT361" s="628">
        <v>44105</v>
      </c>
      <c r="RPU361" s="628">
        <v>44136</v>
      </c>
      <c r="RPV361" s="628">
        <v>44166</v>
      </c>
      <c r="RPW361" s="629">
        <v>2020</v>
      </c>
      <c r="RPX361" s="630" t="s">
        <v>1870</v>
      </c>
      <c r="RPY361" s="626"/>
      <c r="RPZ361" s="627" t="s">
        <v>1669</v>
      </c>
      <c r="RQA361" s="628">
        <v>43831</v>
      </c>
      <c r="RQB361" s="628">
        <v>43862</v>
      </c>
      <c r="RQC361" s="628">
        <v>43891</v>
      </c>
      <c r="RQD361" s="628">
        <v>43922</v>
      </c>
      <c r="RQE361" s="628">
        <v>43952</v>
      </c>
      <c r="RQF361" s="628">
        <v>43983</v>
      </c>
      <c r="RQG361" s="628">
        <v>44013</v>
      </c>
      <c r="RQH361" s="628">
        <v>44044</v>
      </c>
      <c r="RQI361" s="628">
        <v>44075</v>
      </c>
      <c r="RQJ361" s="628">
        <v>44105</v>
      </c>
      <c r="RQK361" s="628">
        <v>44136</v>
      </c>
      <c r="RQL361" s="628">
        <v>44166</v>
      </c>
      <c r="RQM361" s="629">
        <v>2020</v>
      </c>
      <c r="RQN361" s="630" t="s">
        <v>1870</v>
      </c>
      <c r="RQO361" s="626"/>
      <c r="RQP361" s="627" t="s">
        <v>1669</v>
      </c>
      <c r="RQQ361" s="628">
        <v>43831</v>
      </c>
      <c r="RQR361" s="628">
        <v>43862</v>
      </c>
      <c r="RQS361" s="628">
        <v>43891</v>
      </c>
      <c r="RQT361" s="628">
        <v>43922</v>
      </c>
      <c r="RQU361" s="628">
        <v>43952</v>
      </c>
      <c r="RQV361" s="628">
        <v>43983</v>
      </c>
      <c r="RQW361" s="628">
        <v>44013</v>
      </c>
      <c r="RQX361" s="628">
        <v>44044</v>
      </c>
      <c r="RQY361" s="628">
        <v>44075</v>
      </c>
      <c r="RQZ361" s="628">
        <v>44105</v>
      </c>
      <c r="RRA361" s="628">
        <v>44136</v>
      </c>
      <c r="RRB361" s="628">
        <v>44166</v>
      </c>
      <c r="RRC361" s="629">
        <v>2020</v>
      </c>
      <c r="RRD361" s="630" t="s">
        <v>1870</v>
      </c>
      <c r="RRE361" s="626"/>
      <c r="RRF361" s="627" t="s">
        <v>1669</v>
      </c>
      <c r="RRG361" s="628">
        <v>43831</v>
      </c>
      <c r="RRH361" s="628">
        <v>43862</v>
      </c>
      <c r="RRI361" s="628">
        <v>43891</v>
      </c>
      <c r="RRJ361" s="628">
        <v>43922</v>
      </c>
      <c r="RRK361" s="628">
        <v>43952</v>
      </c>
      <c r="RRL361" s="628">
        <v>43983</v>
      </c>
      <c r="RRM361" s="628">
        <v>44013</v>
      </c>
      <c r="RRN361" s="628">
        <v>44044</v>
      </c>
      <c r="RRO361" s="628">
        <v>44075</v>
      </c>
      <c r="RRP361" s="628">
        <v>44105</v>
      </c>
      <c r="RRQ361" s="628">
        <v>44136</v>
      </c>
      <c r="RRR361" s="628">
        <v>44166</v>
      </c>
      <c r="RRS361" s="629">
        <v>2020</v>
      </c>
      <c r="RRT361" s="630" t="s">
        <v>1870</v>
      </c>
      <c r="RRU361" s="626"/>
      <c r="RRV361" s="627" t="s">
        <v>1669</v>
      </c>
      <c r="RRW361" s="628">
        <v>43831</v>
      </c>
      <c r="RRX361" s="628">
        <v>43862</v>
      </c>
      <c r="RRY361" s="628">
        <v>43891</v>
      </c>
      <c r="RRZ361" s="628">
        <v>43922</v>
      </c>
      <c r="RSA361" s="628">
        <v>43952</v>
      </c>
      <c r="RSB361" s="628">
        <v>43983</v>
      </c>
      <c r="RSC361" s="628">
        <v>44013</v>
      </c>
      <c r="RSD361" s="628">
        <v>44044</v>
      </c>
      <c r="RSE361" s="628">
        <v>44075</v>
      </c>
      <c r="RSF361" s="628">
        <v>44105</v>
      </c>
      <c r="RSG361" s="628">
        <v>44136</v>
      </c>
      <c r="RSH361" s="628">
        <v>44166</v>
      </c>
      <c r="RSI361" s="629">
        <v>2020</v>
      </c>
      <c r="RSJ361" s="630" t="s">
        <v>1870</v>
      </c>
      <c r="RSK361" s="626"/>
      <c r="RSL361" s="627" t="s">
        <v>1669</v>
      </c>
      <c r="RSM361" s="628">
        <v>43831</v>
      </c>
      <c r="RSN361" s="628">
        <v>43862</v>
      </c>
      <c r="RSO361" s="628">
        <v>43891</v>
      </c>
      <c r="RSP361" s="628">
        <v>43922</v>
      </c>
      <c r="RSQ361" s="628">
        <v>43952</v>
      </c>
      <c r="RSR361" s="628">
        <v>43983</v>
      </c>
      <c r="RSS361" s="628">
        <v>44013</v>
      </c>
      <c r="RST361" s="628">
        <v>44044</v>
      </c>
      <c r="RSU361" s="628">
        <v>44075</v>
      </c>
      <c r="RSV361" s="628">
        <v>44105</v>
      </c>
      <c r="RSW361" s="628">
        <v>44136</v>
      </c>
      <c r="RSX361" s="628">
        <v>44166</v>
      </c>
      <c r="RSY361" s="629">
        <v>2020</v>
      </c>
      <c r="RSZ361" s="630" t="s">
        <v>1870</v>
      </c>
      <c r="RTA361" s="626"/>
      <c r="RTB361" s="627" t="s">
        <v>1669</v>
      </c>
      <c r="RTC361" s="628">
        <v>43831</v>
      </c>
      <c r="RTD361" s="628">
        <v>43862</v>
      </c>
      <c r="RTE361" s="628">
        <v>43891</v>
      </c>
      <c r="RTF361" s="628">
        <v>43922</v>
      </c>
      <c r="RTG361" s="628">
        <v>43952</v>
      </c>
      <c r="RTH361" s="628">
        <v>43983</v>
      </c>
      <c r="RTI361" s="628">
        <v>44013</v>
      </c>
      <c r="RTJ361" s="628">
        <v>44044</v>
      </c>
      <c r="RTK361" s="628">
        <v>44075</v>
      </c>
      <c r="RTL361" s="628">
        <v>44105</v>
      </c>
      <c r="RTM361" s="628">
        <v>44136</v>
      </c>
      <c r="RTN361" s="628">
        <v>44166</v>
      </c>
      <c r="RTO361" s="629">
        <v>2020</v>
      </c>
      <c r="RTP361" s="630" t="s">
        <v>1870</v>
      </c>
      <c r="RTQ361" s="626"/>
      <c r="RTR361" s="627" t="s">
        <v>1669</v>
      </c>
      <c r="RTS361" s="628">
        <v>43831</v>
      </c>
      <c r="RTT361" s="628">
        <v>43862</v>
      </c>
      <c r="RTU361" s="628">
        <v>43891</v>
      </c>
      <c r="RTV361" s="628">
        <v>43922</v>
      </c>
      <c r="RTW361" s="628">
        <v>43952</v>
      </c>
      <c r="RTX361" s="628">
        <v>43983</v>
      </c>
      <c r="RTY361" s="628">
        <v>44013</v>
      </c>
      <c r="RTZ361" s="628">
        <v>44044</v>
      </c>
      <c r="RUA361" s="628">
        <v>44075</v>
      </c>
      <c r="RUB361" s="628">
        <v>44105</v>
      </c>
      <c r="RUC361" s="628">
        <v>44136</v>
      </c>
      <c r="RUD361" s="628">
        <v>44166</v>
      </c>
      <c r="RUE361" s="629">
        <v>2020</v>
      </c>
      <c r="RUF361" s="630" t="s">
        <v>1870</v>
      </c>
      <c r="RUG361" s="626"/>
      <c r="RUH361" s="627" t="s">
        <v>1669</v>
      </c>
      <c r="RUI361" s="628">
        <v>43831</v>
      </c>
      <c r="RUJ361" s="628">
        <v>43862</v>
      </c>
      <c r="RUK361" s="628">
        <v>43891</v>
      </c>
      <c r="RUL361" s="628">
        <v>43922</v>
      </c>
      <c r="RUM361" s="628">
        <v>43952</v>
      </c>
      <c r="RUN361" s="628">
        <v>43983</v>
      </c>
      <c r="RUO361" s="628">
        <v>44013</v>
      </c>
      <c r="RUP361" s="628">
        <v>44044</v>
      </c>
      <c r="RUQ361" s="628">
        <v>44075</v>
      </c>
      <c r="RUR361" s="628">
        <v>44105</v>
      </c>
      <c r="RUS361" s="628">
        <v>44136</v>
      </c>
      <c r="RUT361" s="628">
        <v>44166</v>
      </c>
      <c r="RUU361" s="629">
        <v>2020</v>
      </c>
      <c r="RUV361" s="630" t="s">
        <v>1870</v>
      </c>
      <c r="RUW361" s="626"/>
      <c r="RUX361" s="627" t="s">
        <v>1669</v>
      </c>
      <c r="RUY361" s="628">
        <v>43831</v>
      </c>
      <c r="RUZ361" s="628">
        <v>43862</v>
      </c>
      <c r="RVA361" s="628">
        <v>43891</v>
      </c>
      <c r="RVB361" s="628">
        <v>43922</v>
      </c>
      <c r="RVC361" s="628">
        <v>43952</v>
      </c>
      <c r="RVD361" s="628">
        <v>43983</v>
      </c>
      <c r="RVE361" s="628">
        <v>44013</v>
      </c>
      <c r="RVF361" s="628">
        <v>44044</v>
      </c>
      <c r="RVG361" s="628">
        <v>44075</v>
      </c>
      <c r="RVH361" s="628">
        <v>44105</v>
      </c>
      <c r="RVI361" s="628">
        <v>44136</v>
      </c>
      <c r="RVJ361" s="628">
        <v>44166</v>
      </c>
      <c r="RVK361" s="629">
        <v>2020</v>
      </c>
      <c r="RVL361" s="630" t="s">
        <v>1870</v>
      </c>
      <c r="RVM361" s="626"/>
      <c r="RVN361" s="627" t="s">
        <v>1669</v>
      </c>
      <c r="RVO361" s="628">
        <v>43831</v>
      </c>
      <c r="RVP361" s="628">
        <v>43862</v>
      </c>
      <c r="RVQ361" s="628">
        <v>43891</v>
      </c>
      <c r="RVR361" s="628">
        <v>43922</v>
      </c>
      <c r="RVS361" s="628">
        <v>43952</v>
      </c>
      <c r="RVT361" s="628">
        <v>43983</v>
      </c>
      <c r="RVU361" s="628">
        <v>44013</v>
      </c>
      <c r="RVV361" s="628">
        <v>44044</v>
      </c>
      <c r="RVW361" s="628">
        <v>44075</v>
      </c>
      <c r="RVX361" s="628">
        <v>44105</v>
      </c>
      <c r="RVY361" s="628">
        <v>44136</v>
      </c>
      <c r="RVZ361" s="628">
        <v>44166</v>
      </c>
      <c r="RWA361" s="629">
        <v>2020</v>
      </c>
      <c r="RWB361" s="630" t="s">
        <v>1870</v>
      </c>
      <c r="RWC361" s="626"/>
      <c r="RWD361" s="627" t="s">
        <v>1669</v>
      </c>
      <c r="RWE361" s="628">
        <v>43831</v>
      </c>
      <c r="RWF361" s="628">
        <v>43862</v>
      </c>
      <c r="RWG361" s="628">
        <v>43891</v>
      </c>
      <c r="RWH361" s="628">
        <v>43922</v>
      </c>
      <c r="RWI361" s="628">
        <v>43952</v>
      </c>
      <c r="RWJ361" s="628">
        <v>43983</v>
      </c>
      <c r="RWK361" s="628">
        <v>44013</v>
      </c>
      <c r="RWL361" s="628">
        <v>44044</v>
      </c>
      <c r="RWM361" s="628">
        <v>44075</v>
      </c>
      <c r="RWN361" s="628">
        <v>44105</v>
      </c>
      <c r="RWO361" s="628">
        <v>44136</v>
      </c>
      <c r="RWP361" s="628">
        <v>44166</v>
      </c>
      <c r="RWQ361" s="629">
        <v>2020</v>
      </c>
      <c r="RWR361" s="630" t="s">
        <v>1870</v>
      </c>
      <c r="RWS361" s="626"/>
      <c r="RWT361" s="627" t="s">
        <v>1669</v>
      </c>
      <c r="RWU361" s="628">
        <v>43831</v>
      </c>
      <c r="RWV361" s="628">
        <v>43862</v>
      </c>
      <c r="RWW361" s="628">
        <v>43891</v>
      </c>
      <c r="RWX361" s="628">
        <v>43922</v>
      </c>
      <c r="RWY361" s="628">
        <v>43952</v>
      </c>
      <c r="RWZ361" s="628">
        <v>43983</v>
      </c>
      <c r="RXA361" s="628">
        <v>44013</v>
      </c>
      <c r="RXB361" s="628">
        <v>44044</v>
      </c>
      <c r="RXC361" s="628">
        <v>44075</v>
      </c>
      <c r="RXD361" s="628">
        <v>44105</v>
      </c>
      <c r="RXE361" s="628">
        <v>44136</v>
      </c>
      <c r="RXF361" s="628">
        <v>44166</v>
      </c>
      <c r="RXG361" s="629">
        <v>2020</v>
      </c>
      <c r="RXH361" s="630" t="s">
        <v>1870</v>
      </c>
      <c r="RXI361" s="626"/>
      <c r="RXJ361" s="627" t="s">
        <v>1669</v>
      </c>
      <c r="RXK361" s="628">
        <v>43831</v>
      </c>
      <c r="RXL361" s="628">
        <v>43862</v>
      </c>
      <c r="RXM361" s="628">
        <v>43891</v>
      </c>
      <c r="RXN361" s="628">
        <v>43922</v>
      </c>
      <c r="RXO361" s="628">
        <v>43952</v>
      </c>
      <c r="RXP361" s="628">
        <v>43983</v>
      </c>
      <c r="RXQ361" s="628">
        <v>44013</v>
      </c>
      <c r="RXR361" s="628">
        <v>44044</v>
      </c>
      <c r="RXS361" s="628">
        <v>44075</v>
      </c>
      <c r="RXT361" s="628">
        <v>44105</v>
      </c>
      <c r="RXU361" s="628">
        <v>44136</v>
      </c>
      <c r="RXV361" s="628">
        <v>44166</v>
      </c>
      <c r="RXW361" s="629">
        <v>2020</v>
      </c>
      <c r="RXX361" s="630" t="s">
        <v>1870</v>
      </c>
      <c r="RXY361" s="626"/>
      <c r="RXZ361" s="627" t="s">
        <v>1669</v>
      </c>
      <c r="RYA361" s="628">
        <v>43831</v>
      </c>
      <c r="RYB361" s="628">
        <v>43862</v>
      </c>
      <c r="RYC361" s="628">
        <v>43891</v>
      </c>
      <c r="RYD361" s="628">
        <v>43922</v>
      </c>
      <c r="RYE361" s="628">
        <v>43952</v>
      </c>
      <c r="RYF361" s="628">
        <v>43983</v>
      </c>
      <c r="RYG361" s="628">
        <v>44013</v>
      </c>
      <c r="RYH361" s="628">
        <v>44044</v>
      </c>
      <c r="RYI361" s="628">
        <v>44075</v>
      </c>
      <c r="RYJ361" s="628">
        <v>44105</v>
      </c>
      <c r="RYK361" s="628">
        <v>44136</v>
      </c>
      <c r="RYL361" s="628">
        <v>44166</v>
      </c>
      <c r="RYM361" s="629">
        <v>2020</v>
      </c>
      <c r="RYN361" s="630" t="s">
        <v>1870</v>
      </c>
      <c r="RYO361" s="626"/>
      <c r="RYP361" s="627" t="s">
        <v>1669</v>
      </c>
      <c r="RYQ361" s="628">
        <v>43831</v>
      </c>
      <c r="RYR361" s="628">
        <v>43862</v>
      </c>
      <c r="RYS361" s="628">
        <v>43891</v>
      </c>
      <c r="RYT361" s="628">
        <v>43922</v>
      </c>
      <c r="RYU361" s="628">
        <v>43952</v>
      </c>
      <c r="RYV361" s="628">
        <v>43983</v>
      </c>
      <c r="RYW361" s="628">
        <v>44013</v>
      </c>
      <c r="RYX361" s="628">
        <v>44044</v>
      </c>
      <c r="RYY361" s="628">
        <v>44075</v>
      </c>
      <c r="RYZ361" s="628">
        <v>44105</v>
      </c>
      <c r="RZA361" s="628">
        <v>44136</v>
      </c>
      <c r="RZB361" s="628">
        <v>44166</v>
      </c>
      <c r="RZC361" s="629">
        <v>2020</v>
      </c>
      <c r="RZD361" s="630" t="s">
        <v>1870</v>
      </c>
      <c r="RZE361" s="626"/>
      <c r="RZF361" s="627" t="s">
        <v>1669</v>
      </c>
      <c r="RZG361" s="628">
        <v>43831</v>
      </c>
      <c r="RZH361" s="628">
        <v>43862</v>
      </c>
      <c r="RZI361" s="628">
        <v>43891</v>
      </c>
      <c r="RZJ361" s="628">
        <v>43922</v>
      </c>
      <c r="RZK361" s="628">
        <v>43952</v>
      </c>
      <c r="RZL361" s="628">
        <v>43983</v>
      </c>
      <c r="RZM361" s="628">
        <v>44013</v>
      </c>
      <c r="RZN361" s="628">
        <v>44044</v>
      </c>
      <c r="RZO361" s="628">
        <v>44075</v>
      </c>
      <c r="RZP361" s="628">
        <v>44105</v>
      </c>
      <c r="RZQ361" s="628">
        <v>44136</v>
      </c>
      <c r="RZR361" s="628">
        <v>44166</v>
      </c>
      <c r="RZS361" s="629">
        <v>2020</v>
      </c>
      <c r="RZT361" s="630" t="s">
        <v>1870</v>
      </c>
      <c r="RZU361" s="626"/>
      <c r="RZV361" s="627" t="s">
        <v>1669</v>
      </c>
      <c r="RZW361" s="628">
        <v>43831</v>
      </c>
      <c r="RZX361" s="628">
        <v>43862</v>
      </c>
      <c r="RZY361" s="628">
        <v>43891</v>
      </c>
      <c r="RZZ361" s="628">
        <v>43922</v>
      </c>
      <c r="SAA361" s="628">
        <v>43952</v>
      </c>
      <c r="SAB361" s="628">
        <v>43983</v>
      </c>
      <c r="SAC361" s="628">
        <v>44013</v>
      </c>
      <c r="SAD361" s="628">
        <v>44044</v>
      </c>
      <c r="SAE361" s="628">
        <v>44075</v>
      </c>
      <c r="SAF361" s="628">
        <v>44105</v>
      </c>
      <c r="SAG361" s="628">
        <v>44136</v>
      </c>
      <c r="SAH361" s="628">
        <v>44166</v>
      </c>
      <c r="SAI361" s="629">
        <v>2020</v>
      </c>
      <c r="SAJ361" s="630" t="s">
        <v>1870</v>
      </c>
      <c r="SAK361" s="626"/>
      <c r="SAL361" s="627" t="s">
        <v>1669</v>
      </c>
      <c r="SAM361" s="628">
        <v>43831</v>
      </c>
      <c r="SAN361" s="628">
        <v>43862</v>
      </c>
      <c r="SAO361" s="628">
        <v>43891</v>
      </c>
      <c r="SAP361" s="628">
        <v>43922</v>
      </c>
      <c r="SAQ361" s="628">
        <v>43952</v>
      </c>
      <c r="SAR361" s="628">
        <v>43983</v>
      </c>
      <c r="SAS361" s="628">
        <v>44013</v>
      </c>
      <c r="SAT361" s="628">
        <v>44044</v>
      </c>
      <c r="SAU361" s="628">
        <v>44075</v>
      </c>
      <c r="SAV361" s="628">
        <v>44105</v>
      </c>
      <c r="SAW361" s="628">
        <v>44136</v>
      </c>
      <c r="SAX361" s="628">
        <v>44166</v>
      </c>
      <c r="SAY361" s="629">
        <v>2020</v>
      </c>
      <c r="SAZ361" s="630" t="s">
        <v>1870</v>
      </c>
      <c r="SBA361" s="626"/>
      <c r="SBB361" s="627" t="s">
        <v>1669</v>
      </c>
      <c r="SBC361" s="628">
        <v>43831</v>
      </c>
      <c r="SBD361" s="628">
        <v>43862</v>
      </c>
      <c r="SBE361" s="628">
        <v>43891</v>
      </c>
      <c r="SBF361" s="628">
        <v>43922</v>
      </c>
      <c r="SBG361" s="628">
        <v>43952</v>
      </c>
      <c r="SBH361" s="628">
        <v>43983</v>
      </c>
      <c r="SBI361" s="628">
        <v>44013</v>
      </c>
      <c r="SBJ361" s="628">
        <v>44044</v>
      </c>
      <c r="SBK361" s="628">
        <v>44075</v>
      </c>
      <c r="SBL361" s="628">
        <v>44105</v>
      </c>
      <c r="SBM361" s="628">
        <v>44136</v>
      </c>
      <c r="SBN361" s="628">
        <v>44166</v>
      </c>
      <c r="SBO361" s="629">
        <v>2020</v>
      </c>
      <c r="SBP361" s="630" t="s">
        <v>1870</v>
      </c>
      <c r="SBQ361" s="626"/>
      <c r="SBR361" s="627" t="s">
        <v>1669</v>
      </c>
      <c r="SBS361" s="628">
        <v>43831</v>
      </c>
      <c r="SBT361" s="628">
        <v>43862</v>
      </c>
      <c r="SBU361" s="628">
        <v>43891</v>
      </c>
      <c r="SBV361" s="628">
        <v>43922</v>
      </c>
      <c r="SBW361" s="628">
        <v>43952</v>
      </c>
      <c r="SBX361" s="628">
        <v>43983</v>
      </c>
      <c r="SBY361" s="628">
        <v>44013</v>
      </c>
      <c r="SBZ361" s="628">
        <v>44044</v>
      </c>
      <c r="SCA361" s="628">
        <v>44075</v>
      </c>
      <c r="SCB361" s="628">
        <v>44105</v>
      </c>
      <c r="SCC361" s="628">
        <v>44136</v>
      </c>
      <c r="SCD361" s="628">
        <v>44166</v>
      </c>
      <c r="SCE361" s="629">
        <v>2020</v>
      </c>
      <c r="SCF361" s="630" t="s">
        <v>1870</v>
      </c>
      <c r="SCG361" s="626"/>
      <c r="SCH361" s="627" t="s">
        <v>1669</v>
      </c>
      <c r="SCI361" s="628">
        <v>43831</v>
      </c>
      <c r="SCJ361" s="628">
        <v>43862</v>
      </c>
      <c r="SCK361" s="628">
        <v>43891</v>
      </c>
      <c r="SCL361" s="628">
        <v>43922</v>
      </c>
      <c r="SCM361" s="628">
        <v>43952</v>
      </c>
      <c r="SCN361" s="628">
        <v>43983</v>
      </c>
      <c r="SCO361" s="628">
        <v>44013</v>
      </c>
      <c r="SCP361" s="628">
        <v>44044</v>
      </c>
      <c r="SCQ361" s="628">
        <v>44075</v>
      </c>
      <c r="SCR361" s="628">
        <v>44105</v>
      </c>
      <c r="SCS361" s="628">
        <v>44136</v>
      </c>
      <c r="SCT361" s="628">
        <v>44166</v>
      </c>
      <c r="SCU361" s="629">
        <v>2020</v>
      </c>
      <c r="SCV361" s="630" t="s">
        <v>1870</v>
      </c>
      <c r="SCW361" s="626"/>
      <c r="SCX361" s="627" t="s">
        <v>1669</v>
      </c>
      <c r="SCY361" s="628">
        <v>43831</v>
      </c>
      <c r="SCZ361" s="628">
        <v>43862</v>
      </c>
      <c r="SDA361" s="628">
        <v>43891</v>
      </c>
      <c r="SDB361" s="628">
        <v>43922</v>
      </c>
      <c r="SDC361" s="628">
        <v>43952</v>
      </c>
      <c r="SDD361" s="628">
        <v>43983</v>
      </c>
      <c r="SDE361" s="628">
        <v>44013</v>
      </c>
      <c r="SDF361" s="628">
        <v>44044</v>
      </c>
      <c r="SDG361" s="628">
        <v>44075</v>
      </c>
      <c r="SDH361" s="628">
        <v>44105</v>
      </c>
      <c r="SDI361" s="628">
        <v>44136</v>
      </c>
      <c r="SDJ361" s="628">
        <v>44166</v>
      </c>
      <c r="SDK361" s="629">
        <v>2020</v>
      </c>
      <c r="SDL361" s="630" t="s">
        <v>1870</v>
      </c>
      <c r="SDM361" s="626"/>
      <c r="SDN361" s="627" t="s">
        <v>1669</v>
      </c>
      <c r="SDO361" s="628">
        <v>43831</v>
      </c>
      <c r="SDP361" s="628">
        <v>43862</v>
      </c>
      <c r="SDQ361" s="628">
        <v>43891</v>
      </c>
      <c r="SDR361" s="628">
        <v>43922</v>
      </c>
      <c r="SDS361" s="628">
        <v>43952</v>
      </c>
      <c r="SDT361" s="628">
        <v>43983</v>
      </c>
      <c r="SDU361" s="628">
        <v>44013</v>
      </c>
      <c r="SDV361" s="628">
        <v>44044</v>
      </c>
      <c r="SDW361" s="628">
        <v>44075</v>
      </c>
      <c r="SDX361" s="628">
        <v>44105</v>
      </c>
      <c r="SDY361" s="628">
        <v>44136</v>
      </c>
      <c r="SDZ361" s="628">
        <v>44166</v>
      </c>
      <c r="SEA361" s="629">
        <v>2020</v>
      </c>
      <c r="SEB361" s="630" t="s">
        <v>1870</v>
      </c>
      <c r="SEC361" s="626"/>
      <c r="SED361" s="627" t="s">
        <v>1669</v>
      </c>
      <c r="SEE361" s="628">
        <v>43831</v>
      </c>
      <c r="SEF361" s="628">
        <v>43862</v>
      </c>
      <c r="SEG361" s="628">
        <v>43891</v>
      </c>
      <c r="SEH361" s="628">
        <v>43922</v>
      </c>
      <c r="SEI361" s="628">
        <v>43952</v>
      </c>
      <c r="SEJ361" s="628">
        <v>43983</v>
      </c>
      <c r="SEK361" s="628">
        <v>44013</v>
      </c>
      <c r="SEL361" s="628">
        <v>44044</v>
      </c>
      <c r="SEM361" s="628">
        <v>44075</v>
      </c>
      <c r="SEN361" s="628">
        <v>44105</v>
      </c>
      <c r="SEO361" s="628">
        <v>44136</v>
      </c>
      <c r="SEP361" s="628">
        <v>44166</v>
      </c>
      <c r="SEQ361" s="629">
        <v>2020</v>
      </c>
      <c r="SER361" s="630" t="s">
        <v>1870</v>
      </c>
      <c r="SES361" s="626"/>
      <c r="SET361" s="627" t="s">
        <v>1669</v>
      </c>
      <c r="SEU361" s="628">
        <v>43831</v>
      </c>
      <c r="SEV361" s="628">
        <v>43862</v>
      </c>
      <c r="SEW361" s="628">
        <v>43891</v>
      </c>
      <c r="SEX361" s="628">
        <v>43922</v>
      </c>
      <c r="SEY361" s="628">
        <v>43952</v>
      </c>
      <c r="SEZ361" s="628">
        <v>43983</v>
      </c>
      <c r="SFA361" s="628">
        <v>44013</v>
      </c>
      <c r="SFB361" s="628">
        <v>44044</v>
      </c>
      <c r="SFC361" s="628">
        <v>44075</v>
      </c>
      <c r="SFD361" s="628">
        <v>44105</v>
      </c>
      <c r="SFE361" s="628">
        <v>44136</v>
      </c>
      <c r="SFF361" s="628">
        <v>44166</v>
      </c>
      <c r="SFG361" s="629">
        <v>2020</v>
      </c>
      <c r="SFH361" s="630" t="s">
        <v>1870</v>
      </c>
      <c r="SFI361" s="626"/>
      <c r="SFJ361" s="627" t="s">
        <v>1669</v>
      </c>
      <c r="SFK361" s="628">
        <v>43831</v>
      </c>
      <c r="SFL361" s="628">
        <v>43862</v>
      </c>
      <c r="SFM361" s="628">
        <v>43891</v>
      </c>
      <c r="SFN361" s="628">
        <v>43922</v>
      </c>
      <c r="SFO361" s="628">
        <v>43952</v>
      </c>
      <c r="SFP361" s="628">
        <v>43983</v>
      </c>
      <c r="SFQ361" s="628">
        <v>44013</v>
      </c>
      <c r="SFR361" s="628">
        <v>44044</v>
      </c>
      <c r="SFS361" s="628">
        <v>44075</v>
      </c>
      <c r="SFT361" s="628">
        <v>44105</v>
      </c>
      <c r="SFU361" s="628">
        <v>44136</v>
      </c>
      <c r="SFV361" s="628">
        <v>44166</v>
      </c>
      <c r="SFW361" s="629">
        <v>2020</v>
      </c>
      <c r="SFX361" s="630" t="s">
        <v>1870</v>
      </c>
      <c r="SFY361" s="626"/>
      <c r="SFZ361" s="627" t="s">
        <v>1669</v>
      </c>
      <c r="SGA361" s="628">
        <v>43831</v>
      </c>
      <c r="SGB361" s="628">
        <v>43862</v>
      </c>
      <c r="SGC361" s="628">
        <v>43891</v>
      </c>
      <c r="SGD361" s="628">
        <v>43922</v>
      </c>
      <c r="SGE361" s="628">
        <v>43952</v>
      </c>
      <c r="SGF361" s="628">
        <v>43983</v>
      </c>
      <c r="SGG361" s="628">
        <v>44013</v>
      </c>
      <c r="SGH361" s="628">
        <v>44044</v>
      </c>
      <c r="SGI361" s="628">
        <v>44075</v>
      </c>
      <c r="SGJ361" s="628">
        <v>44105</v>
      </c>
      <c r="SGK361" s="628">
        <v>44136</v>
      </c>
      <c r="SGL361" s="628">
        <v>44166</v>
      </c>
      <c r="SGM361" s="629">
        <v>2020</v>
      </c>
      <c r="SGN361" s="630" t="s">
        <v>1870</v>
      </c>
      <c r="SGO361" s="626"/>
      <c r="SGP361" s="627" t="s">
        <v>1669</v>
      </c>
      <c r="SGQ361" s="628">
        <v>43831</v>
      </c>
      <c r="SGR361" s="628">
        <v>43862</v>
      </c>
      <c r="SGS361" s="628">
        <v>43891</v>
      </c>
      <c r="SGT361" s="628">
        <v>43922</v>
      </c>
      <c r="SGU361" s="628">
        <v>43952</v>
      </c>
      <c r="SGV361" s="628">
        <v>43983</v>
      </c>
      <c r="SGW361" s="628">
        <v>44013</v>
      </c>
      <c r="SGX361" s="628">
        <v>44044</v>
      </c>
      <c r="SGY361" s="628">
        <v>44075</v>
      </c>
      <c r="SGZ361" s="628">
        <v>44105</v>
      </c>
      <c r="SHA361" s="628">
        <v>44136</v>
      </c>
      <c r="SHB361" s="628">
        <v>44166</v>
      </c>
      <c r="SHC361" s="629">
        <v>2020</v>
      </c>
      <c r="SHD361" s="630" t="s">
        <v>1870</v>
      </c>
      <c r="SHE361" s="626"/>
      <c r="SHF361" s="627" t="s">
        <v>1669</v>
      </c>
      <c r="SHG361" s="628">
        <v>43831</v>
      </c>
      <c r="SHH361" s="628">
        <v>43862</v>
      </c>
      <c r="SHI361" s="628">
        <v>43891</v>
      </c>
      <c r="SHJ361" s="628">
        <v>43922</v>
      </c>
      <c r="SHK361" s="628">
        <v>43952</v>
      </c>
      <c r="SHL361" s="628">
        <v>43983</v>
      </c>
      <c r="SHM361" s="628">
        <v>44013</v>
      </c>
      <c r="SHN361" s="628">
        <v>44044</v>
      </c>
      <c r="SHO361" s="628">
        <v>44075</v>
      </c>
      <c r="SHP361" s="628">
        <v>44105</v>
      </c>
      <c r="SHQ361" s="628">
        <v>44136</v>
      </c>
      <c r="SHR361" s="628">
        <v>44166</v>
      </c>
      <c r="SHS361" s="629">
        <v>2020</v>
      </c>
      <c r="SHT361" s="630" t="s">
        <v>1870</v>
      </c>
      <c r="SHU361" s="626"/>
      <c r="SHV361" s="627" t="s">
        <v>1669</v>
      </c>
      <c r="SHW361" s="628">
        <v>43831</v>
      </c>
      <c r="SHX361" s="628">
        <v>43862</v>
      </c>
      <c r="SHY361" s="628">
        <v>43891</v>
      </c>
      <c r="SHZ361" s="628">
        <v>43922</v>
      </c>
      <c r="SIA361" s="628">
        <v>43952</v>
      </c>
      <c r="SIB361" s="628">
        <v>43983</v>
      </c>
      <c r="SIC361" s="628">
        <v>44013</v>
      </c>
      <c r="SID361" s="628">
        <v>44044</v>
      </c>
      <c r="SIE361" s="628">
        <v>44075</v>
      </c>
      <c r="SIF361" s="628">
        <v>44105</v>
      </c>
      <c r="SIG361" s="628">
        <v>44136</v>
      </c>
      <c r="SIH361" s="628">
        <v>44166</v>
      </c>
      <c r="SII361" s="629">
        <v>2020</v>
      </c>
      <c r="SIJ361" s="630" t="s">
        <v>1870</v>
      </c>
      <c r="SIK361" s="626"/>
      <c r="SIL361" s="627" t="s">
        <v>1669</v>
      </c>
      <c r="SIM361" s="628">
        <v>43831</v>
      </c>
      <c r="SIN361" s="628">
        <v>43862</v>
      </c>
      <c r="SIO361" s="628">
        <v>43891</v>
      </c>
      <c r="SIP361" s="628">
        <v>43922</v>
      </c>
      <c r="SIQ361" s="628">
        <v>43952</v>
      </c>
      <c r="SIR361" s="628">
        <v>43983</v>
      </c>
      <c r="SIS361" s="628">
        <v>44013</v>
      </c>
      <c r="SIT361" s="628">
        <v>44044</v>
      </c>
      <c r="SIU361" s="628">
        <v>44075</v>
      </c>
      <c r="SIV361" s="628">
        <v>44105</v>
      </c>
      <c r="SIW361" s="628">
        <v>44136</v>
      </c>
      <c r="SIX361" s="628">
        <v>44166</v>
      </c>
      <c r="SIY361" s="629">
        <v>2020</v>
      </c>
      <c r="SIZ361" s="630" t="s">
        <v>1870</v>
      </c>
      <c r="SJA361" s="626"/>
      <c r="SJB361" s="627" t="s">
        <v>1669</v>
      </c>
      <c r="SJC361" s="628">
        <v>43831</v>
      </c>
      <c r="SJD361" s="628">
        <v>43862</v>
      </c>
      <c r="SJE361" s="628">
        <v>43891</v>
      </c>
      <c r="SJF361" s="628">
        <v>43922</v>
      </c>
      <c r="SJG361" s="628">
        <v>43952</v>
      </c>
      <c r="SJH361" s="628">
        <v>43983</v>
      </c>
      <c r="SJI361" s="628">
        <v>44013</v>
      </c>
      <c r="SJJ361" s="628">
        <v>44044</v>
      </c>
      <c r="SJK361" s="628">
        <v>44075</v>
      </c>
      <c r="SJL361" s="628">
        <v>44105</v>
      </c>
      <c r="SJM361" s="628">
        <v>44136</v>
      </c>
      <c r="SJN361" s="628">
        <v>44166</v>
      </c>
      <c r="SJO361" s="629">
        <v>2020</v>
      </c>
      <c r="SJP361" s="630" t="s">
        <v>1870</v>
      </c>
      <c r="SJQ361" s="626"/>
      <c r="SJR361" s="627" t="s">
        <v>1669</v>
      </c>
      <c r="SJS361" s="628">
        <v>43831</v>
      </c>
      <c r="SJT361" s="628">
        <v>43862</v>
      </c>
      <c r="SJU361" s="628">
        <v>43891</v>
      </c>
      <c r="SJV361" s="628">
        <v>43922</v>
      </c>
      <c r="SJW361" s="628">
        <v>43952</v>
      </c>
      <c r="SJX361" s="628">
        <v>43983</v>
      </c>
      <c r="SJY361" s="628">
        <v>44013</v>
      </c>
      <c r="SJZ361" s="628">
        <v>44044</v>
      </c>
      <c r="SKA361" s="628">
        <v>44075</v>
      </c>
      <c r="SKB361" s="628">
        <v>44105</v>
      </c>
      <c r="SKC361" s="628">
        <v>44136</v>
      </c>
      <c r="SKD361" s="628">
        <v>44166</v>
      </c>
      <c r="SKE361" s="629">
        <v>2020</v>
      </c>
      <c r="SKF361" s="630" t="s">
        <v>1870</v>
      </c>
      <c r="SKG361" s="626"/>
      <c r="SKH361" s="627" t="s">
        <v>1669</v>
      </c>
      <c r="SKI361" s="628">
        <v>43831</v>
      </c>
      <c r="SKJ361" s="628">
        <v>43862</v>
      </c>
      <c r="SKK361" s="628">
        <v>43891</v>
      </c>
      <c r="SKL361" s="628">
        <v>43922</v>
      </c>
      <c r="SKM361" s="628">
        <v>43952</v>
      </c>
      <c r="SKN361" s="628">
        <v>43983</v>
      </c>
      <c r="SKO361" s="628">
        <v>44013</v>
      </c>
      <c r="SKP361" s="628">
        <v>44044</v>
      </c>
      <c r="SKQ361" s="628">
        <v>44075</v>
      </c>
      <c r="SKR361" s="628">
        <v>44105</v>
      </c>
      <c r="SKS361" s="628">
        <v>44136</v>
      </c>
      <c r="SKT361" s="628">
        <v>44166</v>
      </c>
      <c r="SKU361" s="629">
        <v>2020</v>
      </c>
      <c r="SKV361" s="630" t="s">
        <v>1870</v>
      </c>
      <c r="SKW361" s="626"/>
      <c r="SKX361" s="627" t="s">
        <v>1669</v>
      </c>
      <c r="SKY361" s="628">
        <v>43831</v>
      </c>
      <c r="SKZ361" s="628">
        <v>43862</v>
      </c>
      <c r="SLA361" s="628">
        <v>43891</v>
      </c>
      <c r="SLB361" s="628">
        <v>43922</v>
      </c>
      <c r="SLC361" s="628">
        <v>43952</v>
      </c>
      <c r="SLD361" s="628">
        <v>43983</v>
      </c>
      <c r="SLE361" s="628">
        <v>44013</v>
      </c>
      <c r="SLF361" s="628">
        <v>44044</v>
      </c>
      <c r="SLG361" s="628">
        <v>44075</v>
      </c>
      <c r="SLH361" s="628">
        <v>44105</v>
      </c>
      <c r="SLI361" s="628">
        <v>44136</v>
      </c>
      <c r="SLJ361" s="628">
        <v>44166</v>
      </c>
      <c r="SLK361" s="629">
        <v>2020</v>
      </c>
      <c r="SLL361" s="630" t="s">
        <v>1870</v>
      </c>
      <c r="SLM361" s="626"/>
      <c r="SLN361" s="627" t="s">
        <v>1669</v>
      </c>
      <c r="SLO361" s="628">
        <v>43831</v>
      </c>
      <c r="SLP361" s="628">
        <v>43862</v>
      </c>
      <c r="SLQ361" s="628">
        <v>43891</v>
      </c>
      <c r="SLR361" s="628">
        <v>43922</v>
      </c>
      <c r="SLS361" s="628">
        <v>43952</v>
      </c>
      <c r="SLT361" s="628">
        <v>43983</v>
      </c>
      <c r="SLU361" s="628">
        <v>44013</v>
      </c>
      <c r="SLV361" s="628">
        <v>44044</v>
      </c>
      <c r="SLW361" s="628">
        <v>44075</v>
      </c>
      <c r="SLX361" s="628">
        <v>44105</v>
      </c>
      <c r="SLY361" s="628">
        <v>44136</v>
      </c>
      <c r="SLZ361" s="628">
        <v>44166</v>
      </c>
      <c r="SMA361" s="629">
        <v>2020</v>
      </c>
      <c r="SMB361" s="630" t="s">
        <v>1870</v>
      </c>
      <c r="SMC361" s="626"/>
      <c r="SMD361" s="627" t="s">
        <v>1669</v>
      </c>
      <c r="SME361" s="628">
        <v>43831</v>
      </c>
      <c r="SMF361" s="628">
        <v>43862</v>
      </c>
      <c r="SMG361" s="628">
        <v>43891</v>
      </c>
      <c r="SMH361" s="628">
        <v>43922</v>
      </c>
      <c r="SMI361" s="628">
        <v>43952</v>
      </c>
      <c r="SMJ361" s="628">
        <v>43983</v>
      </c>
      <c r="SMK361" s="628">
        <v>44013</v>
      </c>
      <c r="SML361" s="628">
        <v>44044</v>
      </c>
      <c r="SMM361" s="628">
        <v>44075</v>
      </c>
      <c r="SMN361" s="628">
        <v>44105</v>
      </c>
      <c r="SMO361" s="628">
        <v>44136</v>
      </c>
      <c r="SMP361" s="628">
        <v>44166</v>
      </c>
      <c r="SMQ361" s="629">
        <v>2020</v>
      </c>
      <c r="SMR361" s="630" t="s">
        <v>1870</v>
      </c>
      <c r="SMS361" s="626"/>
      <c r="SMT361" s="627" t="s">
        <v>1669</v>
      </c>
      <c r="SMU361" s="628">
        <v>43831</v>
      </c>
      <c r="SMV361" s="628">
        <v>43862</v>
      </c>
      <c r="SMW361" s="628">
        <v>43891</v>
      </c>
      <c r="SMX361" s="628">
        <v>43922</v>
      </c>
      <c r="SMY361" s="628">
        <v>43952</v>
      </c>
      <c r="SMZ361" s="628">
        <v>43983</v>
      </c>
      <c r="SNA361" s="628">
        <v>44013</v>
      </c>
      <c r="SNB361" s="628">
        <v>44044</v>
      </c>
      <c r="SNC361" s="628">
        <v>44075</v>
      </c>
      <c r="SND361" s="628">
        <v>44105</v>
      </c>
      <c r="SNE361" s="628">
        <v>44136</v>
      </c>
      <c r="SNF361" s="628">
        <v>44166</v>
      </c>
      <c r="SNG361" s="629">
        <v>2020</v>
      </c>
      <c r="SNH361" s="630" t="s">
        <v>1870</v>
      </c>
      <c r="SNI361" s="626"/>
      <c r="SNJ361" s="627" t="s">
        <v>1669</v>
      </c>
      <c r="SNK361" s="628">
        <v>43831</v>
      </c>
      <c r="SNL361" s="628">
        <v>43862</v>
      </c>
      <c r="SNM361" s="628">
        <v>43891</v>
      </c>
      <c r="SNN361" s="628">
        <v>43922</v>
      </c>
      <c r="SNO361" s="628">
        <v>43952</v>
      </c>
      <c r="SNP361" s="628">
        <v>43983</v>
      </c>
      <c r="SNQ361" s="628">
        <v>44013</v>
      </c>
      <c r="SNR361" s="628">
        <v>44044</v>
      </c>
      <c r="SNS361" s="628">
        <v>44075</v>
      </c>
      <c r="SNT361" s="628">
        <v>44105</v>
      </c>
      <c r="SNU361" s="628">
        <v>44136</v>
      </c>
      <c r="SNV361" s="628">
        <v>44166</v>
      </c>
      <c r="SNW361" s="629">
        <v>2020</v>
      </c>
      <c r="SNX361" s="630" t="s">
        <v>1870</v>
      </c>
      <c r="SNY361" s="626"/>
      <c r="SNZ361" s="627" t="s">
        <v>1669</v>
      </c>
      <c r="SOA361" s="628">
        <v>43831</v>
      </c>
      <c r="SOB361" s="628">
        <v>43862</v>
      </c>
      <c r="SOC361" s="628">
        <v>43891</v>
      </c>
      <c r="SOD361" s="628">
        <v>43922</v>
      </c>
      <c r="SOE361" s="628">
        <v>43952</v>
      </c>
      <c r="SOF361" s="628">
        <v>43983</v>
      </c>
      <c r="SOG361" s="628">
        <v>44013</v>
      </c>
      <c r="SOH361" s="628">
        <v>44044</v>
      </c>
      <c r="SOI361" s="628">
        <v>44075</v>
      </c>
      <c r="SOJ361" s="628">
        <v>44105</v>
      </c>
      <c r="SOK361" s="628">
        <v>44136</v>
      </c>
      <c r="SOL361" s="628">
        <v>44166</v>
      </c>
      <c r="SOM361" s="629">
        <v>2020</v>
      </c>
      <c r="SON361" s="630" t="s">
        <v>1870</v>
      </c>
      <c r="SOO361" s="626"/>
      <c r="SOP361" s="627" t="s">
        <v>1669</v>
      </c>
      <c r="SOQ361" s="628">
        <v>43831</v>
      </c>
      <c r="SOR361" s="628">
        <v>43862</v>
      </c>
      <c r="SOS361" s="628">
        <v>43891</v>
      </c>
      <c r="SOT361" s="628">
        <v>43922</v>
      </c>
      <c r="SOU361" s="628">
        <v>43952</v>
      </c>
      <c r="SOV361" s="628">
        <v>43983</v>
      </c>
      <c r="SOW361" s="628">
        <v>44013</v>
      </c>
      <c r="SOX361" s="628">
        <v>44044</v>
      </c>
      <c r="SOY361" s="628">
        <v>44075</v>
      </c>
      <c r="SOZ361" s="628">
        <v>44105</v>
      </c>
      <c r="SPA361" s="628">
        <v>44136</v>
      </c>
      <c r="SPB361" s="628">
        <v>44166</v>
      </c>
      <c r="SPC361" s="629">
        <v>2020</v>
      </c>
      <c r="SPD361" s="630" t="s">
        <v>1870</v>
      </c>
      <c r="SPE361" s="626"/>
      <c r="SPF361" s="627" t="s">
        <v>1669</v>
      </c>
      <c r="SPG361" s="628">
        <v>43831</v>
      </c>
      <c r="SPH361" s="628">
        <v>43862</v>
      </c>
      <c r="SPI361" s="628">
        <v>43891</v>
      </c>
      <c r="SPJ361" s="628">
        <v>43922</v>
      </c>
      <c r="SPK361" s="628">
        <v>43952</v>
      </c>
      <c r="SPL361" s="628">
        <v>43983</v>
      </c>
      <c r="SPM361" s="628">
        <v>44013</v>
      </c>
      <c r="SPN361" s="628">
        <v>44044</v>
      </c>
      <c r="SPO361" s="628">
        <v>44075</v>
      </c>
      <c r="SPP361" s="628">
        <v>44105</v>
      </c>
      <c r="SPQ361" s="628">
        <v>44136</v>
      </c>
      <c r="SPR361" s="628">
        <v>44166</v>
      </c>
      <c r="SPS361" s="629">
        <v>2020</v>
      </c>
      <c r="SPT361" s="630" t="s">
        <v>1870</v>
      </c>
      <c r="SPU361" s="626"/>
      <c r="SPV361" s="627" t="s">
        <v>1669</v>
      </c>
      <c r="SPW361" s="628">
        <v>43831</v>
      </c>
      <c r="SPX361" s="628">
        <v>43862</v>
      </c>
      <c r="SPY361" s="628">
        <v>43891</v>
      </c>
      <c r="SPZ361" s="628">
        <v>43922</v>
      </c>
      <c r="SQA361" s="628">
        <v>43952</v>
      </c>
      <c r="SQB361" s="628">
        <v>43983</v>
      </c>
      <c r="SQC361" s="628">
        <v>44013</v>
      </c>
      <c r="SQD361" s="628">
        <v>44044</v>
      </c>
      <c r="SQE361" s="628">
        <v>44075</v>
      </c>
      <c r="SQF361" s="628">
        <v>44105</v>
      </c>
      <c r="SQG361" s="628">
        <v>44136</v>
      </c>
      <c r="SQH361" s="628">
        <v>44166</v>
      </c>
      <c r="SQI361" s="629">
        <v>2020</v>
      </c>
      <c r="SQJ361" s="630" t="s">
        <v>1870</v>
      </c>
      <c r="SQK361" s="626"/>
      <c r="SQL361" s="627" t="s">
        <v>1669</v>
      </c>
      <c r="SQM361" s="628">
        <v>43831</v>
      </c>
      <c r="SQN361" s="628">
        <v>43862</v>
      </c>
      <c r="SQO361" s="628">
        <v>43891</v>
      </c>
      <c r="SQP361" s="628">
        <v>43922</v>
      </c>
      <c r="SQQ361" s="628">
        <v>43952</v>
      </c>
      <c r="SQR361" s="628">
        <v>43983</v>
      </c>
      <c r="SQS361" s="628">
        <v>44013</v>
      </c>
      <c r="SQT361" s="628">
        <v>44044</v>
      </c>
      <c r="SQU361" s="628">
        <v>44075</v>
      </c>
      <c r="SQV361" s="628">
        <v>44105</v>
      </c>
      <c r="SQW361" s="628">
        <v>44136</v>
      </c>
      <c r="SQX361" s="628">
        <v>44166</v>
      </c>
      <c r="SQY361" s="629">
        <v>2020</v>
      </c>
      <c r="SQZ361" s="630" t="s">
        <v>1870</v>
      </c>
      <c r="SRA361" s="626"/>
      <c r="SRB361" s="627" t="s">
        <v>1669</v>
      </c>
      <c r="SRC361" s="628">
        <v>43831</v>
      </c>
      <c r="SRD361" s="628">
        <v>43862</v>
      </c>
      <c r="SRE361" s="628">
        <v>43891</v>
      </c>
      <c r="SRF361" s="628">
        <v>43922</v>
      </c>
      <c r="SRG361" s="628">
        <v>43952</v>
      </c>
      <c r="SRH361" s="628">
        <v>43983</v>
      </c>
      <c r="SRI361" s="628">
        <v>44013</v>
      </c>
      <c r="SRJ361" s="628">
        <v>44044</v>
      </c>
      <c r="SRK361" s="628">
        <v>44075</v>
      </c>
      <c r="SRL361" s="628">
        <v>44105</v>
      </c>
      <c r="SRM361" s="628">
        <v>44136</v>
      </c>
      <c r="SRN361" s="628">
        <v>44166</v>
      </c>
      <c r="SRO361" s="629">
        <v>2020</v>
      </c>
      <c r="SRP361" s="630" t="s">
        <v>1870</v>
      </c>
      <c r="SRQ361" s="626"/>
      <c r="SRR361" s="627" t="s">
        <v>1669</v>
      </c>
      <c r="SRS361" s="628">
        <v>43831</v>
      </c>
      <c r="SRT361" s="628">
        <v>43862</v>
      </c>
      <c r="SRU361" s="628">
        <v>43891</v>
      </c>
      <c r="SRV361" s="628">
        <v>43922</v>
      </c>
      <c r="SRW361" s="628">
        <v>43952</v>
      </c>
      <c r="SRX361" s="628">
        <v>43983</v>
      </c>
      <c r="SRY361" s="628">
        <v>44013</v>
      </c>
      <c r="SRZ361" s="628">
        <v>44044</v>
      </c>
      <c r="SSA361" s="628">
        <v>44075</v>
      </c>
      <c r="SSB361" s="628">
        <v>44105</v>
      </c>
      <c r="SSC361" s="628">
        <v>44136</v>
      </c>
      <c r="SSD361" s="628">
        <v>44166</v>
      </c>
      <c r="SSE361" s="629">
        <v>2020</v>
      </c>
      <c r="SSF361" s="630" t="s">
        <v>1870</v>
      </c>
      <c r="SSG361" s="626"/>
      <c r="SSH361" s="627" t="s">
        <v>1669</v>
      </c>
      <c r="SSI361" s="628">
        <v>43831</v>
      </c>
      <c r="SSJ361" s="628">
        <v>43862</v>
      </c>
      <c r="SSK361" s="628">
        <v>43891</v>
      </c>
      <c r="SSL361" s="628">
        <v>43922</v>
      </c>
      <c r="SSM361" s="628">
        <v>43952</v>
      </c>
      <c r="SSN361" s="628">
        <v>43983</v>
      </c>
      <c r="SSO361" s="628">
        <v>44013</v>
      </c>
      <c r="SSP361" s="628">
        <v>44044</v>
      </c>
      <c r="SSQ361" s="628">
        <v>44075</v>
      </c>
      <c r="SSR361" s="628">
        <v>44105</v>
      </c>
      <c r="SSS361" s="628">
        <v>44136</v>
      </c>
      <c r="SST361" s="628">
        <v>44166</v>
      </c>
      <c r="SSU361" s="629">
        <v>2020</v>
      </c>
      <c r="SSV361" s="630" t="s">
        <v>1870</v>
      </c>
      <c r="SSW361" s="626"/>
      <c r="SSX361" s="627" t="s">
        <v>1669</v>
      </c>
      <c r="SSY361" s="628">
        <v>43831</v>
      </c>
      <c r="SSZ361" s="628">
        <v>43862</v>
      </c>
      <c r="STA361" s="628">
        <v>43891</v>
      </c>
      <c r="STB361" s="628">
        <v>43922</v>
      </c>
      <c r="STC361" s="628">
        <v>43952</v>
      </c>
      <c r="STD361" s="628">
        <v>43983</v>
      </c>
      <c r="STE361" s="628">
        <v>44013</v>
      </c>
      <c r="STF361" s="628">
        <v>44044</v>
      </c>
      <c r="STG361" s="628">
        <v>44075</v>
      </c>
      <c r="STH361" s="628">
        <v>44105</v>
      </c>
      <c r="STI361" s="628">
        <v>44136</v>
      </c>
      <c r="STJ361" s="628">
        <v>44166</v>
      </c>
      <c r="STK361" s="629">
        <v>2020</v>
      </c>
      <c r="STL361" s="630" t="s">
        <v>1870</v>
      </c>
      <c r="STM361" s="626"/>
      <c r="STN361" s="627" t="s">
        <v>1669</v>
      </c>
      <c r="STO361" s="628">
        <v>43831</v>
      </c>
      <c r="STP361" s="628">
        <v>43862</v>
      </c>
      <c r="STQ361" s="628">
        <v>43891</v>
      </c>
      <c r="STR361" s="628">
        <v>43922</v>
      </c>
      <c r="STS361" s="628">
        <v>43952</v>
      </c>
      <c r="STT361" s="628">
        <v>43983</v>
      </c>
      <c r="STU361" s="628">
        <v>44013</v>
      </c>
      <c r="STV361" s="628">
        <v>44044</v>
      </c>
      <c r="STW361" s="628">
        <v>44075</v>
      </c>
      <c r="STX361" s="628">
        <v>44105</v>
      </c>
      <c r="STY361" s="628">
        <v>44136</v>
      </c>
      <c r="STZ361" s="628">
        <v>44166</v>
      </c>
      <c r="SUA361" s="629">
        <v>2020</v>
      </c>
      <c r="SUB361" s="630" t="s">
        <v>1870</v>
      </c>
    </row>
    <row r="362" spans="1:13392" s="57" customFormat="1" ht="17.25" customHeight="1">
      <c r="A362" s="631" t="s">
        <v>1836</v>
      </c>
      <c r="B362" s="632" t="s">
        <v>1673</v>
      </c>
      <c r="C362" s="633">
        <v>3470702.0100000007</v>
      </c>
      <c r="D362" s="633">
        <v>3448347.94</v>
      </c>
      <c r="E362" s="633">
        <v>3398526.4800000009</v>
      </c>
      <c r="F362" s="633">
        <v>2159854.59</v>
      </c>
      <c r="G362" s="633">
        <v>3563316.060000001</v>
      </c>
      <c r="H362" s="633">
        <v>3305610.92</v>
      </c>
      <c r="I362" s="633">
        <v>3255686.1799999992</v>
      </c>
      <c r="J362" s="633">
        <v>3172108.3800000018</v>
      </c>
      <c r="K362" s="633">
        <v>3430726.5900000026</v>
      </c>
      <c r="L362" s="633">
        <v>3636289.9099999997</v>
      </c>
      <c r="M362" s="633">
        <v>3606558.6500000022</v>
      </c>
      <c r="N362" s="633">
        <v>3549118.4400000018</v>
      </c>
      <c r="O362" s="634">
        <v>39996846</v>
      </c>
      <c r="P362" s="633">
        <f>SUM(C362:N362)</f>
        <v>39996846.150000013</v>
      </c>
      <c r="Q362" s="693" t="s">
        <v>1836</v>
      </c>
      <c r="R362" s="694" t="s">
        <v>1673</v>
      </c>
      <c r="S362" s="695">
        <v>3470702.0100000007</v>
      </c>
      <c r="T362" s="695">
        <v>3448347.94</v>
      </c>
      <c r="U362" s="695">
        <v>3398526.4800000009</v>
      </c>
      <c r="V362" s="695">
        <v>2159854.59</v>
      </c>
      <c r="W362" s="695">
        <v>3563316.060000001</v>
      </c>
      <c r="X362" s="695">
        <v>3305610.92</v>
      </c>
      <c r="Y362" s="695">
        <v>3255686.1799999992</v>
      </c>
      <c r="Z362" s="695">
        <v>3172108.3800000018</v>
      </c>
      <c r="AA362" s="695">
        <v>3430726.5900000026</v>
      </c>
      <c r="AB362" s="695">
        <v>3636289.9099999997</v>
      </c>
      <c r="AC362" s="695">
        <v>3606558.6500000022</v>
      </c>
      <c r="AD362" s="695">
        <v>3549118.4400000018</v>
      </c>
      <c r="AE362" s="696">
        <v>39996846</v>
      </c>
      <c r="AF362" s="695">
        <f>SUM(S362:AD362)</f>
        <v>39996846.150000013</v>
      </c>
      <c r="AG362" s="631" t="s">
        <v>1836</v>
      </c>
      <c r="AH362" s="632" t="s">
        <v>1673</v>
      </c>
      <c r="AI362" s="633">
        <v>3470702.0100000007</v>
      </c>
      <c r="AJ362" s="633">
        <v>3448347.94</v>
      </c>
      <c r="AK362" s="633">
        <v>3398526.4800000009</v>
      </c>
      <c r="AL362" s="633">
        <v>2159854.59</v>
      </c>
      <c r="AM362" s="633">
        <v>3563316.060000001</v>
      </c>
      <c r="AN362" s="633">
        <v>3305610.92</v>
      </c>
      <c r="AO362" s="633">
        <v>3255686.1799999992</v>
      </c>
      <c r="AP362" s="633">
        <v>3172108.3800000018</v>
      </c>
      <c r="AQ362" s="633">
        <v>3430726.5900000026</v>
      </c>
      <c r="AR362" s="633">
        <v>3636289.9099999997</v>
      </c>
      <c r="AS362" s="633">
        <v>3606558.6500000022</v>
      </c>
      <c r="AT362" s="633">
        <v>3549118.4400000018</v>
      </c>
      <c r="AU362" s="634">
        <v>39996846</v>
      </c>
      <c r="AV362" s="633">
        <f>SUM(AI362:AT362)</f>
        <v>39996846.150000013</v>
      </c>
      <c r="AW362" s="631" t="s">
        <v>1836</v>
      </c>
      <c r="AX362" s="632" t="s">
        <v>1673</v>
      </c>
      <c r="AY362" s="633">
        <v>3470702.0100000007</v>
      </c>
      <c r="AZ362" s="633">
        <v>3448347.94</v>
      </c>
      <c r="BA362" s="633">
        <v>3398526.4800000009</v>
      </c>
      <c r="BB362" s="633">
        <v>2159854.59</v>
      </c>
      <c r="BC362" s="633">
        <v>3563316.060000001</v>
      </c>
      <c r="BD362" s="633">
        <v>3305610.92</v>
      </c>
      <c r="BE362" s="633">
        <v>3255686.1799999992</v>
      </c>
      <c r="BF362" s="633">
        <v>3172108.3800000018</v>
      </c>
      <c r="BG362" s="633">
        <v>3430726.5900000026</v>
      </c>
      <c r="BH362" s="633">
        <v>3636289.9099999997</v>
      </c>
      <c r="BI362" s="633">
        <v>3606558.6500000022</v>
      </c>
      <c r="BJ362" s="633">
        <v>3549118.4400000018</v>
      </c>
      <c r="BK362" s="634">
        <v>39996846</v>
      </c>
      <c r="BL362" s="633">
        <f>SUM(AY362:BJ362)</f>
        <v>39996846.150000013</v>
      </c>
      <c r="BM362" s="631" t="s">
        <v>1836</v>
      </c>
      <c r="BN362" s="632" t="s">
        <v>1673</v>
      </c>
      <c r="BO362" s="633">
        <v>3470702.0100000007</v>
      </c>
      <c r="BP362" s="633">
        <v>3448347.94</v>
      </c>
      <c r="BQ362" s="633">
        <v>3398526.4800000009</v>
      </c>
      <c r="BR362" s="633">
        <v>2159854.59</v>
      </c>
      <c r="BS362" s="633">
        <v>3563316.060000001</v>
      </c>
      <c r="BT362" s="633">
        <v>3305610.92</v>
      </c>
      <c r="BU362" s="633">
        <v>3255686.1799999992</v>
      </c>
      <c r="BV362" s="633">
        <v>3172108.3800000018</v>
      </c>
      <c r="BW362" s="633">
        <v>3430726.5900000026</v>
      </c>
      <c r="BX362" s="633">
        <v>3636289.9099999997</v>
      </c>
      <c r="BY362" s="633">
        <v>3606558.6500000022</v>
      </c>
      <c r="BZ362" s="633">
        <v>3549118.4400000018</v>
      </c>
      <c r="CA362" s="634">
        <v>39996846</v>
      </c>
      <c r="CB362" s="633">
        <f>SUM(BO362:BZ362)</f>
        <v>39996846.150000013</v>
      </c>
      <c r="CC362" s="631" t="s">
        <v>1836</v>
      </c>
      <c r="CD362" s="632" t="s">
        <v>1673</v>
      </c>
      <c r="CE362" s="633">
        <v>3470702.0100000007</v>
      </c>
      <c r="CF362" s="633">
        <v>3448347.94</v>
      </c>
      <c r="CG362" s="633">
        <v>3398526.4800000009</v>
      </c>
      <c r="CH362" s="633">
        <v>2159854.59</v>
      </c>
      <c r="CI362" s="633">
        <v>3563316.060000001</v>
      </c>
      <c r="CJ362" s="633">
        <v>3305610.92</v>
      </c>
      <c r="CK362" s="633">
        <v>3255686.1799999992</v>
      </c>
      <c r="CL362" s="633">
        <v>3172108.3800000018</v>
      </c>
      <c r="CM362" s="633">
        <v>3430726.5900000026</v>
      </c>
      <c r="CN362" s="633">
        <v>3636289.9099999997</v>
      </c>
      <c r="CO362" s="633">
        <v>3606558.6500000022</v>
      </c>
      <c r="CP362" s="633">
        <v>3549118.4400000018</v>
      </c>
      <c r="CQ362" s="634">
        <v>39996846</v>
      </c>
      <c r="CR362" s="633">
        <f>SUM(CE362:CP362)</f>
        <v>39996846.150000013</v>
      </c>
      <c r="CS362" s="631" t="s">
        <v>1836</v>
      </c>
      <c r="CT362" s="632" t="s">
        <v>1673</v>
      </c>
      <c r="CU362" s="633">
        <v>3470702.0100000007</v>
      </c>
      <c r="CV362" s="633">
        <v>3448347.94</v>
      </c>
      <c r="CW362" s="633">
        <v>3398526.4800000009</v>
      </c>
      <c r="CX362" s="633">
        <v>2159854.59</v>
      </c>
      <c r="CY362" s="633">
        <v>3563316.060000001</v>
      </c>
      <c r="CZ362" s="633">
        <v>3305610.92</v>
      </c>
      <c r="DA362" s="633">
        <v>3255686.1799999992</v>
      </c>
      <c r="DB362" s="633">
        <v>3172108.3800000018</v>
      </c>
      <c r="DC362" s="633">
        <v>3430726.5900000026</v>
      </c>
      <c r="DD362" s="633">
        <v>3636289.9099999997</v>
      </c>
      <c r="DE362" s="633">
        <v>3606558.6500000022</v>
      </c>
      <c r="DF362" s="633">
        <v>3549118.4400000018</v>
      </c>
      <c r="DG362" s="634">
        <v>39996846</v>
      </c>
      <c r="DH362" s="633">
        <f>SUM(CU362:DF362)</f>
        <v>39996846.150000013</v>
      </c>
      <c r="DI362" s="631" t="s">
        <v>1836</v>
      </c>
      <c r="DJ362" s="632" t="s">
        <v>1673</v>
      </c>
      <c r="DK362" s="633">
        <v>3470702.0100000007</v>
      </c>
      <c r="DL362" s="633">
        <v>3448347.94</v>
      </c>
      <c r="DM362" s="633">
        <v>3398526.4800000009</v>
      </c>
      <c r="DN362" s="633">
        <v>2159854.59</v>
      </c>
      <c r="DO362" s="633">
        <v>3563316.060000001</v>
      </c>
      <c r="DP362" s="633">
        <v>3305610.92</v>
      </c>
      <c r="DQ362" s="633">
        <v>3255686.1799999992</v>
      </c>
      <c r="DR362" s="633">
        <v>3172108.3800000018</v>
      </c>
      <c r="DS362" s="633">
        <v>3430726.5900000026</v>
      </c>
      <c r="DT362" s="633">
        <v>3636289.9099999997</v>
      </c>
      <c r="DU362" s="633">
        <v>3606558.6500000022</v>
      </c>
      <c r="DV362" s="633">
        <v>3549118.4400000018</v>
      </c>
      <c r="DW362" s="634">
        <v>39996846</v>
      </c>
      <c r="DX362" s="633">
        <f>SUM(DK362:DV362)</f>
        <v>39996846.150000013</v>
      </c>
      <c r="DY362" s="631" t="s">
        <v>1836</v>
      </c>
      <c r="DZ362" s="632" t="s">
        <v>1673</v>
      </c>
      <c r="EA362" s="633">
        <v>3470702.0100000007</v>
      </c>
      <c r="EB362" s="633">
        <v>3448347.94</v>
      </c>
      <c r="EC362" s="633">
        <v>3398526.4800000009</v>
      </c>
      <c r="ED362" s="633">
        <v>2159854.59</v>
      </c>
      <c r="EE362" s="633">
        <v>3563316.060000001</v>
      </c>
      <c r="EF362" s="633">
        <v>3305610.92</v>
      </c>
      <c r="EG362" s="633">
        <v>3255686.1799999992</v>
      </c>
      <c r="EH362" s="633">
        <v>3172108.3800000018</v>
      </c>
      <c r="EI362" s="633">
        <v>3430726.5900000026</v>
      </c>
      <c r="EJ362" s="633">
        <v>3636289.9099999997</v>
      </c>
      <c r="EK362" s="633">
        <v>3606558.6500000022</v>
      </c>
      <c r="EL362" s="633">
        <v>3549118.4400000018</v>
      </c>
      <c r="EM362" s="634">
        <v>39996846</v>
      </c>
      <c r="EN362" s="633">
        <f>SUM(EA362:EL362)</f>
        <v>39996846.150000013</v>
      </c>
      <c r="EO362" s="631" t="s">
        <v>1836</v>
      </c>
      <c r="EP362" s="632" t="s">
        <v>1673</v>
      </c>
      <c r="EQ362" s="633">
        <v>3470702.0100000007</v>
      </c>
      <c r="ER362" s="633">
        <v>3448347.94</v>
      </c>
      <c r="ES362" s="633">
        <v>3398526.4800000009</v>
      </c>
      <c r="ET362" s="633">
        <v>2159854.59</v>
      </c>
      <c r="EU362" s="633">
        <v>3563316.060000001</v>
      </c>
      <c r="EV362" s="633">
        <v>3305610.92</v>
      </c>
      <c r="EW362" s="633">
        <v>3255686.1799999992</v>
      </c>
      <c r="EX362" s="633">
        <v>3172108.3800000018</v>
      </c>
      <c r="EY362" s="633">
        <v>3430726.5900000026</v>
      </c>
      <c r="EZ362" s="633">
        <v>3636289.9099999997</v>
      </c>
      <c r="FA362" s="633">
        <v>3606558.6500000022</v>
      </c>
      <c r="FB362" s="633">
        <v>3549118.4400000018</v>
      </c>
      <c r="FC362" s="634">
        <v>39996846</v>
      </c>
      <c r="FD362" s="633">
        <f>SUM(EQ362:FB362)</f>
        <v>39996846.150000013</v>
      </c>
      <c r="FE362" s="631" t="s">
        <v>1836</v>
      </c>
      <c r="FF362" s="632" t="s">
        <v>1673</v>
      </c>
      <c r="FG362" s="633">
        <v>3470702.0100000007</v>
      </c>
      <c r="FH362" s="633">
        <v>3448347.94</v>
      </c>
      <c r="FI362" s="633">
        <v>3398526.4800000009</v>
      </c>
      <c r="FJ362" s="633">
        <v>2159854.59</v>
      </c>
      <c r="FK362" s="633">
        <v>3563316.060000001</v>
      </c>
      <c r="FL362" s="633">
        <v>3305610.92</v>
      </c>
      <c r="FM362" s="633">
        <v>3255686.1799999992</v>
      </c>
      <c r="FN362" s="633">
        <v>3172108.3800000018</v>
      </c>
      <c r="FO362" s="633">
        <v>3430726.5900000026</v>
      </c>
      <c r="FP362" s="633">
        <v>3636289.9099999997</v>
      </c>
      <c r="FQ362" s="633">
        <v>3606558.6500000022</v>
      </c>
      <c r="FR362" s="633">
        <v>3549118.4400000018</v>
      </c>
      <c r="FS362" s="634">
        <v>39996846</v>
      </c>
      <c r="FT362" s="633">
        <f>SUM(FG362:FR362)</f>
        <v>39996846.150000013</v>
      </c>
      <c r="FU362" s="631" t="s">
        <v>1836</v>
      </c>
      <c r="FV362" s="632" t="s">
        <v>1673</v>
      </c>
      <c r="FW362" s="633">
        <v>3470702.0100000007</v>
      </c>
      <c r="FX362" s="633">
        <v>3448347.94</v>
      </c>
      <c r="FY362" s="633">
        <v>3398526.4800000009</v>
      </c>
      <c r="FZ362" s="633">
        <v>2159854.59</v>
      </c>
      <c r="GA362" s="633">
        <v>3563316.060000001</v>
      </c>
      <c r="GB362" s="633">
        <v>3305610.92</v>
      </c>
      <c r="GC362" s="633">
        <v>3255686.1799999992</v>
      </c>
      <c r="GD362" s="633">
        <v>3172108.3800000018</v>
      </c>
      <c r="GE362" s="633">
        <v>3430726.5900000026</v>
      </c>
      <c r="GF362" s="633">
        <v>3636289.9099999997</v>
      </c>
      <c r="GG362" s="633">
        <v>3606558.6500000022</v>
      </c>
      <c r="GH362" s="633">
        <v>3549118.4400000018</v>
      </c>
      <c r="GI362" s="634">
        <v>39996846</v>
      </c>
      <c r="GJ362" s="633">
        <f>SUM(FW362:GH362)</f>
        <v>39996846.150000013</v>
      </c>
      <c r="GK362" s="631" t="s">
        <v>1836</v>
      </c>
      <c r="GL362" s="632" t="s">
        <v>1673</v>
      </c>
      <c r="GM362" s="633">
        <v>3470702.0100000007</v>
      </c>
      <c r="GN362" s="633">
        <v>3448347.94</v>
      </c>
      <c r="GO362" s="633">
        <v>3398526.4800000009</v>
      </c>
      <c r="GP362" s="633">
        <v>2159854.59</v>
      </c>
      <c r="GQ362" s="633">
        <v>3563316.060000001</v>
      </c>
      <c r="GR362" s="633">
        <v>3305610.92</v>
      </c>
      <c r="GS362" s="633">
        <v>3255686.1799999992</v>
      </c>
      <c r="GT362" s="633">
        <v>3172108.3800000018</v>
      </c>
      <c r="GU362" s="633">
        <v>3430726.5900000026</v>
      </c>
      <c r="GV362" s="633">
        <v>3636289.9099999997</v>
      </c>
      <c r="GW362" s="633">
        <v>3606558.6500000022</v>
      </c>
      <c r="GX362" s="633">
        <v>3549118.4400000018</v>
      </c>
      <c r="GY362" s="634">
        <v>39996846</v>
      </c>
      <c r="GZ362" s="633">
        <f>SUM(GM362:GX362)</f>
        <v>39996846.150000013</v>
      </c>
      <c r="HA362" s="631" t="s">
        <v>1836</v>
      </c>
      <c r="HB362" s="632" t="s">
        <v>1673</v>
      </c>
      <c r="HC362" s="633">
        <v>3470702.0100000007</v>
      </c>
      <c r="HD362" s="633">
        <v>3448347.94</v>
      </c>
      <c r="HE362" s="633">
        <v>3398526.4800000009</v>
      </c>
      <c r="HF362" s="633">
        <v>2159854.59</v>
      </c>
      <c r="HG362" s="633">
        <v>3563316.060000001</v>
      </c>
      <c r="HH362" s="633">
        <v>3305610.92</v>
      </c>
      <c r="HI362" s="633">
        <v>3255686.1799999992</v>
      </c>
      <c r="HJ362" s="633">
        <v>3172108.3800000018</v>
      </c>
      <c r="HK362" s="633">
        <v>3430726.5900000026</v>
      </c>
      <c r="HL362" s="633">
        <v>3636289.9099999997</v>
      </c>
      <c r="HM362" s="633">
        <v>3606558.6500000022</v>
      </c>
      <c r="HN362" s="633">
        <v>3549118.4400000018</v>
      </c>
      <c r="HO362" s="634">
        <v>39996846</v>
      </c>
      <c r="HP362" s="633">
        <f>SUM(HC362:HN362)</f>
        <v>39996846.150000013</v>
      </c>
      <c r="HQ362" s="631" t="s">
        <v>1836</v>
      </c>
      <c r="HR362" s="632" t="s">
        <v>1673</v>
      </c>
      <c r="HS362" s="633">
        <v>3470702.0100000007</v>
      </c>
      <c r="HT362" s="633">
        <v>3448347.94</v>
      </c>
      <c r="HU362" s="633">
        <v>3398526.4800000009</v>
      </c>
      <c r="HV362" s="633">
        <v>2159854.59</v>
      </c>
      <c r="HW362" s="633">
        <v>3563316.060000001</v>
      </c>
      <c r="HX362" s="633">
        <v>3305610.92</v>
      </c>
      <c r="HY362" s="633">
        <v>3255686.1799999992</v>
      </c>
      <c r="HZ362" s="633">
        <v>3172108.3800000018</v>
      </c>
      <c r="IA362" s="633">
        <v>3430726.5900000026</v>
      </c>
      <c r="IB362" s="633">
        <v>3636289.9099999997</v>
      </c>
      <c r="IC362" s="633">
        <v>3606558.6500000022</v>
      </c>
      <c r="ID362" s="633">
        <v>3549118.4400000018</v>
      </c>
      <c r="IE362" s="634">
        <v>39996846</v>
      </c>
      <c r="IF362" s="633">
        <f>SUM(HS362:ID362)</f>
        <v>39996846.150000013</v>
      </c>
      <c r="IG362" s="631" t="s">
        <v>1836</v>
      </c>
      <c r="IH362" s="632" t="s">
        <v>1673</v>
      </c>
      <c r="II362" s="633">
        <v>3470702.0100000007</v>
      </c>
      <c r="IJ362" s="633">
        <v>3448347.94</v>
      </c>
      <c r="IK362" s="633">
        <v>3398526.4800000009</v>
      </c>
      <c r="IL362" s="633">
        <v>2159854.59</v>
      </c>
      <c r="IM362" s="633">
        <v>3563316.060000001</v>
      </c>
      <c r="IN362" s="633">
        <v>3305610.92</v>
      </c>
      <c r="IO362" s="633">
        <v>3255686.1799999992</v>
      </c>
      <c r="IP362" s="633">
        <v>3172108.3800000018</v>
      </c>
      <c r="IQ362" s="633">
        <v>3430726.5900000026</v>
      </c>
      <c r="IR362" s="633">
        <v>3636289.9099999997</v>
      </c>
      <c r="IS362" s="633">
        <v>3606558.6500000022</v>
      </c>
      <c r="IT362" s="633">
        <v>3549118.4400000018</v>
      </c>
      <c r="IU362" s="634">
        <v>39996846</v>
      </c>
      <c r="IV362" s="633">
        <f>SUM(II362:IT362)</f>
        <v>39996846.150000013</v>
      </c>
      <c r="IW362" s="631" t="s">
        <v>1836</v>
      </c>
      <c r="IX362" s="632" t="s">
        <v>1673</v>
      </c>
      <c r="IY362" s="633">
        <v>3470702.0100000007</v>
      </c>
      <c r="IZ362" s="633">
        <v>3448347.94</v>
      </c>
      <c r="JA362" s="633">
        <v>3398526.4800000009</v>
      </c>
      <c r="JB362" s="633">
        <v>2159854.59</v>
      </c>
      <c r="JC362" s="633">
        <v>3563316.060000001</v>
      </c>
      <c r="JD362" s="633">
        <v>3305610.92</v>
      </c>
      <c r="JE362" s="633">
        <v>3255686.1799999992</v>
      </c>
      <c r="JF362" s="633">
        <v>3172108.3800000018</v>
      </c>
      <c r="JG362" s="633">
        <v>3430726.5900000026</v>
      </c>
      <c r="JH362" s="633">
        <v>3636289.9099999997</v>
      </c>
      <c r="JI362" s="633">
        <v>3606558.6500000022</v>
      </c>
      <c r="JJ362" s="633">
        <v>3549118.4400000018</v>
      </c>
      <c r="JK362" s="634">
        <v>39996846</v>
      </c>
      <c r="JL362" s="633">
        <f>SUM(IY362:JJ362)</f>
        <v>39996846.150000013</v>
      </c>
      <c r="JM362" s="631" t="s">
        <v>1836</v>
      </c>
      <c r="JN362" s="632" t="s">
        <v>1673</v>
      </c>
      <c r="JO362" s="633">
        <v>3470702.0100000007</v>
      </c>
      <c r="JP362" s="633">
        <v>3448347.94</v>
      </c>
      <c r="JQ362" s="633">
        <v>3398526.4800000009</v>
      </c>
      <c r="JR362" s="633">
        <v>2159854.59</v>
      </c>
      <c r="JS362" s="633">
        <v>3563316.060000001</v>
      </c>
      <c r="JT362" s="633">
        <v>3305610.92</v>
      </c>
      <c r="JU362" s="633">
        <v>3255686.1799999992</v>
      </c>
      <c r="JV362" s="633">
        <v>3172108.3800000018</v>
      </c>
      <c r="JW362" s="633">
        <v>3430726.5900000026</v>
      </c>
      <c r="JX362" s="633">
        <v>3636289.9099999997</v>
      </c>
      <c r="JY362" s="633">
        <v>3606558.6500000022</v>
      </c>
      <c r="JZ362" s="633">
        <v>3549118.4400000018</v>
      </c>
      <c r="KA362" s="634">
        <v>39996846</v>
      </c>
      <c r="KB362" s="633">
        <f>SUM(JO362:JZ362)</f>
        <v>39996846.150000013</v>
      </c>
      <c r="KC362" s="631" t="s">
        <v>1836</v>
      </c>
      <c r="KD362" s="632" t="s">
        <v>1673</v>
      </c>
      <c r="KE362" s="633">
        <v>3470702.0100000007</v>
      </c>
      <c r="KF362" s="633">
        <v>3448347.94</v>
      </c>
      <c r="KG362" s="633">
        <v>3398526.4800000009</v>
      </c>
      <c r="KH362" s="633">
        <v>2159854.59</v>
      </c>
      <c r="KI362" s="633">
        <v>3563316.060000001</v>
      </c>
      <c r="KJ362" s="633">
        <v>3305610.92</v>
      </c>
      <c r="KK362" s="633">
        <v>3255686.1799999992</v>
      </c>
      <c r="KL362" s="633">
        <v>3172108.3800000018</v>
      </c>
      <c r="KM362" s="633">
        <v>3430726.5900000026</v>
      </c>
      <c r="KN362" s="633">
        <v>3636289.9099999997</v>
      </c>
      <c r="KO362" s="633">
        <v>3606558.6500000022</v>
      </c>
      <c r="KP362" s="633">
        <v>3549118.4400000018</v>
      </c>
      <c r="KQ362" s="634">
        <v>39996846</v>
      </c>
      <c r="KR362" s="633">
        <f>SUM(KE362:KP362)</f>
        <v>39996846.150000013</v>
      </c>
      <c r="KS362" s="631" t="s">
        <v>1836</v>
      </c>
      <c r="KT362" s="632" t="s">
        <v>1673</v>
      </c>
      <c r="KU362" s="633">
        <v>3470702.0100000007</v>
      </c>
      <c r="KV362" s="633">
        <v>3448347.94</v>
      </c>
      <c r="KW362" s="633">
        <v>3398526.4800000009</v>
      </c>
      <c r="KX362" s="633">
        <v>2159854.59</v>
      </c>
      <c r="KY362" s="633">
        <v>3563316.060000001</v>
      </c>
      <c r="KZ362" s="633">
        <v>3305610.92</v>
      </c>
      <c r="LA362" s="633">
        <v>3255686.1799999992</v>
      </c>
      <c r="LB362" s="633">
        <v>3172108.3800000018</v>
      </c>
      <c r="LC362" s="633">
        <v>3430726.5900000026</v>
      </c>
      <c r="LD362" s="633">
        <v>3636289.9099999997</v>
      </c>
      <c r="LE362" s="633">
        <v>3606558.6500000022</v>
      </c>
      <c r="LF362" s="633">
        <v>3549118.4400000018</v>
      </c>
      <c r="LG362" s="634">
        <v>39996846</v>
      </c>
      <c r="LH362" s="633">
        <f>SUM(KU362:LF362)</f>
        <v>39996846.150000013</v>
      </c>
      <c r="LI362" s="631" t="s">
        <v>1836</v>
      </c>
      <c r="LJ362" s="632" t="s">
        <v>1673</v>
      </c>
      <c r="LK362" s="633">
        <v>3470702.0100000007</v>
      </c>
      <c r="LL362" s="633">
        <v>3448347.94</v>
      </c>
      <c r="LM362" s="633">
        <v>3398526.4800000009</v>
      </c>
      <c r="LN362" s="633">
        <v>2159854.59</v>
      </c>
      <c r="LO362" s="633">
        <v>3563316.060000001</v>
      </c>
      <c r="LP362" s="633">
        <v>3305610.92</v>
      </c>
      <c r="LQ362" s="633">
        <v>3255686.1799999992</v>
      </c>
      <c r="LR362" s="633">
        <v>3172108.3800000018</v>
      </c>
      <c r="LS362" s="633">
        <v>3430726.5900000026</v>
      </c>
      <c r="LT362" s="633">
        <v>3636289.9099999997</v>
      </c>
      <c r="LU362" s="633">
        <v>3606558.6500000022</v>
      </c>
      <c r="LV362" s="633">
        <v>3549118.4400000018</v>
      </c>
      <c r="LW362" s="634">
        <v>39996846</v>
      </c>
      <c r="LX362" s="633">
        <f>SUM(LK362:LV362)</f>
        <v>39996846.150000013</v>
      </c>
      <c r="LY362" s="631" t="s">
        <v>1836</v>
      </c>
      <c r="LZ362" s="632" t="s">
        <v>1673</v>
      </c>
      <c r="MA362" s="633">
        <v>3470702.0100000007</v>
      </c>
      <c r="MB362" s="633">
        <v>3448347.94</v>
      </c>
      <c r="MC362" s="633">
        <v>3398526.4800000009</v>
      </c>
      <c r="MD362" s="633">
        <v>2159854.59</v>
      </c>
      <c r="ME362" s="633">
        <v>3563316.060000001</v>
      </c>
      <c r="MF362" s="633">
        <v>3305610.92</v>
      </c>
      <c r="MG362" s="633">
        <v>3255686.1799999992</v>
      </c>
      <c r="MH362" s="633">
        <v>3172108.3800000018</v>
      </c>
      <c r="MI362" s="633">
        <v>3430726.5900000026</v>
      </c>
      <c r="MJ362" s="633">
        <v>3636289.9099999997</v>
      </c>
      <c r="MK362" s="633">
        <v>3606558.6500000022</v>
      </c>
      <c r="ML362" s="633">
        <v>3549118.4400000018</v>
      </c>
      <c r="MM362" s="634">
        <v>39996846</v>
      </c>
      <c r="MN362" s="633">
        <f>SUM(MA362:ML362)</f>
        <v>39996846.150000013</v>
      </c>
      <c r="MO362" s="631" t="s">
        <v>1836</v>
      </c>
      <c r="MP362" s="632" t="s">
        <v>1673</v>
      </c>
      <c r="MQ362" s="633">
        <v>3470702.0100000007</v>
      </c>
      <c r="MR362" s="633">
        <v>3448347.94</v>
      </c>
      <c r="MS362" s="633">
        <v>3398526.4800000009</v>
      </c>
      <c r="MT362" s="633">
        <v>2159854.59</v>
      </c>
      <c r="MU362" s="633">
        <v>3563316.060000001</v>
      </c>
      <c r="MV362" s="633">
        <v>3305610.92</v>
      </c>
      <c r="MW362" s="633">
        <v>3255686.1799999992</v>
      </c>
      <c r="MX362" s="633">
        <v>3172108.3800000018</v>
      </c>
      <c r="MY362" s="633">
        <v>3430726.5900000026</v>
      </c>
      <c r="MZ362" s="633">
        <v>3636289.9099999997</v>
      </c>
      <c r="NA362" s="633">
        <v>3606558.6500000022</v>
      </c>
      <c r="NB362" s="633">
        <v>3549118.4400000018</v>
      </c>
      <c r="NC362" s="634">
        <v>39996846</v>
      </c>
      <c r="ND362" s="633">
        <f>SUM(MQ362:NB362)</f>
        <v>39996846.150000013</v>
      </c>
      <c r="NE362" s="631" t="s">
        <v>1836</v>
      </c>
      <c r="NF362" s="632" t="s">
        <v>1673</v>
      </c>
      <c r="NG362" s="633">
        <v>3470702.0100000007</v>
      </c>
      <c r="NH362" s="633">
        <v>3448347.94</v>
      </c>
      <c r="NI362" s="633">
        <v>3398526.4800000009</v>
      </c>
      <c r="NJ362" s="633">
        <v>2159854.59</v>
      </c>
      <c r="NK362" s="633">
        <v>3563316.060000001</v>
      </c>
      <c r="NL362" s="633">
        <v>3305610.92</v>
      </c>
      <c r="NM362" s="633">
        <v>3255686.1799999992</v>
      </c>
      <c r="NN362" s="633">
        <v>3172108.3800000018</v>
      </c>
      <c r="NO362" s="633">
        <v>3430726.5900000026</v>
      </c>
      <c r="NP362" s="633">
        <v>3636289.9099999997</v>
      </c>
      <c r="NQ362" s="633">
        <v>3606558.6500000022</v>
      </c>
      <c r="NR362" s="633">
        <v>3549118.4400000018</v>
      </c>
      <c r="NS362" s="634">
        <v>39996846</v>
      </c>
      <c r="NT362" s="633">
        <f>SUM(NG362:NR362)</f>
        <v>39996846.150000013</v>
      </c>
      <c r="NU362" s="631" t="s">
        <v>1836</v>
      </c>
      <c r="NV362" s="632" t="s">
        <v>1673</v>
      </c>
      <c r="NW362" s="633">
        <v>3470702.0100000007</v>
      </c>
      <c r="NX362" s="633">
        <v>3448347.94</v>
      </c>
      <c r="NY362" s="633">
        <v>3398526.4800000009</v>
      </c>
      <c r="NZ362" s="633">
        <v>2159854.59</v>
      </c>
      <c r="OA362" s="633">
        <v>3563316.060000001</v>
      </c>
      <c r="OB362" s="633">
        <v>3305610.92</v>
      </c>
      <c r="OC362" s="633">
        <v>3255686.1799999992</v>
      </c>
      <c r="OD362" s="633">
        <v>3172108.3800000018</v>
      </c>
      <c r="OE362" s="633">
        <v>3430726.5900000026</v>
      </c>
      <c r="OF362" s="633">
        <v>3636289.9099999997</v>
      </c>
      <c r="OG362" s="633">
        <v>3606558.6500000022</v>
      </c>
      <c r="OH362" s="633">
        <v>3549118.4400000018</v>
      </c>
      <c r="OI362" s="634">
        <v>39996846</v>
      </c>
      <c r="OJ362" s="633">
        <f>SUM(NW362:OH362)</f>
        <v>39996846.150000013</v>
      </c>
      <c r="OK362" s="631" t="s">
        <v>1836</v>
      </c>
      <c r="OL362" s="632" t="s">
        <v>1673</v>
      </c>
      <c r="OM362" s="633">
        <v>3470702.0100000007</v>
      </c>
      <c r="ON362" s="633">
        <v>3448347.94</v>
      </c>
      <c r="OO362" s="633">
        <v>3398526.4800000009</v>
      </c>
      <c r="OP362" s="633">
        <v>2159854.59</v>
      </c>
      <c r="OQ362" s="633">
        <v>3563316.060000001</v>
      </c>
      <c r="OR362" s="633">
        <v>3305610.92</v>
      </c>
      <c r="OS362" s="633">
        <v>3255686.1799999992</v>
      </c>
      <c r="OT362" s="633">
        <v>3172108.3800000018</v>
      </c>
      <c r="OU362" s="633">
        <v>3430726.5900000026</v>
      </c>
      <c r="OV362" s="633">
        <v>3636289.9099999997</v>
      </c>
      <c r="OW362" s="633">
        <v>3606558.6500000022</v>
      </c>
      <c r="OX362" s="633">
        <v>3549118.4400000018</v>
      </c>
      <c r="OY362" s="634">
        <v>39996846</v>
      </c>
      <c r="OZ362" s="633">
        <f>SUM(OM362:OX362)</f>
        <v>39996846.150000013</v>
      </c>
      <c r="PA362" s="631" t="s">
        <v>1836</v>
      </c>
      <c r="PB362" s="632" t="s">
        <v>1673</v>
      </c>
      <c r="PC362" s="633">
        <v>3470702.0100000007</v>
      </c>
      <c r="PD362" s="633">
        <v>3448347.94</v>
      </c>
      <c r="PE362" s="633">
        <v>3398526.4800000009</v>
      </c>
      <c r="PF362" s="633">
        <v>2159854.59</v>
      </c>
      <c r="PG362" s="633">
        <v>3563316.060000001</v>
      </c>
      <c r="PH362" s="633">
        <v>3305610.92</v>
      </c>
      <c r="PI362" s="633">
        <v>3255686.1799999992</v>
      </c>
      <c r="PJ362" s="633">
        <v>3172108.3800000018</v>
      </c>
      <c r="PK362" s="633">
        <v>3430726.5900000026</v>
      </c>
      <c r="PL362" s="633">
        <v>3636289.9099999997</v>
      </c>
      <c r="PM362" s="633">
        <v>3606558.6500000022</v>
      </c>
      <c r="PN362" s="633">
        <v>3549118.4400000018</v>
      </c>
      <c r="PO362" s="634">
        <v>39996846</v>
      </c>
      <c r="PP362" s="633">
        <f>SUM(PC362:PN362)</f>
        <v>39996846.150000013</v>
      </c>
      <c r="PQ362" s="631" t="s">
        <v>1836</v>
      </c>
      <c r="PR362" s="632" t="s">
        <v>1673</v>
      </c>
      <c r="PS362" s="633">
        <v>3470702.0100000007</v>
      </c>
      <c r="PT362" s="633">
        <v>3448347.94</v>
      </c>
      <c r="PU362" s="633">
        <v>3398526.4800000009</v>
      </c>
      <c r="PV362" s="633">
        <v>2159854.59</v>
      </c>
      <c r="PW362" s="633">
        <v>3563316.060000001</v>
      </c>
      <c r="PX362" s="633">
        <v>3305610.92</v>
      </c>
      <c r="PY362" s="633">
        <v>3255686.1799999992</v>
      </c>
      <c r="PZ362" s="633">
        <v>3172108.3800000018</v>
      </c>
      <c r="QA362" s="633">
        <v>3430726.5900000026</v>
      </c>
      <c r="QB362" s="633">
        <v>3636289.9099999997</v>
      </c>
      <c r="QC362" s="633">
        <v>3606558.6500000022</v>
      </c>
      <c r="QD362" s="633">
        <v>3549118.4400000018</v>
      </c>
      <c r="QE362" s="634">
        <v>39996846</v>
      </c>
      <c r="QF362" s="633">
        <f>SUM(PS362:QD362)</f>
        <v>39996846.150000013</v>
      </c>
      <c r="QG362" s="631" t="s">
        <v>1836</v>
      </c>
      <c r="QH362" s="632" t="s">
        <v>1673</v>
      </c>
      <c r="QI362" s="633">
        <v>3470702.0100000007</v>
      </c>
      <c r="QJ362" s="633">
        <v>3448347.94</v>
      </c>
      <c r="QK362" s="633">
        <v>3398526.4800000009</v>
      </c>
      <c r="QL362" s="633">
        <v>2159854.59</v>
      </c>
      <c r="QM362" s="633">
        <v>3563316.060000001</v>
      </c>
      <c r="QN362" s="633">
        <v>3305610.92</v>
      </c>
      <c r="QO362" s="633">
        <v>3255686.1799999992</v>
      </c>
      <c r="QP362" s="633">
        <v>3172108.3800000018</v>
      </c>
      <c r="QQ362" s="633">
        <v>3430726.5900000026</v>
      </c>
      <c r="QR362" s="633">
        <v>3636289.9099999997</v>
      </c>
      <c r="QS362" s="633">
        <v>3606558.6500000022</v>
      </c>
      <c r="QT362" s="633">
        <v>3549118.4400000018</v>
      </c>
      <c r="QU362" s="634">
        <v>39996846</v>
      </c>
      <c r="QV362" s="633">
        <f>SUM(QI362:QT362)</f>
        <v>39996846.150000013</v>
      </c>
      <c r="QW362" s="631" t="s">
        <v>1836</v>
      </c>
      <c r="QX362" s="632" t="s">
        <v>1673</v>
      </c>
      <c r="QY362" s="633">
        <v>3470702.0100000007</v>
      </c>
      <c r="QZ362" s="633">
        <v>3448347.94</v>
      </c>
      <c r="RA362" s="633">
        <v>3398526.4800000009</v>
      </c>
      <c r="RB362" s="633">
        <v>2159854.59</v>
      </c>
      <c r="RC362" s="633">
        <v>3563316.060000001</v>
      </c>
      <c r="RD362" s="633">
        <v>3305610.92</v>
      </c>
      <c r="RE362" s="633">
        <v>3255686.1799999992</v>
      </c>
      <c r="RF362" s="633">
        <v>3172108.3800000018</v>
      </c>
      <c r="RG362" s="633">
        <v>3430726.5900000026</v>
      </c>
      <c r="RH362" s="633">
        <v>3636289.9099999997</v>
      </c>
      <c r="RI362" s="633">
        <v>3606558.6500000022</v>
      </c>
      <c r="RJ362" s="633">
        <v>3549118.4400000018</v>
      </c>
      <c r="RK362" s="634">
        <v>39996846</v>
      </c>
      <c r="RL362" s="633">
        <f>SUM(QY362:RJ362)</f>
        <v>39996846.150000013</v>
      </c>
      <c r="RM362" s="631" t="s">
        <v>1836</v>
      </c>
      <c r="RN362" s="632" t="s">
        <v>1673</v>
      </c>
      <c r="RO362" s="633">
        <v>3470702.0100000007</v>
      </c>
      <c r="RP362" s="633">
        <v>3448347.94</v>
      </c>
      <c r="RQ362" s="633">
        <v>3398526.4800000009</v>
      </c>
      <c r="RR362" s="633">
        <v>2159854.59</v>
      </c>
      <c r="RS362" s="633">
        <v>3563316.060000001</v>
      </c>
      <c r="RT362" s="633">
        <v>3305610.92</v>
      </c>
      <c r="RU362" s="633">
        <v>3255686.1799999992</v>
      </c>
      <c r="RV362" s="633">
        <v>3172108.3800000018</v>
      </c>
      <c r="RW362" s="633">
        <v>3430726.5900000026</v>
      </c>
      <c r="RX362" s="633">
        <v>3636289.9099999997</v>
      </c>
      <c r="RY362" s="633">
        <v>3606558.6500000022</v>
      </c>
      <c r="RZ362" s="633">
        <v>3549118.4400000018</v>
      </c>
      <c r="SA362" s="634">
        <v>39996846</v>
      </c>
      <c r="SB362" s="633">
        <f>SUM(RO362:RZ362)</f>
        <v>39996846.150000013</v>
      </c>
      <c r="SC362" s="631" t="s">
        <v>1836</v>
      </c>
      <c r="SD362" s="632" t="s">
        <v>1673</v>
      </c>
      <c r="SE362" s="633">
        <v>3470702.0100000007</v>
      </c>
      <c r="SF362" s="633">
        <v>3448347.94</v>
      </c>
      <c r="SG362" s="633">
        <v>3398526.4800000009</v>
      </c>
      <c r="SH362" s="633">
        <v>2159854.59</v>
      </c>
      <c r="SI362" s="633">
        <v>3563316.060000001</v>
      </c>
      <c r="SJ362" s="633">
        <v>3305610.92</v>
      </c>
      <c r="SK362" s="633">
        <v>3255686.1799999992</v>
      </c>
      <c r="SL362" s="633">
        <v>3172108.3800000018</v>
      </c>
      <c r="SM362" s="633">
        <v>3430726.5900000026</v>
      </c>
      <c r="SN362" s="633">
        <v>3636289.9099999997</v>
      </c>
      <c r="SO362" s="633">
        <v>3606558.6500000022</v>
      </c>
      <c r="SP362" s="633">
        <v>3549118.4400000018</v>
      </c>
      <c r="SQ362" s="634">
        <v>39996846</v>
      </c>
      <c r="SR362" s="633">
        <f>SUM(SE362:SP362)</f>
        <v>39996846.150000013</v>
      </c>
      <c r="SS362" s="631" t="s">
        <v>1836</v>
      </c>
      <c r="ST362" s="632" t="s">
        <v>1673</v>
      </c>
      <c r="SU362" s="633">
        <v>3470702.0100000007</v>
      </c>
      <c r="SV362" s="633">
        <v>3448347.94</v>
      </c>
      <c r="SW362" s="633">
        <v>3398526.4800000009</v>
      </c>
      <c r="SX362" s="633">
        <v>2159854.59</v>
      </c>
      <c r="SY362" s="633">
        <v>3563316.060000001</v>
      </c>
      <c r="SZ362" s="633">
        <v>3305610.92</v>
      </c>
      <c r="TA362" s="633">
        <v>3255686.1799999992</v>
      </c>
      <c r="TB362" s="633">
        <v>3172108.3800000018</v>
      </c>
      <c r="TC362" s="633">
        <v>3430726.5900000026</v>
      </c>
      <c r="TD362" s="633">
        <v>3636289.9099999997</v>
      </c>
      <c r="TE362" s="633">
        <v>3606558.6500000022</v>
      </c>
      <c r="TF362" s="633">
        <v>3549118.4400000018</v>
      </c>
      <c r="TG362" s="634">
        <v>39996846</v>
      </c>
      <c r="TH362" s="633">
        <f>SUM(SU362:TF362)</f>
        <v>39996846.150000013</v>
      </c>
      <c r="TI362" s="631" t="s">
        <v>1836</v>
      </c>
      <c r="TJ362" s="632" t="s">
        <v>1673</v>
      </c>
      <c r="TK362" s="633">
        <v>3470702.0100000007</v>
      </c>
      <c r="TL362" s="633">
        <v>3448347.94</v>
      </c>
      <c r="TM362" s="633">
        <v>3398526.4800000009</v>
      </c>
      <c r="TN362" s="633">
        <v>2159854.59</v>
      </c>
      <c r="TO362" s="633">
        <v>3563316.060000001</v>
      </c>
      <c r="TP362" s="633">
        <v>3305610.92</v>
      </c>
      <c r="TQ362" s="633">
        <v>3255686.1799999992</v>
      </c>
      <c r="TR362" s="633">
        <v>3172108.3800000018</v>
      </c>
      <c r="TS362" s="633">
        <v>3430726.5900000026</v>
      </c>
      <c r="TT362" s="633">
        <v>3636289.9099999997</v>
      </c>
      <c r="TU362" s="633">
        <v>3606558.6500000022</v>
      </c>
      <c r="TV362" s="633">
        <v>3549118.4400000018</v>
      </c>
      <c r="TW362" s="634">
        <v>39996846</v>
      </c>
      <c r="TX362" s="633">
        <f>SUM(TK362:TV362)</f>
        <v>39996846.150000013</v>
      </c>
      <c r="TY362" s="631" t="s">
        <v>1836</v>
      </c>
      <c r="TZ362" s="632" t="s">
        <v>1673</v>
      </c>
      <c r="UA362" s="633">
        <v>3470702.0100000007</v>
      </c>
      <c r="UB362" s="633">
        <v>3448347.94</v>
      </c>
      <c r="UC362" s="633">
        <v>3398526.4800000009</v>
      </c>
      <c r="UD362" s="633">
        <v>2159854.59</v>
      </c>
      <c r="UE362" s="633">
        <v>3563316.060000001</v>
      </c>
      <c r="UF362" s="633">
        <v>3305610.92</v>
      </c>
      <c r="UG362" s="633">
        <v>3255686.1799999992</v>
      </c>
      <c r="UH362" s="633">
        <v>3172108.3800000018</v>
      </c>
      <c r="UI362" s="633">
        <v>3430726.5900000026</v>
      </c>
      <c r="UJ362" s="633">
        <v>3636289.9099999997</v>
      </c>
      <c r="UK362" s="633">
        <v>3606558.6500000022</v>
      </c>
      <c r="UL362" s="633">
        <v>3549118.4400000018</v>
      </c>
      <c r="UM362" s="634">
        <v>39996846</v>
      </c>
      <c r="UN362" s="633">
        <f>SUM(UA362:UL362)</f>
        <v>39996846.150000013</v>
      </c>
      <c r="UO362" s="631" t="s">
        <v>1836</v>
      </c>
      <c r="UP362" s="632" t="s">
        <v>1673</v>
      </c>
      <c r="UQ362" s="633">
        <v>3470702.0100000007</v>
      </c>
      <c r="UR362" s="633">
        <v>3448347.94</v>
      </c>
      <c r="US362" s="633">
        <v>3398526.4800000009</v>
      </c>
      <c r="UT362" s="633">
        <v>2159854.59</v>
      </c>
      <c r="UU362" s="633">
        <v>3563316.060000001</v>
      </c>
      <c r="UV362" s="633">
        <v>3305610.92</v>
      </c>
      <c r="UW362" s="633">
        <v>3255686.1799999992</v>
      </c>
      <c r="UX362" s="633">
        <v>3172108.3800000018</v>
      </c>
      <c r="UY362" s="633">
        <v>3430726.5900000026</v>
      </c>
      <c r="UZ362" s="633">
        <v>3636289.9099999997</v>
      </c>
      <c r="VA362" s="633">
        <v>3606558.6500000022</v>
      </c>
      <c r="VB362" s="633">
        <v>3549118.4400000018</v>
      </c>
      <c r="VC362" s="634">
        <v>39996846</v>
      </c>
      <c r="VD362" s="633">
        <f>SUM(UQ362:VB362)</f>
        <v>39996846.150000013</v>
      </c>
      <c r="VE362" s="631" t="s">
        <v>1836</v>
      </c>
      <c r="VF362" s="632" t="s">
        <v>1673</v>
      </c>
      <c r="VG362" s="633">
        <v>3470702.0100000007</v>
      </c>
      <c r="VH362" s="633">
        <v>3448347.94</v>
      </c>
      <c r="VI362" s="633">
        <v>3398526.4800000009</v>
      </c>
      <c r="VJ362" s="633">
        <v>2159854.59</v>
      </c>
      <c r="VK362" s="633">
        <v>3563316.060000001</v>
      </c>
      <c r="VL362" s="633">
        <v>3305610.92</v>
      </c>
      <c r="VM362" s="633">
        <v>3255686.1799999992</v>
      </c>
      <c r="VN362" s="633">
        <v>3172108.3800000018</v>
      </c>
      <c r="VO362" s="633">
        <v>3430726.5900000026</v>
      </c>
      <c r="VP362" s="633">
        <v>3636289.9099999997</v>
      </c>
      <c r="VQ362" s="633">
        <v>3606558.6500000022</v>
      </c>
      <c r="VR362" s="633">
        <v>3549118.4400000018</v>
      </c>
      <c r="VS362" s="634">
        <v>39996846</v>
      </c>
      <c r="VT362" s="633">
        <f>SUM(VG362:VR362)</f>
        <v>39996846.150000013</v>
      </c>
      <c r="VU362" s="631" t="s">
        <v>1836</v>
      </c>
      <c r="VV362" s="632" t="s">
        <v>1673</v>
      </c>
      <c r="VW362" s="633">
        <v>3470702.0100000007</v>
      </c>
      <c r="VX362" s="633">
        <v>3448347.94</v>
      </c>
      <c r="VY362" s="633">
        <v>3398526.4800000009</v>
      </c>
      <c r="VZ362" s="633">
        <v>2159854.59</v>
      </c>
      <c r="WA362" s="633">
        <v>3563316.060000001</v>
      </c>
      <c r="WB362" s="633">
        <v>3305610.92</v>
      </c>
      <c r="WC362" s="633">
        <v>3255686.1799999992</v>
      </c>
      <c r="WD362" s="633">
        <v>3172108.3800000018</v>
      </c>
      <c r="WE362" s="633">
        <v>3430726.5900000026</v>
      </c>
      <c r="WF362" s="633">
        <v>3636289.9099999997</v>
      </c>
      <c r="WG362" s="633">
        <v>3606558.6500000022</v>
      </c>
      <c r="WH362" s="633">
        <v>3549118.4400000018</v>
      </c>
      <c r="WI362" s="634">
        <v>39996846</v>
      </c>
      <c r="WJ362" s="633">
        <f>SUM(VW362:WH362)</f>
        <v>39996846.150000013</v>
      </c>
      <c r="WK362" s="631" t="s">
        <v>1836</v>
      </c>
      <c r="WL362" s="632" t="s">
        <v>1673</v>
      </c>
      <c r="WM362" s="633">
        <v>3470702.0100000007</v>
      </c>
      <c r="WN362" s="633">
        <v>3448347.94</v>
      </c>
      <c r="WO362" s="633">
        <v>3398526.4800000009</v>
      </c>
      <c r="WP362" s="633">
        <v>2159854.59</v>
      </c>
      <c r="WQ362" s="633">
        <v>3563316.060000001</v>
      </c>
      <c r="WR362" s="633">
        <v>3305610.92</v>
      </c>
      <c r="WS362" s="633">
        <v>3255686.1799999992</v>
      </c>
      <c r="WT362" s="633">
        <v>3172108.3800000018</v>
      </c>
      <c r="WU362" s="633">
        <v>3430726.5900000026</v>
      </c>
      <c r="WV362" s="633">
        <v>3636289.9099999997</v>
      </c>
      <c r="WW362" s="633">
        <v>3606558.6500000022</v>
      </c>
      <c r="WX362" s="633">
        <v>3549118.4400000018</v>
      </c>
      <c r="WY362" s="634">
        <v>39996846</v>
      </c>
      <c r="WZ362" s="633">
        <f>SUM(WM362:WX362)</f>
        <v>39996846.150000013</v>
      </c>
      <c r="XA362" s="631" t="s">
        <v>1836</v>
      </c>
      <c r="XB362" s="632" t="s">
        <v>1673</v>
      </c>
      <c r="XC362" s="633">
        <v>3470702.0100000007</v>
      </c>
      <c r="XD362" s="633">
        <v>3448347.94</v>
      </c>
      <c r="XE362" s="633">
        <v>3398526.4800000009</v>
      </c>
      <c r="XF362" s="633">
        <v>2159854.59</v>
      </c>
      <c r="XG362" s="633">
        <v>3563316.060000001</v>
      </c>
      <c r="XH362" s="633">
        <v>3305610.92</v>
      </c>
      <c r="XI362" s="633">
        <v>3255686.1799999992</v>
      </c>
      <c r="XJ362" s="633">
        <v>3172108.3800000018</v>
      </c>
      <c r="XK362" s="633">
        <v>3430726.5900000026</v>
      </c>
      <c r="XL362" s="633">
        <v>3636289.9099999997</v>
      </c>
      <c r="XM362" s="633">
        <v>3606558.6500000022</v>
      </c>
      <c r="XN362" s="633">
        <v>3549118.4400000018</v>
      </c>
      <c r="XO362" s="634">
        <v>39996846</v>
      </c>
      <c r="XP362" s="633">
        <f>SUM(XC362:XN362)</f>
        <v>39996846.150000013</v>
      </c>
      <c r="XQ362" s="631" t="s">
        <v>1836</v>
      </c>
      <c r="XR362" s="632" t="s">
        <v>1673</v>
      </c>
      <c r="XS362" s="633">
        <v>3470702.0100000007</v>
      </c>
      <c r="XT362" s="633">
        <v>3448347.94</v>
      </c>
      <c r="XU362" s="633">
        <v>3398526.4800000009</v>
      </c>
      <c r="XV362" s="633">
        <v>2159854.59</v>
      </c>
      <c r="XW362" s="633">
        <v>3563316.060000001</v>
      </c>
      <c r="XX362" s="633">
        <v>3305610.92</v>
      </c>
      <c r="XY362" s="633">
        <v>3255686.1799999992</v>
      </c>
      <c r="XZ362" s="633">
        <v>3172108.3800000018</v>
      </c>
      <c r="YA362" s="633">
        <v>3430726.5900000026</v>
      </c>
      <c r="YB362" s="633">
        <v>3636289.9099999997</v>
      </c>
      <c r="YC362" s="633">
        <v>3606558.6500000022</v>
      </c>
      <c r="YD362" s="633">
        <v>3549118.4400000018</v>
      </c>
      <c r="YE362" s="634">
        <v>39996846</v>
      </c>
      <c r="YF362" s="633">
        <f>SUM(XS362:YD362)</f>
        <v>39996846.150000013</v>
      </c>
      <c r="YG362" s="631" t="s">
        <v>1836</v>
      </c>
      <c r="YH362" s="632" t="s">
        <v>1673</v>
      </c>
      <c r="YI362" s="633">
        <v>3470702.0100000007</v>
      </c>
      <c r="YJ362" s="633">
        <v>3448347.94</v>
      </c>
      <c r="YK362" s="633">
        <v>3398526.4800000009</v>
      </c>
      <c r="YL362" s="633">
        <v>2159854.59</v>
      </c>
      <c r="YM362" s="633">
        <v>3563316.060000001</v>
      </c>
      <c r="YN362" s="633">
        <v>3305610.92</v>
      </c>
      <c r="YO362" s="633">
        <v>3255686.1799999992</v>
      </c>
      <c r="YP362" s="633">
        <v>3172108.3800000018</v>
      </c>
      <c r="YQ362" s="633">
        <v>3430726.5900000026</v>
      </c>
      <c r="YR362" s="633">
        <v>3636289.9099999997</v>
      </c>
      <c r="YS362" s="633">
        <v>3606558.6500000022</v>
      </c>
      <c r="YT362" s="633">
        <v>3549118.4400000018</v>
      </c>
      <c r="YU362" s="634">
        <v>39996846</v>
      </c>
      <c r="YV362" s="633">
        <f>SUM(YI362:YT362)</f>
        <v>39996846.150000013</v>
      </c>
      <c r="YW362" s="631" t="s">
        <v>1836</v>
      </c>
      <c r="YX362" s="632" t="s">
        <v>1673</v>
      </c>
      <c r="YY362" s="633">
        <v>3470702.0100000007</v>
      </c>
      <c r="YZ362" s="633">
        <v>3448347.94</v>
      </c>
      <c r="ZA362" s="633">
        <v>3398526.4800000009</v>
      </c>
      <c r="ZB362" s="633">
        <v>2159854.59</v>
      </c>
      <c r="ZC362" s="633">
        <v>3563316.060000001</v>
      </c>
      <c r="ZD362" s="633">
        <v>3305610.92</v>
      </c>
      <c r="ZE362" s="633">
        <v>3255686.1799999992</v>
      </c>
      <c r="ZF362" s="633">
        <v>3172108.3800000018</v>
      </c>
      <c r="ZG362" s="633">
        <v>3430726.5900000026</v>
      </c>
      <c r="ZH362" s="633">
        <v>3636289.9099999997</v>
      </c>
      <c r="ZI362" s="633">
        <v>3606558.6500000022</v>
      </c>
      <c r="ZJ362" s="633">
        <v>3549118.4400000018</v>
      </c>
      <c r="ZK362" s="634">
        <v>39996846</v>
      </c>
      <c r="ZL362" s="633">
        <f>SUM(YY362:ZJ362)</f>
        <v>39996846.150000013</v>
      </c>
      <c r="ZM362" s="631" t="s">
        <v>1836</v>
      </c>
      <c r="ZN362" s="632" t="s">
        <v>1673</v>
      </c>
      <c r="ZO362" s="633">
        <v>3470702.0100000007</v>
      </c>
      <c r="ZP362" s="633">
        <v>3448347.94</v>
      </c>
      <c r="ZQ362" s="633">
        <v>3398526.4800000009</v>
      </c>
      <c r="ZR362" s="633">
        <v>2159854.59</v>
      </c>
      <c r="ZS362" s="633">
        <v>3563316.060000001</v>
      </c>
      <c r="ZT362" s="633">
        <v>3305610.92</v>
      </c>
      <c r="ZU362" s="633">
        <v>3255686.1799999992</v>
      </c>
      <c r="ZV362" s="633">
        <v>3172108.3800000018</v>
      </c>
      <c r="ZW362" s="633">
        <v>3430726.5900000026</v>
      </c>
      <c r="ZX362" s="633">
        <v>3636289.9099999997</v>
      </c>
      <c r="ZY362" s="633">
        <v>3606558.6500000022</v>
      </c>
      <c r="ZZ362" s="633">
        <v>3549118.4400000018</v>
      </c>
      <c r="AAA362" s="634">
        <v>39996846</v>
      </c>
      <c r="AAB362" s="633">
        <f>SUM(ZO362:ZZ362)</f>
        <v>39996846.150000013</v>
      </c>
      <c r="AAC362" s="631" t="s">
        <v>1836</v>
      </c>
      <c r="AAD362" s="632" t="s">
        <v>1673</v>
      </c>
      <c r="AAE362" s="633">
        <v>3470702.0100000007</v>
      </c>
      <c r="AAF362" s="633">
        <v>3448347.94</v>
      </c>
      <c r="AAG362" s="633">
        <v>3398526.4800000009</v>
      </c>
      <c r="AAH362" s="633">
        <v>2159854.59</v>
      </c>
      <c r="AAI362" s="633">
        <v>3563316.060000001</v>
      </c>
      <c r="AAJ362" s="633">
        <v>3305610.92</v>
      </c>
      <c r="AAK362" s="633">
        <v>3255686.1799999992</v>
      </c>
      <c r="AAL362" s="633">
        <v>3172108.3800000018</v>
      </c>
      <c r="AAM362" s="633">
        <v>3430726.5900000026</v>
      </c>
      <c r="AAN362" s="633">
        <v>3636289.9099999997</v>
      </c>
      <c r="AAO362" s="633">
        <v>3606558.6500000022</v>
      </c>
      <c r="AAP362" s="633">
        <v>3549118.4400000018</v>
      </c>
      <c r="AAQ362" s="634">
        <v>39996846</v>
      </c>
      <c r="AAR362" s="633">
        <f>SUM(AAE362:AAP362)</f>
        <v>39996846.150000013</v>
      </c>
      <c r="AAS362" s="631" t="s">
        <v>1836</v>
      </c>
      <c r="AAT362" s="632" t="s">
        <v>1673</v>
      </c>
      <c r="AAU362" s="633">
        <v>3470702.0100000007</v>
      </c>
      <c r="AAV362" s="633">
        <v>3448347.94</v>
      </c>
      <c r="AAW362" s="633">
        <v>3398526.4800000009</v>
      </c>
      <c r="AAX362" s="633">
        <v>2159854.59</v>
      </c>
      <c r="AAY362" s="633">
        <v>3563316.060000001</v>
      </c>
      <c r="AAZ362" s="633">
        <v>3305610.92</v>
      </c>
      <c r="ABA362" s="633">
        <v>3255686.1799999992</v>
      </c>
      <c r="ABB362" s="633">
        <v>3172108.3800000018</v>
      </c>
      <c r="ABC362" s="633">
        <v>3430726.5900000026</v>
      </c>
      <c r="ABD362" s="633">
        <v>3636289.9099999997</v>
      </c>
      <c r="ABE362" s="633">
        <v>3606558.6500000022</v>
      </c>
      <c r="ABF362" s="633">
        <v>3549118.4400000018</v>
      </c>
      <c r="ABG362" s="634">
        <v>39996846</v>
      </c>
      <c r="ABH362" s="633">
        <f>SUM(AAU362:ABF362)</f>
        <v>39996846.150000013</v>
      </c>
      <c r="ABI362" s="631" t="s">
        <v>1836</v>
      </c>
      <c r="ABJ362" s="632" t="s">
        <v>1673</v>
      </c>
      <c r="ABK362" s="633">
        <v>3470702.0100000007</v>
      </c>
      <c r="ABL362" s="633">
        <v>3448347.94</v>
      </c>
      <c r="ABM362" s="633">
        <v>3398526.4800000009</v>
      </c>
      <c r="ABN362" s="633">
        <v>2159854.59</v>
      </c>
      <c r="ABO362" s="633">
        <v>3563316.060000001</v>
      </c>
      <c r="ABP362" s="633">
        <v>3305610.92</v>
      </c>
      <c r="ABQ362" s="633">
        <v>3255686.1799999992</v>
      </c>
      <c r="ABR362" s="633">
        <v>3172108.3800000018</v>
      </c>
      <c r="ABS362" s="633">
        <v>3430726.5900000026</v>
      </c>
      <c r="ABT362" s="633">
        <v>3636289.9099999997</v>
      </c>
      <c r="ABU362" s="633">
        <v>3606558.6500000022</v>
      </c>
      <c r="ABV362" s="633">
        <v>3549118.4400000018</v>
      </c>
      <c r="ABW362" s="634">
        <v>39996846</v>
      </c>
      <c r="ABX362" s="633">
        <f>SUM(ABK362:ABV362)</f>
        <v>39996846.150000013</v>
      </c>
      <c r="ABY362" s="631" t="s">
        <v>1836</v>
      </c>
      <c r="ABZ362" s="632" t="s">
        <v>1673</v>
      </c>
      <c r="ACA362" s="633">
        <v>3470702.0100000007</v>
      </c>
      <c r="ACB362" s="633">
        <v>3448347.94</v>
      </c>
      <c r="ACC362" s="633">
        <v>3398526.4800000009</v>
      </c>
      <c r="ACD362" s="633">
        <v>2159854.59</v>
      </c>
      <c r="ACE362" s="633">
        <v>3563316.060000001</v>
      </c>
      <c r="ACF362" s="633">
        <v>3305610.92</v>
      </c>
      <c r="ACG362" s="633">
        <v>3255686.1799999992</v>
      </c>
      <c r="ACH362" s="633">
        <v>3172108.3800000018</v>
      </c>
      <c r="ACI362" s="633">
        <v>3430726.5900000026</v>
      </c>
      <c r="ACJ362" s="633">
        <v>3636289.9099999997</v>
      </c>
      <c r="ACK362" s="633">
        <v>3606558.6500000022</v>
      </c>
      <c r="ACL362" s="633">
        <v>3549118.4400000018</v>
      </c>
      <c r="ACM362" s="634">
        <v>39996846</v>
      </c>
      <c r="ACN362" s="633">
        <f>SUM(ACA362:ACL362)</f>
        <v>39996846.150000013</v>
      </c>
      <c r="ACO362" s="631" t="s">
        <v>1836</v>
      </c>
      <c r="ACP362" s="632" t="s">
        <v>1673</v>
      </c>
      <c r="ACQ362" s="633">
        <v>3470702.0100000007</v>
      </c>
      <c r="ACR362" s="633">
        <v>3448347.94</v>
      </c>
      <c r="ACS362" s="633">
        <v>3398526.4800000009</v>
      </c>
      <c r="ACT362" s="633">
        <v>2159854.59</v>
      </c>
      <c r="ACU362" s="633">
        <v>3563316.060000001</v>
      </c>
      <c r="ACV362" s="633">
        <v>3305610.92</v>
      </c>
      <c r="ACW362" s="633">
        <v>3255686.1799999992</v>
      </c>
      <c r="ACX362" s="633">
        <v>3172108.3800000018</v>
      </c>
      <c r="ACY362" s="633">
        <v>3430726.5900000026</v>
      </c>
      <c r="ACZ362" s="633">
        <v>3636289.9099999997</v>
      </c>
      <c r="ADA362" s="633">
        <v>3606558.6500000022</v>
      </c>
      <c r="ADB362" s="633">
        <v>3549118.4400000018</v>
      </c>
      <c r="ADC362" s="634">
        <v>39996846</v>
      </c>
      <c r="ADD362" s="633">
        <f>SUM(ACQ362:ADB362)</f>
        <v>39996846.150000013</v>
      </c>
      <c r="ADE362" s="631" t="s">
        <v>1836</v>
      </c>
      <c r="ADF362" s="632" t="s">
        <v>1673</v>
      </c>
      <c r="ADG362" s="633">
        <v>3470702.0100000007</v>
      </c>
      <c r="ADH362" s="633">
        <v>3448347.94</v>
      </c>
      <c r="ADI362" s="633">
        <v>3398526.4800000009</v>
      </c>
      <c r="ADJ362" s="633">
        <v>2159854.59</v>
      </c>
      <c r="ADK362" s="633">
        <v>3563316.060000001</v>
      </c>
      <c r="ADL362" s="633">
        <v>3305610.92</v>
      </c>
      <c r="ADM362" s="633">
        <v>3255686.1799999992</v>
      </c>
      <c r="ADN362" s="633">
        <v>3172108.3800000018</v>
      </c>
      <c r="ADO362" s="633">
        <v>3430726.5900000026</v>
      </c>
      <c r="ADP362" s="633">
        <v>3636289.9099999997</v>
      </c>
      <c r="ADQ362" s="633">
        <v>3606558.6500000022</v>
      </c>
      <c r="ADR362" s="633">
        <v>3549118.4400000018</v>
      </c>
      <c r="ADS362" s="634">
        <v>39996846</v>
      </c>
      <c r="ADT362" s="633">
        <f>SUM(ADG362:ADR362)</f>
        <v>39996846.150000013</v>
      </c>
      <c r="ADU362" s="631" t="s">
        <v>1836</v>
      </c>
      <c r="ADV362" s="632" t="s">
        <v>1673</v>
      </c>
      <c r="ADW362" s="633">
        <v>3470702.0100000007</v>
      </c>
      <c r="ADX362" s="633">
        <v>3448347.94</v>
      </c>
      <c r="ADY362" s="633">
        <v>3398526.4800000009</v>
      </c>
      <c r="ADZ362" s="633">
        <v>2159854.59</v>
      </c>
      <c r="AEA362" s="633">
        <v>3563316.060000001</v>
      </c>
      <c r="AEB362" s="633">
        <v>3305610.92</v>
      </c>
      <c r="AEC362" s="633">
        <v>3255686.1799999992</v>
      </c>
      <c r="AED362" s="633">
        <v>3172108.3800000018</v>
      </c>
      <c r="AEE362" s="633">
        <v>3430726.5900000026</v>
      </c>
      <c r="AEF362" s="633">
        <v>3636289.9099999997</v>
      </c>
      <c r="AEG362" s="633">
        <v>3606558.6500000022</v>
      </c>
      <c r="AEH362" s="633">
        <v>3549118.4400000018</v>
      </c>
      <c r="AEI362" s="634">
        <v>39996846</v>
      </c>
      <c r="AEJ362" s="633">
        <f>SUM(ADW362:AEH362)</f>
        <v>39996846.150000013</v>
      </c>
      <c r="AEK362" s="631" t="s">
        <v>1836</v>
      </c>
      <c r="AEL362" s="632" t="s">
        <v>1673</v>
      </c>
      <c r="AEM362" s="633">
        <v>3470702.0100000007</v>
      </c>
      <c r="AEN362" s="633">
        <v>3448347.94</v>
      </c>
      <c r="AEO362" s="633">
        <v>3398526.4800000009</v>
      </c>
      <c r="AEP362" s="633">
        <v>2159854.59</v>
      </c>
      <c r="AEQ362" s="633">
        <v>3563316.060000001</v>
      </c>
      <c r="AER362" s="633">
        <v>3305610.92</v>
      </c>
      <c r="AES362" s="633">
        <v>3255686.1799999992</v>
      </c>
      <c r="AET362" s="633">
        <v>3172108.3800000018</v>
      </c>
      <c r="AEU362" s="633">
        <v>3430726.5900000026</v>
      </c>
      <c r="AEV362" s="633">
        <v>3636289.9099999997</v>
      </c>
      <c r="AEW362" s="633">
        <v>3606558.6500000022</v>
      </c>
      <c r="AEX362" s="633">
        <v>3549118.4400000018</v>
      </c>
      <c r="AEY362" s="634">
        <v>39996846</v>
      </c>
      <c r="AEZ362" s="633">
        <f>SUM(AEM362:AEX362)</f>
        <v>39996846.150000013</v>
      </c>
      <c r="AFA362" s="631" t="s">
        <v>1836</v>
      </c>
      <c r="AFB362" s="632" t="s">
        <v>1673</v>
      </c>
      <c r="AFC362" s="633">
        <v>3470702.0100000007</v>
      </c>
      <c r="AFD362" s="633">
        <v>3448347.94</v>
      </c>
      <c r="AFE362" s="633">
        <v>3398526.4800000009</v>
      </c>
      <c r="AFF362" s="633">
        <v>2159854.59</v>
      </c>
      <c r="AFG362" s="633">
        <v>3563316.060000001</v>
      </c>
      <c r="AFH362" s="633">
        <v>3305610.92</v>
      </c>
      <c r="AFI362" s="633">
        <v>3255686.1799999992</v>
      </c>
      <c r="AFJ362" s="633">
        <v>3172108.3800000018</v>
      </c>
      <c r="AFK362" s="633">
        <v>3430726.5900000026</v>
      </c>
      <c r="AFL362" s="633">
        <v>3636289.9099999997</v>
      </c>
      <c r="AFM362" s="633">
        <v>3606558.6500000022</v>
      </c>
      <c r="AFN362" s="633">
        <v>3549118.4400000018</v>
      </c>
      <c r="AFO362" s="634">
        <v>39996846</v>
      </c>
      <c r="AFP362" s="633">
        <f>SUM(AFC362:AFN362)</f>
        <v>39996846.150000013</v>
      </c>
      <c r="AFQ362" s="631" t="s">
        <v>1836</v>
      </c>
      <c r="AFR362" s="632" t="s">
        <v>1673</v>
      </c>
      <c r="AFS362" s="633">
        <v>3470702.0100000007</v>
      </c>
      <c r="AFT362" s="633">
        <v>3448347.94</v>
      </c>
      <c r="AFU362" s="633">
        <v>3398526.4800000009</v>
      </c>
      <c r="AFV362" s="633">
        <v>2159854.59</v>
      </c>
      <c r="AFW362" s="633">
        <v>3563316.060000001</v>
      </c>
      <c r="AFX362" s="633">
        <v>3305610.92</v>
      </c>
      <c r="AFY362" s="633">
        <v>3255686.1799999992</v>
      </c>
      <c r="AFZ362" s="633">
        <v>3172108.3800000018</v>
      </c>
      <c r="AGA362" s="633">
        <v>3430726.5900000026</v>
      </c>
      <c r="AGB362" s="633">
        <v>3636289.9099999997</v>
      </c>
      <c r="AGC362" s="633">
        <v>3606558.6500000022</v>
      </c>
      <c r="AGD362" s="633">
        <v>3549118.4400000018</v>
      </c>
      <c r="AGE362" s="634">
        <v>39996846</v>
      </c>
      <c r="AGF362" s="633">
        <f>SUM(AFS362:AGD362)</f>
        <v>39996846.150000013</v>
      </c>
      <c r="AGG362" s="631" t="s">
        <v>1836</v>
      </c>
      <c r="AGH362" s="632" t="s">
        <v>1673</v>
      </c>
      <c r="AGI362" s="633">
        <v>3470702.0100000007</v>
      </c>
      <c r="AGJ362" s="633">
        <v>3448347.94</v>
      </c>
      <c r="AGK362" s="633">
        <v>3398526.4800000009</v>
      </c>
      <c r="AGL362" s="633">
        <v>2159854.59</v>
      </c>
      <c r="AGM362" s="633">
        <v>3563316.060000001</v>
      </c>
      <c r="AGN362" s="633">
        <v>3305610.92</v>
      </c>
      <c r="AGO362" s="633">
        <v>3255686.1799999992</v>
      </c>
      <c r="AGP362" s="633">
        <v>3172108.3800000018</v>
      </c>
      <c r="AGQ362" s="633">
        <v>3430726.5900000026</v>
      </c>
      <c r="AGR362" s="633">
        <v>3636289.9099999997</v>
      </c>
      <c r="AGS362" s="633">
        <v>3606558.6500000022</v>
      </c>
      <c r="AGT362" s="633">
        <v>3549118.4400000018</v>
      </c>
      <c r="AGU362" s="634">
        <v>39996846</v>
      </c>
      <c r="AGV362" s="633">
        <f>SUM(AGI362:AGT362)</f>
        <v>39996846.150000013</v>
      </c>
      <c r="AGW362" s="631" t="s">
        <v>1836</v>
      </c>
      <c r="AGX362" s="632" t="s">
        <v>1673</v>
      </c>
      <c r="AGY362" s="633">
        <v>3470702.0100000007</v>
      </c>
      <c r="AGZ362" s="633">
        <v>3448347.94</v>
      </c>
      <c r="AHA362" s="633">
        <v>3398526.4800000009</v>
      </c>
      <c r="AHB362" s="633">
        <v>2159854.59</v>
      </c>
      <c r="AHC362" s="633">
        <v>3563316.060000001</v>
      </c>
      <c r="AHD362" s="633">
        <v>3305610.92</v>
      </c>
      <c r="AHE362" s="633">
        <v>3255686.1799999992</v>
      </c>
      <c r="AHF362" s="633">
        <v>3172108.3800000018</v>
      </c>
      <c r="AHG362" s="633">
        <v>3430726.5900000026</v>
      </c>
      <c r="AHH362" s="633">
        <v>3636289.9099999997</v>
      </c>
      <c r="AHI362" s="633">
        <v>3606558.6500000022</v>
      </c>
      <c r="AHJ362" s="633">
        <v>3549118.4400000018</v>
      </c>
      <c r="AHK362" s="634">
        <v>39996846</v>
      </c>
      <c r="AHL362" s="633">
        <f>SUM(AGY362:AHJ362)</f>
        <v>39996846.150000013</v>
      </c>
      <c r="AHM362" s="631" t="s">
        <v>1836</v>
      </c>
      <c r="AHN362" s="632" t="s">
        <v>1673</v>
      </c>
      <c r="AHO362" s="633">
        <v>3470702.0100000007</v>
      </c>
      <c r="AHP362" s="633">
        <v>3448347.94</v>
      </c>
      <c r="AHQ362" s="633">
        <v>3398526.4800000009</v>
      </c>
      <c r="AHR362" s="633">
        <v>2159854.59</v>
      </c>
      <c r="AHS362" s="633">
        <v>3563316.060000001</v>
      </c>
      <c r="AHT362" s="633">
        <v>3305610.92</v>
      </c>
      <c r="AHU362" s="633">
        <v>3255686.1799999992</v>
      </c>
      <c r="AHV362" s="633">
        <v>3172108.3800000018</v>
      </c>
      <c r="AHW362" s="633">
        <v>3430726.5900000026</v>
      </c>
      <c r="AHX362" s="633">
        <v>3636289.9099999997</v>
      </c>
      <c r="AHY362" s="633">
        <v>3606558.6500000022</v>
      </c>
      <c r="AHZ362" s="633">
        <v>3549118.4400000018</v>
      </c>
      <c r="AIA362" s="634">
        <v>39996846</v>
      </c>
      <c r="AIB362" s="633">
        <f>SUM(AHO362:AHZ362)</f>
        <v>39996846.150000013</v>
      </c>
      <c r="AIC362" s="631" t="s">
        <v>1836</v>
      </c>
      <c r="AID362" s="632" t="s">
        <v>1673</v>
      </c>
      <c r="AIE362" s="633">
        <v>3470702.0100000007</v>
      </c>
      <c r="AIF362" s="633">
        <v>3448347.94</v>
      </c>
      <c r="AIG362" s="633">
        <v>3398526.4800000009</v>
      </c>
      <c r="AIH362" s="633">
        <v>2159854.59</v>
      </c>
      <c r="AII362" s="633">
        <v>3563316.060000001</v>
      </c>
      <c r="AIJ362" s="633">
        <v>3305610.92</v>
      </c>
      <c r="AIK362" s="633">
        <v>3255686.1799999992</v>
      </c>
      <c r="AIL362" s="633">
        <v>3172108.3800000018</v>
      </c>
      <c r="AIM362" s="633">
        <v>3430726.5900000026</v>
      </c>
      <c r="AIN362" s="633">
        <v>3636289.9099999997</v>
      </c>
      <c r="AIO362" s="633">
        <v>3606558.6500000022</v>
      </c>
      <c r="AIP362" s="633">
        <v>3549118.4400000018</v>
      </c>
      <c r="AIQ362" s="634">
        <v>39996846</v>
      </c>
      <c r="AIR362" s="633">
        <f>SUM(AIE362:AIP362)</f>
        <v>39996846.150000013</v>
      </c>
      <c r="AIS362" s="631" t="s">
        <v>1836</v>
      </c>
      <c r="AIT362" s="632" t="s">
        <v>1673</v>
      </c>
      <c r="AIU362" s="633">
        <v>3470702.0100000007</v>
      </c>
      <c r="AIV362" s="633">
        <v>3448347.94</v>
      </c>
      <c r="AIW362" s="633">
        <v>3398526.4800000009</v>
      </c>
      <c r="AIX362" s="633">
        <v>2159854.59</v>
      </c>
      <c r="AIY362" s="633">
        <v>3563316.060000001</v>
      </c>
      <c r="AIZ362" s="633">
        <v>3305610.92</v>
      </c>
      <c r="AJA362" s="633">
        <v>3255686.1799999992</v>
      </c>
      <c r="AJB362" s="633">
        <v>3172108.3800000018</v>
      </c>
      <c r="AJC362" s="633">
        <v>3430726.5900000026</v>
      </c>
      <c r="AJD362" s="633">
        <v>3636289.9099999997</v>
      </c>
      <c r="AJE362" s="633">
        <v>3606558.6500000022</v>
      </c>
      <c r="AJF362" s="633">
        <v>3549118.4400000018</v>
      </c>
      <c r="AJG362" s="634">
        <v>39996846</v>
      </c>
      <c r="AJH362" s="633">
        <f>SUM(AIU362:AJF362)</f>
        <v>39996846.150000013</v>
      </c>
      <c r="AJI362" s="631" t="s">
        <v>1836</v>
      </c>
      <c r="AJJ362" s="632" t="s">
        <v>1673</v>
      </c>
      <c r="AJK362" s="633">
        <v>3470702.0100000007</v>
      </c>
      <c r="AJL362" s="633">
        <v>3448347.94</v>
      </c>
      <c r="AJM362" s="633">
        <v>3398526.4800000009</v>
      </c>
      <c r="AJN362" s="633">
        <v>2159854.59</v>
      </c>
      <c r="AJO362" s="633">
        <v>3563316.060000001</v>
      </c>
      <c r="AJP362" s="633">
        <v>3305610.92</v>
      </c>
      <c r="AJQ362" s="633">
        <v>3255686.1799999992</v>
      </c>
      <c r="AJR362" s="633">
        <v>3172108.3800000018</v>
      </c>
      <c r="AJS362" s="633">
        <v>3430726.5900000026</v>
      </c>
      <c r="AJT362" s="633">
        <v>3636289.9099999997</v>
      </c>
      <c r="AJU362" s="633">
        <v>3606558.6500000022</v>
      </c>
      <c r="AJV362" s="633">
        <v>3549118.4400000018</v>
      </c>
      <c r="AJW362" s="634">
        <v>39996846</v>
      </c>
      <c r="AJX362" s="633">
        <f>SUM(AJK362:AJV362)</f>
        <v>39996846.150000013</v>
      </c>
      <c r="AJY362" s="631" t="s">
        <v>1836</v>
      </c>
      <c r="AJZ362" s="632" t="s">
        <v>1673</v>
      </c>
      <c r="AKA362" s="633">
        <v>3470702.0100000007</v>
      </c>
      <c r="AKB362" s="633">
        <v>3448347.94</v>
      </c>
      <c r="AKC362" s="633">
        <v>3398526.4800000009</v>
      </c>
      <c r="AKD362" s="633">
        <v>2159854.59</v>
      </c>
      <c r="AKE362" s="633">
        <v>3563316.060000001</v>
      </c>
      <c r="AKF362" s="633">
        <v>3305610.92</v>
      </c>
      <c r="AKG362" s="633">
        <v>3255686.1799999992</v>
      </c>
      <c r="AKH362" s="633">
        <v>3172108.3800000018</v>
      </c>
      <c r="AKI362" s="633">
        <v>3430726.5900000026</v>
      </c>
      <c r="AKJ362" s="633">
        <v>3636289.9099999997</v>
      </c>
      <c r="AKK362" s="633">
        <v>3606558.6500000022</v>
      </c>
      <c r="AKL362" s="633">
        <v>3549118.4400000018</v>
      </c>
      <c r="AKM362" s="634">
        <v>39996846</v>
      </c>
      <c r="AKN362" s="633">
        <f>SUM(AKA362:AKL362)</f>
        <v>39996846.150000013</v>
      </c>
      <c r="AKO362" s="631" t="s">
        <v>1836</v>
      </c>
      <c r="AKP362" s="632" t="s">
        <v>1673</v>
      </c>
      <c r="AKQ362" s="633">
        <v>3470702.0100000007</v>
      </c>
      <c r="AKR362" s="633">
        <v>3448347.94</v>
      </c>
      <c r="AKS362" s="633">
        <v>3398526.4800000009</v>
      </c>
      <c r="AKT362" s="633">
        <v>2159854.59</v>
      </c>
      <c r="AKU362" s="633">
        <v>3563316.060000001</v>
      </c>
      <c r="AKV362" s="633">
        <v>3305610.92</v>
      </c>
      <c r="AKW362" s="633">
        <v>3255686.1799999992</v>
      </c>
      <c r="AKX362" s="633">
        <v>3172108.3800000018</v>
      </c>
      <c r="AKY362" s="633">
        <v>3430726.5900000026</v>
      </c>
      <c r="AKZ362" s="633">
        <v>3636289.9099999997</v>
      </c>
      <c r="ALA362" s="633">
        <v>3606558.6500000022</v>
      </c>
      <c r="ALB362" s="633">
        <v>3549118.4400000018</v>
      </c>
      <c r="ALC362" s="634">
        <v>39996846</v>
      </c>
      <c r="ALD362" s="633">
        <f>SUM(AKQ362:ALB362)</f>
        <v>39996846.150000013</v>
      </c>
      <c r="ALE362" s="631" t="s">
        <v>1836</v>
      </c>
      <c r="ALF362" s="632" t="s">
        <v>1673</v>
      </c>
      <c r="ALG362" s="633">
        <v>3470702.0100000007</v>
      </c>
      <c r="ALH362" s="633">
        <v>3448347.94</v>
      </c>
      <c r="ALI362" s="633">
        <v>3398526.4800000009</v>
      </c>
      <c r="ALJ362" s="633">
        <v>2159854.59</v>
      </c>
      <c r="ALK362" s="633">
        <v>3563316.060000001</v>
      </c>
      <c r="ALL362" s="633">
        <v>3305610.92</v>
      </c>
      <c r="ALM362" s="633">
        <v>3255686.1799999992</v>
      </c>
      <c r="ALN362" s="633">
        <v>3172108.3800000018</v>
      </c>
      <c r="ALO362" s="633">
        <v>3430726.5900000026</v>
      </c>
      <c r="ALP362" s="633">
        <v>3636289.9099999997</v>
      </c>
      <c r="ALQ362" s="633">
        <v>3606558.6500000022</v>
      </c>
      <c r="ALR362" s="633">
        <v>3549118.4400000018</v>
      </c>
      <c r="ALS362" s="634">
        <v>39996846</v>
      </c>
      <c r="ALT362" s="633">
        <f>SUM(ALG362:ALR362)</f>
        <v>39996846.150000013</v>
      </c>
      <c r="ALU362" s="631" t="s">
        <v>1836</v>
      </c>
      <c r="ALV362" s="632" t="s">
        <v>1673</v>
      </c>
      <c r="ALW362" s="633">
        <v>3470702.0100000007</v>
      </c>
      <c r="ALX362" s="633">
        <v>3448347.94</v>
      </c>
      <c r="ALY362" s="633">
        <v>3398526.4800000009</v>
      </c>
      <c r="ALZ362" s="633">
        <v>2159854.59</v>
      </c>
      <c r="AMA362" s="633">
        <v>3563316.060000001</v>
      </c>
      <c r="AMB362" s="633">
        <v>3305610.92</v>
      </c>
      <c r="AMC362" s="633">
        <v>3255686.1799999992</v>
      </c>
      <c r="AMD362" s="633">
        <v>3172108.3800000018</v>
      </c>
      <c r="AME362" s="633">
        <v>3430726.5900000026</v>
      </c>
      <c r="AMF362" s="633">
        <v>3636289.9099999997</v>
      </c>
      <c r="AMG362" s="633">
        <v>3606558.6500000022</v>
      </c>
      <c r="AMH362" s="633">
        <v>3549118.4400000018</v>
      </c>
      <c r="AMI362" s="634">
        <v>39996846</v>
      </c>
      <c r="AMJ362" s="633">
        <f>SUM(ALW362:AMH362)</f>
        <v>39996846.150000013</v>
      </c>
      <c r="AMK362" s="631" t="s">
        <v>1836</v>
      </c>
      <c r="AML362" s="632" t="s">
        <v>1673</v>
      </c>
      <c r="AMM362" s="633">
        <v>3470702.0100000007</v>
      </c>
      <c r="AMN362" s="633">
        <v>3448347.94</v>
      </c>
      <c r="AMO362" s="633">
        <v>3398526.4800000009</v>
      </c>
      <c r="AMP362" s="633">
        <v>2159854.59</v>
      </c>
      <c r="AMQ362" s="633">
        <v>3563316.060000001</v>
      </c>
      <c r="AMR362" s="633">
        <v>3305610.92</v>
      </c>
      <c r="AMS362" s="633">
        <v>3255686.1799999992</v>
      </c>
      <c r="AMT362" s="633">
        <v>3172108.3800000018</v>
      </c>
      <c r="AMU362" s="633">
        <v>3430726.5900000026</v>
      </c>
      <c r="AMV362" s="633">
        <v>3636289.9099999997</v>
      </c>
      <c r="AMW362" s="633">
        <v>3606558.6500000022</v>
      </c>
      <c r="AMX362" s="633">
        <v>3549118.4400000018</v>
      </c>
      <c r="AMY362" s="634">
        <v>39996846</v>
      </c>
      <c r="AMZ362" s="633">
        <f>SUM(AMM362:AMX362)</f>
        <v>39996846.150000013</v>
      </c>
      <c r="ANA362" s="631" t="s">
        <v>1836</v>
      </c>
      <c r="ANB362" s="632" t="s">
        <v>1673</v>
      </c>
      <c r="ANC362" s="633">
        <v>3470702.0100000007</v>
      </c>
      <c r="AND362" s="633">
        <v>3448347.94</v>
      </c>
      <c r="ANE362" s="633">
        <v>3398526.4800000009</v>
      </c>
      <c r="ANF362" s="633">
        <v>2159854.59</v>
      </c>
      <c r="ANG362" s="633">
        <v>3563316.060000001</v>
      </c>
      <c r="ANH362" s="633">
        <v>3305610.92</v>
      </c>
      <c r="ANI362" s="633">
        <v>3255686.1799999992</v>
      </c>
      <c r="ANJ362" s="633">
        <v>3172108.3800000018</v>
      </c>
      <c r="ANK362" s="633">
        <v>3430726.5900000026</v>
      </c>
      <c r="ANL362" s="633">
        <v>3636289.9099999997</v>
      </c>
      <c r="ANM362" s="633">
        <v>3606558.6500000022</v>
      </c>
      <c r="ANN362" s="633">
        <v>3549118.4400000018</v>
      </c>
      <c r="ANO362" s="634">
        <v>39996846</v>
      </c>
      <c r="ANP362" s="633">
        <f>SUM(ANC362:ANN362)</f>
        <v>39996846.150000013</v>
      </c>
      <c r="ANQ362" s="631" t="s">
        <v>1836</v>
      </c>
      <c r="ANR362" s="632" t="s">
        <v>1673</v>
      </c>
      <c r="ANS362" s="633">
        <v>3470702.0100000007</v>
      </c>
      <c r="ANT362" s="633">
        <v>3448347.94</v>
      </c>
      <c r="ANU362" s="633">
        <v>3398526.4800000009</v>
      </c>
      <c r="ANV362" s="633">
        <v>2159854.59</v>
      </c>
      <c r="ANW362" s="633">
        <v>3563316.060000001</v>
      </c>
      <c r="ANX362" s="633">
        <v>3305610.92</v>
      </c>
      <c r="ANY362" s="633">
        <v>3255686.1799999992</v>
      </c>
      <c r="ANZ362" s="633">
        <v>3172108.3800000018</v>
      </c>
      <c r="AOA362" s="633">
        <v>3430726.5900000026</v>
      </c>
      <c r="AOB362" s="633">
        <v>3636289.9099999997</v>
      </c>
      <c r="AOC362" s="633">
        <v>3606558.6500000022</v>
      </c>
      <c r="AOD362" s="633">
        <v>3549118.4400000018</v>
      </c>
      <c r="AOE362" s="634">
        <v>39996846</v>
      </c>
      <c r="AOF362" s="633">
        <f>SUM(ANS362:AOD362)</f>
        <v>39996846.150000013</v>
      </c>
      <c r="AOG362" s="631" t="s">
        <v>1836</v>
      </c>
      <c r="AOH362" s="632" t="s">
        <v>1673</v>
      </c>
      <c r="AOI362" s="633">
        <v>3470702.0100000007</v>
      </c>
      <c r="AOJ362" s="633">
        <v>3448347.94</v>
      </c>
      <c r="AOK362" s="633">
        <v>3398526.4800000009</v>
      </c>
      <c r="AOL362" s="633">
        <v>2159854.59</v>
      </c>
      <c r="AOM362" s="633">
        <v>3563316.060000001</v>
      </c>
      <c r="AON362" s="633">
        <v>3305610.92</v>
      </c>
      <c r="AOO362" s="633">
        <v>3255686.1799999992</v>
      </c>
      <c r="AOP362" s="633">
        <v>3172108.3800000018</v>
      </c>
      <c r="AOQ362" s="633">
        <v>3430726.5900000026</v>
      </c>
      <c r="AOR362" s="633">
        <v>3636289.9099999997</v>
      </c>
      <c r="AOS362" s="633">
        <v>3606558.6500000022</v>
      </c>
      <c r="AOT362" s="633">
        <v>3549118.4400000018</v>
      </c>
      <c r="AOU362" s="634">
        <v>39996846</v>
      </c>
      <c r="AOV362" s="633">
        <f>SUM(AOI362:AOT362)</f>
        <v>39996846.150000013</v>
      </c>
      <c r="AOW362" s="631" t="s">
        <v>1836</v>
      </c>
      <c r="AOX362" s="632" t="s">
        <v>1673</v>
      </c>
      <c r="AOY362" s="633">
        <v>3470702.0100000007</v>
      </c>
      <c r="AOZ362" s="633">
        <v>3448347.94</v>
      </c>
      <c r="APA362" s="633">
        <v>3398526.4800000009</v>
      </c>
      <c r="APB362" s="633">
        <v>2159854.59</v>
      </c>
      <c r="APC362" s="633">
        <v>3563316.060000001</v>
      </c>
      <c r="APD362" s="633">
        <v>3305610.92</v>
      </c>
      <c r="APE362" s="633">
        <v>3255686.1799999992</v>
      </c>
      <c r="APF362" s="633">
        <v>3172108.3800000018</v>
      </c>
      <c r="APG362" s="633">
        <v>3430726.5900000026</v>
      </c>
      <c r="APH362" s="633">
        <v>3636289.9099999997</v>
      </c>
      <c r="API362" s="633">
        <v>3606558.6500000022</v>
      </c>
      <c r="APJ362" s="633">
        <v>3549118.4400000018</v>
      </c>
      <c r="APK362" s="634">
        <v>39996846</v>
      </c>
      <c r="APL362" s="633">
        <f>SUM(AOY362:APJ362)</f>
        <v>39996846.150000013</v>
      </c>
      <c r="APM362" s="631" t="s">
        <v>1836</v>
      </c>
      <c r="APN362" s="632" t="s">
        <v>1673</v>
      </c>
      <c r="APO362" s="633">
        <v>3470702.0100000007</v>
      </c>
      <c r="APP362" s="633">
        <v>3448347.94</v>
      </c>
      <c r="APQ362" s="633">
        <v>3398526.4800000009</v>
      </c>
      <c r="APR362" s="633">
        <v>2159854.59</v>
      </c>
      <c r="APS362" s="633">
        <v>3563316.060000001</v>
      </c>
      <c r="APT362" s="633">
        <v>3305610.92</v>
      </c>
      <c r="APU362" s="633">
        <v>3255686.1799999992</v>
      </c>
      <c r="APV362" s="633">
        <v>3172108.3800000018</v>
      </c>
      <c r="APW362" s="633">
        <v>3430726.5900000026</v>
      </c>
      <c r="APX362" s="633">
        <v>3636289.9099999997</v>
      </c>
      <c r="APY362" s="633">
        <v>3606558.6500000022</v>
      </c>
      <c r="APZ362" s="633">
        <v>3549118.4400000018</v>
      </c>
      <c r="AQA362" s="634">
        <v>39996846</v>
      </c>
      <c r="AQB362" s="633">
        <f>SUM(APO362:APZ362)</f>
        <v>39996846.150000013</v>
      </c>
      <c r="AQC362" s="631" t="s">
        <v>1836</v>
      </c>
      <c r="AQD362" s="632" t="s">
        <v>1673</v>
      </c>
      <c r="AQE362" s="633">
        <v>3470702.0100000007</v>
      </c>
      <c r="AQF362" s="633">
        <v>3448347.94</v>
      </c>
      <c r="AQG362" s="633">
        <v>3398526.4800000009</v>
      </c>
      <c r="AQH362" s="633">
        <v>2159854.59</v>
      </c>
      <c r="AQI362" s="633">
        <v>3563316.060000001</v>
      </c>
      <c r="AQJ362" s="633">
        <v>3305610.92</v>
      </c>
      <c r="AQK362" s="633">
        <v>3255686.1799999992</v>
      </c>
      <c r="AQL362" s="633">
        <v>3172108.3800000018</v>
      </c>
      <c r="AQM362" s="633">
        <v>3430726.5900000026</v>
      </c>
      <c r="AQN362" s="633">
        <v>3636289.9099999997</v>
      </c>
      <c r="AQO362" s="633">
        <v>3606558.6500000022</v>
      </c>
      <c r="AQP362" s="633">
        <v>3549118.4400000018</v>
      </c>
      <c r="AQQ362" s="634">
        <v>39996846</v>
      </c>
      <c r="AQR362" s="633">
        <f>SUM(AQE362:AQP362)</f>
        <v>39996846.150000013</v>
      </c>
      <c r="AQS362" s="631" t="s">
        <v>1836</v>
      </c>
      <c r="AQT362" s="632" t="s">
        <v>1673</v>
      </c>
      <c r="AQU362" s="633">
        <v>3470702.0100000007</v>
      </c>
      <c r="AQV362" s="633">
        <v>3448347.94</v>
      </c>
      <c r="AQW362" s="633">
        <v>3398526.4800000009</v>
      </c>
      <c r="AQX362" s="633">
        <v>2159854.59</v>
      </c>
      <c r="AQY362" s="633">
        <v>3563316.060000001</v>
      </c>
      <c r="AQZ362" s="633">
        <v>3305610.92</v>
      </c>
      <c r="ARA362" s="633">
        <v>3255686.1799999992</v>
      </c>
      <c r="ARB362" s="633">
        <v>3172108.3800000018</v>
      </c>
      <c r="ARC362" s="633">
        <v>3430726.5900000026</v>
      </c>
      <c r="ARD362" s="633">
        <v>3636289.9099999997</v>
      </c>
      <c r="ARE362" s="633">
        <v>3606558.6500000022</v>
      </c>
      <c r="ARF362" s="633">
        <v>3549118.4400000018</v>
      </c>
      <c r="ARG362" s="634">
        <v>39996846</v>
      </c>
      <c r="ARH362" s="633">
        <f>SUM(AQU362:ARF362)</f>
        <v>39996846.150000013</v>
      </c>
      <c r="ARI362" s="631" t="s">
        <v>1836</v>
      </c>
      <c r="ARJ362" s="632" t="s">
        <v>1673</v>
      </c>
      <c r="ARK362" s="633">
        <v>3470702.0100000007</v>
      </c>
      <c r="ARL362" s="633">
        <v>3448347.94</v>
      </c>
      <c r="ARM362" s="633">
        <v>3398526.4800000009</v>
      </c>
      <c r="ARN362" s="633">
        <v>2159854.59</v>
      </c>
      <c r="ARO362" s="633">
        <v>3563316.060000001</v>
      </c>
      <c r="ARP362" s="633">
        <v>3305610.92</v>
      </c>
      <c r="ARQ362" s="633">
        <v>3255686.1799999992</v>
      </c>
      <c r="ARR362" s="633">
        <v>3172108.3800000018</v>
      </c>
      <c r="ARS362" s="633">
        <v>3430726.5900000026</v>
      </c>
      <c r="ART362" s="633">
        <v>3636289.9099999997</v>
      </c>
      <c r="ARU362" s="633">
        <v>3606558.6500000022</v>
      </c>
      <c r="ARV362" s="633">
        <v>3549118.4400000018</v>
      </c>
      <c r="ARW362" s="634">
        <v>39996846</v>
      </c>
      <c r="ARX362" s="633">
        <f>SUM(ARK362:ARV362)</f>
        <v>39996846.150000013</v>
      </c>
      <c r="ARY362" s="631" t="s">
        <v>1836</v>
      </c>
      <c r="ARZ362" s="632" t="s">
        <v>1673</v>
      </c>
      <c r="ASA362" s="633">
        <v>3470702.0100000007</v>
      </c>
      <c r="ASB362" s="633">
        <v>3448347.94</v>
      </c>
      <c r="ASC362" s="633">
        <v>3398526.4800000009</v>
      </c>
      <c r="ASD362" s="633">
        <v>2159854.59</v>
      </c>
      <c r="ASE362" s="633">
        <v>3563316.060000001</v>
      </c>
      <c r="ASF362" s="633">
        <v>3305610.92</v>
      </c>
      <c r="ASG362" s="633">
        <v>3255686.1799999992</v>
      </c>
      <c r="ASH362" s="633">
        <v>3172108.3800000018</v>
      </c>
      <c r="ASI362" s="633">
        <v>3430726.5900000026</v>
      </c>
      <c r="ASJ362" s="633">
        <v>3636289.9099999997</v>
      </c>
      <c r="ASK362" s="633">
        <v>3606558.6500000022</v>
      </c>
      <c r="ASL362" s="633">
        <v>3549118.4400000018</v>
      </c>
      <c r="ASM362" s="634">
        <v>39996846</v>
      </c>
      <c r="ASN362" s="633">
        <f>SUM(ASA362:ASL362)</f>
        <v>39996846.150000013</v>
      </c>
      <c r="ASO362" s="631" t="s">
        <v>1836</v>
      </c>
      <c r="ASP362" s="632" t="s">
        <v>1673</v>
      </c>
      <c r="ASQ362" s="633">
        <v>3470702.0100000007</v>
      </c>
      <c r="ASR362" s="633">
        <v>3448347.94</v>
      </c>
      <c r="ASS362" s="633">
        <v>3398526.4800000009</v>
      </c>
      <c r="AST362" s="633">
        <v>2159854.59</v>
      </c>
      <c r="ASU362" s="633">
        <v>3563316.060000001</v>
      </c>
      <c r="ASV362" s="633">
        <v>3305610.92</v>
      </c>
      <c r="ASW362" s="633">
        <v>3255686.1799999992</v>
      </c>
      <c r="ASX362" s="633">
        <v>3172108.3800000018</v>
      </c>
      <c r="ASY362" s="633">
        <v>3430726.5900000026</v>
      </c>
      <c r="ASZ362" s="633">
        <v>3636289.9099999997</v>
      </c>
      <c r="ATA362" s="633">
        <v>3606558.6500000022</v>
      </c>
      <c r="ATB362" s="633">
        <v>3549118.4400000018</v>
      </c>
      <c r="ATC362" s="634">
        <v>39996846</v>
      </c>
      <c r="ATD362" s="633">
        <f>SUM(ASQ362:ATB362)</f>
        <v>39996846.150000013</v>
      </c>
      <c r="ATE362" s="631" t="s">
        <v>1836</v>
      </c>
      <c r="ATF362" s="632" t="s">
        <v>1673</v>
      </c>
      <c r="ATG362" s="633">
        <v>3470702.0100000007</v>
      </c>
      <c r="ATH362" s="633">
        <v>3448347.94</v>
      </c>
      <c r="ATI362" s="633">
        <v>3398526.4800000009</v>
      </c>
      <c r="ATJ362" s="633">
        <v>2159854.59</v>
      </c>
      <c r="ATK362" s="633">
        <v>3563316.060000001</v>
      </c>
      <c r="ATL362" s="633">
        <v>3305610.92</v>
      </c>
      <c r="ATM362" s="633">
        <v>3255686.1799999992</v>
      </c>
      <c r="ATN362" s="633">
        <v>3172108.3800000018</v>
      </c>
      <c r="ATO362" s="633">
        <v>3430726.5900000026</v>
      </c>
      <c r="ATP362" s="633">
        <v>3636289.9099999997</v>
      </c>
      <c r="ATQ362" s="633">
        <v>3606558.6500000022</v>
      </c>
      <c r="ATR362" s="633">
        <v>3549118.4400000018</v>
      </c>
      <c r="ATS362" s="634">
        <v>39996846</v>
      </c>
      <c r="ATT362" s="633">
        <f>SUM(ATG362:ATR362)</f>
        <v>39996846.150000013</v>
      </c>
      <c r="ATU362" s="631" t="s">
        <v>1836</v>
      </c>
      <c r="ATV362" s="632" t="s">
        <v>1673</v>
      </c>
      <c r="ATW362" s="633">
        <v>3470702.0100000007</v>
      </c>
      <c r="ATX362" s="633">
        <v>3448347.94</v>
      </c>
      <c r="ATY362" s="633">
        <v>3398526.4800000009</v>
      </c>
      <c r="ATZ362" s="633">
        <v>2159854.59</v>
      </c>
      <c r="AUA362" s="633">
        <v>3563316.060000001</v>
      </c>
      <c r="AUB362" s="633">
        <v>3305610.92</v>
      </c>
      <c r="AUC362" s="633">
        <v>3255686.1799999992</v>
      </c>
      <c r="AUD362" s="633">
        <v>3172108.3800000018</v>
      </c>
      <c r="AUE362" s="633">
        <v>3430726.5900000026</v>
      </c>
      <c r="AUF362" s="633">
        <v>3636289.9099999997</v>
      </c>
      <c r="AUG362" s="633">
        <v>3606558.6500000022</v>
      </c>
      <c r="AUH362" s="633">
        <v>3549118.4400000018</v>
      </c>
      <c r="AUI362" s="634">
        <v>39996846</v>
      </c>
      <c r="AUJ362" s="633">
        <f>SUM(ATW362:AUH362)</f>
        <v>39996846.150000013</v>
      </c>
      <c r="AUK362" s="631" t="s">
        <v>1836</v>
      </c>
      <c r="AUL362" s="632" t="s">
        <v>1673</v>
      </c>
      <c r="AUM362" s="633">
        <v>3470702.0100000007</v>
      </c>
      <c r="AUN362" s="633">
        <v>3448347.94</v>
      </c>
      <c r="AUO362" s="633">
        <v>3398526.4800000009</v>
      </c>
      <c r="AUP362" s="633">
        <v>2159854.59</v>
      </c>
      <c r="AUQ362" s="633">
        <v>3563316.060000001</v>
      </c>
      <c r="AUR362" s="633">
        <v>3305610.92</v>
      </c>
      <c r="AUS362" s="633">
        <v>3255686.1799999992</v>
      </c>
      <c r="AUT362" s="633">
        <v>3172108.3800000018</v>
      </c>
      <c r="AUU362" s="633">
        <v>3430726.5900000026</v>
      </c>
      <c r="AUV362" s="633">
        <v>3636289.9099999997</v>
      </c>
      <c r="AUW362" s="633">
        <v>3606558.6500000022</v>
      </c>
      <c r="AUX362" s="633">
        <v>3549118.4400000018</v>
      </c>
      <c r="AUY362" s="634">
        <v>39996846</v>
      </c>
      <c r="AUZ362" s="633">
        <f>SUM(AUM362:AUX362)</f>
        <v>39996846.150000013</v>
      </c>
      <c r="AVA362" s="631" t="s">
        <v>1836</v>
      </c>
      <c r="AVB362" s="632" t="s">
        <v>1673</v>
      </c>
      <c r="AVC362" s="633">
        <v>3470702.0100000007</v>
      </c>
      <c r="AVD362" s="633">
        <v>3448347.94</v>
      </c>
      <c r="AVE362" s="633">
        <v>3398526.4800000009</v>
      </c>
      <c r="AVF362" s="633">
        <v>2159854.59</v>
      </c>
      <c r="AVG362" s="633">
        <v>3563316.060000001</v>
      </c>
      <c r="AVH362" s="633">
        <v>3305610.92</v>
      </c>
      <c r="AVI362" s="633">
        <v>3255686.1799999992</v>
      </c>
      <c r="AVJ362" s="633">
        <v>3172108.3800000018</v>
      </c>
      <c r="AVK362" s="633">
        <v>3430726.5900000026</v>
      </c>
      <c r="AVL362" s="633">
        <v>3636289.9099999997</v>
      </c>
      <c r="AVM362" s="633">
        <v>3606558.6500000022</v>
      </c>
      <c r="AVN362" s="633">
        <v>3549118.4400000018</v>
      </c>
      <c r="AVO362" s="634">
        <v>39996846</v>
      </c>
      <c r="AVP362" s="633">
        <f>SUM(AVC362:AVN362)</f>
        <v>39996846.150000013</v>
      </c>
      <c r="AVQ362" s="631" t="s">
        <v>1836</v>
      </c>
      <c r="AVR362" s="632" t="s">
        <v>1673</v>
      </c>
      <c r="AVS362" s="633">
        <v>3470702.0100000007</v>
      </c>
      <c r="AVT362" s="633">
        <v>3448347.94</v>
      </c>
      <c r="AVU362" s="633">
        <v>3398526.4800000009</v>
      </c>
      <c r="AVV362" s="633">
        <v>2159854.59</v>
      </c>
      <c r="AVW362" s="633">
        <v>3563316.060000001</v>
      </c>
      <c r="AVX362" s="633">
        <v>3305610.92</v>
      </c>
      <c r="AVY362" s="633">
        <v>3255686.1799999992</v>
      </c>
      <c r="AVZ362" s="633">
        <v>3172108.3800000018</v>
      </c>
      <c r="AWA362" s="633">
        <v>3430726.5900000026</v>
      </c>
      <c r="AWB362" s="633">
        <v>3636289.9099999997</v>
      </c>
      <c r="AWC362" s="633">
        <v>3606558.6500000022</v>
      </c>
      <c r="AWD362" s="633">
        <v>3549118.4400000018</v>
      </c>
      <c r="AWE362" s="634">
        <v>39996846</v>
      </c>
      <c r="AWF362" s="633">
        <f>SUM(AVS362:AWD362)</f>
        <v>39996846.150000013</v>
      </c>
      <c r="AWG362" s="631" t="s">
        <v>1836</v>
      </c>
      <c r="AWH362" s="632" t="s">
        <v>1673</v>
      </c>
      <c r="AWI362" s="633">
        <v>3470702.0100000007</v>
      </c>
      <c r="AWJ362" s="633">
        <v>3448347.94</v>
      </c>
      <c r="AWK362" s="633">
        <v>3398526.4800000009</v>
      </c>
      <c r="AWL362" s="633">
        <v>2159854.59</v>
      </c>
      <c r="AWM362" s="633">
        <v>3563316.060000001</v>
      </c>
      <c r="AWN362" s="633">
        <v>3305610.92</v>
      </c>
      <c r="AWO362" s="633">
        <v>3255686.1799999992</v>
      </c>
      <c r="AWP362" s="633">
        <v>3172108.3800000018</v>
      </c>
      <c r="AWQ362" s="633">
        <v>3430726.5900000026</v>
      </c>
      <c r="AWR362" s="633">
        <v>3636289.9099999997</v>
      </c>
      <c r="AWS362" s="633">
        <v>3606558.6500000022</v>
      </c>
      <c r="AWT362" s="633">
        <v>3549118.4400000018</v>
      </c>
      <c r="AWU362" s="634">
        <v>39996846</v>
      </c>
      <c r="AWV362" s="633">
        <f>SUM(AWI362:AWT362)</f>
        <v>39996846.150000013</v>
      </c>
      <c r="AWW362" s="631" t="s">
        <v>1836</v>
      </c>
      <c r="AWX362" s="632" t="s">
        <v>1673</v>
      </c>
      <c r="AWY362" s="633">
        <v>3470702.0100000007</v>
      </c>
      <c r="AWZ362" s="633">
        <v>3448347.94</v>
      </c>
      <c r="AXA362" s="633">
        <v>3398526.4800000009</v>
      </c>
      <c r="AXB362" s="633">
        <v>2159854.59</v>
      </c>
      <c r="AXC362" s="633">
        <v>3563316.060000001</v>
      </c>
      <c r="AXD362" s="633">
        <v>3305610.92</v>
      </c>
      <c r="AXE362" s="633">
        <v>3255686.1799999992</v>
      </c>
      <c r="AXF362" s="633">
        <v>3172108.3800000018</v>
      </c>
      <c r="AXG362" s="633">
        <v>3430726.5900000026</v>
      </c>
      <c r="AXH362" s="633">
        <v>3636289.9099999997</v>
      </c>
      <c r="AXI362" s="633">
        <v>3606558.6500000022</v>
      </c>
      <c r="AXJ362" s="633">
        <v>3549118.4400000018</v>
      </c>
      <c r="AXK362" s="634">
        <v>39996846</v>
      </c>
      <c r="AXL362" s="633">
        <f>SUM(AWY362:AXJ362)</f>
        <v>39996846.150000013</v>
      </c>
      <c r="AXM362" s="631" t="s">
        <v>1836</v>
      </c>
      <c r="AXN362" s="632" t="s">
        <v>1673</v>
      </c>
      <c r="AXO362" s="633">
        <v>3470702.0100000007</v>
      </c>
      <c r="AXP362" s="633">
        <v>3448347.94</v>
      </c>
      <c r="AXQ362" s="633">
        <v>3398526.4800000009</v>
      </c>
      <c r="AXR362" s="633">
        <v>2159854.59</v>
      </c>
      <c r="AXS362" s="633">
        <v>3563316.060000001</v>
      </c>
      <c r="AXT362" s="633">
        <v>3305610.92</v>
      </c>
      <c r="AXU362" s="633">
        <v>3255686.1799999992</v>
      </c>
      <c r="AXV362" s="633">
        <v>3172108.3800000018</v>
      </c>
      <c r="AXW362" s="633">
        <v>3430726.5900000026</v>
      </c>
      <c r="AXX362" s="633">
        <v>3636289.9099999997</v>
      </c>
      <c r="AXY362" s="633">
        <v>3606558.6500000022</v>
      </c>
      <c r="AXZ362" s="633">
        <v>3549118.4400000018</v>
      </c>
      <c r="AYA362" s="634">
        <v>39996846</v>
      </c>
      <c r="AYB362" s="633">
        <f>SUM(AXO362:AXZ362)</f>
        <v>39996846.150000013</v>
      </c>
      <c r="AYC362" s="631" t="s">
        <v>1836</v>
      </c>
      <c r="AYD362" s="632" t="s">
        <v>1673</v>
      </c>
      <c r="AYE362" s="633">
        <v>3470702.0100000007</v>
      </c>
      <c r="AYF362" s="633">
        <v>3448347.94</v>
      </c>
      <c r="AYG362" s="633">
        <v>3398526.4800000009</v>
      </c>
      <c r="AYH362" s="633">
        <v>2159854.59</v>
      </c>
      <c r="AYI362" s="633">
        <v>3563316.060000001</v>
      </c>
      <c r="AYJ362" s="633">
        <v>3305610.92</v>
      </c>
      <c r="AYK362" s="633">
        <v>3255686.1799999992</v>
      </c>
      <c r="AYL362" s="633">
        <v>3172108.3800000018</v>
      </c>
      <c r="AYM362" s="633">
        <v>3430726.5900000026</v>
      </c>
      <c r="AYN362" s="633">
        <v>3636289.9099999997</v>
      </c>
      <c r="AYO362" s="633">
        <v>3606558.6500000022</v>
      </c>
      <c r="AYP362" s="633">
        <v>3549118.4400000018</v>
      </c>
      <c r="AYQ362" s="634">
        <v>39996846</v>
      </c>
      <c r="AYR362" s="633">
        <f>SUM(AYE362:AYP362)</f>
        <v>39996846.150000013</v>
      </c>
      <c r="AYS362" s="631" t="s">
        <v>1836</v>
      </c>
      <c r="AYT362" s="632" t="s">
        <v>1673</v>
      </c>
      <c r="AYU362" s="633">
        <v>3470702.0100000007</v>
      </c>
      <c r="AYV362" s="633">
        <v>3448347.94</v>
      </c>
      <c r="AYW362" s="633">
        <v>3398526.4800000009</v>
      </c>
      <c r="AYX362" s="633">
        <v>2159854.59</v>
      </c>
      <c r="AYY362" s="633">
        <v>3563316.060000001</v>
      </c>
      <c r="AYZ362" s="633">
        <v>3305610.92</v>
      </c>
      <c r="AZA362" s="633">
        <v>3255686.1799999992</v>
      </c>
      <c r="AZB362" s="633">
        <v>3172108.3800000018</v>
      </c>
      <c r="AZC362" s="633">
        <v>3430726.5900000026</v>
      </c>
      <c r="AZD362" s="633">
        <v>3636289.9099999997</v>
      </c>
      <c r="AZE362" s="633">
        <v>3606558.6500000022</v>
      </c>
      <c r="AZF362" s="633">
        <v>3549118.4400000018</v>
      </c>
      <c r="AZG362" s="634">
        <v>39996846</v>
      </c>
      <c r="AZH362" s="633">
        <f>SUM(AYU362:AZF362)</f>
        <v>39996846.150000013</v>
      </c>
      <c r="AZI362" s="631" t="s">
        <v>1836</v>
      </c>
      <c r="AZJ362" s="632" t="s">
        <v>1673</v>
      </c>
      <c r="AZK362" s="633">
        <v>3470702.0100000007</v>
      </c>
      <c r="AZL362" s="633">
        <v>3448347.94</v>
      </c>
      <c r="AZM362" s="633">
        <v>3398526.4800000009</v>
      </c>
      <c r="AZN362" s="633">
        <v>2159854.59</v>
      </c>
      <c r="AZO362" s="633">
        <v>3563316.060000001</v>
      </c>
      <c r="AZP362" s="633">
        <v>3305610.92</v>
      </c>
      <c r="AZQ362" s="633">
        <v>3255686.1799999992</v>
      </c>
      <c r="AZR362" s="633">
        <v>3172108.3800000018</v>
      </c>
      <c r="AZS362" s="633">
        <v>3430726.5900000026</v>
      </c>
      <c r="AZT362" s="633">
        <v>3636289.9099999997</v>
      </c>
      <c r="AZU362" s="633">
        <v>3606558.6500000022</v>
      </c>
      <c r="AZV362" s="633">
        <v>3549118.4400000018</v>
      </c>
      <c r="AZW362" s="634">
        <v>39996846</v>
      </c>
      <c r="AZX362" s="633">
        <f>SUM(AZK362:AZV362)</f>
        <v>39996846.150000013</v>
      </c>
      <c r="AZY362" s="631" t="s">
        <v>1836</v>
      </c>
      <c r="AZZ362" s="632" t="s">
        <v>1673</v>
      </c>
      <c r="BAA362" s="633">
        <v>3470702.0100000007</v>
      </c>
      <c r="BAB362" s="633">
        <v>3448347.94</v>
      </c>
      <c r="BAC362" s="633">
        <v>3398526.4800000009</v>
      </c>
      <c r="BAD362" s="633">
        <v>2159854.59</v>
      </c>
      <c r="BAE362" s="633">
        <v>3563316.060000001</v>
      </c>
      <c r="BAF362" s="633">
        <v>3305610.92</v>
      </c>
      <c r="BAG362" s="633">
        <v>3255686.1799999992</v>
      </c>
      <c r="BAH362" s="633">
        <v>3172108.3800000018</v>
      </c>
      <c r="BAI362" s="633">
        <v>3430726.5900000026</v>
      </c>
      <c r="BAJ362" s="633">
        <v>3636289.9099999997</v>
      </c>
      <c r="BAK362" s="633">
        <v>3606558.6500000022</v>
      </c>
      <c r="BAL362" s="633">
        <v>3549118.4400000018</v>
      </c>
      <c r="BAM362" s="634">
        <v>39996846</v>
      </c>
      <c r="BAN362" s="633">
        <f>SUM(BAA362:BAL362)</f>
        <v>39996846.150000013</v>
      </c>
      <c r="BAO362" s="631" t="s">
        <v>1836</v>
      </c>
      <c r="BAP362" s="632" t="s">
        <v>1673</v>
      </c>
      <c r="BAQ362" s="633">
        <v>3470702.0100000007</v>
      </c>
      <c r="BAR362" s="633">
        <v>3448347.94</v>
      </c>
      <c r="BAS362" s="633">
        <v>3398526.4800000009</v>
      </c>
      <c r="BAT362" s="633">
        <v>2159854.59</v>
      </c>
      <c r="BAU362" s="633">
        <v>3563316.060000001</v>
      </c>
      <c r="BAV362" s="633">
        <v>3305610.92</v>
      </c>
      <c r="BAW362" s="633">
        <v>3255686.1799999992</v>
      </c>
      <c r="BAX362" s="633">
        <v>3172108.3800000018</v>
      </c>
      <c r="BAY362" s="633">
        <v>3430726.5900000026</v>
      </c>
      <c r="BAZ362" s="633">
        <v>3636289.9099999997</v>
      </c>
      <c r="BBA362" s="633">
        <v>3606558.6500000022</v>
      </c>
      <c r="BBB362" s="633">
        <v>3549118.4400000018</v>
      </c>
      <c r="BBC362" s="634">
        <v>39996846</v>
      </c>
      <c r="BBD362" s="633">
        <f>SUM(BAQ362:BBB362)</f>
        <v>39996846.150000013</v>
      </c>
      <c r="BBE362" s="631" t="s">
        <v>1836</v>
      </c>
      <c r="BBF362" s="632" t="s">
        <v>1673</v>
      </c>
      <c r="BBG362" s="633">
        <v>3470702.0100000007</v>
      </c>
      <c r="BBH362" s="633">
        <v>3448347.94</v>
      </c>
      <c r="BBI362" s="633">
        <v>3398526.4800000009</v>
      </c>
      <c r="BBJ362" s="633">
        <v>2159854.59</v>
      </c>
      <c r="BBK362" s="633">
        <v>3563316.060000001</v>
      </c>
      <c r="BBL362" s="633">
        <v>3305610.92</v>
      </c>
      <c r="BBM362" s="633">
        <v>3255686.1799999992</v>
      </c>
      <c r="BBN362" s="633">
        <v>3172108.3800000018</v>
      </c>
      <c r="BBO362" s="633">
        <v>3430726.5900000026</v>
      </c>
      <c r="BBP362" s="633">
        <v>3636289.9099999997</v>
      </c>
      <c r="BBQ362" s="633">
        <v>3606558.6500000022</v>
      </c>
      <c r="BBR362" s="633">
        <v>3549118.4400000018</v>
      </c>
      <c r="BBS362" s="634">
        <v>39996846</v>
      </c>
      <c r="BBT362" s="633">
        <f>SUM(BBG362:BBR362)</f>
        <v>39996846.150000013</v>
      </c>
      <c r="BBU362" s="631" t="s">
        <v>1836</v>
      </c>
      <c r="BBV362" s="632" t="s">
        <v>1673</v>
      </c>
      <c r="BBW362" s="633">
        <v>3470702.0100000007</v>
      </c>
      <c r="BBX362" s="633">
        <v>3448347.94</v>
      </c>
      <c r="BBY362" s="633">
        <v>3398526.4800000009</v>
      </c>
      <c r="BBZ362" s="633">
        <v>2159854.59</v>
      </c>
      <c r="BCA362" s="633">
        <v>3563316.060000001</v>
      </c>
      <c r="BCB362" s="633">
        <v>3305610.92</v>
      </c>
      <c r="BCC362" s="633">
        <v>3255686.1799999992</v>
      </c>
      <c r="BCD362" s="633">
        <v>3172108.3800000018</v>
      </c>
      <c r="BCE362" s="633">
        <v>3430726.5900000026</v>
      </c>
      <c r="BCF362" s="633">
        <v>3636289.9099999997</v>
      </c>
      <c r="BCG362" s="633">
        <v>3606558.6500000022</v>
      </c>
      <c r="BCH362" s="633">
        <v>3549118.4400000018</v>
      </c>
      <c r="BCI362" s="634">
        <v>39996846</v>
      </c>
      <c r="BCJ362" s="633">
        <f>SUM(BBW362:BCH362)</f>
        <v>39996846.150000013</v>
      </c>
      <c r="BCK362" s="631" t="s">
        <v>1836</v>
      </c>
      <c r="BCL362" s="632" t="s">
        <v>1673</v>
      </c>
      <c r="BCM362" s="633">
        <v>3470702.0100000007</v>
      </c>
      <c r="BCN362" s="633">
        <v>3448347.94</v>
      </c>
      <c r="BCO362" s="633">
        <v>3398526.4800000009</v>
      </c>
      <c r="BCP362" s="633">
        <v>2159854.59</v>
      </c>
      <c r="BCQ362" s="633">
        <v>3563316.060000001</v>
      </c>
      <c r="BCR362" s="633">
        <v>3305610.92</v>
      </c>
      <c r="BCS362" s="633">
        <v>3255686.1799999992</v>
      </c>
      <c r="BCT362" s="633">
        <v>3172108.3800000018</v>
      </c>
      <c r="BCU362" s="633">
        <v>3430726.5900000026</v>
      </c>
      <c r="BCV362" s="633">
        <v>3636289.9099999997</v>
      </c>
      <c r="BCW362" s="633">
        <v>3606558.6500000022</v>
      </c>
      <c r="BCX362" s="633">
        <v>3549118.4400000018</v>
      </c>
      <c r="BCY362" s="634">
        <v>39996846</v>
      </c>
      <c r="BCZ362" s="633">
        <f>SUM(BCM362:BCX362)</f>
        <v>39996846.150000013</v>
      </c>
      <c r="BDA362" s="631" t="s">
        <v>1836</v>
      </c>
      <c r="BDB362" s="632" t="s">
        <v>1673</v>
      </c>
      <c r="BDC362" s="633">
        <v>3470702.0100000007</v>
      </c>
      <c r="BDD362" s="633">
        <v>3448347.94</v>
      </c>
      <c r="BDE362" s="633">
        <v>3398526.4800000009</v>
      </c>
      <c r="BDF362" s="633">
        <v>2159854.59</v>
      </c>
      <c r="BDG362" s="633">
        <v>3563316.060000001</v>
      </c>
      <c r="BDH362" s="633">
        <v>3305610.92</v>
      </c>
      <c r="BDI362" s="633">
        <v>3255686.1799999992</v>
      </c>
      <c r="BDJ362" s="633">
        <v>3172108.3800000018</v>
      </c>
      <c r="BDK362" s="633">
        <v>3430726.5900000026</v>
      </c>
      <c r="BDL362" s="633">
        <v>3636289.9099999997</v>
      </c>
      <c r="BDM362" s="633">
        <v>3606558.6500000022</v>
      </c>
      <c r="BDN362" s="633">
        <v>3549118.4400000018</v>
      </c>
      <c r="BDO362" s="634">
        <v>39996846</v>
      </c>
      <c r="BDP362" s="633">
        <f>SUM(BDC362:BDN362)</f>
        <v>39996846.150000013</v>
      </c>
      <c r="BDQ362" s="631" t="s">
        <v>1836</v>
      </c>
      <c r="BDR362" s="632" t="s">
        <v>1673</v>
      </c>
      <c r="BDS362" s="633">
        <v>3470702.0100000007</v>
      </c>
      <c r="BDT362" s="633">
        <v>3448347.94</v>
      </c>
      <c r="BDU362" s="633">
        <v>3398526.4800000009</v>
      </c>
      <c r="BDV362" s="633">
        <v>2159854.59</v>
      </c>
      <c r="BDW362" s="633">
        <v>3563316.060000001</v>
      </c>
      <c r="BDX362" s="633">
        <v>3305610.92</v>
      </c>
      <c r="BDY362" s="633">
        <v>3255686.1799999992</v>
      </c>
      <c r="BDZ362" s="633">
        <v>3172108.3800000018</v>
      </c>
      <c r="BEA362" s="633">
        <v>3430726.5900000026</v>
      </c>
      <c r="BEB362" s="633">
        <v>3636289.9099999997</v>
      </c>
      <c r="BEC362" s="633">
        <v>3606558.6500000022</v>
      </c>
      <c r="BED362" s="633">
        <v>3549118.4400000018</v>
      </c>
      <c r="BEE362" s="634">
        <v>39996846</v>
      </c>
      <c r="BEF362" s="633">
        <f>SUM(BDS362:BED362)</f>
        <v>39996846.150000013</v>
      </c>
      <c r="BEG362" s="631" t="s">
        <v>1836</v>
      </c>
      <c r="BEH362" s="632" t="s">
        <v>1673</v>
      </c>
      <c r="BEI362" s="633">
        <v>3470702.0100000007</v>
      </c>
      <c r="BEJ362" s="633">
        <v>3448347.94</v>
      </c>
      <c r="BEK362" s="633">
        <v>3398526.4800000009</v>
      </c>
      <c r="BEL362" s="633">
        <v>2159854.59</v>
      </c>
      <c r="BEM362" s="633">
        <v>3563316.060000001</v>
      </c>
      <c r="BEN362" s="633">
        <v>3305610.92</v>
      </c>
      <c r="BEO362" s="633">
        <v>3255686.1799999992</v>
      </c>
      <c r="BEP362" s="633">
        <v>3172108.3800000018</v>
      </c>
      <c r="BEQ362" s="633">
        <v>3430726.5900000026</v>
      </c>
      <c r="BER362" s="633">
        <v>3636289.9099999997</v>
      </c>
      <c r="BES362" s="633">
        <v>3606558.6500000022</v>
      </c>
      <c r="BET362" s="633">
        <v>3549118.4400000018</v>
      </c>
      <c r="BEU362" s="634">
        <v>39996846</v>
      </c>
      <c r="BEV362" s="633">
        <f>SUM(BEI362:BET362)</f>
        <v>39996846.150000013</v>
      </c>
      <c r="BEW362" s="631" t="s">
        <v>1836</v>
      </c>
      <c r="BEX362" s="632" t="s">
        <v>1673</v>
      </c>
      <c r="BEY362" s="633">
        <v>3470702.0100000007</v>
      </c>
      <c r="BEZ362" s="633">
        <v>3448347.94</v>
      </c>
      <c r="BFA362" s="633">
        <v>3398526.4800000009</v>
      </c>
      <c r="BFB362" s="633">
        <v>2159854.59</v>
      </c>
      <c r="BFC362" s="633">
        <v>3563316.060000001</v>
      </c>
      <c r="BFD362" s="633">
        <v>3305610.92</v>
      </c>
      <c r="BFE362" s="633">
        <v>3255686.1799999992</v>
      </c>
      <c r="BFF362" s="633">
        <v>3172108.3800000018</v>
      </c>
      <c r="BFG362" s="633">
        <v>3430726.5900000026</v>
      </c>
      <c r="BFH362" s="633">
        <v>3636289.9099999997</v>
      </c>
      <c r="BFI362" s="633">
        <v>3606558.6500000022</v>
      </c>
      <c r="BFJ362" s="633">
        <v>3549118.4400000018</v>
      </c>
      <c r="BFK362" s="634">
        <v>39996846</v>
      </c>
      <c r="BFL362" s="633">
        <f>SUM(BEY362:BFJ362)</f>
        <v>39996846.150000013</v>
      </c>
      <c r="BFM362" s="631" t="s">
        <v>1836</v>
      </c>
      <c r="BFN362" s="632" t="s">
        <v>1673</v>
      </c>
      <c r="BFO362" s="633">
        <v>3470702.0100000007</v>
      </c>
      <c r="BFP362" s="633">
        <v>3448347.94</v>
      </c>
      <c r="BFQ362" s="633">
        <v>3398526.4800000009</v>
      </c>
      <c r="BFR362" s="633">
        <v>2159854.59</v>
      </c>
      <c r="BFS362" s="633">
        <v>3563316.060000001</v>
      </c>
      <c r="BFT362" s="633">
        <v>3305610.92</v>
      </c>
      <c r="BFU362" s="633">
        <v>3255686.1799999992</v>
      </c>
      <c r="BFV362" s="633">
        <v>3172108.3800000018</v>
      </c>
      <c r="BFW362" s="633">
        <v>3430726.5900000026</v>
      </c>
      <c r="BFX362" s="633">
        <v>3636289.9099999997</v>
      </c>
      <c r="BFY362" s="633">
        <v>3606558.6500000022</v>
      </c>
      <c r="BFZ362" s="633">
        <v>3549118.4400000018</v>
      </c>
      <c r="BGA362" s="634">
        <v>39996846</v>
      </c>
      <c r="BGB362" s="633">
        <f>SUM(BFO362:BFZ362)</f>
        <v>39996846.150000013</v>
      </c>
      <c r="BGC362" s="631" t="s">
        <v>1836</v>
      </c>
      <c r="BGD362" s="632" t="s">
        <v>1673</v>
      </c>
      <c r="BGE362" s="633">
        <v>3470702.0100000007</v>
      </c>
      <c r="BGF362" s="633">
        <v>3448347.94</v>
      </c>
      <c r="BGG362" s="633">
        <v>3398526.4800000009</v>
      </c>
      <c r="BGH362" s="633">
        <v>2159854.59</v>
      </c>
      <c r="BGI362" s="633">
        <v>3563316.060000001</v>
      </c>
      <c r="BGJ362" s="633">
        <v>3305610.92</v>
      </c>
      <c r="BGK362" s="633">
        <v>3255686.1799999992</v>
      </c>
      <c r="BGL362" s="633">
        <v>3172108.3800000018</v>
      </c>
      <c r="BGM362" s="633">
        <v>3430726.5900000026</v>
      </c>
      <c r="BGN362" s="633">
        <v>3636289.9099999997</v>
      </c>
      <c r="BGO362" s="633">
        <v>3606558.6500000022</v>
      </c>
      <c r="BGP362" s="633">
        <v>3549118.4400000018</v>
      </c>
      <c r="BGQ362" s="634">
        <v>39996846</v>
      </c>
      <c r="BGR362" s="633">
        <f>SUM(BGE362:BGP362)</f>
        <v>39996846.150000013</v>
      </c>
      <c r="BGS362" s="631" t="s">
        <v>1836</v>
      </c>
      <c r="BGT362" s="632" t="s">
        <v>1673</v>
      </c>
      <c r="BGU362" s="633">
        <v>3470702.0100000007</v>
      </c>
      <c r="BGV362" s="633">
        <v>3448347.94</v>
      </c>
      <c r="BGW362" s="633">
        <v>3398526.4800000009</v>
      </c>
      <c r="BGX362" s="633">
        <v>2159854.59</v>
      </c>
      <c r="BGY362" s="633">
        <v>3563316.060000001</v>
      </c>
      <c r="BGZ362" s="633">
        <v>3305610.92</v>
      </c>
      <c r="BHA362" s="633">
        <v>3255686.1799999992</v>
      </c>
      <c r="BHB362" s="633">
        <v>3172108.3800000018</v>
      </c>
      <c r="BHC362" s="633">
        <v>3430726.5900000026</v>
      </c>
      <c r="BHD362" s="633">
        <v>3636289.9099999997</v>
      </c>
      <c r="BHE362" s="633">
        <v>3606558.6500000022</v>
      </c>
      <c r="BHF362" s="633">
        <v>3549118.4400000018</v>
      </c>
      <c r="BHG362" s="634">
        <v>39996846</v>
      </c>
      <c r="BHH362" s="633">
        <f>SUM(BGU362:BHF362)</f>
        <v>39996846.150000013</v>
      </c>
      <c r="BHI362" s="631" t="s">
        <v>1836</v>
      </c>
      <c r="BHJ362" s="632" t="s">
        <v>1673</v>
      </c>
      <c r="BHK362" s="633">
        <v>3470702.0100000007</v>
      </c>
      <c r="BHL362" s="633">
        <v>3448347.94</v>
      </c>
      <c r="BHM362" s="633">
        <v>3398526.4800000009</v>
      </c>
      <c r="BHN362" s="633">
        <v>2159854.59</v>
      </c>
      <c r="BHO362" s="633">
        <v>3563316.060000001</v>
      </c>
      <c r="BHP362" s="633">
        <v>3305610.92</v>
      </c>
      <c r="BHQ362" s="633">
        <v>3255686.1799999992</v>
      </c>
      <c r="BHR362" s="633">
        <v>3172108.3800000018</v>
      </c>
      <c r="BHS362" s="633">
        <v>3430726.5900000026</v>
      </c>
      <c r="BHT362" s="633">
        <v>3636289.9099999997</v>
      </c>
      <c r="BHU362" s="633">
        <v>3606558.6500000022</v>
      </c>
      <c r="BHV362" s="633">
        <v>3549118.4400000018</v>
      </c>
      <c r="BHW362" s="634">
        <v>39996846</v>
      </c>
      <c r="BHX362" s="633">
        <f>SUM(BHK362:BHV362)</f>
        <v>39996846.150000013</v>
      </c>
      <c r="BHY362" s="631" t="s">
        <v>1836</v>
      </c>
      <c r="BHZ362" s="632" t="s">
        <v>1673</v>
      </c>
      <c r="BIA362" s="633">
        <v>3470702.0100000007</v>
      </c>
      <c r="BIB362" s="633">
        <v>3448347.94</v>
      </c>
      <c r="BIC362" s="633">
        <v>3398526.4800000009</v>
      </c>
      <c r="BID362" s="633">
        <v>2159854.59</v>
      </c>
      <c r="BIE362" s="633">
        <v>3563316.060000001</v>
      </c>
      <c r="BIF362" s="633">
        <v>3305610.92</v>
      </c>
      <c r="BIG362" s="633">
        <v>3255686.1799999992</v>
      </c>
      <c r="BIH362" s="633">
        <v>3172108.3800000018</v>
      </c>
      <c r="BII362" s="633">
        <v>3430726.5900000026</v>
      </c>
      <c r="BIJ362" s="633">
        <v>3636289.9099999997</v>
      </c>
      <c r="BIK362" s="633">
        <v>3606558.6500000022</v>
      </c>
      <c r="BIL362" s="633">
        <v>3549118.4400000018</v>
      </c>
      <c r="BIM362" s="634">
        <v>39996846</v>
      </c>
      <c r="BIN362" s="633">
        <f>SUM(BIA362:BIL362)</f>
        <v>39996846.150000013</v>
      </c>
      <c r="BIO362" s="631" t="s">
        <v>1836</v>
      </c>
      <c r="BIP362" s="632" t="s">
        <v>1673</v>
      </c>
      <c r="BIQ362" s="633">
        <v>3470702.0100000007</v>
      </c>
      <c r="BIR362" s="633">
        <v>3448347.94</v>
      </c>
      <c r="BIS362" s="633">
        <v>3398526.4800000009</v>
      </c>
      <c r="BIT362" s="633">
        <v>2159854.59</v>
      </c>
      <c r="BIU362" s="633">
        <v>3563316.060000001</v>
      </c>
      <c r="BIV362" s="633">
        <v>3305610.92</v>
      </c>
      <c r="BIW362" s="633">
        <v>3255686.1799999992</v>
      </c>
      <c r="BIX362" s="633">
        <v>3172108.3800000018</v>
      </c>
      <c r="BIY362" s="633">
        <v>3430726.5900000026</v>
      </c>
      <c r="BIZ362" s="633">
        <v>3636289.9099999997</v>
      </c>
      <c r="BJA362" s="633">
        <v>3606558.6500000022</v>
      </c>
      <c r="BJB362" s="633">
        <v>3549118.4400000018</v>
      </c>
      <c r="BJC362" s="634">
        <v>39996846</v>
      </c>
      <c r="BJD362" s="633">
        <f>SUM(BIQ362:BJB362)</f>
        <v>39996846.150000013</v>
      </c>
      <c r="BJE362" s="631" t="s">
        <v>1836</v>
      </c>
      <c r="BJF362" s="632" t="s">
        <v>1673</v>
      </c>
      <c r="BJG362" s="633">
        <v>3470702.0100000007</v>
      </c>
      <c r="BJH362" s="633">
        <v>3448347.94</v>
      </c>
      <c r="BJI362" s="633">
        <v>3398526.4800000009</v>
      </c>
      <c r="BJJ362" s="633">
        <v>2159854.59</v>
      </c>
      <c r="BJK362" s="633">
        <v>3563316.060000001</v>
      </c>
      <c r="BJL362" s="633">
        <v>3305610.92</v>
      </c>
      <c r="BJM362" s="633">
        <v>3255686.1799999992</v>
      </c>
      <c r="BJN362" s="633">
        <v>3172108.3800000018</v>
      </c>
      <c r="BJO362" s="633">
        <v>3430726.5900000026</v>
      </c>
      <c r="BJP362" s="633">
        <v>3636289.9099999997</v>
      </c>
      <c r="BJQ362" s="633">
        <v>3606558.6500000022</v>
      </c>
      <c r="BJR362" s="633">
        <v>3549118.4400000018</v>
      </c>
      <c r="BJS362" s="634">
        <v>39996846</v>
      </c>
      <c r="BJT362" s="633">
        <f>SUM(BJG362:BJR362)</f>
        <v>39996846.150000013</v>
      </c>
      <c r="BJU362" s="631" t="s">
        <v>1836</v>
      </c>
      <c r="BJV362" s="632" t="s">
        <v>1673</v>
      </c>
      <c r="BJW362" s="633">
        <v>3470702.0100000007</v>
      </c>
      <c r="BJX362" s="633">
        <v>3448347.94</v>
      </c>
      <c r="BJY362" s="633">
        <v>3398526.4800000009</v>
      </c>
      <c r="BJZ362" s="633">
        <v>2159854.59</v>
      </c>
      <c r="BKA362" s="633">
        <v>3563316.060000001</v>
      </c>
      <c r="BKB362" s="633">
        <v>3305610.92</v>
      </c>
      <c r="BKC362" s="633">
        <v>3255686.1799999992</v>
      </c>
      <c r="BKD362" s="633">
        <v>3172108.3800000018</v>
      </c>
      <c r="BKE362" s="633">
        <v>3430726.5900000026</v>
      </c>
      <c r="BKF362" s="633">
        <v>3636289.9099999997</v>
      </c>
      <c r="BKG362" s="633">
        <v>3606558.6500000022</v>
      </c>
      <c r="BKH362" s="633">
        <v>3549118.4400000018</v>
      </c>
      <c r="BKI362" s="634">
        <v>39996846</v>
      </c>
      <c r="BKJ362" s="633">
        <f>SUM(BJW362:BKH362)</f>
        <v>39996846.150000013</v>
      </c>
      <c r="BKK362" s="631" t="s">
        <v>1836</v>
      </c>
      <c r="BKL362" s="632" t="s">
        <v>1673</v>
      </c>
      <c r="BKM362" s="633">
        <v>3470702.0100000007</v>
      </c>
      <c r="BKN362" s="633">
        <v>3448347.94</v>
      </c>
      <c r="BKO362" s="633">
        <v>3398526.4800000009</v>
      </c>
      <c r="BKP362" s="633">
        <v>2159854.59</v>
      </c>
      <c r="BKQ362" s="633">
        <v>3563316.060000001</v>
      </c>
      <c r="BKR362" s="633">
        <v>3305610.92</v>
      </c>
      <c r="BKS362" s="633">
        <v>3255686.1799999992</v>
      </c>
      <c r="BKT362" s="633">
        <v>3172108.3800000018</v>
      </c>
      <c r="BKU362" s="633">
        <v>3430726.5900000026</v>
      </c>
      <c r="BKV362" s="633">
        <v>3636289.9099999997</v>
      </c>
      <c r="BKW362" s="633">
        <v>3606558.6500000022</v>
      </c>
      <c r="BKX362" s="633">
        <v>3549118.4400000018</v>
      </c>
      <c r="BKY362" s="634">
        <v>39996846</v>
      </c>
      <c r="BKZ362" s="633">
        <f>SUM(BKM362:BKX362)</f>
        <v>39996846.150000013</v>
      </c>
      <c r="BLA362" s="631" t="s">
        <v>1836</v>
      </c>
      <c r="BLB362" s="632" t="s">
        <v>1673</v>
      </c>
      <c r="BLC362" s="633">
        <v>3470702.0100000007</v>
      </c>
      <c r="BLD362" s="633">
        <v>3448347.94</v>
      </c>
      <c r="BLE362" s="633">
        <v>3398526.4800000009</v>
      </c>
      <c r="BLF362" s="633">
        <v>2159854.59</v>
      </c>
      <c r="BLG362" s="633">
        <v>3563316.060000001</v>
      </c>
      <c r="BLH362" s="633">
        <v>3305610.92</v>
      </c>
      <c r="BLI362" s="633">
        <v>3255686.1799999992</v>
      </c>
      <c r="BLJ362" s="633">
        <v>3172108.3800000018</v>
      </c>
      <c r="BLK362" s="633">
        <v>3430726.5900000026</v>
      </c>
      <c r="BLL362" s="633">
        <v>3636289.9099999997</v>
      </c>
      <c r="BLM362" s="633">
        <v>3606558.6500000022</v>
      </c>
      <c r="BLN362" s="633">
        <v>3549118.4400000018</v>
      </c>
      <c r="BLO362" s="634">
        <v>39996846</v>
      </c>
      <c r="BLP362" s="633">
        <f>SUM(BLC362:BLN362)</f>
        <v>39996846.150000013</v>
      </c>
      <c r="BLQ362" s="631" t="s">
        <v>1836</v>
      </c>
      <c r="BLR362" s="632" t="s">
        <v>1673</v>
      </c>
      <c r="BLS362" s="633">
        <v>3470702.0100000007</v>
      </c>
      <c r="BLT362" s="633">
        <v>3448347.94</v>
      </c>
      <c r="BLU362" s="633">
        <v>3398526.4800000009</v>
      </c>
      <c r="BLV362" s="633">
        <v>2159854.59</v>
      </c>
      <c r="BLW362" s="633">
        <v>3563316.060000001</v>
      </c>
      <c r="BLX362" s="633">
        <v>3305610.92</v>
      </c>
      <c r="BLY362" s="633">
        <v>3255686.1799999992</v>
      </c>
      <c r="BLZ362" s="633">
        <v>3172108.3800000018</v>
      </c>
      <c r="BMA362" s="633">
        <v>3430726.5900000026</v>
      </c>
      <c r="BMB362" s="633">
        <v>3636289.9099999997</v>
      </c>
      <c r="BMC362" s="633">
        <v>3606558.6500000022</v>
      </c>
      <c r="BMD362" s="633">
        <v>3549118.4400000018</v>
      </c>
      <c r="BME362" s="634">
        <v>39996846</v>
      </c>
      <c r="BMF362" s="633">
        <f>SUM(BLS362:BMD362)</f>
        <v>39996846.150000013</v>
      </c>
      <c r="BMG362" s="631" t="s">
        <v>1836</v>
      </c>
      <c r="BMH362" s="632" t="s">
        <v>1673</v>
      </c>
      <c r="BMI362" s="633">
        <v>3470702.0100000007</v>
      </c>
      <c r="BMJ362" s="633">
        <v>3448347.94</v>
      </c>
      <c r="BMK362" s="633">
        <v>3398526.4800000009</v>
      </c>
      <c r="BML362" s="633">
        <v>2159854.59</v>
      </c>
      <c r="BMM362" s="633">
        <v>3563316.060000001</v>
      </c>
      <c r="BMN362" s="633">
        <v>3305610.92</v>
      </c>
      <c r="BMO362" s="633">
        <v>3255686.1799999992</v>
      </c>
      <c r="BMP362" s="633">
        <v>3172108.3800000018</v>
      </c>
      <c r="BMQ362" s="633">
        <v>3430726.5900000026</v>
      </c>
      <c r="BMR362" s="633">
        <v>3636289.9099999997</v>
      </c>
      <c r="BMS362" s="633">
        <v>3606558.6500000022</v>
      </c>
      <c r="BMT362" s="633">
        <v>3549118.4400000018</v>
      </c>
      <c r="BMU362" s="634">
        <v>39996846</v>
      </c>
      <c r="BMV362" s="633">
        <f>SUM(BMI362:BMT362)</f>
        <v>39996846.150000013</v>
      </c>
      <c r="BMW362" s="631" t="s">
        <v>1836</v>
      </c>
      <c r="BMX362" s="632" t="s">
        <v>1673</v>
      </c>
      <c r="BMY362" s="633">
        <v>3470702.0100000007</v>
      </c>
      <c r="BMZ362" s="633">
        <v>3448347.94</v>
      </c>
      <c r="BNA362" s="633">
        <v>3398526.4800000009</v>
      </c>
      <c r="BNB362" s="633">
        <v>2159854.59</v>
      </c>
      <c r="BNC362" s="633">
        <v>3563316.060000001</v>
      </c>
      <c r="BND362" s="633">
        <v>3305610.92</v>
      </c>
      <c r="BNE362" s="633">
        <v>3255686.1799999992</v>
      </c>
      <c r="BNF362" s="633">
        <v>3172108.3800000018</v>
      </c>
      <c r="BNG362" s="633">
        <v>3430726.5900000026</v>
      </c>
      <c r="BNH362" s="633">
        <v>3636289.9099999997</v>
      </c>
      <c r="BNI362" s="633">
        <v>3606558.6500000022</v>
      </c>
      <c r="BNJ362" s="633">
        <v>3549118.4400000018</v>
      </c>
      <c r="BNK362" s="634">
        <v>39996846</v>
      </c>
      <c r="BNL362" s="633">
        <f>SUM(BMY362:BNJ362)</f>
        <v>39996846.150000013</v>
      </c>
      <c r="BNM362" s="631" t="s">
        <v>1836</v>
      </c>
      <c r="BNN362" s="632" t="s">
        <v>1673</v>
      </c>
      <c r="BNO362" s="633">
        <v>3470702.0100000007</v>
      </c>
      <c r="BNP362" s="633">
        <v>3448347.94</v>
      </c>
      <c r="BNQ362" s="633">
        <v>3398526.4800000009</v>
      </c>
      <c r="BNR362" s="633">
        <v>2159854.59</v>
      </c>
      <c r="BNS362" s="633">
        <v>3563316.060000001</v>
      </c>
      <c r="BNT362" s="633">
        <v>3305610.92</v>
      </c>
      <c r="BNU362" s="633">
        <v>3255686.1799999992</v>
      </c>
      <c r="BNV362" s="633">
        <v>3172108.3800000018</v>
      </c>
      <c r="BNW362" s="633">
        <v>3430726.5900000026</v>
      </c>
      <c r="BNX362" s="633">
        <v>3636289.9099999997</v>
      </c>
      <c r="BNY362" s="633">
        <v>3606558.6500000022</v>
      </c>
      <c r="BNZ362" s="633">
        <v>3549118.4400000018</v>
      </c>
      <c r="BOA362" s="634">
        <v>39996846</v>
      </c>
      <c r="BOB362" s="633">
        <f>SUM(BNO362:BNZ362)</f>
        <v>39996846.150000013</v>
      </c>
      <c r="BOC362" s="631" t="s">
        <v>1836</v>
      </c>
      <c r="BOD362" s="632" t="s">
        <v>1673</v>
      </c>
      <c r="BOE362" s="633">
        <v>3470702.0100000007</v>
      </c>
      <c r="BOF362" s="633">
        <v>3448347.94</v>
      </c>
      <c r="BOG362" s="633">
        <v>3398526.4800000009</v>
      </c>
      <c r="BOH362" s="633">
        <v>2159854.59</v>
      </c>
      <c r="BOI362" s="633">
        <v>3563316.060000001</v>
      </c>
      <c r="BOJ362" s="633">
        <v>3305610.92</v>
      </c>
      <c r="BOK362" s="633">
        <v>3255686.1799999992</v>
      </c>
      <c r="BOL362" s="633">
        <v>3172108.3800000018</v>
      </c>
      <c r="BOM362" s="633">
        <v>3430726.5900000026</v>
      </c>
      <c r="BON362" s="633">
        <v>3636289.9099999997</v>
      </c>
      <c r="BOO362" s="633">
        <v>3606558.6500000022</v>
      </c>
      <c r="BOP362" s="633">
        <v>3549118.4400000018</v>
      </c>
      <c r="BOQ362" s="634">
        <v>39996846</v>
      </c>
      <c r="BOR362" s="633">
        <f>SUM(BOE362:BOP362)</f>
        <v>39996846.150000013</v>
      </c>
      <c r="BOS362" s="631" t="s">
        <v>1836</v>
      </c>
      <c r="BOT362" s="632" t="s">
        <v>1673</v>
      </c>
      <c r="BOU362" s="633">
        <v>3470702.0100000007</v>
      </c>
      <c r="BOV362" s="633">
        <v>3448347.94</v>
      </c>
      <c r="BOW362" s="633">
        <v>3398526.4800000009</v>
      </c>
      <c r="BOX362" s="633">
        <v>2159854.59</v>
      </c>
      <c r="BOY362" s="633">
        <v>3563316.060000001</v>
      </c>
      <c r="BOZ362" s="633">
        <v>3305610.92</v>
      </c>
      <c r="BPA362" s="633">
        <v>3255686.1799999992</v>
      </c>
      <c r="BPB362" s="633">
        <v>3172108.3800000018</v>
      </c>
      <c r="BPC362" s="633">
        <v>3430726.5900000026</v>
      </c>
      <c r="BPD362" s="633">
        <v>3636289.9099999997</v>
      </c>
      <c r="BPE362" s="633">
        <v>3606558.6500000022</v>
      </c>
      <c r="BPF362" s="633">
        <v>3549118.4400000018</v>
      </c>
      <c r="BPG362" s="634">
        <v>39996846</v>
      </c>
      <c r="BPH362" s="633">
        <f>SUM(BOU362:BPF362)</f>
        <v>39996846.150000013</v>
      </c>
      <c r="BPI362" s="631" t="s">
        <v>1836</v>
      </c>
      <c r="BPJ362" s="632" t="s">
        <v>1673</v>
      </c>
      <c r="BPK362" s="633">
        <v>3470702.0100000007</v>
      </c>
      <c r="BPL362" s="633">
        <v>3448347.94</v>
      </c>
      <c r="BPM362" s="633">
        <v>3398526.4800000009</v>
      </c>
      <c r="BPN362" s="633">
        <v>2159854.59</v>
      </c>
      <c r="BPO362" s="633">
        <v>3563316.060000001</v>
      </c>
      <c r="BPP362" s="633">
        <v>3305610.92</v>
      </c>
      <c r="BPQ362" s="633">
        <v>3255686.1799999992</v>
      </c>
      <c r="BPR362" s="633">
        <v>3172108.3800000018</v>
      </c>
      <c r="BPS362" s="633">
        <v>3430726.5900000026</v>
      </c>
      <c r="BPT362" s="633">
        <v>3636289.9099999997</v>
      </c>
      <c r="BPU362" s="633">
        <v>3606558.6500000022</v>
      </c>
      <c r="BPV362" s="633">
        <v>3549118.4400000018</v>
      </c>
      <c r="BPW362" s="634">
        <v>39996846</v>
      </c>
      <c r="BPX362" s="633">
        <f>SUM(BPK362:BPV362)</f>
        <v>39996846.150000013</v>
      </c>
      <c r="BPY362" s="631" t="s">
        <v>1836</v>
      </c>
      <c r="BPZ362" s="632" t="s">
        <v>1673</v>
      </c>
      <c r="BQA362" s="633">
        <v>3470702.0100000007</v>
      </c>
      <c r="BQB362" s="633">
        <v>3448347.94</v>
      </c>
      <c r="BQC362" s="633">
        <v>3398526.4800000009</v>
      </c>
      <c r="BQD362" s="633">
        <v>2159854.59</v>
      </c>
      <c r="BQE362" s="633">
        <v>3563316.060000001</v>
      </c>
      <c r="BQF362" s="633">
        <v>3305610.92</v>
      </c>
      <c r="BQG362" s="633">
        <v>3255686.1799999992</v>
      </c>
      <c r="BQH362" s="633">
        <v>3172108.3800000018</v>
      </c>
      <c r="BQI362" s="633">
        <v>3430726.5900000026</v>
      </c>
      <c r="BQJ362" s="633">
        <v>3636289.9099999997</v>
      </c>
      <c r="BQK362" s="633">
        <v>3606558.6500000022</v>
      </c>
      <c r="BQL362" s="633">
        <v>3549118.4400000018</v>
      </c>
      <c r="BQM362" s="634">
        <v>39996846</v>
      </c>
      <c r="BQN362" s="633">
        <f>SUM(BQA362:BQL362)</f>
        <v>39996846.150000013</v>
      </c>
      <c r="BQO362" s="631" t="s">
        <v>1836</v>
      </c>
      <c r="BQP362" s="632" t="s">
        <v>1673</v>
      </c>
      <c r="BQQ362" s="633">
        <v>3470702.0100000007</v>
      </c>
      <c r="BQR362" s="633">
        <v>3448347.94</v>
      </c>
      <c r="BQS362" s="633">
        <v>3398526.4800000009</v>
      </c>
      <c r="BQT362" s="633">
        <v>2159854.59</v>
      </c>
      <c r="BQU362" s="633">
        <v>3563316.060000001</v>
      </c>
      <c r="BQV362" s="633">
        <v>3305610.92</v>
      </c>
      <c r="BQW362" s="633">
        <v>3255686.1799999992</v>
      </c>
      <c r="BQX362" s="633">
        <v>3172108.3800000018</v>
      </c>
      <c r="BQY362" s="633">
        <v>3430726.5900000026</v>
      </c>
      <c r="BQZ362" s="633">
        <v>3636289.9099999997</v>
      </c>
      <c r="BRA362" s="633">
        <v>3606558.6500000022</v>
      </c>
      <c r="BRB362" s="633">
        <v>3549118.4400000018</v>
      </c>
      <c r="BRC362" s="634">
        <v>39996846</v>
      </c>
      <c r="BRD362" s="633">
        <f>SUM(BQQ362:BRB362)</f>
        <v>39996846.150000013</v>
      </c>
      <c r="BRE362" s="631" t="s">
        <v>1836</v>
      </c>
      <c r="BRF362" s="632" t="s">
        <v>1673</v>
      </c>
      <c r="BRG362" s="633">
        <v>3470702.0100000007</v>
      </c>
      <c r="BRH362" s="633">
        <v>3448347.94</v>
      </c>
      <c r="BRI362" s="633">
        <v>3398526.4800000009</v>
      </c>
      <c r="BRJ362" s="633">
        <v>2159854.59</v>
      </c>
      <c r="BRK362" s="633">
        <v>3563316.060000001</v>
      </c>
      <c r="BRL362" s="633">
        <v>3305610.92</v>
      </c>
      <c r="BRM362" s="633">
        <v>3255686.1799999992</v>
      </c>
      <c r="BRN362" s="633">
        <v>3172108.3800000018</v>
      </c>
      <c r="BRO362" s="633">
        <v>3430726.5900000026</v>
      </c>
      <c r="BRP362" s="633">
        <v>3636289.9099999997</v>
      </c>
      <c r="BRQ362" s="633">
        <v>3606558.6500000022</v>
      </c>
      <c r="BRR362" s="633">
        <v>3549118.4400000018</v>
      </c>
      <c r="BRS362" s="634">
        <v>39996846</v>
      </c>
      <c r="BRT362" s="633">
        <f>SUM(BRG362:BRR362)</f>
        <v>39996846.150000013</v>
      </c>
      <c r="BRU362" s="631" t="s">
        <v>1836</v>
      </c>
      <c r="BRV362" s="632" t="s">
        <v>1673</v>
      </c>
      <c r="BRW362" s="633">
        <v>3470702.0100000007</v>
      </c>
      <c r="BRX362" s="633">
        <v>3448347.94</v>
      </c>
      <c r="BRY362" s="633">
        <v>3398526.4800000009</v>
      </c>
      <c r="BRZ362" s="633">
        <v>2159854.59</v>
      </c>
      <c r="BSA362" s="633">
        <v>3563316.060000001</v>
      </c>
      <c r="BSB362" s="633">
        <v>3305610.92</v>
      </c>
      <c r="BSC362" s="633">
        <v>3255686.1799999992</v>
      </c>
      <c r="BSD362" s="633">
        <v>3172108.3800000018</v>
      </c>
      <c r="BSE362" s="633">
        <v>3430726.5900000026</v>
      </c>
      <c r="BSF362" s="633">
        <v>3636289.9099999997</v>
      </c>
      <c r="BSG362" s="633">
        <v>3606558.6500000022</v>
      </c>
      <c r="BSH362" s="633">
        <v>3549118.4400000018</v>
      </c>
      <c r="BSI362" s="634">
        <v>39996846</v>
      </c>
      <c r="BSJ362" s="633">
        <f>SUM(BRW362:BSH362)</f>
        <v>39996846.150000013</v>
      </c>
      <c r="BSK362" s="631" t="s">
        <v>1836</v>
      </c>
      <c r="BSL362" s="632" t="s">
        <v>1673</v>
      </c>
      <c r="BSM362" s="633">
        <v>3470702.0100000007</v>
      </c>
      <c r="BSN362" s="633">
        <v>3448347.94</v>
      </c>
      <c r="BSO362" s="633">
        <v>3398526.4800000009</v>
      </c>
      <c r="BSP362" s="633">
        <v>2159854.59</v>
      </c>
      <c r="BSQ362" s="633">
        <v>3563316.060000001</v>
      </c>
      <c r="BSR362" s="633">
        <v>3305610.92</v>
      </c>
      <c r="BSS362" s="633">
        <v>3255686.1799999992</v>
      </c>
      <c r="BST362" s="633">
        <v>3172108.3800000018</v>
      </c>
      <c r="BSU362" s="633">
        <v>3430726.5900000026</v>
      </c>
      <c r="BSV362" s="633">
        <v>3636289.9099999997</v>
      </c>
      <c r="BSW362" s="633">
        <v>3606558.6500000022</v>
      </c>
      <c r="BSX362" s="633">
        <v>3549118.4400000018</v>
      </c>
      <c r="BSY362" s="634">
        <v>39996846</v>
      </c>
      <c r="BSZ362" s="633">
        <f>SUM(BSM362:BSX362)</f>
        <v>39996846.150000013</v>
      </c>
      <c r="BTA362" s="631" t="s">
        <v>1836</v>
      </c>
      <c r="BTB362" s="632" t="s">
        <v>1673</v>
      </c>
      <c r="BTC362" s="633">
        <v>3470702.0100000007</v>
      </c>
      <c r="BTD362" s="633">
        <v>3448347.94</v>
      </c>
      <c r="BTE362" s="633">
        <v>3398526.4800000009</v>
      </c>
      <c r="BTF362" s="633">
        <v>2159854.59</v>
      </c>
      <c r="BTG362" s="633">
        <v>3563316.060000001</v>
      </c>
      <c r="BTH362" s="633">
        <v>3305610.92</v>
      </c>
      <c r="BTI362" s="633">
        <v>3255686.1799999992</v>
      </c>
      <c r="BTJ362" s="633">
        <v>3172108.3800000018</v>
      </c>
      <c r="BTK362" s="633">
        <v>3430726.5900000026</v>
      </c>
      <c r="BTL362" s="633">
        <v>3636289.9099999997</v>
      </c>
      <c r="BTM362" s="633">
        <v>3606558.6500000022</v>
      </c>
      <c r="BTN362" s="633">
        <v>3549118.4400000018</v>
      </c>
      <c r="BTO362" s="634">
        <v>39996846</v>
      </c>
      <c r="BTP362" s="633">
        <f>SUM(BTC362:BTN362)</f>
        <v>39996846.150000013</v>
      </c>
      <c r="BTQ362" s="631" t="s">
        <v>1836</v>
      </c>
      <c r="BTR362" s="632" t="s">
        <v>1673</v>
      </c>
      <c r="BTS362" s="633">
        <v>3470702.0100000007</v>
      </c>
      <c r="BTT362" s="633">
        <v>3448347.94</v>
      </c>
      <c r="BTU362" s="633">
        <v>3398526.4800000009</v>
      </c>
      <c r="BTV362" s="633">
        <v>2159854.59</v>
      </c>
      <c r="BTW362" s="633">
        <v>3563316.060000001</v>
      </c>
      <c r="BTX362" s="633">
        <v>3305610.92</v>
      </c>
      <c r="BTY362" s="633">
        <v>3255686.1799999992</v>
      </c>
      <c r="BTZ362" s="633">
        <v>3172108.3800000018</v>
      </c>
      <c r="BUA362" s="633">
        <v>3430726.5900000026</v>
      </c>
      <c r="BUB362" s="633">
        <v>3636289.9099999997</v>
      </c>
      <c r="BUC362" s="633">
        <v>3606558.6500000022</v>
      </c>
      <c r="BUD362" s="633">
        <v>3549118.4400000018</v>
      </c>
      <c r="BUE362" s="634">
        <v>39996846</v>
      </c>
      <c r="BUF362" s="633">
        <f>SUM(BTS362:BUD362)</f>
        <v>39996846.150000013</v>
      </c>
      <c r="BUG362" s="631" t="s">
        <v>1836</v>
      </c>
      <c r="BUH362" s="632" t="s">
        <v>1673</v>
      </c>
      <c r="BUI362" s="633">
        <v>3470702.0100000007</v>
      </c>
      <c r="BUJ362" s="633">
        <v>3448347.94</v>
      </c>
      <c r="BUK362" s="633">
        <v>3398526.4800000009</v>
      </c>
      <c r="BUL362" s="633">
        <v>2159854.59</v>
      </c>
      <c r="BUM362" s="633">
        <v>3563316.060000001</v>
      </c>
      <c r="BUN362" s="633">
        <v>3305610.92</v>
      </c>
      <c r="BUO362" s="633">
        <v>3255686.1799999992</v>
      </c>
      <c r="BUP362" s="633">
        <v>3172108.3800000018</v>
      </c>
      <c r="BUQ362" s="633">
        <v>3430726.5900000026</v>
      </c>
      <c r="BUR362" s="633">
        <v>3636289.9099999997</v>
      </c>
      <c r="BUS362" s="633">
        <v>3606558.6500000022</v>
      </c>
      <c r="BUT362" s="633">
        <v>3549118.4400000018</v>
      </c>
      <c r="BUU362" s="634">
        <v>39996846</v>
      </c>
      <c r="BUV362" s="633">
        <f>SUM(BUI362:BUT362)</f>
        <v>39996846.150000013</v>
      </c>
      <c r="BUW362" s="631" t="s">
        <v>1836</v>
      </c>
      <c r="BUX362" s="632" t="s">
        <v>1673</v>
      </c>
      <c r="BUY362" s="633">
        <v>3470702.0100000007</v>
      </c>
      <c r="BUZ362" s="633">
        <v>3448347.94</v>
      </c>
      <c r="BVA362" s="633">
        <v>3398526.4800000009</v>
      </c>
      <c r="BVB362" s="633">
        <v>2159854.59</v>
      </c>
      <c r="BVC362" s="633">
        <v>3563316.060000001</v>
      </c>
      <c r="BVD362" s="633">
        <v>3305610.92</v>
      </c>
      <c r="BVE362" s="633">
        <v>3255686.1799999992</v>
      </c>
      <c r="BVF362" s="633">
        <v>3172108.3800000018</v>
      </c>
      <c r="BVG362" s="633">
        <v>3430726.5900000026</v>
      </c>
      <c r="BVH362" s="633">
        <v>3636289.9099999997</v>
      </c>
      <c r="BVI362" s="633">
        <v>3606558.6500000022</v>
      </c>
      <c r="BVJ362" s="633">
        <v>3549118.4400000018</v>
      </c>
      <c r="BVK362" s="634">
        <v>39996846</v>
      </c>
      <c r="BVL362" s="633">
        <f>SUM(BUY362:BVJ362)</f>
        <v>39996846.150000013</v>
      </c>
      <c r="BVM362" s="631" t="s">
        <v>1836</v>
      </c>
      <c r="BVN362" s="632" t="s">
        <v>1673</v>
      </c>
      <c r="BVO362" s="633">
        <v>3470702.0100000007</v>
      </c>
      <c r="BVP362" s="633">
        <v>3448347.94</v>
      </c>
      <c r="BVQ362" s="633">
        <v>3398526.4800000009</v>
      </c>
      <c r="BVR362" s="633">
        <v>2159854.59</v>
      </c>
      <c r="BVS362" s="633">
        <v>3563316.060000001</v>
      </c>
      <c r="BVT362" s="633">
        <v>3305610.92</v>
      </c>
      <c r="BVU362" s="633">
        <v>3255686.1799999992</v>
      </c>
      <c r="BVV362" s="633">
        <v>3172108.3800000018</v>
      </c>
      <c r="BVW362" s="633">
        <v>3430726.5900000026</v>
      </c>
      <c r="BVX362" s="633">
        <v>3636289.9099999997</v>
      </c>
      <c r="BVY362" s="633">
        <v>3606558.6500000022</v>
      </c>
      <c r="BVZ362" s="633">
        <v>3549118.4400000018</v>
      </c>
      <c r="BWA362" s="634">
        <v>39996846</v>
      </c>
      <c r="BWB362" s="633">
        <f>SUM(BVO362:BVZ362)</f>
        <v>39996846.150000013</v>
      </c>
      <c r="BWC362" s="631" t="s">
        <v>1836</v>
      </c>
      <c r="BWD362" s="632" t="s">
        <v>1673</v>
      </c>
      <c r="BWE362" s="633">
        <v>3470702.0100000007</v>
      </c>
      <c r="BWF362" s="633">
        <v>3448347.94</v>
      </c>
      <c r="BWG362" s="633">
        <v>3398526.4800000009</v>
      </c>
      <c r="BWH362" s="633">
        <v>2159854.59</v>
      </c>
      <c r="BWI362" s="633">
        <v>3563316.060000001</v>
      </c>
      <c r="BWJ362" s="633">
        <v>3305610.92</v>
      </c>
      <c r="BWK362" s="633">
        <v>3255686.1799999992</v>
      </c>
      <c r="BWL362" s="633">
        <v>3172108.3800000018</v>
      </c>
      <c r="BWM362" s="633">
        <v>3430726.5900000026</v>
      </c>
      <c r="BWN362" s="633">
        <v>3636289.9099999997</v>
      </c>
      <c r="BWO362" s="633">
        <v>3606558.6500000022</v>
      </c>
      <c r="BWP362" s="633">
        <v>3549118.4400000018</v>
      </c>
      <c r="BWQ362" s="634">
        <v>39996846</v>
      </c>
      <c r="BWR362" s="633">
        <f>SUM(BWE362:BWP362)</f>
        <v>39996846.150000013</v>
      </c>
      <c r="BWS362" s="631" t="s">
        <v>1836</v>
      </c>
      <c r="BWT362" s="632" t="s">
        <v>1673</v>
      </c>
      <c r="BWU362" s="633">
        <v>3470702.0100000007</v>
      </c>
      <c r="BWV362" s="633">
        <v>3448347.94</v>
      </c>
      <c r="BWW362" s="633">
        <v>3398526.4800000009</v>
      </c>
      <c r="BWX362" s="633">
        <v>2159854.59</v>
      </c>
      <c r="BWY362" s="633">
        <v>3563316.060000001</v>
      </c>
      <c r="BWZ362" s="633">
        <v>3305610.92</v>
      </c>
      <c r="BXA362" s="633">
        <v>3255686.1799999992</v>
      </c>
      <c r="BXB362" s="633">
        <v>3172108.3800000018</v>
      </c>
      <c r="BXC362" s="633">
        <v>3430726.5900000026</v>
      </c>
      <c r="BXD362" s="633">
        <v>3636289.9099999997</v>
      </c>
      <c r="BXE362" s="633">
        <v>3606558.6500000022</v>
      </c>
      <c r="BXF362" s="633">
        <v>3549118.4400000018</v>
      </c>
      <c r="BXG362" s="634">
        <v>39996846</v>
      </c>
      <c r="BXH362" s="633">
        <f>SUM(BWU362:BXF362)</f>
        <v>39996846.150000013</v>
      </c>
      <c r="BXI362" s="631" t="s">
        <v>1836</v>
      </c>
      <c r="BXJ362" s="632" t="s">
        <v>1673</v>
      </c>
      <c r="BXK362" s="633">
        <v>3470702.0100000007</v>
      </c>
      <c r="BXL362" s="633">
        <v>3448347.94</v>
      </c>
      <c r="BXM362" s="633">
        <v>3398526.4800000009</v>
      </c>
      <c r="BXN362" s="633">
        <v>2159854.59</v>
      </c>
      <c r="BXO362" s="633">
        <v>3563316.060000001</v>
      </c>
      <c r="BXP362" s="633">
        <v>3305610.92</v>
      </c>
      <c r="BXQ362" s="633">
        <v>3255686.1799999992</v>
      </c>
      <c r="BXR362" s="633">
        <v>3172108.3800000018</v>
      </c>
      <c r="BXS362" s="633">
        <v>3430726.5900000026</v>
      </c>
      <c r="BXT362" s="633">
        <v>3636289.9099999997</v>
      </c>
      <c r="BXU362" s="633">
        <v>3606558.6500000022</v>
      </c>
      <c r="BXV362" s="633">
        <v>3549118.4400000018</v>
      </c>
      <c r="BXW362" s="634">
        <v>39996846</v>
      </c>
      <c r="BXX362" s="633">
        <f>SUM(BXK362:BXV362)</f>
        <v>39996846.150000013</v>
      </c>
      <c r="BXY362" s="631" t="s">
        <v>1836</v>
      </c>
      <c r="BXZ362" s="632" t="s">
        <v>1673</v>
      </c>
      <c r="BYA362" s="633">
        <v>3470702.0100000007</v>
      </c>
      <c r="BYB362" s="633">
        <v>3448347.94</v>
      </c>
      <c r="BYC362" s="633">
        <v>3398526.4800000009</v>
      </c>
      <c r="BYD362" s="633">
        <v>2159854.59</v>
      </c>
      <c r="BYE362" s="633">
        <v>3563316.060000001</v>
      </c>
      <c r="BYF362" s="633">
        <v>3305610.92</v>
      </c>
      <c r="BYG362" s="633">
        <v>3255686.1799999992</v>
      </c>
      <c r="BYH362" s="633">
        <v>3172108.3800000018</v>
      </c>
      <c r="BYI362" s="633">
        <v>3430726.5900000026</v>
      </c>
      <c r="BYJ362" s="633">
        <v>3636289.9099999997</v>
      </c>
      <c r="BYK362" s="633">
        <v>3606558.6500000022</v>
      </c>
      <c r="BYL362" s="633">
        <v>3549118.4400000018</v>
      </c>
      <c r="BYM362" s="634">
        <v>39996846</v>
      </c>
      <c r="BYN362" s="633">
        <f>SUM(BYA362:BYL362)</f>
        <v>39996846.150000013</v>
      </c>
      <c r="BYO362" s="631" t="s">
        <v>1836</v>
      </c>
      <c r="BYP362" s="632" t="s">
        <v>1673</v>
      </c>
      <c r="BYQ362" s="633">
        <v>3470702.0100000007</v>
      </c>
      <c r="BYR362" s="633">
        <v>3448347.94</v>
      </c>
      <c r="BYS362" s="633">
        <v>3398526.4800000009</v>
      </c>
      <c r="BYT362" s="633">
        <v>2159854.59</v>
      </c>
      <c r="BYU362" s="633">
        <v>3563316.060000001</v>
      </c>
      <c r="BYV362" s="633">
        <v>3305610.92</v>
      </c>
      <c r="BYW362" s="633">
        <v>3255686.1799999992</v>
      </c>
      <c r="BYX362" s="633">
        <v>3172108.3800000018</v>
      </c>
      <c r="BYY362" s="633">
        <v>3430726.5900000026</v>
      </c>
      <c r="BYZ362" s="633">
        <v>3636289.9099999997</v>
      </c>
      <c r="BZA362" s="633">
        <v>3606558.6500000022</v>
      </c>
      <c r="BZB362" s="633">
        <v>3549118.4400000018</v>
      </c>
      <c r="BZC362" s="634">
        <v>39996846</v>
      </c>
      <c r="BZD362" s="633">
        <f>SUM(BYQ362:BZB362)</f>
        <v>39996846.150000013</v>
      </c>
      <c r="BZE362" s="631" t="s">
        <v>1836</v>
      </c>
      <c r="BZF362" s="632" t="s">
        <v>1673</v>
      </c>
      <c r="BZG362" s="633">
        <v>3470702.0100000007</v>
      </c>
      <c r="BZH362" s="633">
        <v>3448347.94</v>
      </c>
      <c r="BZI362" s="633">
        <v>3398526.4800000009</v>
      </c>
      <c r="BZJ362" s="633">
        <v>2159854.59</v>
      </c>
      <c r="BZK362" s="633">
        <v>3563316.060000001</v>
      </c>
      <c r="BZL362" s="633">
        <v>3305610.92</v>
      </c>
      <c r="BZM362" s="633">
        <v>3255686.1799999992</v>
      </c>
      <c r="BZN362" s="633">
        <v>3172108.3800000018</v>
      </c>
      <c r="BZO362" s="633">
        <v>3430726.5900000026</v>
      </c>
      <c r="BZP362" s="633">
        <v>3636289.9099999997</v>
      </c>
      <c r="BZQ362" s="633">
        <v>3606558.6500000022</v>
      </c>
      <c r="BZR362" s="633">
        <v>3549118.4400000018</v>
      </c>
      <c r="BZS362" s="634">
        <v>39996846</v>
      </c>
      <c r="BZT362" s="633">
        <f>SUM(BZG362:BZR362)</f>
        <v>39996846.150000013</v>
      </c>
      <c r="BZU362" s="631" t="s">
        <v>1836</v>
      </c>
      <c r="BZV362" s="632" t="s">
        <v>1673</v>
      </c>
      <c r="BZW362" s="633">
        <v>3470702.0100000007</v>
      </c>
      <c r="BZX362" s="633">
        <v>3448347.94</v>
      </c>
      <c r="BZY362" s="633">
        <v>3398526.4800000009</v>
      </c>
      <c r="BZZ362" s="633">
        <v>2159854.59</v>
      </c>
      <c r="CAA362" s="633">
        <v>3563316.060000001</v>
      </c>
      <c r="CAB362" s="633">
        <v>3305610.92</v>
      </c>
      <c r="CAC362" s="633">
        <v>3255686.1799999992</v>
      </c>
      <c r="CAD362" s="633">
        <v>3172108.3800000018</v>
      </c>
      <c r="CAE362" s="633">
        <v>3430726.5900000026</v>
      </c>
      <c r="CAF362" s="633">
        <v>3636289.9099999997</v>
      </c>
      <c r="CAG362" s="633">
        <v>3606558.6500000022</v>
      </c>
      <c r="CAH362" s="633">
        <v>3549118.4400000018</v>
      </c>
      <c r="CAI362" s="634">
        <v>39996846</v>
      </c>
      <c r="CAJ362" s="633">
        <f>SUM(BZW362:CAH362)</f>
        <v>39996846.150000013</v>
      </c>
      <c r="CAK362" s="631" t="s">
        <v>1836</v>
      </c>
      <c r="CAL362" s="632" t="s">
        <v>1673</v>
      </c>
      <c r="CAM362" s="633">
        <v>3470702.0100000007</v>
      </c>
      <c r="CAN362" s="633">
        <v>3448347.94</v>
      </c>
      <c r="CAO362" s="633">
        <v>3398526.4800000009</v>
      </c>
      <c r="CAP362" s="633">
        <v>2159854.59</v>
      </c>
      <c r="CAQ362" s="633">
        <v>3563316.060000001</v>
      </c>
      <c r="CAR362" s="633">
        <v>3305610.92</v>
      </c>
      <c r="CAS362" s="633">
        <v>3255686.1799999992</v>
      </c>
      <c r="CAT362" s="633">
        <v>3172108.3800000018</v>
      </c>
      <c r="CAU362" s="633">
        <v>3430726.5900000026</v>
      </c>
      <c r="CAV362" s="633">
        <v>3636289.9099999997</v>
      </c>
      <c r="CAW362" s="633">
        <v>3606558.6500000022</v>
      </c>
      <c r="CAX362" s="633">
        <v>3549118.4400000018</v>
      </c>
      <c r="CAY362" s="634">
        <v>39996846</v>
      </c>
      <c r="CAZ362" s="633">
        <f>SUM(CAM362:CAX362)</f>
        <v>39996846.150000013</v>
      </c>
      <c r="CBA362" s="631" t="s">
        <v>1836</v>
      </c>
      <c r="CBB362" s="632" t="s">
        <v>1673</v>
      </c>
      <c r="CBC362" s="633">
        <v>3470702.0100000007</v>
      </c>
      <c r="CBD362" s="633">
        <v>3448347.94</v>
      </c>
      <c r="CBE362" s="633">
        <v>3398526.4800000009</v>
      </c>
      <c r="CBF362" s="633">
        <v>2159854.59</v>
      </c>
      <c r="CBG362" s="633">
        <v>3563316.060000001</v>
      </c>
      <c r="CBH362" s="633">
        <v>3305610.92</v>
      </c>
      <c r="CBI362" s="633">
        <v>3255686.1799999992</v>
      </c>
      <c r="CBJ362" s="633">
        <v>3172108.3800000018</v>
      </c>
      <c r="CBK362" s="633">
        <v>3430726.5900000026</v>
      </c>
      <c r="CBL362" s="633">
        <v>3636289.9099999997</v>
      </c>
      <c r="CBM362" s="633">
        <v>3606558.6500000022</v>
      </c>
      <c r="CBN362" s="633">
        <v>3549118.4400000018</v>
      </c>
      <c r="CBO362" s="634">
        <v>39996846</v>
      </c>
      <c r="CBP362" s="633">
        <f>SUM(CBC362:CBN362)</f>
        <v>39996846.150000013</v>
      </c>
      <c r="CBQ362" s="631" t="s">
        <v>1836</v>
      </c>
      <c r="CBR362" s="632" t="s">
        <v>1673</v>
      </c>
      <c r="CBS362" s="633">
        <v>3470702.0100000007</v>
      </c>
      <c r="CBT362" s="633">
        <v>3448347.94</v>
      </c>
      <c r="CBU362" s="633">
        <v>3398526.4800000009</v>
      </c>
      <c r="CBV362" s="633">
        <v>2159854.59</v>
      </c>
      <c r="CBW362" s="633">
        <v>3563316.060000001</v>
      </c>
      <c r="CBX362" s="633">
        <v>3305610.92</v>
      </c>
      <c r="CBY362" s="633">
        <v>3255686.1799999992</v>
      </c>
      <c r="CBZ362" s="633">
        <v>3172108.3800000018</v>
      </c>
      <c r="CCA362" s="633">
        <v>3430726.5900000026</v>
      </c>
      <c r="CCB362" s="633">
        <v>3636289.9099999997</v>
      </c>
      <c r="CCC362" s="633">
        <v>3606558.6500000022</v>
      </c>
      <c r="CCD362" s="633">
        <v>3549118.4400000018</v>
      </c>
      <c r="CCE362" s="634">
        <v>39996846</v>
      </c>
      <c r="CCF362" s="633">
        <f>SUM(CBS362:CCD362)</f>
        <v>39996846.150000013</v>
      </c>
      <c r="CCG362" s="631" t="s">
        <v>1836</v>
      </c>
      <c r="CCH362" s="632" t="s">
        <v>1673</v>
      </c>
      <c r="CCI362" s="633">
        <v>3470702.0100000007</v>
      </c>
      <c r="CCJ362" s="633">
        <v>3448347.94</v>
      </c>
      <c r="CCK362" s="633">
        <v>3398526.4800000009</v>
      </c>
      <c r="CCL362" s="633">
        <v>2159854.59</v>
      </c>
      <c r="CCM362" s="633">
        <v>3563316.060000001</v>
      </c>
      <c r="CCN362" s="633">
        <v>3305610.92</v>
      </c>
      <c r="CCO362" s="633">
        <v>3255686.1799999992</v>
      </c>
      <c r="CCP362" s="633">
        <v>3172108.3800000018</v>
      </c>
      <c r="CCQ362" s="633">
        <v>3430726.5900000026</v>
      </c>
      <c r="CCR362" s="633">
        <v>3636289.9099999997</v>
      </c>
      <c r="CCS362" s="633">
        <v>3606558.6500000022</v>
      </c>
      <c r="CCT362" s="633">
        <v>3549118.4400000018</v>
      </c>
      <c r="CCU362" s="634">
        <v>39996846</v>
      </c>
      <c r="CCV362" s="633">
        <f>SUM(CCI362:CCT362)</f>
        <v>39996846.150000013</v>
      </c>
      <c r="CCW362" s="631" t="s">
        <v>1836</v>
      </c>
      <c r="CCX362" s="632" t="s">
        <v>1673</v>
      </c>
      <c r="CCY362" s="633">
        <v>3470702.0100000007</v>
      </c>
      <c r="CCZ362" s="633">
        <v>3448347.94</v>
      </c>
      <c r="CDA362" s="633">
        <v>3398526.4800000009</v>
      </c>
      <c r="CDB362" s="633">
        <v>2159854.59</v>
      </c>
      <c r="CDC362" s="633">
        <v>3563316.060000001</v>
      </c>
      <c r="CDD362" s="633">
        <v>3305610.92</v>
      </c>
      <c r="CDE362" s="633">
        <v>3255686.1799999992</v>
      </c>
      <c r="CDF362" s="633">
        <v>3172108.3800000018</v>
      </c>
      <c r="CDG362" s="633">
        <v>3430726.5900000026</v>
      </c>
      <c r="CDH362" s="633">
        <v>3636289.9099999997</v>
      </c>
      <c r="CDI362" s="633">
        <v>3606558.6500000022</v>
      </c>
      <c r="CDJ362" s="633">
        <v>3549118.4400000018</v>
      </c>
      <c r="CDK362" s="634">
        <v>39996846</v>
      </c>
      <c r="CDL362" s="633">
        <f>SUM(CCY362:CDJ362)</f>
        <v>39996846.150000013</v>
      </c>
      <c r="CDM362" s="631" t="s">
        <v>1836</v>
      </c>
      <c r="CDN362" s="632" t="s">
        <v>1673</v>
      </c>
      <c r="CDO362" s="633">
        <v>3470702.0100000007</v>
      </c>
      <c r="CDP362" s="633">
        <v>3448347.94</v>
      </c>
      <c r="CDQ362" s="633">
        <v>3398526.4800000009</v>
      </c>
      <c r="CDR362" s="633">
        <v>2159854.59</v>
      </c>
      <c r="CDS362" s="633">
        <v>3563316.060000001</v>
      </c>
      <c r="CDT362" s="633">
        <v>3305610.92</v>
      </c>
      <c r="CDU362" s="633">
        <v>3255686.1799999992</v>
      </c>
      <c r="CDV362" s="633">
        <v>3172108.3800000018</v>
      </c>
      <c r="CDW362" s="633">
        <v>3430726.5900000026</v>
      </c>
      <c r="CDX362" s="633">
        <v>3636289.9099999997</v>
      </c>
      <c r="CDY362" s="633">
        <v>3606558.6500000022</v>
      </c>
      <c r="CDZ362" s="633">
        <v>3549118.4400000018</v>
      </c>
      <c r="CEA362" s="634">
        <v>39996846</v>
      </c>
      <c r="CEB362" s="633">
        <f>SUM(CDO362:CDZ362)</f>
        <v>39996846.150000013</v>
      </c>
      <c r="CEC362" s="631" t="s">
        <v>1836</v>
      </c>
      <c r="CED362" s="632" t="s">
        <v>1673</v>
      </c>
      <c r="CEE362" s="633">
        <v>3470702.0100000007</v>
      </c>
      <c r="CEF362" s="633">
        <v>3448347.94</v>
      </c>
      <c r="CEG362" s="633">
        <v>3398526.4800000009</v>
      </c>
      <c r="CEH362" s="633">
        <v>2159854.59</v>
      </c>
      <c r="CEI362" s="633">
        <v>3563316.060000001</v>
      </c>
      <c r="CEJ362" s="633">
        <v>3305610.92</v>
      </c>
      <c r="CEK362" s="633">
        <v>3255686.1799999992</v>
      </c>
      <c r="CEL362" s="633">
        <v>3172108.3800000018</v>
      </c>
      <c r="CEM362" s="633">
        <v>3430726.5900000026</v>
      </c>
      <c r="CEN362" s="633">
        <v>3636289.9099999997</v>
      </c>
      <c r="CEO362" s="633">
        <v>3606558.6500000022</v>
      </c>
      <c r="CEP362" s="633">
        <v>3549118.4400000018</v>
      </c>
      <c r="CEQ362" s="634">
        <v>39996846</v>
      </c>
      <c r="CER362" s="633">
        <f>SUM(CEE362:CEP362)</f>
        <v>39996846.150000013</v>
      </c>
      <c r="CES362" s="631" t="s">
        <v>1836</v>
      </c>
      <c r="CET362" s="632" t="s">
        <v>1673</v>
      </c>
      <c r="CEU362" s="633">
        <v>3470702.0100000007</v>
      </c>
      <c r="CEV362" s="633">
        <v>3448347.94</v>
      </c>
      <c r="CEW362" s="633">
        <v>3398526.4800000009</v>
      </c>
      <c r="CEX362" s="633">
        <v>2159854.59</v>
      </c>
      <c r="CEY362" s="633">
        <v>3563316.060000001</v>
      </c>
      <c r="CEZ362" s="633">
        <v>3305610.92</v>
      </c>
      <c r="CFA362" s="633">
        <v>3255686.1799999992</v>
      </c>
      <c r="CFB362" s="633">
        <v>3172108.3800000018</v>
      </c>
      <c r="CFC362" s="633">
        <v>3430726.5900000026</v>
      </c>
      <c r="CFD362" s="633">
        <v>3636289.9099999997</v>
      </c>
      <c r="CFE362" s="633">
        <v>3606558.6500000022</v>
      </c>
      <c r="CFF362" s="633">
        <v>3549118.4400000018</v>
      </c>
      <c r="CFG362" s="634">
        <v>39996846</v>
      </c>
      <c r="CFH362" s="633">
        <f>SUM(CEU362:CFF362)</f>
        <v>39996846.150000013</v>
      </c>
      <c r="CFI362" s="631" t="s">
        <v>1836</v>
      </c>
      <c r="CFJ362" s="632" t="s">
        <v>1673</v>
      </c>
      <c r="CFK362" s="633">
        <v>3470702.0100000007</v>
      </c>
      <c r="CFL362" s="633">
        <v>3448347.94</v>
      </c>
      <c r="CFM362" s="633">
        <v>3398526.4800000009</v>
      </c>
      <c r="CFN362" s="633">
        <v>2159854.59</v>
      </c>
      <c r="CFO362" s="633">
        <v>3563316.060000001</v>
      </c>
      <c r="CFP362" s="633">
        <v>3305610.92</v>
      </c>
      <c r="CFQ362" s="633">
        <v>3255686.1799999992</v>
      </c>
      <c r="CFR362" s="633">
        <v>3172108.3800000018</v>
      </c>
      <c r="CFS362" s="633">
        <v>3430726.5900000026</v>
      </c>
      <c r="CFT362" s="633">
        <v>3636289.9099999997</v>
      </c>
      <c r="CFU362" s="633">
        <v>3606558.6500000022</v>
      </c>
      <c r="CFV362" s="633">
        <v>3549118.4400000018</v>
      </c>
      <c r="CFW362" s="634">
        <v>39996846</v>
      </c>
      <c r="CFX362" s="633">
        <f>SUM(CFK362:CFV362)</f>
        <v>39996846.150000013</v>
      </c>
      <c r="CFY362" s="631" t="s">
        <v>1836</v>
      </c>
      <c r="CFZ362" s="632" t="s">
        <v>1673</v>
      </c>
      <c r="CGA362" s="633">
        <v>3470702.0100000007</v>
      </c>
      <c r="CGB362" s="633">
        <v>3448347.94</v>
      </c>
      <c r="CGC362" s="633">
        <v>3398526.4800000009</v>
      </c>
      <c r="CGD362" s="633">
        <v>2159854.59</v>
      </c>
      <c r="CGE362" s="633">
        <v>3563316.060000001</v>
      </c>
      <c r="CGF362" s="633">
        <v>3305610.92</v>
      </c>
      <c r="CGG362" s="633">
        <v>3255686.1799999992</v>
      </c>
      <c r="CGH362" s="633">
        <v>3172108.3800000018</v>
      </c>
      <c r="CGI362" s="633">
        <v>3430726.5900000026</v>
      </c>
      <c r="CGJ362" s="633">
        <v>3636289.9099999997</v>
      </c>
      <c r="CGK362" s="633">
        <v>3606558.6500000022</v>
      </c>
      <c r="CGL362" s="633">
        <v>3549118.4400000018</v>
      </c>
      <c r="CGM362" s="634">
        <v>39996846</v>
      </c>
      <c r="CGN362" s="633">
        <f>SUM(CGA362:CGL362)</f>
        <v>39996846.150000013</v>
      </c>
      <c r="CGO362" s="631" t="s">
        <v>1836</v>
      </c>
      <c r="CGP362" s="632" t="s">
        <v>1673</v>
      </c>
      <c r="CGQ362" s="633">
        <v>3470702.0100000007</v>
      </c>
      <c r="CGR362" s="633">
        <v>3448347.94</v>
      </c>
      <c r="CGS362" s="633">
        <v>3398526.4800000009</v>
      </c>
      <c r="CGT362" s="633">
        <v>2159854.59</v>
      </c>
      <c r="CGU362" s="633">
        <v>3563316.060000001</v>
      </c>
      <c r="CGV362" s="633">
        <v>3305610.92</v>
      </c>
      <c r="CGW362" s="633">
        <v>3255686.1799999992</v>
      </c>
      <c r="CGX362" s="633">
        <v>3172108.3800000018</v>
      </c>
      <c r="CGY362" s="633">
        <v>3430726.5900000026</v>
      </c>
      <c r="CGZ362" s="633">
        <v>3636289.9099999997</v>
      </c>
      <c r="CHA362" s="633">
        <v>3606558.6500000022</v>
      </c>
      <c r="CHB362" s="633">
        <v>3549118.4400000018</v>
      </c>
      <c r="CHC362" s="634">
        <v>39996846</v>
      </c>
      <c r="CHD362" s="633">
        <f>SUM(CGQ362:CHB362)</f>
        <v>39996846.150000013</v>
      </c>
      <c r="CHE362" s="631" t="s">
        <v>1836</v>
      </c>
      <c r="CHF362" s="632" t="s">
        <v>1673</v>
      </c>
      <c r="CHG362" s="633">
        <v>3470702.0100000007</v>
      </c>
      <c r="CHH362" s="633">
        <v>3448347.94</v>
      </c>
      <c r="CHI362" s="633">
        <v>3398526.4800000009</v>
      </c>
      <c r="CHJ362" s="633">
        <v>2159854.59</v>
      </c>
      <c r="CHK362" s="633">
        <v>3563316.060000001</v>
      </c>
      <c r="CHL362" s="633">
        <v>3305610.92</v>
      </c>
      <c r="CHM362" s="633">
        <v>3255686.1799999992</v>
      </c>
      <c r="CHN362" s="633">
        <v>3172108.3800000018</v>
      </c>
      <c r="CHO362" s="633">
        <v>3430726.5900000026</v>
      </c>
      <c r="CHP362" s="633">
        <v>3636289.9099999997</v>
      </c>
      <c r="CHQ362" s="633">
        <v>3606558.6500000022</v>
      </c>
      <c r="CHR362" s="633">
        <v>3549118.4400000018</v>
      </c>
      <c r="CHS362" s="634">
        <v>39996846</v>
      </c>
      <c r="CHT362" s="633">
        <f>SUM(CHG362:CHR362)</f>
        <v>39996846.150000013</v>
      </c>
      <c r="CHU362" s="631" t="s">
        <v>1836</v>
      </c>
      <c r="CHV362" s="632" t="s">
        <v>1673</v>
      </c>
      <c r="CHW362" s="633">
        <v>3470702.0100000007</v>
      </c>
      <c r="CHX362" s="633">
        <v>3448347.94</v>
      </c>
      <c r="CHY362" s="633">
        <v>3398526.4800000009</v>
      </c>
      <c r="CHZ362" s="633">
        <v>2159854.59</v>
      </c>
      <c r="CIA362" s="633">
        <v>3563316.060000001</v>
      </c>
      <c r="CIB362" s="633">
        <v>3305610.92</v>
      </c>
      <c r="CIC362" s="633">
        <v>3255686.1799999992</v>
      </c>
      <c r="CID362" s="633">
        <v>3172108.3800000018</v>
      </c>
      <c r="CIE362" s="633">
        <v>3430726.5900000026</v>
      </c>
      <c r="CIF362" s="633">
        <v>3636289.9099999997</v>
      </c>
      <c r="CIG362" s="633">
        <v>3606558.6500000022</v>
      </c>
      <c r="CIH362" s="633">
        <v>3549118.4400000018</v>
      </c>
      <c r="CII362" s="634">
        <v>39996846</v>
      </c>
      <c r="CIJ362" s="633">
        <f>SUM(CHW362:CIH362)</f>
        <v>39996846.150000013</v>
      </c>
      <c r="CIK362" s="631" t="s">
        <v>1836</v>
      </c>
      <c r="CIL362" s="632" t="s">
        <v>1673</v>
      </c>
      <c r="CIM362" s="633">
        <v>3470702.0100000007</v>
      </c>
      <c r="CIN362" s="633">
        <v>3448347.94</v>
      </c>
      <c r="CIO362" s="633">
        <v>3398526.4800000009</v>
      </c>
      <c r="CIP362" s="633">
        <v>2159854.59</v>
      </c>
      <c r="CIQ362" s="633">
        <v>3563316.060000001</v>
      </c>
      <c r="CIR362" s="633">
        <v>3305610.92</v>
      </c>
      <c r="CIS362" s="633">
        <v>3255686.1799999992</v>
      </c>
      <c r="CIT362" s="633">
        <v>3172108.3800000018</v>
      </c>
      <c r="CIU362" s="633">
        <v>3430726.5900000026</v>
      </c>
      <c r="CIV362" s="633">
        <v>3636289.9099999997</v>
      </c>
      <c r="CIW362" s="633">
        <v>3606558.6500000022</v>
      </c>
      <c r="CIX362" s="633">
        <v>3549118.4400000018</v>
      </c>
      <c r="CIY362" s="634">
        <v>39996846</v>
      </c>
      <c r="CIZ362" s="633">
        <f>SUM(CIM362:CIX362)</f>
        <v>39996846.150000013</v>
      </c>
      <c r="CJA362" s="631" t="s">
        <v>1836</v>
      </c>
      <c r="CJB362" s="632" t="s">
        <v>1673</v>
      </c>
      <c r="CJC362" s="633">
        <v>3470702.0100000007</v>
      </c>
      <c r="CJD362" s="633">
        <v>3448347.94</v>
      </c>
      <c r="CJE362" s="633">
        <v>3398526.4800000009</v>
      </c>
      <c r="CJF362" s="633">
        <v>2159854.59</v>
      </c>
      <c r="CJG362" s="633">
        <v>3563316.060000001</v>
      </c>
      <c r="CJH362" s="633">
        <v>3305610.92</v>
      </c>
      <c r="CJI362" s="633">
        <v>3255686.1799999992</v>
      </c>
      <c r="CJJ362" s="633">
        <v>3172108.3800000018</v>
      </c>
      <c r="CJK362" s="633">
        <v>3430726.5900000026</v>
      </c>
      <c r="CJL362" s="633">
        <v>3636289.9099999997</v>
      </c>
      <c r="CJM362" s="633">
        <v>3606558.6500000022</v>
      </c>
      <c r="CJN362" s="633">
        <v>3549118.4400000018</v>
      </c>
      <c r="CJO362" s="634">
        <v>39996846</v>
      </c>
      <c r="CJP362" s="633">
        <f>SUM(CJC362:CJN362)</f>
        <v>39996846.150000013</v>
      </c>
      <c r="CJQ362" s="631" t="s">
        <v>1836</v>
      </c>
      <c r="CJR362" s="632" t="s">
        <v>1673</v>
      </c>
      <c r="CJS362" s="633">
        <v>3470702.0100000007</v>
      </c>
      <c r="CJT362" s="633">
        <v>3448347.94</v>
      </c>
      <c r="CJU362" s="633">
        <v>3398526.4800000009</v>
      </c>
      <c r="CJV362" s="633">
        <v>2159854.59</v>
      </c>
      <c r="CJW362" s="633">
        <v>3563316.060000001</v>
      </c>
      <c r="CJX362" s="633">
        <v>3305610.92</v>
      </c>
      <c r="CJY362" s="633">
        <v>3255686.1799999992</v>
      </c>
      <c r="CJZ362" s="633">
        <v>3172108.3800000018</v>
      </c>
      <c r="CKA362" s="633">
        <v>3430726.5900000026</v>
      </c>
      <c r="CKB362" s="633">
        <v>3636289.9099999997</v>
      </c>
      <c r="CKC362" s="633">
        <v>3606558.6500000022</v>
      </c>
      <c r="CKD362" s="633">
        <v>3549118.4400000018</v>
      </c>
      <c r="CKE362" s="634">
        <v>39996846</v>
      </c>
      <c r="CKF362" s="633">
        <f>SUM(CJS362:CKD362)</f>
        <v>39996846.150000013</v>
      </c>
      <c r="CKG362" s="631" t="s">
        <v>1836</v>
      </c>
      <c r="CKH362" s="632" t="s">
        <v>1673</v>
      </c>
      <c r="CKI362" s="633">
        <v>3470702.0100000007</v>
      </c>
      <c r="CKJ362" s="633">
        <v>3448347.94</v>
      </c>
      <c r="CKK362" s="633">
        <v>3398526.4800000009</v>
      </c>
      <c r="CKL362" s="633">
        <v>2159854.59</v>
      </c>
      <c r="CKM362" s="633">
        <v>3563316.060000001</v>
      </c>
      <c r="CKN362" s="633">
        <v>3305610.92</v>
      </c>
      <c r="CKO362" s="633">
        <v>3255686.1799999992</v>
      </c>
      <c r="CKP362" s="633">
        <v>3172108.3800000018</v>
      </c>
      <c r="CKQ362" s="633">
        <v>3430726.5900000026</v>
      </c>
      <c r="CKR362" s="633">
        <v>3636289.9099999997</v>
      </c>
      <c r="CKS362" s="633">
        <v>3606558.6500000022</v>
      </c>
      <c r="CKT362" s="633">
        <v>3549118.4400000018</v>
      </c>
      <c r="CKU362" s="634">
        <v>39996846</v>
      </c>
      <c r="CKV362" s="633">
        <f>SUM(CKI362:CKT362)</f>
        <v>39996846.150000013</v>
      </c>
      <c r="CKW362" s="631" t="s">
        <v>1836</v>
      </c>
      <c r="CKX362" s="632" t="s">
        <v>1673</v>
      </c>
      <c r="CKY362" s="633">
        <v>3470702.0100000007</v>
      </c>
      <c r="CKZ362" s="633">
        <v>3448347.94</v>
      </c>
      <c r="CLA362" s="633">
        <v>3398526.4800000009</v>
      </c>
      <c r="CLB362" s="633">
        <v>2159854.59</v>
      </c>
      <c r="CLC362" s="633">
        <v>3563316.060000001</v>
      </c>
      <c r="CLD362" s="633">
        <v>3305610.92</v>
      </c>
      <c r="CLE362" s="633">
        <v>3255686.1799999992</v>
      </c>
      <c r="CLF362" s="633">
        <v>3172108.3800000018</v>
      </c>
      <c r="CLG362" s="633">
        <v>3430726.5900000026</v>
      </c>
      <c r="CLH362" s="633">
        <v>3636289.9099999997</v>
      </c>
      <c r="CLI362" s="633">
        <v>3606558.6500000022</v>
      </c>
      <c r="CLJ362" s="633">
        <v>3549118.4400000018</v>
      </c>
      <c r="CLK362" s="634">
        <v>39996846</v>
      </c>
      <c r="CLL362" s="633">
        <f>SUM(CKY362:CLJ362)</f>
        <v>39996846.150000013</v>
      </c>
      <c r="CLM362" s="631" t="s">
        <v>1836</v>
      </c>
      <c r="CLN362" s="632" t="s">
        <v>1673</v>
      </c>
      <c r="CLO362" s="633">
        <v>3470702.0100000007</v>
      </c>
      <c r="CLP362" s="633">
        <v>3448347.94</v>
      </c>
      <c r="CLQ362" s="633">
        <v>3398526.4800000009</v>
      </c>
      <c r="CLR362" s="633">
        <v>2159854.59</v>
      </c>
      <c r="CLS362" s="633">
        <v>3563316.060000001</v>
      </c>
      <c r="CLT362" s="633">
        <v>3305610.92</v>
      </c>
      <c r="CLU362" s="633">
        <v>3255686.1799999992</v>
      </c>
      <c r="CLV362" s="633">
        <v>3172108.3800000018</v>
      </c>
      <c r="CLW362" s="633">
        <v>3430726.5900000026</v>
      </c>
      <c r="CLX362" s="633">
        <v>3636289.9099999997</v>
      </c>
      <c r="CLY362" s="633">
        <v>3606558.6500000022</v>
      </c>
      <c r="CLZ362" s="633">
        <v>3549118.4400000018</v>
      </c>
      <c r="CMA362" s="634">
        <v>39996846</v>
      </c>
      <c r="CMB362" s="633">
        <f>SUM(CLO362:CLZ362)</f>
        <v>39996846.150000013</v>
      </c>
      <c r="CMC362" s="631" t="s">
        <v>1836</v>
      </c>
      <c r="CMD362" s="632" t="s">
        <v>1673</v>
      </c>
      <c r="CME362" s="633">
        <v>3470702.0100000007</v>
      </c>
      <c r="CMF362" s="633">
        <v>3448347.94</v>
      </c>
      <c r="CMG362" s="633">
        <v>3398526.4800000009</v>
      </c>
      <c r="CMH362" s="633">
        <v>2159854.59</v>
      </c>
      <c r="CMI362" s="633">
        <v>3563316.060000001</v>
      </c>
      <c r="CMJ362" s="633">
        <v>3305610.92</v>
      </c>
      <c r="CMK362" s="633">
        <v>3255686.1799999992</v>
      </c>
      <c r="CML362" s="633">
        <v>3172108.3800000018</v>
      </c>
      <c r="CMM362" s="633">
        <v>3430726.5900000026</v>
      </c>
      <c r="CMN362" s="633">
        <v>3636289.9099999997</v>
      </c>
      <c r="CMO362" s="633">
        <v>3606558.6500000022</v>
      </c>
      <c r="CMP362" s="633">
        <v>3549118.4400000018</v>
      </c>
      <c r="CMQ362" s="634">
        <v>39996846</v>
      </c>
      <c r="CMR362" s="633">
        <f>SUM(CME362:CMP362)</f>
        <v>39996846.150000013</v>
      </c>
      <c r="CMS362" s="631" t="s">
        <v>1836</v>
      </c>
      <c r="CMT362" s="632" t="s">
        <v>1673</v>
      </c>
      <c r="CMU362" s="633">
        <v>3470702.0100000007</v>
      </c>
      <c r="CMV362" s="633">
        <v>3448347.94</v>
      </c>
      <c r="CMW362" s="633">
        <v>3398526.4800000009</v>
      </c>
      <c r="CMX362" s="633">
        <v>2159854.59</v>
      </c>
      <c r="CMY362" s="633">
        <v>3563316.060000001</v>
      </c>
      <c r="CMZ362" s="633">
        <v>3305610.92</v>
      </c>
      <c r="CNA362" s="633">
        <v>3255686.1799999992</v>
      </c>
      <c r="CNB362" s="633">
        <v>3172108.3800000018</v>
      </c>
      <c r="CNC362" s="633">
        <v>3430726.5900000026</v>
      </c>
      <c r="CND362" s="633">
        <v>3636289.9099999997</v>
      </c>
      <c r="CNE362" s="633">
        <v>3606558.6500000022</v>
      </c>
      <c r="CNF362" s="633">
        <v>3549118.4400000018</v>
      </c>
      <c r="CNG362" s="634">
        <v>39996846</v>
      </c>
      <c r="CNH362" s="633">
        <f>SUM(CMU362:CNF362)</f>
        <v>39996846.150000013</v>
      </c>
      <c r="CNI362" s="631" t="s">
        <v>1836</v>
      </c>
      <c r="CNJ362" s="632" t="s">
        <v>1673</v>
      </c>
      <c r="CNK362" s="633">
        <v>3470702.0100000007</v>
      </c>
      <c r="CNL362" s="633">
        <v>3448347.94</v>
      </c>
      <c r="CNM362" s="633">
        <v>3398526.4800000009</v>
      </c>
      <c r="CNN362" s="633">
        <v>2159854.59</v>
      </c>
      <c r="CNO362" s="633">
        <v>3563316.060000001</v>
      </c>
      <c r="CNP362" s="633">
        <v>3305610.92</v>
      </c>
      <c r="CNQ362" s="633">
        <v>3255686.1799999992</v>
      </c>
      <c r="CNR362" s="633">
        <v>3172108.3800000018</v>
      </c>
      <c r="CNS362" s="633">
        <v>3430726.5900000026</v>
      </c>
      <c r="CNT362" s="633">
        <v>3636289.9099999997</v>
      </c>
      <c r="CNU362" s="633">
        <v>3606558.6500000022</v>
      </c>
      <c r="CNV362" s="633">
        <v>3549118.4400000018</v>
      </c>
      <c r="CNW362" s="634">
        <v>39996846</v>
      </c>
      <c r="CNX362" s="633">
        <f>SUM(CNK362:CNV362)</f>
        <v>39996846.150000013</v>
      </c>
      <c r="CNY362" s="631" t="s">
        <v>1836</v>
      </c>
      <c r="CNZ362" s="632" t="s">
        <v>1673</v>
      </c>
      <c r="COA362" s="633">
        <v>3470702.0100000007</v>
      </c>
      <c r="COB362" s="633">
        <v>3448347.94</v>
      </c>
      <c r="COC362" s="633">
        <v>3398526.4800000009</v>
      </c>
      <c r="COD362" s="633">
        <v>2159854.59</v>
      </c>
      <c r="COE362" s="633">
        <v>3563316.060000001</v>
      </c>
      <c r="COF362" s="633">
        <v>3305610.92</v>
      </c>
      <c r="COG362" s="633">
        <v>3255686.1799999992</v>
      </c>
      <c r="COH362" s="633">
        <v>3172108.3800000018</v>
      </c>
      <c r="COI362" s="633">
        <v>3430726.5900000026</v>
      </c>
      <c r="COJ362" s="633">
        <v>3636289.9099999997</v>
      </c>
      <c r="COK362" s="633">
        <v>3606558.6500000022</v>
      </c>
      <c r="COL362" s="633">
        <v>3549118.4400000018</v>
      </c>
      <c r="COM362" s="634">
        <v>39996846</v>
      </c>
      <c r="CON362" s="633">
        <f>SUM(COA362:COL362)</f>
        <v>39996846.150000013</v>
      </c>
      <c r="COO362" s="631" t="s">
        <v>1836</v>
      </c>
      <c r="COP362" s="632" t="s">
        <v>1673</v>
      </c>
      <c r="COQ362" s="633">
        <v>3470702.0100000007</v>
      </c>
      <c r="COR362" s="633">
        <v>3448347.94</v>
      </c>
      <c r="COS362" s="633">
        <v>3398526.4800000009</v>
      </c>
      <c r="COT362" s="633">
        <v>2159854.59</v>
      </c>
      <c r="COU362" s="633">
        <v>3563316.060000001</v>
      </c>
      <c r="COV362" s="633">
        <v>3305610.92</v>
      </c>
      <c r="COW362" s="633">
        <v>3255686.1799999992</v>
      </c>
      <c r="COX362" s="633">
        <v>3172108.3800000018</v>
      </c>
      <c r="COY362" s="633">
        <v>3430726.5900000026</v>
      </c>
      <c r="COZ362" s="633">
        <v>3636289.9099999997</v>
      </c>
      <c r="CPA362" s="633">
        <v>3606558.6500000022</v>
      </c>
      <c r="CPB362" s="633">
        <v>3549118.4400000018</v>
      </c>
      <c r="CPC362" s="634">
        <v>39996846</v>
      </c>
      <c r="CPD362" s="633">
        <f>SUM(COQ362:CPB362)</f>
        <v>39996846.150000013</v>
      </c>
      <c r="CPE362" s="631" t="s">
        <v>1836</v>
      </c>
      <c r="CPF362" s="632" t="s">
        <v>1673</v>
      </c>
      <c r="CPG362" s="633">
        <v>3470702.0100000007</v>
      </c>
      <c r="CPH362" s="633">
        <v>3448347.94</v>
      </c>
      <c r="CPI362" s="633">
        <v>3398526.4800000009</v>
      </c>
      <c r="CPJ362" s="633">
        <v>2159854.59</v>
      </c>
      <c r="CPK362" s="633">
        <v>3563316.060000001</v>
      </c>
      <c r="CPL362" s="633">
        <v>3305610.92</v>
      </c>
      <c r="CPM362" s="633">
        <v>3255686.1799999992</v>
      </c>
      <c r="CPN362" s="633">
        <v>3172108.3800000018</v>
      </c>
      <c r="CPO362" s="633">
        <v>3430726.5900000026</v>
      </c>
      <c r="CPP362" s="633">
        <v>3636289.9099999997</v>
      </c>
      <c r="CPQ362" s="633">
        <v>3606558.6500000022</v>
      </c>
      <c r="CPR362" s="633">
        <v>3549118.4400000018</v>
      </c>
      <c r="CPS362" s="634">
        <v>39996846</v>
      </c>
      <c r="CPT362" s="633">
        <f>SUM(CPG362:CPR362)</f>
        <v>39996846.150000013</v>
      </c>
      <c r="CPU362" s="631" t="s">
        <v>1836</v>
      </c>
      <c r="CPV362" s="632" t="s">
        <v>1673</v>
      </c>
      <c r="CPW362" s="633">
        <v>3470702.0100000007</v>
      </c>
      <c r="CPX362" s="633">
        <v>3448347.94</v>
      </c>
      <c r="CPY362" s="633">
        <v>3398526.4800000009</v>
      </c>
      <c r="CPZ362" s="633">
        <v>2159854.59</v>
      </c>
      <c r="CQA362" s="633">
        <v>3563316.060000001</v>
      </c>
      <c r="CQB362" s="633">
        <v>3305610.92</v>
      </c>
      <c r="CQC362" s="633">
        <v>3255686.1799999992</v>
      </c>
      <c r="CQD362" s="633">
        <v>3172108.3800000018</v>
      </c>
      <c r="CQE362" s="633">
        <v>3430726.5900000026</v>
      </c>
      <c r="CQF362" s="633">
        <v>3636289.9099999997</v>
      </c>
      <c r="CQG362" s="633">
        <v>3606558.6500000022</v>
      </c>
      <c r="CQH362" s="633">
        <v>3549118.4400000018</v>
      </c>
      <c r="CQI362" s="634">
        <v>39996846</v>
      </c>
      <c r="CQJ362" s="633">
        <f>SUM(CPW362:CQH362)</f>
        <v>39996846.150000013</v>
      </c>
      <c r="CQK362" s="631" t="s">
        <v>1836</v>
      </c>
      <c r="CQL362" s="632" t="s">
        <v>1673</v>
      </c>
      <c r="CQM362" s="633">
        <v>3470702.0100000007</v>
      </c>
      <c r="CQN362" s="633">
        <v>3448347.94</v>
      </c>
      <c r="CQO362" s="633">
        <v>3398526.4800000009</v>
      </c>
      <c r="CQP362" s="633">
        <v>2159854.59</v>
      </c>
      <c r="CQQ362" s="633">
        <v>3563316.060000001</v>
      </c>
      <c r="CQR362" s="633">
        <v>3305610.92</v>
      </c>
      <c r="CQS362" s="633">
        <v>3255686.1799999992</v>
      </c>
      <c r="CQT362" s="633">
        <v>3172108.3800000018</v>
      </c>
      <c r="CQU362" s="633">
        <v>3430726.5900000026</v>
      </c>
      <c r="CQV362" s="633">
        <v>3636289.9099999997</v>
      </c>
      <c r="CQW362" s="633">
        <v>3606558.6500000022</v>
      </c>
      <c r="CQX362" s="633">
        <v>3549118.4400000018</v>
      </c>
      <c r="CQY362" s="634">
        <v>39996846</v>
      </c>
      <c r="CQZ362" s="633">
        <f>SUM(CQM362:CQX362)</f>
        <v>39996846.150000013</v>
      </c>
      <c r="CRA362" s="631" t="s">
        <v>1836</v>
      </c>
      <c r="CRB362" s="632" t="s">
        <v>1673</v>
      </c>
      <c r="CRC362" s="633">
        <v>3470702.0100000007</v>
      </c>
      <c r="CRD362" s="633">
        <v>3448347.94</v>
      </c>
      <c r="CRE362" s="633">
        <v>3398526.4800000009</v>
      </c>
      <c r="CRF362" s="633">
        <v>2159854.59</v>
      </c>
      <c r="CRG362" s="633">
        <v>3563316.060000001</v>
      </c>
      <c r="CRH362" s="633">
        <v>3305610.92</v>
      </c>
      <c r="CRI362" s="633">
        <v>3255686.1799999992</v>
      </c>
      <c r="CRJ362" s="633">
        <v>3172108.3800000018</v>
      </c>
      <c r="CRK362" s="633">
        <v>3430726.5900000026</v>
      </c>
      <c r="CRL362" s="633">
        <v>3636289.9099999997</v>
      </c>
      <c r="CRM362" s="633">
        <v>3606558.6500000022</v>
      </c>
      <c r="CRN362" s="633">
        <v>3549118.4400000018</v>
      </c>
      <c r="CRO362" s="634">
        <v>39996846</v>
      </c>
      <c r="CRP362" s="633">
        <f>SUM(CRC362:CRN362)</f>
        <v>39996846.150000013</v>
      </c>
      <c r="CRQ362" s="631" t="s">
        <v>1836</v>
      </c>
      <c r="CRR362" s="632" t="s">
        <v>1673</v>
      </c>
      <c r="CRS362" s="633">
        <v>3470702.0100000007</v>
      </c>
      <c r="CRT362" s="633">
        <v>3448347.94</v>
      </c>
      <c r="CRU362" s="633">
        <v>3398526.4800000009</v>
      </c>
      <c r="CRV362" s="633">
        <v>2159854.59</v>
      </c>
      <c r="CRW362" s="633">
        <v>3563316.060000001</v>
      </c>
      <c r="CRX362" s="633">
        <v>3305610.92</v>
      </c>
      <c r="CRY362" s="633">
        <v>3255686.1799999992</v>
      </c>
      <c r="CRZ362" s="633">
        <v>3172108.3800000018</v>
      </c>
      <c r="CSA362" s="633">
        <v>3430726.5900000026</v>
      </c>
      <c r="CSB362" s="633">
        <v>3636289.9099999997</v>
      </c>
      <c r="CSC362" s="633">
        <v>3606558.6500000022</v>
      </c>
      <c r="CSD362" s="633">
        <v>3549118.4400000018</v>
      </c>
      <c r="CSE362" s="634">
        <v>39996846</v>
      </c>
      <c r="CSF362" s="633">
        <f>SUM(CRS362:CSD362)</f>
        <v>39996846.150000013</v>
      </c>
      <c r="CSG362" s="631" t="s">
        <v>1836</v>
      </c>
      <c r="CSH362" s="632" t="s">
        <v>1673</v>
      </c>
      <c r="CSI362" s="633">
        <v>3470702.0100000007</v>
      </c>
      <c r="CSJ362" s="633">
        <v>3448347.94</v>
      </c>
      <c r="CSK362" s="633">
        <v>3398526.4800000009</v>
      </c>
      <c r="CSL362" s="633">
        <v>2159854.59</v>
      </c>
      <c r="CSM362" s="633">
        <v>3563316.060000001</v>
      </c>
      <c r="CSN362" s="633">
        <v>3305610.92</v>
      </c>
      <c r="CSO362" s="633">
        <v>3255686.1799999992</v>
      </c>
      <c r="CSP362" s="633">
        <v>3172108.3800000018</v>
      </c>
      <c r="CSQ362" s="633">
        <v>3430726.5900000026</v>
      </c>
      <c r="CSR362" s="633">
        <v>3636289.9099999997</v>
      </c>
      <c r="CSS362" s="633">
        <v>3606558.6500000022</v>
      </c>
      <c r="CST362" s="633">
        <v>3549118.4400000018</v>
      </c>
      <c r="CSU362" s="634">
        <v>39996846</v>
      </c>
      <c r="CSV362" s="633">
        <f>SUM(CSI362:CST362)</f>
        <v>39996846.150000013</v>
      </c>
      <c r="CSW362" s="631" t="s">
        <v>1836</v>
      </c>
      <c r="CSX362" s="632" t="s">
        <v>1673</v>
      </c>
      <c r="CSY362" s="633">
        <v>3470702.0100000007</v>
      </c>
      <c r="CSZ362" s="633">
        <v>3448347.94</v>
      </c>
      <c r="CTA362" s="633">
        <v>3398526.4800000009</v>
      </c>
      <c r="CTB362" s="633">
        <v>2159854.59</v>
      </c>
      <c r="CTC362" s="633">
        <v>3563316.060000001</v>
      </c>
      <c r="CTD362" s="633">
        <v>3305610.92</v>
      </c>
      <c r="CTE362" s="633">
        <v>3255686.1799999992</v>
      </c>
      <c r="CTF362" s="633">
        <v>3172108.3800000018</v>
      </c>
      <c r="CTG362" s="633">
        <v>3430726.5900000026</v>
      </c>
      <c r="CTH362" s="633">
        <v>3636289.9099999997</v>
      </c>
      <c r="CTI362" s="633">
        <v>3606558.6500000022</v>
      </c>
      <c r="CTJ362" s="633">
        <v>3549118.4400000018</v>
      </c>
      <c r="CTK362" s="634">
        <v>39996846</v>
      </c>
      <c r="CTL362" s="633">
        <f>SUM(CSY362:CTJ362)</f>
        <v>39996846.150000013</v>
      </c>
      <c r="CTM362" s="631" t="s">
        <v>1836</v>
      </c>
      <c r="CTN362" s="632" t="s">
        <v>1673</v>
      </c>
      <c r="CTO362" s="633">
        <v>3470702.0100000007</v>
      </c>
      <c r="CTP362" s="633">
        <v>3448347.94</v>
      </c>
      <c r="CTQ362" s="633">
        <v>3398526.4800000009</v>
      </c>
      <c r="CTR362" s="633">
        <v>2159854.59</v>
      </c>
      <c r="CTS362" s="633">
        <v>3563316.060000001</v>
      </c>
      <c r="CTT362" s="633">
        <v>3305610.92</v>
      </c>
      <c r="CTU362" s="633">
        <v>3255686.1799999992</v>
      </c>
      <c r="CTV362" s="633">
        <v>3172108.3800000018</v>
      </c>
      <c r="CTW362" s="633">
        <v>3430726.5900000026</v>
      </c>
      <c r="CTX362" s="633">
        <v>3636289.9099999997</v>
      </c>
      <c r="CTY362" s="633">
        <v>3606558.6500000022</v>
      </c>
      <c r="CTZ362" s="633">
        <v>3549118.4400000018</v>
      </c>
      <c r="CUA362" s="634">
        <v>39996846</v>
      </c>
      <c r="CUB362" s="633">
        <f>SUM(CTO362:CTZ362)</f>
        <v>39996846.150000013</v>
      </c>
      <c r="CUC362" s="631" t="s">
        <v>1836</v>
      </c>
      <c r="CUD362" s="632" t="s">
        <v>1673</v>
      </c>
      <c r="CUE362" s="633">
        <v>3470702.0100000007</v>
      </c>
      <c r="CUF362" s="633">
        <v>3448347.94</v>
      </c>
      <c r="CUG362" s="633">
        <v>3398526.4800000009</v>
      </c>
      <c r="CUH362" s="633">
        <v>2159854.59</v>
      </c>
      <c r="CUI362" s="633">
        <v>3563316.060000001</v>
      </c>
      <c r="CUJ362" s="633">
        <v>3305610.92</v>
      </c>
      <c r="CUK362" s="633">
        <v>3255686.1799999992</v>
      </c>
      <c r="CUL362" s="633">
        <v>3172108.3800000018</v>
      </c>
      <c r="CUM362" s="633">
        <v>3430726.5900000026</v>
      </c>
      <c r="CUN362" s="633">
        <v>3636289.9099999997</v>
      </c>
      <c r="CUO362" s="633">
        <v>3606558.6500000022</v>
      </c>
      <c r="CUP362" s="633">
        <v>3549118.4400000018</v>
      </c>
      <c r="CUQ362" s="634">
        <v>39996846</v>
      </c>
      <c r="CUR362" s="633">
        <f>SUM(CUE362:CUP362)</f>
        <v>39996846.150000013</v>
      </c>
      <c r="CUS362" s="631" t="s">
        <v>1836</v>
      </c>
      <c r="CUT362" s="632" t="s">
        <v>1673</v>
      </c>
      <c r="CUU362" s="633">
        <v>3470702.0100000007</v>
      </c>
      <c r="CUV362" s="633">
        <v>3448347.94</v>
      </c>
      <c r="CUW362" s="633">
        <v>3398526.4800000009</v>
      </c>
      <c r="CUX362" s="633">
        <v>2159854.59</v>
      </c>
      <c r="CUY362" s="633">
        <v>3563316.060000001</v>
      </c>
      <c r="CUZ362" s="633">
        <v>3305610.92</v>
      </c>
      <c r="CVA362" s="633">
        <v>3255686.1799999992</v>
      </c>
      <c r="CVB362" s="633">
        <v>3172108.3800000018</v>
      </c>
      <c r="CVC362" s="633">
        <v>3430726.5900000026</v>
      </c>
      <c r="CVD362" s="633">
        <v>3636289.9099999997</v>
      </c>
      <c r="CVE362" s="633">
        <v>3606558.6500000022</v>
      </c>
      <c r="CVF362" s="633">
        <v>3549118.4400000018</v>
      </c>
      <c r="CVG362" s="634">
        <v>39996846</v>
      </c>
      <c r="CVH362" s="633">
        <f>SUM(CUU362:CVF362)</f>
        <v>39996846.150000013</v>
      </c>
      <c r="CVI362" s="631" t="s">
        <v>1836</v>
      </c>
      <c r="CVJ362" s="632" t="s">
        <v>1673</v>
      </c>
      <c r="CVK362" s="633">
        <v>3470702.0100000007</v>
      </c>
      <c r="CVL362" s="633">
        <v>3448347.94</v>
      </c>
      <c r="CVM362" s="633">
        <v>3398526.4800000009</v>
      </c>
      <c r="CVN362" s="633">
        <v>2159854.59</v>
      </c>
      <c r="CVO362" s="633">
        <v>3563316.060000001</v>
      </c>
      <c r="CVP362" s="633">
        <v>3305610.92</v>
      </c>
      <c r="CVQ362" s="633">
        <v>3255686.1799999992</v>
      </c>
      <c r="CVR362" s="633">
        <v>3172108.3800000018</v>
      </c>
      <c r="CVS362" s="633">
        <v>3430726.5900000026</v>
      </c>
      <c r="CVT362" s="633">
        <v>3636289.9099999997</v>
      </c>
      <c r="CVU362" s="633">
        <v>3606558.6500000022</v>
      </c>
      <c r="CVV362" s="633">
        <v>3549118.4400000018</v>
      </c>
      <c r="CVW362" s="634">
        <v>39996846</v>
      </c>
      <c r="CVX362" s="633">
        <f>SUM(CVK362:CVV362)</f>
        <v>39996846.150000013</v>
      </c>
      <c r="CVY362" s="631" t="s">
        <v>1836</v>
      </c>
      <c r="CVZ362" s="632" t="s">
        <v>1673</v>
      </c>
      <c r="CWA362" s="633">
        <v>3470702.0100000007</v>
      </c>
      <c r="CWB362" s="633">
        <v>3448347.94</v>
      </c>
      <c r="CWC362" s="633">
        <v>3398526.4800000009</v>
      </c>
      <c r="CWD362" s="633">
        <v>2159854.59</v>
      </c>
      <c r="CWE362" s="633">
        <v>3563316.060000001</v>
      </c>
      <c r="CWF362" s="633">
        <v>3305610.92</v>
      </c>
      <c r="CWG362" s="633">
        <v>3255686.1799999992</v>
      </c>
      <c r="CWH362" s="633">
        <v>3172108.3800000018</v>
      </c>
      <c r="CWI362" s="633">
        <v>3430726.5900000026</v>
      </c>
      <c r="CWJ362" s="633">
        <v>3636289.9099999997</v>
      </c>
      <c r="CWK362" s="633">
        <v>3606558.6500000022</v>
      </c>
      <c r="CWL362" s="633">
        <v>3549118.4400000018</v>
      </c>
      <c r="CWM362" s="634">
        <v>39996846</v>
      </c>
      <c r="CWN362" s="633">
        <f>SUM(CWA362:CWL362)</f>
        <v>39996846.150000013</v>
      </c>
      <c r="CWO362" s="631" t="s">
        <v>1836</v>
      </c>
      <c r="CWP362" s="632" t="s">
        <v>1673</v>
      </c>
      <c r="CWQ362" s="633">
        <v>3470702.0100000007</v>
      </c>
      <c r="CWR362" s="633">
        <v>3448347.94</v>
      </c>
      <c r="CWS362" s="633">
        <v>3398526.4800000009</v>
      </c>
      <c r="CWT362" s="633">
        <v>2159854.59</v>
      </c>
      <c r="CWU362" s="633">
        <v>3563316.060000001</v>
      </c>
      <c r="CWV362" s="633">
        <v>3305610.92</v>
      </c>
      <c r="CWW362" s="633">
        <v>3255686.1799999992</v>
      </c>
      <c r="CWX362" s="633">
        <v>3172108.3800000018</v>
      </c>
      <c r="CWY362" s="633">
        <v>3430726.5900000026</v>
      </c>
      <c r="CWZ362" s="633">
        <v>3636289.9099999997</v>
      </c>
      <c r="CXA362" s="633">
        <v>3606558.6500000022</v>
      </c>
      <c r="CXB362" s="633">
        <v>3549118.4400000018</v>
      </c>
      <c r="CXC362" s="634">
        <v>39996846</v>
      </c>
      <c r="CXD362" s="633">
        <f>SUM(CWQ362:CXB362)</f>
        <v>39996846.150000013</v>
      </c>
      <c r="CXE362" s="631" t="s">
        <v>1836</v>
      </c>
      <c r="CXF362" s="632" t="s">
        <v>1673</v>
      </c>
      <c r="CXG362" s="633">
        <v>3470702.0100000007</v>
      </c>
      <c r="CXH362" s="633">
        <v>3448347.94</v>
      </c>
      <c r="CXI362" s="633">
        <v>3398526.4800000009</v>
      </c>
      <c r="CXJ362" s="633">
        <v>2159854.59</v>
      </c>
      <c r="CXK362" s="633">
        <v>3563316.060000001</v>
      </c>
      <c r="CXL362" s="633">
        <v>3305610.92</v>
      </c>
      <c r="CXM362" s="633">
        <v>3255686.1799999992</v>
      </c>
      <c r="CXN362" s="633">
        <v>3172108.3800000018</v>
      </c>
      <c r="CXO362" s="633">
        <v>3430726.5900000026</v>
      </c>
      <c r="CXP362" s="633">
        <v>3636289.9099999997</v>
      </c>
      <c r="CXQ362" s="633">
        <v>3606558.6500000022</v>
      </c>
      <c r="CXR362" s="633">
        <v>3549118.4400000018</v>
      </c>
      <c r="CXS362" s="634">
        <v>39996846</v>
      </c>
      <c r="CXT362" s="633">
        <f>SUM(CXG362:CXR362)</f>
        <v>39996846.150000013</v>
      </c>
      <c r="CXU362" s="631" t="s">
        <v>1836</v>
      </c>
      <c r="CXV362" s="632" t="s">
        <v>1673</v>
      </c>
      <c r="CXW362" s="633">
        <v>3470702.0100000007</v>
      </c>
      <c r="CXX362" s="633">
        <v>3448347.94</v>
      </c>
      <c r="CXY362" s="633">
        <v>3398526.4800000009</v>
      </c>
      <c r="CXZ362" s="633">
        <v>2159854.59</v>
      </c>
      <c r="CYA362" s="633">
        <v>3563316.060000001</v>
      </c>
      <c r="CYB362" s="633">
        <v>3305610.92</v>
      </c>
      <c r="CYC362" s="633">
        <v>3255686.1799999992</v>
      </c>
      <c r="CYD362" s="633">
        <v>3172108.3800000018</v>
      </c>
      <c r="CYE362" s="633">
        <v>3430726.5900000026</v>
      </c>
      <c r="CYF362" s="633">
        <v>3636289.9099999997</v>
      </c>
      <c r="CYG362" s="633">
        <v>3606558.6500000022</v>
      </c>
      <c r="CYH362" s="633">
        <v>3549118.4400000018</v>
      </c>
      <c r="CYI362" s="634">
        <v>39996846</v>
      </c>
      <c r="CYJ362" s="633">
        <f>SUM(CXW362:CYH362)</f>
        <v>39996846.150000013</v>
      </c>
      <c r="CYK362" s="631" t="s">
        <v>1836</v>
      </c>
      <c r="CYL362" s="632" t="s">
        <v>1673</v>
      </c>
      <c r="CYM362" s="633">
        <v>3470702.0100000007</v>
      </c>
      <c r="CYN362" s="633">
        <v>3448347.94</v>
      </c>
      <c r="CYO362" s="633">
        <v>3398526.4800000009</v>
      </c>
      <c r="CYP362" s="633">
        <v>2159854.59</v>
      </c>
      <c r="CYQ362" s="633">
        <v>3563316.060000001</v>
      </c>
      <c r="CYR362" s="633">
        <v>3305610.92</v>
      </c>
      <c r="CYS362" s="633">
        <v>3255686.1799999992</v>
      </c>
      <c r="CYT362" s="633">
        <v>3172108.3800000018</v>
      </c>
      <c r="CYU362" s="633">
        <v>3430726.5900000026</v>
      </c>
      <c r="CYV362" s="633">
        <v>3636289.9099999997</v>
      </c>
      <c r="CYW362" s="633">
        <v>3606558.6500000022</v>
      </c>
      <c r="CYX362" s="633">
        <v>3549118.4400000018</v>
      </c>
      <c r="CYY362" s="634">
        <v>39996846</v>
      </c>
      <c r="CYZ362" s="633">
        <f>SUM(CYM362:CYX362)</f>
        <v>39996846.150000013</v>
      </c>
      <c r="CZA362" s="631" t="s">
        <v>1836</v>
      </c>
      <c r="CZB362" s="632" t="s">
        <v>1673</v>
      </c>
      <c r="CZC362" s="633">
        <v>3470702.0100000007</v>
      </c>
      <c r="CZD362" s="633">
        <v>3448347.94</v>
      </c>
      <c r="CZE362" s="633">
        <v>3398526.4800000009</v>
      </c>
      <c r="CZF362" s="633">
        <v>2159854.59</v>
      </c>
      <c r="CZG362" s="633">
        <v>3563316.060000001</v>
      </c>
      <c r="CZH362" s="633">
        <v>3305610.92</v>
      </c>
      <c r="CZI362" s="633">
        <v>3255686.1799999992</v>
      </c>
      <c r="CZJ362" s="633">
        <v>3172108.3800000018</v>
      </c>
      <c r="CZK362" s="633">
        <v>3430726.5900000026</v>
      </c>
      <c r="CZL362" s="633">
        <v>3636289.9099999997</v>
      </c>
      <c r="CZM362" s="633">
        <v>3606558.6500000022</v>
      </c>
      <c r="CZN362" s="633">
        <v>3549118.4400000018</v>
      </c>
      <c r="CZO362" s="634">
        <v>39996846</v>
      </c>
      <c r="CZP362" s="633">
        <f>SUM(CZC362:CZN362)</f>
        <v>39996846.150000013</v>
      </c>
      <c r="CZQ362" s="631" t="s">
        <v>1836</v>
      </c>
      <c r="CZR362" s="632" t="s">
        <v>1673</v>
      </c>
      <c r="CZS362" s="633">
        <v>3470702.0100000007</v>
      </c>
      <c r="CZT362" s="633">
        <v>3448347.94</v>
      </c>
      <c r="CZU362" s="633">
        <v>3398526.4800000009</v>
      </c>
      <c r="CZV362" s="633">
        <v>2159854.59</v>
      </c>
      <c r="CZW362" s="633">
        <v>3563316.060000001</v>
      </c>
      <c r="CZX362" s="633">
        <v>3305610.92</v>
      </c>
      <c r="CZY362" s="633">
        <v>3255686.1799999992</v>
      </c>
      <c r="CZZ362" s="633">
        <v>3172108.3800000018</v>
      </c>
      <c r="DAA362" s="633">
        <v>3430726.5900000026</v>
      </c>
      <c r="DAB362" s="633">
        <v>3636289.9099999997</v>
      </c>
      <c r="DAC362" s="633">
        <v>3606558.6500000022</v>
      </c>
      <c r="DAD362" s="633">
        <v>3549118.4400000018</v>
      </c>
      <c r="DAE362" s="634">
        <v>39996846</v>
      </c>
      <c r="DAF362" s="633">
        <f>SUM(CZS362:DAD362)</f>
        <v>39996846.150000013</v>
      </c>
      <c r="DAG362" s="631" t="s">
        <v>1836</v>
      </c>
      <c r="DAH362" s="632" t="s">
        <v>1673</v>
      </c>
      <c r="DAI362" s="633">
        <v>3470702.0100000007</v>
      </c>
      <c r="DAJ362" s="633">
        <v>3448347.94</v>
      </c>
      <c r="DAK362" s="633">
        <v>3398526.4800000009</v>
      </c>
      <c r="DAL362" s="633">
        <v>2159854.59</v>
      </c>
      <c r="DAM362" s="633">
        <v>3563316.060000001</v>
      </c>
      <c r="DAN362" s="633">
        <v>3305610.92</v>
      </c>
      <c r="DAO362" s="633">
        <v>3255686.1799999992</v>
      </c>
      <c r="DAP362" s="633">
        <v>3172108.3800000018</v>
      </c>
      <c r="DAQ362" s="633">
        <v>3430726.5900000026</v>
      </c>
      <c r="DAR362" s="633">
        <v>3636289.9099999997</v>
      </c>
      <c r="DAS362" s="633">
        <v>3606558.6500000022</v>
      </c>
      <c r="DAT362" s="633">
        <v>3549118.4400000018</v>
      </c>
      <c r="DAU362" s="634">
        <v>39996846</v>
      </c>
      <c r="DAV362" s="633">
        <f>SUM(DAI362:DAT362)</f>
        <v>39996846.150000013</v>
      </c>
      <c r="DAW362" s="631" t="s">
        <v>1836</v>
      </c>
      <c r="DAX362" s="632" t="s">
        <v>1673</v>
      </c>
      <c r="DAY362" s="633">
        <v>3470702.0100000007</v>
      </c>
      <c r="DAZ362" s="633">
        <v>3448347.94</v>
      </c>
      <c r="DBA362" s="633">
        <v>3398526.4800000009</v>
      </c>
      <c r="DBB362" s="633">
        <v>2159854.59</v>
      </c>
      <c r="DBC362" s="633">
        <v>3563316.060000001</v>
      </c>
      <c r="DBD362" s="633">
        <v>3305610.92</v>
      </c>
      <c r="DBE362" s="633">
        <v>3255686.1799999992</v>
      </c>
      <c r="DBF362" s="633">
        <v>3172108.3800000018</v>
      </c>
      <c r="DBG362" s="633">
        <v>3430726.5900000026</v>
      </c>
      <c r="DBH362" s="633">
        <v>3636289.9099999997</v>
      </c>
      <c r="DBI362" s="633">
        <v>3606558.6500000022</v>
      </c>
      <c r="DBJ362" s="633">
        <v>3549118.4400000018</v>
      </c>
      <c r="DBK362" s="634">
        <v>39996846</v>
      </c>
      <c r="DBL362" s="633">
        <f>SUM(DAY362:DBJ362)</f>
        <v>39996846.150000013</v>
      </c>
      <c r="DBM362" s="631" t="s">
        <v>1836</v>
      </c>
      <c r="DBN362" s="632" t="s">
        <v>1673</v>
      </c>
      <c r="DBO362" s="633">
        <v>3470702.0100000007</v>
      </c>
      <c r="DBP362" s="633">
        <v>3448347.94</v>
      </c>
      <c r="DBQ362" s="633">
        <v>3398526.4800000009</v>
      </c>
      <c r="DBR362" s="633">
        <v>2159854.59</v>
      </c>
      <c r="DBS362" s="633">
        <v>3563316.060000001</v>
      </c>
      <c r="DBT362" s="633">
        <v>3305610.92</v>
      </c>
      <c r="DBU362" s="633">
        <v>3255686.1799999992</v>
      </c>
      <c r="DBV362" s="633">
        <v>3172108.3800000018</v>
      </c>
      <c r="DBW362" s="633">
        <v>3430726.5900000026</v>
      </c>
      <c r="DBX362" s="633">
        <v>3636289.9099999997</v>
      </c>
      <c r="DBY362" s="633">
        <v>3606558.6500000022</v>
      </c>
      <c r="DBZ362" s="633">
        <v>3549118.4400000018</v>
      </c>
      <c r="DCA362" s="634">
        <v>39996846</v>
      </c>
      <c r="DCB362" s="633">
        <f>SUM(DBO362:DBZ362)</f>
        <v>39996846.150000013</v>
      </c>
      <c r="DCC362" s="631" t="s">
        <v>1836</v>
      </c>
      <c r="DCD362" s="632" t="s">
        <v>1673</v>
      </c>
      <c r="DCE362" s="633">
        <v>3470702.0100000007</v>
      </c>
      <c r="DCF362" s="633">
        <v>3448347.94</v>
      </c>
      <c r="DCG362" s="633">
        <v>3398526.4800000009</v>
      </c>
      <c r="DCH362" s="633">
        <v>2159854.59</v>
      </c>
      <c r="DCI362" s="633">
        <v>3563316.060000001</v>
      </c>
      <c r="DCJ362" s="633">
        <v>3305610.92</v>
      </c>
      <c r="DCK362" s="633">
        <v>3255686.1799999992</v>
      </c>
      <c r="DCL362" s="633">
        <v>3172108.3800000018</v>
      </c>
      <c r="DCM362" s="633">
        <v>3430726.5900000026</v>
      </c>
      <c r="DCN362" s="633">
        <v>3636289.9099999997</v>
      </c>
      <c r="DCO362" s="633">
        <v>3606558.6500000022</v>
      </c>
      <c r="DCP362" s="633">
        <v>3549118.4400000018</v>
      </c>
      <c r="DCQ362" s="634">
        <v>39996846</v>
      </c>
      <c r="DCR362" s="633">
        <f>SUM(DCE362:DCP362)</f>
        <v>39996846.150000013</v>
      </c>
      <c r="DCS362" s="631" t="s">
        <v>1836</v>
      </c>
      <c r="DCT362" s="632" t="s">
        <v>1673</v>
      </c>
      <c r="DCU362" s="633">
        <v>3470702.0100000007</v>
      </c>
      <c r="DCV362" s="633">
        <v>3448347.94</v>
      </c>
      <c r="DCW362" s="633">
        <v>3398526.4800000009</v>
      </c>
      <c r="DCX362" s="633">
        <v>2159854.59</v>
      </c>
      <c r="DCY362" s="633">
        <v>3563316.060000001</v>
      </c>
      <c r="DCZ362" s="633">
        <v>3305610.92</v>
      </c>
      <c r="DDA362" s="633">
        <v>3255686.1799999992</v>
      </c>
      <c r="DDB362" s="633">
        <v>3172108.3800000018</v>
      </c>
      <c r="DDC362" s="633">
        <v>3430726.5900000026</v>
      </c>
      <c r="DDD362" s="633">
        <v>3636289.9099999997</v>
      </c>
      <c r="DDE362" s="633">
        <v>3606558.6500000022</v>
      </c>
      <c r="DDF362" s="633">
        <v>3549118.4400000018</v>
      </c>
      <c r="DDG362" s="634">
        <v>39996846</v>
      </c>
      <c r="DDH362" s="633">
        <f>SUM(DCU362:DDF362)</f>
        <v>39996846.150000013</v>
      </c>
      <c r="DDI362" s="631" t="s">
        <v>1836</v>
      </c>
      <c r="DDJ362" s="632" t="s">
        <v>1673</v>
      </c>
      <c r="DDK362" s="633">
        <v>3470702.0100000007</v>
      </c>
      <c r="DDL362" s="633">
        <v>3448347.94</v>
      </c>
      <c r="DDM362" s="633">
        <v>3398526.4800000009</v>
      </c>
      <c r="DDN362" s="633">
        <v>2159854.59</v>
      </c>
      <c r="DDO362" s="633">
        <v>3563316.060000001</v>
      </c>
      <c r="DDP362" s="633">
        <v>3305610.92</v>
      </c>
      <c r="DDQ362" s="633">
        <v>3255686.1799999992</v>
      </c>
      <c r="DDR362" s="633">
        <v>3172108.3800000018</v>
      </c>
      <c r="DDS362" s="633">
        <v>3430726.5900000026</v>
      </c>
      <c r="DDT362" s="633">
        <v>3636289.9099999997</v>
      </c>
      <c r="DDU362" s="633">
        <v>3606558.6500000022</v>
      </c>
      <c r="DDV362" s="633">
        <v>3549118.4400000018</v>
      </c>
      <c r="DDW362" s="634">
        <v>39996846</v>
      </c>
      <c r="DDX362" s="633">
        <f>SUM(DDK362:DDV362)</f>
        <v>39996846.150000013</v>
      </c>
      <c r="DDY362" s="631" t="s">
        <v>1836</v>
      </c>
      <c r="DDZ362" s="632" t="s">
        <v>1673</v>
      </c>
      <c r="DEA362" s="633">
        <v>3470702.0100000007</v>
      </c>
      <c r="DEB362" s="633">
        <v>3448347.94</v>
      </c>
      <c r="DEC362" s="633">
        <v>3398526.4800000009</v>
      </c>
      <c r="DED362" s="633">
        <v>2159854.59</v>
      </c>
      <c r="DEE362" s="633">
        <v>3563316.060000001</v>
      </c>
      <c r="DEF362" s="633">
        <v>3305610.92</v>
      </c>
      <c r="DEG362" s="633">
        <v>3255686.1799999992</v>
      </c>
      <c r="DEH362" s="633">
        <v>3172108.3800000018</v>
      </c>
      <c r="DEI362" s="633">
        <v>3430726.5900000026</v>
      </c>
      <c r="DEJ362" s="633">
        <v>3636289.9099999997</v>
      </c>
      <c r="DEK362" s="633">
        <v>3606558.6500000022</v>
      </c>
      <c r="DEL362" s="633">
        <v>3549118.4400000018</v>
      </c>
      <c r="DEM362" s="634">
        <v>39996846</v>
      </c>
      <c r="DEN362" s="633">
        <f>SUM(DEA362:DEL362)</f>
        <v>39996846.150000013</v>
      </c>
      <c r="DEO362" s="631" t="s">
        <v>1836</v>
      </c>
      <c r="DEP362" s="632" t="s">
        <v>1673</v>
      </c>
      <c r="DEQ362" s="633">
        <v>3470702.0100000007</v>
      </c>
      <c r="DER362" s="633">
        <v>3448347.94</v>
      </c>
      <c r="DES362" s="633">
        <v>3398526.4800000009</v>
      </c>
      <c r="DET362" s="633">
        <v>2159854.59</v>
      </c>
      <c r="DEU362" s="633">
        <v>3563316.060000001</v>
      </c>
      <c r="DEV362" s="633">
        <v>3305610.92</v>
      </c>
      <c r="DEW362" s="633">
        <v>3255686.1799999992</v>
      </c>
      <c r="DEX362" s="633">
        <v>3172108.3800000018</v>
      </c>
      <c r="DEY362" s="633">
        <v>3430726.5900000026</v>
      </c>
      <c r="DEZ362" s="633">
        <v>3636289.9099999997</v>
      </c>
      <c r="DFA362" s="633">
        <v>3606558.6500000022</v>
      </c>
      <c r="DFB362" s="633">
        <v>3549118.4400000018</v>
      </c>
      <c r="DFC362" s="634">
        <v>39996846</v>
      </c>
      <c r="DFD362" s="633">
        <f>SUM(DEQ362:DFB362)</f>
        <v>39996846.150000013</v>
      </c>
      <c r="DFE362" s="631" t="s">
        <v>1836</v>
      </c>
      <c r="DFF362" s="632" t="s">
        <v>1673</v>
      </c>
      <c r="DFG362" s="633">
        <v>3470702.0100000007</v>
      </c>
      <c r="DFH362" s="633">
        <v>3448347.94</v>
      </c>
      <c r="DFI362" s="633">
        <v>3398526.4800000009</v>
      </c>
      <c r="DFJ362" s="633">
        <v>2159854.59</v>
      </c>
      <c r="DFK362" s="633">
        <v>3563316.060000001</v>
      </c>
      <c r="DFL362" s="633">
        <v>3305610.92</v>
      </c>
      <c r="DFM362" s="633">
        <v>3255686.1799999992</v>
      </c>
      <c r="DFN362" s="633">
        <v>3172108.3800000018</v>
      </c>
      <c r="DFO362" s="633">
        <v>3430726.5900000026</v>
      </c>
      <c r="DFP362" s="633">
        <v>3636289.9099999997</v>
      </c>
      <c r="DFQ362" s="633">
        <v>3606558.6500000022</v>
      </c>
      <c r="DFR362" s="633">
        <v>3549118.4400000018</v>
      </c>
      <c r="DFS362" s="634">
        <v>39996846</v>
      </c>
      <c r="DFT362" s="633">
        <f>SUM(DFG362:DFR362)</f>
        <v>39996846.150000013</v>
      </c>
      <c r="DFU362" s="631" t="s">
        <v>1836</v>
      </c>
      <c r="DFV362" s="632" t="s">
        <v>1673</v>
      </c>
      <c r="DFW362" s="633">
        <v>3470702.0100000007</v>
      </c>
      <c r="DFX362" s="633">
        <v>3448347.94</v>
      </c>
      <c r="DFY362" s="633">
        <v>3398526.4800000009</v>
      </c>
      <c r="DFZ362" s="633">
        <v>2159854.59</v>
      </c>
      <c r="DGA362" s="633">
        <v>3563316.060000001</v>
      </c>
      <c r="DGB362" s="633">
        <v>3305610.92</v>
      </c>
      <c r="DGC362" s="633">
        <v>3255686.1799999992</v>
      </c>
      <c r="DGD362" s="633">
        <v>3172108.3800000018</v>
      </c>
      <c r="DGE362" s="633">
        <v>3430726.5900000026</v>
      </c>
      <c r="DGF362" s="633">
        <v>3636289.9099999997</v>
      </c>
      <c r="DGG362" s="633">
        <v>3606558.6500000022</v>
      </c>
      <c r="DGH362" s="633">
        <v>3549118.4400000018</v>
      </c>
      <c r="DGI362" s="634">
        <v>39996846</v>
      </c>
      <c r="DGJ362" s="633">
        <f>SUM(DFW362:DGH362)</f>
        <v>39996846.150000013</v>
      </c>
      <c r="DGK362" s="631" t="s">
        <v>1836</v>
      </c>
      <c r="DGL362" s="632" t="s">
        <v>1673</v>
      </c>
      <c r="DGM362" s="633">
        <v>3470702.0100000007</v>
      </c>
      <c r="DGN362" s="633">
        <v>3448347.94</v>
      </c>
      <c r="DGO362" s="633">
        <v>3398526.4800000009</v>
      </c>
      <c r="DGP362" s="633">
        <v>2159854.59</v>
      </c>
      <c r="DGQ362" s="633">
        <v>3563316.060000001</v>
      </c>
      <c r="DGR362" s="633">
        <v>3305610.92</v>
      </c>
      <c r="DGS362" s="633">
        <v>3255686.1799999992</v>
      </c>
      <c r="DGT362" s="633">
        <v>3172108.3800000018</v>
      </c>
      <c r="DGU362" s="633">
        <v>3430726.5900000026</v>
      </c>
      <c r="DGV362" s="633">
        <v>3636289.9099999997</v>
      </c>
      <c r="DGW362" s="633">
        <v>3606558.6500000022</v>
      </c>
      <c r="DGX362" s="633">
        <v>3549118.4400000018</v>
      </c>
      <c r="DGY362" s="634">
        <v>39996846</v>
      </c>
      <c r="DGZ362" s="633">
        <f>SUM(DGM362:DGX362)</f>
        <v>39996846.150000013</v>
      </c>
      <c r="DHA362" s="631" t="s">
        <v>1836</v>
      </c>
      <c r="DHB362" s="632" t="s">
        <v>1673</v>
      </c>
      <c r="DHC362" s="633">
        <v>3470702.0100000007</v>
      </c>
      <c r="DHD362" s="633">
        <v>3448347.94</v>
      </c>
      <c r="DHE362" s="633">
        <v>3398526.4800000009</v>
      </c>
      <c r="DHF362" s="633">
        <v>2159854.59</v>
      </c>
      <c r="DHG362" s="633">
        <v>3563316.060000001</v>
      </c>
      <c r="DHH362" s="633">
        <v>3305610.92</v>
      </c>
      <c r="DHI362" s="633">
        <v>3255686.1799999992</v>
      </c>
      <c r="DHJ362" s="633">
        <v>3172108.3800000018</v>
      </c>
      <c r="DHK362" s="633">
        <v>3430726.5900000026</v>
      </c>
      <c r="DHL362" s="633">
        <v>3636289.9099999997</v>
      </c>
      <c r="DHM362" s="633">
        <v>3606558.6500000022</v>
      </c>
      <c r="DHN362" s="633">
        <v>3549118.4400000018</v>
      </c>
      <c r="DHO362" s="634">
        <v>39996846</v>
      </c>
      <c r="DHP362" s="633">
        <f>SUM(DHC362:DHN362)</f>
        <v>39996846.150000013</v>
      </c>
      <c r="DHQ362" s="631" t="s">
        <v>1836</v>
      </c>
      <c r="DHR362" s="632" t="s">
        <v>1673</v>
      </c>
      <c r="DHS362" s="633">
        <v>3470702.0100000007</v>
      </c>
      <c r="DHT362" s="633">
        <v>3448347.94</v>
      </c>
      <c r="DHU362" s="633">
        <v>3398526.4800000009</v>
      </c>
      <c r="DHV362" s="633">
        <v>2159854.59</v>
      </c>
      <c r="DHW362" s="633">
        <v>3563316.060000001</v>
      </c>
      <c r="DHX362" s="633">
        <v>3305610.92</v>
      </c>
      <c r="DHY362" s="633">
        <v>3255686.1799999992</v>
      </c>
      <c r="DHZ362" s="633">
        <v>3172108.3800000018</v>
      </c>
      <c r="DIA362" s="633">
        <v>3430726.5900000026</v>
      </c>
      <c r="DIB362" s="633">
        <v>3636289.9099999997</v>
      </c>
      <c r="DIC362" s="633">
        <v>3606558.6500000022</v>
      </c>
      <c r="DID362" s="633">
        <v>3549118.4400000018</v>
      </c>
      <c r="DIE362" s="634">
        <v>39996846</v>
      </c>
      <c r="DIF362" s="633">
        <f>SUM(DHS362:DID362)</f>
        <v>39996846.150000013</v>
      </c>
      <c r="DIG362" s="631" t="s">
        <v>1836</v>
      </c>
      <c r="DIH362" s="632" t="s">
        <v>1673</v>
      </c>
      <c r="DII362" s="633">
        <v>3470702.0100000007</v>
      </c>
      <c r="DIJ362" s="633">
        <v>3448347.94</v>
      </c>
      <c r="DIK362" s="633">
        <v>3398526.4800000009</v>
      </c>
      <c r="DIL362" s="633">
        <v>2159854.59</v>
      </c>
      <c r="DIM362" s="633">
        <v>3563316.060000001</v>
      </c>
      <c r="DIN362" s="633">
        <v>3305610.92</v>
      </c>
      <c r="DIO362" s="633">
        <v>3255686.1799999992</v>
      </c>
      <c r="DIP362" s="633">
        <v>3172108.3800000018</v>
      </c>
      <c r="DIQ362" s="633">
        <v>3430726.5900000026</v>
      </c>
      <c r="DIR362" s="633">
        <v>3636289.9099999997</v>
      </c>
      <c r="DIS362" s="633">
        <v>3606558.6500000022</v>
      </c>
      <c r="DIT362" s="633">
        <v>3549118.4400000018</v>
      </c>
      <c r="DIU362" s="634">
        <v>39996846</v>
      </c>
      <c r="DIV362" s="633">
        <f>SUM(DII362:DIT362)</f>
        <v>39996846.150000013</v>
      </c>
      <c r="DIW362" s="631" t="s">
        <v>1836</v>
      </c>
      <c r="DIX362" s="632" t="s">
        <v>1673</v>
      </c>
      <c r="DIY362" s="633">
        <v>3470702.0100000007</v>
      </c>
      <c r="DIZ362" s="633">
        <v>3448347.94</v>
      </c>
      <c r="DJA362" s="633">
        <v>3398526.4800000009</v>
      </c>
      <c r="DJB362" s="633">
        <v>2159854.59</v>
      </c>
      <c r="DJC362" s="633">
        <v>3563316.060000001</v>
      </c>
      <c r="DJD362" s="633">
        <v>3305610.92</v>
      </c>
      <c r="DJE362" s="633">
        <v>3255686.1799999992</v>
      </c>
      <c r="DJF362" s="633">
        <v>3172108.3800000018</v>
      </c>
      <c r="DJG362" s="633">
        <v>3430726.5900000026</v>
      </c>
      <c r="DJH362" s="633">
        <v>3636289.9099999997</v>
      </c>
      <c r="DJI362" s="633">
        <v>3606558.6500000022</v>
      </c>
      <c r="DJJ362" s="633">
        <v>3549118.4400000018</v>
      </c>
      <c r="DJK362" s="634">
        <v>39996846</v>
      </c>
      <c r="DJL362" s="633">
        <f>SUM(DIY362:DJJ362)</f>
        <v>39996846.150000013</v>
      </c>
      <c r="DJM362" s="631" t="s">
        <v>1836</v>
      </c>
      <c r="DJN362" s="632" t="s">
        <v>1673</v>
      </c>
      <c r="DJO362" s="633">
        <v>3470702.0100000007</v>
      </c>
      <c r="DJP362" s="633">
        <v>3448347.94</v>
      </c>
      <c r="DJQ362" s="633">
        <v>3398526.4800000009</v>
      </c>
      <c r="DJR362" s="633">
        <v>2159854.59</v>
      </c>
      <c r="DJS362" s="633">
        <v>3563316.060000001</v>
      </c>
      <c r="DJT362" s="633">
        <v>3305610.92</v>
      </c>
      <c r="DJU362" s="633">
        <v>3255686.1799999992</v>
      </c>
      <c r="DJV362" s="633">
        <v>3172108.3800000018</v>
      </c>
      <c r="DJW362" s="633">
        <v>3430726.5900000026</v>
      </c>
      <c r="DJX362" s="633">
        <v>3636289.9099999997</v>
      </c>
      <c r="DJY362" s="633">
        <v>3606558.6500000022</v>
      </c>
      <c r="DJZ362" s="633">
        <v>3549118.4400000018</v>
      </c>
      <c r="DKA362" s="634">
        <v>39996846</v>
      </c>
      <c r="DKB362" s="633">
        <f>SUM(DJO362:DJZ362)</f>
        <v>39996846.150000013</v>
      </c>
      <c r="DKC362" s="631" t="s">
        <v>1836</v>
      </c>
      <c r="DKD362" s="632" t="s">
        <v>1673</v>
      </c>
      <c r="DKE362" s="633">
        <v>3470702.0100000007</v>
      </c>
      <c r="DKF362" s="633">
        <v>3448347.94</v>
      </c>
      <c r="DKG362" s="633">
        <v>3398526.4800000009</v>
      </c>
      <c r="DKH362" s="633">
        <v>2159854.59</v>
      </c>
      <c r="DKI362" s="633">
        <v>3563316.060000001</v>
      </c>
      <c r="DKJ362" s="633">
        <v>3305610.92</v>
      </c>
      <c r="DKK362" s="633">
        <v>3255686.1799999992</v>
      </c>
      <c r="DKL362" s="633">
        <v>3172108.3800000018</v>
      </c>
      <c r="DKM362" s="633">
        <v>3430726.5900000026</v>
      </c>
      <c r="DKN362" s="633">
        <v>3636289.9099999997</v>
      </c>
      <c r="DKO362" s="633">
        <v>3606558.6500000022</v>
      </c>
      <c r="DKP362" s="633">
        <v>3549118.4400000018</v>
      </c>
      <c r="DKQ362" s="634">
        <v>39996846</v>
      </c>
      <c r="DKR362" s="633">
        <f>SUM(DKE362:DKP362)</f>
        <v>39996846.150000013</v>
      </c>
      <c r="DKS362" s="631" t="s">
        <v>1836</v>
      </c>
      <c r="DKT362" s="632" t="s">
        <v>1673</v>
      </c>
      <c r="DKU362" s="633">
        <v>3470702.0100000007</v>
      </c>
      <c r="DKV362" s="633">
        <v>3448347.94</v>
      </c>
      <c r="DKW362" s="633">
        <v>3398526.4800000009</v>
      </c>
      <c r="DKX362" s="633">
        <v>2159854.59</v>
      </c>
      <c r="DKY362" s="633">
        <v>3563316.060000001</v>
      </c>
      <c r="DKZ362" s="633">
        <v>3305610.92</v>
      </c>
      <c r="DLA362" s="633">
        <v>3255686.1799999992</v>
      </c>
      <c r="DLB362" s="633">
        <v>3172108.3800000018</v>
      </c>
      <c r="DLC362" s="633">
        <v>3430726.5900000026</v>
      </c>
      <c r="DLD362" s="633">
        <v>3636289.9099999997</v>
      </c>
      <c r="DLE362" s="633">
        <v>3606558.6500000022</v>
      </c>
      <c r="DLF362" s="633">
        <v>3549118.4400000018</v>
      </c>
      <c r="DLG362" s="634">
        <v>39996846</v>
      </c>
      <c r="DLH362" s="633">
        <f>SUM(DKU362:DLF362)</f>
        <v>39996846.150000013</v>
      </c>
      <c r="DLI362" s="631" t="s">
        <v>1836</v>
      </c>
      <c r="DLJ362" s="632" t="s">
        <v>1673</v>
      </c>
      <c r="DLK362" s="633">
        <v>3470702.0100000007</v>
      </c>
      <c r="DLL362" s="633">
        <v>3448347.94</v>
      </c>
      <c r="DLM362" s="633">
        <v>3398526.4800000009</v>
      </c>
      <c r="DLN362" s="633">
        <v>2159854.59</v>
      </c>
      <c r="DLO362" s="633">
        <v>3563316.060000001</v>
      </c>
      <c r="DLP362" s="633">
        <v>3305610.92</v>
      </c>
      <c r="DLQ362" s="633">
        <v>3255686.1799999992</v>
      </c>
      <c r="DLR362" s="633">
        <v>3172108.3800000018</v>
      </c>
      <c r="DLS362" s="633">
        <v>3430726.5900000026</v>
      </c>
      <c r="DLT362" s="633">
        <v>3636289.9099999997</v>
      </c>
      <c r="DLU362" s="633">
        <v>3606558.6500000022</v>
      </c>
      <c r="DLV362" s="633">
        <v>3549118.4400000018</v>
      </c>
      <c r="DLW362" s="634">
        <v>39996846</v>
      </c>
      <c r="DLX362" s="633">
        <f>SUM(DLK362:DLV362)</f>
        <v>39996846.150000013</v>
      </c>
      <c r="DLY362" s="631" t="s">
        <v>1836</v>
      </c>
      <c r="DLZ362" s="632" t="s">
        <v>1673</v>
      </c>
      <c r="DMA362" s="633">
        <v>3470702.0100000007</v>
      </c>
      <c r="DMB362" s="633">
        <v>3448347.94</v>
      </c>
      <c r="DMC362" s="633">
        <v>3398526.4800000009</v>
      </c>
      <c r="DMD362" s="633">
        <v>2159854.59</v>
      </c>
      <c r="DME362" s="633">
        <v>3563316.060000001</v>
      </c>
      <c r="DMF362" s="633">
        <v>3305610.92</v>
      </c>
      <c r="DMG362" s="633">
        <v>3255686.1799999992</v>
      </c>
      <c r="DMH362" s="633">
        <v>3172108.3800000018</v>
      </c>
      <c r="DMI362" s="633">
        <v>3430726.5900000026</v>
      </c>
      <c r="DMJ362" s="633">
        <v>3636289.9099999997</v>
      </c>
      <c r="DMK362" s="633">
        <v>3606558.6500000022</v>
      </c>
      <c r="DML362" s="633">
        <v>3549118.4400000018</v>
      </c>
      <c r="DMM362" s="634">
        <v>39996846</v>
      </c>
      <c r="DMN362" s="633">
        <f>SUM(DMA362:DML362)</f>
        <v>39996846.150000013</v>
      </c>
      <c r="DMO362" s="631" t="s">
        <v>1836</v>
      </c>
      <c r="DMP362" s="632" t="s">
        <v>1673</v>
      </c>
      <c r="DMQ362" s="633">
        <v>3470702.0100000007</v>
      </c>
      <c r="DMR362" s="633">
        <v>3448347.94</v>
      </c>
      <c r="DMS362" s="633">
        <v>3398526.4800000009</v>
      </c>
      <c r="DMT362" s="633">
        <v>2159854.59</v>
      </c>
      <c r="DMU362" s="633">
        <v>3563316.060000001</v>
      </c>
      <c r="DMV362" s="633">
        <v>3305610.92</v>
      </c>
      <c r="DMW362" s="633">
        <v>3255686.1799999992</v>
      </c>
      <c r="DMX362" s="633">
        <v>3172108.3800000018</v>
      </c>
      <c r="DMY362" s="633">
        <v>3430726.5900000026</v>
      </c>
      <c r="DMZ362" s="633">
        <v>3636289.9099999997</v>
      </c>
      <c r="DNA362" s="633">
        <v>3606558.6500000022</v>
      </c>
      <c r="DNB362" s="633">
        <v>3549118.4400000018</v>
      </c>
      <c r="DNC362" s="634">
        <v>39996846</v>
      </c>
      <c r="DND362" s="633">
        <f>SUM(DMQ362:DNB362)</f>
        <v>39996846.150000013</v>
      </c>
      <c r="DNE362" s="631" t="s">
        <v>1836</v>
      </c>
      <c r="DNF362" s="632" t="s">
        <v>1673</v>
      </c>
      <c r="DNG362" s="633">
        <v>3470702.0100000007</v>
      </c>
      <c r="DNH362" s="633">
        <v>3448347.94</v>
      </c>
      <c r="DNI362" s="633">
        <v>3398526.4800000009</v>
      </c>
      <c r="DNJ362" s="633">
        <v>2159854.59</v>
      </c>
      <c r="DNK362" s="633">
        <v>3563316.060000001</v>
      </c>
      <c r="DNL362" s="633">
        <v>3305610.92</v>
      </c>
      <c r="DNM362" s="633">
        <v>3255686.1799999992</v>
      </c>
      <c r="DNN362" s="633">
        <v>3172108.3800000018</v>
      </c>
      <c r="DNO362" s="633">
        <v>3430726.5900000026</v>
      </c>
      <c r="DNP362" s="633">
        <v>3636289.9099999997</v>
      </c>
      <c r="DNQ362" s="633">
        <v>3606558.6500000022</v>
      </c>
      <c r="DNR362" s="633">
        <v>3549118.4400000018</v>
      </c>
      <c r="DNS362" s="634">
        <v>39996846</v>
      </c>
      <c r="DNT362" s="633">
        <f>SUM(DNG362:DNR362)</f>
        <v>39996846.150000013</v>
      </c>
      <c r="DNU362" s="631" t="s">
        <v>1836</v>
      </c>
      <c r="DNV362" s="632" t="s">
        <v>1673</v>
      </c>
      <c r="DNW362" s="633">
        <v>3470702.0100000007</v>
      </c>
      <c r="DNX362" s="633">
        <v>3448347.94</v>
      </c>
      <c r="DNY362" s="633">
        <v>3398526.4800000009</v>
      </c>
      <c r="DNZ362" s="633">
        <v>2159854.59</v>
      </c>
      <c r="DOA362" s="633">
        <v>3563316.060000001</v>
      </c>
      <c r="DOB362" s="633">
        <v>3305610.92</v>
      </c>
      <c r="DOC362" s="633">
        <v>3255686.1799999992</v>
      </c>
      <c r="DOD362" s="633">
        <v>3172108.3800000018</v>
      </c>
      <c r="DOE362" s="633">
        <v>3430726.5900000026</v>
      </c>
      <c r="DOF362" s="633">
        <v>3636289.9099999997</v>
      </c>
      <c r="DOG362" s="633">
        <v>3606558.6500000022</v>
      </c>
      <c r="DOH362" s="633">
        <v>3549118.4400000018</v>
      </c>
      <c r="DOI362" s="634">
        <v>39996846</v>
      </c>
      <c r="DOJ362" s="633">
        <f>SUM(DNW362:DOH362)</f>
        <v>39996846.150000013</v>
      </c>
      <c r="DOK362" s="631" t="s">
        <v>1836</v>
      </c>
      <c r="DOL362" s="632" t="s">
        <v>1673</v>
      </c>
      <c r="DOM362" s="633">
        <v>3470702.0100000007</v>
      </c>
      <c r="DON362" s="633">
        <v>3448347.94</v>
      </c>
      <c r="DOO362" s="633">
        <v>3398526.4800000009</v>
      </c>
      <c r="DOP362" s="633">
        <v>2159854.59</v>
      </c>
      <c r="DOQ362" s="633">
        <v>3563316.060000001</v>
      </c>
      <c r="DOR362" s="633">
        <v>3305610.92</v>
      </c>
      <c r="DOS362" s="633">
        <v>3255686.1799999992</v>
      </c>
      <c r="DOT362" s="633">
        <v>3172108.3800000018</v>
      </c>
      <c r="DOU362" s="633">
        <v>3430726.5900000026</v>
      </c>
      <c r="DOV362" s="633">
        <v>3636289.9099999997</v>
      </c>
      <c r="DOW362" s="633">
        <v>3606558.6500000022</v>
      </c>
      <c r="DOX362" s="633">
        <v>3549118.4400000018</v>
      </c>
      <c r="DOY362" s="634">
        <v>39996846</v>
      </c>
      <c r="DOZ362" s="633">
        <f>SUM(DOM362:DOX362)</f>
        <v>39996846.150000013</v>
      </c>
      <c r="DPA362" s="631" t="s">
        <v>1836</v>
      </c>
      <c r="DPB362" s="632" t="s">
        <v>1673</v>
      </c>
      <c r="DPC362" s="633">
        <v>3470702.0100000007</v>
      </c>
      <c r="DPD362" s="633">
        <v>3448347.94</v>
      </c>
      <c r="DPE362" s="633">
        <v>3398526.4800000009</v>
      </c>
      <c r="DPF362" s="633">
        <v>2159854.59</v>
      </c>
      <c r="DPG362" s="633">
        <v>3563316.060000001</v>
      </c>
      <c r="DPH362" s="633">
        <v>3305610.92</v>
      </c>
      <c r="DPI362" s="633">
        <v>3255686.1799999992</v>
      </c>
      <c r="DPJ362" s="633">
        <v>3172108.3800000018</v>
      </c>
      <c r="DPK362" s="633">
        <v>3430726.5900000026</v>
      </c>
      <c r="DPL362" s="633">
        <v>3636289.9099999997</v>
      </c>
      <c r="DPM362" s="633">
        <v>3606558.6500000022</v>
      </c>
      <c r="DPN362" s="633">
        <v>3549118.4400000018</v>
      </c>
      <c r="DPO362" s="634">
        <v>39996846</v>
      </c>
      <c r="DPP362" s="633">
        <f>SUM(DPC362:DPN362)</f>
        <v>39996846.150000013</v>
      </c>
      <c r="DPQ362" s="631" t="s">
        <v>1836</v>
      </c>
      <c r="DPR362" s="632" t="s">
        <v>1673</v>
      </c>
      <c r="DPS362" s="633">
        <v>3470702.0100000007</v>
      </c>
      <c r="DPT362" s="633">
        <v>3448347.94</v>
      </c>
      <c r="DPU362" s="633">
        <v>3398526.4800000009</v>
      </c>
      <c r="DPV362" s="633">
        <v>2159854.59</v>
      </c>
      <c r="DPW362" s="633">
        <v>3563316.060000001</v>
      </c>
      <c r="DPX362" s="633">
        <v>3305610.92</v>
      </c>
      <c r="DPY362" s="633">
        <v>3255686.1799999992</v>
      </c>
      <c r="DPZ362" s="633">
        <v>3172108.3800000018</v>
      </c>
      <c r="DQA362" s="633">
        <v>3430726.5900000026</v>
      </c>
      <c r="DQB362" s="633">
        <v>3636289.9099999997</v>
      </c>
      <c r="DQC362" s="633">
        <v>3606558.6500000022</v>
      </c>
      <c r="DQD362" s="633">
        <v>3549118.4400000018</v>
      </c>
      <c r="DQE362" s="634">
        <v>39996846</v>
      </c>
      <c r="DQF362" s="633">
        <f>SUM(DPS362:DQD362)</f>
        <v>39996846.150000013</v>
      </c>
      <c r="DQG362" s="631" t="s">
        <v>1836</v>
      </c>
      <c r="DQH362" s="632" t="s">
        <v>1673</v>
      </c>
      <c r="DQI362" s="633">
        <v>3470702.0100000007</v>
      </c>
      <c r="DQJ362" s="633">
        <v>3448347.94</v>
      </c>
      <c r="DQK362" s="633">
        <v>3398526.4800000009</v>
      </c>
      <c r="DQL362" s="633">
        <v>2159854.59</v>
      </c>
      <c r="DQM362" s="633">
        <v>3563316.060000001</v>
      </c>
      <c r="DQN362" s="633">
        <v>3305610.92</v>
      </c>
      <c r="DQO362" s="633">
        <v>3255686.1799999992</v>
      </c>
      <c r="DQP362" s="633">
        <v>3172108.3800000018</v>
      </c>
      <c r="DQQ362" s="633">
        <v>3430726.5900000026</v>
      </c>
      <c r="DQR362" s="633">
        <v>3636289.9099999997</v>
      </c>
      <c r="DQS362" s="633">
        <v>3606558.6500000022</v>
      </c>
      <c r="DQT362" s="633">
        <v>3549118.4400000018</v>
      </c>
      <c r="DQU362" s="634">
        <v>39996846</v>
      </c>
      <c r="DQV362" s="633">
        <f>SUM(DQI362:DQT362)</f>
        <v>39996846.150000013</v>
      </c>
      <c r="DQW362" s="631" t="s">
        <v>1836</v>
      </c>
      <c r="DQX362" s="632" t="s">
        <v>1673</v>
      </c>
      <c r="DQY362" s="633">
        <v>3470702.0100000007</v>
      </c>
      <c r="DQZ362" s="633">
        <v>3448347.94</v>
      </c>
      <c r="DRA362" s="633">
        <v>3398526.4800000009</v>
      </c>
      <c r="DRB362" s="633">
        <v>2159854.59</v>
      </c>
      <c r="DRC362" s="633">
        <v>3563316.060000001</v>
      </c>
      <c r="DRD362" s="633">
        <v>3305610.92</v>
      </c>
      <c r="DRE362" s="633">
        <v>3255686.1799999992</v>
      </c>
      <c r="DRF362" s="633">
        <v>3172108.3800000018</v>
      </c>
      <c r="DRG362" s="633">
        <v>3430726.5900000026</v>
      </c>
      <c r="DRH362" s="633">
        <v>3636289.9099999997</v>
      </c>
      <c r="DRI362" s="633">
        <v>3606558.6500000022</v>
      </c>
      <c r="DRJ362" s="633">
        <v>3549118.4400000018</v>
      </c>
      <c r="DRK362" s="634">
        <v>39996846</v>
      </c>
      <c r="DRL362" s="633">
        <f>SUM(DQY362:DRJ362)</f>
        <v>39996846.150000013</v>
      </c>
      <c r="DRM362" s="631" t="s">
        <v>1836</v>
      </c>
      <c r="DRN362" s="632" t="s">
        <v>1673</v>
      </c>
      <c r="DRO362" s="633">
        <v>3470702.0100000007</v>
      </c>
      <c r="DRP362" s="633">
        <v>3448347.94</v>
      </c>
      <c r="DRQ362" s="633">
        <v>3398526.4800000009</v>
      </c>
      <c r="DRR362" s="633">
        <v>2159854.59</v>
      </c>
      <c r="DRS362" s="633">
        <v>3563316.060000001</v>
      </c>
      <c r="DRT362" s="633">
        <v>3305610.92</v>
      </c>
      <c r="DRU362" s="633">
        <v>3255686.1799999992</v>
      </c>
      <c r="DRV362" s="633">
        <v>3172108.3800000018</v>
      </c>
      <c r="DRW362" s="633">
        <v>3430726.5900000026</v>
      </c>
      <c r="DRX362" s="633">
        <v>3636289.9099999997</v>
      </c>
      <c r="DRY362" s="633">
        <v>3606558.6500000022</v>
      </c>
      <c r="DRZ362" s="633">
        <v>3549118.4400000018</v>
      </c>
      <c r="DSA362" s="634">
        <v>39996846</v>
      </c>
      <c r="DSB362" s="633">
        <f>SUM(DRO362:DRZ362)</f>
        <v>39996846.150000013</v>
      </c>
      <c r="DSC362" s="631" t="s">
        <v>1836</v>
      </c>
      <c r="DSD362" s="632" t="s">
        <v>1673</v>
      </c>
      <c r="DSE362" s="633">
        <v>3470702.0100000007</v>
      </c>
      <c r="DSF362" s="633">
        <v>3448347.94</v>
      </c>
      <c r="DSG362" s="633">
        <v>3398526.4800000009</v>
      </c>
      <c r="DSH362" s="633">
        <v>2159854.59</v>
      </c>
      <c r="DSI362" s="633">
        <v>3563316.060000001</v>
      </c>
      <c r="DSJ362" s="633">
        <v>3305610.92</v>
      </c>
      <c r="DSK362" s="633">
        <v>3255686.1799999992</v>
      </c>
      <c r="DSL362" s="633">
        <v>3172108.3800000018</v>
      </c>
      <c r="DSM362" s="633">
        <v>3430726.5900000026</v>
      </c>
      <c r="DSN362" s="633">
        <v>3636289.9099999997</v>
      </c>
      <c r="DSO362" s="633">
        <v>3606558.6500000022</v>
      </c>
      <c r="DSP362" s="633">
        <v>3549118.4400000018</v>
      </c>
      <c r="DSQ362" s="634">
        <v>39996846</v>
      </c>
      <c r="DSR362" s="633">
        <f>SUM(DSE362:DSP362)</f>
        <v>39996846.150000013</v>
      </c>
      <c r="DSS362" s="631" t="s">
        <v>1836</v>
      </c>
      <c r="DST362" s="632" t="s">
        <v>1673</v>
      </c>
      <c r="DSU362" s="633">
        <v>3470702.0100000007</v>
      </c>
      <c r="DSV362" s="633">
        <v>3448347.94</v>
      </c>
      <c r="DSW362" s="633">
        <v>3398526.4800000009</v>
      </c>
      <c r="DSX362" s="633">
        <v>2159854.59</v>
      </c>
      <c r="DSY362" s="633">
        <v>3563316.060000001</v>
      </c>
      <c r="DSZ362" s="633">
        <v>3305610.92</v>
      </c>
      <c r="DTA362" s="633">
        <v>3255686.1799999992</v>
      </c>
      <c r="DTB362" s="633">
        <v>3172108.3800000018</v>
      </c>
      <c r="DTC362" s="633">
        <v>3430726.5900000026</v>
      </c>
      <c r="DTD362" s="633">
        <v>3636289.9099999997</v>
      </c>
      <c r="DTE362" s="633">
        <v>3606558.6500000022</v>
      </c>
      <c r="DTF362" s="633">
        <v>3549118.4400000018</v>
      </c>
      <c r="DTG362" s="634">
        <v>39996846</v>
      </c>
      <c r="DTH362" s="633">
        <f>SUM(DSU362:DTF362)</f>
        <v>39996846.150000013</v>
      </c>
      <c r="DTI362" s="631" t="s">
        <v>1836</v>
      </c>
      <c r="DTJ362" s="632" t="s">
        <v>1673</v>
      </c>
      <c r="DTK362" s="633">
        <v>3470702.0100000007</v>
      </c>
      <c r="DTL362" s="633">
        <v>3448347.94</v>
      </c>
      <c r="DTM362" s="633">
        <v>3398526.4800000009</v>
      </c>
      <c r="DTN362" s="633">
        <v>2159854.59</v>
      </c>
      <c r="DTO362" s="633">
        <v>3563316.060000001</v>
      </c>
      <c r="DTP362" s="633">
        <v>3305610.92</v>
      </c>
      <c r="DTQ362" s="633">
        <v>3255686.1799999992</v>
      </c>
      <c r="DTR362" s="633">
        <v>3172108.3800000018</v>
      </c>
      <c r="DTS362" s="633">
        <v>3430726.5900000026</v>
      </c>
      <c r="DTT362" s="633">
        <v>3636289.9099999997</v>
      </c>
      <c r="DTU362" s="633">
        <v>3606558.6500000022</v>
      </c>
      <c r="DTV362" s="633">
        <v>3549118.4400000018</v>
      </c>
      <c r="DTW362" s="634">
        <v>39996846</v>
      </c>
      <c r="DTX362" s="633">
        <f>SUM(DTK362:DTV362)</f>
        <v>39996846.150000013</v>
      </c>
      <c r="DTY362" s="631" t="s">
        <v>1836</v>
      </c>
      <c r="DTZ362" s="632" t="s">
        <v>1673</v>
      </c>
      <c r="DUA362" s="633">
        <v>3470702.0100000007</v>
      </c>
      <c r="DUB362" s="633">
        <v>3448347.94</v>
      </c>
      <c r="DUC362" s="633">
        <v>3398526.4800000009</v>
      </c>
      <c r="DUD362" s="633">
        <v>2159854.59</v>
      </c>
      <c r="DUE362" s="633">
        <v>3563316.060000001</v>
      </c>
      <c r="DUF362" s="633">
        <v>3305610.92</v>
      </c>
      <c r="DUG362" s="633">
        <v>3255686.1799999992</v>
      </c>
      <c r="DUH362" s="633">
        <v>3172108.3800000018</v>
      </c>
      <c r="DUI362" s="633">
        <v>3430726.5900000026</v>
      </c>
      <c r="DUJ362" s="633">
        <v>3636289.9099999997</v>
      </c>
      <c r="DUK362" s="633">
        <v>3606558.6500000022</v>
      </c>
      <c r="DUL362" s="633">
        <v>3549118.4400000018</v>
      </c>
      <c r="DUM362" s="634">
        <v>39996846</v>
      </c>
      <c r="DUN362" s="633">
        <f>SUM(DUA362:DUL362)</f>
        <v>39996846.150000013</v>
      </c>
      <c r="DUO362" s="631" t="s">
        <v>1836</v>
      </c>
      <c r="DUP362" s="632" t="s">
        <v>1673</v>
      </c>
      <c r="DUQ362" s="633">
        <v>3470702.0100000007</v>
      </c>
      <c r="DUR362" s="633">
        <v>3448347.94</v>
      </c>
      <c r="DUS362" s="633">
        <v>3398526.4800000009</v>
      </c>
      <c r="DUT362" s="633">
        <v>2159854.59</v>
      </c>
      <c r="DUU362" s="633">
        <v>3563316.060000001</v>
      </c>
      <c r="DUV362" s="633">
        <v>3305610.92</v>
      </c>
      <c r="DUW362" s="633">
        <v>3255686.1799999992</v>
      </c>
      <c r="DUX362" s="633">
        <v>3172108.3800000018</v>
      </c>
      <c r="DUY362" s="633">
        <v>3430726.5900000026</v>
      </c>
      <c r="DUZ362" s="633">
        <v>3636289.9099999997</v>
      </c>
      <c r="DVA362" s="633">
        <v>3606558.6500000022</v>
      </c>
      <c r="DVB362" s="633">
        <v>3549118.4400000018</v>
      </c>
      <c r="DVC362" s="634">
        <v>39996846</v>
      </c>
      <c r="DVD362" s="633">
        <f>SUM(DUQ362:DVB362)</f>
        <v>39996846.150000013</v>
      </c>
      <c r="DVE362" s="631" t="s">
        <v>1836</v>
      </c>
      <c r="DVF362" s="632" t="s">
        <v>1673</v>
      </c>
      <c r="DVG362" s="633">
        <v>3470702.0100000007</v>
      </c>
      <c r="DVH362" s="633">
        <v>3448347.94</v>
      </c>
      <c r="DVI362" s="633">
        <v>3398526.4800000009</v>
      </c>
      <c r="DVJ362" s="633">
        <v>2159854.59</v>
      </c>
      <c r="DVK362" s="633">
        <v>3563316.060000001</v>
      </c>
      <c r="DVL362" s="633">
        <v>3305610.92</v>
      </c>
      <c r="DVM362" s="633">
        <v>3255686.1799999992</v>
      </c>
      <c r="DVN362" s="633">
        <v>3172108.3800000018</v>
      </c>
      <c r="DVO362" s="633">
        <v>3430726.5900000026</v>
      </c>
      <c r="DVP362" s="633">
        <v>3636289.9099999997</v>
      </c>
      <c r="DVQ362" s="633">
        <v>3606558.6500000022</v>
      </c>
      <c r="DVR362" s="633">
        <v>3549118.4400000018</v>
      </c>
      <c r="DVS362" s="634">
        <v>39996846</v>
      </c>
      <c r="DVT362" s="633">
        <f>SUM(DVG362:DVR362)</f>
        <v>39996846.150000013</v>
      </c>
      <c r="DVU362" s="631" t="s">
        <v>1836</v>
      </c>
      <c r="DVV362" s="632" t="s">
        <v>1673</v>
      </c>
      <c r="DVW362" s="633">
        <v>3470702.0100000007</v>
      </c>
      <c r="DVX362" s="633">
        <v>3448347.94</v>
      </c>
      <c r="DVY362" s="633">
        <v>3398526.4800000009</v>
      </c>
      <c r="DVZ362" s="633">
        <v>2159854.59</v>
      </c>
      <c r="DWA362" s="633">
        <v>3563316.060000001</v>
      </c>
      <c r="DWB362" s="633">
        <v>3305610.92</v>
      </c>
      <c r="DWC362" s="633">
        <v>3255686.1799999992</v>
      </c>
      <c r="DWD362" s="633">
        <v>3172108.3800000018</v>
      </c>
      <c r="DWE362" s="633">
        <v>3430726.5900000026</v>
      </c>
      <c r="DWF362" s="633">
        <v>3636289.9099999997</v>
      </c>
      <c r="DWG362" s="633">
        <v>3606558.6500000022</v>
      </c>
      <c r="DWH362" s="633">
        <v>3549118.4400000018</v>
      </c>
      <c r="DWI362" s="634">
        <v>39996846</v>
      </c>
      <c r="DWJ362" s="633">
        <f>SUM(DVW362:DWH362)</f>
        <v>39996846.150000013</v>
      </c>
      <c r="DWK362" s="631" t="s">
        <v>1836</v>
      </c>
      <c r="DWL362" s="632" t="s">
        <v>1673</v>
      </c>
      <c r="DWM362" s="633">
        <v>3470702.0100000007</v>
      </c>
      <c r="DWN362" s="633">
        <v>3448347.94</v>
      </c>
      <c r="DWO362" s="633">
        <v>3398526.4800000009</v>
      </c>
      <c r="DWP362" s="633">
        <v>2159854.59</v>
      </c>
      <c r="DWQ362" s="633">
        <v>3563316.060000001</v>
      </c>
      <c r="DWR362" s="633">
        <v>3305610.92</v>
      </c>
      <c r="DWS362" s="633">
        <v>3255686.1799999992</v>
      </c>
      <c r="DWT362" s="633">
        <v>3172108.3800000018</v>
      </c>
      <c r="DWU362" s="633">
        <v>3430726.5900000026</v>
      </c>
      <c r="DWV362" s="633">
        <v>3636289.9099999997</v>
      </c>
      <c r="DWW362" s="633">
        <v>3606558.6500000022</v>
      </c>
      <c r="DWX362" s="633">
        <v>3549118.4400000018</v>
      </c>
      <c r="DWY362" s="634">
        <v>39996846</v>
      </c>
      <c r="DWZ362" s="633">
        <f>SUM(DWM362:DWX362)</f>
        <v>39996846.150000013</v>
      </c>
      <c r="DXA362" s="631" t="s">
        <v>1836</v>
      </c>
      <c r="DXB362" s="632" t="s">
        <v>1673</v>
      </c>
      <c r="DXC362" s="633">
        <v>3470702.0100000007</v>
      </c>
      <c r="DXD362" s="633">
        <v>3448347.94</v>
      </c>
      <c r="DXE362" s="633">
        <v>3398526.4800000009</v>
      </c>
      <c r="DXF362" s="633">
        <v>2159854.59</v>
      </c>
      <c r="DXG362" s="633">
        <v>3563316.060000001</v>
      </c>
      <c r="DXH362" s="633">
        <v>3305610.92</v>
      </c>
      <c r="DXI362" s="633">
        <v>3255686.1799999992</v>
      </c>
      <c r="DXJ362" s="633">
        <v>3172108.3800000018</v>
      </c>
      <c r="DXK362" s="633">
        <v>3430726.5900000026</v>
      </c>
      <c r="DXL362" s="633">
        <v>3636289.9099999997</v>
      </c>
      <c r="DXM362" s="633">
        <v>3606558.6500000022</v>
      </c>
      <c r="DXN362" s="633">
        <v>3549118.4400000018</v>
      </c>
      <c r="DXO362" s="634">
        <v>39996846</v>
      </c>
      <c r="DXP362" s="633">
        <f>SUM(DXC362:DXN362)</f>
        <v>39996846.150000013</v>
      </c>
      <c r="DXQ362" s="631" t="s">
        <v>1836</v>
      </c>
      <c r="DXR362" s="632" t="s">
        <v>1673</v>
      </c>
      <c r="DXS362" s="633">
        <v>3470702.0100000007</v>
      </c>
      <c r="DXT362" s="633">
        <v>3448347.94</v>
      </c>
      <c r="DXU362" s="633">
        <v>3398526.4800000009</v>
      </c>
      <c r="DXV362" s="633">
        <v>2159854.59</v>
      </c>
      <c r="DXW362" s="633">
        <v>3563316.060000001</v>
      </c>
      <c r="DXX362" s="633">
        <v>3305610.92</v>
      </c>
      <c r="DXY362" s="633">
        <v>3255686.1799999992</v>
      </c>
      <c r="DXZ362" s="633">
        <v>3172108.3800000018</v>
      </c>
      <c r="DYA362" s="633">
        <v>3430726.5900000026</v>
      </c>
      <c r="DYB362" s="633">
        <v>3636289.9099999997</v>
      </c>
      <c r="DYC362" s="633">
        <v>3606558.6500000022</v>
      </c>
      <c r="DYD362" s="633">
        <v>3549118.4400000018</v>
      </c>
      <c r="DYE362" s="634">
        <v>39996846</v>
      </c>
      <c r="DYF362" s="633">
        <f>SUM(DXS362:DYD362)</f>
        <v>39996846.150000013</v>
      </c>
      <c r="DYG362" s="631" t="s">
        <v>1836</v>
      </c>
      <c r="DYH362" s="632" t="s">
        <v>1673</v>
      </c>
      <c r="DYI362" s="633">
        <v>3470702.0100000007</v>
      </c>
      <c r="DYJ362" s="633">
        <v>3448347.94</v>
      </c>
      <c r="DYK362" s="633">
        <v>3398526.4800000009</v>
      </c>
      <c r="DYL362" s="633">
        <v>2159854.59</v>
      </c>
      <c r="DYM362" s="633">
        <v>3563316.060000001</v>
      </c>
      <c r="DYN362" s="633">
        <v>3305610.92</v>
      </c>
      <c r="DYO362" s="633">
        <v>3255686.1799999992</v>
      </c>
      <c r="DYP362" s="633">
        <v>3172108.3800000018</v>
      </c>
      <c r="DYQ362" s="633">
        <v>3430726.5900000026</v>
      </c>
      <c r="DYR362" s="633">
        <v>3636289.9099999997</v>
      </c>
      <c r="DYS362" s="633">
        <v>3606558.6500000022</v>
      </c>
      <c r="DYT362" s="633">
        <v>3549118.4400000018</v>
      </c>
      <c r="DYU362" s="634">
        <v>39996846</v>
      </c>
      <c r="DYV362" s="633">
        <f>SUM(DYI362:DYT362)</f>
        <v>39996846.150000013</v>
      </c>
      <c r="DYW362" s="631" t="s">
        <v>1836</v>
      </c>
      <c r="DYX362" s="632" t="s">
        <v>1673</v>
      </c>
      <c r="DYY362" s="633">
        <v>3470702.0100000007</v>
      </c>
      <c r="DYZ362" s="633">
        <v>3448347.94</v>
      </c>
      <c r="DZA362" s="633">
        <v>3398526.4800000009</v>
      </c>
      <c r="DZB362" s="633">
        <v>2159854.59</v>
      </c>
      <c r="DZC362" s="633">
        <v>3563316.060000001</v>
      </c>
      <c r="DZD362" s="633">
        <v>3305610.92</v>
      </c>
      <c r="DZE362" s="633">
        <v>3255686.1799999992</v>
      </c>
      <c r="DZF362" s="633">
        <v>3172108.3800000018</v>
      </c>
      <c r="DZG362" s="633">
        <v>3430726.5900000026</v>
      </c>
      <c r="DZH362" s="633">
        <v>3636289.9099999997</v>
      </c>
      <c r="DZI362" s="633">
        <v>3606558.6500000022</v>
      </c>
      <c r="DZJ362" s="633">
        <v>3549118.4400000018</v>
      </c>
      <c r="DZK362" s="634">
        <v>39996846</v>
      </c>
      <c r="DZL362" s="633">
        <f>SUM(DYY362:DZJ362)</f>
        <v>39996846.150000013</v>
      </c>
      <c r="DZM362" s="631" t="s">
        <v>1836</v>
      </c>
      <c r="DZN362" s="632" t="s">
        <v>1673</v>
      </c>
      <c r="DZO362" s="633">
        <v>3470702.0100000007</v>
      </c>
      <c r="DZP362" s="633">
        <v>3448347.94</v>
      </c>
      <c r="DZQ362" s="633">
        <v>3398526.4800000009</v>
      </c>
      <c r="DZR362" s="633">
        <v>2159854.59</v>
      </c>
      <c r="DZS362" s="633">
        <v>3563316.060000001</v>
      </c>
      <c r="DZT362" s="633">
        <v>3305610.92</v>
      </c>
      <c r="DZU362" s="633">
        <v>3255686.1799999992</v>
      </c>
      <c r="DZV362" s="633">
        <v>3172108.3800000018</v>
      </c>
      <c r="DZW362" s="633">
        <v>3430726.5900000026</v>
      </c>
      <c r="DZX362" s="633">
        <v>3636289.9099999997</v>
      </c>
      <c r="DZY362" s="633">
        <v>3606558.6500000022</v>
      </c>
      <c r="DZZ362" s="633">
        <v>3549118.4400000018</v>
      </c>
      <c r="EAA362" s="634">
        <v>39996846</v>
      </c>
      <c r="EAB362" s="633">
        <f>SUM(DZO362:DZZ362)</f>
        <v>39996846.150000013</v>
      </c>
      <c r="EAC362" s="631" t="s">
        <v>1836</v>
      </c>
      <c r="EAD362" s="632" t="s">
        <v>1673</v>
      </c>
      <c r="EAE362" s="633">
        <v>3470702.0100000007</v>
      </c>
      <c r="EAF362" s="633">
        <v>3448347.94</v>
      </c>
      <c r="EAG362" s="633">
        <v>3398526.4800000009</v>
      </c>
      <c r="EAH362" s="633">
        <v>2159854.59</v>
      </c>
      <c r="EAI362" s="633">
        <v>3563316.060000001</v>
      </c>
      <c r="EAJ362" s="633">
        <v>3305610.92</v>
      </c>
      <c r="EAK362" s="633">
        <v>3255686.1799999992</v>
      </c>
      <c r="EAL362" s="633">
        <v>3172108.3800000018</v>
      </c>
      <c r="EAM362" s="633">
        <v>3430726.5900000026</v>
      </c>
      <c r="EAN362" s="633">
        <v>3636289.9099999997</v>
      </c>
      <c r="EAO362" s="633">
        <v>3606558.6500000022</v>
      </c>
      <c r="EAP362" s="633">
        <v>3549118.4400000018</v>
      </c>
      <c r="EAQ362" s="634">
        <v>39996846</v>
      </c>
      <c r="EAR362" s="633">
        <f>SUM(EAE362:EAP362)</f>
        <v>39996846.150000013</v>
      </c>
      <c r="EAS362" s="631" t="s">
        <v>1836</v>
      </c>
      <c r="EAT362" s="632" t="s">
        <v>1673</v>
      </c>
      <c r="EAU362" s="633">
        <v>3470702.0100000007</v>
      </c>
      <c r="EAV362" s="633">
        <v>3448347.94</v>
      </c>
      <c r="EAW362" s="633">
        <v>3398526.4800000009</v>
      </c>
      <c r="EAX362" s="633">
        <v>2159854.59</v>
      </c>
      <c r="EAY362" s="633">
        <v>3563316.060000001</v>
      </c>
      <c r="EAZ362" s="633">
        <v>3305610.92</v>
      </c>
      <c r="EBA362" s="633">
        <v>3255686.1799999992</v>
      </c>
      <c r="EBB362" s="633">
        <v>3172108.3800000018</v>
      </c>
      <c r="EBC362" s="633">
        <v>3430726.5900000026</v>
      </c>
      <c r="EBD362" s="633">
        <v>3636289.9099999997</v>
      </c>
      <c r="EBE362" s="633">
        <v>3606558.6500000022</v>
      </c>
      <c r="EBF362" s="633">
        <v>3549118.4400000018</v>
      </c>
      <c r="EBG362" s="634">
        <v>39996846</v>
      </c>
      <c r="EBH362" s="633">
        <f>SUM(EAU362:EBF362)</f>
        <v>39996846.150000013</v>
      </c>
      <c r="EBI362" s="631" t="s">
        <v>1836</v>
      </c>
      <c r="EBJ362" s="632" t="s">
        <v>1673</v>
      </c>
      <c r="EBK362" s="633">
        <v>3470702.0100000007</v>
      </c>
      <c r="EBL362" s="633">
        <v>3448347.94</v>
      </c>
      <c r="EBM362" s="633">
        <v>3398526.4800000009</v>
      </c>
      <c r="EBN362" s="633">
        <v>2159854.59</v>
      </c>
      <c r="EBO362" s="633">
        <v>3563316.060000001</v>
      </c>
      <c r="EBP362" s="633">
        <v>3305610.92</v>
      </c>
      <c r="EBQ362" s="633">
        <v>3255686.1799999992</v>
      </c>
      <c r="EBR362" s="633">
        <v>3172108.3800000018</v>
      </c>
      <c r="EBS362" s="633">
        <v>3430726.5900000026</v>
      </c>
      <c r="EBT362" s="633">
        <v>3636289.9099999997</v>
      </c>
      <c r="EBU362" s="633">
        <v>3606558.6500000022</v>
      </c>
      <c r="EBV362" s="633">
        <v>3549118.4400000018</v>
      </c>
      <c r="EBW362" s="634">
        <v>39996846</v>
      </c>
      <c r="EBX362" s="633">
        <f>SUM(EBK362:EBV362)</f>
        <v>39996846.150000013</v>
      </c>
      <c r="EBY362" s="631" t="s">
        <v>1836</v>
      </c>
      <c r="EBZ362" s="632" t="s">
        <v>1673</v>
      </c>
      <c r="ECA362" s="633">
        <v>3470702.0100000007</v>
      </c>
      <c r="ECB362" s="633">
        <v>3448347.94</v>
      </c>
      <c r="ECC362" s="633">
        <v>3398526.4800000009</v>
      </c>
      <c r="ECD362" s="633">
        <v>2159854.59</v>
      </c>
      <c r="ECE362" s="633">
        <v>3563316.060000001</v>
      </c>
      <c r="ECF362" s="633">
        <v>3305610.92</v>
      </c>
      <c r="ECG362" s="633">
        <v>3255686.1799999992</v>
      </c>
      <c r="ECH362" s="633">
        <v>3172108.3800000018</v>
      </c>
      <c r="ECI362" s="633">
        <v>3430726.5900000026</v>
      </c>
      <c r="ECJ362" s="633">
        <v>3636289.9099999997</v>
      </c>
      <c r="ECK362" s="633">
        <v>3606558.6500000022</v>
      </c>
      <c r="ECL362" s="633">
        <v>3549118.4400000018</v>
      </c>
      <c r="ECM362" s="634">
        <v>39996846</v>
      </c>
      <c r="ECN362" s="633">
        <f>SUM(ECA362:ECL362)</f>
        <v>39996846.150000013</v>
      </c>
      <c r="ECO362" s="631" t="s">
        <v>1836</v>
      </c>
      <c r="ECP362" s="632" t="s">
        <v>1673</v>
      </c>
      <c r="ECQ362" s="633">
        <v>3470702.0100000007</v>
      </c>
      <c r="ECR362" s="633">
        <v>3448347.94</v>
      </c>
      <c r="ECS362" s="633">
        <v>3398526.4800000009</v>
      </c>
      <c r="ECT362" s="633">
        <v>2159854.59</v>
      </c>
      <c r="ECU362" s="633">
        <v>3563316.060000001</v>
      </c>
      <c r="ECV362" s="633">
        <v>3305610.92</v>
      </c>
      <c r="ECW362" s="633">
        <v>3255686.1799999992</v>
      </c>
      <c r="ECX362" s="633">
        <v>3172108.3800000018</v>
      </c>
      <c r="ECY362" s="633">
        <v>3430726.5900000026</v>
      </c>
      <c r="ECZ362" s="633">
        <v>3636289.9099999997</v>
      </c>
      <c r="EDA362" s="633">
        <v>3606558.6500000022</v>
      </c>
      <c r="EDB362" s="633">
        <v>3549118.4400000018</v>
      </c>
      <c r="EDC362" s="634">
        <v>39996846</v>
      </c>
      <c r="EDD362" s="633">
        <f>SUM(ECQ362:EDB362)</f>
        <v>39996846.150000013</v>
      </c>
      <c r="EDE362" s="631" t="s">
        <v>1836</v>
      </c>
      <c r="EDF362" s="632" t="s">
        <v>1673</v>
      </c>
      <c r="EDG362" s="633">
        <v>3470702.0100000007</v>
      </c>
      <c r="EDH362" s="633">
        <v>3448347.94</v>
      </c>
      <c r="EDI362" s="633">
        <v>3398526.4800000009</v>
      </c>
      <c r="EDJ362" s="633">
        <v>2159854.59</v>
      </c>
      <c r="EDK362" s="633">
        <v>3563316.060000001</v>
      </c>
      <c r="EDL362" s="633">
        <v>3305610.92</v>
      </c>
      <c r="EDM362" s="633">
        <v>3255686.1799999992</v>
      </c>
      <c r="EDN362" s="633">
        <v>3172108.3800000018</v>
      </c>
      <c r="EDO362" s="633">
        <v>3430726.5900000026</v>
      </c>
      <c r="EDP362" s="633">
        <v>3636289.9099999997</v>
      </c>
      <c r="EDQ362" s="633">
        <v>3606558.6500000022</v>
      </c>
      <c r="EDR362" s="633">
        <v>3549118.4400000018</v>
      </c>
      <c r="EDS362" s="634">
        <v>39996846</v>
      </c>
      <c r="EDT362" s="633">
        <f>SUM(EDG362:EDR362)</f>
        <v>39996846.150000013</v>
      </c>
      <c r="EDU362" s="631" t="s">
        <v>1836</v>
      </c>
      <c r="EDV362" s="632" t="s">
        <v>1673</v>
      </c>
      <c r="EDW362" s="633">
        <v>3470702.0100000007</v>
      </c>
      <c r="EDX362" s="633">
        <v>3448347.94</v>
      </c>
      <c r="EDY362" s="633">
        <v>3398526.4800000009</v>
      </c>
      <c r="EDZ362" s="633">
        <v>2159854.59</v>
      </c>
      <c r="EEA362" s="633">
        <v>3563316.060000001</v>
      </c>
      <c r="EEB362" s="633">
        <v>3305610.92</v>
      </c>
      <c r="EEC362" s="633">
        <v>3255686.1799999992</v>
      </c>
      <c r="EED362" s="633">
        <v>3172108.3800000018</v>
      </c>
      <c r="EEE362" s="633">
        <v>3430726.5900000026</v>
      </c>
      <c r="EEF362" s="633">
        <v>3636289.9099999997</v>
      </c>
      <c r="EEG362" s="633">
        <v>3606558.6500000022</v>
      </c>
      <c r="EEH362" s="633">
        <v>3549118.4400000018</v>
      </c>
      <c r="EEI362" s="634">
        <v>39996846</v>
      </c>
      <c r="EEJ362" s="633">
        <f>SUM(EDW362:EEH362)</f>
        <v>39996846.150000013</v>
      </c>
      <c r="EEK362" s="631" t="s">
        <v>1836</v>
      </c>
      <c r="EEL362" s="632" t="s">
        <v>1673</v>
      </c>
      <c r="EEM362" s="633">
        <v>3470702.0100000007</v>
      </c>
      <c r="EEN362" s="633">
        <v>3448347.94</v>
      </c>
      <c r="EEO362" s="633">
        <v>3398526.4800000009</v>
      </c>
      <c r="EEP362" s="633">
        <v>2159854.59</v>
      </c>
      <c r="EEQ362" s="633">
        <v>3563316.060000001</v>
      </c>
      <c r="EER362" s="633">
        <v>3305610.92</v>
      </c>
      <c r="EES362" s="633">
        <v>3255686.1799999992</v>
      </c>
      <c r="EET362" s="633">
        <v>3172108.3800000018</v>
      </c>
      <c r="EEU362" s="633">
        <v>3430726.5900000026</v>
      </c>
      <c r="EEV362" s="633">
        <v>3636289.9099999997</v>
      </c>
      <c r="EEW362" s="633">
        <v>3606558.6500000022</v>
      </c>
      <c r="EEX362" s="633">
        <v>3549118.4400000018</v>
      </c>
      <c r="EEY362" s="634">
        <v>39996846</v>
      </c>
      <c r="EEZ362" s="633">
        <f>SUM(EEM362:EEX362)</f>
        <v>39996846.150000013</v>
      </c>
      <c r="EFA362" s="631" t="s">
        <v>1836</v>
      </c>
      <c r="EFB362" s="632" t="s">
        <v>1673</v>
      </c>
      <c r="EFC362" s="633">
        <v>3470702.0100000007</v>
      </c>
      <c r="EFD362" s="633">
        <v>3448347.94</v>
      </c>
      <c r="EFE362" s="633">
        <v>3398526.4800000009</v>
      </c>
      <c r="EFF362" s="633">
        <v>2159854.59</v>
      </c>
      <c r="EFG362" s="633">
        <v>3563316.060000001</v>
      </c>
      <c r="EFH362" s="633">
        <v>3305610.92</v>
      </c>
      <c r="EFI362" s="633">
        <v>3255686.1799999992</v>
      </c>
      <c r="EFJ362" s="633">
        <v>3172108.3800000018</v>
      </c>
      <c r="EFK362" s="633">
        <v>3430726.5900000026</v>
      </c>
      <c r="EFL362" s="633">
        <v>3636289.9099999997</v>
      </c>
      <c r="EFM362" s="633">
        <v>3606558.6500000022</v>
      </c>
      <c r="EFN362" s="633">
        <v>3549118.4400000018</v>
      </c>
      <c r="EFO362" s="634">
        <v>39996846</v>
      </c>
      <c r="EFP362" s="633">
        <f>SUM(EFC362:EFN362)</f>
        <v>39996846.150000013</v>
      </c>
      <c r="EFQ362" s="631" t="s">
        <v>1836</v>
      </c>
      <c r="EFR362" s="632" t="s">
        <v>1673</v>
      </c>
      <c r="EFS362" s="633">
        <v>3470702.0100000007</v>
      </c>
      <c r="EFT362" s="633">
        <v>3448347.94</v>
      </c>
      <c r="EFU362" s="633">
        <v>3398526.4800000009</v>
      </c>
      <c r="EFV362" s="633">
        <v>2159854.59</v>
      </c>
      <c r="EFW362" s="633">
        <v>3563316.060000001</v>
      </c>
      <c r="EFX362" s="633">
        <v>3305610.92</v>
      </c>
      <c r="EFY362" s="633">
        <v>3255686.1799999992</v>
      </c>
      <c r="EFZ362" s="633">
        <v>3172108.3800000018</v>
      </c>
      <c r="EGA362" s="633">
        <v>3430726.5900000026</v>
      </c>
      <c r="EGB362" s="633">
        <v>3636289.9099999997</v>
      </c>
      <c r="EGC362" s="633">
        <v>3606558.6500000022</v>
      </c>
      <c r="EGD362" s="633">
        <v>3549118.4400000018</v>
      </c>
      <c r="EGE362" s="634">
        <v>39996846</v>
      </c>
      <c r="EGF362" s="633">
        <f>SUM(EFS362:EGD362)</f>
        <v>39996846.150000013</v>
      </c>
      <c r="EGG362" s="631" t="s">
        <v>1836</v>
      </c>
      <c r="EGH362" s="632" t="s">
        <v>1673</v>
      </c>
      <c r="EGI362" s="633">
        <v>3470702.0100000007</v>
      </c>
      <c r="EGJ362" s="633">
        <v>3448347.94</v>
      </c>
      <c r="EGK362" s="633">
        <v>3398526.4800000009</v>
      </c>
      <c r="EGL362" s="633">
        <v>2159854.59</v>
      </c>
      <c r="EGM362" s="633">
        <v>3563316.060000001</v>
      </c>
      <c r="EGN362" s="633">
        <v>3305610.92</v>
      </c>
      <c r="EGO362" s="633">
        <v>3255686.1799999992</v>
      </c>
      <c r="EGP362" s="633">
        <v>3172108.3800000018</v>
      </c>
      <c r="EGQ362" s="633">
        <v>3430726.5900000026</v>
      </c>
      <c r="EGR362" s="633">
        <v>3636289.9099999997</v>
      </c>
      <c r="EGS362" s="633">
        <v>3606558.6500000022</v>
      </c>
      <c r="EGT362" s="633">
        <v>3549118.4400000018</v>
      </c>
      <c r="EGU362" s="634">
        <v>39996846</v>
      </c>
      <c r="EGV362" s="633">
        <f>SUM(EGI362:EGT362)</f>
        <v>39996846.150000013</v>
      </c>
      <c r="EGW362" s="631" t="s">
        <v>1836</v>
      </c>
      <c r="EGX362" s="632" t="s">
        <v>1673</v>
      </c>
      <c r="EGY362" s="633">
        <v>3470702.0100000007</v>
      </c>
      <c r="EGZ362" s="633">
        <v>3448347.94</v>
      </c>
      <c r="EHA362" s="633">
        <v>3398526.4800000009</v>
      </c>
      <c r="EHB362" s="633">
        <v>2159854.59</v>
      </c>
      <c r="EHC362" s="633">
        <v>3563316.060000001</v>
      </c>
      <c r="EHD362" s="633">
        <v>3305610.92</v>
      </c>
      <c r="EHE362" s="633">
        <v>3255686.1799999992</v>
      </c>
      <c r="EHF362" s="633">
        <v>3172108.3800000018</v>
      </c>
      <c r="EHG362" s="633">
        <v>3430726.5900000026</v>
      </c>
      <c r="EHH362" s="633">
        <v>3636289.9099999997</v>
      </c>
      <c r="EHI362" s="633">
        <v>3606558.6500000022</v>
      </c>
      <c r="EHJ362" s="633">
        <v>3549118.4400000018</v>
      </c>
      <c r="EHK362" s="634">
        <v>39996846</v>
      </c>
      <c r="EHL362" s="633">
        <f>SUM(EGY362:EHJ362)</f>
        <v>39996846.150000013</v>
      </c>
      <c r="EHM362" s="631" t="s">
        <v>1836</v>
      </c>
      <c r="EHN362" s="632" t="s">
        <v>1673</v>
      </c>
      <c r="EHO362" s="633">
        <v>3470702.0100000007</v>
      </c>
      <c r="EHP362" s="633">
        <v>3448347.94</v>
      </c>
      <c r="EHQ362" s="633">
        <v>3398526.4800000009</v>
      </c>
      <c r="EHR362" s="633">
        <v>2159854.59</v>
      </c>
      <c r="EHS362" s="633">
        <v>3563316.060000001</v>
      </c>
      <c r="EHT362" s="633">
        <v>3305610.92</v>
      </c>
      <c r="EHU362" s="633">
        <v>3255686.1799999992</v>
      </c>
      <c r="EHV362" s="633">
        <v>3172108.3800000018</v>
      </c>
      <c r="EHW362" s="633">
        <v>3430726.5900000026</v>
      </c>
      <c r="EHX362" s="633">
        <v>3636289.9099999997</v>
      </c>
      <c r="EHY362" s="633">
        <v>3606558.6500000022</v>
      </c>
      <c r="EHZ362" s="633">
        <v>3549118.4400000018</v>
      </c>
      <c r="EIA362" s="634">
        <v>39996846</v>
      </c>
      <c r="EIB362" s="633">
        <f>SUM(EHO362:EHZ362)</f>
        <v>39996846.150000013</v>
      </c>
      <c r="EIC362" s="631" t="s">
        <v>1836</v>
      </c>
      <c r="EID362" s="632" t="s">
        <v>1673</v>
      </c>
      <c r="EIE362" s="633">
        <v>3470702.0100000007</v>
      </c>
      <c r="EIF362" s="633">
        <v>3448347.94</v>
      </c>
      <c r="EIG362" s="633">
        <v>3398526.4800000009</v>
      </c>
      <c r="EIH362" s="633">
        <v>2159854.59</v>
      </c>
      <c r="EII362" s="633">
        <v>3563316.060000001</v>
      </c>
      <c r="EIJ362" s="633">
        <v>3305610.92</v>
      </c>
      <c r="EIK362" s="633">
        <v>3255686.1799999992</v>
      </c>
      <c r="EIL362" s="633">
        <v>3172108.3800000018</v>
      </c>
      <c r="EIM362" s="633">
        <v>3430726.5900000026</v>
      </c>
      <c r="EIN362" s="633">
        <v>3636289.9099999997</v>
      </c>
      <c r="EIO362" s="633">
        <v>3606558.6500000022</v>
      </c>
      <c r="EIP362" s="633">
        <v>3549118.4400000018</v>
      </c>
      <c r="EIQ362" s="634">
        <v>39996846</v>
      </c>
      <c r="EIR362" s="633">
        <f>SUM(EIE362:EIP362)</f>
        <v>39996846.150000013</v>
      </c>
      <c r="EIS362" s="631" t="s">
        <v>1836</v>
      </c>
      <c r="EIT362" s="632" t="s">
        <v>1673</v>
      </c>
      <c r="EIU362" s="633">
        <v>3470702.0100000007</v>
      </c>
      <c r="EIV362" s="633">
        <v>3448347.94</v>
      </c>
      <c r="EIW362" s="633">
        <v>3398526.4800000009</v>
      </c>
      <c r="EIX362" s="633">
        <v>2159854.59</v>
      </c>
      <c r="EIY362" s="633">
        <v>3563316.060000001</v>
      </c>
      <c r="EIZ362" s="633">
        <v>3305610.92</v>
      </c>
      <c r="EJA362" s="633">
        <v>3255686.1799999992</v>
      </c>
      <c r="EJB362" s="633">
        <v>3172108.3800000018</v>
      </c>
      <c r="EJC362" s="633">
        <v>3430726.5900000026</v>
      </c>
      <c r="EJD362" s="633">
        <v>3636289.9099999997</v>
      </c>
      <c r="EJE362" s="633">
        <v>3606558.6500000022</v>
      </c>
      <c r="EJF362" s="633">
        <v>3549118.4400000018</v>
      </c>
      <c r="EJG362" s="634">
        <v>39996846</v>
      </c>
      <c r="EJH362" s="633">
        <f>SUM(EIU362:EJF362)</f>
        <v>39996846.150000013</v>
      </c>
      <c r="EJI362" s="631" t="s">
        <v>1836</v>
      </c>
      <c r="EJJ362" s="632" t="s">
        <v>1673</v>
      </c>
      <c r="EJK362" s="633">
        <v>3470702.0100000007</v>
      </c>
      <c r="EJL362" s="633">
        <v>3448347.94</v>
      </c>
      <c r="EJM362" s="633">
        <v>3398526.4800000009</v>
      </c>
      <c r="EJN362" s="633">
        <v>2159854.59</v>
      </c>
      <c r="EJO362" s="633">
        <v>3563316.060000001</v>
      </c>
      <c r="EJP362" s="633">
        <v>3305610.92</v>
      </c>
      <c r="EJQ362" s="633">
        <v>3255686.1799999992</v>
      </c>
      <c r="EJR362" s="633">
        <v>3172108.3800000018</v>
      </c>
      <c r="EJS362" s="633">
        <v>3430726.5900000026</v>
      </c>
      <c r="EJT362" s="633">
        <v>3636289.9099999997</v>
      </c>
      <c r="EJU362" s="633">
        <v>3606558.6500000022</v>
      </c>
      <c r="EJV362" s="633">
        <v>3549118.4400000018</v>
      </c>
      <c r="EJW362" s="634">
        <v>39996846</v>
      </c>
      <c r="EJX362" s="633">
        <f>SUM(EJK362:EJV362)</f>
        <v>39996846.150000013</v>
      </c>
      <c r="EJY362" s="631" t="s">
        <v>1836</v>
      </c>
      <c r="EJZ362" s="632" t="s">
        <v>1673</v>
      </c>
      <c r="EKA362" s="633">
        <v>3470702.0100000007</v>
      </c>
      <c r="EKB362" s="633">
        <v>3448347.94</v>
      </c>
      <c r="EKC362" s="633">
        <v>3398526.4800000009</v>
      </c>
      <c r="EKD362" s="633">
        <v>2159854.59</v>
      </c>
      <c r="EKE362" s="633">
        <v>3563316.060000001</v>
      </c>
      <c r="EKF362" s="633">
        <v>3305610.92</v>
      </c>
      <c r="EKG362" s="633">
        <v>3255686.1799999992</v>
      </c>
      <c r="EKH362" s="633">
        <v>3172108.3800000018</v>
      </c>
      <c r="EKI362" s="633">
        <v>3430726.5900000026</v>
      </c>
      <c r="EKJ362" s="633">
        <v>3636289.9099999997</v>
      </c>
      <c r="EKK362" s="633">
        <v>3606558.6500000022</v>
      </c>
      <c r="EKL362" s="633">
        <v>3549118.4400000018</v>
      </c>
      <c r="EKM362" s="634">
        <v>39996846</v>
      </c>
      <c r="EKN362" s="633">
        <f>SUM(EKA362:EKL362)</f>
        <v>39996846.150000013</v>
      </c>
      <c r="EKO362" s="631" t="s">
        <v>1836</v>
      </c>
      <c r="EKP362" s="632" t="s">
        <v>1673</v>
      </c>
      <c r="EKQ362" s="633">
        <v>3470702.0100000007</v>
      </c>
      <c r="EKR362" s="633">
        <v>3448347.94</v>
      </c>
      <c r="EKS362" s="633">
        <v>3398526.4800000009</v>
      </c>
      <c r="EKT362" s="633">
        <v>2159854.59</v>
      </c>
      <c r="EKU362" s="633">
        <v>3563316.060000001</v>
      </c>
      <c r="EKV362" s="633">
        <v>3305610.92</v>
      </c>
      <c r="EKW362" s="633">
        <v>3255686.1799999992</v>
      </c>
      <c r="EKX362" s="633">
        <v>3172108.3800000018</v>
      </c>
      <c r="EKY362" s="633">
        <v>3430726.5900000026</v>
      </c>
      <c r="EKZ362" s="633">
        <v>3636289.9099999997</v>
      </c>
      <c r="ELA362" s="633">
        <v>3606558.6500000022</v>
      </c>
      <c r="ELB362" s="633">
        <v>3549118.4400000018</v>
      </c>
      <c r="ELC362" s="634">
        <v>39996846</v>
      </c>
      <c r="ELD362" s="633">
        <f>SUM(EKQ362:ELB362)</f>
        <v>39996846.150000013</v>
      </c>
      <c r="ELE362" s="631" t="s">
        <v>1836</v>
      </c>
      <c r="ELF362" s="632" t="s">
        <v>1673</v>
      </c>
      <c r="ELG362" s="633">
        <v>3470702.0100000007</v>
      </c>
      <c r="ELH362" s="633">
        <v>3448347.94</v>
      </c>
      <c r="ELI362" s="633">
        <v>3398526.4800000009</v>
      </c>
      <c r="ELJ362" s="633">
        <v>2159854.59</v>
      </c>
      <c r="ELK362" s="633">
        <v>3563316.060000001</v>
      </c>
      <c r="ELL362" s="633">
        <v>3305610.92</v>
      </c>
      <c r="ELM362" s="633">
        <v>3255686.1799999992</v>
      </c>
      <c r="ELN362" s="633">
        <v>3172108.3800000018</v>
      </c>
      <c r="ELO362" s="633">
        <v>3430726.5900000026</v>
      </c>
      <c r="ELP362" s="633">
        <v>3636289.9099999997</v>
      </c>
      <c r="ELQ362" s="633">
        <v>3606558.6500000022</v>
      </c>
      <c r="ELR362" s="633">
        <v>3549118.4400000018</v>
      </c>
      <c r="ELS362" s="634">
        <v>39996846</v>
      </c>
      <c r="ELT362" s="633">
        <f>SUM(ELG362:ELR362)</f>
        <v>39996846.150000013</v>
      </c>
      <c r="ELU362" s="631" t="s">
        <v>1836</v>
      </c>
      <c r="ELV362" s="632" t="s">
        <v>1673</v>
      </c>
      <c r="ELW362" s="633">
        <v>3470702.0100000007</v>
      </c>
      <c r="ELX362" s="633">
        <v>3448347.94</v>
      </c>
      <c r="ELY362" s="633">
        <v>3398526.4800000009</v>
      </c>
      <c r="ELZ362" s="633">
        <v>2159854.59</v>
      </c>
      <c r="EMA362" s="633">
        <v>3563316.060000001</v>
      </c>
      <c r="EMB362" s="633">
        <v>3305610.92</v>
      </c>
      <c r="EMC362" s="633">
        <v>3255686.1799999992</v>
      </c>
      <c r="EMD362" s="633">
        <v>3172108.3800000018</v>
      </c>
      <c r="EME362" s="633">
        <v>3430726.5900000026</v>
      </c>
      <c r="EMF362" s="633">
        <v>3636289.9099999997</v>
      </c>
      <c r="EMG362" s="633">
        <v>3606558.6500000022</v>
      </c>
      <c r="EMH362" s="633">
        <v>3549118.4400000018</v>
      </c>
      <c r="EMI362" s="634">
        <v>39996846</v>
      </c>
      <c r="EMJ362" s="633">
        <f>SUM(ELW362:EMH362)</f>
        <v>39996846.150000013</v>
      </c>
      <c r="EMK362" s="631" t="s">
        <v>1836</v>
      </c>
      <c r="EML362" s="632" t="s">
        <v>1673</v>
      </c>
      <c r="EMM362" s="633">
        <v>3470702.0100000007</v>
      </c>
      <c r="EMN362" s="633">
        <v>3448347.94</v>
      </c>
      <c r="EMO362" s="633">
        <v>3398526.4800000009</v>
      </c>
      <c r="EMP362" s="633">
        <v>2159854.59</v>
      </c>
      <c r="EMQ362" s="633">
        <v>3563316.060000001</v>
      </c>
      <c r="EMR362" s="633">
        <v>3305610.92</v>
      </c>
      <c r="EMS362" s="633">
        <v>3255686.1799999992</v>
      </c>
      <c r="EMT362" s="633">
        <v>3172108.3800000018</v>
      </c>
      <c r="EMU362" s="633">
        <v>3430726.5900000026</v>
      </c>
      <c r="EMV362" s="633">
        <v>3636289.9099999997</v>
      </c>
      <c r="EMW362" s="633">
        <v>3606558.6500000022</v>
      </c>
      <c r="EMX362" s="633">
        <v>3549118.4400000018</v>
      </c>
      <c r="EMY362" s="634">
        <v>39996846</v>
      </c>
      <c r="EMZ362" s="633">
        <f>SUM(EMM362:EMX362)</f>
        <v>39996846.150000013</v>
      </c>
      <c r="ENA362" s="631" t="s">
        <v>1836</v>
      </c>
      <c r="ENB362" s="632" t="s">
        <v>1673</v>
      </c>
      <c r="ENC362" s="633">
        <v>3470702.0100000007</v>
      </c>
      <c r="END362" s="633">
        <v>3448347.94</v>
      </c>
      <c r="ENE362" s="633">
        <v>3398526.4800000009</v>
      </c>
      <c r="ENF362" s="633">
        <v>2159854.59</v>
      </c>
      <c r="ENG362" s="633">
        <v>3563316.060000001</v>
      </c>
      <c r="ENH362" s="633">
        <v>3305610.92</v>
      </c>
      <c r="ENI362" s="633">
        <v>3255686.1799999992</v>
      </c>
      <c r="ENJ362" s="633">
        <v>3172108.3800000018</v>
      </c>
      <c r="ENK362" s="633">
        <v>3430726.5900000026</v>
      </c>
      <c r="ENL362" s="633">
        <v>3636289.9099999997</v>
      </c>
      <c r="ENM362" s="633">
        <v>3606558.6500000022</v>
      </c>
      <c r="ENN362" s="633">
        <v>3549118.4400000018</v>
      </c>
      <c r="ENO362" s="634">
        <v>39996846</v>
      </c>
      <c r="ENP362" s="633">
        <f>SUM(ENC362:ENN362)</f>
        <v>39996846.150000013</v>
      </c>
      <c r="ENQ362" s="631" t="s">
        <v>1836</v>
      </c>
      <c r="ENR362" s="632" t="s">
        <v>1673</v>
      </c>
      <c r="ENS362" s="633">
        <v>3470702.0100000007</v>
      </c>
      <c r="ENT362" s="633">
        <v>3448347.94</v>
      </c>
      <c r="ENU362" s="633">
        <v>3398526.4800000009</v>
      </c>
      <c r="ENV362" s="633">
        <v>2159854.59</v>
      </c>
      <c r="ENW362" s="633">
        <v>3563316.060000001</v>
      </c>
      <c r="ENX362" s="633">
        <v>3305610.92</v>
      </c>
      <c r="ENY362" s="633">
        <v>3255686.1799999992</v>
      </c>
      <c r="ENZ362" s="633">
        <v>3172108.3800000018</v>
      </c>
      <c r="EOA362" s="633">
        <v>3430726.5900000026</v>
      </c>
      <c r="EOB362" s="633">
        <v>3636289.9099999997</v>
      </c>
      <c r="EOC362" s="633">
        <v>3606558.6500000022</v>
      </c>
      <c r="EOD362" s="633">
        <v>3549118.4400000018</v>
      </c>
      <c r="EOE362" s="634">
        <v>39996846</v>
      </c>
      <c r="EOF362" s="633">
        <f>SUM(ENS362:EOD362)</f>
        <v>39996846.150000013</v>
      </c>
      <c r="EOG362" s="631" t="s">
        <v>1836</v>
      </c>
      <c r="EOH362" s="632" t="s">
        <v>1673</v>
      </c>
      <c r="EOI362" s="633">
        <v>3470702.0100000007</v>
      </c>
      <c r="EOJ362" s="633">
        <v>3448347.94</v>
      </c>
      <c r="EOK362" s="633">
        <v>3398526.4800000009</v>
      </c>
      <c r="EOL362" s="633">
        <v>2159854.59</v>
      </c>
      <c r="EOM362" s="633">
        <v>3563316.060000001</v>
      </c>
      <c r="EON362" s="633">
        <v>3305610.92</v>
      </c>
      <c r="EOO362" s="633">
        <v>3255686.1799999992</v>
      </c>
      <c r="EOP362" s="633">
        <v>3172108.3800000018</v>
      </c>
      <c r="EOQ362" s="633">
        <v>3430726.5900000026</v>
      </c>
      <c r="EOR362" s="633">
        <v>3636289.9099999997</v>
      </c>
      <c r="EOS362" s="633">
        <v>3606558.6500000022</v>
      </c>
      <c r="EOT362" s="633">
        <v>3549118.4400000018</v>
      </c>
      <c r="EOU362" s="634">
        <v>39996846</v>
      </c>
      <c r="EOV362" s="633">
        <f>SUM(EOI362:EOT362)</f>
        <v>39996846.150000013</v>
      </c>
      <c r="EOW362" s="631" t="s">
        <v>1836</v>
      </c>
      <c r="EOX362" s="632" t="s">
        <v>1673</v>
      </c>
      <c r="EOY362" s="633">
        <v>3470702.0100000007</v>
      </c>
      <c r="EOZ362" s="633">
        <v>3448347.94</v>
      </c>
      <c r="EPA362" s="633">
        <v>3398526.4800000009</v>
      </c>
      <c r="EPB362" s="633">
        <v>2159854.59</v>
      </c>
      <c r="EPC362" s="633">
        <v>3563316.060000001</v>
      </c>
      <c r="EPD362" s="633">
        <v>3305610.92</v>
      </c>
      <c r="EPE362" s="633">
        <v>3255686.1799999992</v>
      </c>
      <c r="EPF362" s="633">
        <v>3172108.3800000018</v>
      </c>
      <c r="EPG362" s="633">
        <v>3430726.5900000026</v>
      </c>
      <c r="EPH362" s="633">
        <v>3636289.9099999997</v>
      </c>
      <c r="EPI362" s="633">
        <v>3606558.6500000022</v>
      </c>
      <c r="EPJ362" s="633">
        <v>3549118.4400000018</v>
      </c>
      <c r="EPK362" s="634">
        <v>39996846</v>
      </c>
      <c r="EPL362" s="633">
        <f>SUM(EOY362:EPJ362)</f>
        <v>39996846.150000013</v>
      </c>
      <c r="EPM362" s="631" t="s">
        <v>1836</v>
      </c>
      <c r="EPN362" s="632" t="s">
        <v>1673</v>
      </c>
      <c r="EPO362" s="633">
        <v>3470702.0100000007</v>
      </c>
      <c r="EPP362" s="633">
        <v>3448347.94</v>
      </c>
      <c r="EPQ362" s="633">
        <v>3398526.4800000009</v>
      </c>
      <c r="EPR362" s="633">
        <v>2159854.59</v>
      </c>
      <c r="EPS362" s="633">
        <v>3563316.060000001</v>
      </c>
      <c r="EPT362" s="633">
        <v>3305610.92</v>
      </c>
      <c r="EPU362" s="633">
        <v>3255686.1799999992</v>
      </c>
      <c r="EPV362" s="633">
        <v>3172108.3800000018</v>
      </c>
      <c r="EPW362" s="633">
        <v>3430726.5900000026</v>
      </c>
      <c r="EPX362" s="633">
        <v>3636289.9099999997</v>
      </c>
      <c r="EPY362" s="633">
        <v>3606558.6500000022</v>
      </c>
      <c r="EPZ362" s="633">
        <v>3549118.4400000018</v>
      </c>
      <c r="EQA362" s="634">
        <v>39996846</v>
      </c>
      <c r="EQB362" s="633">
        <f>SUM(EPO362:EPZ362)</f>
        <v>39996846.150000013</v>
      </c>
      <c r="EQC362" s="631" t="s">
        <v>1836</v>
      </c>
      <c r="EQD362" s="632" t="s">
        <v>1673</v>
      </c>
      <c r="EQE362" s="633">
        <v>3470702.0100000007</v>
      </c>
      <c r="EQF362" s="633">
        <v>3448347.94</v>
      </c>
      <c r="EQG362" s="633">
        <v>3398526.4800000009</v>
      </c>
      <c r="EQH362" s="633">
        <v>2159854.59</v>
      </c>
      <c r="EQI362" s="633">
        <v>3563316.060000001</v>
      </c>
      <c r="EQJ362" s="633">
        <v>3305610.92</v>
      </c>
      <c r="EQK362" s="633">
        <v>3255686.1799999992</v>
      </c>
      <c r="EQL362" s="633">
        <v>3172108.3800000018</v>
      </c>
      <c r="EQM362" s="633">
        <v>3430726.5900000026</v>
      </c>
      <c r="EQN362" s="633">
        <v>3636289.9099999997</v>
      </c>
      <c r="EQO362" s="633">
        <v>3606558.6500000022</v>
      </c>
      <c r="EQP362" s="633">
        <v>3549118.4400000018</v>
      </c>
      <c r="EQQ362" s="634">
        <v>39996846</v>
      </c>
      <c r="EQR362" s="633">
        <f>SUM(EQE362:EQP362)</f>
        <v>39996846.150000013</v>
      </c>
      <c r="EQS362" s="631" t="s">
        <v>1836</v>
      </c>
      <c r="EQT362" s="632" t="s">
        <v>1673</v>
      </c>
      <c r="EQU362" s="633">
        <v>3470702.0100000007</v>
      </c>
      <c r="EQV362" s="633">
        <v>3448347.94</v>
      </c>
      <c r="EQW362" s="633">
        <v>3398526.4800000009</v>
      </c>
      <c r="EQX362" s="633">
        <v>2159854.59</v>
      </c>
      <c r="EQY362" s="633">
        <v>3563316.060000001</v>
      </c>
      <c r="EQZ362" s="633">
        <v>3305610.92</v>
      </c>
      <c r="ERA362" s="633">
        <v>3255686.1799999992</v>
      </c>
      <c r="ERB362" s="633">
        <v>3172108.3800000018</v>
      </c>
      <c r="ERC362" s="633">
        <v>3430726.5900000026</v>
      </c>
      <c r="ERD362" s="633">
        <v>3636289.9099999997</v>
      </c>
      <c r="ERE362" s="633">
        <v>3606558.6500000022</v>
      </c>
      <c r="ERF362" s="633">
        <v>3549118.4400000018</v>
      </c>
      <c r="ERG362" s="634">
        <v>39996846</v>
      </c>
      <c r="ERH362" s="633">
        <f>SUM(EQU362:ERF362)</f>
        <v>39996846.150000013</v>
      </c>
      <c r="ERI362" s="631" t="s">
        <v>1836</v>
      </c>
      <c r="ERJ362" s="632" t="s">
        <v>1673</v>
      </c>
      <c r="ERK362" s="633">
        <v>3470702.0100000007</v>
      </c>
      <c r="ERL362" s="633">
        <v>3448347.94</v>
      </c>
      <c r="ERM362" s="633">
        <v>3398526.4800000009</v>
      </c>
      <c r="ERN362" s="633">
        <v>2159854.59</v>
      </c>
      <c r="ERO362" s="633">
        <v>3563316.060000001</v>
      </c>
      <c r="ERP362" s="633">
        <v>3305610.92</v>
      </c>
      <c r="ERQ362" s="633">
        <v>3255686.1799999992</v>
      </c>
      <c r="ERR362" s="633">
        <v>3172108.3800000018</v>
      </c>
      <c r="ERS362" s="633">
        <v>3430726.5900000026</v>
      </c>
      <c r="ERT362" s="633">
        <v>3636289.9099999997</v>
      </c>
      <c r="ERU362" s="633">
        <v>3606558.6500000022</v>
      </c>
      <c r="ERV362" s="633">
        <v>3549118.4400000018</v>
      </c>
      <c r="ERW362" s="634">
        <v>39996846</v>
      </c>
      <c r="ERX362" s="633">
        <f>SUM(ERK362:ERV362)</f>
        <v>39996846.150000013</v>
      </c>
      <c r="ERY362" s="631" t="s">
        <v>1836</v>
      </c>
      <c r="ERZ362" s="632" t="s">
        <v>1673</v>
      </c>
      <c r="ESA362" s="633">
        <v>3470702.0100000007</v>
      </c>
      <c r="ESB362" s="633">
        <v>3448347.94</v>
      </c>
      <c r="ESC362" s="633">
        <v>3398526.4800000009</v>
      </c>
      <c r="ESD362" s="633">
        <v>2159854.59</v>
      </c>
      <c r="ESE362" s="633">
        <v>3563316.060000001</v>
      </c>
      <c r="ESF362" s="633">
        <v>3305610.92</v>
      </c>
      <c r="ESG362" s="633">
        <v>3255686.1799999992</v>
      </c>
      <c r="ESH362" s="633">
        <v>3172108.3800000018</v>
      </c>
      <c r="ESI362" s="633">
        <v>3430726.5900000026</v>
      </c>
      <c r="ESJ362" s="633">
        <v>3636289.9099999997</v>
      </c>
      <c r="ESK362" s="633">
        <v>3606558.6500000022</v>
      </c>
      <c r="ESL362" s="633">
        <v>3549118.4400000018</v>
      </c>
      <c r="ESM362" s="634">
        <v>39996846</v>
      </c>
      <c r="ESN362" s="633">
        <f>SUM(ESA362:ESL362)</f>
        <v>39996846.150000013</v>
      </c>
      <c r="ESO362" s="631" t="s">
        <v>1836</v>
      </c>
      <c r="ESP362" s="632" t="s">
        <v>1673</v>
      </c>
      <c r="ESQ362" s="633">
        <v>3470702.0100000007</v>
      </c>
      <c r="ESR362" s="633">
        <v>3448347.94</v>
      </c>
      <c r="ESS362" s="633">
        <v>3398526.4800000009</v>
      </c>
      <c r="EST362" s="633">
        <v>2159854.59</v>
      </c>
      <c r="ESU362" s="633">
        <v>3563316.060000001</v>
      </c>
      <c r="ESV362" s="633">
        <v>3305610.92</v>
      </c>
      <c r="ESW362" s="633">
        <v>3255686.1799999992</v>
      </c>
      <c r="ESX362" s="633">
        <v>3172108.3800000018</v>
      </c>
      <c r="ESY362" s="633">
        <v>3430726.5900000026</v>
      </c>
      <c r="ESZ362" s="633">
        <v>3636289.9099999997</v>
      </c>
      <c r="ETA362" s="633">
        <v>3606558.6500000022</v>
      </c>
      <c r="ETB362" s="633">
        <v>3549118.4400000018</v>
      </c>
      <c r="ETC362" s="634">
        <v>39996846</v>
      </c>
      <c r="ETD362" s="633">
        <f>SUM(ESQ362:ETB362)</f>
        <v>39996846.150000013</v>
      </c>
      <c r="ETE362" s="631" t="s">
        <v>1836</v>
      </c>
      <c r="ETF362" s="632" t="s">
        <v>1673</v>
      </c>
      <c r="ETG362" s="633">
        <v>3470702.0100000007</v>
      </c>
      <c r="ETH362" s="633">
        <v>3448347.94</v>
      </c>
      <c r="ETI362" s="633">
        <v>3398526.4800000009</v>
      </c>
      <c r="ETJ362" s="633">
        <v>2159854.59</v>
      </c>
      <c r="ETK362" s="633">
        <v>3563316.060000001</v>
      </c>
      <c r="ETL362" s="633">
        <v>3305610.92</v>
      </c>
      <c r="ETM362" s="633">
        <v>3255686.1799999992</v>
      </c>
      <c r="ETN362" s="633">
        <v>3172108.3800000018</v>
      </c>
      <c r="ETO362" s="633">
        <v>3430726.5900000026</v>
      </c>
      <c r="ETP362" s="633">
        <v>3636289.9099999997</v>
      </c>
      <c r="ETQ362" s="633">
        <v>3606558.6500000022</v>
      </c>
      <c r="ETR362" s="633">
        <v>3549118.4400000018</v>
      </c>
      <c r="ETS362" s="634">
        <v>39996846</v>
      </c>
      <c r="ETT362" s="633">
        <f>SUM(ETG362:ETR362)</f>
        <v>39996846.150000013</v>
      </c>
      <c r="ETU362" s="631" t="s">
        <v>1836</v>
      </c>
      <c r="ETV362" s="632" t="s">
        <v>1673</v>
      </c>
      <c r="ETW362" s="633">
        <v>3470702.0100000007</v>
      </c>
      <c r="ETX362" s="633">
        <v>3448347.94</v>
      </c>
      <c r="ETY362" s="633">
        <v>3398526.4800000009</v>
      </c>
      <c r="ETZ362" s="633">
        <v>2159854.59</v>
      </c>
      <c r="EUA362" s="633">
        <v>3563316.060000001</v>
      </c>
      <c r="EUB362" s="633">
        <v>3305610.92</v>
      </c>
      <c r="EUC362" s="633">
        <v>3255686.1799999992</v>
      </c>
      <c r="EUD362" s="633">
        <v>3172108.3800000018</v>
      </c>
      <c r="EUE362" s="633">
        <v>3430726.5900000026</v>
      </c>
      <c r="EUF362" s="633">
        <v>3636289.9099999997</v>
      </c>
      <c r="EUG362" s="633">
        <v>3606558.6500000022</v>
      </c>
      <c r="EUH362" s="633">
        <v>3549118.4400000018</v>
      </c>
      <c r="EUI362" s="634">
        <v>39996846</v>
      </c>
      <c r="EUJ362" s="633">
        <f>SUM(ETW362:EUH362)</f>
        <v>39996846.150000013</v>
      </c>
      <c r="EUK362" s="631" t="s">
        <v>1836</v>
      </c>
      <c r="EUL362" s="632" t="s">
        <v>1673</v>
      </c>
      <c r="EUM362" s="633">
        <v>3470702.0100000007</v>
      </c>
      <c r="EUN362" s="633">
        <v>3448347.94</v>
      </c>
      <c r="EUO362" s="633">
        <v>3398526.4800000009</v>
      </c>
      <c r="EUP362" s="633">
        <v>2159854.59</v>
      </c>
      <c r="EUQ362" s="633">
        <v>3563316.060000001</v>
      </c>
      <c r="EUR362" s="633">
        <v>3305610.92</v>
      </c>
      <c r="EUS362" s="633">
        <v>3255686.1799999992</v>
      </c>
      <c r="EUT362" s="633">
        <v>3172108.3800000018</v>
      </c>
      <c r="EUU362" s="633">
        <v>3430726.5900000026</v>
      </c>
      <c r="EUV362" s="633">
        <v>3636289.9099999997</v>
      </c>
      <c r="EUW362" s="633">
        <v>3606558.6500000022</v>
      </c>
      <c r="EUX362" s="633">
        <v>3549118.4400000018</v>
      </c>
      <c r="EUY362" s="634">
        <v>39996846</v>
      </c>
      <c r="EUZ362" s="633">
        <f>SUM(EUM362:EUX362)</f>
        <v>39996846.150000013</v>
      </c>
      <c r="EVA362" s="631" t="s">
        <v>1836</v>
      </c>
      <c r="EVB362" s="632" t="s">
        <v>1673</v>
      </c>
      <c r="EVC362" s="633">
        <v>3470702.0100000007</v>
      </c>
      <c r="EVD362" s="633">
        <v>3448347.94</v>
      </c>
      <c r="EVE362" s="633">
        <v>3398526.4800000009</v>
      </c>
      <c r="EVF362" s="633">
        <v>2159854.59</v>
      </c>
      <c r="EVG362" s="633">
        <v>3563316.060000001</v>
      </c>
      <c r="EVH362" s="633">
        <v>3305610.92</v>
      </c>
      <c r="EVI362" s="633">
        <v>3255686.1799999992</v>
      </c>
      <c r="EVJ362" s="633">
        <v>3172108.3800000018</v>
      </c>
      <c r="EVK362" s="633">
        <v>3430726.5900000026</v>
      </c>
      <c r="EVL362" s="633">
        <v>3636289.9099999997</v>
      </c>
      <c r="EVM362" s="633">
        <v>3606558.6500000022</v>
      </c>
      <c r="EVN362" s="633">
        <v>3549118.4400000018</v>
      </c>
      <c r="EVO362" s="634">
        <v>39996846</v>
      </c>
      <c r="EVP362" s="633">
        <f>SUM(EVC362:EVN362)</f>
        <v>39996846.150000013</v>
      </c>
      <c r="EVQ362" s="631" t="s">
        <v>1836</v>
      </c>
      <c r="EVR362" s="632" t="s">
        <v>1673</v>
      </c>
      <c r="EVS362" s="633">
        <v>3470702.0100000007</v>
      </c>
      <c r="EVT362" s="633">
        <v>3448347.94</v>
      </c>
      <c r="EVU362" s="633">
        <v>3398526.4800000009</v>
      </c>
      <c r="EVV362" s="633">
        <v>2159854.59</v>
      </c>
      <c r="EVW362" s="633">
        <v>3563316.060000001</v>
      </c>
      <c r="EVX362" s="633">
        <v>3305610.92</v>
      </c>
      <c r="EVY362" s="633">
        <v>3255686.1799999992</v>
      </c>
      <c r="EVZ362" s="633">
        <v>3172108.3800000018</v>
      </c>
      <c r="EWA362" s="633">
        <v>3430726.5900000026</v>
      </c>
      <c r="EWB362" s="633">
        <v>3636289.9099999997</v>
      </c>
      <c r="EWC362" s="633">
        <v>3606558.6500000022</v>
      </c>
      <c r="EWD362" s="633">
        <v>3549118.4400000018</v>
      </c>
      <c r="EWE362" s="634">
        <v>39996846</v>
      </c>
      <c r="EWF362" s="633">
        <f>SUM(EVS362:EWD362)</f>
        <v>39996846.150000013</v>
      </c>
      <c r="EWG362" s="631" t="s">
        <v>1836</v>
      </c>
      <c r="EWH362" s="632" t="s">
        <v>1673</v>
      </c>
      <c r="EWI362" s="633">
        <v>3470702.0100000007</v>
      </c>
      <c r="EWJ362" s="633">
        <v>3448347.94</v>
      </c>
      <c r="EWK362" s="633">
        <v>3398526.4800000009</v>
      </c>
      <c r="EWL362" s="633">
        <v>2159854.59</v>
      </c>
      <c r="EWM362" s="633">
        <v>3563316.060000001</v>
      </c>
      <c r="EWN362" s="633">
        <v>3305610.92</v>
      </c>
      <c r="EWO362" s="633">
        <v>3255686.1799999992</v>
      </c>
      <c r="EWP362" s="633">
        <v>3172108.3800000018</v>
      </c>
      <c r="EWQ362" s="633">
        <v>3430726.5900000026</v>
      </c>
      <c r="EWR362" s="633">
        <v>3636289.9099999997</v>
      </c>
      <c r="EWS362" s="633">
        <v>3606558.6500000022</v>
      </c>
      <c r="EWT362" s="633">
        <v>3549118.4400000018</v>
      </c>
      <c r="EWU362" s="634">
        <v>39996846</v>
      </c>
      <c r="EWV362" s="633">
        <f>SUM(EWI362:EWT362)</f>
        <v>39996846.150000013</v>
      </c>
      <c r="EWW362" s="631" t="s">
        <v>1836</v>
      </c>
      <c r="EWX362" s="632" t="s">
        <v>1673</v>
      </c>
      <c r="EWY362" s="633">
        <v>3470702.0100000007</v>
      </c>
      <c r="EWZ362" s="633">
        <v>3448347.94</v>
      </c>
      <c r="EXA362" s="633">
        <v>3398526.4800000009</v>
      </c>
      <c r="EXB362" s="633">
        <v>2159854.59</v>
      </c>
      <c r="EXC362" s="633">
        <v>3563316.060000001</v>
      </c>
      <c r="EXD362" s="633">
        <v>3305610.92</v>
      </c>
      <c r="EXE362" s="633">
        <v>3255686.1799999992</v>
      </c>
      <c r="EXF362" s="633">
        <v>3172108.3800000018</v>
      </c>
      <c r="EXG362" s="633">
        <v>3430726.5900000026</v>
      </c>
      <c r="EXH362" s="633">
        <v>3636289.9099999997</v>
      </c>
      <c r="EXI362" s="633">
        <v>3606558.6500000022</v>
      </c>
      <c r="EXJ362" s="633">
        <v>3549118.4400000018</v>
      </c>
      <c r="EXK362" s="634">
        <v>39996846</v>
      </c>
      <c r="EXL362" s="633">
        <f>SUM(EWY362:EXJ362)</f>
        <v>39996846.150000013</v>
      </c>
      <c r="EXM362" s="631" t="s">
        <v>1836</v>
      </c>
      <c r="EXN362" s="632" t="s">
        <v>1673</v>
      </c>
      <c r="EXO362" s="633">
        <v>3470702.0100000007</v>
      </c>
      <c r="EXP362" s="633">
        <v>3448347.94</v>
      </c>
      <c r="EXQ362" s="633">
        <v>3398526.4800000009</v>
      </c>
      <c r="EXR362" s="633">
        <v>2159854.59</v>
      </c>
      <c r="EXS362" s="633">
        <v>3563316.060000001</v>
      </c>
      <c r="EXT362" s="633">
        <v>3305610.92</v>
      </c>
      <c r="EXU362" s="633">
        <v>3255686.1799999992</v>
      </c>
      <c r="EXV362" s="633">
        <v>3172108.3800000018</v>
      </c>
      <c r="EXW362" s="633">
        <v>3430726.5900000026</v>
      </c>
      <c r="EXX362" s="633">
        <v>3636289.9099999997</v>
      </c>
      <c r="EXY362" s="633">
        <v>3606558.6500000022</v>
      </c>
      <c r="EXZ362" s="633">
        <v>3549118.4400000018</v>
      </c>
      <c r="EYA362" s="634">
        <v>39996846</v>
      </c>
      <c r="EYB362" s="633">
        <f>SUM(EXO362:EXZ362)</f>
        <v>39996846.150000013</v>
      </c>
      <c r="EYC362" s="631" t="s">
        <v>1836</v>
      </c>
      <c r="EYD362" s="632" t="s">
        <v>1673</v>
      </c>
      <c r="EYE362" s="633">
        <v>3470702.0100000007</v>
      </c>
      <c r="EYF362" s="633">
        <v>3448347.94</v>
      </c>
      <c r="EYG362" s="633">
        <v>3398526.4800000009</v>
      </c>
      <c r="EYH362" s="633">
        <v>2159854.59</v>
      </c>
      <c r="EYI362" s="633">
        <v>3563316.060000001</v>
      </c>
      <c r="EYJ362" s="633">
        <v>3305610.92</v>
      </c>
      <c r="EYK362" s="633">
        <v>3255686.1799999992</v>
      </c>
      <c r="EYL362" s="633">
        <v>3172108.3800000018</v>
      </c>
      <c r="EYM362" s="633">
        <v>3430726.5900000026</v>
      </c>
      <c r="EYN362" s="633">
        <v>3636289.9099999997</v>
      </c>
      <c r="EYO362" s="633">
        <v>3606558.6500000022</v>
      </c>
      <c r="EYP362" s="633">
        <v>3549118.4400000018</v>
      </c>
      <c r="EYQ362" s="634">
        <v>39996846</v>
      </c>
      <c r="EYR362" s="633">
        <f>SUM(EYE362:EYP362)</f>
        <v>39996846.150000013</v>
      </c>
      <c r="EYS362" s="631" t="s">
        <v>1836</v>
      </c>
      <c r="EYT362" s="632" t="s">
        <v>1673</v>
      </c>
      <c r="EYU362" s="633">
        <v>3470702.0100000007</v>
      </c>
      <c r="EYV362" s="633">
        <v>3448347.94</v>
      </c>
      <c r="EYW362" s="633">
        <v>3398526.4800000009</v>
      </c>
      <c r="EYX362" s="633">
        <v>2159854.59</v>
      </c>
      <c r="EYY362" s="633">
        <v>3563316.060000001</v>
      </c>
      <c r="EYZ362" s="633">
        <v>3305610.92</v>
      </c>
      <c r="EZA362" s="633">
        <v>3255686.1799999992</v>
      </c>
      <c r="EZB362" s="633">
        <v>3172108.3800000018</v>
      </c>
      <c r="EZC362" s="633">
        <v>3430726.5900000026</v>
      </c>
      <c r="EZD362" s="633">
        <v>3636289.9099999997</v>
      </c>
      <c r="EZE362" s="633">
        <v>3606558.6500000022</v>
      </c>
      <c r="EZF362" s="633">
        <v>3549118.4400000018</v>
      </c>
      <c r="EZG362" s="634">
        <v>39996846</v>
      </c>
      <c r="EZH362" s="633">
        <f>SUM(EYU362:EZF362)</f>
        <v>39996846.150000013</v>
      </c>
      <c r="EZI362" s="631" t="s">
        <v>1836</v>
      </c>
      <c r="EZJ362" s="632" t="s">
        <v>1673</v>
      </c>
      <c r="EZK362" s="633">
        <v>3470702.0100000007</v>
      </c>
      <c r="EZL362" s="633">
        <v>3448347.94</v>
      </c>
      <c r="EZM362" s="633">
        <v>3398526.4800000009</v>
      </c>
      <c r="EZN362" s="633">
        <v>2159854.59</v>
      </c>
      <c r="EZO362" s="633">
        <v>3563316.060000001</v>
      </c>
      <c r="EZP362" s="633">
        <v>3305610.92</v>
      </c>
      <c r="EZQ362" s="633">
        <v>3255686.1799999992</v>
      </c>
      <c r="EZR362" s="633">
        <v>3172108.3800000018</v>
      </c>
      <c r="EZS362" s="633">
        <v>3430726.5900000026</v>
      </c>
      <c r="EZT362" s="633">
        <v>3636289.9099999997</v>
      </c>
      <c r="EZU362" s="633">
        <v>3606558.6500000022</v>
      </c>
      <c r="EZV362" s="633">
        <v>3549118.4400000018</v>
      </c>
      <c r="EZW362" s="634">
        <v>39996846</v>
      </c>
      <c r="EZX362" s="633">
        <f>SUM(EZK362:EZV362)</f>
        <v>39996846.150000013</v>
      </c>
      <c r="EZY362" s="631" t="s">
        <v>1836</v>
      </c>
      <c r="EZZ362" s="632" t="s">
        <v>1673</v>
      </c>
      <c r="FAA362" s="633">
        <v>3470702.0100000007</v>
      </c>
      <c r="FAB362" s="633">
        <v>3448347.94</v>
      </c>
      <c r="FAC362" s="633">
        <v>3398526.4800000009</v>
      </c>
      <c r="FAD362" s="633">
        <v>2159854.59</v>
      </c>
      <c r="FAE362" s="633">
        <v>3563316.060000001</v>
      </c>
      <c r="FAF362" s="633">
        <v>3305610.92</v>
      </c>
      <c r="FAG362" s="633">
        <v>3255686.1799999992</v>
      </c>
      <c r="FAH362" s="633">
        <v>3172108.3800000018</v>
      </c>
      <c r="FAI362" s="633">
        <v>3430726.5900000026</v>
      </c>
      <c r="FAJ362" s="633">
        <v>3636289.9099999997</v>
      </c>
      <c r="FAK362" s="633">
        <v>3606558.6500000022</v>
      </c>
      <c r="FAL362" s="633">
        <v>3549118.4400000018</v>
      </c>
      <c r="FAM362" s="634">
        <v>39996846</v>
      </c>
      <c r="FAN362" s="633">
        <f>SUM(FAA362:FAL362)</f>
        <v>39996846.150000013</v>
      </c>
      <c r="FAO362" s="631" t="s">
        <v>1836</v>
      </c>
      <c r="FAP362" s="632" t="s">
        <v>1673</v>
      </c>
      <c r="FAQ362" s="633">
        <v>3470702.0100000007</v>
      </c>
      <c r="FAR362" s="633">
        <v>3448347.94</v>
      </c>
      <c r="FAS362" s="633">
        <v>3398526.4800000009</v>
      </c>
      <c r="FAT362" s="633">
        <v>2159854.59</v>
      </c>
      <c r="FAU362" s="633">
        <v>3563316.060000001</v>
      </c>
      <c r="FAV362" s="633">
        <v>3305610.92</v>
      </c>
      <c r="FAW362" s="633">
        <v>3255686.1799999992</v>
      </c>
      <c r="FAX362" s="633">
        <v>3172108.3800000018</v>
      </c>
      <c r="FAY362" s="633">
        <v>3430726.5900000026</v>
      </c>
      <c r="FAZ362" s="633">
        <v>3636289.9099999997</v>
      </c>
      <c r="FBA362" s="633">
        <v>3606558.6500000022</v>
      </c>
      <c r="FBB362" s="633">
        <v>3549118.4400000018</v>
      </c>
      <c r="FBC362" s="634">
        <v>39996846</v>
      </c>
      <c r="FBD362" s="633">
        <f>SUM(FAQ362:FBB362)</f>
        <v>39996846.150000013</v>
      </c>
      <c r="FBE362" s="631" t="s">
        <v>1836</v>
      </c>
      <c r="FBF362" s="632" t="s">
        <v>1673</v>
      </c>
      <c r="FBG362" s="633">
        <v>3470702.0100000007</v>
      </c>
      <c r="FBH362" s="633">
        <v>3448347.94</v>
      </c>
      <c r="FBI362" s="633">
        <v>3398526.4800000009</v>
      </c>
      <c r="FBJ362" s="633">
        <v>2159854.59</v>
      </c>
      <c r="FBK362" s="633">
        <v>3563316.060000001</v>
      </c>
      <c r="FBL362" s="633">
        <v>3305610.92</v>
      </c>
      <c r="FBM362" s="633">
        <v>3255686.1799999992</v>
      </c>
      <c r="FBN362" s="633">
        <v>3172108.3800000018</v>
      </c>
      <c r="FBO362" s="633">
        <v>3430726.5900000026</v>
      </c>
      <c r="FBP362" s="633">
        <v>3636289.9099999997</v>
      </c>
      <c r="FBQ362" s="633">
        <v>3606558.6500000022</v>
      </c>
      <c r="FBR362" s="633">
        <v>3549118.4400000018</v>
      </c>
      <c r="FBS362" s="634">
        <v>39996846</v>
      </c>
      <c r="FBT362" s="633">
        <f>SUM(FBG362:FBR362)</f>
        <v>39996846.150000013</v>
      </c>
      <c r="FBU362" s="631" t="s">
        <v>1836</v>
      </c>
      <c r="FBV362" s="632" t="s">
        <v>1673</v>
      </c>
      <c r="FBW362" s="633">
        <v>3470702.0100000007</v>
      </c>
      <c r="FBX362" s="633">
        <v>3448347.94</v>
      </c>
      <c r="FBY362" s="633">
        <v>3398526.4800000009</v>
      </c>
      <c r="FBZ362" s="633">
        <v>2159854.59</v>
      </c>
      <c r="FCA362" s="633">
        <v>3563316.060000001</v>
      </c>
      <c r="FCB362" s="633">
        <v>3305610.92</v>
      </c>
      <c r="FCC362" s="633">
        <v>3255686.1799999992</v>
      </c>
      <c r="FCD362" s="633">
        <v>3172108.3800000018</v>
      </c>
      <c r="FCE362" s="633">
        <v>3430726.5900000026</v>
      </c>
      <c r="FCF362" s="633">
        <v>3636289.9099999997</v>
      </c>
      <c r="FCG362" s="633">
        <v>3606558.6500000022</v>
      </c>
      <c r="FCH362" s="633">
        <v>3549118.4400000018</v>
      </c>
      <c r="FCI362" s="634">
        <v>39996846</v>
      </c>
      <c r="FCJ362" s="633">
        <f>SUM(FBW362:FCH362)</f>
        <v>39996846.150000013</v>
      </c>
      <c r="FCK362" s="631" t="s">
        <v>1836</v>
      </c>
      <c r="FCL362" s="632" t="s">
        <v>1673</v>
      </c>
      <c r="FCM362" s="633">
        <v>3470702.0100000007</v>
      </c>
      <c r="FCN362" s="633">
        <v>3448347.94</v>
      </c>
      <c r="FCO362" s="633">
        <v>3398526.4800000009</v>
      </c>
      <c r="FCP362" s="633">
        <v>2159854.59</v>
      </c>
      <c r="FCQ362" s="633">
        <v>3563316.060000001</v>
      </c>
      <c r="FCR362" s="633">
        <v>3305610.92</v>
      </c>
      <c r="FCS362" s="633">
        <v>3255686.1799999992</v>
      </c>
      <c r="FCT362" s="633">
        <v>3172108.3800000018</v>
      </c>
      <c r="FCU362" s="633">
        <v>3430726.5900000026</v>
      </c>
      <c r="FCV362" s="633">
        <v>3636289.9099999997</v>
      </c>
      <c r="FCW362" s="633">
        <v>3606558.6500000022</v>
      </c>
      <c r="FCX362" s="633">
        <v>3549118.4400000018</v>
      </c>
      <c r="FCY362" s="634">
        <v>39996846</v>
      </c>
      <c r="FCZ362" s="633">
        <f>SUM(FCM362:FCX362)</f>
        <v>39996846.150000013</v>
      </c>
      <c r="FDA362" s="631" t="s">
        <v>1836</v>
      </c>
      <c r="FDB362" s="632" t="s">
        <v>1673</v>
      </c>
      <c r="FDC362" s="633">
        <v>3470702.0100000007</v>
      </c>
      <c r="FDD362" s="633">
        <v>3448347.94</v>
      </c>
      <c r="FDE362" s="633">
        <v>3398526.4800000009</v>
      </c>
      <c r="FDF362" s="633">
        <v>2159854.59</v>
      </c>
      <c r="FDG362" s="633">
        <v>3563316.060000001</v>
      </c>
      <c r="FDH362" s="633">
        <v>3305610.92</v>
      </c>
      <c r="FDI362" s="633">
        <v>3255686.1799999992</v>
      </c>
      <c r="FDJ362" s="633">
        <v>3172108.3800000018</v>
      </c>
      <c r="FDK362" s="633">
        <v>3430726.5900000026</v>
      </c>
      <c r="FDL362" s="633">
        <v>3636289.9099999997</v>
      </c>
      <c r="FDM362" s="633">
        <v>3606558.6500000022</v>
      </c>
      <c r="FDN362" s="633">
        <v>3549118.4400000018</v>
      </c>
      <c r="FDO362" s="634">
        <v>39996846</v>
      </c>
      <c r="FDP362" s="633">
        <f>SUM(FDC362:FDN362)</f>
        <v>39996846.150000013</v>
      </c>
      <c r="FDQ362" s="631" t="s">
        <v>1836</v>
      </c>
      <c r="FDR362" s="632" t="s">
        <v>1673</v>
      </c>
      <c r="FDS362" s="633">
        <v>3470702.0100000007</v>
      </c>
      <c r="FDT362" s="633">
        <v>3448347.94</v>
      </c>
      <c r="FDU362" s="633">
        <v>3398526.4800000009</v>
      </c>
      <c r="FDV362" s="633">
        <v>2159854.59</v>
      </c>
      <c r="FDW362" s="633">
        <v>3563316.060000001</v>
      </c>
      <c r="FDX362" s="633">
        <v>3305610.92</v>
      </c>
      <c r="FDY362" s="633">
        <v>3255686.1799999992</v>
      </c>
      <c r="FDZ362" s="633">
        <v>3172108.3800000018</v>
      </c>
      <c r="FEA362" s="633">
        <v>3430726.5900000026</v>
      </c>
      <c r="FEB362" s="633">
        <v>3636289.9099999997</v>
      </c>
      <c r="FEC362" s="633">
        <v>3606558.6500000022</v>
      </c>
      <c r="FED362" s="633">
        <v>3549118.4400000018</v>
      </c>
      <c r="FEE362" s="634">
        <v>39996846</v>
      </c>
      <c r="FEF362" s="633">
        <f>SUM(FDS362:FED362)</f>
        <v>39996846.150000013</v>
      </c>
      <c r="FEG362" s="631" t="s">
        <v>1836</v>
      </c>
      <c r="FEH362" s="632" t="s">
        <v>1673</v>
      </c>
      <c r="FEI362" s="633">
        <v>3470702.0100000007</v>
      </c>
      <c r="FEJ362" s="633">
        <v>3448347.94</v>
      </c>
      <c r="FEK362" s="633">
        <v>3398526.4800000009</v>
      </c>
      <c r="FEL362" s="633">
        <v>2159854.59</v>
      </c>
      <c r="FEM362" s="633">
        <v>3563316.060000001</v>
      </c>
      <c r="FEN362" s="633">
        <v>3305610.92</v>
      </c>
      <c r="FEO362" s="633">
        <v>3255686.1799999992</v>
      </c>
      <c r="FEP362" s="633">
        <v>3172108.3800000018</v>
      </c>
      <c r="FEQ362" s="633">
        <v>3430726.5900000026</v>
      </c>
      <c r="FER362" s="633">
        <v>3636289.9099999997</v>
      </c>
      <c r="FES362" s="633">
        <v>3606558.6500000022</v>
      </c>
      <c r="FET362" s="633">
        <v>3549118.4400000018</v>
      </c>
      <c r="FEU362" s="634">
        <v>39996846</v>
      </c>
      <c r="FEV362" s="633">
        <f>SUM(FEI362:FET362)</f>
        <v>39996846.150000013</v>
      </c>
      <c r="FEW362" s="631" t="s">
        <v>1836</v>
      </c>
      <c r="FEX362" s="632" t="s">
        <v>1673</v>
      </c>
      <c r="FEY362" s="633">
        <v>3470702.0100000007</v>
      </c>
      <c r="FEZ362" s="633">
        <v>3448347.94</v>
      </c>
      <c r="FFA362" s="633">
        <v>3398526.4800000009</v>
      </c>
      <c r="FFB362" s="633">
        <v>2159854.59</v>
      </c>
      <c r="FFC362" s="633">
        <v>3563316.060000001</v>
      </c>
      <c r="FFD362" s="633">
        <v>3305610.92</v>
      </c>
      <c r="FFE362" s="633">
        <v>3255686.1799999992</v>
      </c>
      <c r="FFF362" s="633">
        <v>3172108.3800000018</v>
      </c>
      <c r="FFG362" s="633">
        <v>3430726.5900000026</v>
      </c>
      <c r="FFH362" s="633">
        <v>3636289.9099999997</v>
      </c>
      <c r="FFI362" s="633">
        <v>3606558.6500000022</v>
      </c>
      <c r="FFJ362" s="633">
        <v>3549118.4400000018</v>
      </c>
      <c r="FFK362" s="634">
        <v>39996846</v>
      </c>
      <c r="FFL362" s="633">
        <f>SUM(FEY362:FFJ362)</f>
        <v>39996846.150000013</v>
      </c>
      <c r="FFM362" s="631" t="s">
        <v>1836</v>
      </c>
      <c r="FFN362" s="632" t="s">
        <v>1673</v>
      </c>
      <c r="FFO362" s="633">
        <v>3470702.0100000007</v>
      </c>
      <c r="FFP362" s="633">
        <v>3448347.94</v>
      </c>
      <c r="FFQ362" s="633">
        <v>3398526.4800000009</v>
      </c>
      <c r="FFR362" s="633">
        <v>2159854.59</v>
      </c>
      <c r="FFS362" s="633">
        <v>3563316.060000001</v>
      </c>
      <c r="FFT362" s="633">
        <v>3305610.92</v>
      </c>
      <c r="FFU362" s="633">
        <v>3255686.1799999992</v>
      </c>
      <c r="FFV362" s="633">
        <v>3172108.3800000018</v>
      </c>
      <c r="FFW362" s="633">
        <v>3430726.5900000026</v>
      </c>
      <c r="FFX362" s="633">
        <v>3636289.9099999997</v>
      </c>
      <c r="FFY362" s="633">
        <v>3606558.6500000022</v>
      </c>
      <c r="FFZ362" s="633">
        <v>3549118.4400000018</v>
      </c>
      <c r="FGA362" s="634">
        <v>39996846</v>
      </c>
      <c r="FGB362" s="633">
        <f>SUM(FFO362:FFZ362)</f>
        <v>39996846.150000013</v>
      </c>
      <c r="FGC362" s="631" t="s">
        <v>1836</v>
      </c>
      <c r="FGD362" s="632" t="s">
        <v>1673</v>
      </c>
      <c r="FGE362" s="633">
        <v>3470702.0100000007</v>
      </c>
      <c r="FGF362" s="633">
        <v>3448347.94</v>
      </c>
      <c r="FGG362" s="633">
        <v>3398526.4800000009</v>
      </c>
      <c r="FGH362" s="633">
        <v>2159854.59</v>
      </c>
      <c r="FGI362" s="633">
        <v>3563316.060000001</v>
      </c>
      <c r="FGJ362" s="633">
        <v>3305610.92</v>
      </c>
      <c r="FGK362" s="633">
        <v>3255686.1799999992</v>
      </c>
      <c r="FGL362" s="633">
        <v>3172108.3800000018</v>
      </c>
      <c r="FGM362" s="633">
        <v>3430726.5900000026</v>
      </c>
      <c r="FGN362" s="633">
        <v>3636289.9099999997</v>
      </c>
      <c r="FGO362" s="633">
        <v>3606558.6500000022</v>
      </c>
      <c r="FGP362" s="633">
        <v>3549118.4400000018</v>
      </c>
      <c r="FGQ362" s="634">
        <v>39996846</v>
      </c>
      <c r="FGR362" s="633">
        <f>SUM(FGE362:FGP362)</f>
        <v>39996846.150000013</v>
      </c>
      <c r="FGS362" s="631" t="s">
        <v>1836</v>
      </c>
      <c r="FGT362" s="632" t="s">
        <v>1673</v>
      </c>
      <c r="FGU362" s="633">
        <v>3470702.0100000007</v>
      </c>
      <c r="FGV362" s="633">
        <v>3448347.94</v>
      </c>
      <c r="FGW362" s="633">
        <v>3398526.4800000009</v>
      </c>
      <c r="FGX362" s="633">
        <v>2159854.59</v>
      </c>
      <c r="FGY362" s="633">
        <v>3563316.060000001</v>
      </c>
      <c r="FGZ362" s="633">
        <v>3305610.92</v>
      </c>
      <c r="FHA362" s="633">
        <v>3255686.1799999992</v>
      </c>
      <c r="FHB362" s="633">
        <v>3172108.3800000018</v>
      </c>
      <c r="FHC362" s="633">
        <v>3430726.5900000026</v>
      </c>
      <c r="FHD362" s="633">
        <v>3636289.9099999997</v>
      </c>
      <c r="FHE362" s="633">
        <v>3606558.6500000022</v>
      </c>
      <c r="FHF362" s="633">
        <v>3549118.4400000018</v>
      </c>
      <c r="FHG362" s="634">
        <v>39996846</v>
      </c>
      <c r="FHH362" s="633">
        <f>SUM(FGU362:FHF362)</f>
        <v>39996846.150000013</v>
      </c>
      <c r="FHI362" s="631" t="s">
        <v>1836</v>
      </c>
      <c r="FHJ362" s="632" t="s">
        <v>1673</v>
      </c>
      <c r="FHK362" s="633">
        <v>3470702.0100000007</v>
      </c>
      <c r="FHL362" s="633">
        <v>3448347.94</v>
      </c>
      <c r="FHM362" s="633">
        <v>3398526.4800000009</v>
      </c>
      <c r="FHN362" s="633">
        <v>2159854.59</v>
      </c>
      <c r="FHO362" s="633">
        <v>3563316.060000001</v>
      </c>
      <c r="FHP362" s="633">
        <v>3305610.92</v>
      </c>
      <c r="FHQ362" s="633">
        <v>3255686.1799999992</v>
      </c>
      <c r="FHR362" s="633">
        <v>3172108.3800000018</v>
      </c>
      <c r="FHS362" s="633">
        <v>3430726.5900000026</v>
      </c>
      <c r="FHT362" s="633">
        <v>3636289.9099999997</v>
      </c>
      <c r="FHU362" s="633">
        <v>3606558.6500000022</v>
      </c>
      <c r="FHV362" s="633">
        <v>3549118.4400000018</v>
      </c>
      <c r="FHW362" s="634">
        <v>39996846</v>
      </c>
      <c r="FHX362" s="633">
        <f>SUM(FHK362:FHV362)</f>
        <v>39996846.150000013</v>
      </c>
      <c r="FHY362" s="631" t="s">
        <v>1836</v>
      </c>
      <c r="FHZ362" s="632" t="s">
        <v>1673</v>
      </c>
      <c r="FIA362" s="633">
        <v>3470702.0100000007</v>
      </c>
      <c r="FIB362" s="633">
        <v>3448347.94</v>
      </c>
      <c r="FIC362" s="633">
        <v>3398526.4800000009</v>
      </c>
      <c r="FID362" s="633">
        <v>2159854.59</v>
      </c>
      <c r="FIE362" s="633">
        <v>3563316.060000001</v>
      </c>
      <c r="FIF362" s="633">
        <v>3305610.92</v>
      </c>
      <c r="FIG362" s="633">
        <v>3255686.1799999992</v>
      </c>
      <c r="FIH362" s="633">
        <v>3172108.3800000018</v>
      </c>
      <c r="FII362" s="633">
        <v>3430726.5900000026</v>
      </c>
      <c r="FIJ362" s="633">
        <v>3636289.9099999997</v>
      </c>
      <c r="FIK362" s="633">
        <v>3606558.6500000022</v>
      </c>
      <c r="FIL362" s="633">
        <v>3549118.4400000018</v>
      </c>
      <c r="FIM362" s="634">
        <v>39996846</v>
      </c>
      <c r="FIN362" s="633">
        <f>SUM(FIA362:FIL362)</f>
        <v>39996846.150000013</v>
      </c>
      <c r="FIO362" s="631" t="s">
        <v>1836</v>
      </c>
      <c r="FIP362" s="632" t="s">
        <v>1673</v>
      </c>
      <c r="FIQ362" s="633">
        <v>3470702.0100000007</v>
      </c>
      <c r="FIR362" s="633">
        <v>3448347.94</v>
      </c>
      <c r="FIS362" s="633">
        <v>3398526.4800000009</v>
      </c>
      <c r="FIT362" s="633">
        <v>2159854.59</v>
      </c>
      <c r="FIU362" s="633">
        <v>3563316.060000001</v>
      </c>
      <c r="FIV362" s="633">
        <v>3305610.92</v>
      </c>
      <c r="FIW362" s="633">
        <v>3255686.1799999992</v>
      </c>
      <c r="FIX362" s="633">
        <v>3172108.3800000018</v>
      </c>
      <c r="FIY362" s="633">
        <v>3430726.5900000026</v>
      </c>
      <c r="FIZ362" s="633">
        <v>3636289.9099999997</v>
      </c>
      <c r="FJA362" s="633">
        <v>3606558.6500000022</v>
      </c>
      <c r="FJB362" s="633">
        <v>3549118.4400000018</v>
      </c>
      <c r="FJC362" s="634">
        <v>39996846</v>
      </c>
      <c r="FJD362" s="633">
        <f>SUM(FIQ362:FJB362)</f>
        <v>39996846.150000013</v>
      </c>
      <c r="FJE362" s="631" t="s">
        <v>1836</v>
      </c>
      <c r="FJF362" s="632" t="s">
        <v>1673</v>
      </c>
      <c r="FJG362" s="633">
        <v>3470702.0100000007</v>
      </c>
      <c r="FJH362" s="633">
        <v>3448347.94</v>
      </c>
      <c r="FJI362" s="633">
        <v>3398526.4800000009</v>
      </c>
      <c r="FJJ362" s="633">
        <v>2159854.59</v>
      </c>
      <c r="FJK362" s="633">
        <v>3563316.060000001</v>
      </c>
      <c r="FJL362" s="633">
        <v>3305610.92</v>
      </c>
      <c r="FJM362" s="633">
        <v>3255686.1799999992</v>
      </c>
      <c r="FJN362" s="633">
        <v>3172108.3800000018</v>
      </c>
      <c r="FJO362" s="633">
        <v>3430726.5900000026</v>
      </c>
      <c r="FJP362" s="633">
        <v>3636289.9099999997</v>
      </c>
      <c r="FJQ362" s="633">
        <v>3606558.6500000022</v>
      </c>
      <c r="FJR362" s="633">
        <v>3549118.4400000018</v>
      </c>
      <c r="FJS362" s="634">
        <v>39996846</v>
      </c>
      <c r="FJT362" s="633">
        <f>SUM(FJG362:FJR362)</f>
        <v>39996846.150000013</v>
      </c>
      <c r="FJU362" s="631" t="s">
        <v>1836</v>
      </c>
      <c r="FJV362" s="632" t="s">
        <v>1673</v>
      </c>
      <c r="FJW362" s="633">
        <v>3470702.0100000007</v>
      </c>
      <c r="FJX362" s="633">
        <v>3448347.94</v>
      </c>
      <c r="FJY362" s="633">
        <v>3398526.4800000009</v>
      </c>
      <c r="FJZ362" s="633">
        <v>2159854.59</v>
      </c>
      <c r="FKA362" s="633">
        <v>3563316.060000001</v>
      </c>
      <c r="FKB362" s="633">
        <v>3305610.92</v>
      </c>
      <c r="FKC362" s="633">
        <v>3255686.1799999992</v>
      </c>
      <c r="FKD362" s="633">
        <v>3172108.3800000018</v>
      </c>
      <c r="FKE362" s="633">
        <v>3430726.5900000026</v>
      </c>
      <c r="FKF362" s="633">
        <v>3636289.9099999997</v>
      </c>
      <c r="FKG362" s="633">
        <v>3606558.6500000022</v>
      </c>
      <c r="FKH362" s="633">
        <v>3549118.4400000018</v>
      </c>
      <c r="FKI362" s="634">
        <v>39996846</v>
      </c>
      <c r="FKJ362" s="633">
        <f>SUM(FJW362:FKH362)</f>
        <v>39996846.150000013</v>
      </c>
      <c r="FKK362" s="631" t="s">
        <v>1836</v>
      </c>
      <c r="FKL362" s="632" t="s">
        <v>1673</v>
      </c>
      <c r="FKM362" s="633">
        <v>3470702.0100000007</v>
      </c>
      <c r="FKN362" s="633">
        <v>3448347.94</v>
      </c>
      <c r="FKO362" s="633">
        <v>3398526.4800000009</v>
      </c>
      <c r="FKP362" s="633">
        <v>2159854.59</v>
      </c>
      <c r="FKQ362" s="633">
        <v>3563316.060000001</v>
      </c>
      <c r="FKR362" s="633">
        <v>3305610.92</v>
      </c>
      <c r="FKS362" s="633">
        <v>3255686.1799999992</v>
      </c>
      <c r="FKT362" s="633">
        <v>3172108.3800000018</v>
      </c>
      <c r="FKU362" s="633">
        <v>3430726.5900000026</v>
      </c>
      <c r="FKV362" s="633">
        <v>3636289.9099999997</v>
      </c>
      <c r="FKW362" s="633">
        <v>3606558.6500000022</v>
      </c>
      <c r="FKX362" s="633">
        <v>3549118.4400000018</v>
      </c>
      <c r="FKY362" s="634">
        <v>39996846</v>
      </c>
      <c r="FKZ362" s="633">
        <f>SUM(FKM362:FKX362)</f>
        <v>39996846.150000013</v>
      </c>
      <c r="FLA362" s="631" t="s">
        <v>1836</v>
      </c>
      <c r="FLB362" s="632" t="s">
        <v>1673</v>
      </c>
      <c r="FLC362" s="633">
        <v>3470702.0100000007</v>
      </c>
      <c r="FLD362" s="633">
        <v>3448347.94</v>
      </c>
      <c r="FLE362" s="633">
        <v>3398526.4800000009</v>
      </c>
      <c r="FLF362" s="633">
        <v>2159854.59</v>
      </c>
      <c r="FLG362" s="633">
        <v>3563316.060000001</v>
      </c>
      <c r="FLH362" s="633">
        <v>3305610.92</v>
      </c>
      <c r="FLI362" s="633">
        <v>3255686.1799999992</v>
      </c>
      <c r="FLJ362" s="633">
        <v>3172108.3800000018</v>
      </c>
      <c r="FLK362" s="633">
        <v>3430726.5900000026</v>
      </c>
      <c r="FLL362" s="633">
        <v>3636289.9099999997</v>
      </c>
      <c r="FLM362" s="633">
        <v>3606558.6500000022</v>
      </c>
      <c r="FLN362" s="633">
        <v>3549118.4400000018</v>
      </c>
      <c r="FLO362" s="634">
        <v>39996846</v>
      </c>
      <c r="FLP362" s="633">
        <f>SUM(FLC362:FLN362)</f>
        <v>39996846.150000013</v>
      </c>
      <c r="FLQ362" s="631" t="s">
        <v>1836</v>
      </c>
      <c r="FLR362" s="632" t="s">
        <v>1673</v>
      </c>
      <c r="FLS362" s="633">
        <v>3470702.0100000007</v>
      </c>
      <c r="FLT362" s="633">
        <v>3448347.94</v>
      </c>
      <c r="FLU362" s="633">
        <v>3398526.4800000009</v>
      </c>
      <c r="FLV362" s="633">
        <v>2159854.59</v>
      </c>
      <c r="FLW362" s="633">
        <v>3563316.060000001</v>
      </c>
      <c r="FLX362" s="633">
        <v>3305610.92</v>
      </c>
      <c r="FLY362" s="633">
        <v>3255686.1799999992</v>
      </c>
      <c r="FLZ362" s="633">
        <v>3172108.3800000018</v>
      </c>
      <c r="FMA362" s="633">
        <v>3430726.5900000026</v>
      </c>
      <c r="FMB362" s="633">
        <v>3636289.9099999997</v>
      </c>
      <c r="FMC362" s="633">
        <v>3606558.6500000022</v>
      </c>
      <c r="FMD362" s="633">
        <v>3549118.4400000018</v>
      </c>
      <c r="FME362" s="634">
        <v>39996846</v>
      </c>
      <c r="FMF362" s="633">
        <f>SUM(FLS362:FMD362)</f>
        <v>39996846.150000013</v>
      </c>
      <c r="FMG362" s="631" t="s">
        <v>1836</v>
      </c>
      <c r="FMH362" s="632" t="s">
        <v>1673</v>
      </c>
      <c r="FMI362" s="633">
        <v>3470702.0100000007</v>
      </c>
      <c r="FMJ362" s="633">
        <v>3448347.94</v>
      </c>
      <c r="FMK362" s="633">
        <v>3398526.4800000009</v>
      </c>
      <c r="FML362" s="633">
        <v>2159854.59</v>
      </c>
      <c r="FMM362" s="633">
        <v>3563316.060000001</v>
      </c>
      <c r="FMN362" s="633">
        <v>3305610.92</v>
      </c>
      <c r="FMO362" s="633">
        <v>3255686.1799999992</v>
      </c>
      <c r="FMP362" s="633">
        <v>3172108.3800000018</v>
      </c>
      <c r="FMQ362" s="633">
        <v>3430726.5900000026</v>
      </c>
      <c r="FMR362" s="633">
        <v>3636289.9099999997</v>
      </c>
      <c r="FMS362" s="633">
        <v>3606558.6500000022</v>
      </c>
      <c r="FMT362" s="633">
        <v>3549118.4400000018</v>
      </c>
      <c r="FMU362" s="634">
        <v>39996846</v>
      </c>
      <c r="FMV362" s="633">
        <f>SUM(FMI362:FMT362)</f>
        <v>39996846.150000013</v>
      </c>
      <c r="FMW362" s="631" t="s">
        <v>1836</v>
      </c>
      <c r="FMX362" s="632" t="s">
        <v>1673</v>
      </c>
      <c r="FMY362" s="633">
        <v>3470702.0100000007</v>
      </c>
      <c r="FMZ362" s="633">
        <v>3448347.94</v>
      </c>
      <c r="FNA362" s="633">
        <v>3398526.4800000009</v>
      </c>
      <c r="FNB362" s="633">
        <v>2159854.59</v>
      </c>
      <c r="FNC362" s="633">
        <v>3563316.060000001</v>
      </c>
      <c r="FND362" s="633">
        <v>3305610.92</v>
      </c>
      <c r="FNE362" s="633">
        <v>3255686.1799999992</v>
      </c>
      <c r="FNF362" s="633">
        <v>3172108.3800000018</v>
      </c>
      <c r="FNG362" s="633">
        <v>3430726.5900000026</v>
      </c>
      <c r="FNH362" s="633">
        <v>3636289.9099999997</v>
      </c>
      <c r="FNI362" s="633">
        <v>3606558.6500000022</v>
      </c>
      <c r="FNJ362" s="633">
        <v>3549118.4400000018</v>
      </c>
      <c r="FNK362" s="634">
        <v>39996846</v>
      </c>
      <c r="FNL362" s="633">
        <f>SUM(FMY362:FNJ362)</f>
        <v>39996846.150000013</v>
      </c>
      <c r="FNM362" s="631" t="s">
        <v>1836</v>
      </c>
      <c r="FNN362" s="632" t="s">
        <v>1673</v>
      </c>
      <c r="FNO362" s="633">
        <v>3470702.0100000007</v>
      </c>
      <c r="FNP362" s="633">
        <v>3448347.94</v>
      </c>
      <c r="FNQ362" s="633">
        <v>3398526.4800000009</v>
      </c>
      <c r="FNR362" s="633">
        <v>2159854.59</v>
      </c>
      <c r="FNS362" s="633">
        <v>3563316.060000001</v>
      </c>
      <c r="FNT362" s="633">
        <v>3305610.92</v>
      </c>
      <c r="FNU362" s="633">
        <v>3255686.1799999992</v>
      </c>
      <c r="FNV362" s="633">
        <v>3172108.3800000018</v>
      </c>
      <c r="FNW362" s="633">
        <v>3430726.5900000026</v>
      </c>
      <c r="FNX362" s="633">
        <v>3636289.9099999997</v>
      </c>
      <c r="FNY362" s="633">
        <v>3606558.6500000022</v>
      </c>
      <c r="FNZ362" s="633">
        <v>3549118.4400000018</v>
      </c>
      <c r="FOA362" s="634">
        <v>39996846</v>
      </c>
      <c r="FOB362" s="633">
        <f>SUM(FNO362:FNZ362)</f>
        <v>39996846.150000013</v>
      </c>
      <c r="FOC362" s="631" t="s">
        <v>1836</v>
      </c>
      <c r="FOD362" s="632" t="s">
        <v>1673</v>
      </c>
      <c r="FOE362" s="633">
        <v>3470702.0100000007</v>
      </c>
      <c r="FOF362" s="633">
        <v>3448347.94</v>
      </c>
      <c r="FOG362" s="633">
        <v>3398526.4800000009</v>
      </c>
      <c r="FOH362" s="633">
        <v>2159854.59</v>
      </c>
      <c r="FOI362" s="633">
        <v>3563316.060000001</v>
      </c>
      <c r="FOJ362" s="633">
        <v>3305610.92</v>
      </c>
      <c r="FOK362" s="633">
        <v>3255686.1799999992</v>
      </c>
      <c r="FOL362" s="633">
        <v>3172108.3800000018</v>
      </c>
      <c r="FOM362" s="633">
        <v>3430726.5900000026</v>
      </c>
      <c r="FON362" s="633">
        <v>3636289.9099999997</v>
      </c>
      <c r="FOO362" s="633">
        <v>3606558.6500000022</v>
      </c>
      <c r="FOP362" s="633">
        <v>3549118.4400000018</v>
      </c>
      <c r="FOQ362" s="634">
        <v>39996846</v>
      </c>
      <c r="FOR362" s="633">
        <f>SUM(FOE362:FOP362)</f>
        <v>39996846.150000013</v>
      </c>
      <c r="FOS362" s="631" t="s">
        <v>1836</v>
      </c>
      <c r="FOT362" s="632" t="s">
        <v>1673</v>
      </c>
      <c r="FOU362" s="633">
        <v>3470702.0100000007</v>
      </c>
      <c r="FOV362" s="633">
        <v>3448347.94</v>
      </c>
      <c r="FOW362" s="633">
        <v>3398526.4800000009</v>
      </c>
      <c r="FOX362" s="633">
        <v>2159854.59</v>
      </c>
      <c r="FOY362" s="633">
        <v>3563316.060000001</v>
      </c>
      <c r="FOZ362" s="633">
        <v>3305610.92</v>
      </c>
      <c r="FPA362" s="633">
        <v>3255686.1799999992</v>
      </c>
      <c r="FPB362" s="633">
        <v>3172108.3800000018</v>
      </c>
      <c r="FPC362" s="633">
        <v>3430726.5900000026</v>
      </c>
      <c r="FPD362" s="633">
        <v>3636289.9099999997</v>
      </c>
      <c r="FPE362" s="633">
        <v>3606558.6500000022</v>
      </c>
      <c r="FPF362" s="633">
        <v>3549118.4400000018</v>
      </c>
      <c r="FPG362" s="634">
        <v>39996846</v>
      </c>
      <c r="FPH362" s="633">
        <f>SUM(FOU362:FPF362)</f>
        <v>39996846.150000013</v>
      </c>
      <c r="FPI362" s="631" t="s">
        <v>1836</v>
      </c>
      <c r="FPJ362" s="632" t="s">
        <v>1673</v>
      </c>
      <c r="FPK362" s="633">
        <v>3470702.0100000007</v>
      </c>
      <c r="FPL362" s="633">
        <v>3448347.94</v>
      </c>
      <c r="FPM362" s="633">
        <v>3398526.4800000009</v>
      </c>
      <c r="FPN362" s="633">
        <v>2159854.59</v>
      </c>
      <c r="FPO362" s="633">
        <v>3563316.060000001</v>
      </c>
      <c r="FPP362" s="633">
        <v>3305610.92</v>
      </c>
      <c r="FPQ362" s="633">
        <v>3255686.1799999992</v>
      </c>
      <c r="FPR362" s="633">
        <v>3172108.3800000018</v>
      </c>
      <c r="FPS362" s="633">
        <v>3430726.5900000026</v>
      </c>
      <c r="FPT362" s="633">
        <v>3636289.9099999997</v>
      </c>
      <c r="FPU362" s="633">
        <v>3606558.6500000022</v>
      </c>
      <c r="FPV362" s="633">
        <v>3549118.4400000018</v>
      </c>
      <c r="FPW362" s="634">
        <v>39996846</v>
      </c>
      <c r="FPX362" s="633">
        <f>SUM(FPK362:FPV362)</f>
        <v>39996846.150000013</v>
      </c>
      <c r="FPY362" s="631" t="s">
        <v>1836</v>
      </c>
      <c r="FPZ362" s="632" t="s">
        <v>1673</v>
      </c>
      <c r="FQA362" s="633">
        <v>3470702.0100000007</v>
      </c>
      <c r="FQB362" s="633">
        <v>3448347.94</v>
      </c>
      <c r="FQC362" s="633">
        <v>3398526.4800000009</v>
      </c>
      <c r="FQD362" s="633">
        <v>2159854.59</v>
      </c>
      <c r="FQE362" s="633">
        <v>3563316.060000001</v>
      </c>
      <c r="FQF362" s="633">
        <v>3305610.92</v>
      </c>
      <c r="FQG362" s="633">
        <v>3255686.1799999992</v>
      </c>
      <c r="FQH362" s="633">
        <v>3172108.3800000018</v>
      </c>
      <c r="FQI362" s="633">
        <v>3430726.5900000026</v>
      </c>
      <c r="FQJ362" s="633">
        <v>3636289.9099999997</v>
      </c>
      <c r="FQK362" s="633">
        <v>3606558.6500000022</v>
      </c>
      <c r="FQL362" s="633">
        <v>3549118.4400000018</v>
      </c>
      <c r="FQM362" s="634">
        <v>39996846</v>
      </c>
      <c r="FQN362" s="633">
        <f>SUM(FQA362:FQL362)</f>
        <v>39996846.150000013</v>
      </c>
      <c r="FQO362" s="631" t="s">
        <v>1836</v>
      </c>
      <c r="FQP362" s="632" t="s">
        <v>1673</v>
      </c>
      <c r="FQQ362" s="633">
        <v>3470702.0100000007</v>
      </c>
      <c r="FQR362" s="633">
        <v>3448347.94</v>
      </c>
      <c r="FQS362" s="633">
        <v>3398526.4800000009</v>
      </c>
      <c r="FQT362" s="633">
        <v>2159854.59</v>
      </c>
      <c r="FQU362" s="633">
        <v>3563316.060000001</v>
      </c>
      <c r="FQV362" s="633">
        <v>3305610.92</v>
      </c>
      <c r="FQW362" s="633">
        <v>3255686.1799999992</v>
      </c>
      <c r="FQX362" s="633">
        <v>3172108.3800000018</v>
      </c>
      <c r="FQY362" s="633">
        <v>3430726.5900000026</v>
      </c>
      <c r="FQZ362" s="633">
        <v>3636289.9099999997</v>
      </c>
      <c r="FRA362" s="633">
        <v>3606558.6500000022</v>
      </c>
      <c r="FRB362" s="633">
        <v>3549118.4400000018</v>
      </c>
      <c r="FRC362" s="634">
        <v>39996846</v>
      </c>
      <c r="FRD362" s="633">
        <f>SUM(FQQ362:FRB362)</f>
        <v>39996846.150000013</v>
      </c>
      <c r="FRE362" s="631" t="s">
        <v>1836</v>
      </c>
      <c r="FRF362" s="632" t="s">
        <v>1673</v>
      </c>
      <c r="FRG362" s="633">
        <v>3470702.0100000007</v>
      </c>
      <c r="FRH362" s="633">
        <v>3448347.94</v>
      </c>
      <c r="FRI362" s="633">
        <v>3398526.4800000009</v>
      </c>
      <c r="FRJ362" s="633">
        <v>2159854.59</v>
      </c>
      <c r="FRK362" s="633">
        <v>3563316.060000001</v>
      </c>
      <c r="FRL362" s="633">
        <v>3305610.92</v>
      </c>
      <c r="FRM362" s="633">
        <v>3255686.1799999992</v>
      </c>
      <c r="FRN362" s="633">
        <v>3172108.3800000018</v>
      </c>
      <c r="FRO362" s="633">
        <v>3430726.5900000026</v>
      </c>
      <c r="FRP362" s="633">
        <v>3636289.9099999997</v>
      </c>
      <c r="FRQ362" s="633">
        <v>3606558.6500000022</v>
      </c>
      <c r="FRR362" s="633">
        <v>3549118.4400000018</v>
      </c>
      <c r="FRS362" s="634">
        <v>39996846</v>
      </c>
      <c r="FRT362" s="633">
        <f>SUM(FRG362:FRR362)</f>
        <v>39996846.150000013</v>
      </c>
      <c r="FRU362" s="631" t="s">
        <v>1836</v>
      </c>
      <c r="FRV362" s="632" t="s">
        <v>1673</v>
      </c>
      <c r="FRW362" s="633">
        <v>3470702.0100000007</v>
      </c>
      <c r="FRX362" s="633">
        <v>3448347.94</v>
      </c>
      <c r="FRY362" s="633">
        <v>3398526.4800000009</v>
      </c>
      <c r="FRZ362" s="633">
        <v>2159854.59</v>
      </c>
      <c r="FSA362" s="633">
        <v>3563316.060000001</v>
      </c>
      <c r="FSB362" s="633">
        <v>3305610.92</v>
      </c>
      <c r="FSC362" s="633">
        <v>3255686.1799999992</v>
      </c>
      <c r="FSD362" s="633">
        <v>3172108.3800000018</v>
      </c>
      <c r="FSE362" s="633">
        <v>3430726.5900000026</v>
      </c>
      <c r="FSF362" s="633">
        <v>3636289.9099999997</v>
      </c>
      <c r="FSG362" s="633">
        <v>3606558.6500000022</v>
      </c>
      <c r="FSH362" s="633">
        <v>3549118.4400000018</v>
      </c>
      <c r="FSI362" s="634">
        <v>39996846</v>
      </c>
      <c r="FSJ362" s="633">
        <f>SUM(FRW362:FSH362)</f>
        <v>39996846.150000013</v>
      </c>
      <c r="FSK362" s="631" t="s">
        <v>1836</v>
      </c>
      <c r="FSL362" s="632" t="s">
        <v>1673</v>
      </c>
      <c r="FSM362" s="633">
        <v>3470702.0100000007</v>
      </c>
      <c r="FSN362" s="633">
        <v>3448347.94</v>
      </c>
      <c r="FSO362" s="633">
        <v>3398526.4800000009</v>
      </c>
      <c r="FSP362" s="633">
        <v>2159854.59</v>
      </c>
      <c r="FSQ362" s="633">
        <v>3563316.060000001</v>
      </c>
      <c r="FSR362" s="633">
        <v>3305610.92</v>
      </c>
      <c r="FSS362" s="633">
        <v>3255686.1799999992</v>
      </c>
      <c r="FST362" s="633">
        <v>3172108.3800000018</v>
      </c>
      <c r="FSU362" s="633">
        <v>3430726.5900000026</v>
      </c>
      <c r="FSV362" s="633">
        <v>3636289.9099999997</v>
      </c>
      <c r="FSW362" s="633">
        <v>3606558.6500000022</v>
      </c>
      <c r="FSX362" s="633">
        <v>3549118.4400000018</v>
      </c>
      <c r="FSY362" s="634">
        <v>39996846</v>
      </c>
      <c r="FSZ362" s="633">
        <f>SUM(FSM362:FSX362)</f>
        <v>39996846.150000013</v>
      </c>
      <c r="FTA362" s="631" t="s">
        <v>1836</v>
      </c>
      <c r="FTB362" s="632" t="s">
        <v>1673</v>
      </c>
      <c r="FTC362" s="633">
        <v>3470702.0100000007</v>
      </c>
      <c r="FTD362" s="633">
        <v>3448347.94</v>
      </c>
      <c r="FTE362" s="633">
        <v>3398526.4800000009</v>
      </c>
      <c r="FTF362" s="633">
        <v>2159854.59</v>
      </c>
      <c r="FTG362" s="633">
        <v>3563316.060000001</v>
      </c>
      <c r="FTH362" s="633">
        <v>3305610.92</v>
      </c>
      <c r="FTI362" s="633">
        <v>3255686.1799999992</v>
      </c>
      <c r="FTJ362" s="633">
        <v>3172108.3800000018</v>
      </c>
      <c r="FTK362" s="633">
        <v>3430726.5900000026</v>
      </c>
      <c r="FTL362" s="633">
        <v>3636289.9099999997</v>
      </c>
      <c r="FTM362" s="633">
        <v>3606558.6500000022</v>
      </c>
      <c r="FTN362" s="633">
        <v>3549118.4400000018</v>
      </c>
      <c r="FTO362" s="634">
        <v>39996846</v>
      </c>
      <c r="FTP362" s="633">
        <f>SUM(FTC362:FTN362)</f>
        <v>39996846.150000013</v>
      </c>
      <c r="FTQ362" s="631" t="s">
        <v>1836</v>
      </c>
      <c r="FTR362" s="632" t="s">
        <v>1673</v>
      </c>
      <c r="FTS362" s="633">
        <v>3470702.0100000007</v>
      </c>
      <c r="FTT362" s="633">
        <v>3448347.94</v>
      </c>
      <c r="FTU362" s="633">
        <v>3398526.4800000009</v>
      </c>
      <c r="FTV362" s="633">
        <v>2159854.59</v>
      </c>
      <c r="FTW362" s="633">
        <v>3563316.060000001</v>
      </c>
      <c r="FTX362" s="633">
        <v>3305610.92</v>
      </c>
      <c r="FTY362" s="633">
        <v>3255686.1799999992</v>
      </c>
      <c r="FTZ362" s="633">
        <v>3172108.3800000018</v>
      </c>
      <c r="FUA362" s="633">
        <v>3430726.5900000026</v>
      </c>
      <c r="FUB362" s="633">
        <v>3636289.9099999997</v>
      </c>
      <c r="FUC362" s="633">
        <v>3606558.6500000022</v>
      </c>
      <c r="FUD362" s="633">
        <v>3549118.4400000018</v>
      </c>
      <c r="FUE362" s="634">
        <v>39996846</v>
      </c>
      <c r="FUF362" s="633">
        <f>SUM(FTS362:FUD362)</f>
        <v>39996846.150000013</v>
      </c>
      <c r="FUG362" s="631" t="s">
        <v>1836</v>
      </c>
      <c r="FUH362" s="632" t="s">
        <v>1673</v>
      </c>
      <c r="FUI362" s="633">
        <v>3470702.0100000007</v>
      </c>
      <c r="FUJ362" s="633">
        <v>3448347.94</v>
      </c>
      <c r="FUK362" s="633">
        <v>3398526.4800000009</v>
      </c>
      <c r="FUL362" s="633">
        <v>2159854.59</v>
      </c>
      <c r="FUM362" s="633">
        <v>3563316.060000001</v>
      </c>
      <c r="FUN362" s="633">
        <v>3305610.92</v>
      </c>
      <c r="FUO362" s="633">
        <v>3255686.1799999992</v>
      </c>
      <c r="FUP362" s="633">
        <v>3172108.3800000018</v>
      </c>
      <c r="FUQ362" s="633">
        <v>3430726.5900000026</v>
      </c>
      <c r="FUR362" s="633">
        <v>3636289.9099999997</v>
      </c>
      <c r="FUS362" s="633">
        <v>3606558.6500000022</v>
      </c>
      <c r="FUT362" s="633">
        <v>3549118.4400000018</v>
      </c>
      <c r="FUU362" s="634">
        <v>39996846</v>
      </c>
      <c r="FUV362" s="633">
        <f>SUM(FUI362:FUT362)</f>
        <v>39996846.150000013</v>
      </c>
      <c r="FUW362" s="631" t="s">
        <v>1836</v>
      </c>
      <c r="FUX362" s="632" t="s">
        <v>1673</v>
      </c>
      <c r="FUY362" s="633">
        <v>3470702.0100000007</v>
      </c>
      <c r="FUZ362" s="633">
        <v>3448347.94</v>
      </c>
      <c r="FVA362" s="633">
        <v>3398526.4800000009</v>
      </c>
      <c r="FVB362" s="633">
        <v>2159854.59</v>
      </c>
      <c r="FVC362" s="633">
        <v>3563316.060000001</v>
      </c>
      <c r="FVD362" s="633">
        <v>3305610.92</v>
      </c>
      <c r="FVE362" s="633">
        <v>3255686.1799999992</v>
      </c>
      <c r="FVF362" s="633">
        <v>3172108.3800000018</v>
      </c>
      <c r="FVG362" s="633">
        <v>3430726.5900000026</v>
      </c>
      <c r="FVH362" s="633">
        <v>3636289.9099999997</v>
      </c>
      <c r="FVI362" s="633">
        <v>3606558.6500000022</v>
      </c>
      <c r="FVJ362" s="633">
        <v>3549118.4400000018</v>
      </c>
      <c r="FVK362" s="634">
        <v>39996846</v>
      </c>
      <c r="FVL362" s="633">
        <f>SUM(FUY362:FVJ362)</f>
        <v>39996846.150000013</v>
      </c>
      <c r="FVM362" s="631" t="s">
        <v>1836</v>
      </c>
      <c r="FVN362" s="632" t="s">
        <v>1673</v>
      </c>
      <c r="FVO362" s="633">
        <v>3470702.0100000007</v>
      </c>
      <c r="FVP362" s="633">
        <v>3448347.94</v>
      </c>
      <c r="FVQ362" s="633">
        <v>3398526.4800000009</v>
      </c>
      <c r="FVR362" s="633">
        <v>2159854.59</v>
      </c>
      <c r="FVS362" s="633">
        <v>3563316.060000001</v>
      </c>
      <c r="FVT362" s="633">
        <v>3305610.92</v>
      </c>
      <c r="FVU362" s="633">
        <v>3255686.1799999992</v>
      </c>
      <c r="FVV362" s="633">
        <v>3172108.3800000018</v>
      </c>
      <c r="FVW362" s="633">
        <v>3430726.5900000026</v>
      </c>
      <c r="FVX362" s="633">
        <v>3636289.9099999997</v>
      </c>
      <c r="FVY362" s="633">
        <v>3606558.6500000022</v>
      </c>
      <c r="FVZ362" s="633">
        <v>3549118.4400000018</v>
      </c>
      <c r="FWA362" s="634">
        <v>39996846</v>
      </c>
      <c r="FWB362" s="633">
        <f>SUM(FVO362:FVZ362)</f>
        <v>39996846.150000013</v>
      </c>
      <c r="FWC362" s="631" t="s">
        <v>1836</v>
      </c>
      <c r="FWD362" s="632" t="s">
        <v>1673</v>
      </c>
      <c r="FWE362" s="633">
        <v>3470702.0100000007</v>
      </c>
      <c r="FWF362" s="633">
        <v>3448347.94</v>
      </c>
      <c r="FWG362" s="633">
        <v>3398526.4800000009</v>
      </c>
      <c r="FWH362" s="633">
        <v>2159854.59</v>
      </c>
      <c r="FWI362" s="633">
        <v>3563316.060000001</v>
      </c>
      <c r="FWJ362" s="633">
        <v>3305610.92</v>
      </c>
      <c r="FWK362" s="633">
        <v>3255686.1799999992</v>
      </c>
      <c r="FWL362" s="633">
        <v>3172108.3800000018</v>
      </c>
      <c r="FWM362" s="633">
        <v>3430726.5900000026</v>
      </c>
      <c r="FWN362" s="633">
        <v>3636289.9099999997</v>
      </c>
      <c r="FWO362" s="633">
        <v>3606558.6500000022</v>
      </c>
      <c r="FWP362" s="633">
        <v>3549118.4400000018</v>
      </c>
      <c r="FWQ362" s="634">
        <v>39996846</v>
      </c>
      <c r="FWR362" s="633">
        <f>SUM(FWE362:FWP362)</f>
        <v>39996846.150000013</v>
      </c>
      <c r="FWS362" s="631" t="s">
        <v>1836</v>
      </c>
      <c r="FWT362" s="632" t="s">
        <v>1673</v>
      </c>
      <c r="FWU362" s="633">
        <v>3470702.0100000007</v>
      </c>
      <c r="FWV362" s="633">
        <v>3448347.94</v>
      </c>
      <c r="FWW362" s="633">
        <v>3398526.4800000009</v>
      </c>
      <c r="FWX362" s="633">
        <v>2159854.59</v>
      </c>
      <c r="FWY362" s="633">
        <v>3563316.060000001</v>
      </c>
      <c r="FWZ362" s="633">
        <v>3305610.92</v>
      </c>
      <c r="FXA362" s="633">
        <v>3255686.1799999992</v>
      </c>
      <c r="FXB362" s="633">
        <v>3172108.3800000018</v>
      </c>
      <c r="FXC362" s="633">
        <v>3430726.5900000026</v>
      </c>
      <c r="FXD362" s="633">
        <v>3636289.9099999997</v>
      </c>
      <c r="FXE362" s="633">
        <v>3606558.6500000022</v>
      </c>
      <c r="FXF362" s="633">
        <v>3549118.4400000018</v>
      </c>
      <c r="FXG362" s="634">
        <v>39996846</v>
      </c>
      <c r="FXH362" s="633">
        <f>SUM(FWU362:FXF362)</f>
        <v>39996846.150000013</v>
      </c>
      <c r="FXI362" s="631" t="s">
        <v>1836</v>
      </c>
      <c r="FXJ362" s="632" t="s">
        <v>1673</v>
      </c>
      <c r="FXK362" s="633">
        <v>3470702.0100000007</v>
      </c>
      <c r="FXL362" s="633">
        <v>3448347.94</v>
      </c>
      <c r="FXM362" s="633">
        <v>3398526.4800000009</v>
      </c>
      <c r="FXN362" s="633">
        <v>2159854.59</v>
      </c>
      <c r="FXO362" s="633">
        <v>3563316.060000001</v>
      </c>
      <c r="FXP362" s="633">
        <v>3305610.92</v>
      </c>
      <c r="FXQ362" s="633">
        <v>3255686.1799999992</v>
      </c>
      <c r="FXR362" s="633">
        <v>3172108.3800000018</v>
      </c>
      <c r="FXS362" s="633">
        <v>3430726.5900000026</v>
      </c>
      <c r="FXT362" s="633">
        <v>3636289.9099999997</v>
      </c>
      <c r="FXU362" s="633">
        <v>3606558.6500000022</v>
      </c>
      <c r="FXV362" s="633">
        <v>3549118.4400000018</v>
      </c>
      <c r="FXW362" s="634">
        <v>39996846</v>
      </c>
      <c r="FXX362" s="633">
        <f>SUM(FXK362:FXV362)</f>
        <v>39996846.150000013</v>
      </c>
      <c r="FXY362" s="631" t="s">
        <v>1836</v>
      </c>
      <c r="FXZ362" s="632" t="s">
        <v>1673</v>
      </c>
      <c r="FYA362" s="633">
        <v>3470702.0100000007</v>
      </c>
      <c r="FYB362" s="633">
        <v>3448347.94</v>
      </c>
      <c r="FYC362" s="633">
        <v>3398526.4800000009</v>
      </c>
      <c r="FYD362" s="633">
        <v>2159854.59</v>
      </c>
      <c r="FYE362" s="633">
        <v>3563316.060000001</v>
      </c>
      <c r="FYF362" s="633">
        <v>3305610.92</v>
      </c>
      <c r="FYG362" s="633">
        <v>3255686.1799999992</v>
      </c>
      <c r="FYH362" s="633">
        <v>3172108.3800000018</v>
      </c>
      <c r="FYI362" s="633">
        <v>3430726.5900000026</v>
      </c>
      <c r="FYJ362" s="633">
        <v>3636289.9099999997</v>
      </c>
      <c r="FYK362" s="633">
        <v>3606558.6500000022</v>
      </c>
      <c r="FYL362" s="633">
        <v>3549118.4400000018</v>
      </c>
      <c r="FYM362" s="634">
        <v>39996846</v>
      </c>
      <c r="FYN362" s="633">
        <f>SUM(FYA362:FYL362)</f>
        <v>39996846.150000013</v>
      </c>
      <c r="FYO362" s="631" t="s">
        <v>1836</v>
      </c>
      <c r="FYP362" s="632" t="s">
        <v>1673</v>
      </c>
      <c r="FYQ362" s="633">
        <v>3470702.0100000007</v>
      </c>
      <c r="FYR362" s="633">
        <v>3448347.94</v>
      </c>
      <c r="FYS362" s="633">
        <v>3398526.4800000009</v>
      </c>
      <c r="FYT362" s="633">
        <v>2159854.59</v>
      </c>
      <c r="FYU362" s="633">
        <v>3563316.060000001</v>
      </c>
      <c r="FYV362" s="633">
        <v>3305610.92</v>
      </c>
      <c r="FYW362" s="633">
        <v>3255686.1799999992</v>
      </c>
      <c r="FYX362" s="633">
        <v>3172108.3800000018</v>
      </c>
      <c r="FYY362" s="633">
        <v>3430726.5900000026</v>
      </c>
      <c r="FYZ362" s="633">
        <v>3636289.9099999997</v>
      </c>
      <c r="FZA362" s="633">
        <v>3606558.6500000022</v>
      </c>
      <c r="FZB362" s="633">
        <v>3549118.4400000018</v>
      </c>
      <c r="FZC362" s="634">
        <v>39996846</v>
      </c>
      <c r="FZD362" s="633">
        <f>SUM(FYQ362:FZB362)</f>
        <v>39996846.150000013</v>
      </c>
      <c r="FZE362" s="631" t="s">
        <v>1836</v>
      </c>
      <c r="FZF362" s="632" t="s">
        <v>1673</v>
      </c>
      <c r="FZG362" s="633">
        <v>3470702.0100000007</v>
      </c>
      <c r="FZH362" s="633">
        <v>3448347.94</v>
      </c>
      <c r="FZI362" s="633">
        <v>3398526.4800000009</v>
      </c>
      <c r="FZJ362" s="633">
        <v>2159854.59</v>
      </c>
      <c r="FZK362" s="633">
        <v>3563316.060000001</v>
      </c>
      <c r="FZL362" s="633">
        <v>3305610.92</v>
      </c>
      <c r="FZM362" s="633">
        <v>3255686.1799999992</v>
      </c>
      <c r="FZN362" s="633">
        <v>3172108.3800000018</v>
      </c>
      <c r="FZO362" s="633">
        <v>3430726.5900000026</v>
      </c>
      <c r="FZP362" s="633">
        <v>3636289.9099999997</v>
      </c>
      <c r="FZQ362" s="633">
        <v>3606558.6500000022</v>
      </c>
      <c r="FZR362" s="633">
        <v>3549118.4400000018</v>
      </c>
      <c r="FZS362" s="634">
        <v>39996846</v>
      </c>
      <c r="FZT362" s="633">
        <f>SUM(FZG362:FZR362)</f>
        <v>39996846.150000013</v>
      </c>
      <c r="FZU362" s="631" t="s">
        <v>1836</v>
      </c>
      <c r="FZV362" s="632" t="s">
        <v>1673</v>
      </c>
      <c r="FZW362" s="633">
        <v>3470702.0100000007</v>
      </c>
      <c r="FZX362" s="633">
        <v>3448347.94</v>
      </c>
      <c r="FZY362" s="633">
        <v>3398526.4800000009</v>
      </c>
      <c r="FZZ362" s="633">
        <v>2159854.59</v>
      </c>
      <c r="GAA362" s="633">
        <v>3563316.060000001</v>
      </c>
      <c r="GAB362" s="633">
        <v>3305610.92</v>
      </c>
      <c r="GAC362" s="633">
        <v>3255686.1799999992</v>
      </c>
      <c r="GAD362" s="633">
        <v>3172108.3800000018</v>
      </c>
      <c r="GAE362" s="633">
        <v>3430726.5900000026</v>
      </c>
      <c r="GAF362" s="633">
        <v>3636289.9099999997</v>
      </c>
      <c r="GAG362" s="633">
        <v>3606558.6500000022</v>
      </c>
      <c r="GAH362" s="633">
        <v>3549118.4400000018</v>
      </c>
      <c r="GAI362" s="634">
        <v>39996846</v>
      </c>
      <c r="GAJ362" s="633">
        <f>SUM(FZW362:GAH362)</f>
        <v>39996846.150000013</v>
      </c>
      <c r="GAK362" s="631" t="s">
        <v>1836</v>
      </c>
      <c r="GAL362" s="632" t="s">
        <v>1673</v>
      </c>
      <c r="GAM362" s="633">
        <v>3470702.0100000007</v>
      </c>
      <c r="GAN362" s="633">
        <v>3448347.94</v>
      </c>
      <c r="GAO362" s="633">
        <v>3398526.4800000009</v>
      </c>
      <c r="GAP362" s="633">
        <v>2159854.59</v>
      </c>
      <c r="GAQ362" s="633">
        <v>3563316.060000001</v>
      </c>
      <c r="GAR362" s="633">
        <v>3305610.92</v>
      </c>
      <c r="GAS362" s="633">
        <v>3255686.1799999992</v>
      </c>
      <c r="GAT362" s="633">
        <v>3172108.3800000018</v>
      </c>
      <c r="GAU362" s="633">
        <v>3430726.5900000026</v>
      </c>
      <c r="GAV362" s="633">
        <v>3636289.9099999997</v>
      </c>
      <c r="GAW362" s="633">
        <v>3606558.6500000022</v>
      </c>
      <c r="GAX362" s="633">
        <v>3549118.4400000018</v>
      </c>
      <c r="GAY362" s="634">
        <v>39996846</v>
      </c>
      <c r="GAZ362" s="633">
        <f>SUM(GAM362:GAX362)</f>
        <v>39996846.150000013</v>
      </c>
      <c r="GBA362" s="631" t="s">
        <v>1836</v>
      </c>
      <c r="GBB362" s="632" t="s">
        <v>1673</v>
      </c>
      <c r="GBC362" s="633">
        <v>3470702.0100000007</v>
      </c>
      <c r="GBD362" s="633">
        <v>3448347.94</v>
      </c>
      <c r="GBE362" s="633">
        <v>3398526.4800000009</v>
      </c>
      <c r="GBF362" s="633">
        <v>2159854.59</v>
      </c>
      <c r="GBG362" s="633">
        <v>3563316.060000001</v>
      </c>
      <c r="GBH362" s="633">
        <v>3305610.92</v>
      </c>
      <c r="GBI362" s="633">
        <v>3255686.1799999992</v>
      </c>
      <c r="GBJ362" s="633">
        <v>3172108.3800000018</v>
      </c>
      <c r="GBK362" s="633">
        <v>3430726.5900000026</v>
      </c>
      <c r="GBL362" s="633">
        <v>3636289.9099999997</v>
      </c>
      <c r="GBM362" s="633">
        <v>3606558.6500000022</v>
      </c>
      <c r="GBN362" s="633">
        <v>3549118.4400000018</v>
      </c>
      <c r="GBO362" s="634">
        <v>39996846</v>
      </c>
      <c r="GBP362" s="633">
        <f>SUM(GBC362:GBN362)</f>
        <v>39996846.150000013</v>
      </c>
      <c r="GBQ362" s="631" t="s">
        <v>1836</v>
      </c>
      <c r="GBR362" s="632" t="s">
        <v>1673</v>
      </c>
      <c r="GBS362" s="633">
        <v>3470702.0100000007</v>
      </c>
      <c r="GBT362" s="633">
        <v>3448347.94</v>
      </c>
      <c r="GBU362" s="633">
        <v>3398526.4800000009</v>
      </c>
      <c r="GBV362" s="633">
        <v>2159854.59</v>
      </c>
      <c r="GBW362" s="633">
        <v>3563316.060000001</v>
      </c>
      <c r="GBX362" s="633">
        <v>3305610.92</v>
      </c>
      <c r="GBY362" s="633">
        <v>3255686.1799999992</v>
      </c>
      <c r="GBZ362" s="633">
        <v>3172108.3800000018</v>
      </c>
      <c r="GCA362" s="633">
        <v>3430726.5900000026</v>
      </c>
      <c r="GCB362" s="633">
        <v>3636289.9099999997</v>
      </c>
      <c r="GCC362" s="633">
        <v>3606558.6500000022</v>
      </c>
      <c r="GCD362" s="633">
        <v>3549118.4400000018</v>
      </c>
      <c r="GCE362" s="634">
        <v>39996846</v>
      </c>
      <c r="GCF362" s="633">
        <f>SUM(GBS362:GCD362)</f>
        <v>39996846.150000013</v>
      </c>
      <c r="GCG362" s="631" t="s">
        <v>1836</v>
      </c>
      <c r="GCH362" s="632" t="s">
        <v>1673</v>
      </c>
      <c r="GCI362" s="633">
        <v>3470702.0100000007</v>
      </c>
      <c r="GCJ362" s="633">
        <v>3448347.94</v>
      </c>
      <c r="GCK362" s="633">
        <v>3398526.4800000009</v>
      </c>
      <c r="GCL362" s="633">
        <v>2159854.59</v>
      </c>
      <c r="GCM362" s="633">
        <v>3563316.060000001</v>
      </c>
      <c r="GCN362" s="633">
        <v>3305610.92</v>
      </c>
      <c r="GCO362" s="633">
        <v>3255686.1799999992</v>
      </c>
      <c r="GCP362" s="633">
        <v>3172108.3800000018</v>
      </c>
      <c r="GCQ362" s="633">
        <v>3430726.5900000026</v>
      </c>
      <c r="GCR362" s="633">
        <v>3636289.9099999997</v>
      </c>
      <c r="GCS362" s="633">
        <v>3606558.6500000022</v>
      </c>
      <c r="GCT362" s="633">
        <v>3549118.4400000018</v>
      </c>
      <c r="GCU362" s="634">
        <v>39996846</v>
      </c>
      <c r="GCV362" s="633">
        <f>SUM(GCI362:GCT362)</f>
        <v>39996846.150000013</v>
      </c>
      <c r="GCW362" s="631" t="s">
        <v>1836</v>
      </c>
      <c r="GCX362" s="632" t="s">
        <v>1673</v>
      </c>
      <c r="GCY362" s="633">
        <v>3470702.0100000007</v>
      </c>
      <c r="GCZ362" s="633">
        <v>3448347.94</v>
      </c>
      <c r="GDA362" s="633">
        <v>3398526.4800000009</v>
      </c>
      <c r="GDB362" s="633">
        <v>2159854.59</v>
      </c>
      <c r="GDC362" s="633">
        <v>3563316.060000001</v>
      </c>
      <c r="GDD362" s="633">
        <v>3305610.92</v>
      </c>
      <c r="GDE362" s="633">
        <v>3255686.1799999992</v>
      </c>
      <c r="GDF362" s="633">
        <v>3172108.3800000018</v>
      </c>
      <c r="GDG362" s="633">
        <v>3430726.5900000026</v>
      </c>
      <c r="GDH362" s="633">
        <v>3636289.9099999997</v>
      </c>
      <c r="GDI362" s="633">
        <v>3606558.6500000022</v>
      </c>
      <c r="GDJ362" s="633">
        <v>3549118.4400000018</v>
      </c>
      <c r="GDK362" s="634">
        <v>39996846</v>
      </c>
      <c r="GDL362" s="633">
        <f>SUM(GCY362:GDJ362)</f>
        <v>39996846.150000013</v>
      </c>
      <c r="GDM362" s="631" t="s">
        <v>1836</v>
      </c>
      <c r="GDN362" s="632" t="s">
        <v>1673</v>
      </c>
      <c r="GDO362" s="633">
        <v>3470702.0100000007</v>
      </c>
      <c r="GDP362" s="633">
        <v>3448347.94</v>
      </c>
      <c r="GDQ362" s="633">
        <v>3398526.4800000009</v>
      </c>
      <c r="GDR362" s="633">
        <v>2159854.59</v>
      </c>
      <c r="GDS362" s="633">
        <v>3563316.060000001</v>
      </c>
      <c r="GDT362" s="633">
        <v>3305610.92</v>
      </c>
      <c r="GDU362" s="633">
        <v>3255686.1799999992</v>
      </c>
      <c r="GDV362" s="633">
        <v>3172108.3800000018</v>
      </c>
      <c r="GDW362" s="633">
        <v>3430726.5900000026</v>
      </c>
      <c r="GDX362" s="633">
        <v>3636289.9099999997</v>
      </c>
      <c r="GDY362" s="633">
        <v>3606558.6500000022</v>
      </c>
      <c r="GDZ362" s="633">
        <v>3549118.4400000018</v>
      </c>
      <c r="GEA362" s="634">
        <v>39996846</v>
      </c>
      <c r="GEB362" s="633">
        <f>SUM(GDO362:GDZ362)</f>
        <v>39996846.150000013</v>
      </c>
      <c r="GEC362" s="631" t="s">
        <v>1836</v>
      </c>
      <c r="GED362" s="632" t="s">
        <v>1673</v>
      </c>
      <c r="GEE362" s="633">
        <v>3470702.0100000007</v>
      </c>
      <c r="GEF362" s="633">
        <v>3448347.94</v>
      </c>
      <c r="GEG362" s="633">
        <v>3398526.4800000009</v>
      </c>
      <c r="GEH362" s="633">
        <v>2159854.59</v>
      </c>
      <c r="GEI362" s="633">
        <v>3563316.060000001</v>
      </c>
      <c r="GEJ362" s="633">
        <v>3305610.92</v>
      </c>
      <c r="GEK362" s="633">
        <v>3255686.1799999992</v>
      </c>
      <c r="GEL362" s="633">
        <v>3172108.3800000018</v>
      </c>
      <c r="GEM362" s="633">
        <v>3430726.5900000026</v>
      </c>
      <c r="GEN362" s="633">
        <v>3636289.9099999997</v>
      </c>
      <c r="GEO362" s="633">
        <v>3606558.6500000022</v>
      </c>
      <c r="GEP362" s="633">
        <v>3549118.4400000018</v>
      </c>
      <c r="GEQ362" s="634">
        <v>39996846</v>
      </c>
      <c r="GER362" s="633">
        <f>SUM(GEE362:GEP362)</f>
        <v>39996846.150000013</v>
      </c>
      <c r="GES362" s="631" t="s">
        <v>1836</v>
      </c>
      <c r="GET362" s="632" t="s">
        <v>1673</v>
      </c>
      <c r="GEU362" s="633">
        <v>3470702.0100000007</v>
      </c>
      <c r="GEV362" s="633">
        <v>3448347.94</v>
      </c>
      <c r="GEW362" s="633">
        <v>3398526.4800000009</v>
      </c>
      <c r="GEX362" s="633">
        <v>2159854.59</v>
      </c>
      <c r="GEY362" s="633">
        <v>3563316.060000001</v>
      </c>
      <c r="GEZ362" s="633">
        <v>3305610.92</v>
      </c>
      <c r="GFA362" s="633">
        <v>3255686.1799999992</v>
      </c>
      <c r="GFB362" s="633">
        <v>3172108.3800000018</v>
      </c>
      <c r="GFC362" s="633">
        <v>3430726.5900000026</v>
      </c>
      <c r="GFD362" s="633">
        <v>3636289.9099999997</v>
      </c>
      <c r="GFE362" s="633">
        <v>3606558.6500000022</v>
      </c>
      <c r="GFF362" s="633">
        <v>3549118.4400000018</v>
      </c>
      <c r="GFG362" s="634">
        <v>39996846</v>
      </c>
      <c r="GFH362" s="633">
        <f>SUM(GEU362:GFF362)</f>
        <v>39996846.150000013</v>
      </c>
      <c r="GFI362" s="631" t="s">
        <v>1836</v>
      </c>
      <c r="GFJ362" s="632" t="s">
        <v>1673</v>
      </c>
      <c r="GFK362" s="633">
        <v>3470702.0100000007</v>
      </c>
      <c r="GFL362" s="633">
        <v>3448347.94</v>
      </c>
      <c r="GFM362" s="633">
        <v>3398526.4800000009</v>
      </c>
      <c r="GFN362" s="633">
        <v>2159854.59</v>
      </c>
      <c r="GFO362" s="633">
        <v>3563316.060000001</v>
      </c>
      <c r="GFP362" s="633">
        <v>3305610.92</v>
      </c>
      <c r="GFQ362" s="633">
        <v>3255686.1799999992</v>
      </c>
      <c r="GFR362" s="633">
        <v>3172108.3800000018</v>
      </c>
      <c r="GFS362" s="633">
        <v>3430726.5900000026</v>
      </c>
      <c r="GFT362" s="633">
        <v>3636289.9099999997</v>
      </c>
      <c r="GFU362" s="633">
        <v>3606558.6500000022</v>
      </c>
      <c r="GFV362" s="633">
        <v>3549118.4400000018</v>
      </c>
      <c r="GFW362" s="634">
        <v>39996846</v>
      </c>
      <c r="GFX362" s="633">
        <f>SUM(GFK362:GFV362)</f>
        <v>39996846.150000013</v>
      </c>
      <c r="GFY362" s="631" t="s">
        <v>1836</v>
      </c>
      <c r="GFZ362" s="632" t="s">
        <v>1673</v>
      </c>
      <c r="GGA362" s="633">
        <v>3470702.0100000007</v>
      </c>
      <c r="GGB362" s="633">
        <v>3448347.94</v>
      </c>
      <c r="GGC362" s="633">
        <v>3398526.4800000009</v>
      </c>
      <c r="GGD362" s="633">
        <v>2159854.59</v>
      </c>
      <c r="GGE362" s="633">
        <v>3563316.060000001</v>
      </c>
      <c r="GGF362" s="633">
        <v>3305610.92</v>
      </c>
      <c r="GGG362" s="633">
        <v>3255686.1799999992</v>
      </c>
      <c r="GGH362" s="633">
        <v>3172108.3800000018</v>
      </c>
      <c r="GGI362" s="633">
        <v>3430726.5900000026</v>
      </c>
      <c r="GGJ362" s="633">
        <v>3636289.9099999997</v>
      </c>
      <c r="GGK362" s="633">
        <v>3606558.6500000022</v>
      </c>
      <c r="GGL362" s="633">
        <v>3549118.4400000018</v>
      </c>
      <c r="GGM362" s="634">
        <v>39996846</v>
      </c>
      <c r="GGN362" s="633">
        <f>SUM(GGA362:GGL362)</f>
        <v>39996846.150000013</v>
      </c>
      <c r="GGO362" s="631" t="s">
        <v>1836</v>
      </c>
      <c r="GGP362" s="632" t="s">
        <v>1673</v>
      </c>
      <c r="GGQ362" s="633">
        <v>3470702.0100000007</v>
      </c>
      <c r="GGR362" s="633">
        <v>3448347.94</v>
      </c>
      <c r="GGS362" s="633">
        <v>3398526.4800000009</v>
      </c>
      <c r="GGT362" s="633">
        <v>2159854.59</v>
      </c>
      <c r="GGU362" s="633">
        <v>3563316.060000001</v>
      </c>
      <c r="GGV362" s="633">
        <v>3305610.92</v>
      </c>
      <c r="GGW362" s="633">
        <v>3255686.1799999992</v>
      </c>
      <c r="GGX362" s="633">
        <v>3172108.3800000018</v>
      </c>
      <c r="GGY362" s="633">
        <v>3430726.5900000026</v>
      </c>
      <c r="GGZ362" s="633">
        <v>3636289.9099999997</v>
      </c>
      <c r="GHA362" s="633">
        <v>3606558.6500000022</v>
      </c>
      <c r="GHB362" s="633">
        <v>3549118.4400000018</v>
      </c>
      <c r="GHC362" s="634">
        <v>39996846</v>
      </c>
      <c r="GHD362" s="633">
        <f>SUM(GGQ362:GHB362)</f>
        <v>39996846.150000013</v>
      </c>
      <c r="GHE362" s="631" t="s">
        <v>1836</v>
      </c>
      <c r="GHF362" s="632" t="s">
        <v>1673</v>
      </c>
      <c r="GHG362" s="633">
        <v>3470702.0100000007</v>
      </c>
      <c r="GHH362" s="633">
        <v>3448347.94</v>
      </c>
      <c r="GHI362" s="633">
        <v>3398526.4800000009</v>
      </c>
      <c r="GHJ362" s="633">
        <v>2159854.59</v>
      </c>
      <c r="GHK362" s="633">
        <v>3563316.060000001</v>
      </c>
      <c r="GHL362" s="633">
        <v>3305610.92</v>
      </c>
      <c r="GHM362" s="633">
        <v>3255686.1799999992</v>
      </c>
      <c r="GHN362" s="633">
        <v>3172108.3800000018</v>
      </c>
      <c r="GHO362" s="633">
        <v>3430726.5900000026</v>
      </c>
      <c r="GHP362" s="633">
        <v>3636289.9099999997</v>
      </c>
      <c r="GHQ362" s="633">
        <v>3606558.6500000022</v>
      </c>
      <c r="GHR362" s="633">
        <v>3549118.4400000018</v>
      </c>
      <c r="GHS362" s="634">
        <v>39996846</v>
      </c>
      <c r="GHT362" s="633">
        <f>SUM(GHG362:GHR362)</f>
        <v>39996846.150000013</v>
      </c>
      <c r="GHU362" s="631" t="s">
        <v>1836</v>
      </c>
      <c r="GHV362" s="632" t="s">
        <v>1673</v>
      </c>
      <c r="GHW362" s="633">
        <v>3470702.0100000007</v>
      </c>
      <c r="GHX362" s="633">
        <v>3448347.94</v>
      </c>
      <c r="GHY362" s="633">
        <v>3398526.4800000009</v>
      </c>
      <c r="GHZ362" s="633">
        <v>2159854.59</v>
      </c>
      <c r="GIA362" s="633">
        <v>3563316.060000001</v>
      </c>
      <c r="GIB362" s="633">
        <v>3305610.92</v>
      </c>
      <c r="GIC362" s="633">
        <v>3255686.1799999992</v>
      </c>
      <c r="GID362" s="633">
        <v>3172108.3800000018</v>
      </c>
      <c r="GIE362" s="633">
        <v>3430726.5900000026</v>
      </c>
      <c r="GIF362" s="633">
        <v>3636289.9099999997</v>
      </c>
      <c r="GIG362" s="633">
        <v>3606558.6500000022</v>
      </c>
      <c r="GIH362" s="633">
        <v>3549118.4400000018</v>
      </c>
      <c r="GII362" s="634">
        <v>39996846</v>
      </c>
      <c r="GIJ362" s="633">
        <f>SUM(GHW362:GIH362)</f>
        <v>39996846.150000013</v>
      </c>
      <c r="GIK362" s="631" t="s">
        <v>1836</v>
      </c>
      <c r="GIL362" s="632" t="s">
        <v>1673</v>
      </c>
      <c r="GIM362" s="633">
        <v>3470702.0100000007</v>
      </c>
      <c r="GIN362" s="633">
        <v>3448347.94</v>
      </c>
      <c r="GIO362" s="633">
        <v>3398526.4800000009</v>
      </c>
      <c r="GIP362" s="633">
        <v>2159854.59</v>
      </c>
      <c r="GIQ362" s="633">
        <v>3563316.060000001</v>
      </c>
      <c r="GIR362" s="633">
        <v>3305610.92</v>
      </c>
      <c r="GIS362" s="633">
        <v>3255686.1799999992</v>
      </c>
      <c r="GIT362" s="633">
        <v>3172108.3800000018</v>
      </c>
      <c r="GIU362" s="633">
        <v>3430726.5900000026</v>
      </c>
      <c r="GIV362" s="633">
        <v>3636289.9099999997</v>
      </c>
      <c r="GIW362" s="633">
        <v>3606558.6500000022</v>
      </c>
      <c r="GIX362" s="633">
        <v>3549118.4400000018</v>
      </c>
      <c r="GIY362" s="634">
        <v>39996846</v>
      </c>
      <c r="GIZ362" s="633">
        <f>SUM(GIM362:GIX362)</f>
        <v>39996846.150000013</v>
      </c>
      <c r="GJA362" s="631" t="s">
        <v>1836</v>
      </c>
      <c r="GJB362" s="632" t="s">
        <v>1673</v>
      </c>
      <c r="GJC362" s="633">
        <v>3470702.0100000007</v>
      </c>
      <c r="GJD362" s="633">
        <v>3448347.94</v>
      </c>
      <c r="GJE362" s="633">
        <v>3398526.4800000009</v>
      </c>
      <c r="GJF362" s="633">
        <v>2159854.59</v>
      </c>
      <c r="GJG362" s="633">
        <v>3563316.060000001</v>
      </c>
      <c r="GJH362" s="633">
        <v>3305610.92</v>
      </c>
      <c r="GJI362" s="633">
        <v>3255686.1799999992</v>
      </c>
      <c r="GJJ362" s="633">
        <v>3172108.3800000018</v>
      </c>
      <c r="GJK362" s="633">
        <v>3430726.5900000026</v>
      </c>
      <c r="GJL362" s="633">
        <v>3636289.9099999997</v>
      </c>
      <c r="GJM362" s="633">
        <v>3606558.6500000022</v>
      </c>
      <c r="GJN362" s="633">
        <v>3549118.4400000018</v>
      </c>
      <c r="GJO362" s="634">
        <v>39996846</v>
      </c>
      <c r="GJP362" s="633">
        <f>SUM(GJC362:GJN362)</f>
        <v>39996846.150000013</v>
      </c>
      <c r="GJQ362" s="631" t="s">
        <v>1836</v>
      </c>
      <c r="GJR362" s="632" t="s">
        <v>1673</v>
      </c>
      <c r="GJS362" s="633">
        <v>3470702.0100000007</v>
      </c>
      <c r="GJT362" s="633">
        <v>3448347.94</v>
      </c>
      <c r="GJU362" s="633">
        <v>3398526.4800000009</v>
      </c>
      <c r="GJV362" s="633">
        <v>2159854.59</v>
      </c>
      <c r="GJW362" s="633">
        <v>3563316.060000001</v>
      </c>
      <c r="GJX362" s="633">
        <v>3305610.92</v>
      </c>
      <c r="GJY362" s="633">
        <v>3255686.1799999992</v>
      </c>
      <c r="GJZ362" s="633">
        <v>3172108.3800000018</v>
      </c>
      <c r="GKA362" s="633">
        <v>3430726.5900000026</v>
      </c>
      <c r="GKB362" s="633">
        <v>3636289.9099999997</v>
      </c>
      <c r="GKC362" s="633">
        <v>3606558.6500000022</v>
      </c>
      <c r="GKD362" s="633">
        <v>3549118.4400000018</v>
      </c>
      <c r="GKE362" s="634">
        <v>39996846</v>
      </c>
      <c r="GKF362" s="633">
        <f>SUM(GJS362:GKD362)</f>
        <v>39996846.150000013</v>
      </c>
      <c r="GKG362" s="631" t="s">
        <v>1836</v>
      </c>
      <c r="GKH362" s="632" t="s">
        <v>1673</v>
      </c>
      <c r="GKI362" s="633">
        <v>3470702.0100000007</v>
      </c>
      <c r="GKJ362" s="633">
        <v>3448347.94</v>
      </c>
      <c r="GKK362" s="633">
        <v>3398526.4800000009</v>
      </c>
      <c r="GKL362" s="633">
        <v>2159854.59</v>
      </c>
      <c r="GKM362" s="633">
        <v>3563316.060000001</v>
      </c>
      <c r="GKN362" s="633">
        <v>3305610.92</v>
      </c>
      <c r="GKO362" s="633">
        <v>3255686.1799999992</v>
      </c>
      <c r="GKP362" s="633">
        <v>3172108.3800000018</v>
      </c>
      <c r="GKQ362" s="633">
        <v>3430726.5900000026</v>
      </c>
      <c r="GKR362" s="633">
        <v>3636289.9099999997</v>
      </c>
      <c r="GKS362" s="633">
        <v>3606558.6500000022</v>
      </c>
      <c r="GKT362" s="633">
        <v>3549118.4400000018</v>
      </c>
      <c r="GKU362" s="634">
        <v>39996846</v>
      </c>
      <c r="GKV362" s="633">
        <f>SUM(GKI362:GKT362)</f>
        <v>39996846.150000013</v>
      </c>
      <c r="GKW362" s="631" t="s">
        <v>1836</v>
      </c>
      <c r="GKX362" s="632" t="s">
        <v>1673</v>
      </c>
      <c r="GKY362" s="633">
        <v>3470702.0100000007</v>
      </c>
      <c r="GKZ362" s="633">
        <v>3448347.94</v>
      </c>
      <c r="GLA362" s="633">
        <v>3398526.4800000009</v>
      </c>
      <c r="GLB362" s="633">
        <v>2159854.59</v>
      </c>
      <c r="GLC362" s="633">
        <v>3563316.060000001</v>
      </c>
      <c r="GLD362" s="633">
        <v>3305610.92</v>
      </c>
      <c r="GLE362" s="633">
        <v>3255686.1799999992</v>
      </c>
      <c r="GLF362" s="633">
        <v>3172108.3800000018</v>
      </c>
      <c r="GLG362" s="633">
        <v>3430726.5900000026</v>
      </c>
      <c r="GLH362" s="633">
        <v>3636289.9099999997</v>
      </c>
      <c r="GLI362" s="633">
        <v>3606558.6500000022</v>
      </c>
      <c r="GLJ362" s="633">
        <v>3549118.4400000018</v>
      </c>
      <c r="GLK362" s="634">
        <v>39996846</v>
      </c>
      <c r="GLL362" s="633">
        <f>SUM(GKY362:GLJ362)</f>
        <v>39996846.150000013</v>
      </c>
      <c r="GLM362" s="631" t="s">
        <v>1836</v>
      </c>
      <c r="GLN362" s="632" t="s">
        <v>1673</v>
      </c>
      <c r="GLO362" s="633">
        <v>3470702.0100000007</v>
      </c>
      <c r="GLP362" s="633">
        <v>3448347.94</v>
      </c>
      <c r="GLQ362" s="633">
        <v>3398526.4800000009</v>
      </c>
      <c r="GLR362" s="633">
        <v>2159854.59</v>
      </c>
      <c r="GLS362" s="633">
        <v>3563316.060000001</v>
      </c>
      <c r="GLT362" s="633">
        <v>3305610.92</v>
      </c>
      <c r="GLU362" s="633">
        <v>3255686.1799999992</v>
      </c>
      <c r="GLV362" s="633">
        <v>3172108.3800000018</v>
      </c>
      <c r="GLW362" s="633">
        <v>3430726.5900000026</v>
      </c>
      <c r="GLX362" s="633">
        <v>3636289.9099999997</v>
      </c>
      <c r="GLY362" s="633">
        <v>3606558.6500000022</v>
      </c>
      <c r="GLZ362" s="633">
        <v>3549118.4400000018</v>
      </c>
      <c r="GMA362" s="634">
        <v>39996846</v>
      </c>
      <c r="GMB362" s="633">
        <f>SUM(GLO362:GLZ362)</f>
        <v>39996846.150000013</v>
      </c>
      <c r="GMC362" s="631" t="s">
        <v>1836</v>
      </c>
      <c r="GMD362" s="632" t="s">
        <v>1673</v>
      </c>
      <c r="GME362" s="633">
        <v>3470702.0100000007</v>
      </c>
      <c r="GMF362" s="633">
        <v>3448347.94</v>
      </c>
      <c r="GMG362" s="633">
        <v>3398526.4800000009</v>
      </c>
      <c r="GMH362" s="633">
        <v>2159854.59</v>
      </c>
      <c r="GMI362" s="633">
        <v>3563316.060000001</v>
      </c>
      <c r="GMJ362" s="633">
        <v>3305610.92</v>
      </c>
      <c r="GMK362" s="633">
        <v>3255686.1799999992</v>
      </c>
      <c r="GML362" s="633">
        <v>3172108.3800000018</v>
      </c>
      <c r="GMM362" s="633">
        <v>3430726.5900000026</v>
      </c>
      <c r="GMN362" s="633">
        <v>3636289.9099999997</v>
      </c>
      <c r="GMO362" s="633">
        <v>3606558.6500000022</v>
      </c>
      <c r="GMP362" s="633">
        <v>3549118.4400000018</v>
      </c>
      <c r="GMQ362" s="634">
        <v>39996846</v>
      </c>
      <c r="GMR362" s="633">
        <f>SUM(GME362:GMP362)</f>
        <v>39996846.150000013</v>
      </c>
      <c r="GMS362" s="631" t="s">
        <v>1836</v>
      </c>
      <c r="GMT362" s="632" t="s">
        <v>1673</v>
      </c>
      <c r="GMU362" s="633">
        <v>3470702.0100000007</v>
      </c>
      <c r="GMV362" s="633">
        <v>3448347.94</v>
      </c>
      <c r="GMW362" s="633">
        <v>3398526.4800000009</v>
      </c>
      <c r="GMX362" s="633">
        <v>2159854.59</v>
      </c>
      <c r="GMY362" s="633">
        <v>3563316.060000001</v>
      </c>
      <c r="GMZ362" s="633">
        <v>3305610.92</v>
      </c>
      <c r="GNA362" s="633">
        <v>3255686.1799999992</v>
      </c>
      <c r="GNB362" s="633">
        <v>3172108.3800000018</v>
      </c>
      <c r="GNC362" s="633">
        <v>3430726.5900000026</v>
      </c>
      <c r="GND362" s="633">
        <v>3636289.9099999997</v>
      </c>
      <c r="GNE362" s="633">
        <v>3606558.6500000022</v>
      </c>
      <c r="GNF362" s="633">
        <v>3549118.4400000018</v>
      </c>
      <c r="GNG362" s="634">
        <v>39996846</v>
      </c>
      <c r="GNH362" s="633">
        <f>SUM(GMU362:GNF362)</f>
        <v>39996846.150000013</v>
      </c>
      <c r="GNI362" s="631" t="s">
        <v>1836</v>
      </c>
      <c r="GNJ362" s="632" t="s">
        <v>1673</v>
      </c>
      <c r="GNK362" s="633">
        <v>3470702.0100000007</v>
      </c>
      <c r="GNL362" s="633">
        <v>3448347.94</v>
      </c>
      <c r="GNM362" s="633">
        <v>3398526.4800000009</v>
      </c>
      <c r="GNN362" s="633">
        <v>2159854.59</v>
      </c>
      <c r="GNO362" s="633">
        <v>3563316.060000001</v>
      </c>
      <c r="GNP362" s="633">
        <v>3305610.92</v>
      </c>
      <c r="GNQ362" s="633">
        <v>3255686.1799999992</v>
      </c>
      <c r="GNR362" s="633">
        <v>3172108.3800000018</v>
      </c>
      <c r="GNS362" s="633">
        <v>3430726.5900000026</v>
      </c>
      <c r="GNT362" s="633">
        <v>3636289.9099999997</v>
      </c>
      <c r="GNU362" s="633">
        <v>3606558.6500000022</v>
      </c>
      <c r="GNV362" s="633">
        <v>3549118.4400000018</v>
      </c>
      <c r="GNW362" s="634">
        <v>39996846</v>
      </c>
      <c r="GNX362" s="633">
        <f>SUM(GNK362:GNV362)</f>
        <v>39996846.150000013</v>
      </c>
      <c r="GNY362" s="631" t="s">
        <v>1836</v>
      </c>
      <c r="GNZ362" s="632" t="s">
        <v>1673</v>
      </c>
      <c r="GOA362" s="633">
        <v>3470702.0100000007</v>
      </c>
      <c r="GOB362" s="633">
        <v>3448347.94</v>
      </c>
      <c r="GOC362" s="633">
        <v>3398526.4800000009</v>
      </c>
      <c r="GOD362" s="633">
        <v>2159854.59</v>
      </c>
      <c r="GOE362" s="633">
        <v>3563316.060000001</v>
      </c>
      <c r="GOF362" s="633">
        <v>3305610.92</v>
      </c>
      <c r="GOG362" s="633">
        <v>3255686.1799999992</v>
      </c>
      <c r="GOH362" s="633">
        <v>3172108.3800000018</v>
      </c>
      <c r="GOI362" s="633">
        <v>3430726.5900000026</v>
      </c>
      <c r="GOJ362" s="633">
        <v>3636289.9099999997</v>
      </c>
      <c r="GOK362" s="633">
        <v>3606558.6500000022</v>
      </c>
      <c r="GOL362" s="633">
        <v>3549118.4400000018</v>
      </c>
      <c r="GOM362" s="634">
        <v>39996846</v>
      </c>
      <c r="GON362" s="633">
        <f>SUM(GOA362:GOL362)</f>
        <v>39996846.150000013</v>
      </c>
      <c r="GOO362" s="631" t="s">
        <v>1836</v>
      </c>
      <c r="GOP362" s="632" t="s">
        <v>1673</v>
      </c>
      <c r="GOQ362" s="633">
        <v>3470702.0100000007</v>
      </c>
      <c r="GOR362" s="633">
        <v>3448347.94</v>
      </c>
      <c r="GOS362" s="633">
        <v>3398526.4800000009</v>
      </c>
      <c r="GOT362" s="633">
        <v>2159854.59</v>
      </c>
      <c r="GOU362" s="633">
        <v>3563316.060000001</v>
      </c>
      <c r="GOV362" s="633">
        <v>3305610.92</v>
      </c>
      <c r="GOW362" s="633">
        <v>3255686.1799999992</v>
      </c>
      <c r="GOX362" s="633">
        <v>3172108.3800000018</v>
      </c>
      <c r="GOY362" s="633">
        <v>3430726.5900000026</v>
      </c>
      <c r="GOZ362" s="633">
        <v>3636289.9099999997</v>
      </c>
      <c r="GPA362" s="633">
        <v>3606558.6500000022</v>
      </c>
      <c r="GPB362" s="633">
        <v>3549118.4400000018</v>
      </c>
      <c r="GPC362" s="634">
        <v>39996846</v>
      </c>
      <c r="GPD362" s="633">
        <f>SUM(GOQ362:GPB362)</f>
        <v>39996846.150000013</v>
      </c>
      <c r="GPE362" s="631" t="s">
        <v>1836</v>
      </c>
      <c r="GPF362" s="632" t="s">
        <v>1673</v>
      </c>
      <c r="GPG362" s="633">
        <v>3470702.0100000007</v>
      </c>
      <c r="GPH362" s="633">
        <v>3448347.94</v>
      </c>
      <c r="GPI362" s="633">
        <v>3398526.4800000009</v>
      </c>
      <c r="GPJ362" s="633">
        <v>2159854.59</v>
      </c>
      <c r="GPK362" s="633">
        <v>3563316.060000001</v>
      </c>
      <c r="GPL362" s="633">
        <v>3305610.92</v>
      </c>
      <c r="GPM362" s="633">
        <v>3255686.1799999992</v>
      </c>
      <c r="GPN362" s="633">
        <v>3172108.3800000018</v>
      </c>
      <c r="GPO362" s="633">
        <v>3430726.5900000026</v>
      </c>
      <c r="GPP362" s="633">
        <v>3636289.9099999997</v>
      </c>
      <c r="GPQ362" s="633">
        <v>3606558.6500000022</v>
      </c>
      <c r="GPR362" s="633">
        <v>3549118.4400000018</v>
      </c>
      <c r="GPS362" s="634">
        <v>39996846</v>
      </c>
      <c r="GPT362" s="633">
        <f>SUM(GPG362:GPR362)</f>
        <v>39996846.150000013</v>
      </c>
      <c r="GPU362" s="631" t="s">
        <v>1836</v>
      </c>
      <c r="GPV362" s="632" t="s">
        <v>1673</v>
      </c>
      <c r="GPW362" s="633">
        <v>3470702.0100000007</v>
      </c>
      <c r="GPX362" s="633">
        <v>3448347.94</v>
      </c>
      <c r="GPY362" s="633">
        <v>3398526.4800000009</v>
      </c>
      <c r="GPZ362" s="633">
        <v>2159854.59</v>
      </c>
      <c r="GQA362" s="633">
        <v>3563316.060000001</v>
      </c>
      <c r="GQB362" s="633">
        <v>3305610.92</v>
      </c>
      <c r="GQC362" s="633">
        <v>3255686.1799999992</v>
      </c>
      <c r="GQD362" s="633">
        <v>3172108.3800000018</v>
      </c>
      <c r="GQE362" s="633">
        <v>3430726.5900000026</v>
      </c>
      <c r="GQF362" s="633">
        <v>3636289.9099999997</v>
      </c>
      <c r="GQG362" s="633">
        <v>3606558.6500000022</v>
      </c>
      <c r="GQH362" s="633">
        <v>3549118.4400000018</v>
      </c>
      <c r="GQI362" s="634">
        <v>39996846</v>
      </c>
      <c r="GQJ362" s="633">
        <f>SUM(GPW362:GQH362)</f>
        <v>39996846.150000013</v>
      </c>
      <c r="GQK362" s="631" t="s">
        <v>1836</v>
      </c>
      <c r="GQL362" s="632" t="s">
        <v>1673</v>
      </c>
      <c r="GQM362" s="633">
        <v>3470702.0100000007</v>
      </c>
      <c r="GQN362" s="633">
        <v>3448347.94</v>
      </c>
      <c r="GQO362" s="633">
        <v>3398526.4800000009</v>
      </c>
      <c r="GQP362" s="633">
        <v>2159854.59</v>
      </c>
      <c r="GQQ362" s="633">
        <v>3563316.060000001</v>
      </c>
      <c r="GQR362" s="633">
        <v>3305610.92</v>
      </c>
      <c r="GQS362" s="633">
        <v>3255686.1799999992</v>
      </c>
      <c r="GQT362" s="633">
        <v>3172108.3800000018</v>
      </c>
      <c r="GQU362" s="633">
        <v>3430726.5900000026</v>
      </c>
      <c r="GQV362" s="633">
        <v>3636289.9099999997</v>
      </c>
      <c r="GQW362" s="633">
        <v>3606558.6500000022</v>
      </c>
      <c r="GQX362" s="633">
        <v>3549118.4400000018</v>
      </c>
      <c r="GQY362" s="634">
        <v>39996846</v>
      </c>
      <c r="GQZ362" s="633">
        <f>SUM(GQM362:GQX362)</f>
        <v>39996846.150000013</v>
      </c>
      <c r="GRA362" s="631" t="s">
        <v>1836</v>
      </c>
      <c r="GRB362" s="632" t="s">
        <v>1673</v>
      </c>
      <c r="GRC362" s="633">
        <v>3470702.0100000007</v>
      </c>
      <c r="GRD362" s="633">
        <v>3448347.94</v>
      </c>
      <c r="GRE362" s="633">
        <v>3398526.4800000009</v>
      </c>
      <c r="GRF362" s="633">
        <v>2159854.59</v>
      </c>
      <c r="GRG362" s="633">
        <v>3563316.060000001</v>
      </c>
      <c r="GRH362" s="633">
        <v>3305610.92</v>
      </c>
      <c r="GRI362" s="633">
        <v>3255686.1799999992</v>
      </c>
      <c r="GRJ362" s="633">
        <v>3172108.3800000018</v>
      </c>
      <c r="GRK362" s="633">
        <v>3430726.5900000026</v>
      </c>
      <c r="GRL362" s="633">
        <v>3636289.9099999997</v>
      </c>
      <c r="GRM362" s="633">
        <v>3606558.6500000022</v>
      </c>
      <c r="GRN362" s="633">
        <v>3549118.4400000018</v>
      </c>
      <c r="GRO362" s="634">
        <v>39996846</v>
      </c>
      <c r="GRP362" s="633">
        <f>SUM(GRC362:GRN362)</f>
        <v>39996846.150000013</v>
      </c>
      <c r="GRQ362" s="631" t="s">
        <v>1836</v>
      </c>
      <c r="GRR362" s="632" t="s">
        <v>1673</v>
      </c>
      <c r="GRS362" s="633">
        <v>3470702.0100000007</v>
      </c>
      <c r="GRT362" s="633">
        <v>3448347.94</v>
      </c>
      <c r="GRU362" s="633">
        <v>3398526.4800000009</v>
      </c>
      <c r="GRV362" s="633">
        <v>2159854.59</v>
      </c>
      <c r="GRW362" s="633">
        <v>3563316.060000001</v>
      </c>
      <c r="GRX362" s="633">
        <v>3305610.92</v>
      </c>
      <c r="GRY362" s="633">
        <v>3255686.1799999992</v>
      </c>
      <c r="GRZ362" s="633">
        <v>3172108.3800000018</v>
      </c>
      <c r="GSA362" s="633">
        <v>3430726.5900000026</v>
      </c>
      <c r="GSB362" s="633">
        <v>3636289.9099999997</v>
      </c>
      <c r="GSC362" s="633">
        <v>3606558.6500000022</v>
      </c>
      <c r="GSD362" s="633">
        <v>3549118.4400000018</v>
      </c>
      <c r="GSE362" s="634">
        <v>39996846</v>
      </c>
      <c r="GSF362" s="633">
        <f>SUM(GRS362:GSD362)</f>
        <v>39996846.150000013</v>
      </c>
      <c r="GSG362" s="631" t="s">
        <v>1836</v>
      </c>
      <c r="GSH362" s="632" t="s">
        <v>1673</v>
      </c>
      <c r="GSI362" s="633">
        <v>3470702.0100000007</v>
      </c>
      <c r="GSJ362" s="633">
        <v>3448347.94</v>
      </c>
      <c r="GSK362" s="633">
        <v>3398526.4800000009</v>
      </c>
      <c r="GSL362" s="633">
        <v>2159854.59</v>
      </c>
      <c r="GSM362" s="633">
        <v>3563316.060000001</v>
      </c>
      <c r="GSN362" s="633">
        <v>3305610.92</v>
      </c>
      <c r="GSO362" s="633">
        <v>3255686.1799999992</v>
      </c>
      <c r="GSP362" s="633">
        <v>3172108.3800000018</v>
      </c>
      <c r="GSQ362" s="633">
        <v>3430726.5900000026</v>
      </c>
      <c r="GSR362" s="633">
        <v>3636289.9099999997</v>
      </c>
      <c r="GSS362" s="633">
        <v>3606558.6500000022</v>
      </c>
      <c r="GST362" s="633">
        <v>3549118.4400000018</v>
      </c>
      <c r="GSU362" s="634">
        <v>39996846</v>
      </c>
      <c r="GSV362" s="633">
        <f>SUM(GSI362:GST362)</f>
        <v>39996846.150000013</v>
      </c>
      <c r="GSW362" s="631" t="s">
        <v>1836</v>
      </c>
      <c r="GSX362" s="632" t="s">
        <v>1673</v>
      </c>
      <c r="GSY362" s="633">
        <v>3470702.0100000007</v>
      </c>
      <c r="GSZ362" s="633">
        <v>3448347.94</v>
      </c>
      <c r="GTA362" s="633">
        <v>3398526.4800000009</v>
      </c>
      <c r="GTB362" s="633">
        <v>2159854.59</v>
      </c>
      <c r="GTC362" s="633">
        <v>3563316.060000001</v>
      </c>
      <c r="GTD362" s="633">
        <v>3305610.92</v>
      </c>
      <c r="GTE362" s="633">
        <v>3255686.1799999992</v>
      </c>
      <c r="GTF362" s="633">
        <v>3172108.3800000018</v>
      </c>
      <c r="GTG362" s="633">
        <v>3430726.5900000026</v>
      </c>
      <c r="GTH362" s="633">
        <v>3636289.9099999997</v>
      </c>
      <c r="GTI362" s="633">
        <v>3606558.6500000022</v>
      </c>
      <c r="GTJ362" s="633">
        <v>3549118.4400000018</v>
      </c>
      <c r="GTK362" s="634">
        <v>39996846</v>
      </c>
      <c r="GTL362" s="633">
        <f>SUM(GSY362:GTJ362)</f>
        <v>39996846.150000013</v>
      </c>
      <c r="GTM362" s="631" t="s">
        <v>1836</v>
      </c>
      <c r="GTN362" s="632" t="s">
        <v>1673</v>
      </c>
      <c r="GTO362" s="633">
        <v>3470702.0100000007</v>
      </c>
      <c r="GTP362" s="633">
        <v>3448347.94</v>
      </c>
      <c r="GTQ362" s="633">
        <v>3398526.4800000009</v>
      </c>
      <c r="GTR362" s="633">
        <v>2159854.59</v>
      </c>
      <c r="GTS362" s="633">
        <v>3563316.060000001</v>
      </c>
      <c r="GTT362" s="633">
        <v>3305610.92</v>
      </c>
      <c r="GTU362" s="633">
        <v>3255686.1799999992</v>
      </c>
      <c r="GTV362" s="633">
        <v>3172108.3800000018</v>
      </c>
      <c r="GTW362" s="633">
        <v>3430726.5900000026</v>
      </c>
      <c r="GTX362" s="633">
        <v>3636289.9099999997</v>
      </c>
      <c r="GTY362" s="633">
        <v>3606558.6500000022</v>
      </c>
      <c r="GTZ362" s="633">
        <v>3549118.4400000018</v>
      </c>
      <c r="GUA362" s="634">
        <v>39996846</v>
      </c>
      <c r="GUB362" s="633">
        <f>SUM(GTO362:GTZ362)</f>
        <v>39996846.150000013</v>
      </c>
      <c r="GUC362" s="631" t="s">
        <v>1836</v>
      </c>
      <c r="GUD362" s="632" t="s">
        <v>1673</v>
      </c>
      <c r="GUE362" s="633">
        <v>3470702.0100000007</v>
      </c>
      <c r="GUF362" s="633">
        <v>3448347.94</v>
      </c>
      <c r="GUG362" s="633">
        <v>3398526.4800000009</v>
      </c>
      <c r="GUH362" s="633">
        <v>2159854.59</v>
      </c>
      <c r="GUI362" s="633">
        <v>3563316.060000001</v>
      </c>
      <c r="GUJ362" s="633">
        <v>3305610.92</v>
      </c>
      <c r="GUK362" s="633">
        <v>3255686.1799999992</v>
      </c>
      <c r="GUL362" s="633">
        <v>3172108.3800000018</v>
      </c>
      <c r="GUM362" s="633">
        <v>3430726.5900000026</v>
      </c>
      <c r="GUN362" s="633">
        <v>3636289.9099999997</v>
      </c>
      <c r="GUO362" s="633">
        <v>3606558.6500000022</v>
      </c>
      <c r="GUP362" s="633">
        <v>3549118.4400000018</v>
      </c>
      <c r="GUQ362" s="634">
        <v>39996846</v>
      </c>
      <c r="GUR362" s="633">
        <f>SUM(GUE362:GUP362)</f>
        <v>39996846.150000013</v>
      </c>
      <c r="GUS362" s="631" t="s">
        <v>1836</v>
      </c>
      <c r="GUT362" s="632" t="s">
        <v>1673</v>
      </c>
      <c r="GUU362" s="633">
        <v>3470702.0100000007</v>
      </c>
      <c r="GUV362" s="633">
        <v>3448347.94</v>
      </c>
      <c r="GUW362" s="633">
        <v>3398526.4800000009</v>
      </c>
      <c r="GUX362" s="633">
        <v>2159854.59</v>
      </c>
      <c r="GUY362" s="633">
        <v>3563316.060000001</v>
      </c>
      <c r="GUZ362" s="633">
        <v>3305610.92</v>
      </c>
      <c r="GVA362" s="633">
        <v>3255686.1799999992</v>
      </c>
      <c r="GVB362" s="633">
        <v>3172108.3800000018</v>
      </c>
      <c r="GVC362" s="633">
        <v>3430726.5900000026</v>
      </c>
      <c r="GVD362" s="633">
        <v>3636289.9099999997</v>
      </c>
      <c r="GVE362" s="633">
        <v>3606558.6500000022</v>
      </c>
      <c r="GVF362" s="633">
        <v>3549118.4400000018</v>
      </c>
      <c r="GVG362" s="634">
        <v>39996846</v>
      </c>
      <c r="GVH362" s="633">
        <f>SUM(GUU362:GVF362)</f>
        <v>39996846.150000013</v>
      </c>
      <c r="GVI362" s="631" t="s">
        <v>1836</v>
      </c>
      <c r="GVJ362" s="632" t="s">
        <v>1673</v>
      </c>
      <c r="GVK362" s="633">
        <v>3470702.0100000007</v>
      </c>
      <c r="GVL362" s="633">
        <v>3448347.94</v>
      </c>
      <c r="GVM362" s="633">
        <v>3398526.4800000009</v>
      </c>
      <c r="GVN362" s="633">
        <v>2159854.59</v>
      </c>
      <c r="GVO362" s="633">
        <v>3563316.060000001</v>
      </c>
      <c r="GVP362" s="633">
        <v>3305610.92</v>
      </c>
      <c r="GVQ362" s="633">
        <v>3255686.1799999992</v>
      </c>
      <c r="GVR362" s="633">
        <v>3172108.3800000018</v>
      </c>
      <c r="GVS362" s="633">
        <v>3430726.5900000026</v>
      </c>
      <c r="GVT362" s="633">
        <v>3636289.9099999997</v>
      </c>
      <c r="GVU362" s="633">
        <v>3606558.6500000022</v>
      </c>
      <c r="GVV362" s="633">
        <v>3549118.4400000018</v>
      </c>
      <c r="GVW362" s="634">
        <v>39996846</v>
      </c>
      <c r="GVX362" s="633">
        <f>SUM(GVK362:GVV362)</f>
        <v>39996846.150000013</v>
      </c>
      <c r="GVY362" s="631" t="s">
        <v>1836</v>
      </c>
      <c r="GVZ362" s="632" t="s">
        <v>1673</v>
      </c>
      <c r="GWA362" s="633">
        <v>3470702.0100000007</v>
      </c>
      <c r="GWB362" s="633">
        <v>3448347.94</v>
      </c>
      <c r="GWC362" s="633">
        <v>3398526.4800000009</v>
      </c>
      <c r="GWD362" s="633">
        <v>2159854.59</v>
      </c>
      <c r="GWE362" s="633">
        <v>3563316.060000001</v>
      </c>
      <c r="GWF362" s="633">
        <v>3305610.92</v>
      </c>
      <c r="GWG362" s="633">
        <v>3255686.1799999992</v>
      </c>
      <c r="GWH362" s="633">
        <v>3172108.3800000018</v>
      </c>
      <c r="GWI362" s="633">
        <v>3430726.5900000026</v>
      </c>
      <c r="GWJ362" s="633">
        <v>3636289.9099999997</v>
      </c>
      <c r="GWK362" s="633">
        <v>3606558.6500000022</v>
      </c>
      <c r="GWL362" s="633">
        <v>3549118.4400000018</v>
      </c>
      <c r="GWM362" s="634">
        <v>39996846</v>
      </c>
      <c r="GWN362" s="633">
        <f>SUM(GWA362:GWL362)</f>
        <v>39996846.150000013</v>
      </c>
      <c r="GWO362" s="631" t="s">
        <v>1836</v>
      </c>
      <c r="GWP362" s="632" t="s">
        <v>1673</v>
      </c>
      <c r="GWQ362" s="633">
        <v>3470702.0100000007</v>
      </c>
      <c r="GWR362" s="633">
        <v>3448347.94</v>
      </c>
      <c r="GWS362" s="633">
        <v>3398526.4800000009</v>
      </c>
      <c r="GWT362" s="633">
        <v>2159854.59</v>
      </c>
      <c r="GWU362" s="633">
        <v>3563316.060000001</v>
      </c>
      <c r="GWV362" s="633">
        <v>3305610.92</v>
      </c>
      <c r="GWW362" s="633">
        <v>3255686.1799999992</v>
      </c>
      <c r="GWX362" s="633">
        <v>3172108.3800000018</v>
      </c>
      <c r="GWY362" s="633">
        <v>3430726.5900000026</v>
      </c>
      <c r="GWZ362" s="633">
        <v>3636289.9099999997</v>
      </c>
      <c r="GXA362" s="633">
        <v>3606558.6500000022</v>
      </c>
      <c r="GXB362" s="633">
        <v>3549118.4400000018</v>
      </c>
      <c r="GXC362" s="634">
        <v>39996846</v>
      </c>
      <c r="GXD362" s="633">
        <f>SUM(GWQ362:GXB362)</f>
        <v>39996846.150000013</v>
      </c>
      <c r="GXE362" s="631" t="s">
        <v>1836</v>
      </c>
      <c r="GXF362" s="632" t="s">
        <v>1673</v>
      </c>
      <c r="GXG362" s="633">
        <v>3470702.0100000007</v>
      </c>
      <c r="GXH362" s="633">
        <v>3448347.94</v>
      </c>
      <c r="GXI362" s="633">
        <v>3398526.4800000009</v>
      </c>
      <c r="GXJ362" s="633">
        <v>2159854.59</v>
      </c>
      <c r="GXK362" s="633">
        <v>3563316.060000001</v>
      </c>
      <c r="GXL362" s="633">
        <v>3305610.92</v>
      </c>
      <c r="GXM362" s="633">
        <v>3255686.1799999992</v>
      </c>
      <c r="GXN362" s="633">
        <v>3172108.3800000018</v>
      </c>
      <c r="GXO362" s="633">
        <v>3430726.5900000026</v>
      </c>
      <c r="GXP362" s="633">
        <v>3636289.9099999997</v>
      </c>
      <c r="GXQ362" s="633">
        <v>3606558.6500000022</v>
      </c>
      <c r="GXR362" s="633">
        <v>3549118.4400000018</v>
      </c>
      <c r="GXS362" s="634">
        <v>39996846</v>
      </c>
      <c r="GXT362" s="633">
        <f>SUM(GXG362:GXR362)</f>
        <v>39996846.150000013</v>
      </c>
      <c r="GXU362" s="631" t="s">
        <v>1836</v>
      </c>
      <c r="GXV362" s="632" t="s">
        <v>1673</v>
      </c>
      <c r="GXW362" s="633">
        <v>3470702.0100000007</v>
      </c>
      <c r="GXX362" s="633">
        <v>3448347.94</v>
      </c>
      <c r="GXY362" s="633">
        <v>3398526.4800000009</v>
      </c>
      <c r="GXZ362" s="633">
        <v>2159854.59</v>
      </c>
      <c r="GYA362" s="633">
        <v>3563316.060000001</v>
      </c>
      <c r="GYB362" s="633">
        <v>3305610.92</v>
      </c>
      <c r="GYC362" s="633">
        <v>3255686.1799999992</v>
      </c>
      <c r="GYD362" s="633">
        <v>3172108.3800000018</v>
      </c>
      <c r="GYE362" s="633">
        <v>3430726.5900000026</v>
      </c>
      <c r="GYF362" s="633">
        <v>3636289.9099999997</v>
      </c>
      <c r="GYG362" s="633">
        <v>3606558.6500000022</v>
      </c>
      <c r="GYH362" s="633">
        <v>3549118.4400000018</v>
      </c>
      <c r="GYI362" s="634">
        <v>39996846</v>
      </c>
      <c r="GYJ362" s="633">
        <f>SUM(GXW362:GYH362)</f>
        <v>39996846.150000013</v>
      </c>
      <c r="GYK362" s="631" t="s">
        <v>1836</v>
      </c>
      <c r="GYL362" s="632" t="s">
        <v>1673</v>
      </c>
      <c r="GYM362" s="633">
        <v>3470702.0100000007</v>
      </c>
      <c r="GYN362" s="633">
        <v>3448347.94</v>
      </c>
      <c r="GYO362" s="633">
        <v>3398526.4800000009</v>
      </c>
      <c r="GYP362" s="633">
        <v>2159854.59</v>
      </c>
      <c r="GYQ362" s="633">
        <v>3563316.060000001</v>
      </c>
      <c r="GYR362" s="633">
        <v>3305610.92</v>
      </c>
      <c r="GYS362" s="633">
        <v>3255686.1799999992</v>
      </c>
      <c r="GYT362" s="633">
        <v>3172108.3800000018</v>
      </c>
      <c r="GYU362" s="633">
        <v>3430726.5900000026</v>
      </c>
      <c r="GYV362" s="633">
        <v>3636289.9099999997</v>
      </c>
      <c r="GYW362" s="633">
        <v>3606558.6500000022</v>
      </c>
      <c r="GYX362" s="633">
        <v>3549118.4400000018</v>
      </c>
      <c r="GYY362" s="634">
        <v>39996846</v>
      </c>
      <c r="GYZ362" s="633">
        <f>SUM(GYM362:GYX362)</f>
        <v>39996846.150000013</v>
      </c>
      <c r="GZA362" s="631" t="s">
        <v>1836</v>
      </c>
      <c r="GZB362" s="632" t="s">
        <v>1673</v>
      </c>
      <c r="GZC362" s="633">
        <v>3470702.0100000007</v>
      </c>
      <c r="GZD362" s="633">
        <v>3448347.94</v>
      </c>
      <c r="GZE362" s="633">
        <v>3398526.4800000009</v>
      </c>
      <c r="GZF362" s="633">
        <v>2159854.59</v>
      </c>
      <c r="GZG362" s="633">
        <v>3563316.060000001</v>
      </c>
      <c r="GZH362" s="633">
        <v>3305610.92</v>
      </c>
      <c r="GZI362" s="633">
        <v>3255686.1799999992</v>
      </c>
      <c r="GZJ362" s="633">
        <v>3172108.3800000018</v>
      </c>
      <c r="GZK362" s="633">
        <v>3430726.5900000026</v>
      </c>
      <c r="GZL362" s="633">
        <v>3636289.9099999997</v>
      </c>
      <c r="GZM362" s="633">
        <v>3606558.6500000022</v>
      </c>
      <c r="GZN362" s="633">
        <v>3549118.4400000018</v>
      </c>
      <c r="GZO362" s="634">
        <v>39996846</v>
      </c>
      <c r="GZP362" s="633">
        <f>SUM(GZC362:GZN362)</f>
        <v>39996846.150000013</v>
      </c>
      <c r="GZQ362" s="631" t="s">
        <v>1836</v>
      </c>
      <c r="GZR362" s="632" t="s">
        <v>1673</v>
      </c>
      <c r="GZS362" s="633">
        <v>3470702.0100000007</v>
      </c>
      <c r="GZT362" s="633">
        <v>3448347.94</v>
      </c>
      <c r="GZU362" s="633">
        <v>3398526.4800000009</v>
      </c>
      <c r="GZV362" s="633">
        <v>2159854.59</v>
      </c>
      <c r="GZW362" s="633">
        <v>3563316.060000001</v>
      </c>
      <c r="GZX362" s="633">
        <v>3305610.92</v>
      </c>
      <c r="GZY362" s="633">
        <v>3255686.1799999992</v>
      </c>
      <c r="GZZ362" s="633">
        <v>3172108.3800000018</v>
      </c>
      <c r="HAA362" s="633">
        <v>3430726.5900000026</v>
      </c>
      <c r="HAB362" s="633">
        <v>3636289.9099999997</v>
      </c>
      <c r="HAC362" s="633">
        <v>3606558.6500000022</v>
      </c>
      <c r="HAD362" s="633">
        <v>3549118.4400000018</v>
      </c>
      <c r="HAE362" s="634">
        <v>39996846</v>
      </c>
      <c r="HAF362" s="633">
        <f>SUM(GZS362:HAD362)</f>
        <v>39996846.150000013</v>
      </c>
      <c r="HAG362" s="631" t="s">
        <v>1836</v>
      </c>
      <c r="HAH362" s="632" t="s">
        <v>1673</v>
      </c>
      <c r="HAI362" s="633">
        <v>3470702.0100000007</v>
      </c>
      <c r="HAJ362" s="633">
        <v>3448347.94</v>
      </c>
      <c r="HAK362" s="633">
        <v>3398526.4800000009</v>
      </c>
      <c r="HAL362" s="633">
        <v>2159854.59</v>
      </c>
      <c r="HAM362" s="633">
        <v>3563316.060000001</v>
      </c>
      <c r="HAN362" s="633">
        <v>3305610.92</v>
      </c>
      <c r="HAO362" s="633">
        <v>3255686.1799999992</v>
      </c>
      <c r="HAP362" s="633">
        <v>3172108.3800000018</v>
      </c>
      <c r="HAQ362" s="633">
        <v>3430726.5900000026</v>
      </c>
      <c r="HAR362" s="633">
        <v>3636289.9099999997</v>
      </c>
      <c r="HAS362" s="633">
        <v>3606558.6500000022</v>
      </c>
      <c r="HAT362" s="633">
        <v>3549118.4400000018</v>
      </c>
      <c r="HAU362" s="634">
        <v>39996846</v>
      </c>
      <c r="HAV362" s="633">
        <f>SUM(HAI362:HAT362)</f>
        <v>39996846.150000013</v>
      </c>
      <c r="HAW362" s="631" t="s">
        <v>1836</v>
      </c>
      <c r="HAX362" s="632" t="s">
        <v>1673</v>
      </c>
      <c r="HAY362" s="633">
        <v>3470702.0100000007</v>
      </c>
      <c r="HAZ362" s="633">
        <v>3448347.94</v>
      </c>
      <c r="HBA362" s="633">
        <v>3398526.4800000009</v>
      </c>
      <c r="HBB362" s="633">
        <v>2159854.59</v>
      </c>
      <c r="HBC362" s="633">
        <v>3563316.060000001</v>
      </c>
      <c r="HBD362" s="633">
        <v>3305610.92</v>
      </c>
      <c r="HBE362" s="633">
        <v>3255686.1799999992</v>
      </c>
      <c r="HBF362" s="633">
        <v>3172108.3800000018</v>
      </c>
      <c r="HBG362" s="633">
        <v>3430726.5900000026</v>
      </c>
      <c r="HBH362" s="633">
        <v>3636289.9099999997</v>
      </c>
      <c r="HBI362" s="633">
        <v>3606558.6500000022</v>
      </c>
      <c r="HBJ362" s="633">
        <v>3549118.4400000018</v>
      </c>
      <c r="HBK362" s="634">
        <v>39996846</v>
      </c>
      <c r="HBL362" s="633">
        <f>SUM(HAY362:HBJ362)</f>
        <v>39996846.150000013</v>
      </c>
      <c r="HBM362" s="631" t="s">
        <v>1836</v>
      </c>
      <c r="HBN362" s="632" t="s">
        <v>1673</v>
      </c>
      <c r="HBO362" s="633">
        <v>3470702.0100000007</v>
      </c>
      <c r="HBP362" s="633">
        <v>3448347.94</v>
      </c>
      <c r="HBQ362" s="633">
        <v>3398526.4800000009</v>
      </c>
      <c r="HBR362" s="633">
        <v>2159854.59</v>
      </c>
      <c r="HBS362" s="633">
        <v>3563316.060000001</v>
      </c>
      <c r="HBT362" s="633">
        <v>3305610.92</v>
      </c>
      <c r="HBU362" s="633">
        <v>3255686.1799999992</v>
      </c>
      <c r="HBV362" s="633">
        <v>3172108.3800000018</v>
      </c>
      <c r="HBW362" s="633">
        <v>3430726.5900000026</v>
      </c>
      <c r="HBX362" s="633">
        <v>3636289.9099999997</v>
      </c>
      <c r="HBY362" s="633">
        <v>3606558.6500000022</v>
      </c>
      <c r="HBZ362" s="633">
        <v>3549118.4400000018</v>
      </c>
      <c r="HCA362" s="634">
        <v>39996846</v>
      </c>
      <c r="HCB362" s="633">
        <f>SUM(HBO362:HBZ362)</f>
        <v>39996846.150000013</v>
      </c>
      <c r="HCC362" s="631" t="s">
        <v>1836</v>
      </c>
      <c r="HCD362" s="632" t="s">
        <v>1673</v>
      </c>
      <c r="HCE362" s="633">
        <v>3470702.0100000007</v>
      </c>
      <c r="HCF362" s="633">
        <v>3448347.94</v>
      </c>
      <c r="HCG362" s="633">
        <v>3398526.4800000009</v>
      </c>
      <c r="HCH362" s="633">
        <v>2159854.59</v>
      </c>
      <c r="HCI362" s="633">
        <v>3563316.060000001</v>
      </c>
      <c r="HCJ362" s="633">
        <v>3305610.92</v>
      </c>
      <c r="HCK362" s="633">
        <v>3255686.1799999992</v>
      </c>
      <c r="HCL362" s="633">
        <v>3172108.3800000018</v>
      </c>
      <c r="HCM362" s="633">
        <v>3430726.5900000026</v>
      </c>
      <c r="HCN362" s="633">
        <v>3636289.9099999997</v>
      </c>
      <c r="HCO362" s="633">
        <v>3606558.6500000022</v>
      </c>
      <c r="HCP362" s="633">
        <v>3549118.4400000018</v>
      </c>
      <c r="HCQ362" s="634">
        <v>39996846</v>
      </c>
      <c r="HCR362" s="633">
        <f>SUM(HCE362:HCP362)</f>
        <v>39996846.150000013</v>
      </c>
      <c r="HCS362" s="631" t="s">
        <v>1836</v>
      </c>
      <c r="HCT362" s="632" t="s">
        <v>1673</v>
      </c>
      <c r="HCU362" s="633">
        <v>3470702.0100000007</v>
      </c>
      <c r="HCV362" s="633">
        <v>3448347.94</v>
      </c>
      <c r="HCW362" s="633">
        <v>3398526.4800000009</v>
      </c>
      <c r="HCX362" s="633">
        <v>2159854.59</v>
      </c>
      <c r="HCY362" s="633">
        <v>3563316.060000001</v>
      </c>
      <c r="HCZ362" s="633">
        <v>3305610.92</v>
      </c>
      <c r="HDA362" s="633">
        <v>3255686.1799999992</v>
      </c>
      <c r="HDB362" s="633">
        <v>3172108.3800000018</v>
      </c>
      <c r="HDC362" s="633">
        <v>3430726.5900000026</v>
      </c>
      <c r="HDD362" s="633">
        <v>3636289.9099999997</v>
      </c>
      <c r="HDE362" s="633">
        <v>3606558.6500000022</v>
      </c>
      <c r="HDF362" s="633">
        <v>3549118.4400000018</v>
      </c>
      <c r="HDG362" s="634">
        <v>39996846</v>
      </c>
      <c r="HDH362" s="633">
        <f>SUM(HCU362:HDF362)</f>
        <v>39996846.150000013</v>
      </c>
      <c r="HDI362" s="631" t="s">
        <v>1836</v>
      </c>
      <c r="HDJ362" s="632" t="s">
        <v>1673</v>
      </c>
      <c r="HDK362" s="633">
        <v>3470702.0100000007</v>
      </c>
      <c r="HDL362" s="633">
        <v>3448347.94</v>
      </c>
      <c r="HDM362" s="633">
        <v>3398526.4800000009</v>
      </c>
      <c r="HDN362" s="633">
        <v>2159854.59</v>
      </c>
      <c r="HDO362" s="633">
        <v>3563316.060000001</v>
      </c>
      <c r="HDP362" s="633">
        <v>3305610.92</v>
      </c>
      <c r="HDQ362" s="633">
        <v>3255686.1799999992</v>
      </c>
      <c r="HDR362" s="633">
        <v>3172108.3800000018</v>
      </c>
      <c r="HDS362" s="633">
        <v>3430726.5900000026</v>
      </c>
      <c r="HDT362" s="633">
        <v>3636289.9099999997</v>
      </c>
      <c r="HDU362" s="633">
        <v>3606558.6500000022</v>
      </c>
      <c r="HDV362" s="633">
        <v>3549118.4400000018</v>
      </c>
      <c r="HDW362" s="634">
        <v>39996846</v>
      </c>
      <c r="HDX362" s="633">
        <f>SUM(HDK362:HDV362)</f>
        <v>39996846.150000013</v>
      </c>
      <c r="HDY362" s="631" t="s">
        <v>1836</v>
      </c>
      <c r="HDZ362" s="632" t="s">
        <v>1673</v>
      </c>
      <c r="HEA362" s="633">
        <v>3470702.0100000007</v>
      </c>
      <c r="HEB362" s="633">
        <v>3448347.94</v>
      </c>
      <c r="HEC362" s="633">
        <v>3398526.4800000009</v>
      </c>
      <c r="HED362" s="633">
        <v>2159854.59</v>
      </c>
      <c r="HEE362" s="633">
        <v>3563316.060000001</v>
      </c>
      <c r="HEF362" s="633">
        <v>3305610.92</v>
      </c>
      <c r="HEG362" s="633">
        <v>3255686.1799999992</v>
      </c>
      <c r="HEH362" s="633">
        <v>3172108.3800000018</v>
      </c>
      <c r="HEI362" s="633">
        <v>3430726.5900000026</v>
      </c>
      <c r="HEJ362" s="633">
        <v>3636289.9099999997</v>
      </c>
      <c r="HEK362" s="633">
        <v>3606558.6500000022</v>
      </c>
      <c r="HEL362" s="633">
        <v>3549118.4400000018</v>
      </c>
      <c r="HEM362" s="634">
        <v>39996846</v>
      </c>
      <c r="HEN362" s="633">
        <f>SUM(HEA362:HEL362)</f>
        <v>39996846.150000013</v>
      </c>
      <c r="HEO362" s="631" t="s">
        <v>1836</v>
      </c>
      <c r="HEP362" s="632" t="s">
        <v>1673</v>
      </c>
      <c r="HEQ362" s="633">
        <v>3470702.0100000007</v>
      </c>
      <c r="HER362" s="633">
        <v>3448347.94</v>
      </c>
      <c r="HES362" s="633">
        <v>3398526.4800000009</v>
      </c>
      <c r="HET362" s="633">
        <v>2159854.59</v>
      </c>
      <c r="HEU362" s="633">
        <v>3563316.060000001</v>
      </c>
      <c r="HEV362" s="633">
        <v>3305610.92</v>
      </c>
      <c r="HEW362" s="633">
        <v>3255686.1799999992</v>
      </c>
      <c r="HEX362" s="633">
        <v>3172108.3800000018</v>
      </c>
      <c r="HEY362" s="633">
        <v>3430726.5900000026</v>
      </c>
      <c r="HEZ362" s="633">
        <v>3636289.9099999997</v>
      </c>
      <c r="HFA362" s="633">
        <v>3606558.6500000022</v>
      </c>
      <c r="HFB362" s="633">
        <v>3549118.4400000018</v>
      </c>
      <c r="HFC362" s="634">
        <v>39996846</v>
      </c>
      <c r="HFD362" s="633">
        <f>SUM(HEQ362:HFB362)</f>
        <v>39996846.150000013</v>
      </c>
      <c r="HFE362" s="631" t="s">
        <v>1836</v>
      </c>
      <c r="HFF362" s="632" t="s">
        <v>1673</v>
      </c>
      <c r="HFG362" s="633">
        <v>3470702.0100000007</v>
      </c>
      <c r="HFH362" s="633">
        <v>3448347.94</v>
      </c>
      <c r="HFI362" s="633">
        <v>3398526.4800000009</v>
      </c>
      <c r="HFJ362" s="633">
        <v>2159854.59</v>
      </c>
      <c r="HFK362" s="633">
        <v>3563316.060000001</v>
      </c>
      <c r="HFL362" s="633">
        <v>3305610.92</v>
      </c>
      <c r="HFM362" s="633">
        <v>3255686.1799999992</v>
      </c>
      <c r="HFN362" s="633">
        <v>3172108.3800000018</v>
      </c>
      <c r="HFO362" s="633">
        <v>3430726.5900000026</v>
      </c>
      <c r="HFP362" s="633">
        <v>3636289.9099999997</v>
      </c>
      <c r="HFQ362" s="633">
        <v>3606558.6500000022</v>
      </c>
      <c r="HFR362" s="633">
        <v>3549118.4400000018</v>
      </c>
      <c r="HFS362" s="634">
        <v>39996846</v>
      </c>
      <c r="HFT362" s="633">
        <f>SUM(HFG362:HFR362)</f>
        <v>39996846.150000013</v>
      </c>
      <c r="HFU362" s="631" t="s">
        <v>1836</v>
      </c>
      <c r="HFV362" s="632" t="s">
        <v>1673</v>
      </c>
      <c r="HFW362" s="633">
        <v>3470702.0100000007</v>
      </c>
      <c r="HFX362" s="633">
        <v>3448347.94</v>
      </c>
      <c r="HFY362" s="633">
        <v>3398526.4800000009</v>
      </c>
      <c r="HFZ362" s="633">
        <v>2159854.59</v>
      </c>
      <c r="HGA362" s="633">
        <v>3563316.060000001</v>
      </c>
      <c r="HGB362" s="633">
        <v>3305610.92</v>
      </c>
      <c r="HGC362" s="633">
        <v>3255686.1799999992</v>
      </c>
      <c r="HGD362" s="633">
        <v>3172108.3800000018</v>
      </c>
      <c r="HGE362" s="633">
        <v>3430726.5900000026</v>
      </c>
      <c r="HGF362" s="633">
        <v>3636289.9099999997</v>
      </c>
      <c r="HGG362" s="633">
        <v>3606558.6500000022</v>
      </c>
      <c r="HGH362" s="633">
        <v>3549118.4400000018</v>
      </c>
      <c r="HGI362" s="634">
        <v>39996846</v>
      </c>
      <c r="HGJ362" s="633">
        <f>SUM(HFW362:HGH362)</f>
        <v>39996846.150000013</v>
      </c>
      <c r="HGK362" s="631" t="s">
        <v>1836</v>
      </c>
      <c r="HGL362" s="632" t="s">
        <v>1673</v>
      </c>
      <c r="HGM362" s="633">
        <v>3470702.0100000007</v>
      </c>
      <c r="HGN362" s="633">
        <v>3448347.94</v>
      </c>
      <c r="HGO362" s="633">
        <v>3398526.4800000009</v>
      </c>
      <c r="HGP362" s="633">
        <v>2159854.59</v>
      </c>
      <c r="HGQ362" s="633">
        <v>3563316.060000001</v>
      </c>
      <c r="HGR362" s="633">
        <v>3305610.92</v>
      </c>
      <c r="HGS362" s="633">
        <v>3255686.1799999992</v>
      </c>
      <c r="HGT362" s="633">
        <v>3172108.3800000018</v>
      </c>
      <c r="HGU362" s="633">
        <v>3430726.5900000026</v>
      </c>
      <c r="HGV362" s="633">
        <v>3636289.9099999997</v>
      </c>
      <c r="HGW362" s="633">
        <v>3606558.6500000022</v>
      </c>
      <c r="HGX362" s="633">
        <v>3549118.4400000018</v>
      </c>
      <c r="HGY362" s="634">
        <v>39996846</v>
      </c>
      <c r="HGZ362" s="633">
        <f>SUM(HGM362:HGX362)</f>
        <v>39996846.150000013</v>
      </c>
      <c r="HHA362" s="631" t="s">
        <v>1836</v>
      </c>
      <c r="HHB362" s="632" t="s">
        <v>1673</v>
      </c>
      <c r="HHC362" s="633">
        <v>3470702.0100000007</v>
      </c>
      <c r="HHD362" s="633">
        <v>3448347.94</v>
      </c>
      <c r="HHE362" s="633">
        <v>3398526.4800000009</v>
      </c>
      <c r="HHF362" s="633">
        <v>2159854.59</v>
      </c>
      <c r="HHG362" s="633">
        <v>3563316.060000001</v>
      </c>
      <c r="HHH362" s="633">
        <v>3305610.92</v>
      </c>
      <c r="HHI362" s="633">
        <v>3255686.1799999992</v>
      </c>
      <c r="HHJ362" s="633">
        <v>3172108.3800000018</v>
      </c>
      <c r="HHK362" s="633">
        <v>3430726.5900000026</v>
      </c>
      <c r="HHL362" s="633">
        <v>3636289.9099999997</v>
      </c>
      <c r="HHM362" s="633">
        <v>3606558.6500000022</v>
      </c>
      <c r="HHN362" s="633">
        <v>3549118.4400000018</v>
      </c>
      <c r="HHO362" s="634">
        <v>39996846</v>
      </c>
      <c r="HHP362" s="633">
        <f>SUM(HHC362:HHN362)</f>
        <v>39996846.150000013</v>
      </c>
      <c r="HHQ362" s="631" t="s">
        <v>1836</v>
      </c>
      <c r="HHR362" s="632" t="s">
        <v>1673</v>
      </c>
      <c r="HHS362" s="633">
        <v>3470702.0100000007</v>
      </c>
      <c r="HHT362" s="633">
        <v>3448347.94</v>
      </c>
      <c r="HHU362" s="633">
        <v>3398526.4800000009</v>
      </c>
      <c r="HHV362" s="633">
        <v>2159854.59</v>
      </c>
      <c r="HHW362" s="633">
        <v>3563316.060000001</v>
      </c>
      <c r="HHX362" s="633">
        <v>3305610.92</v>
      </c>
      <c r="HHY362" s="633">
        <v>3255686.1799999992</v>
      </c>
      <c r="HHZ362" s="633">
        <v>3172108.3800000018</v>
      </c>
      <c r="HIA362" s="633">
        <v>3430726.5900000026</v>
      </c>
      <c r="HIB362" s="633">
        <v>3636289.9099999997</v>
      </c>
      <c r="HIC362" s="633">
        <v>3606558.6500000022</v>
      </c>
      <c r="HID362" s="633">
        <v>3549118.4400000018</v>
      </c>
      <c r="HIE362" s="634">
        <v>39996846</v>
      </c>
      <c r="HIF362" s="633">
        <f>SUM(HHS362:HID362)</f>
        <v>39996846.150000013</v>
      </c>
      <c r="HIG362" s="631" t="s">
        <v>1836</v>
      </c>
      <c r="HIH362" s="632" t="s">
        <v>1673</v>
      </c>
      <c r="HII362" s="633">
        <v>3470702.0100000007</v>
      </c>
      <c r="HIJ362" s="633">
        <v>3448347.94</v>
      </c>
      <c r="HIK362" s="633">
        <v>3398526.4800000009</v>
      </c>
      <c r="HIL362" s="633">
        <v>2159854.59</v>
      </c>
      <c r="HIM362" s="633">
        <v>3563316.060000001</v>
      </c>
      <c r="HIN362" s="633">
        <v>3305610.92</v>
      </c>
      <c r="HIO362" s="633">
        <v>3255686.1799999992</v>
      </c>
      <c r="HIP362" s="633">
        <v>3172108.3800000018</v>
      </c>
      <c r="HIQ362" s="633">
        <v>3430726.5900000026</v>
      </c>
      <c r="HIR362" s="633">
        <v>3636289.9099999997</v>
      </c>
      <c r="HIS362" s="633">
        <v>3606558.6500000022</v>
      </c>
      <c r="HIT362" s="633">
        <v>3549118.4400000018</v>
      </c>
      <c r="HIU362" s="634">
        <v>39996846</v>
      </c>
      <c r="HIV362" s="633">
        <f>SUM(HII362:HIT362)</f>
        <v>39996846.150000013</v>
      </c>
      <c r="HIW362" s="631" t="s">
        <v>1836</v>
      </c>
      <c r="HIX362" s="632" t="s">
        <v>1673</v>
      </c>
      <c r="HIY362" s="633">
        <v>3470702.0100000007</v>
      </c>
      <c r="HIZ362" s="633">
        <v>3448347.94</v>
      </c>
      <c r="HJA362" s="633">
        <v>3398526.4800000009</v>
      </c>
      <c r="HJB362" s="633">
        <v>2159854.59</v>
      </c>
      <c r="HJC362" s="633">
        <v>3563316.060000001</v>
      </c>
      <c r="HJD362" s="633">
        <v>3305610.92</v>
      </c>
      <c r="HJE362" s="633">
        <v>3255686.1799999992</v>
      </c>
      <c r="HJF362" s="633">
        <v>3172108.3800000018</v>
      </c>
      <c r="HJG362" s="633">
        <v>3430726.5900000026</v>
      </c>
      <c r="HJH362" s="633">
        <v>3636289.9099999997</v>
      </c>
      <c r="HJI362" s="633">
        <v>3606558.6500000022</v>
      </c>
      <c r="HJJ362" s="633">
        <v>3549118.4400000018</v>
      </c>
      <c r="HJK362" s="634">
        <v>39996846</v>
      </c>
      <c r="HJL362" s="633">
        <f>SUM(HIY362:HJJ362)</f>
        <v>39996846.150000013</v>
      </c>
      <c r="HJM362" s="631" t="s">
        <v>1836</v>
      </c>
      <c r="HJN362" s="632" t="s">
        <v>1673</v>
      </c>
      <c r="HJO362" s="633">
        <v>3470702.0100000007</v>
      </c>
      <c r="HJP362" s="633">
        <v>3448347.94</v>
      </c>
      <c r="HJQ362" s="633">
        <v>3398526.4800000009</v>
      </c>
      <c r="HJR362" s="633">
        <v>2159854.59</v>
      </c>
      <c r="HJS362" s="633">
        <v>3563316.060000001</v>
      </c>
      <c r="HJT362" s="633">
        <v>3305610.92</v>
      </c>
      <c r="HJU362" s="633">
        <v>3255686.1799999992</v>
      </c>
      <c r="HJV362" s="633">
        <v>3172108.3800000018</v>
      </c>
      <c r="HJW362" s="633">
        <v>3430726.5900000026</v>
      </c>
      <c r="HJX362" s="633">
        <v>3636289.9099999997</v>
      </c>
      <c r="HJY362" s="633">
        <v>3606558.6500000022</v>
      </c>
      <c r="HJZ362" s="633">
        <v>3549118.4400000018</v>
      </c>
      <c r="HKA362" s="634">
        <v>39996846</v>
      </c>
      <c r="HKB362" s="633">
        <f>SUM(HJO362:HJZ362)</f>
        <v>39996846.150000013</v>
      </c>
      <c r="HKC362" s="631" t="s">
        <v>1836</v>
      </c>
      <c r="HKD362" s="632" t="s">
        <v>1673</v>
      </c>
      <c r="HKE362" s="633">
        <v>3470702.0100000007</v>
      </c>
      <c r="HKF362" s="633">
        <v>3448347.94</v>
      </c>
      <c r="HKG362" s="633">
        <v>3398526.4800000009</v>
      </c>
      <c r="HKH362" s="633">
        <v>2159854.59</v>
      </c>
      <c r="HKI362" s="633">
        <v>3563316.060000001</v>
      </c>
      <c r="HKJ362" s="633">
        <v>3305610.92</v>
      </c>
      <c r="HKK362" s="633">
        <v>3255686.1799999992</v>
      </c>
      <c r="HKL362" s="633">
        <v>3172108.3800000018</v>
      </c>
      <c r="HKM362" s="633">
        <v>3430726.5900000026</v>
      </c>
      <c r="HKN362" s="633">
        <v>3636289.9099999997</v>
      </c>
      <c r="HKO362" s="633">
        <v>3606558.6500000022</v>
      </c>
      <c r="HKP362" s="633">
        <v>3549118.4400000018</v>
      </c>
      <c r="HKQ362" s="634">
        <v>39996846</v>
      </c>
      <c r="HKR362" s="633">
        <f>SUM(HKE362:HKP362)</f>
        <v>39996846.150000013</v>
      </c>
      <c r="HKS362" s="631" t="s">
        <v>1836</v>
      </c>
      <c r="HKT362" s="632" t="s">
        <v>1673</v>
      </c>
      <c r="HKU362" s="633">
        <v>3470702.0100000007</v>
      </c>
      <c r="HKV362" s="633">
        <v>3448347.94</v>
      </c>
      <c r="HKW362" s="633">
        <v>3398526.4800000009</v>
      </c>
      <c r="HKX362" s="633">
        <v>2159854.59</v>
      </c>
      <c r="HKY362" s="633">
        <v>3563316.060000001</v>
      </c>
      <c r="HKZ362" s="633">
        <v>3305610.92</v>
      </c>
      <c r="HLA362" s="633">
        <v>3255686.1799999992</v>
      </c>
      <c r="HLB362" s="633">
        <v>3172108.3800000018</v>
      </c>
      <c r="HLC362" s="633">
        <v>3430726.5900000026</v>
      </c>
      <c r="HLD362" s="633">
        <v>3636289.9099999997</v>
      </c>
      <c r="HLE362" s="633">
        <v>3606558.6500000022</v>
      </c>
      <c r="HLF362" s="633">
        <v>3549118.4400000018</v>
      </c>
      <c r="HLG362" s="634">
        <v>39996846</v>
      </c>
      <c r="HLH362" s="633">
        <f>SUM(HKU362:HLF362)</f>
        <v>39996846.150000013</v>
      </c>
      <c r="HLI362" s="631" t="s">
        <v>1836</v>
      </c>
      <c r="HLJ362" s="632" t="s">
        <v>1673</v>
      </c>
      <c r="HLK362" s="633">
        <v>3470702.0100000007</v>
      </c>
      <c r="HLL362" s="633">
        <v>3448347.94</v>
      </c>
      <c r="HLM362" s="633">
        <v>3398526.4800000009</v>
      </c>
      <c r="HLN362" s="633">
        <v>2159854.59</v>
      </c>
      <c r="HLO362" s="633">
        <v>3563316.060000001</v>
      </c>
      <c r="HLP362" s="633">
        <v>3305610.92</v>
      </c>
      <c r="HLQ362" s="633">
        <v>3255686.1799999992</v>
      </c>
      <c r="HLR362" s="633">
        <v>3172108.3800000018</v>
      </c>
      <c r="HLS362" s="633">
        <v>3430726.5900000026</v>
      </c>
      <c r="HLT362" s="633">
        <v>3636289.9099999997</v>
      </c>
      <c r="HLU362" s="633">
        <v>3606558.6500000022</v>
      </c>
      <c r="HLV362" s="633">
        <v>3549118.4400000018</v>
      </c>
      <c r="HLW362" s="634">
        <v>39996846</v>
      </c>
      <c r="HLX362" s="633">
        <f>SUM(HLK362:HLV362)</f>
        <v>39996846.150000013</v>
      </c>
      <c r="HLY362" s="631" t="s">
        <v>1836</v>
      </c>
      <c r="HLZ362" s="632" t="s">
        <v>1673</v>
      </c>
      <c r="HMA362" s="633">
        <v>3470702.0100000007</v>
      </c>
      <c r="HMB362" s="633">
        <v>3448347.94</v>
      </c>
      <c r="HMC362" s="633">
        <v>3398526.4800000009</v>
      </c>
      <c r="HMD362" s="633">
        <v>2159854.59</v>
      </c>
      <c r="HME362" s="633">
        <v>3563316.060000001</v>
      </c>
      <c r="HMF362" s="633">
        <v>3305610.92</v>
      </c>
      <c r="HMG362" s="633">
        <v>3255686.1799999992</v>
      </c>
      <c r="HMH362" s="633">
        <v>3172108.3800000018</v>
      </c>
      <c r="HMI362" s="633">
        <v>3430726.5900000026</v>
      </c>
      <c r="HMJ362" s="633">
        <v>3636289.9099999997</v>
      </c>
      <c r="HMK362" s="633">
        <v>3606558.6500000022</v>
      </c>
      <c r="HML362" s="633">
        <v>3549118.4400000018</v>
      </c>
      <c r="HMM362" s="634">
        <v>39996846</v>
      </c>
      <c r="HMN362" s="633">
        <f>SUM(HMA362:HML362)</f>
        <v>39996846.150000013</v>
      </c>
      <c r="HMO362" s="631" t="s">
        <v>1836</v>
      </c>
      <c r="HMP362" s="632" t="s">
        <v>1673</v>
      </c>
      <c r="HMQ362" s="633">
        <v>3470702.0100000007</v>
      </c>
      <c r="HMR362" s="633">
        <v>3448347.94</v>
      </c>
      <c r="HMS362" s="633">
        <v>3398526.4800000009</v>
      </c>
      <c r="HMT362" s="633">
        <v>2159854.59</v>
      </c>
      <c r="HMU362" s="633">
        <v>3563316.060000001</v>
      </c>
      <c r="HMV362" s="633">
        <v>3305610.92</v>
      </c>
      <c r="HMW362" s="633">
        <v>3255686.1799999992</v>
      </c>
      <c r="HMX362" s="633">
        <v>3172108.3800000018</v>
      </c>
      <c r="HMY362" s="633">
        <v>3430726.5900000026</v>
      </c>
      <c r="HMZ362" s="633">
        <v>3636289.9099999997</v>
      </c>
      <c r="HNA362" s="633">
        <v>3606558.6500000022</v>
      </c>
      <c r="HNB362" s="633">
        <v>3549118.4400000018</v>
      </c>
      <c r="HNC362" s="634">
        <v>39996846</v>
      </c>
      <c r="HND362" s="633">
        <f>SUM(HMQ362:HNB362)</f>
        <v>39996846.150000013</v>
      </c>
      <c r="HNE362" s="631" t="s">
        <v>1836</v>
      </c>
      <c r="HNF362" s="632" t="s">
        <v>1673</v>
      </c>
      <c r="HNG362" s="633">
        <v>3470702.0100000007</v>
      </c>
      <c r="HNH362" s="633">
        <v>3448347.94</v>
      </c>
      <c r="HNI362" s="633">
        <v>3398526.4800000009</v>
      </c>
      <c r="HNJ362" s="633">
        <v>2159854.59</v>
      </c>
      <c r="HNK362" s="633">
        <v>3563316.060000001</v>
      </c>
      <c r="HNL362" s="633">
        <v>3305610.92</v>
      </c>
      <c r="HNM362" s="633">
        <v>3255686.1799999992</v>
      </c>
      <c r="HNN362" s="633">
        <v>3172108.3800000018</v>
      </c>
      <c r="HNO362" s="633">
        <v>3430726.5900000026</v>
      </c>
      <c r="HNP362" s="633">
        <v>3636289.9099999997</v>
      </c>
      <c r="HNQ362" s="633">
        <v>3606558.6500000022</v>
      </c>
      <c r="HNR362" s="633">
        <v>3549118.4400000018</v>
      </c>
      <c r="HNS362" s="634">
        <v>39996846</v>
      </c>
      <c r="HNT362" s="633">
        <f>SUM(HNG362:HNR362)</f>
        <v>39996846.150000013</v>
      </c>
      <c r="HNU362" s="631" t="s">
        <v>1836</v>
      </c>
      <c r="HNV362" s="632" t="s">
        <v>1673</v>
      </c>
      <c r="HNW362" s="633">
        <v>3470702.0100000007</v>
      </c>
      <c r="HNX362" s="633">
        <v>3448347.94</v>
      </c>
      <c r="HNY362" s="633">
        <v>3398526.4800000009</v>
      </c>
      <c r="HNZ362" s="633">
        <v>2159854.59</v>
      </c>
      <c r="HOA362" s="633">
        <v>3563316.060000001</v>
      </c>
      <c r="HOB362" s="633">
        <v>3305610.92</v>
      </c>
      <c r="HOC362" s="633">
        <v>3255686.1799999992</v>
      </c>
      <c r="HOD362" s="633">
        <v>3172108.3800000018</v>
      </c>
      <c r="HOE362" s="633">
        <v>3430726.5900000026</v>
      </c>
      <c r="HOF362" s="633">
        <v>3636289.9099999997</v>
      </c>
      <c r="HOG362" s="633">
        <v>3606558.6500000022</v>
      </c>
      <c r="HOH362" s="633">
        <v>3549118.4400000018</v>
      </c>
      <c r="HOI362" s="634">
        <v>39996846</v>
      </c>
      <c r="HOJ362" s="633">
        <f>SUM(HNW362:HOH362)</f>
        <v>39996846.150000013</v>
      </c>
      <c r="HOK362" s="631" t="s">
        <v>1836</v>
      </c>
      <c r="HOL362" s="632" t="s">
        <v>1673</v>
      </c>
      <c r="HOM362" s="633">
        <v>3470702.0100000007</v>
      </c>
      <c r="HON362" s="633">
        <v>3448347.94</v>
      </c>
      <c r="HOO362" s="633">
        <v>3398526.4800000009</v>
      </c>
      <c r="HOP362" s="633">
        <v>2159854.59</v>
      </c>
      <c r="HOQ362" s="633">
        <v>3563316.060000001</v>
      </c>
      <c r="HOR362" s="633">
        <v>3305610.92</v>
      </c>
      <c r="HOS362" s="633">
        <v>3255686.1799999992</v>
      </c>
      <c r="HOT362" s="633">
        <v>3172108.3800000018</v>
      </c>
      <c r="HOU362" s="633">
        <v>3430726.5900000026</v>
      </c>
      <c r="HOV362" s="633">
        <v>3636289.9099999997</v>
      </c>
      <c r="HOW362" s="633">
        <v>3606558.6500000022</v>
      </c>
      <c r="HOX362" s="633">
        <v>3549118.4400000018</v>
      </c>
      <c r="HOY362" s="634">
        <v>39996846</v>
      </c>
      <c r="HOZ362" s="633">
        <f>SUM(HOM362:HOX362)</f>
        <v>39996846.150000013</v>
      </c>
      <c r="HPA362" s="631" t="s">
        <v>1836</v>
      </c>
      <c r="HPB362" s="632" t="s">
        <v>1673</v>
      </c>
      <c r="HPC362" s="633">
        <v>3470702.0100000007</v>
      </c>
      <c r="HPD362" s="633">
        <v>3448347.94</v>
      </c>
      <c r="HPE362" s="633">
        <v>3398526.4800000009</v>
      </c>
      <c r="HPF362" s="633">
        <v>2159854.59</v>
      </c>
      <c r="HPG362" s="633">
        <v>3563316.060000001</v>
      </c>
      <c r="HPH362" s="633">
        <v>3305610.92</v>
      </c>
      <c r="HPI362" s="633">
        <v>3255686.1799999992</v>
      </c>
      <c r="HPJ362" s="633">
        <v>3172108.3800000018</v>
      </c>
      <c r="HPK362" s="633">
        <v>3430726.5900000026</v>
      </c>
      <c r="HPL362" s="633">
        <v>3636289.9099999997</v>
      </c>
      <c r="HPM362" s="633">
        <v>3606558.6500000022</v>
      </c>
      <c r="HPN362" s="633">
        <v>3549118.4400000018</v>
      </c>
      <c r="HPO362" s="634">
        <v>39996846</v>
      </c>
      <c r="HPP362" s="633">
        <f>SUM(HPC362:HPN362)</f>
        <v>39996846.150000013</v>
      </c>
      <c r="HPQ362" s="631" t="s">
        <v>1836</v>
      </c>
      <c r="HPR362" s="632" t="s">
        <v>1673</v>
      </c>
      <c r="HPS362" s="633">
        <v>3470702.0100000007</v>
      </c>
      <c r="HPT362" s="633">
        <v>3448347.94</v>
      </c>
      <c r="HPU362" s="633">
        <v>3398526.4800000009</v>
      </c>
      <c r="HPV362" s="633">
        <v>2159854.59</v>
      </c>
      <c r="HPW362" s="633">
        <v>3563316.060000001</v>
      </c>
      <c r="HPX362" s="633">
        <v>3305610.92</v>
      </c>
      <c r="HPY362" s="633">
        <v>3255686.1799999992</v>
      </c>
      <c r="HPZ362" s="633">
        <v>3172108.3800000018</v>
      </c>
      <c r="HQA362" s="633">
        <v>3430726.5900000026</v>
      </c>
      <c r="HQB362" s="633">
        <v>3636289.9099999997</v>
      </c>
      <c r="HQC362" s="633">
        <v>3606558.6500000022</v>
      </c>
      <c r="HQD362" s="633">
        <v>3549118.4400000018</v>
      </c>
      <c r="HQE362" s="634">
        <v>39996846</v>
      </c>
      <c r="HQF362" s="633">
        <f>SUM(HPS362:HQD362)</f>
        <v>39996846.150000013</v>
      </c>
      <c r="HQG362" s="631" t="s">
        <v>1836</v>
      </c>
      <c r="HQH362" s="632" t="s">
        <v>1673</v>
      </c>
      <c r="HQI362" s="633">
        <v>3470702.0100000007</v>
      </c>
      <c r="HQJ362" s="633">
        <v>3448347.94</v>
      </c>
      <c r="HQK362" s="633">
        <v>3398526.4800000009</v>
      </c>
      <c r="HQL362" s="633">
        <v>2159854.59</v>
      </c>
      <c r="HQM362" s="633">
        <v>3563316.060000001</v>
      </c>
      <c r="HQN362" s="633">
        <v>3305610.92</v>
      </c>
      <c r="HQO362" s="633">
        <v>3255686.1799999992</v>
      </c>
      <c r="HQP362" s="633">
        <v>3172108.3800000018</v>
      </c>
      <c r="HQQ362" s="633">
        <v>3430726.5900000026</v>
      </c>
      <c r="HQR362" s="633">
        <v>3636289.9099999997</v>
      </c>
      <c r="HQS362" s="633">
        <v>3606558.6500000022</v>
      </c>
      <c r="HQT362" s="633">
        <v>3549118.4400000018</v>
      </c>
      <c r="HQU362" s="634">
        <v>39996846</v>
      </c>
      <c r="HQV362" s="633">
        <f>SUM(HQI362:HQT362)</f>
        <v>39996846.150000013</v>
      </c>
      <c r="HQW362" s="631" t="s">
        <v>1836</v>
      </c>
      <c r="HQX362" s="632" t="s">
        <v>1673</v>
      </c>
      <c r="HQY362" s="633">
        <v>3470702.0100000007</v>
      </c>
      <c r="HQZ362" s="633">
        <v>3448347.94</v>
      </c>
      <c r="HRA362" s="633">
        <v>3398526.4800000009</v>
      </c>
      <c r="HRB362" s="633">
        <v>2159854.59</v>
      </c>
      <c r="HRC362" s="633">
        <v>3563316.060000001</v>
      </c>
      <c r="HRD362" s="633">
        <v>3305610.92</v>
      </c>
      <c r="HRE362" s="633">
        <v>3255686.1799999992</v>
      </c>
      <c r="HRF362" s="633">
        <v>3172108.3800000018</v>
      </c>
      <c r="HRG362" s="633">
        <v>3430726.5900000026</v>
      </c>
      <c r="HRH362" s="633">
        <v>3636289.9099999997</v>
      </c>
      <c r="HRI362" s="633">
        <v>3606558.6500000022</v>
      </c>
      <c r="HRJ362" s="633">
        <v>3549118.4400000018</v>
      </c>
      <c r="HRK362" s="634">
        <v>39996846</v>
      </c>
      <c r="HRL362" s="633">
        <f>SUM(HQY362:HRJ362)</f>
        <v>39996846.150000013</v>
      </c>
      <c r="HRM362" s="631" t="s">
        <v>1836</v>
      </c>
      <c r="HRN362" s="632" t="s">
        <v>1673</v>
      </c>
      <c r="HRO362" s="633">
        <v>3470702.0100000007</v>
      </c>
      <c r="HRP362" s="633">
        <v>3448347.94</v>
      </c>
      <c r="HRQ362" s="633">
        <v>3398526.4800000009</v>
      </c>
      <c r="HRR362" s="633">
        <v>2159854.59</v>
      </c>
      <c r="HRS362" s="633">
        <v>3563316.060000001</v>
      </c>
      <c r="HRT362" s="633">
        <v>3305610.92</v>
      </c>
      <c r="HRU362" s="633">
        <v>3255686.1799999992</v>
      </c>
      <c r="HRV362" s="633">
        <v>3172108.3800000018</v>
      </c>
      <c r="HRW362" s="633">
        <v>3430726.5900000026</v>
      </c>
      <c r="HRX362" s="633">
        <v>3636289.9099999997</v>
      </c>
      <c r="HRY362" s="633">
        <v>3606558.6500000022</v>
      </c>
      <c r="HRZ362" s="633">
        <v>3549118.4400000018</v>
      </c>
      <c r="HSA362" s="634">
        <v>39996846</v>
      </c>
      <c r="HSB362" s="633">
        <f>SUM(HRO362:HRZ362)</f>
        <v>39996846.150000013</v>
      </c>
      <c r="HSC362" s="631" t="s">
        <v>1836</v>
      </c>
      <c r="HSD362" s="632" t="s">
        <v>1673</v>
      </c>
      <c r="HSE362" s="633">
        <v>3470702.0100000007</v>
      </c>
      <c r="HSF362" s="633">
        <v>3448347.94</v>
      </c>
      <c r="HSG362" s="633">
        <v>3398526.4800000009</v>
      </c>
      <c r="HSH362" s="633">
        <v>2159854.59</v>
      </c>
      <c r="HSI362" s="633">
        <v>3563316.060000001</v>
      </c>
      <c r="HSJ362" s="633">
        <v>3305610.92</v>
      </c>
      <c r="HSK362" s="633">
        <v>3255686.1799999992</v>
      </c>
      <c r="HSL362" s="633">
        <v>3172108.3800000018</v>
      </c>
      <c r="HSM362" s="633">
        <v>3430726.5900000026</v>
      </c>
      <c r="HSN362" s="633">
        <v>3636289.9099999997</v>
      </c>
      <c r="HSO362" s="633">
        <v>3606558.6500000022</v>
      </c>
      <c r="HSP362" s="633">
        <v>3549118.4400000018</v>
      </c>
      <c r="HSQ362" s="634">
        <v>39996846</v>
      </c>
      <c r="HSR362" s="633">
        <f>SUM(HSE362:HSP362)</f>
        <v>39996846.150000013</v>
      </c>
      <c r="HSS362" s="631" t="s">
        <v>1836</v>
      </c>
      <c r="HST362" s="632" t="s">
        <v>1673</v>
      </c>
      <c r="HSU362" s="633">
        <v>3470702.0100000007</v>
      </c>
      <c r="HSV362" s="633">
        <v>3448347.94</v>
      </c>
      <c r="HSW362" s="633">
        <v>3398526.4800000009</v>
      </c>
      <c r="HSX362" s="633">
        <v>2159854.59</v>
      </c>
      <c r="HSY362" s="633">
        <v>3563316.060000001</v>
      </c>
      <c r="HSZ362" s="633">
        <v>3305610.92</v>
      </c>
      <c r="HTA362" s="633">
        <v>3255686.1799999992</v>
      </c>
      <c r="HTB362" s="633">
        <v>3172108.3800000018</v>
      </c>
      <c r="HTC362" s="633">
        <v>3430726.5900000026</v>
      </c>
      <c r="HTD362" s="633">
        <v>3636289.9099999997</v>
      </c>
      <c r="HTE362" s="633">
        <v>3606558.6500000022</v>
      </c>
      <c r="HTF362" s="633">
        <v>3549118.4400000018</v>
      </c>
      <c r="HTG362" s="634">
        <v>39996846</v>
      </c>
      <c r="HTH362" s="633">
        <f>SUM(HSU362:HTF362)</f>
        <v>39996846.150000013</v>
      </c>
      <c r="HTI362" s="631" t="s">
        <v>1836</v>
      </c>
      <c r="HTJ362" s="632" t="s">
        <v>1673</v>
      </c>
      <c r="HTK362" s="633">
        <v>3470702.0100000007</v>
      </c>
      <c r="HTL362" s="633">
        <v>3448347.94</v>
      </c>
      <c r="HTM362" s="633">
        <v>3398526.4800000009</v>
      </c>
      <c r="HTN362" s="633">
        <v>2159854.59</v>
      </c>
      <c r="HTO362" s="633">
        <v>3563316.060000001</v>
      </c>
      <c r="HTP362" s="633">
        <v>3305610.92</v>
      </c>
      <c r="HTQ362" s="633">
        <v>3255686.1799999992</v>
      </c>
      <c r="HTR362" s="633">
        <v>3172108.3800000018</v>
      </c>
      <c r="HTS362" s="633">
        <v>3430726.5900000026</v>
      </c>
      <c r="HTT362" s="633">
        <v>3636289.9099999997</v>
      </c>
      <c r="HTU362" s="633">
        <v>3606558.6500000022</v>
      </c>
      <c r="HTV362" s="633">
        <v>3549118.4400000018</v>
      </c>
      <c r="HTW362" s="634">
        <v>39996846</v>
      </c>
      <c r="HTX362" s="633">
        <f>SUM(HTK362:HTV362)</f>
        <v>39996846.150000013</v>
      </c>
      <c r="HTY362" s="631" t="s">
        <v>1836</v>
      </c>
      <c r="HTZ362" s="632" t="s">
        <v>1673</v>
      </c>
      <c r="HUA362" s="633">
        <v>3470702.0100000007</v>
      </c>
      <c r="HUB362" s="633">
        <v>3448347.94</v>
      </c>
      <c r="HUC362" s="633">
        <v>3398526.4800000009</v>
      </c>
      <c r="HUD362" s="633">
        <v>2159854.59</v>
      </c>
      <c r="HUE362" s="633">
        <v>3563316.060000001</v>
      </c>
      <c r="HUF362" s="633">
        <v>3305610.92</v>
      </c>
      <c r="HUG362" s="633">
        <v>3255686.1799999992</v>
      </c>
      <c r="HUH362" s="633">
        <v>3172108.3800000018</v>
      </c>
      <c r="HUI362" s="633">
        <v>3430726.5900000026</v>
      </c>
      <c r="HUJ362" s="633">
        <v>3636289.9099999997</v>
      </c>
      <c r="HUK362" s="633">
        <v>3606558.6500000022</v>
      </c>
      <c r="HUL362" s="633">
        <v>3549118.4400000018</v>
      </c>
      <c r="HUM362" s="634">
        <v>39996846</v>
      </c>
      <c r="HUN362" s="633">
        <f>SUM(HUA362:HUL362)</f>
        <v>39996846.150000013</v>
      </c>
      <c r="HUO362" s="631" t="s">
        <v>1836</v>
      </c>
      <c r="HUP362" s="632" t="s">
        <v>1673</v>
      </c>
      <c r="HUQ362" s="633">
        <v>3470702.0100000007</v>
      </c>
      <c r="HUR362" s="633">
        <v>3448347.94</v>
      </c>
      <c r="HUS362" s="633">
        <v>3398526.4800000009</v>
      </c>
      <c r="HUT362" s="633">
        <v>2159854.59</v>
      </c>
      <c r="HUU362" s="633">
        <v>3563316.060000001</v>
      </c>
      <c r="HUV362" s="633">
        <v>3305610.92</v>
      </c>
      <c r="HUW362" s="633">
        <v>3255686.1799999992</v>
      </c>
      <c r="HUX362" s="633">
        <v>3172108.3800000018</v>
      </c>
      <c r="HUY362" s="633">
        <v>3430726.5900000026</v>
      </c>
      <c r="HUZ362" s="633">
        <v>3636289.9099999997</v>
      </c>
      <c r="HVA362" s="633">
        <v>3606558.6500000022</v>
      </c>
      <c r="HVB362" s="633">
        <v>3549118.4400000018</v>
      </c>
      <c r="HVC362" s="634">
        <v>39996846</v>
      </c>
      <c r="HVD362" s="633">
        <f>SUM(HUQ362:HVB362)</f>
        <v>39996846.150000013</v>
      </c>
      <c r="HVE362" s="631" t="s">
        <v>1836</v>
      </c>
      <c r="HVF362" s="632" t="s">
        <v>1673</v>
      </c>
      <c r="HVG362" s="633">
        <v>3470702.0100000007</v>
      </c>
      <c r="HVH362" s="633">
        <v>3448347.94</v>
      </c>
      <c r="HVI362" s="633">
        <v>3398526.4800000009</v>
      </c>
      <c r="HVJ362" s="633">
        <v>2159854.59</v>
      </c>
      <c r="HVK362" s="633">
        <v>3563316.060000001</v>
      </c>
      <c r="HVL362" s="633">
        <v>3305610.92</v>
      </c>
      <c r="HVM362" s="633">
        <v>3255686.1799999992</v>
      </c>
      <c r="HVN362" s="633">
        <v>3172108.3800000018</v>
      </c>
      <c r="HVO362" s="633">
        <v>3430726.5900000026</v>
      </c>
      <c r="HVP362" s="633">
        <v>3636289.9099999997</v>
      </c>
      <c r="HVQ362" s="633">
        <v>3606558.6500000022</v>
      </c>
      <c r="HVR362" s="633">
        <v>3549118.4400000018</v>
      </c>
      <c r="HVS362" s="634">
        <v>39996846</v>
      </c>
      <c r="HVT362" s="633">
        <f>SUM(HVG362:HVR362)</f>
        <v>39996846.150000013</v>
      </c>
      <c r="HVU362" s="631" t="s">
        <v>1836</v>
      </c>
      <c r="HVV362" s="632" t="s">
        <v>1673</v>
      </c>
      <c r="HVW362" s="633">
        <v>3470702.0100000007</v>
      </c>
      <c r="HVX362" s="633">
        <v>3448347.94</v>
      </c>
      <c r="HVY362" s="633">
        <v>3398526.4800000009</v>
      </c>
      <c r="HVZ362" s="633">
        <v>2159854.59</v>
      </c>
      <c r="HWA362" s="633">
        <v>3563316.060000001</v>
      </c>
      <c r="HWB362" s="633">
        <v>3305610.92</v>
      </c>
      <c r="HWC362" s="633">
        <v>3255686.1799999992</v>
      </c>
      <c r="HWD362" s="633">
        <v>3172108.3800000018</v>
      </c>
      <c r="HWE362" s="633">
        <v>3430726.5900000026</v>
      </c>
      <c r="HWF362" s="633">
        <v>3636289.9099999997</v>
      </c>
      <c r="HWG362" s="633">
        <v>3606558.6500000022</v>
      </c>
      <c r="HWH362" s="633">
        <v>3549118.4400000018</v>
      </c>
      <c r="HWI362" s="634">
        <v>39996846</v>
      </c>
      <c r="HWJ362" s="633">
        <f>SUM(HVW362:HWH362)</f>
        <v>39996846.150000013</v>
      </c>
      <c r="HWK362" s="631" t="s">
        <v>1836</v>
      </c>
      <c r="HWL362" s="632" t="s">
        <v>1673</v>
      </c>
      <c r="HWM362" s="633">
        <v>3470702.0100000007</v>
      </c>
      <c r="HWN362" s="633">
        <v>3448347.94</v>
      </c>
      <c r="HWO362" s="633">
        <v>3398526.4800000009</v>
      </c>
      <c r="HWP362" s="633">
        <v>2159854.59</v>
      </c>
      <c r="HWQ362" s="633">
        <v>3563316.060000001</v>
      </c>
      <c r="HWR362" s="633">
        <v>3305610.92</v>
      </c>
      <c r="HWS362" s="633">
        <v>3255686.1799999992</v>
      </c>
      <c r="HWT362" s="633">
        <v>3172108.3800000018</v>
      </c>
      <c r="HWU362" s="633">
        <v>3430726.5900000026</v>
      </c>
      <c r="HWV362" s="633">
        <v>3636289.9099999997</v>
      </c>
      <c r="HWW362" s="633">
        <v>3606558.6500000022</v>
      </c>
      <c r="HWX362" s="633">
        <v>3549118.4400000018</v>
      </c>
      <c r="HWY362" s="634">
        <v>39996846</v>
      </c>
      <c r="HWZ362" s="633">
        <f>SUM(HWM362:HWX362)</f>
        <v>39996846.150000013</v>
      </c>
      <c r="HXA362" s="631" t="s">
        <v>1836</v>
      </c>
      <c r="HXB362" s="632" t="s">
        <v>1673</v>
      </c>
      <c r="HXC362" s="633">
        <v>3470702.0100000007</v>
      </c>
      <c r="HXD362" s="633">
        <v>3448347.94</v>
      </c>
      <c r="HXE362" s="633">
        <v>3398526.4800000009</v>
      </c>
      <c r="HXF362" s="633">
        <v>2159854.59</v>
      </c>
      <c r="HXG362" s="633">
        <v>3563316.060000001</v>
      </c>
      <c r="HXH362" s="633">
        <v>3305610.92</v>
      </c>
      <c r="HXI362" s="633">
        <v>3255686.1799999992</v>
      </c>
      <c r="HXJ362" s="633">
        <v>3172108.3800000018</v>
      </c>
      <c r="HXK362" s="633">
        <v>3430726.5900000026</v>
      </c>
      <c r="HXL362" s="633">
        <v>3636289.9099999997</v>
      </c>
      <c r="HXM362" s="633">
        <v>3606558.6500000022</v>
      </c>
      <c r="HXN362" s="633">
        <v>3549118.4400000018</v>
      </c>
      <c r="HXO362" s="634">
        <v>39996846</v>
      </c>
      <c r="HXP362" s="633">
        <f>SUM(HXC362:HXN362)</f>
        <v>39996846.150000013</v>
      </c>
      <c r="HXQ362" s="631" t="s">
        <v>1836</v>
      </c>
      <c r="HXR362" s="632" t="s">
        <v>1673</v>
      </c>
      <c r="HXS362" s="633">
        <v>3470702.0100000007</v>
      </c>
      <c r="HXT362" s="633">
        <v>3448347.94</v>
      </c>
      <c r="HXU362" s="633">
        <v>3398526.4800000009</v>
      </c>
      <c r="HXV362" s="633">
        <v>2159854.59</v>
      </c>
      <c r="HXW362" s="633">
        <v>3563316.060000001</v>
      </c>
      <c r="HXX362" s="633">
        <v>3305610.92</v>
      </c>
      <c r="HXY362" s="633">
        <v>3255686.1799999992</v>
      </c>
      <c r="HXZ362" s="633">
        <v>3172108.3800000018</v>
      </c>
      <c r="HYA362" s="633">
        <v>3430726.5900000026</v>
      </c>
      <c r="HYB362" s="633">
        <v>3636289.9099999997</v>
      </c>
      <c r="HYC362" s="633">
        <v>3606558.6500000022</v>
      </c>
      <c r="HYD362" s="633">
        <v>3549118.4400000018</v>
      </c>
      <c r="HYE362" s="634">
        <v>39996846</v>
      </c>
      <c r="HYF362" s="633">
        <f>SUM(HXS362:HYD362)</f>
        <v>39996846.150000013</v>
      </c>
      <c r="HYG362" s="631" t="s">
        <v>1836</v>
      </c>
      <c r="HYH362" s="632" t="s">
        <v>1673</v>
      </c>
      <c r="HYI362" s="633">
        <v>3470702.0100000007</v>
      </c>
      <c r="HYJ362" s="633">
        <v>3448347.94</v>
      </c>
      <c r="HYK362" s="633">
        <v>3398526.4800000009</v>
      </c>
      <c r="HYL362" s="633">
        <v>2159854.59</v>
      </c>
      <c r="HYM362" s="633">
        <v>3563316.060000001</v>
      </c>
      <c r="HYN362" s="633">
        <v>3305610.92</v>
      </c>
      <c r="HYO362" s="633">
        <v>3255686.1799999992</v>
      </c>
      <c r="HYP362" s="633">
        <v>3172108.3800000018</v>
      </c>
      <c r="HYQ362" s="633">
        <v>3430726.5900000026</v>
      </c>
      <c r="HYR362" s="633">
        <v>3636289.9099999997</v>
      </c>
      <c r="HYS362" s="633">
        <v>3606558.6500000022</v>
      </c>
      <c r="HYT362" s="633">
        <v>3549118.4400000018</v>
      </c>
      <c r="HYU362" s="634">
        <v>39996846</v>
      </c>
      <c r="HYV362" s="633">
        <f>SUM(HYI362:HYT362)</f>
        <v>39996846.150000013</v>
      </c>
      <c r="HYW362" s="631" t="s">
        <v>1836</v>
      </c>
      <c r="HYX362" s="632" t="s">
        <v>1673</v>
      </c>
      <c r="HYY362" s="633">
        <v>3470702.0100000007</v>
      </c>
      <c r="HYZ362" s="633">
        <v>3448347.94</v>
      </c>
      <c r="HZA362" s="633">
        <v>3398526.4800000009</v>
      </c>
      <c r="HZB362" s="633">
        <v>2159854.59</v>
      </c>
      <c r="HZC362" s="633">
        <v>3563316.060000001</v>
      </c>
      <c r="HZD362" s="633">
        <v>3305610.92</v>
      </c>
      <c r="HZE362" s="633">
        <v>3255686.1799999992</v>
      </c>
      <c r="HZF362" s="633">
        <v>3172108.3800000018</v>
      </c>
      <c r="HZG362" s="633">
        <v>3430726.5900000026</v>
      </c>
      <c r="HZH362" s="633">
        <v>3636289.9099999997</v>
      </c>
      <c r="HZI362" s="633">
        <v>3606558.6500000022</v>
      </c>
      <c r="HZJ362" s="633">
        <v>3549118.4400000018</v>
      </c>
      <c r="HZK362" s="634">
        <v>39996846</v>
      </c>
      <c r="HZL362" s="633">
        <f>SUM(HYY362:HZJ362)</f>
        <v>39996846.150000013</v>
      </c>
      <c r="HZM362" s="631" t="s">
        <v>1836</v>
      </c>
      <c r="HZN362" s="632" t="s">
        <v>1673</v>
      </c>
      <c r="HZO362" s="633">
        <v>3470702.0100000007</v>
      </c>
      <c r="HZP362" s="633">
        <v>3448347.94</v>
      </c>
      <c r="HZQ362" s="633">
        <v>3398526.4800000009</v>
      </c>
      <c r="HZR362" s="633">
        <v>2159854.59</v>
      </c>
      <c r="HZS362" s="633">
        <v>3563316.060000001</v>
      </c>
      <c r="HZT362" s="633">
        <v>3305610.92</v>
      </c>
      <c r="HZU362" s="633">
        <v>3255686.1799999992</v>
      </c>
      <c r="HZV362" s="633">
        <v>3172108.3800000018</v>
      </c>
      <c r="HZW362" s="633">
        <v>3430726.5900000026</v>
      </c>
      <c r="HZX362" s="633">
        <v>3636289.9099999997</v>
      </c>
      <c r="HZY362" s="633">
        <v>3606558.6500000022</v>
      </c>
      <c r="HZZ362" s="633">
        <v>3549118.4400000018</v>
      </c>
      <c r="IAA362" s="634">
        <v>39996846</v>
      </c>
      <c r="IAB362" s="633">
        <f>SUM(HZO362:HZZ362)</f>
        <v>39996846.150000013</v>
      </c>
      <c r="IAC362" s="631" t="s">
        <v>1836</v>
      </c>
      <c r="IAD362" s="632" t="s">
        <v>1673</v>
      </c>
      <c r="IAE362" s="633">
        <v>3470702.0100000007</v>
      </c>
      <c r="IAF362" s="633">
        <v>3448347.94</v>
      </c>
      <c r="IAG362" s="633">
        <v>3398526.4800000009</v>
      </c>
      <c r="IAH362" s="633">
        <v>2159854.59</v>
      </c>
      <c r="IAI362" s="633">
        <v>3563316.060000001</v>
      </c>
      <c r="IAJ362" s="633">
        <v>3305610.92</v>
      </c>
      <c r="IAK362" s="633">
        <v>3255686.1799999992</v>
      </c>
      <c r="IAL362" s="633">
        <v>3172108.3800000018</v>
      </c>
      <c r="IAM362" s="633">
        <v>3430726.5900000026</v>
      </c>
      <c r="IAN362" s="633">
        <v>3636289.9099999997</v>
      </c>
      <c r="IAO362" s="633">
        <v>3606558.6500000022</v>
      </c>
      <c r="IAP362" s="633">
        <v>3549118.4400000018</v>
      </c>
      <c r="IAQ362" s="634">
        <v>39996846</v>
      </c>
      <c r="IAR362" s="633">
        <f>SUM(IAE362:IAP362)</f>
        <v>39996846.150000013</v>
      </c>
      <c r="IAS362" s="631" t="s">
        <v>1836</v>
      </c>
      <c r="IAT362" s="632" t="s">
        <v>1673</v>
      </c>
      <c r="IAU362" s="633">
        <v>3470702.0100000007</v>
      </c>
      <c r="IAV362" s="633">
        <v>3448347.94</v>
      </c>
      <c r="IAW362" s="633">
        <v>3398526.4800000009</v>
      </c>
      <c r="IAX362" s="633">
        <v>2159854.59</v>
      </c>
      <c r="IAY362" s="633">
        <v>3563316.060000001</v>
      </c>
      <c r="IAZ362" s="633">
        <v>3305610.92</v>
      </c>
      <c r="IBA362" s="633">
        <v>3255686.1799999992</v>
      </c>
      <c r="IBB362" s="633">
        <v>3172108.3800000018</v>
      </c>
      <c r="IBC362" s="633">
        <v>3430726.5900000026</v>
      </c>
      <c r="IBD362" s="633">
        <v>3636289.9099999997</v>
      </c>
      <c r="IBE362" s="633">
        <v>3606558.6500000022</v>
      </c>
      <c r="IBF362" s="633">
        <v>3549118.4400000018</v>
      </c>
      <c r="IBG362" s="634">
        <v>39996846</v>
      </c>
      <c r="IBH362" s="633">
        <f>SUM(IAU362:IBF362)</f>
        <v>39996846.150000013</v>
      </c>
      <c r="IBI362" s="631" t="s">
        <v>1836</v>
      </c>
      <c r="IBJ362" s="632" t="s">
        <v>1673</v>
      </c>
      <c r="IBK362" s="633">
        <v>3470702.0100000007</v>
      </c>
      <c r="IBL362" s="633">
        <v>3448347.94</v>
      </c>
      <c r="IBM362" s="633">
        <v>3398526.4800000009</v>
      </c>
      <c r="IBN362" s="633">
        <v>2159854.59</v>
      </c>
      <c r="IBO362" s="633">
        <v>3563316.060000001</v>
      </c>
      <c r="IBP362" s="633">
        <v>3305610.92</v>
      </c>
      <c r="IBQ362" s="633">
        <v>3255686.1799999992</v>
      </c>
      <c r="IBR362" s="633">
        <v>3172108.3800000018</v>
      </c>
      <c r="IBS362" s="633">
        <v>3430726.5900000026</v>
      </c>
      <c r="IBT362" s="633">
        <v>3636289.9099999997</v>
      </c>
      <c r="IBU362" s="633">
        <v>3606558.6500000022</v>
      </c>
      <c r="IBV362" s="633">
        <v>3549118.4400000018</v>
      </c>
      <c r="IBW362" s="634">
        <v>39996846</v>
      </c>
      <c r="IBX362" s="633">
        <f>SUM(IBK362:IBV362)</f>
        <v>39996846.150000013</v>
      </c>
      <c r="IBY362" s="631" t="s">
        <v>1836</v>
      </c>
      <c r="IBZ362" s="632" t="s">
        <v>1673</v>
      </c>
      <c r="ICA362" s="633">
        <v>3470702.0100000007</v>
      </c>
      <c r="ICB362" s="633">
        <v>3448347.94</v>
      </c>
      <c r="ICC362" s="633">
        <v>3398526.4800000009</v>
      </c>
      <c r="ICD362" s="633">
        <v>2159854.59</v>
      </c>
      <c r="ICE362" s="633">
        <v>3563316.060000001</v>
      </c>
      <c r="ICF362" s="633">
        <v>3305610.92</v>
      </c>
      <c r="ICG362" s="633">
        <v>3255686.1799999992</v>
      </c>
      <c r="ICH362" s="633">
        <v>3172108.3800000018</v>
      </c>
      <c r="ICI362" s="633">
        <v>3430726.5900000026</v>
      </c>
      <c r="ICJ362" s="633">
        <v>3636289.9099999997</v>
      </c>
      <c r="ICK362" s="633">
        <v>3606558.6500000022</v>
      </c>
      <c r="ICL362" s="633">
        <v>3549118.4400000018</v>
      </c>
      <c r="ICM362" s="634">
        <v>39996846</v>
      </c>
      <c r="ICN362" s="633">
        <f>SUM(ICA362:ICL362)</f>
        <v>39996846.150000013</v>
      </c>
      <c r="ICO362" s="631" t="s">
        <v>1836</v>
      </c>
      <c r="ICP362" s="632" t="s">
        <v>1673</v>
      </c>
      <c r="ICQ362" s="633">
        <v>3470702.0100000007</v>
      </c>
      <c r="ICR362" s="633">
        <v>3448347.94</v>
      </c>
      <c r="ICS362" s="633">
        <v>3398526.4800000009</v>
      </c>
      <c r="ICT362" s="633">
        <v>2159854.59</v>
      </c>
      <c r="ICU362" s="633">
        <v>3563316.060000001</v>
      </c>
      <c r="ICV362" s="633">
        <v>3305610.92</v>
      </c>
      <c r="ICW362" s="633">
        <v>3255686.1799999992</v>
      </c>
      <c r="ICX362" s="633">
        <v>3172108.3800000018</v>
      </c>
      <c r="ICY362" s="633">
        <v>3430726.5900000026</v>
      </c>
      <c r="ICZ362" s="633">
        <v>3636289.9099999997</v>
      </c>
      <c r="IDA362" s="633">
        <v>3606558.6500000022</v>
      </c>
      <c r="IDB362" s="633">
        <v>3549118.4400000018</v>
      </c>
      <c r="IDC362" s="634">
        <v>39996846</v>
      </c>
      <c r="IDD362" s="633">
        <f>SUM(ICQ362:IDB362)</f>
        <v>39996846.150000013</v>
      </c>
      <c r="IDE362" s="631" t="s">
        <v>1836</v>
      </c>
      <c r="IDF362" s="632" t="s">
        <v>1673</v>
      </c>
      <c r="IDG362" s="633">
        <v>3470702.0100000007</v>
      </c>
      <c r="IDH362" s="633">
        <v>3448347.94</v>
      </c>
      <c r="IDI362" s="633">
        <v>3398526.4800000009</v>
      </c>
      <c r="IDJ362" s="633">
        <v>2159854.59</v>
      </c>
      <c r="IDK362" s="633">
        <v>3563316.060000001</v>
      </c>
      <c r="IDL362" s="633">
        <v>3305610.92</v>
      </c>
      <c r="IDM362" s="633">
        <v>3255686.1799999992</v>
      </c>
      <c r="IDN362" s="633">
        <v>3172108.3800000018</v>
      </c>
      <c r="IDO362" s="633">
        <v>3430726.5900000026</v>
      </c>
      <c r="IDP362" s="633">
        <v>3636289.9099999997</v>
      </c>
      <c r="IDQ362" s="633">
        <v>3606558.6500000022</v>
      </c>
      <c r="IDR362" s="633">
        <v>3549118.4400000018</v>
      </c>
      <c r="IDS362" s="634">
        <v>39996846</v>
      </c>
      <c r="IDT362" s="633">
        <f>SUM(IDG362:IDR362)</f>
        <v>39996846.150000013</v>
      </c>
      <c r="IDU362" s="631" t="s">
        <v>1836</v>
      </c>
      <c r="IDV362" s="632" t="s">
        <v>1673</v>
      </c>
      <c r="IDW362" s="633">
        <v>3470702.0100000007</v>
      </c>
      <c r="IDX362" s="633">
        <v>3448347.94</v>
      </c>
      <c r="IDY362" s="633">
        <v>3398526.4800000009</v>
      </c>
      <c r="IDZ362" s="633">
        <v>2159854.59</v>
      </c>
      <c r="IEA362" s="633">
        <v>3563316.060000001</v>
      </c>
      <c r="IEB362" s="633">
        <v>3305610.92</v>
      </c>
      <c r="IEC362" s="633">
        <v>3255686.1799999992</v>
      </c>
      <c r="IED362" s="633">
        <v>3172108.3800000018</v>
      </c>
      <c r="IEE362" s="633">
        <v>3430726.5900000026</v>
      </c>
      <c r="IEF362" s="633">
        <v>3636289.9099999997</v>
      </c>
      <c r="IEG362" s="633">
        <v>3606558.6500000022</v>
      </c>
      <c r="IEH362" s="633">
        <v>3549118.4400000018</v>
      </c>
      <c r="IEI362" s="634">
        <v>39996846</v>
      </c>
      <c r="IEJ362" s="633">
        <f>SUM(IDW362:IEH362)</f>
        <v>39996846.150000013</v>
      </c>
      <c r="IEK362" s="631" t="s">
        <v>1836</v>
      </c>
      <c r="IEL362" s="632" t="s">
        <v>1673</v>
      </c>
      <c r="IEM362" s="633">
        <v>3470702.0100000007</v>
      </c>
      <c r="IEN362" s="633">
        <v>3448347.94</v>
      </c>
      <c r="IEO362" s="633">
        <v>3398526.4800000009</v>
      </c>
      <c r="IEP362" s="633">
        <v>2159854.59</v>
      </c>
      <c r="IEQ362" s="633">
        <v>3563316.060000001</v>
      </c>
      <c r="IER362" s="633">
        <v>3305610.92</v>
      </c>
      <c r="IES362" s="633">
        <v>3255686.1799999992</v>
      </c>
      <c r="IET362" s="633">
        <v>3172108.3800000018</v>
      </c>
      <c r="IEU362" s="633">
        <v>3430726.5900000026</v>
      </c>
      <c r="IEV362" s="633">
        <v>3636289.9099999997</v>
      </c>
      <c r="IEW362" s="633">
        <v>3606558.6500000022</v>
      </c>
      <c r="IEX362" s="633">
        <v>3549118.4400000018</v>
      </c>
      <c r="IEY362" s="634">
        <v>39996846</v>
      </c>
      <c r="IEZ362" s="633">
        <f>SUM(IEM362:IEX362)</f>
        <v>39996846.150000013</v>
      </c>
      <c r="IFA362" s="631" t="s">
        <v>1836</v>
      </c>
      <c r="IFB362" s="632" t="s">
        <v>1673</v>
      </c>
      <c r="IFC362" s="633">
        <v>3470702.0100000007</v>
      </c>
      <c r="IFD362" s="633">
        <v>3448347.94</v>
      </c>
      <c r="IFE362" s="633">
        <v>3398526.4800000009</v>
      </c>
      <c r="IFF362" s="633">
        <v>2159854.59</v>
      </c>
      <c r="IFG362" s="633">
        <v>3563316.060000001</v>
      </c>
      <c r="IFH362" s="633">
        <v>3305610.92</v>
      </c>
      <c r="IFI362" s="633">
        <v>3255686.1799999992</v>
      </c>
      <c r="IFJ362" s="633">
        <v>3172108.3800000018</v>
      </c>
      <c r="IFK362" s="633">
        <v>3430726.5900000026</v>
      </c>
      <c r="IFL362" s="633">
        <v>3636289.9099999997</v>
      </c>
      <c r="IFM362" s="633">
        <v>3606558.6500000022</v>
      </c>
      <c r="IFN362" s="633">
        <v>3549118.4400000018</v>
      </c>
      <c r="IFO362" s="634">
        <v>39996846</v>
      </c>
      <c r="IFP362" s="633">
        <f>SUM(IFC362:IFN362)</f>
        <v>39996846.150000013</v>
      </c>
      <c r="IFQ362" s="631" t="s">
        <v>1836</v>
      </c>
      <c r="IFR362" s="632" t="s">
        <v>1673</v>
      </c>
      <c r="IFS362" s="633">
        <v>3470702.0100000007</v>
      </c>
      <c r="IFT362" s="633">
        <v>3448347.94</v>
      </c>
      <c r="IFU362" s="633">
        <v>3398526.4800000009</v>
      </c>
      <c r="IFV362" s="633">
        <v>2159854.59</v>
      </c>
      <c r="IFW362" s="633">
        <v>3563316.060000001</v>
      </c>
      <c r="IFX362" s="633">
        <v>3305610.92</v>
      </c>
      <c r="IFY362" s="633">
        <v>3255686.1799999992</v>
      </c>
      <c r="IFZ362" s="633">
        <v>3172108.3800000018</v>
      </c>
      <c r="IGA362" s="633">
        <v>3430726.5900000026</v>
      </c>
      <c r="IGB362" s="633">
        <v>3636289.9099999997</v>
      </c>
      <c r="IGC362" s="633">
        <v>3606558.6500000022</v>
      </c>
      <c r="IGD362" s="633">
        <v>3549118.4400000018</v>
      </c>
      <c r="IGE362" s="634">
        <v>39996846</v>
      </c>
      <c r="IGF362" s="633">
        <f>SUM(IFS362:IGD362)</f>
        <v>39996846.150000013</v>
      </c>
      <c r="IGG362" s="631" t="s">
        <v>1836</v>
      </c>
      <c r="IGH362" s="632" t="s">
        <v>1673</v>
      </c>
      <c r="IGI362" s="633">
        <v>3470702.0100000007</v>
      </c>
      <c r="IGJ362" s="633">
        <v>3448347.94</v>
      </c>
      <c r="IGK362" s="633">
        <v>3398526.4800000009</v>
      </c>
      <c r="IGL362" s="633">
        <v>2159854.59</v>
      </c>
      <c r="IGM362" s="633">
        <v>3563316.060000001</v>
      </c>
      <c r="IGN362" s="633">
        <v>3305610.92</v>
      </c>
      <c r="IGO362" s="633">
        <v>3255686.1799999992</v>
      </c>
      <c r="IGP362" s="633">
        <v>3172108.3800000018</v>
      </c>
      <c r="IGQ362" s="633">
        <v>3430726.5900000026</v>
      </c>
      <c r="IGR362" s="633">
        <v>3636289.9099999997</v>
      </c>
      <c r="IGS362" s="633">
        <v>3606558.6500000022</v>
      </c>
      <c r="IGT362" s="633">
        <v>3549118.4400000018</v>
      </c>
      <c r="IGU362" s="634">
        <v>39996846</v>
      </c>
      <c r="IGV362" s="633">
        <f>SUM(IGI362:IGT362)</f>
        <v>39996846.150000013</v>
      </c>
      <c r="IGW362" s="631" t="s">
        <v>1836</v>
      </c>
      <c r="IGX362" s="632" t="s">
        <v>1673</v>
      </c>
      <c r="IGY362" s="633">
        <v>3470702.0100000007</v>
      </c>
      <c r="IGZ362" s="633">
        <v>3448347.94</v>
      </c>
      <c r="IHA362" s="633">
        <v>3398526.4800000009</v>
      </c>
      <c r="IHB362" s="633">
        <v>2159854.59</v>
      </c>
      <c r="IHC362" s="633">
        <v>3563316.060000001</v>
      </c>
      <c r="IHD362" s="633">
        <v>3305610.92</v>
      </c>
      <c r="IHE362" s="633">
        <v>3255686.1799999992</v>
      </c>
      <c r="IHF362" s="633">
        <v>3172108.3800000018</v>
      </c>
      <c r="IHG362" s="633">
        <v>3430726.5900000026</v>
      </c>
      <c r="IHH362" s="633">
        <v>3636289.9099999997</v>
      </c>
      <c r="IHI362" s="633">
        <v>3606558.6500000022</v>
      </c>
      <c r="IHJ362" s="633">
        <v>3549118.4400000018</v>
      </c>
      <c r="IHK362" s="634">
        <v>39996846</v>
      </c>
      <c r="IHL362" s="633">
        <f>SUM(IGY362:IHJ362)</f>
        <v>39996846.150000013</v>
      </c>
      <c r="IHM362" s="631" t="s">
        <v>1836</v>
      </c>
      <c r="IHN362" s="632" t="s">
        <v>1673</v>
      </c>
      <c r="IHO362" s="633">
        <v>3470702.0100000007</v>
      </c>
      <c r="IHP362" s="633">
        <v>3448347.94</v>
      </c>
      <c r="IHQ362" s="633">
        <v>3398526.4800000009</v>
      </c>
      <c r="IHR362" s="633">
        <v>2159854.59</v>
      </c>
      <c r="IHS362" s="633">
        <v>3563316.060000001</v>
      </c>
      <c r="IHT362" s="633">
        <v>3305610.92</v>
      </c>
      <c r="IHU362" s="633">
        <v>3255686.1799999992</v>
      </c>
      <c r="IHV362" s="633">
        <v>3172108.3800000018</v>
      </c>
      <c r="IHW362" s="633">
        <v>3430726.5900000026</v>
      </c>
      <c r="IHX362" s="633">
        <v>3636289.9099999997</v>
      </c>
      <c r="IHY362" s="633">
        <v>3606558.6500000022</v>
      </c>
      <c r="IHZ362" s="633">
        <v>3549118.4400000018</v>
      </c>
      <c r="IIA362" s="634">
        <v>39996846</v>
      </c>
      <c r="IIB362" s="633">
        <f>SUM(IHO362:IHZ362)</f>
        <v>39996846.150000013</v>
      </c>
      <c r="IIC362" s="631" t="s">
        <v>1836</v>
      </c>
      <c r="IID362" s="632" t="s">
        <v>1673</v>
      </c>
      <c r="IIE362" s="633">
        <v>3470702.0100000007</v>
      </c>
      <c r="IIF362" s="633">
        <v>3448347.94</v>
      </c>
      <c r="IIG362" s="633">
        <v>3398526.4800000009</v>
      </c>
      <c r="IIH362" s="633">
        <v>2159854.59</v>
      </c>
      <c r="III362" s="633">
        <v>3563316.060000001</v>
      </c>
      <c r="IIJ362" s="633">
        <v>3305610.92</v>
      </c>
      <c r="IIK362" s="633">
        <v>3255686.1799999992</v>
      </c>
      <c r="IIL362" s="633">
        <v>3172108.3800000018</v>
      </c>
      <c r="IIM362" s="633">
        <v>3430726.5900000026</v>
      </c>
      <c r="IIN362" s="633">
        <v>3636289.9099999997</v>
      </c>
      <c r="IIO362" s="633">
        <v>3606558.6500000022</v>
      </c>
      <c r="IIP362" s="633">
        <v>3549118.4400000018</v>
      </c>
      <c r="IIQ362" s="634">
        <v>39996846</v>
      </c>
      <c r="IIR362" s="633">
        <f>SUM(IIE362:IIP362)</f>
        <v>39996846.150000013</v>
      </c>
      <c r="IIS362" s="631" t="s">
        <v>1836</v>
      </c>
      <c r="IIT362" s="632" t="s">
        <v>1673</v>
      </c>
      <c r="IIU362" s="633">
        <v>3470702.0100000007</v>
      </c>
      <c r="IIV362" s="633">
        <v>3448347.94</v>
      </c>
      <c r="IIW362" s="633">
        <v>3398526.4800000009</v>
      </c>
      <c r="IIX362" s="633">
        <v>2159854.59</v>
      </c>
      <c r="IIY362" s="633">
        <v>3563316.060000001</v>
      </c>
      <c r="IIZ362" s="633">
        <v>3305610.92</v>
      </c>
      <c r="IJA362" s="633">
        <v>3255686.1799999992</v>
      </c>
      <c r="IJB362" s="633">
        <v>3172108.3800000018</v>
      </c>
      <c r="IJC362" s="633">
        <v>3430726.5900000026</v>
      </c>
      <c r="IJD362" s="633">
        <v>3636289.9099999997</v>
      </c>
      <c r="IJE362" s="633">
        <v>3606558.6500000022</v>
      </c>
      <c r="IJF362" s="633">
        <v>3549118.4400000018</v>
      </c>
      <c r="IJG362" s="634">
        <v>39996846</v>
      </c>
      <c r="IJH362" s="633">
        <f>SUM(IIU362:IJF362)</f>
        <v>39996846.150000013</v>
      </c>
      <c r="IJI362" s="631" t="s">
        <v>1836</v>
      </c>
      <c r="IJJ362" s="632" t="s">
        <v>1673</v>
      </c>
      <c r="IJK362" s="633">
        <v>3470702.0100000007</v>
      </c>
      <c r="IJL362" s="633">
        <v>3448347.94</v>
      </c>
      <c r="IJM362" s="633">
        <v>3398526.4800000009</v>
      </c>
      <c r="IJN362" s="633">
        <v>2159854.59</v>
      </c>
      <c r="IJO362" s="633">
        <v>3563316.060000001</v>
      </c>
      <c r="IJP362" s="633">
        <v>3305610.92</v>
      </c>
      <c r="IJQ362" s="633">
        <v>3255686.1799999992</v>
      </c>
      <c r="IJR362" s="633">
        <v>3172108.3800000018</v>
      </c>
      <c r="IJS362" s="633">
        <v>3430726.5900000026</v>
      </c>
      <c r="IJT362" s="633">
        <v>3636289.9099999997</v>
      </c>
      <c r="IJU362" s="633">
        <v>3606558.6500000022</v>
      </c>
      <c r="IJV362" s="633">
        <v>3549118.4400000018</v>
      </c>
      <c r="IJW362" s="634">
        <v>39996846</v>
      </c>
      <c r="IJX362" s="633">
        <f>SUM(IJK362:IJV362)</f>
        <v>39996846.150000013</v>
      </c>
      <c r="IJY362" s="631" t="s">
        <v>1836</v>
      </c>
      <c r="IJZ362" s="632" t="s">
        <v>1673</v>
      </c>
      <c r="IKA362" s="633">
        <v>3470702.0100000007</v>
      </c>
      <c r="IKB362" s="633">
        <v>3448347.94</v>
      </c>
      <c r="IKC362" s="633">
        <v>3398526.4800000009</v>
      </c>
      <c r="IKD362" s="633">
        <v>2159854.59</v>
      </c>
      <c r="IKE362" s="633">
        <v>3563316.060000001</v>
      </c>
      <c r="IKF362" s="633">
        <v>3305610.92</v>
      </c>
      <c r="IKG362" s="633">
        <v>3255686.1799999992</v>
      </c>
      <c r="IKH362" s="633">
        <v>3172108.3800000018</v>
      </c>
      <c r="IKI362" s="633">
        <v>3430726.5900000026</v>
      </c>
      <c r="IKJ362" s="633">
        <v>3636289.9099999997</v>
      </c>
      <c r="IKK362" s="633">
        <v>3606558.6500000022</v>
      </c>
      <c r="IKL362" s="633">
        <v>3549118.4400000018</v>
      </c>
      <c r="IKM362" s="634">
        <v>39996846</v>
      </c>
      <c r="IKN362" s="633">
        <f>SUM(IKA362:IKL362)</f>
        <v>39996846.150000013</v>
      </c>
      <c r="IKO362" s="631" t="s">
        <v>1836</v>
      </c>
      <c r="IKP362" s="632" t="s">
        <v>1673</v>
      </c>
      <c r="IKQ362" s="633">
        <v>3470702.0100000007</v>
      </c>
      <c r="IKR362" s="633">
        <v>3448347.94</v>
      </c>
      <c r="IKS362" s="633">
        <v>3398526.4800000009</v>
      </c>
      <c r="IKT362" s="633">
        <v>2159854.59</v>
      </c>
      <c r="IKU362" s="633">
        <v>3563316.060000001</v>
      </c>
      <c r="IKV362" s="633">
        <v>3305610.92</v>
      </c>
      <c r="IKW362" s="633">
        <v>3255686.1799999992</v>
      </c>
      <c r="IKX362" s="633">
        <v>3172108.3800000018</v>
      </c>
      <c r="IKY362" s="633">
        <v>3430726.5900000026</v>
      </c>
      <c r="IKZ362" s="633">
        <v>3636289.9099999997</v>
      </c>
      <c r="ILA362" s="633">
        <v>3606558.6500000022</v>
      </c>
      <c r="ILB362" s="633">
        <v>3549118.4400000018</v>
      </c>
      <c r="ILC362" s="634">
        <v>39996846</v>
      </c>
      <c r="ILD362" s="633">
        <f>SUM(IKQ362:ILB362)</f>
        <v>39996846.150000013</v>
      </c>
      <c r="ILE362" s="631" t="s">
        <v>1836</v>
      </c>
      <c r="ILF362" s="632" t="s">
        <v>1673</v>
      </c>
      <c r="ILG362" s="633">
        <v>3470702.0100000007</v>
      </c>
      <c r="ILH362" s="633">
        <v>3448347.94</v>
      </c>
      <c r="ILI362" s="633">
        <v>3398526.4800000009</v>
      </c>
      <c r="ILJ362" s="633">
        <v>2159854.59</v>
      </c>
      <c r="ILK362" s="633">
        <v>3563316.060000001</v>
      </c>
      <c r="ILL362" s="633">
        <v>3305610.92</v>
      </c>
      <c r="ILM362" s="633">
        <v>3255686.1799999992</v>
      </c>
      <c r="ILN362" s="633">
        <v>3172108.3800000018</v>
      </c>
      <c r="ILO362" s="633">
        <v>3430726.5900000026</v>
      </c>
      <c r="ILP362" s="633">
        <v>3636289.9099999997</v>
      </c>
      <c r="ILQ362" s="633">
        <v>3606558.6500000022</v>
      </c>
      <c r="ILR362" s="633">
        <v>3549118.4400000018</v>
      </c>
      <c r="ILS362" s="634">
        <v>39996846</v>
      </c>
      <c r="ILT362" s="633">
        <f>SUM(ILG362:ILR362)</f>
        <v>39996846.150000013</v>
      </c>
      <c r="ILU362" s="631" t="s">
        <v>1836</v>
      </c>
      <c r="ILV362" s="632" t="s">
        <v>1673</v>
      </c>
      <c r="ILW362" s="633">
        <v>3470702.0100000007</v>
      </c>
      <c r="ILX362" s="633">
        <v>3448347.94</v>
      </c>
      <c r="ILY362" s="633">
        <v>3398526.4800000009</v>
      </c>
      <c r="ILZ362" s="633">
        <v>2159854.59</v>
      </c>
      <c r="IMA362" s="633">
        <v>3563316.060000001</v>
      </c>
      <c r="IMB362" s="633">
        <v>3305610.92</v>
      </c>
      <c r="IMC362" s="633">
        <v>3255686.1799999992</v>
      </c>
      <c r="IMD362" s="633">
        <v>3172108.3800000018</v>
      </c>
      <c r="IME362" s="633">
        <v>3430726.5900000026</v>
      </c>
      <c r="IMF362" s="633">
        <v>3636289.9099999997</v>
      </c>
      <c r="IMG362" s="633">
        <v>3606558.6500000022</v>
      </c>
      <c r="IMH362" s="633">
        <v>3549118.4400000018</v>
      </c>
      <c r="IMI362" s="634">
        <v>39996846</v>
      </c>
      <c r="IMJ362" s="633">
        <f>SUM(ILW362:IMH362)</f>
        <v>39996846.150000013</v>
      </c>
      <c r="IMK362" s="631" t="s">
        <v>1836</v>
      </c>
      <c r="IML362" s="632" t="s">
        <v>1673</v>
      </c>
      <c r="IMM362" s="633">
        <v>3470702.0100000007</v>
      </c>
      <c r="IMN362" s="633">
        <v>3448347.94</v>
      </c>
      <c r="IMO362" s="633">
        <v>3398526.4800000009</v>
      </c>
      <c r="IMP362" s="633">
        <v>2159854.59</v>
      </c>
      <c r="IMQ362" s="633">
        <v>3563316.060000001</v>
      </c>
      <c r="IMR362" s="633">
        <v>3305610.92</v>
      </c>
      <c r="IMS362" s="633">
        <v>3255686.1799999992</v>
      </c>
      <c r="IMT362" s="633">
        <v>3172108.3800000018</v>
      </c>
      <c r="IMU362" s="633">
        <v>3430726.5900000026</v>
      </c>
      <c r="IMV362" s="633">
        <v>3636289.9099999997</v>
      </c>
      <c r="IMW362" s="633">
        <v>3606558.6500000022</v>
      </c>
      <c r="IMX362" s="633">
        <v>3549118.4400000018</v>
      </c>
      <c r="IMY362" s="634">
        <v>39996846</v>
      </c>
      <c r="IMZ362" s="633">
        <f>SUM(IMM362:IMX362)</f>
        <v>39996846.150000013</v>
      </c>
      <c r="INA362" s="631" t="s">
        <v>1836</v>
      </c>
      <c r="INB362" s="632" t="s">
        <v>1673</v>
      </c>
      <c r="INC362" s="633">
        <v>3470702.0100000007</v>
      </c>
      <c r="IND362" s="633">
        <v>3448347.94</v>
      </c>
      <c r="INE362" s="633">
        <v>3398526.4800000009</v>
      </c>
      <c r="INF362" s="633">
        <v>2159854.59</v>
      </c>
      <c r="ING362" s="633">
        <v>3563316.060000001</v>
      </c>
      <c r="INH362" s="633">
        <v>3305610.92</v>
      </c>
      <c r="INI362" s="633">
        <v>3255686.1799999992</v>
      </c>
      <c r="INJ362" s="633">
        <v>3172108.3800000018</v>
      </c>
      <c r="INK362" s="633">
        <v>3430726.5900000026</v>
      </c>
      <c r="INL362" s="633">
        <v>3636289.9099999997</v>
      </c>
      <c r="INM362" s="633">
        <v>3606558.6500000022</v>
      </c>
      <c r="INN362" s="633">
        <v>3549118.4400000018</v>
      </c>
      <c r="INO362" s="634">
        <v>39996846</v>
      </c>
      <c r="INP362" s="633">
        <f>SUM(INC362:INN362)</f>
        <v>39996846.150000013</v>
      </c>
      <c r="INQ362" s="631" t="s">
        <v>1836</v>
      </c>
      <c r="INR362" s="632" t="s">
        <v>1673</v>
      </c>
      <c r="INS362" s="633">
        <v>3470702.0100000007</v>
      </c>
      <c r="INT362" s="633">
        <v>3448347.94</v>
      </c>
      <c r="INU362" s="633">
        <v>3398526.4800000009</v>
      </c>
      <c r="INV362" s="633">
        <v>2159854.59</v>
      </c>
      <c r="INW362" s="633">
        <v>3563316.060000001</v>
      </c>
      <c r="INX362" s="633">
        <v>3305610.92</v>
      </c>
      <c r="INY362" s="633">
        <v>3255686.1799999992</v>
      </c>
      <c r="INZ362" s="633">
        <v>3172108.3800000018</v>
      </c>
      <c r="IOA362" s="633">
        <v>3430726.5900000026</v>
      </c>
      <c r="IOB362" s="633">
        <v>3636289.9099999997</v>
      </c>
      <c r="IOC362" s="633">
        <v>3606558.6500000022</v>
      </c>
      <c r="IOD362" s="633">
        <v>3549118.4400000018</v>
      </c>
      <c r="IOE362" s="634">
        <v>39996846</v>
      </c>
      <c r="IOF362" s="633">
        <f>SUM(INS362:IOD362)</f>
        <v>39996846.150000013</v>
      </c>
      <c r="IOG362" s="631" t="s">
        <v>1836</v>
      </c>
      <c r="IOH362" s="632" t="s">
        <v>1673</v>
      </c>
      <c r="IOI362" s="633">
        <v>3470702.0100000007</v>
      </c>
      <c r="IOJ362" s="633">
        <v>3448347.94</v>
      </c>
      <c r="IOK362" s="633">
        <v>3398526.4800000009</v>
      </c>
      <c r="IOL362" s="633">
        <v>2159854.59</v>
      </c>
      <c r="IOM362" s="633">
        <v>3563316.060000001</v>
      </c>
      <c r="ION362" s="633">
        <v>3305610.92</v>
      </c>
      <c r="IOO362" s="633">
        <v>3255686.1799999992</v>
      </c>
      <c r="IOP362" s="633">
        <v>3172108.3800000018</v>
      </c>
      <c r="IOQ362" s="633">
        <v>3430726.5900000026</v>
      </c>
      <c r="IOR362" s="633">
        <v>3636289.9099999997</v>
      </c>
      <c r="IOS362" s="633">
        <v>3606558.6500000022</v>
      </c>
      <c r="IOT362" s="633">
        <v>3549118.4400000018</v>
      </c>
      <c r="IOU362" s="634">
        <v>39996846</v>
      </c>
      <c r="IOV362" s="633">
        <f>SUM(IOI362:IOT362)</f>
        <v>39996846.150000013</v>
      </c>
      <c r="IOW362" s="631" t="s">
        <v>1836</v>
      </c>
      <c r="IOX362" s="632" t="s">
        <v>1673</v>
      </c>
      <c r="IOY362" s="633">
        <v>3470702.0100000007</v>
      </c>
      <c r="IOZ362" s="633">
        <v>3448347.94</v>
      </c>
      <c r="IPA362" s="633">
        <v>3398526.4800000009</v>
      </c>
      <c r="IPB362" s="633">
        <v>2159854.59</v>
      </c>
      <c r="IPC362" s="633">
        <v>3563316.060000001</v>
      </c>
      <c r="IPD362" s="633">
        <v>3305610.92</v>
      </c>
      <c r="IPE362" s="633">
        <v>3255686.1799999992</v>
      </c>
      <c r="IPF362" s="633">
        <v>3172108.3800000018</v>
      </c>
      <c r="IPG362" s="633">
        <v>3430726.5900000026</v>
      </c>
      <c r="IPH362" s="633">
        <v>3636289.9099999997</v>
      </c>
      <c r="IPI362" s="633">
        <v>3606558.6500000022</v>
      </c>
      <c r="IPJ362" s="633">
        <v>3549118.4400000018</v>
      </c>
      <c r="IPK362" s="634">
        <v>39996846</v>
      </c>
      <c r="IPL362" s="633">
        <f>SUM(IOY362:IPJ362)</f>
        <v>39996846.150000013</v>
      </c>
      <c r="IPM362" s="631" t="s">
        <v>1836</v>
      </c>
      <c r="IPN362" s="632" t="s">
        <v>1673</v>
      </c>
      <c r="IPO362" s="633">
        <v>3470702.0100000007</v>
      </c>
      <c r="IPP362" s="633">
        <v>3448347.94</v>
      </c>
      <c r="IPQ362" s="633">
        <v>3398526.4800000009</v>
      </c>
      <c r="IPR362" s="633">
        <v>2159854.59</v>
      </c>
      <c r="IPS362" s="633">
        <v>3563316.060000001</v>
      </c>
      <c r="IPT362" s="633">
        <v>3305610.92</v>
      </c>
      <c r="IPU362" s="633">
        <v>3255686.1799999992</v>
      </c>
      <c r="IPV362" s="633">
        <v>3172108.3800000018</v>
      </c>
      <c r="IPW362" s="633">
        <v>3430726.5900000026</v>
      </c>
      <c r="IPX362" s="633">
        <v>3636289.9099999997</v>
      </c>
      <c r="IPY362" s="633">
        <v>3606558.6500000022</v>
      </c>
      <c r="IPZ362" s="633">
        <v>3549118.4400000018</v>
      </c>
      <c r="IQA362" s="634">
        <v>39996846</v>
      </c>
      <c r="IQB362" s="633">
        <f>SUM(IPO362:IPZ362)</f>
        <v>39996846.150000013</v>
      </c>
      <c r="IQC362" s="631" t="s">
        <v>1836</v>
      </c>
      <c r="IQD362" s="632" t="s">
        <v>1673</v>
      </c>
      <c r="IQE362" s="633">
        <v>3470702.0100000007</v>
      </c>
      <c r="IQF362" s="633">
        <v>3448347.94</v>
      </c>
      <c r="IQG362" s="633">
        <v>3398526.4800000009</v>
      </c>
      <c r="IQH362" s="633">
        <v>2159854.59</v>
      </c>
      <c r="IQI362" s="633">
        <v>3563316.060000001</v>
      </c>
      <c r="IQJ362" s="633">
        <v>3305610.92</v>
      </c>
      <c r="IQK362" s="633">
        <v>3255686.1799999992</v>
      </c>
      <c r="IQL362" s="633">
        <v>3172108.3800000018</v>
      </c>
      <c r="IQM362" s="633">
        <v>3430726.5900000026</v>
      </c>
      <c r="IQN362" s="633">
        <v>3636289.9099999997</v>
      </c>
      <c r="IQO362" s="633">
        <v>3606558.6500000022</v>
      </c>
      <c r="IQP362" s="633">
        <v>3549118.4400000018</v>
      </c>
      <c r="IQQ362" s="634">
        <v>39996846</v>
      </c>
      <c r="IQR362" s="633">
        <f>SUM(IQE362:IQP362)</f>
        <v>39996846.150000013</v>
      </c>
      <c r="IQS362" s="631" t="s">
        <v>1836</v>
      </c>
      <c r="IQT362" s="632" t="s">
        <v>1673</v>
      </c>
      <c r="IQU362" s="633">
        <v>3470702.0100000007</v>
      </c>
      <c r="IQV362" s="633">
        <v>3448347.94</v>
      </c>
      <c r="IQW362" s="633">
        <v>3398526.4800000009</v>
      </c>
      <c r="IQX362" s="633">
        <v>2159854.59</v>
      </c>
      <c r="IQY362" s="633">
        <v>3563316.060000001</v>
      </c>
      <c r="IQZ362" s="633">
        <v>3305610.92</v>
      </c>
      <c r="IRA362" s="633">
        <v>3255686.1799999992</v>
      </c>
      <c r="IRB362" s="633">
        <v>3172108.3800000018</v>
      </c>
      <c r="IRC362" s="633">
        <v>3430726.5900000026</v>
      </c>
      <c r="IRD362" s="633">
        <v>3636289.9099999997</v>
      </c>
      <c r="IRE362" s="633">
        <v>3606558.6500000022</v>
      </c>
      <c r="IRF362" s="633">
        <v>3549118.4400000018</v>
      </c>
      <c r="IRG362" s="634">
        <v>39996846</v>
      </c>
      <c r="IRH362" s="633">
        <f>SUM(IQU362:IRF362)</f>
        <v>39996846.150000013</v>
      </c>
      <c r="IRI362" s="631" t="s">
        <v>1836</v>
      </c>
      <c r="IRJ362" s="632" t="s">
        <v>1673</v>
      </c>
      <c r="IRK362" s="633">
        <v>3470702.0100000007</v>
      </c>
      <c r="IRL362" s="633">
        <v>3448347.94</v>
      </c>
      <c r="IRM362" s="633">
        <v>3398526.4800000009</v>
      </c>
      <c r="IRN362" s="633">
        <v>2159854.59</v>
      </c>
      <c r="IRO362" s="633">
        <v>3563316.060000001</v>
      </c>
      <c r="IRP362" s="633">
        <v>3305610.92</v>
      </c>
      <c r="IRQ362" s="633">
        <v>3255686.1799999992</v>
      </c>
      <c r="IRR362" s="633">
        <v>3172108.3800000018</v>
      </c>
      <c r="IRS362" s="633">
        <v>3430726.5900000026</v>
      </c>
      <c r="IRT362" s="633">
        <v>3636289.9099999997</v>
      </c>
      <c r="IRU362" s="633">
        <v>3606558.6500000022</v>
      </c>
      <c r="IRV362" s="633">
        <v>3549118.4400000018</v>
      </c>
      <c r="IRW362" s="634">
        <v>39996846</v>
      </c>
      <c r="IRX362" s="633">
        <f>SUM(IRK362:IRV362)</f>
        <v>39996846.150000013</v>
      </c>
      <c r="IRY362" s="631" t="s">
        <v>1836</v>
      </c>
      <c r="IRZ362" s="632" t="s">
        <v>1673</v>
      </c>
      <c r="ISA362" s="633">
        <v>3470702.0100000007</v>
      </c>
      <c r="ISB362" s="633">
        <v>3448347.94</v>
      </c>
      <c r="ISC362" s="633">
        <v>3398526.4800000009</v>
      </c>
      <c r="ISD362" s="633">
        <v>2159854.59</v>
      </c>
      <c r="ISE362" s="633">
        <v>3563316.060000001</v>
      </c>
      <c r="ISF362" s="633">
        <v>3305610.92</v>
      </c>
      <c r="ISG362" s="633">
        <v>3255686.1799999992</v>
      </c>
      <c r="ISH362" s="633">
        <v>3172108.3800000018</v>
      </c>
      <c r="ISI362" s="633">
        <v>3430726.5900000026</v>
      </c>
      <c r="ISJ362" s="633">
        <v>3636289.9099999997</v>
      </c>
      <c r="ISK362" s="633">
        <v>3606558.6500000022</v>
      </c>
      <c r="ISL362" s="633">
        <v>3549118.4400000018</v>
      </c>
      <c r="ISM362" s="634">
        <v>39996846</v>
      </c>
      <c r="ISN362" s="633">
        <f>SUM(ISA362:ISL362)</f>
        <v>39996846.150000013</v>
      </c>
      <c r="ISO362" s="631" t="s">
        <v>1836</v>
      </c>
      <c r="ISP362" s="632" t="s">
        <v>1673</v>
      </c>
      <c r="ISQ362" s="633">
        <v>3470702.0100000007</v>
      </c>
      <c r="ISR362" s="633">
        <v>3448347.94</v>
      </c>
      <c r="ISS362" s="633">
        <v>3398526.4800000009</v>
      </c>
      <c r="IST362" s="633">
        <v>2159854.59</v>
      </c>
      <c r="ISU362" s="633">
        <v>3563316.060000001</v>
      </c>
      <c r="ISV362" s="633">
        <v>3305610.92</v>
      </c>
      <c r="ISW362" s="633">
        <v>3255686.1799999992</v>
      </c>
      <c r="ISX362" s="633">
        <v>3172108.3800000018</v>
      </c>
      <c r="ISY362" s="633">
        <v>3430726.5900000026</v>
      </c>
      <c r="ISZ362" s="633">
        <v>3636289.9099999997</v>
      </c>
      <c r="ITA362" s="633">
        <v>3606558.6500000022</v>
      </c>
      <c r="ITB362" s="633">
        <v>3549118.4400000018</v>
      </c>
      <c r="ITC362" s="634">
        <v>39996846</v>
      </c>
      <c r="ITD362" s="633">
        <f>SUM(ISQ362:ITB362)</f>
        <v>39996846.150000013</v>
      </c>
      <c r="ITE362" s="631" t="s">
        <v>1836</v>
      </c>
      <c r="ITF362" s="632" t="s">
        <v>1673</v>
      </c>
      <c r="ITG362" s="633">
        <v>3470702.0100000007</v>
      </c>
      <c r="ITH362" s="633">
        <v>3448347.94</v>
      </c>
      <c r="ITI362" s="633">
        <v>3398526.4800000009</v>
      </c>
      <c r="ITJ362" s="633">
        <v>2159854.59</v>
      </c>
      <c r="ITK362" s="633">
        <v>3563316.060000001</v>
      </c>
      <c r="ITL362" s="633">
        <v>3305610.92</v>
      </c>
      <c r="ITM362" s="633">
        <v>3255686.1799999992</v>
      </c>
      <c r="ITN362" s="633">
        <v>3172108.3800000018</v>
      </c>
      <c r="ITO362" s="633">
        <v>3430726.5900000026</v>
      </c>
      <c r="ITP362" s="633">
        <v>3636289.9099999997</v>
      </c>
      <c r="ITQ362" s="633">
        <v>3606558.6500000022</v>
      </c>
      <c r="ITR362" s="633">
        <v>3549118.4400000018</v>
      </c>
      <c r="ITS362" s="634">
        <v>39996846</v>
      </c>
      <c r="ITT362" s="633">
        <f>SUM(ITG362:ITR362)</f>
        <v>39996846.150000013</v>
      </c>
      <c r="ITU362" s="631" t="s">
        <v>1836</v>
      </c>
      <c r="ITV362" s="632" t="s">
        <v>1673</v>
      </c>
      <c r="ITW362" s="633">
        <v>3470702.0100000007</v>
      </c>
      <c r="ITX362" s="633">
        <v>3448347.94</v>
      </c>
      <c r="ITY362" s="633">
        <v>3398526.4800000009</v>
      </c>
      <c r="ITZ362" s="633">
        <v>2159854.59</v>
      </c>
      <c r="IUA362" s="633">
        <v>3563316.060000001</v>
      </c>
      <c r="IUB362" s="633">
        <v>3305610.92</v>
      </c>
      <c r="IUC362" s="633">
        <v>3255686.1799999992</v>
      </c>
      <c r="IUD362" s="633">
        <v>3172108.3800000018</v>
      </c>
      <c r="IUE362" s="633">
        <v>3430726.5900000026</v>
      </c>
      <c r="IUF362" s="633">
        <v>3636289.9099999997</v>
      </c>
      <c r="IUG362" s="633">
        <v>3606558.6500000022</v>
      </c>
      <c r="IUH362" s="633">
        <v>3549118.4400000018</v>
      </c>
      <c r="IUI362" s="634">
        <v>39996846</v>
      </c>
      <c r="IUJ362" s="633">
        <f>SUM(ITW362:IUH362)</f>
        <v>39996846.150000013</v>
      </c>
      <c r="IUK362" s="631" t="s">
        <v>1836</v>
      </c>
      <c r="IUL362" s="632" t="s">
        <v>1673</v>
      </c>
      <c r="IUM362" s="633">
        <v>3470702.0100000007</v>
      </c>
      <c r="IUN362" s="633">
        <v>3448347.94</v>
      </c>
      <c r="IUO362" s="633">
        <v>3398526.4800000009</v>
      </c>
      <c r="IUP362" s="633">
        <v>2159854.59</v>
      </c>
      <c r="IUQ362" s="633">
        <v>3563316.060000001</v>
      </c>
      <c r="IUR362" s="633">
        <v>3305610.92</v>
      </c>
      <c r="IUS362" s="633">
        <v>3255686.1799999992</v>
      </c>
      <c r="IUT362" s="633">
        <v>3172108.3800000018</v>
      </c>
      <c r="IUU362" s="633">
        <v>3430726.5900000026</v>
      </c>
      <c r="IUV362" s="633">
        <v>3636289.9099999997</v>
      </c>
      <c r="IUW362" s="633">
        <v>3606558.6500000022</v>
      </c>
      <c r="IUX362" s="633">
        <v>3549118.4400000018</v>
      </c>
      <c r="IUY362" s="634">
        <v>39996846</v>
      </c>
      <c r="IUZ362" s="633">
        <f>SUM(IUM362:IUX362)</f>
        <v>39996846.150000013</v>
      </c>
      <c r="IVA362" s="631" t="s">
        <v>1836</v>
      </c>
      <c r="IVB362" s="632" t="s">
        <v>1673</v>
      </c>
      <c r="IVC362" s="633">
        <v>3470702.0100000007</v>
      </c>
      <c r="IVD362" s="633">
        <v>3448347.94</v>
      </c>
      <c r="IVE362" s="633">
        <v>3398526.4800000009</v>
      </c>
      <c r="IVF362" s="633">
        <v>2159854.59</v>
      </c>
      <c r="IVG362" s="633">
        <v>3563316.060000001</v>
      </c>
      <c r="IVH362" s="633">
        <v>3305610.92</v>
      </c>
      <c r="IVI362" s="633">
        <v>3255686.1799999992</v>
      </c>
      <c r="IVJ362" s="633">
        <v>3172108.3800000018</v>
      </c>
      <c r="IVK362" s="633">
        <v>3430726.5900000026</v>
      </c>
      <c r="IVL362" s="633">
        <v>3636289.9099999997</v>
      </c>
      <c r="IVM362" s="633">
        <v>3606558.6500000022</v>
      </c>
      <c r="IVN362" s="633">
        <v>3549118.4400000018</v>
      </c>
      <c r="IVO362" s="634">
        <v>39996846</v>
      </c>
      <c r="IVP362" s="633">
        <f>SUM(IVC362:IVN362)</f>
        <v>39996846.150000013</v>
      </c>
      <c r="IVQ362" s="631" t="s">
        <v>1836</v>
      </c>
      <c r="IVR362" s="632" t="s">
        <v>1673</v>
      </c>
      <c r="IVS362" s="633">
        <v>3470702.0100000007</v>
      </c>
      <c r="IVT362" s="633">
        <v>3448347.94</v>
      </c>
      <c r="IVU362" s="633">
        <v>3398526.4800000009</v>
      </c>
      <c r="IVV362" s="633">
        <v>2159854.59</v>
      </c>
      <c r="IVW362" s="633">
        <v>3563316.060000001</v>
      </c>
      <c r="IVX362" s="633">
        <v>3305610.92</v>
      </c>
      <c r="IVY362" s="633">
        <v>3255686.1799999992</v>
      </c>
      <c r="IVZ362" s="633">
        <v>3172108.3800000018</v>
      </c>
      <c r="IWA362" s="633">
        <v>3430726.5900000026</v>
      </c>
      <c r="IWB362" s="633">
        <v>3636289.9099999997</v>
      </c>
      <c r="IWC362" s="633">
        <v>3606558.6500000022</v>
      </c>
      <c r="IWD362" s="633">
        <v>3549118.4400000018</v>
      </c>
      <c r="IWE362" s="634">
        <v>39996846</v>
      </c>
      <c r="IWF362" s="633">
        <f>SUM(IVS362:IWD362)</f>
        <v>39996846.150000013</v>
      </c>
      <c r="IWG362" s="631" t="s">
        <v>1836</v>
      </c>
      <c r="IWH362" s="632" t="s">
        <v>1673</v>
      </c>
      <c r="IWI362" s="633">
        <v>3470702.0100000007</v>
      </c>
      <c r="IWJ362" s="633">
        <v>3448347.94</v>
      </c>
      <c r="IWK362" s="633">
        <v>3398526.4800000009</v>
      </c>
      <c r="IWL362" s="633">
        <v>2159854.59</v>
      </c>
      <c r="IWM362" s="633">
        <v>3563316.060000001</v>
      </c>
      <c r="IWN362" s="633">
        <v>3305610.92</v>
      </c>
      <c r="IWO362" s="633">
        <v>3255686.1799999992</v>
      </c>
      <c r="IWP362" s="633">
        <v>3172108.3800000018</v>
      </c>
      <c r="IWQ362" s="633">
        <v>3430726.5900000026</v>
      </c>
      <c r="IWR362" s="633">
        <v>3636289.9099999997</v>
      </c>
      <c r="IWS362" s="633">
        <v>3606558.6500000022</v>
      </c>
      <c r="IWT362" s="633">
        <v>3549118.4400000018</v>
      </c>
      <c r="IWU362" s="634">
        <v>39996846</v>
      </c>
      <c r="IWV362" s="633">
        <f>SUM(IWI362:IWT362)</f>
        <v>39996846.150000013</v>
      </c>
      <c r="IWW362" s="631" t="s">
        <v>1836</v>
      </c>
      <c r="IWX362" s="632" t="s">
        <v>1673</v>
      </c>
      <c r="IWY362" s="633">
        <v>3470702.0100000007</v>
      </c>
      <c r="IWZ362" s="633">
        <v>3448347.94</v>
      </c>
      <c r="IXA362" s="633">
        <v>3398526.4800000009</v>
      </c>
      <c r="IXB362" s="633">
        <v>2159854.59</v>
      </c>
      <c r="IXC362" s="633">
        <v>3563316.060000001</v>
      </c>
      <c r="IXD362" s="633">
        <v>3305610.92</v>
      </c>
      <c r="IXE362" s="633">
        <v>3255686.1799999992</v>
      </c>
      <c r="IXF362" s="633">
        <v>3172108.3800000018</v>
      </c>
      <c r="IXG362" s="633">
        <v>3430726.5900000026</v>
      </c>
      <c r="IXH362" s="633">
        <v>3636289.9099999997</v>
      </c>
      <c r="IXI362" s="633">
        <v>3606558.6500000022</v>
      </c>
      <c r="IXJ362" s="633">
        <v>3549118.4400000018</v>
      </c>
      <c r="IXK362" s="634">
        <v>39996846</v>
      </c>
      <c r="IXL362" s="633">
        <f>SUM(IWY362:IXJ362)</f>
        <v>39996846.150000013</v>
      </c>
      <c r="IXM362" s="631" t="s">
        <v>1836</v>
      </c>
      <c r="IXN362" s="632" t="s">
        <v>1673</v>
      </c>
      <c r="IXO362" s="633">
        <v>3470702.0100000007</v>
      </c>
      <c r="IXP362" s="633">
        <v>3448347.94</v>
      </c>
      <c r="IXQ362" s="633">
        <v>3398526.4800000009</v>
      </c>
      <c r="IXR362" s="633">
        <v>2159854.59</v>
      </c>
      <c r="IXS362" s="633">
        <v>3563316.060000001</v>
      </c>
      <c r="IXT362" s="633">
        <v>3305610.92</v>
      </c>
      <c r="IXU362" s="633">
        <v>3255686.1799999992</v>
      </c>
      <c r="IXV362" s="633">
        <v>3172108.3800000018</v>
      </c>
      <c r="IXW362" s="633">
        <v>3430726.5900000026</v>
      </c>
      <c r="IXX362" s="633">
        <v>3636289.9099999997</v>
      </c>
      <c r="IXY362" s="633">
        <v>3606558.6500000022</v>
      </c>
      <c r="IXZ362" s="633">
        <v>3549118.4400000018</v>
      </c>
      <c r="IYA362" s="634">
        <v>39996846</v>
      </c>
      <c r="IYB362" s="633">
        <f>SUM(IXO362:IXZ362)</f>
        <v>39996846.150000013</v>
      </c>
      <c r="IYC362" s="631" t="s">
        <v>1836</v>
      </c>
      <c r="IYD362" s="632" t="s">
        <v>1673</v>
      </c>
      <c r="IYE362" s="633">
        <v>3470702.0100000007</v>
      </c>
      <c r="IYF362" s="633">
        <v>3448347.94</v>
      </c>
      <c r="IYG362" s="633">
        <v>3398526.4800000009</v>
      </c>
      <c r="IYH362" s="633">
        <v>2159854.59</v>
      </c>
      <c r="IYI362" s="633">
        <v>3563316.060000001</v>
      </c>
      <c r="IYJ362" s="633">
        <v>3305610.92</v>
      </c>
      <c r="IYK362" s="633">
        <v>3255686.1799999992</v>
      </c>
      <c r="IYL362" s="633">
        <v>3172108.3800000018</v>
      </c>
      <c r="IYM362" s="633">
        <v>3430726.5900000026</v>
      </c>
      <c r="IYN362" s="633">
        <v>3636289.9099999997</v>
      </c>
      <c r="IYO362" s="633">
        <v>3606558.6500000022</v>
      </c>
      <c r="IYP362" s="633">
        <v>3549118.4400000018</v>
      </c>
      <c r="IYQ362" s="634">
        <v>39996846</v>
      </c>
      <c r="IYR362" s="633">
        <f>SUM(IYE362:IYP362)</f>
        <v>39996846.150000013</v>
      </c>
      <c r="IYS362" s="631" t="s">
        <v>1836</v>
      </c>
      <c r="IYT362" s="632" t="s">
        <v>1673</v>
      </c>
      <c r="IYU362" s="633">
        <v>3470702.0100000007</v>
      </c>
      <c r="IYV362" s="633">
        <v>3448347.94</v>
      </c>
      <c r="IYW362" s="633">
        <v>3398526.4800000009</v>
      </c>
      <c r="IYX362" s="633">
        <v>2159854.59</v>
      </c>
      <c r="IYY362" s="633">
        <v>3563316.060000001</v>
      </c>
      <c r="IYZ362" s="633">
        <v>3305610.92</v>
      </c>
      <c r="IZA362" s="633">
        <v>3255686.1799999992</v>
      </c>
      <c r="IZB362" s="633">
        <v>3172108.3800000018</v>
      </c>
      <c r="IZC362" s="633">
        <v>3430726.5900000026</v>
      </c>
      <c r="IZD362" s="633">
        <v>3636289.9099999997</v>
      </c>
      <c r="IZE362" s="633">
        <v>3606558.6500000022</v>
      </c>
      <c r="IZF362" s="633">
        <v>3549118.4400000018</v>
      </c>
      <c r="IZG362" s="634">
        <v>39996846</v>
      </c>
      <c r="IZH362" s="633">
        <f>SUM(IYU362:IZF362)</f>
        <v>39996846.150000013</v>
      </c>
      <c r="IZI362" s="631" t="s">
        <v>1836</v>
      </c>
      <c r="IZJ362" s="632" t="s">
        <v>1673</v>
      </c>
      <c r="IZK362" s="633">
        <v>3470702.0100000007</v>
      </c>
      <c r="IZL362" s="633">
        <v>3448347.94</v>
      </c>
      <c r="IZM362" s="633">
        <v>3398526.4800000009</v>
      </c>
      <c r="IZN362" s="633">
        <v>2159854.59</v>
      </c>
      <c r="IZO362" s="633">
        <v>3563316.060000001</v>
      </c>
      <c r="IZP362" s="633">
        <v>3305610.92</v>
      </c>
      <c r="IZQ362" s="633">
        <v>3255686.1799999992</v>
      </c>
      <c r="IZR362" s="633">
        <v>3172108.3800000018</v>
      </c>
      <c r="IZS362" s="633">
        <v>3430726.5900000026</v>
      </c>
      <c r="IZT362" s="633">
        <v>3636289.9099999997</v>
      </c>
      <c r="IZU362" s="633">
        <v>3606558.6500000022</v>
      </c>
      <c r="IZV362" s="633">
        <v>3549118.4400000018</v>
      </c>
      <c r="IZW362" s="634">
        <v>39996846</v>
      </c>
      <c r="IZX362" s="633">
        <f>SUM(IZK362:IZV362)</f>
        <v>39996846.150000013</v>
      </c>
      <c r="IZY362" s="631" t="s">
        <v>1836</v>
      </c>
      <c r="IZZ362" s="632" t="s">
        <v>1673</v>
      </c>
      <c r="JAA362" s="633">
        <v>3470702.0100000007</v>
      </c>
      <c r="JAB362" s="633">
        <v>3448347.94</v>
      </c>
      <c r="JAC362" s="633">
        <v>3398526.4800000009</v>
      </c>
      <c r="JAD362" s="633">
        <v>2159854.59</v>
      </c>
      <c r="JAE362" s="633">
        <v>3563316.060000001</v>
      </c>
      <c r="JAF362" s="633">
        <v>3305610.92</v>
      </c>
      <c r="JAG362" s="633">
        <v>3255686.1799999992</v>
      </c>
      <c r="JAH362" s="633">
        <v>3172108.3800000018</v>
      </c>
      <c r="JAI362" s="633">
        <v>3430726.5900000026</v>
      </c>
      <c r="JAJ362" s="633">
        <v>3636289.9099999997</v>
      </c>
      <c r="JAK362" s="633">
        <v>3606558.6500000022</v>
      </c>
      <c r="JAL362" s="633">
        <v>3549118.4400000018</v>
      </c>
      <c r="JAM362" s="634">
        <v>39996846</v>
      </c>
      <c r="JAN362" s="633">
        <f>SUM(JAA362:JAL362)</f>
        <v>39996846.150000013</v>
      </c>
      <c r="JAO362" s="631" t="s">
        <v>1836</v>
      </c>
      <c r="JAP362" s="632" t="s">
        <v>1673</v>
      </c>
      <c r="JAQ362" s="633">
        <v>3470702.0100000007</v>
      </c>
      <c r="JAR362" s="633">
        <v>3448347.94</v>
      </c>
      <c r="JAS362" s="633">
        <v>3398526.4800000009</v>
      </c>
      <c r="JAT362" s="633">
        <v>2159854.59</v>
      </c>
      <c r="JAU362" s="633">
        <v>3563316.060000001</v>
      </c>
      <c r="JAV362" s="633">
        <v>3305610.92</v>
      </c>
      <c r="JAW362" s="633">
        <v>3255686.1799999992</v>
      </c>
      <c r="JAX362" s="633">
        <v>3172108.3800000018</v>
      </c>
      <c r="JAY362" s="633">
        <v>3430726.5900000026</v>
      </c>
      <c r="JAZ362" s="633">
        <v>3636289.9099999997</v>
      </c>
      <c r="JBA362" s="633">
        <v>3606558.6500000022</v>
      </c>
      <c r="JBB362" s="633">
        <v>3549118.4400000018</v>
      </c>
      <c r="JBC362" s="634">
        <v>39996846</v>
      </c>
      <c r="JBD362" s="633">
        <f>SUM(JAQ362:JBB362)</f>
        <v>39996846.150000013</v>
      </c>
      <c r="JBE362" s="631" t="s">
        <v>1836</v>
      </c>
      <c r="JBF362" s="632" t="s">
        <v>1673</v>
      </c>
      <c r="JBG362" s="633">
        <v>3470702.0100000007</v>
      </c>
      <c r="JBH362" s="633">
        <v>3448347.94</v>
      </c>
      <c r="JBI362" s="633">
        <v>3398526.4800000009</v>
      </c>
      <c r="JBJ362" s="633">
        <v>2159854.59</v>
      </c>
      <c r="JBK362" s="633">
        <v>3563316.060000001</v>
      </c>
      <c r="JBL362" s="633">
        <v>3305610.92</v>
      </c>
      <c r="JBM362" s="633">
        <v>3255686.1799999992</v>
      </c>
      <c r="JBN362" s="633">
        <v>3172108.3800000018</v>
      </c>
      <c r="JBO362" s="633">
        <v>3430726.5900000026</v>
      </c>
      <c r="JBP362" s="633">
        <v>3636289.9099999997</v>
      </c>
      <c r="JBQ362" s="633">
        <v>3606558.6500000022</v>
      </c>
      <c r="JBR362" s="633">
        <v>3549118.4400000018</v>
      </c>
      <c r="JBS362" s="634">
        <v>39996846</v>
      </c>
      <c r="JBT362" s="633">
        <f>SUM(JBG362:JBR362)</f>
        <v>39996846.150000013</v>
      </c>
      <c r="JBU362" s="631" t="s">
        <v>1836</v>
      </c>
      <c r="JBV362" s="632" t="s">
        <v>1673</v>
      </c>
      <c r="JBW362" s="633">
        <v>3470702.0100000007</v>
      </c>
      <c r="JBX362" s="633">
        <v>3448347.94</v>
      </c>
      <c r="JBY362" s="633">
        <v>3398526.4800000009</v>
      </c>
      <c r="JBZ362" s="633">
        <v>2159854.59</v>
      </c>
      <c r="JCA362" s="633">
        <v>3563316.060000001</v>
      </c>
      <c r="JCB362" s="633">
        <v>3305610.92</v>
      </c>
      <c r="JCC362" s="633">
        <v>3255686.1799999992</v>
      </c>
      <c r="JCD362" s="633">
        <v>3172108.3800000018</v>
      </c>
      <c r="JCE362" s="633">
        <v>3430726.5900000026</v>
      </c>
      <c r="JCF362" s="633">
        <v>3636289.9099999997</v>
      </c>
      <c r="JCG362" s="633">
        <v>3606558.6500000022</v>
      </c>
      <c r="JCH362" s="633">
        <v>3549118.4400000018</v>
      </c>
      <c r="JCI362" s="634">
        <v>39996846</v>
      </c>
      <c r="JCJ362" s="633">
        <f>SUM(JBW362:JCH362)</f>
        <v>39996846.150000013</v>
      </c>
      <c r="JCK362" s="631" t="s">
        <v>1836</v>
      </c>
      <c r="JCL362" s="632" t="s">
        <v>1673</v>
      </c>
      <c r="JCM362" s="633">
        <v>3470702.0100000007</v>
      </c>
      <c r="JCN362" s="633">
        <v>3448347.94</v>
      </c>
      <c r="JCO362" s="633">
        <v>3398526.4800000009</v>
      </c>
      <c r="JCP362" s="633">
        <v>2159854.59</v>
      </c>
      <c r="JCQ362" s="633">
        <v>3563316.060000001</v>
      </c>
      <c r="JCR362" s="633">
        <v>3305610.92</v>
      </c>
      <c r="JCS362" s="633">
        <v>3255686.1799999992</v>
      </c>
      <c r="JCT362" s="633">
        <v>3172108.3800000018</v>
      </c>
      <c r="JCU362" s="633">
        <v>3430726.5900000026</v>
      </c>
      <c r="JCV362" s="633">
        <v>3636289.9099999997</v>
      </c>
      <c r="JCW362" s="633">
        <v>3606558.6500000022</v>
      </c>
      <c r="JCX362" s="633">
        <v>3549118.4400000018</v>
      </c>
      <c r="JCY362" s="634">
        <v>39996846</v>
      </c>
      <c r="JCZ362" s="633">
        <f>SUM(JCM362:JCX362)</f>
        <v>39996846.150000013</v>
      </c>
      <c r="JDA362" s="631" t="s">
        <v>1836</v>
      </c>
      <c r="JDB362" s="632" t="s">
        <v>1673</v>
      </c>
      <c r="JDC362" s="633">
        <v>3470702.0100000007</v>
      </c>
      <c r="JDD362" s="633">
        <v>3448347.94</v>
      </c>
      <c r="JDE362" s="633">
        <v>3398526.4800000009</v>
      </c>
      <c r="JDF362" s="633">
        <v>2159854.59</v>
      </c>
      <c r="JDG362" s="633">
        <v>3563316.060000001</v>
      </c>
      <c r="JDH362" s="633">
        <v>3305610.92</v>
      </c>
      <c r="JDI362" s="633">
        <v>3255686.1799999992</v>
      </c>
      <c r="JDJ362" s="633">
        <v>3172108.3800000018</v>
      </c>
      <c r="JDK362" s="633">
        <v>3430726.5900000026</v>
      </c>
      <c r="JDL362" s="633">
        <v>3636289.9099999997</v>
      </c>
      <c r="JDM362" s="633">
        <v>3606558.6500000022</v>
      </c>
      <c r="JDN362" s="633">
        <v>3549118.4400000018</v>
      </c>
      <c r="JDO362" s="634">
        <v>39996846</v>
      </c>
      <c r="JDP362" s="633">
        <f>SUM(JDC362:JDN362)</f>
        <v>39996846.150000013</v>
      </c>
      <c r="JDQ362" s="631" t="s">
        <v>1836</v>
      </c>
      <c r="JDR362" s="632" t="s">
        <v>1673</v>
      </c>
      <c r="JDS362" s="633">
        <v>3470702.0100000007</v>
      </c>
      <c r="JDT362" s="633">
        <v>3448347.94</v>
      </c>
      <c r="JDU362" s="633">
        <v>3398526.4800000009</v>
      </c>
      <c r="JDV362" s="633">
        <v>2159854.59</v>
      </c>
      <c r="JDW362" s="633">
        <v>3563316.060000001</v>
      </c>
      <c r="JDX362" s="633">
        <v>3305610.92</v>
      </c>
      <c r="JDY362" s="633">
        <v>3255686.1799999992</v>
      </c>
      <c r="JDZ362" s="633">
        <v>3172108.3800000018</v>
      </c>
      <c r="JEA362" s="633">
        <v>3430726.5900000026</v>
      </c>
      <c r="JEB362" s="633">
        <v>3636289.9099999997</v>
      </c>
      <c r="JEC362" s="633">
        <v>3606558.6500000022</v>
      </c>
      <c r="JED362" s="633">
        <v>3549118.4400000018</v>
      </c>
      <c r="JEE362" s="634">
        <v>39996846</v>
      </c>
      <c r="JEF362" s="633">
        <f>SUM(JDS362:JED362)</f>
        <v>39996846.150000013</v>
      </c>
      <c r="JEG362" s="631" t="s">
        <v>1836</v>
      </c>
      <c r="JEH362" s="632" t="s">
        <v>1673</v>
      </c>
      <c r="JEI362" s="633">
        <v>3470702.0100000007</v>
      </c>
      <c r="JEJ362" s="633">
        <v>3448347.94</v>
      </c>
      <c r="JEK362" s="633">
        <v>3398526.4800000009</v>
      </c>
      <c r="JEL362" s="633">
        <v>2159854.59</v>
      </c>
      <c r="JEM362" s="633">
        <v>3563316.060000001</v>
      </c>
      <c r="JEN362" s="633">
        <v>3305610.92</v>
      </c>
      <c r="JEO362" s="633">
        <v>3255686.1799999992</v>
      </c>
      <c r="JEP362" s="633">
        <v>3172108.3800000018</v>
      </c>
      <c r="JEQ362" s="633">
        <v>3430726.5900000026</v>
      </c>
      <c r="JER362" s="633">
        <v>3636289.9099999997</v>
      </c>
      <c r="JES362" s="633">
        <v>3606558.6500000022</v>
      </c>
      <c r="JET362" s="633">
        <v>3549118.4400000018</v>
      </c>
      <c r="JEU362" s="634">
        <v>39996846</v>
      </c>
      <c r="JEV362" s="633">
        <f>SUM(JEI362:JET362)</f>
        <v>39996846.150000013</v>
      </c>
      <c r="JEW362" s="631" t="s">
        <v>1836</v>
      </c>
      <c r="JEX362" s="632" t="s">
        <v>1673</v>
      </c>
      <c r="JEY362" s="633">
        <v>3470702.0100000007</v>
      </c>
      <c r="JEZ362" s="633">
        <v>3448347.94</v>
      </c>
      <c r="JFA362" s="633">
        <v>3398526.4800000009</v>
      </c>
      <c r="JFB362" s="633">
        <v>2159854.59</v>
      </c>
      <c r="JFC362" s="633">
        <v>3563316.060000001</v>
      </c>
      <c r="JFD362" s="633">
        <v>3305610.92</v>
      </c>
      <c r="JFE362" s="633">
        <v>3255686.1799999992</v>
      </c>
      <c r="JFF362" s="633">
        <v>3172108.3800000018</v>
      </c>
      <c r="JFG362" s="633">
        <v>3430726.5900000026</v>
      </c>
      <c r="JFH362" s="633">
        <v>3636289.9099999997</v>
      </c>
      <c r="JFI362" s="633">
        <v>3606558.6500000022</v>
      </c>
      <c r="JFJ362" s="633">
        <v>3549118.4400000018</v>
      </c>
      <c r="JFK362" s="634">
        <v>39996846</v>
      </c>
      <c r="JFL362" s="633">
        <f>SUM(JEY362:JFJ362)</f>
        <v>39996846.150000013</v>
      </c>
      <c r="JFM362" s="631" t="s">
        <v>1836</v>
      </c>
      <c r="JFN362" s="632" t="s">
        <v>1673</v>
      </c>
      <c r="JFO362" s="633">
        <v>3470702.0100000007</v>
      </c>
      <c r="JFP362" s="633">
        <v>3448347.94</v>
      </c>
      <c r="JFQ362" s="633">
        <v>3398526.4800000009</v>
      </c>
      <c r="JFR362" s="633">
        <v>2159854.59</v>
      </c>
      <c r="JFS362" s="633">
        <v>3563316.060000001</v>
      </c>
      <c r="JFT362" s="633">
        <v>3305610.92</v>
      </c>
      <c r="JFU362" s="633">
        <v>3255686.1799999992</v>
      </c>
      <c r="JFV362" s="633">
        <v>3172108.3800000018</v>
      </c>
      <c r="JFW362" s="633">
        <v>3430726.5900000026</v>
      </c>
      <c r="JFX362" s="633">
        <v>3636289.9099999997</v>
      </c>
      <c r="JFY362" s="633">
        <v>3606558.6500000022</v>
      </c>
      <c r="JFZ362" s="633">
        <v>3549118.4400000018</v>
      </c>
      <c r="JGA362" s="634">
        <v>39996846</v>
      </c>
      <c r="JGB362" s="633">
        <f>SUM(JFO362:JFZ362)</f>
        <v>39996846.150000013</v>
      </c>
      <c r="JGC362" s="631" t="s">
        <v>1836</v>
      </c>
      <c r="JGD362" s="632" t="s">
        <v>1673</v>
      </c>
      <c r="JGE362" s="633">
        <v>3470702.0100000007</v>
      </c>
      <c r="JGF362" s="633">
        <v>3448347.94</v>
      </c>
      <c r="JGG362" s="633">
        <v>3398526.4800000009</v>
      </c>
      <c r="JGH362" s="633">
        <v>2159854.59</v>
      </c>
      <c r="JGI362" s="633">
        <v>3563316.060000001</v>
      </c>
      <c r="JGJ362" s="633">
        <v>3305610.92</v>
      </c>
      <c r="JGK362" s="633">
        <v>3255686.1799999992</v>
      </c>
      <c r="JGL362" s="633">
        <v>3172108.3800000018</v>
      </c>
      <c r="JGM362" s="633">
        <v>3430726.5900000026</v>
      </c>
      <c r="JGN362" s="633">
        <v>3636289.9099999997</v>
      </c>
      <c r="JGO362" s="633">
        <v>3606558.6500000022</v>
      </c>
      <c r="JGP362" s="633">
        <v>3549118.4400000018</v>
      </c>
      <c r="JGQ362" s="634">
        <v>39996846</v>
      </c>
      <c r="JGR362" s="633">
        <f>SUM(JGE362:JGP362)</f>
        <v>39996846.150000013</v>
      </c>
      <c r="JGS362" s="631" t="s">
        <v>1836</v>
      </c>
      <c r="JGT362" s="632" t="s">
        <v>1673</v>
      </c>
      <c r="JGU362" s="633">
        <v>3470702.0100000007</v>
      </c>
      <c r="JGV362" s="633">
        <v>3448347.94</v>
      </c>
      <c r="JGW362" s="633">
        <v>3398526.4800000009</v>
      </c>
      <c r="JGX362" s="633">
        <v>2159854.59</v>
      </c>
      <c r="JGY362" s="633">
        <v>3563316.060000001</v>
      </c>
      <c r="JGZ362" s="633">
        <v>3305610.92</v>
      </c>
      <c r="JHA362" s="633">
        <v>3255686.1799999992</v>
      </c>
      <c r="JHB362" s="633">
        <v>3172108.3800000018</v>
      </c>
      <c r="JHC362" s="633">
        <v>3430726.5900000026</v>
      </c>
      <c r="JHD362" s="633">
        <v>3636289.9099999997</v>
      </c>
      <c r="JHE362" s="633">
        <v>3606558.6500000022</v>
      </c>
      <c r="JHF362" s="633">
        <v>3549118.4400000018</v>
      </c>
      <c r="JHG362" s="634">
        <v>39996846</v>
      </c>
      <c r="JHH362" s="633">
        <f>SUM(JGU362:JHF362)</f>
        <v>39996846.150000013</v>
      </c>
      <c r="JHI362" s="631" t="s">
        <v>1836</v>
      </c>
      <c r="JHJ362" s="632" t="s">
        <v>1673</v>
      </c>
      <c r="JHK362" s="633">
        <v>3470702.0100000007</v>
      </c>
      <c r="JHL362" s="633">
        <v>3448347.94</v>
      </c>
      <c r="JHM362" s="633">
        <v>3398526.4800000009</v>
      </c>
      <c r="JHN362" s="633">
        <v>2159854.59</v>
      </c>
      <c r="JHO362" s="633">
        <v>3563316.060000001</v>
      </c>
      <c r="JHP362" s="633">
        <v>3305610.92</v>
      </c>
      <c r="JHQ362" s="633">
        <v>3255686.1799999992</v>
      </c>
      <c r="JHR362" s="633">
        <v>3172108.3800000018</v>
      </c>
      <c r="JHS362" s="633">
        <v>3430726.5900000026</v>
      </c>
      <c r="JHT362" s="633">
        <v>3636289.9099999997</v>
      </c>
      <c r="JHU362" s="633">
        <v>3606558.6500000022</v>
      </c>
      <c r="JHV362" s="633">
        <v>3549118.4400000018</v>
      </c>
      <c r="JHW362" s="634">
        <v>39996846</v>
      </c>
      <c r="JHX362" s="633">
        <f>SUM(JHK362:JHV362)</f>
        <v>39996846.150000013</v>
      </c>
      <c r="JHY362" s="631" t="s">
        <v>1836</v>
      </c>
      <c r="JHZ362" s="632" t="s">
        <v>1673</v>
      </c>
      <c r="JIA362" s="633">
        <v>3470702.0100000007</v>
      </c>
      <c r="JIB362" s="633">
        <v>3448347.94</v>
      </c>
      <c r="JIC362" s="633">
        <v>3398526.4800000009</v>
      </c>
      <c r="JID362" s="633">
        <v>2159854.59</v>
      </c>
      <c r="JIE362" s="633">
        <v>3563316.060000001</v>
      </c>
      <c r="JIF362" s="633">
        <v>3305610.92</v>
      </c>
      <c r="JIG362" s="633">
        <v>3255686.1799999992</v>
      </c>
      <c r="JIH362" s="633">
        <v>3172108.3800000018</v>
      </c>
      <c r="JII362" s="633">
        <v>3430726.5900000026</v>
      </c>
      <c r="JIJ362" s="633">
        <v>3636289.9099999997</v>
      </c>
      <c r="JIK362" s="633">
        <v>3606558.6500000022</v>
      </c>
      <c r="JIL362" s="633">
        <v>3549118.4400000018</v>
      </c>
      <c r="JIM362" s="634">
        <v>39996846</v>
      </c>
      <c r="JIN362" s="633">
        <f>SUM(JIA362:JIL362)</f>
        <v>39996846.150000013</v>
      </c>
      <c r="JIO362" s="631" t="s">
        <v>1836</v>
      </c>
      <c r="JIP362" s="632" t="s">
        <v>1673</v>
      </c>
      <c r="JIQ362" s="633">
        <v>3470702.0100000007</v>
      </c>
      <c r="JIR362" s="633">
        <v>3448347.94</v>
      </c>
      <c r="JIS362" s="633">
        <v>3398526.4800000009</v>
      </c>
      <c r="JIT362" s="633">
        <v>2159854.59</v>
      </c>
      <c r="JIU362" s="633">
        <v>3563316.060000001</v>
      </c>
      <c r="JIV362" s="633">
        <v>3305610.92</v>
      </c>
      <c r="JIW362" s="633">
        <v>3255686.1799999992</v>
      </c>
      <c r="JIX362" s="633">
        <v>3172108.3800000018</v>
      </c>
      <c r="JIY362" s="633">
        <v>3430726.5900000026</v>
      </c>
      <c r="JIZ362" s="633">
        <v>3636289.9099999997</v>
      </c>
      <c r="JJA362" s="633">
        <v>3606558.6500000022</v>
      </c>
      <c r="JJB362" s="633">
        <v>3549118.4400000018</v>
      </c>
      <c r="JJC362" s="634">
        <v>39996846</v>
      </c>
      <c r="JJD362" s="633">
        <f>SUM(JIQ362:JJB362)</f>
        <v>39996846.150000013</v>
      </c>
      <c r="JJE362" s="631" t="s">
        <v>1836</v>
      </c>
      <c r="JJF362" s="632" t="s">
        <v>1673</v>
      </c>
      <c r="JJG362" s="633">
        <v>3470702.0100000007</v>
      </c>
      <c r="JJH362" s="633">
        <v>3448347.94</v>
      </c>
      <c r="JJI362" s="633">
        <v>3398526.4800000009</v>
      </c>
      <c r="JJJ362" s="633">
        <v>2159854.59</v>
      </c>
      <c r="JJK362" s="633">
        <v>3563316.060000001</v>
      </c>
      <c r="JJL362" s="633">
        <v>3305610.92</v>
      </c>
      <c r="JJM362" s="633">
        <v>3255686.1799999992</v>
      </c>
      <c r="JJN362" s="633">
        <v>3172108.3800000018</v>
      </c>
      <c r="JJO362" s="633">
        <v>3430726.5900000026</v>
      </c>
      <c r="JJP362" s="633">
        <v>3636289.9099999997</v>
      </c>
      <c r="JJQ362" s="633">
        <v>3606558.6500000022</v>
      </c>
      <c r="JJR362" s="633">
        <v>3549118.4400000018</v>
      </c>
      <c r="JJS362" s="634">
        <v>39996846</v>
      </c>
      <c r="JJT362" s="633">
        <f>SUM(JJG362:JJR362)</f>
        <v>39996846.150000013</v>
      </c>
      <c r="JJU362" s="631" t="s">
        <v>1836</v>
      </c>
      <c r="JJV362" s="632" t="s">
        <v>1673</v>
      </c>
      <c r="JJW362" s="633">
        <v>3470702.0100000007</v>
      </c>
      <c r="JJX362" s="633">
        <v>3448347.94</v>
      </c>
      <c r="JJY362" s="633">
        <v>3398526.4800000009</v>
      </c>
      <c r="JJZ362" s="633">
        <v>2159854.59</v>
      </c>
      <c r="JKA362" s="633">
        <v>3563316.060000001</v>
      </c>
      <c r="JKB362" s="633">
        <v>3305610.92</v>
      </c>
      <c r="JKC362" s="633">
        <v>3255686.1799999992</v>
      </c>
      <c r="JKD362" s="633">
        <v>3172108.3800000018</v>
      </c>
      <c r="JKE362" s="633">
        <v>3430726.5900000026</v>
      </c>
      <c r="JKF362" s="633">
        <v>3636289.9099999997</v>
      </c>
      <c r="JKG362" s="633">
        <v>3606558.6500000022</v>
      </c>
      <c r="JKH362" s="633">
        <v>3549118.4400000018</v>
      </c>
      <c r="JKI362" s="634">
        <v>39996846</v>
      </c>
      <c r="JKJ362" s="633">
        <f>SUM(JJW362:JKH362)</f>
        <v>39996846.150000013</v>
      </c>
      <c r="JKK362" s="631" t="s">
        <v>1836</v>
      </c>
      <c r="JKL362" s="632" t="s">
        <v>1673</v>
      </c>
      <c r="JKM362" s="633">
        <v>3470702.0100000007</v>
      </c>
      <c r="JKN362" s="633">
        <v>3448347.94</v>
      </c>
      <c r="JKO362" s="633">
        <v>3398526.4800000009</v>
      </c>
      <c r="JKP362" s="633">
        <v>2159854.59</v>
      </c>
      <c r="JKQ362" s="633">
        <v>3563316.060000001</v>
      </c>
      <c r="JKR362" s="633">
        <v>3305610.92</v>
      </c>
      <c r="JKS362" s="633">
        <v>3255686.1799999992</v>
      </c>
      <c r="JKT362" s="633">
        <v>3172108.3800000018</v>
      </c>
      <c r="JKU362" s="633">
        <v>3430726.5900000026</v>
      </c>
      <c r="JKV362" s="633">
        <v>3636289.9099999997</v>
      </c>
      <c r="JKW362" s="633">
        <v>3606558.6500000022</v>
      </c>
      <c r="JKX362" s="633">
        <v>3549118.4400000018</v>
      </c>
      <c r="JKY362" s="634">
        <v>39996846</v>
      </c>
      <c r="JKZ362" s="633">
        <f>SUM(JKM362:JKX362)</f>
        <v>39996846.150000013</v>
      </c>
      <c r="JLA362" s="631" t="s">
        <v>1836</v>
      </c>
      <c r="JLB362" s="632" t="s">
        <v>1673</v>
      </c>
      <c r="JLC362" s="633">
        <v>3470702.0100000007</v>
      </c>
      <c r="JLD362" s="633">
        <v>3448347.94</v>
      </c>
      <c r="JLE362" s="633">
        <v>3398526.4800000009</v>
      </c>
      <c r="JLF362" s="633">
        <v>2159854.59</v>
      </c>
      <c r="JLG362" s="633">
        <v>3563316.060000001</v>
      </c>
      <c r="JLH362" s="633">
        <v>3305610.92</v>
      </c>
      <c r="JLI362" s="633">
        <v>3255686.1799999992</v>
      </c>
      <c r="JLJ362" s="633">
        <v>3172108.3800000018</v>
      </c>
      <c r="JLK362" s="633">
        <v>3430726.5900000026</v>
      </c>
      <c r="JLL362" s="633">
        <v>3636289.9099999997</v>
      </c>
      <c r="JLM362" s="633">
        <v>3606558.6500000022</v>
      </c>
      <c r="JLN362" s="633">
        <v>3549118.4400000018</v>
      </c>
      <c r="JLO362" s="634">
        <v>39996846</v>
      </c>
      <c r="JLP362" s="633">
        <f>SUM(JLC362:JLN362)</f>
        <v>39996846.150000013</v>
      </c>
      <c r="JLQ362" s="631" t="s">
        <v>1836</v>
      </c>
      <c r="JLR362" s="632" t="s">
        <v>1673</v>
      </c>
      <c r="JLS362" s="633">
        <v>3470702.0100000007</v>
      </c>
      <c r="JLT362" s="633">
        <v>3448347.94</v>
      </c>
      <c r="JLU362" s="633">
        <v>3398526.4800000009</v>
      </c>
      <c r="JLV362" s="633">
        <v>2159854.59</v>
      </c>
      <c r="JLW362" s="633">
        <v>3563316.060000001</v>
      </c>
      <c r="JLX362" s="633">
        <v>3305610.92</v>
      </c>
      <c r="JLY362" s="633">
        <v>3255686.1799999992</v>
      </c>
      <c r="JLZ362" s="633">
        <v>3172108.3800000018</v>
      </c>
      <c r="JMA362" s="633">
        <v>3430726.5900000026</v>
      </c>
      <c r="JMB362" s="633">
        <v>3636289.9099999997</v>
      </c>
      <c r="JMC362" s="633">
        <v>3606558.6500000022</v>
      </c>
      <c r="JMD362" s="633">
        <v>3549118.4400000018</v>
      </c>
      <c r="JME362" s="634">
        <v>39996846</v>
      </c>
      <c r="JMF362" s="633">
        <f>SUM(JLS362:JMD362)</f>
        <v>39996846.150000013</v>
      </c>
      <c r="JMG362" s="631" t="s">
        <v>1836</v>
      </c>
      <c r="JMH362" s="632" t="s">
        <v>1673</v>
      </c>
      <c r="JMI362" s="633">
        <v>3470702.0100000007</v>
      </c>
      <c r="JMJ362" s="633">
        <v>3448347.94</v>
      </c>
      <c r="JMK362" s="633">
        <v>3398526.4800000009</v>
      </c>
      <c r="JML362" s="633">
        <v>2159854.59</v>
      </c>
      <c r="JMM362" s="633">
        <v>3563316.060000001</v>
      </c>
      <c r="JMN362" s="633">
        <v>3305610.92</v>
      </c>
      <c r="JMO362" s="633">
        <v>3255686.1799999992</v>
      </c>
      <c r="JMP362" s="633">
        <v>3172108.3800000018</v>
      </c>
      <c r="JMQ362" s="633">
        <v>3430726.5900000026</v>
      </c>
      <c r="JMR362" s="633">
        <v>3636289.9099999997</v>
      </c>
      <c r="JMS362" s="633">
        <v>3606558.6500000022</v>
      </c>
      <c r="JMT362" s="633">
        <v>3549118.4400000018</v>
      </c>
      <c r="JMU362" s="634">
        <v>39996846</v>
      </c>
      <c r="JMV362" s="633">
        <f>SUM(JMI362:JMT362)</f>
        <v>39996846.150000013</v>
      </c>
      <c r="JMW362" s="631" t="s">
        <v>1836</v>
      </c>
      <c r="JMX362" s="632" t="s">
        <v>1673</v>
      </c>
      <c r="JMY362" s="633">
        <v>3470702.0100000007</v>
      </c>
      <c r="JMZ362" s="633">
        <v>3448347.94</v>
      </c>
      <c r="JNA362" s="633">
        <v>3398526.4800000009</v>
      </c>
      <c r="JNB362" s="633">
        <v>2159854.59</v>
      </c>
      <c r="JNC362" s="633">
        <v>3563316.060000001</v>
      </c>
      <c r="JND362" s="633">
        <v>3305610.92</v>
      </c>
      <c r="JNE362" s="633">
        <v>3255686.1799999992</v>
      </c>
      <c r="JNF362" s="633">
        <v>3172108.3800000018</v>
      </c>
      <c r="JNG362" s="633">
        <v>3430726.5900000026</v>
      </c>
      <c r="JNH362" s="633">
        <v>3636289.9099999997</v>
      </c>
      <c r="JNI362" s="633">
        <v>3606558.6500000022</v>
      </c>
      <c r="JNJ362" s="633">
        <v>3549118.4400000018</v>
      </c>
      <c r="JNK362" s="634">
        <v>39996846</v>
      </c>
      <c r="JNL362" s="633">
        <f>SUM(JMY362:JNJ362)</f>
        <v>39996846.150000013</v>
      </c>
      <c r="JNM362" s="631" t="s">
        <v>1836</v>
      </c>
      <c r="JNN362" s="632" t="s">
        <v>1673</v>
      </c>
      <c r="JNO362" s="633">
        <v>3470702.0100000007</v>
      </c>
      <c r="JNP362" s="633">
        <v>3448347.94</v>
      </c>
      <c r="JNQ362" s="633">
        <v>3398526.4800000009</v>
      </c>
      <c r="JNR362" s="633">
        <v>2159854.59</v>
      </c>
      <c r="JNS362" s="633">
        <v>3563316.060000001</v>
      </c>
      <c r="JNT362" s="633">
        <v>3305610.92</v>
      </c>
      <c r="JNU362" s="633">
        <v>3255686.1799999992</v>
      </c>
      <c r="JNV362" s="633">
        <v>3172108.3800000018</v>
      </c>
      <c r="JNW362" s="633">
        <v>3430726.5900000026</v>
      </c>
      <c r="JNX362" s="633">
        <v>3636289.9099999997</v>
      </c>
      <c r="JNY362" s="633">
        <v>3606558.6500000022</v>
      </c>
      <c r="JNZ362" s="633">
        <v>3549118.4400000018</v>
      </c>
      <c r="JOA362" s="634">
        <v>39996846</v>
      </c>
      <c r="JOB362" s="633">
        <f>SUM(JNO362:JNZ362)</f>
        <v>39996846.150000013</v>
      </c>
      <c r="JOC362" s="631" t="s">
        <v>1836</v>
      </c>
      <c r="JOD362" s="632" t="s">
        <v>1673</v>
      </c>
      <c r="JOE362" s="633">
        <v>3470702.0100000007</v>
      </c>
      <c r="JOF362" s="633">
        <v>3448347.94</v>
      </c>
      <c r="JOG362" s="633">
        <v>3398526.4800000009</v>
      </c>
      <c r="JOH362" s="633">
        <v>2159854.59</v>
      </c>
      <c r="JOI362" s="633">
        <v>3563316.060000001</v>
      </c>
      <c r="JOJ362" s="633">
        <v>3305610.92</v>
      </c>
      <c r="JOK362" s="633">
        <v>3255686.1799999992</v>
      </c>
      <c r="JOL362" s="633">
        <v>3172108.3800000018</v>
      </c>
      <c r="JOM362" s="633">
        <v>3430726.5900000026</v>
      </c>
      <c r="JON362" s="633">
        <v>3636289.9099999997</v>
      </c>
      <c r="JOO362" s="633">
        <v>3606558.6500000022</v>
      </c>
      <c r="JOP362" s="633">
        <v>3549118.4400000018</v>
      </c>
      <c r="JOQ362" s="634">
        <v>39996846</v>
      </c>
      <c r="JOR362" s="633">
        <f>SUM(JOE362:JOP362)</f>
        <v>39996846.150000013</v>
      </c>
      <c r="JOS362" s="631" t="s">
        <v>1836</v>
      </c>
      <c r="JOT362" s="632" t="s">
        <v>1673</v>
      </c>
      <c r="JOU362" s="633">
        <v>3470702.0100000007</v>
      </c>
      <c r="JOV362" s="633">
        <v>3448347.94</v>
      </c>
      <c r="JOW362" s="633">
        <v>3398526.4800000009</v>
      </c>
      <c r="JOX362" s="633">
        <v>2159854.59</v>
      </c>
      <c r="JOY362" s="633">
        <v>3563316.060000001</v>
      </c>
      <c r="JOZ362" s="633">
        <v>3305610.92</v>
      </c>
      <c r="JPA362" s="633">
        <v>3255686.1799999992</v>
      </c>
      <c r="JPB362" s="633">
        <v>3172108.3800000018</v>
      </c>
      <c r="JPC362" s="633">
        <v>3430726.5900000026</v>
      </c>
      <c r="JPD362" s="633">
        <v>3636289.9099999997</v>
      </c>
      <c r="JPE362" s="633">
        <v>3606558.6500000022</v>
      </c>
      <c r="JPF362" s="633">
        <v>3549118.4400000018</v>
      </c>
      <c r="JPG362" s="634">
        <v>39996846</v>
      </c>
      <c r="JPH362" s="633">
        <f>SUM(JOU362:JPF362)</f>
        <v>39996846.150000013</v>
      </c>
      <c r="JPI362" s="631" t="s">
        <v>1836</v>
      </c>
      <c r="JPJ362" s="632" t="s">
        <v>1673</v>
      </c>
      <c r="JPK362" s="633">
        <v>3470702.0100000007</v>
      </c>
      <c r="JPL362" s="633">
        <v>3448347.94</v>
      </c>
      <c r="JPM362" s="633">
        <v>3398526.4800000009</v>
      </c>
      <c r="JPN362" s="633">
        <v>2159854.59</v>
      </c>
      <c r="JPO362" s="633">
        <v>3563316.060000001</v>
      </c>
      <c r="JPP362" s="633">
        <v>3305610.92</v>
      </c>
      <c r="JPQ362" s="633">
        <v>3255686.1799999992</v>
      </c>
      <c r="JPR362" s="633">
        <v>3172108.3800000018</v>
      </c>
      <c r="JPS362" s="633">
        <v>3430726.5900000026</v>
      </c>
      <c r="JPT362" s="633">
        <v>3636289.9099999997</v>
      </c>
      <c r="JPU362" s="633">
        <v>3606558.6500000022</v>
      </c>
      <c r="JPV362" s="633">
        <v>3549118.4400000018</v>
      </c>
      <c r="JPW362" s="634">
        <v>39996846</v>
      </c>
      <c r="JPX362" s="633">
        <f>SUM(JPK362:JPV362)</f>
        <v>39996846.150000013</v>
      </c>
      <c r="JPY362" s="631" t="s">
        <v>1836</v>
      </c>
      <c r="JPZ362" s="632" t="s">
        <v>1673</v>
      </c>
      <c r="JQA362" s="633">
        <v>3470702.0100000007</v>
      </c>
      <c r="JQB362" s="633">
        <v>3448347.94</v>
      </c>
      <c r="JQC362" s="633">
        <v>3398526.4800000009</v>
      </c>
      <c r="JQD362" s="633">
        <v>2159854.59</v>
      </c>
      <c r="JQE362" s="633">
        <v>3563316.060000001</v>
      </c>
      <c r="JQF362" s="633">
        <v>3305610.92</v>
      </c>
      <c r="JQG362" s="633">
        <v>3255686.1799999992</v>
      </c>
      <c r="JQH362" s="633">
        <v>3172108.3800000018</v>
      </c>
      <c r="JQI362" s="633">
        <v>3430726.5900000026</v>
      </c>
      <c r="JQJ362" s="633">
        <v>3636289.9099999997</v>
      </c>
      <c r="JQK362" s="633">
        <v>3606558.6500000022</v>
      </c>
      <c r="JQL362" s="633">
        <v>3549118.4400000018</v>
      </c>
      <c r="JQM362" s="634">
        <v>39996846</v>
      </c>
      <c r="JQN362" s="633">
        <f>SUM(JQA362:JQL362)</f>
        <v>39996846.150000013</v>
      </c>
      <c r="JQO362" s="631" t="s">
        <v>1836</v>
      </c>
      <c r="JQP362" s="632" t="s">
        <v>1673</v>
      </c>
      <c r="JQQ362" s="633">
        <v>3470702.0100000007</v>
      </c>
      <c r="JQR362" s="633">
        <v>3448347.94</v>
      </c>
      <c r="JQS362" s="633">
        <v>3398526.4800000009</v>
      </c>
      <c r="JQT362" s="633">
        <v>2159854.59</v>
      </c>
      <c r="JQU362" s="633">
        <v>3563316.060000001</v>
      </c>
      <c r="JQV362" s="633">
        <v>3305610.92</v>
      </c>
      <c r="JQW362" s="633">
        <v>3255686.1799999992</v>
      </c>
      <c r="JQX362" s="633">
        <v>3172108.3800000018</v>
      </c>
      <c r="JQY362" s="633">
        <v>3430726.5900000026</v>
      </c>
      <c r="JQZ362" s="633">
        <v>3636289.9099999997</v>
      </c>
      <c r="JRA362" s="633">
        <v>3606558.6500000022</v>
      </c>
      <c r="JRB362" s="633">
        <v>3549118.4400000018</v>
      </c>
      <c r="JRC362" s="634">
        <v>39996846</v>
      </c>
      <c r="JRD362" s="633">
        <f>SUM(JQQ362:JRB362)</f>
        <v>39996846.150000013</v>
      </c>
      <c r="JRE362" s="631" t="s">
        <v>1836</v>
      </c>
      <c r="JRF362" s="632" t="s">
        <v>1673</v>
      </c>
      <c r="JRG362" s="633">
        <v>3470702.0100000007</v>
      </c>
      <c r="JRH362" s="633">
        <v>3448347.94</v>
      </c>
      <c r="JRI362" s="633">
        <v>3398526.4800000009</v>
      </c>
      <c r="JRJ362" s="633">
        <v>2159854.59</v>
      </c>
      <c r="JRK362" s="633">
        <v>3563316.060000001</v>
      </c>
      <c r="JRL362" s="633">
        <v>3305610.92</v>
      </c>
      <c r="JRM362" s="633">
        <v>3255686.1799999992</v>
      </c>
      <c r="JRN362" s="633">
        <v>3172108.3800000018</v>
      </c>
      <c r="JRO362" s="633">
        <v>3430726.5900000026</v>
      </c>
      <c r="JRP362" s="633">
        <v>3636289.9099999997</v>
      </c>
      <c r="JRQ362" s="633">
        <v>3606558.6500000022</v>
      </c>
      <c r="JRR362" s="633">
        <v>3549118.4400000018</v>
      </c>
      <c r="JRS362" s="634">
        <v>39996846</v>
      </c>
      <c r="JRT362" s="633">
        <f>SUM(JRG362:JRR362)</f>
        <v>39996846.150000013</v>
      </c>
      <c r="JRU362" s="631" t="s">
        <v>1836</v>
      </c>
      <c r="JRV362" s="632" t="s">
        <v>1673</v>
      </c>
      <c r="JRW362" s="633">
        <v>3470702.0100000007</v>
      </c>
      <c r="JRX362" s="633">
        <v>3448347.94</v>
      </c>
      <c r="JRY362" s="633">
        <v>3398526.4800000009</v>
      </c>
      <c r="JRZ362" s="633">
        <v>2159854.59</v>
      </c>
      <c r="JSA362" s="633">
        <v>3563316.060000001</v>
      </c>
      <c r="JSB362" s="633">
        <v>3305610.92</v>
      </c>
      <c r="JSC362" s="633">
        <v>3255686.1799999992</v>
      </c>
      <c r="JSD362" s="633">
        <v>3172108.3800000018</v>
      </c>
      <c r="JSE362" s="633">
        <v>3430726.5900000026</v>
      </c>
      <c r="JSF362" s="633">
        <v>3636289.9099999997</v>
      </c>
      <c r="JSG362" s="633">
        <v>3606558.6500000022</v>
      </c>
      <c r="JSH362" s="633">
        <v>3549118.4400000018</v>
      </c>
      <c r="JSI362" s="634">
        <v>39996846</v>
      </c>
      <c r="JSJ362" s="633">
        <f>SUM(JRW362:JSH362)</f>
        <v>39996846.150000013</v>
      </c>
      <c r="JSK362" s="631" t="s">
        <v>1836</v>
      </c>
      <c r="JSL362" s="632" t="s">
        <v>1673</v>
      </c>
      <c r="JSM362" s="633">
        <v>3470702.0100000007</v>
      </c>
      <c r="JSN362" s="633">
        <v>3448347.94</v>
      </c>
      <c r="JSO362" s="633">
        <v>3398526.4800000009</v>
      </c>
      <c r="JSP362" s="633">
        <v>2159854.59</v>
      </c>
      <c r="JSQ362" s="633">
        <v>3563316.060000001</v>
      </c>
      <c r="JSR362" s="633">
        <v>3305610.92</v>
      </c>
      <c r="JSS362" s="633">
        <v>3255686.1799999992</v>
      </c>
      <c r="JST362" s="633">
        <v>3172108.3800000018</v>
      </c>
      <c r="JSU362" s="633">
        <v>3430726.5900000026</v>
      </c>
      <c r="JSV362" s="633">
        <v>3636289.9099999997</v>
      </c>
      <c r="JSW362" s="633">
        <v>3606558.6500000022</v>
      </c>
      <c r="JSX362" s="633">
        <v>3549118.4400000018</v>
      </c>
      <c r="JSY362" s="634">
        <v>39996846</v>
      </c>
      <c r="JSZ362" s="633">
        <f>SUM(JSM362:JSX362)</f>
        <v>39996846.150000013</v>
      </c>
      <c r="JTA362" s="631" t="s">
        <v>1836</v>
      </c>
      <c r="JTB362" s="632" t="s">
        <v>1673</v>
      </c>
      <c r="JTC362" s="633">
        <v>3470702.0100000007</v>
      </c>
      <c r="JTD362" s="633">
        <v>3448347.94</v>
      </c>
      <c r="JTE362" s="633">
        <v>3398526.4800000009</v>
      </c>
      <c r="JTF362" s="633">
        <v>2159854.59</v>
      </c>
      <c r="JTG362" s="633">
        <v>3563316.060000001</v>
      </c>
      <c r="JTH362" s="633">
        <v>3305610.92</v>
      </c>
      <c r="JTI362" s="633">
        <v>3255686.1799999992</v>
      </c>
      <c r="JTJ362" s="633">
        <v>3172108.3800000018</v>
      </c>
      <c r="JTK362" s="633">
        <v>3430726.5900000026</v>
      </c>
      <c r="JTL362" s="633">
        <v>3636289.9099999997</v>
      </c>
      <c r="JTM362" s="633">
        <v>3606558.6500000022</v>
      </c>
      <c r="JTN362" s="633">
        <v>3549118.4400000018</v>
      </c>
      <c r="JTO362" s="634">
        <v>39996846</v>
      </c>
      <c r="JTP362" s="633">
        <f>SUM(JTC362:JTN362)</f>
        <v>39996846.150000013</v>
      </c>
      <c r="JTQ362" s="631" t="s">
        <v>1836</v>
      </c>
      <c r="JTR362" s="632" t="s">
        <v>1673</v>
      </c>
      <c r="JTS362" s="633">
        <v>3470702.0100000007</v>
      </c>
      <c r="JTT362" s="633">
        <v>3448347.94</v>
      </c>
      <c r="JTU362" s="633">
        <v>3398526.4800000009</v>
      </c>
      <c r="JTV362" s="633">
        <v>2159854.59</v>
      </c>
      <c r="JTW362" s="633">
        <v>3563316.060000001</v>
      </c>
      <c r="JTX362" s="633">
        <v>3305610.92</v>
      </c>
      <c r="JTY362" s="633">
        <v>3255686.1799999992</v>
      </c>
      <c r="JTZ362" s="633">
        <v>3172108.3800000018</v>
      </c>
      <c r="JUA362" s="633">
        <v>3430726.5900000026</v>
      </c>
      <c r="JUB362" s="633">
        <v>3636289.9099999997</v>
      </c>
      <c r="JUC362" s="633">
        <v>3606558.6500000022</v>
      </c>
      <c r="JUD362" s="633">
        <v>3549118.4400000018</v>
      </c>
      <c r="JUE362" s="634">
        <v>39996846</v>
      </c>
      <c r="JUF362" s="633">
        <f>SUM(JTS362:JUD362)</f>
        <v>39996846.150000013</v>
      </c>
      <c r="JUG362" s="631" t="s">
        <v>1836</v>
      </c>
      <c r="JUH362" s="632" t="s">
        <v>1673</v>
      </c>
      <c r="JUI362" s="633">
        <v>3470702.0100000007</v>
      </c>
      <c r="JUJ362" s="633">
        <v>3448347.94</v>
      </c>
      <c r="JUK362" s="633">
        <v>3398526.4800000009</v>
      </c>
      <c r="JUL362" s="633">
        <v>2159854.59</v>
      </c>
      <c r="JUM362" s="633">
        <v>3563316.060000001</v>
      </c>
      <c r="JUN362" s="633">
        <v>3305610.92</v>
      </c>
      <c r="JUO362" s="633">
        <v>3255686.1799999992</v>
      </c>
      <c r="JUP362" s="633">
        <v>3172108.3800000018</v>
      </c>
      <c r="JUQ362" s="633">
        <v>3430726.5900000026</v>
      </c>
      <c r="JUR362" s="633">
        <v>3636289.9099999997</v>
      </c>
      <c r="JUS362" s="633">
        <v>3606558.6500000022</v>
      </c>
      <c r="JUT362" s="633">
        <v>3549118.4400000018</v>
      </c>
      <c r="JUU362" s="634">
        <v>39996846</v>
      </c>
      <c r="JUV362" s="633">
        <f>SUM(JUI362:JUT362)</f>
        <v>39996846.150000013</v>
      </c>
      <c r="JUW362" s="631" t="s">
        <v>1836</v>
      </c>
      <c r="JUX362" s="632" t="s">
        <v>1673</v>
      </c>
      <c r="JUY362" s="633">
        <v>3470702.0100000007</v>
      </c>
      <c r="JUZ362" s="633">
        <v>3448347.94</v>
      </c>
      <c r="JVA362" s="633">
        <v>3398526.4800000009</v>
      </c>
      <c r="JVB362" s="633">
        <v>2159854.59</v>
      </c>
      <c r="JVC362" s="633">
        <v>3563316.060000001</v>
      </c>
      <c r="JVD362" s="633">
        <v>3305610.92</v>
      </c>
      <c r="JVE362" s="633">
        <v>3255686.1799999992</v>
      </c>
      <c r="JVF362" s="633">
        <v>3172108.3800000018</v>
      </c>
      <c r="JVG362" s="633">
        <v>3430726.5900000026</v>
      </c>
      <c r="JVH362" s="633">
        <v>3636289.9099999997</v>
      </c>
      <c r="JVI362" s="633">
        <v>3606558.6500000022</v>
      </c>
      <c r="JVJ362" s="633">
        <v>3549118.4400000018</v>
      </c>
      <c r="JVK362" s="634">
        <v>39996846</v>
      </c>
      <c r="JVL362" s="633">
        <f>SUM(JUY362:JVJ362)</f>
        <v>39996846.150000013</v>
      </c>
      <c r="JVM362" s="631" t="s">
        <v>1836</v>
      </c>
      <c r="JVN362" s="632" t="s">
        <v>1673</v>
      </c>
      <c r="JVO362" s="633">
        <v>3470702.0100000007</v>
      </c>
      <c r="JVP362" s="633">
        <v>3448347.94</v>
      </c>
      <c r="JVQ362" s="633">
        <v>3398526.4800000009</v>
      </c>
      <c r="JVR362" s="633">
        <v>2159854.59</v>
      </c>
      <c r="JVS362" s="633">
        <v>3563316.060000001</v>
      </c>
      <c r="JVT362" s="633">
        <v>3305610.92</v>
      </c>
      <c r="JVU362" s="633">
        <v>3255686.1799999992</v>
      </c>
      <c r="JVV362" s="633">
        <v>3172108.3800000018</v>
      </c>
      <c r="JVW362" s="633">
        <v>3430726.5900000026</v>
      </c>
      <c r="JVX362" s="633">
        <v>3636289.9099999997</v>
      </c>
      <c r="JVY362" s="633">
        <v>3606558.6500000022</v>
      </c>
      <c r="JVZ362" s="633">
        <v>3549118.4400000018</v>
      </c>
      <c r="JWA362" s="634">
        <v>39996846</v>
      </c>
      <c r="JWB362" s="633">
        <f>SUM(JVO362:JVZ362)</f>
        <v>39996846.150000013</v>
      </c>
      <c r="JWC362" s="631" t="s">
        <v>1836</v>
      </c>
      <c r="JWD362" s="632" t="s">
        <v>1673</v>
      </c>
      <c r="JWE362" s="633">
        <v>3470702.0100000007</v>
      </c>
      <c r="JWF362" s="633">
        <v>3448347.94</v>
      </c>
      <c r="JWG362" s="633">
        <v>3398526.4800000009</v>
      </c>
      <c r="JWH362" s="633">
        <v>2159854.59</v>
      </c>
      <c r="JWI362" s="633">
        <v>3563316.060000001</v>
      </c>
      <c r="JWJ362" s="633">
        <v>3305610.92</v>
      </c>
      <c r="JWK362" s="633">
        <v>3255686.1799999992</v>
      </c>
      <c r="JWL362" s="633">
        <v>3172108.3800000018</v>
      </c>
      <c r="JWM362" s="633">
        <v>3430726.5900000026</v>
      </c>
      <c r="JWN362" s="633">
        <v>3636289.9099999997</v>
      </c>
      <c r="JWO362" s="633">
        <v>3606558.6500000022</v>
      </c>
      <c r="JWP362" s="633">
        <v>3549118.4400000018</v>
      </c>
      <c r="JWQ362" s="634">
        <v>39996846</v>
      </c>
      <c r="JWR362" s="633">
        <f>SUM(JWE362:JWP362)</f>
        <v>39996846.150000013</v>
      </c>
      <c r="JWS362" s="631" t="s">
        <v>1836</v>
      </c>
      <c r="JWT362" s="632" t="s">
        <v>1673</v>
      </c>
      <c r="JWU362" s="633">
        <v>3470702.0100000007</v>
      </c>
      <c r="JWV362" s="633">
        <v>3448347.94</v>
      </c>
      <c r="JWW362" s="633">
        <v>3398526.4800000009</v>
      </c>
      <c r="JWX362" s="633">
        <v>2159854.59</v>
      </c>
      <c r="JWY362" s="633">
        <v>3563316.060000001</v>
      </c>
      <c r="JWZ362" s="633">
        <v>3305610.92</v>
      </c>
      <c r="JXA362" s="633">
        <v>3255686.1799999992</v>
      </c>
      <c r="JXB362" s="633">
        <v>3172108.3800000018</v>
      </c>
      <c r="JXC362" s="633">
        <v>3430726.5900000026</v>
      </c>
      <c r="JXD362" s="633">
        <v>3636289.9099999997</v>
      </c>
      <c r="JXE362" s="633">
        <v>3606558.6500000022</v>
      </c>
      <c r="JXF362" s="633">
        <v>3549118.4400000018</v>
      </c>
      <c r="JXG362" s="634">
        <v>39996846</v>
      </c>
      <c r="JXH362" s="633">
        <f>SUM(JWU362:JXF362)</f>
        <v>39996846.150000013</v>
      </c>
      <c r="JXI362" s="631" t="s">
        <v>1836</v>
      </c>
      <c r="JXJ362" s="632" t="s">
        <v>1673</v>
      </c>
      <c r="JXK362" s="633">
        <v>3470702.0100000007</v>
      </c>
      <c r="JXL362" s="633">
        <v>3448347.94</v>
      </c>
      <c r="JXM362" s="633">
        <v>3398526.4800000009</v>
      </c>
      <c r="JXN362" s="633">
        <v>2159854.59</v>
      </c>
      <c r="JXO362" s="633">
        <v>3563316.060000001</v>
      </c>
      <c r="JXP362" s="633">
        <v>3305610.92</v>
      </c>
      <c r="JXQ362" s="633">
        <v>3255686.1799999992</v>
      </c>
      <c r="JXR362" s="633">
        <v>3172108.3800000018</v>
      </c>
      <c r="JXS362" s="633">
        <v>3430726.5900000026</v>
      </c>
      <c r="JXT362" s="633">
        <v>3636289.9099999997</v>
      </c>
      <c r="JXU362" s="633">
        <v>3606558.6500000022</v>
      </c>
      <c r="JXV362" s="633">
        <v>3549118.4400000018</v>
      </c>
      <c r="JXW362" s="634">
        <v>39996846</v>
      </c>
      <c r="JXX362" s="633">
        <f>SUM(JXK362:JXV362)</f>
        <v>39996846.150000013</v>
      </c>
      <c r="JXY362" s="631" t="s">
        <v>1836</v>
      </c>
      <c r="JXZ362" s="632" t="s">
        <v>1673</v>
      </c>
      <c r="JYA362" s="633">
        <v>3470702.0100000007</v>
      </c>
      <c r="JYB362" s="633">
        <v>3448347.94</v>
      </c>
      <c r="JYC362" s="633">
        <v>3398526.4800000009</v>
      </c>
      <c r="JYD362" s="633">
        <v>2159854.59</v>
      </c>
      <c r="JYE362" s="633">
        <v>3563316.060000001</v>
      </c>
      <c r="JYF362" s="633">
        <v>3305610.92</v>
      </c>
      <c r="JYG362" s="633">
        <v>3255686.1799999992</v>
      </c>
      <c r="JYH362" s="633">
        <v>3172108.3800000018</v>
      </c>
      <c r="JYI362" s="633">
        <v>3430726.5900000026</v>
      </c>
      <c r="JYJ362" s="633">
        <v>3636289.9099999997</v>
      </c>
      <c r="JYK362" s="633">
        <v>3606558.6500000022</v>
      </c>
      <c r="JYL362" s="633">
        <v>3549118.4400000018</v>
      </c>
      <c r="JYM362" s="634">
        <v>39996846</v>
      </c>
      <c r="JYN362" s="633">
        <f>SUM(JYA362:JYL362)</f>
        <v>39996846.150000013</v>
      </c>
      <c r="JYO362" s="631" t="s">
        <v>1836</v>
      </c>
      <c r="JYP362" s="632" t="s">
        <v>1673</v>
      </c>
      <c r="JYQ362" s="633">
        <v>3470702.0100000007</v>
      </c>
      <c r="JYR362" s="633">
        <v>3448347.94</v>
      </c>
      <c r="JYS362" s="633">
        <v>3398526.4800000009</v>
      </c>
      <c r="JYT362" s="633">
        <v>2159854.59</v>
      </c>
      <c r="JYU362" s="633">
        <v>3563316.060000001</v>
      </c>
      <c r="JYV362" s="633">
        <v>3305610.92</v>
      </c>
      <c r="JYW362" s="633">
        <v>3255686.1799999992</v>
      </c>
      <c r="JYX362" s="633">
        <v>3172108.3800000018</v>
      </c>
      <c r="JYY362" s="633">
        <v>3430726.5900000026</v>
      </c>
      <c r="JYZ362" s="633">
        <v>3636289.9099999997</v>
      </c>
      <c r="JZA362" s="633">
        <v>3606558.6500000022</v>
      </c>
      <c r="JZB362" s="633">
        <v>3549118.4400000018</v>
      </c>
      <c r="JZC362" s="634">
        <v>39996846</v>
      </c>
      <c r="JZD362" s="633">
        <f>SUM(JYQ362:JZB362)</f>
        <v>39996846.150000013</v>
      </c>
      <c r="JZE362" s="631" t="s">
        <v>1836</v>
      </c>
      <c r="JZF362" s="632" t="s">
        <v>1673</v>
      </c>
      <c r="JZG362" s="633">
        <v>3470702.0100000007</v>
      </c>
      <c r="JZH362" s="633">
        <v>3448347.94</v>
      </c>
      <c r="JZI362" s="633">
        <v>3398526.4800000009</v>
      </c>
      <c r="JZJ362" s="633">
        <v>2159854.59</v>
      </c>
      <c r="JZK362" s="633">
        <v>3563316.060000001</v>
      </c>
      <c r="JZL362" s="633">
        <v>3305610.92</v>
      </c>
      <c r="JZM362" s="633">
        <v>3255686.1799999992</v>
      </c>
      <c r="JZN362" s="633">
        <v>3172108.3800000018</v>
      </c>
      <c r="JZO362" s="633">
        <v>3430726.5900000026</v>
      </c>
      <c r="JZP362" s="633">
        <v>3636289.9099999997</v>
      </c>
      <c r="JZQ362" s="633">
        <v>3606558.6500000022</v>
      </c>
      <c r="JZR362" s="633">
        <v>3549118.4400000018</v>
      </c>
      <c r="JZS362" s="634">
        <v>39996846</v>
      </c>
      <c r="JZT362" s="633">
        <f>SUM(JZG362:JZR362)</f>
        <v>39996846.150000013</v>
      </c>
      <c r="JZU362" s="631" t="s">
        <v>1836</v>
      </c>
      <c r="JZV362" s="632" t="s">
        <v>1673</v>
      </c>
      <c r="JZW362" s="633">
        <v>3470702.0100000007</v>
      </c>
      <c r="JZX362" s="633">
        <v>3448347.94</v>
      </c>
      <c r="JZY362" s="633">
        <v>3398526.4800000009</v>
      </c>
      <c r="JZZ362" s="633">
        <v>2159854.59</v>
      </c>
      <c r="KAA362" s="633">
        <v>3563316.060000001</v>
      </c>
      <c r="KAB362" s="633">
        <v>3305610.92</v>
      </c>
      <c r="KAC362" s="633">
        <v>3255686.1799999992</v>
      </c>
      <c r="KAD362" s="633">
        <v>3172108.3800000018</v>
      </c>
      <c r="KAE362" s="633">
        <v>3430726.5900000026</v>
      </c>
      <c r="KAF362" s="633">
        <v>3636289.9099999997</v>
      </c>
      <c r="KAG362" s="633">
        <v>3606558.6500000022</v>
      </c>
      <c r="KAH362" s="633">
        <v>3549118.4400000018</v>
      </c>
      <c r="KAI362" s="634">
        <v>39996846</v>
      </c>
      <c r="KAJ362" s="633">
        <f>SUM(JZW362:KAH362)</f>
        <v>39996846.150000013</v>
      </c>
      <c r="KAK362" s="631" t="s">
        <v>1836</v>
      </c>
      <c r="KAL362" s="632" t="s">
        <v>1673</v>
      </c>
      <c r="KAM362" s="633">
        <v>3470702.0100000007</v>
      </c>
      <c r="KAN362" s="633">
        <v>3448347.94</v>
      </c>
      <c r="KAO362" s="633">
        <v>3398526.4800000009</v>
      </c>
      <c r="KAP362" s="633">
        <v>2159854.59</v>
      </c>
      <c r="KAQ362" s="633">
        <v>3563316.060000001</v>
      </c>
      <c r="KAR362" s="633">
        <v>3305610.92</v>
      </c>
      <c r="KAS362" s="633">
        <v>3255686.1799999992</v>
      </c>
      <c r="KAT362" s="633">
        <v>3172108.3800000018</v>
      </c>
      <c r="KAU362" s="633">
        <v>3430726.5900000026</v>
      </c>
      <c r="KAV362" s="633">
        <v>3636289.9099999997</v>
      </c>
      <c r="KAW362" s="633">
        <v>3606558.6500000022</v>
      </c>
      <c r="KAX362" s="633">
        <v>3549118.4400000018</v>
      </c>
      <c r="KAY362" s="634">
        <v>39996846</v>
      </c>
      <c r="KAZ362" s="633">
        <f>SUM(KAM362:KAX362)</f>
        <v>39996846.150000013</v>
      </c>
      <c r="KBA362" s="631" t="s">
        <v>1836</v>
      </c>
      <c r="KBB362" s="632" t="s">
        <v>1673</v>
      </c>
      <c r="KBC362" s="633">
        <v>3470702.0100000007</v>
      </c>
      <c r="KBD362" s="633">
        <v>3448347.94</v>
      </c>
      <c r="KBE362" s="633">
        <v>3398526.4800000009</v>
      </c>
      <c r="KBF362" s="633">
        <v>2159854.59</v>
      </c>
      <c r="KBG362" s="633">
        <v>3563316.060000001</v>
      </c>
      <c r="KBH362" s="633">
        <v>3305610.92</v>
      </c>
      <c r="KBI362" s="633">
        <v>3255686.1799999992</v>
      </c>
      <c r="KBJ362" s="633">
        <v>3172108.3800000018</v>
      </c>
      <c r="KBK362" s="633">
        <v>3430726.5900000026</v>
      </c>
      <c r="KBL362" s="633">
        <v>3636289.9099999997</v>
      </c>
      <c r="KBM362" s="633">
        <v>3606558.6500000022</v>
      </c>
      <c r="KBN362" s="633">
        <v>3549118.4400000018</v>
      </c>
      <c r="KBO362" s="634">
        <v>39996846</v>
      </c>
      <c r="KBP362" s="633">
        <f>SUM(KBC362:KBN362)</f>
        <v>39996846.150000013</v>
      </c>
      <c r="KBQ362" s="631" t="s">
        <v>1836</v>
      </c>
      <c r="KBR362" s="632" t="s">
        <v>1673</v>
      </c>
      <c r="KBS362" s="633">
        <v>3470702.0100000007</v>
      </c>
      <c r="KBT362" s="633">
        <v>3448347.94</v>
      </c>
      <c r="KBU362" s="633">
        <v>3398526.4800000009</v>
      </c>
      <c r="KBV362" s="633">
        <v>2159854.59</v>
      </c>
      <c r="KBW362" s="633">
        <v>3563316.060000001</v>
      </c>
      <c r="KBX362" s="633">
        <v>3305610.92</v>
      </c>
      <c r="KBY362" s="633">
        <v>3255686.1799999992</v>
      </c>
      <c r="KBZ362" s="633">
        <v>3172108.3800000018</v>
      </c>
      <c r="KCA362" s="633">
        <v>3430726.5900000026</v>
      </c>
      <c r="KCB362" s="633">
        <v>3636289.9099999997</v>
      </c>
      <c r="KCC362" s="633">
        <v>3606558.6500000022</v>
      </c>
      <c r="KCD362" s="633">
        <v>3549118.4400000018</v>
      </c>
      <c r="KCE362" s="634">
        <v>39996846</v>
      </c>
      <c r="KCF362" s="633">
        <f>SUM(KBS362:KCD362)</f>
        <v>39996846.150000013</v>
      </c>
      <c r="KCG362" s="631" t="s">
        <v>1836</v>
      </c>
      <c r="KCH362" s="632" t="s">
        <v>1673</v>
      </c>
      <c r="KCI362" s="633">
        <v>3470702.0100000007</v>
      </c>
      <c r="KCJ362" s="633">
        <v>3448347.94</v>
      </c>
      <c r="KCK362" s="633">
        <v>3398526.4800000009</v>
      </c>
      <c r="KCL362" s="633">
        <v>2159854.59</v>
      </c>
      <c r="KCM362" s="633">
        <v>3563316.060000001</v>
      </c>
      <c r="KCN362" s="633">
        <v>3305610.92</v>
      </c>
      <c r="KCO362" s="633">
        <v>3255686.1799999992</v>
      </c>
      <c r="KCP362" s="633">
        <v>3172108.3800000018</v>
      </c>
      <c r="KCQ362" s="633">
        <v>3430726.5900000026</v>
      </c>
      <c r="KCR362" s="633">
        <v>3636289.9099999997</v>
      </c>
      <c r="KCS362" s="633">
        <v>3606558.6500000022</v>
      </c>
      <c r="KCT362" s="633">
        <v>3549118.4400000018</v>
      </c>
      <c r="KCU362" s="634">
        <v>39996846</v>
      </c>
      <c r="KCV362" s="633">
        <f>SUM(KCI362:KCT362)</f>
        <v>39996846.150000013</v>
      </c>
      <c r="KCW362" s="631" t="s">
        <v>1836</v>
      </c>
      <c r="KCX362" s="632" t="s">
        <v>1673</v>
      </c>
      <c r="KCY362" s="633">
        <v>3470702.0100000007</v>
      </c>
      <c r="KCZ362" s="633">
        <v>3448347.94</v>
      </c>
      <c r="KDA362" s="633">
        <v>3398526.4800000009</v>
      </c>
      <c r="KDB362" s="633">
        <v>2159854.59</v>
      </c>
      <c r="KDC362" s="633">
        <v>3563316.060000001</v>
      </c>
      <c r="KDD362" s="633">
        <v>3305610.92</v>
      </c>
      <c r="KDE362" s="633">
        <v>3255686.1799999992</v>
      </c>
      <c r="KDF362" s="633">
        <v>3172108.3800000018</v>
      </c>
      <c r="KDG362" s="633">
        <v>3430726.5900000026</v>
      </c>
      <c r="KDH362" s="633">
        <v>3636289.9099999997</v>
      </c>
      <c r="KDI362" s="633">
        <v>3606558.6500000022</v>
      </c>
      <c r="KDJ362" s="633">
        <v>3549118.4400000018</v>
      </c>
      <c r="KDK362" s="634">
        <v>39996846</v>
      </c>
      <c r="KDL362" s="633">
        <f>SUM(KCY362:KDJ362)</f>
        <v>39996846.150000013</v>
      </c>
      <c r="KDM362" s="631" t="s">
        <v>1836</v>
      </c>
      <c r="KDN362" s="632" t="s">
        <v>1673</v>
      </c>
      <c r="KDO362" s="633">
        <v>3470702.0100000007</v>
      </c>
      <c r="KDP362" s="633">
        <v>3448347.94</v>
      </c>
      <c r="KDQ362" s="633">
        <v>3398526.4800000009</v>
      </c>
      <c r="KDR362" s="633">
        <v>2159854.59</v>
      </c>
      <c r="KDS362" s="633">
        <v>3563316.060000001</v>
      </c>
      <c r="KDT362" s="633">
        <v>3305610.92</v>
      </c>
      <c r="KDU362" s="633">
        <v>3255686.1799999992</v>
      </c>
      <c r="KDV362" s="633">
        <v>3172108.3800000018</v>
      </c>
      <c r="KDW362" s="633">
        <v>3430726.5900000026</v>
      </c>
      <c r="KDX362" s="633">
        <v>3636289.9099999997</v>
      </c>
      <c r="KDY362" s="633">
        <v>3606558.6500000022</v>
      </c>
      <c r="KDZ362" s="633">
        <v>3549118.4400000018</v>
      </c>
      <c r="KEA362" s="634">
        <v>39996846</v>
      </c>
      <c r="KEB362" s="633">
        <f>SUM(KDO362:KDZ362)</f>
        <v>39996846.150000013</v>
      </c>
      <c r="KEC362" s="631" t="s">
        <v>1836</v>
      </c>
      <c r="KED362" s="632" t="s">
        <v>1673</v>
      </c>
      <c r="KEE362" s="633">
        <v>3470702.0100000007</v>
      </c>
      <c r="KEF362" s="633">
        <v>3448347.94</v>
      </c>
      <c r="KEG362" s="633">
        <v>3398526.4800000009</v>
      </c>
      <c r="KEH362" s="633">
        <v>2159854.59</v>
      </c>
      <c r="KEI362" s="633">
        <v>3563316.060000001</v>
      </c>
      <c r="KEJ362" s="633">
        <v>3305610.92</v>
      </c>
      <c r="KEK362" s="633">
        <v>3255686.1799999992</v>
      </c>
      <c r="KEL362" s="633">
        <v>3172108.3800000018</v>
      </c>
      <c r="KEM362" s="633">
        <v>3430726.5900000026</v>
      </c>
      <c r="KEN362" s="633">
        <v>3636289.9099999997</v>
      </c>
      <c r="KEO362" s="633">
        <v>3606558.6500000022</v>
      </c>
      <c r="KEP362" s="633">
        <v>3549118.4400000018</v>
      </c>
      <c r="KEQ362" s="634">
        <v>39996846</v>
      </c>
      <c r="KER362" s="633">
        <f>SUM(KEE362:KEP362)</f>
        <v>39996846.150000013</v>
      </c>
      <c r="KES362" s="631" t="s">
        <v>1836</v>
      </c>
      <c r="KET362" s="632" t="s">
        <v>1673</v>
      </c>
      <c r="KEU362" s="633">
        <v>3470702.0100000007</v>
      </c>
      <c r="KEV362" s="633">
        <v>3448347.94</v>
      </c>
      <c r="KEW362" s="633">
        <v>3398526.4800000009</v>
      </c>
      <c r="KEX362" s="633">
        <v>2159854.59</v>
      </c>
      <c r="KEY362" s="633">
        <v>3563316.060000001</v>
      </c>
      <c r="KEZ362" s="633">
        <v>3305610.92</v>
      </c>
      <c r="KFA362" s="633">
        <v>3255686.1799999992</v>
      </c>
      <c r="KFB362" s="633">
        <v>3172108.3800000018</v>
      </c>
      <c r="KFC362" s="633">
        <v>3430726.5900000026</v>
      </c>
      <c r="KFD362" s="633">
        <v>3636289.9099999997</v>
      </c>
      <c r="KFE362" s="633">
        <v>3606558.6500000022</v>
      </c>
      <c r="KFF362" s="633">
        <v>3549118.4400000018</v>
      </c>
      <c r="KFG362" s="634">
        <v>39996846</v>
      </c>
      <c r="KFH362" s="633">
        <f>SUM(KEU362:KFF362)</f>
        <v>39996846.150000013</v>
      </c>
      <c r="KFI362" s="631" t="s">
        <v>1836</v>
      </c>
      <c r="KFJ362" s="632" t="s">
        <v>1673</v>
      </c>
      <c r="KFK362" s="633">
        <v>3470702.0100000007</v>
      </c>
      <c r="KFL362" s="633">
        <v>3448347.94</v>
      </c>
      <c r="KFM362" s="633">
        <v>3398526.4800000009</v>
      </c>
      <c r="KFN362" s="633">
        <v>2159854.59</v>
      </c>
      <c r="KFO362" s="633">
        <v>3563316.060000001</v>
      </c>
      <c r="KFP362" s="633">
        <v>3305610.92</v>
      </c>
      <c r="KFQ362" s="633">
        <v>3255686.1799999992</v>
      </c>
      <c r="KFR362" s="633">
        <v>3172108.3800000018</v>
      </c>
      <c r="KFS362" s="633">
        <v>3430726.5900000026</v>
      </c>
      <c r="KFT362" s="633">
        <v>3636289.9099999997</v>
      </c>
      <c r="KFU362" s="633">
        <v>3606558.6500000022</v>
      </c>
      <c r="KFV362" s="633">
        <v>3549118.4400000018</v>
      </c>
      <c r="KFW362" s="634">
        <v>39996846</v>
      </c>
      <c r="KFX362" s="633">
        <f>SUM(KFK362:KFV362)</f>
        <v>39996846.150000013</v>
      </c>
      <c r="KFY362" s="631" t="s">
        <v>1836</v>
      </c>
      <c r="KFZ362" s="632" t="s">
        <v>1673</v>
      </c>
      <c r="KGA362" s="633">
        <v>3470702.0100000007</v>
      </c>
      <c r="KGB362" s="633">
        <v>3448347.94</v>
      </c>
      <c r="KGC362" s="633">
        <v>3398526.4800000009</v>
      </c>
      <c r="KGD362" s="633">
        <v>2159854.59</v>
      </c>
      <c r="KGE362" s="633">
        <v>3563316.060000001</v>
      </c>
      <c r="KGF362" s="633">
        <v>3305610.92</v>
      </c>
      <c r="KGG362" s="633">
        <v>3255686.1799999992</v>
      </c>
      <c r="KGH362" s="633">
        <v>3172108.3800000018</v>
      </c>
      <c r="KGI362" s="633">
        <v>3430726.5900000026</v>
      </c>
      <c r="KGJ362" s="633">
        <v>3636289.9099999997</v>
      </c>
      <c r="KGK362" s="633">
        <v>3606558.6500000022</v>
      </c>
      <c r="KGL362" s="633">
        <v>3549118.4400000018</v>
      </c>
      <c r="KGM362" s="634">
        <v>39996846</v>
      </c>
      <c r="KGN362" s="633">
        <f>SUM(KGA362:KGL362)</f>
        <v>39996846.150000013</v>
      </c>
      <c r="KGO362" s="631" t="s">
        <v>1836</v>
      </c>
      <c r="KGP362" s="632" t="s">
        <v>1673</v>
      </c>
      <c r="KGQ362" s="633">
        <v>3470702.0100000007</v>
      </c>
      <c r="KGR362" s="633">
        <v>3448347.94</v>
      </c>
      <c r="KGS362" s="633">
        <v>3398526.4800000009</v>
      </c>
      <c r="KGT362" s="633">
        <v>2159854.59</v>
      </c>
      <c r="KGU362" s="633">
        <v>3563316.060000001</v>
      </c>
      <c r="KGV362" s="633">
        <v>3305610.92</v>
      </c>
      <c r="KGW362" s="633">
        <v>3255686.1799999992</v>
      </c>
      <c r="KGX362" s="633">
        <v>3172108.3800000018</v>
      </c>
      <c r="KGY362" s="633">
        <v>3430726.5900000026</v>
      </c>
      <c r="KGZ362" s="633">
        <v>3636289.9099999997</v>
      </c>
      <c r="KHA362" s="633">
        <v>3606558.6500000022</v>
      </c>
      <c r="KHB362" s="633">
        <v>3549118.4400000018</v>
      </c>
      <c r="KHC362" s="634">
        <v>39996846</v>
      </c>
      <c r="KHD362" s="633">
        <f>SUM(KGQ362:KHB362)</f>
        <v>39996846.150000013</v>
      </c>
      <c r="KHE362" s="631" t="s">
        <v>1836</v>
      </c>
      <c r="KHF362" s="632" t="s">
        <v>1673</v>
      </c>
      <c r="KHG362" s="633">
        <v>3470702.0100000007</v>
      </c>
      <c r="KHH362" s="633">
        <v>3448347.94</v>
      </c>
      <c r="KHI362" s="633">
        <v>3398526.4800000009</v>
      </c>
      <c r="KHJ362" s="633">
        <v>2159854.59</v>
      </c>
      <c r="KHK362" s="633">
        <v>3563316.060000001</v>
      </c>
      <c r="KHL362" s="633">
        <v>3305610.92</v>
      </c>
      <c r="KHM362" s="633">
        <v>3255686.1799999992</v>
      </c>
      <c r="KHN362" s="633">
        <v>3172108.3800000018</v>
      </c>
      <c r="KHO362" s="633">
        <v>3430726.5900000026</v>
      </c>
      <c r="KHP362" s="633">
        <v>3636289.9099999997</v>
      </c>
      <c r="KHQ362" s="633">
        <v>3606558.6500000022</v>
      </c>
      <c r="KHR362" s="633">
        <v>3549118.4400000018</v>
      </c>
      <c r="KHS362" s="634">
        <v>39996846</v>
      </c>
      <c r="KHT362" s="633">
        <f>SUM(KHG362:KHR362)</f>
        <v>39996846.150000013</v>
      </c>
      <c r="KHU362" s="631" t="s">
        <v>1836</v>
      </c>
      <c r="KHV362" s="632" t="s">
        <v>1673</v>
      </c>
      <c r="KHW362" s="633">
        <v>3470702.0100000007</v>
      </c>
      <c r="KHX362" s="633">
        <v>3448347.94</v>
      </c>
      <c r="KHY362" s="633">
        <v>3398526.4800000009</v>
      </c>
      <c r="KHZ362" s="633">
        <v>2159854.59</v>
      </c>
      <c r="KIA362" s="633">
        <v>3563316.060000001</v>
      </c>
      <c r="KIB362" s="633">
        <v>3305610.92</v>
      </c>
      <c r="KIC362" s="633">
        <v>3255686.1799999992</v>
      </c>
      <c r="KID362" s="633">
        <v>3172108.3800000018</v>
      </c>
      <c r="KIE362" s="633">
        <v>3430726.5900000026</v>
      </c>
      <c r="KIF362" s="633">
        <v>3636289.9099999997</v>
      </c>
      <c r="KIG362" s="633">
        <v>3606558.6500000022</v>
      </c>
      <c r="KIH362" s="633">
        <v>3549118.4400000018</v>
      </c>
      <c r="KII362" s="634">
        <v>39996846</v>
      </c>
      <c r="KIJ362" s="633">
        <f>SUM(KHW362:KIH362)</f>
        <v>39996846.150000013</v>
      </c>
      <c r="KIK362" s="631" t="s">
        <v>1836</v>
      </c>
      <c r="KIL362" s="632" t="s">
        <v>1673</v>
      </c>
      <c r="KIM362" s="633">
        <v>3470702.0100000007</v>
      </c>
      <c r="KIN362" s="633">
        <v>3448347.94</v>
      </c>
      <c r="KIO362" s="633">
        <v>3398526.4800000009</v>
      </c>
      <c r="KIP362" s="633">
        <v>2159854.59</v>
      </c>
      <c r="KIQ362" s="633">
        <v>3563316.060000001</v>
      </c>
      <c r="KIR362" s="633">
        <v>3305610.92</v>
      </c>
      <c r="KIS362" s="633">
        <v>3255686.1799999992</v>
      </c>
      <c r="KIT362" s="633">
        <v>3172108.3800000018</v>
      </c>
      <c r="KIU362" s="633">
        <v>3430726.5900000026</v>
      </c>
      <c r="KIV362" s="633">
        <v>3636289.9099999997</v>
      </c>
      <c r="KIW362" s="633">
        <v>3606558.6500000022</v>
      </c>
      <c r="KIX362" s="633">
        <v>3549118.4400000018</v>
      </c>
      <c r="KIY362" s="634">
        <v>39996846</v>
      </c>
      <c r="KIZ362" s="633">
        <f>SUM(KIM362:KIX362)</f>
        <v>39996846.150000013</v>
      </c>
      <c r="KJA362" s="631" t="s">
        <v>1836</v>
      </c>
      <c r="KJB362" s="632" t="s">
        <v>1673</v>
      </c>
      <c r="KJC362" s="633">
        <v>3470702.0100000007</v>
      </c>
      <c r="KJD362" s="633">
        <v>3448347.94</v>
      </c>
      <c r="KJE362" s="633">
        <v>3398526.4800000009</v>
      </c>
      <c r="KJF362" s="633">
        <v>2159854.59</v>
      </c>
      <c r="KJG362" s="633">
        <v>3563316.060000001</v>
      </c>
      <c r="KJH362" s="633">
        <v>3305610.92</v>
      </c>
      <c r="KJI362" s="633">
        <v>3255686.1799999992</v>
      </c>
      <c r="KJJ362" s="633">
        <v>3172108.3800000018</v>
      </c>
      <c r="KJK362" s="633">
        <v>3430726.5900000026</v>
      </c>
      <c r="KJL362" s="633">
        <v>3636289.9099999997</v>
      </c>
      <c r="KJM362" s="633">
        <v>3606558.6500000022</v>
      </c>
      <c r="KJN362" s="633">
        <v>3549118.4400000018</v>
      </c>
      <c r="KJO362" s="634">
        <v>39996846</v>
      </c>
      <c r="KJP362" s="633">
        <f>SUM(KJC362:KJN362)</f>
        <v>39996846.150000013</v>
      </c>
      <c r="KJQ362" s="631" t="s">
        <v>1836</v>
      </c>
      <c r="KJR362" s="632" t="s">
        <v>1673</v>
      </c>
      <c r="KJS362" s="633">
        <v>3470702.0100000007</v>
      </c>
      <c r="KJT362" s="633">
        <v>3448347.94</v>
      </c>
      <c r="KJU362" s="633">
        <v>3398526.4800000009</v>
      </c>
      <c r="KJV362" s="633">
        <v>2159854.59</v>
      </c>
      <c r="KJW362" s="633">
        <v>3563316.060000001</v>
      </c>
      <c r="KJX362" s="633">
        <v>3305610.92</v>
      </c>
      <c r="KJY362" s="633">
        <v>3255686.1799999992</v>
      </c>
      <c r="KJZ362" s="633">
        <v>3172108.3800000018</v>
      </c>
      <c r="KKA362" s="633">
        <v>3430726.5900000026</v>
      </c>
      <c r="KKB362" s="633">
        <v>3636289.9099999997</v>
      </c>
      <c r="KKC362" s="633">
        <v>3606558.6500000022</v>
      </c>
      <c r="KKD362" s="633">
        <v>3549118.4400000018</v>
      </c>
      <c r="KKE362" s="634">
        <v>39996846</v>
      </c>
      <c r="KKF362" s="633">
        <f>SUM(KJS362:KKD362)</f>
        <v>39996846.150000013</v>
      </c>
      <c r="KKG362" s="631" t="s">
        <v>1836</v>
      </c>
      <c r="KKH362" s="632" t="s">
        <v>1673</v>
      </c>
      <c r="KKI362" s="633">
        <v>3470702.0100000007</v>
      </c>
      <c r="KKJ362" s="633">
        <v>3448347.94</v>
      </c>
      <c r="KKK362" s="633">
        <v>3398526.4800000009</v>
      </c>
      <c r="KKL362" s="633">
        <v>2159854.59</v>
      </c>
      <c r="KKM362" s="633">
        <v>3563316.060000001</v>
      </c>
      <c r="KKN362" s="633">
        <v>3305610.92</v>
      </c>
      <c r="KKO362" s="633">
        <v>3255686.1799999992</v>
      </c>
      <c r="KKP362" s="633">
        <v>3172108.3800000018</v>
      </c>
      <c r="KKQ362" s="633">
        <v>3430726.5900000026</v>
      </c>
      <c r="KKR362" s="633">
        <v>3636289.9099999997</v>
      </c>
      <c r="KKS362" s="633">
        <v>3606558.6500000022</v>
      </c>
      <c r="KKT362" s="633">
        <v>3549118.4400000018</v>
      </c>
      <c r="KKU362" s="634">
        <v>39996846</v>
      </c>
      <c r="KKV362" s="633">
        <f>SUM(KKI362:KKT362)</f>
        <v>39996846.150000013</v>
      </c>
      <c r="KKW362" s="631" t="s">
        <v>1836</v>
      </c>
      <c r="KKX362" s="632" t="s">
        <v>1673</v>
      </c>
      <c r="KKY362" s="633">
        <v>3470702.0100000007</v>
      </c>
      <c r="KKZ362" s="633">
        <v>3448347.94</v>
      </c>
      <c r="KLA362" s="633">
        <v>3398526.4800000009</v>
      </c>
      <c r="KLB362" s="633">
        <v>2159854.59</v>
      </c>
      <c r="KLC362" s="633">
        <v>3563316.060000001</v>
      </c>
      <c r="KLD362" s="633">
        <v>3305610.92</v>
      </c>
      <c r="KLE362" s="633">
        <v>3255686.1799999992</v>
      </c>
      <c r="KLF362" s="633">
        <v>3172108.3800000018</v>
      </c>
      <c r="KLG362" s="633">
        <v>3430726.5900000026</v>
      </c>
      <c r="KLH362" s="633">
        <v>3636289.9099999997</v>
      </c>
      <c r="KLI362" s="633">
        <v>3606558.6500000022</v>
      </c>
      <c r="KLJ362" s="633">
        <v>3549118.4400000018</v>
      </c>
      <c r="KLK362" s="634">
        <v>39996846</v>
      </c>
      <c r="KLL362" s="633">
        <f>SUM(KKY362:KLJ362)</f>
        <v>39996846.150000013</v>
      </c>
      <c r="KLM362" s="631" t="s">
        <v>1836</v>
      </c>
      <c r="KLN362" s="632" t="s">
        <v>1673</v>
      </c>
      <c r="KLO362" s="633">
        <v>3470702.0100000007</v>
      </c>
      <c r="KLP362" s="633">
        <v>3448347.94</v>
      </c>
      <c r="KLQ362" s="633">
        <v>3398526.4800000009</v>
      </c>
      <c r="KLR362" s="633">
        <v>2159854.59</v>
      </c>
      <c r="KLS362" s="633">
        <v>3563316.060000001</v>
      </c>
      <c r="KLT362" s="633">
        <v>3305610.92</v>
      </c>
      <c r="KLU362" s="633">
        <v>3255686.1799999992</v>
      </c>
      <c r="KLV362" s="633">
        <v>3172108.3800000018</v>
      </c>
      <c r="KLW362" s="633">
        <v>3430726.5900000026</v>
      </c>
      <c r="KLX362" s="633">
        <v>3636289.9099999997</v>
      </c>
      <c r="KLY362" s="633">
        <v>3606558.6500000022</v>
      </c>
      <c r="KLZ362" s="633">
        <v>3549118.4400000018</v>
      </c>
      <c r="KMA362" s="634">
        <v>39996846</v>
      </c>
      <c r="KMB362" s="633">
        <f>SUM(KLO362:KLZ362)</f>
        <v>39996846.150000013</v>
      </c>
      <c r="KMC362" s="631" t="s">
        <v>1836</v>
      </c>
      <c r="KMD362" s="632" t="s">
        <v>1673</v>
      </c>
      <c r="KME362" s="633">
        <v>3470702.0100000007</v>
      </c>
      <c r="KMF362" s="633">
        <v>3448347.94</v>
      </c>
      <c r="KMG362" s="633">
        <v>3398526.4800000009</v>
      </c>
      <c r="KMH362" s="633">
        <v>2159854.59</v>
      </c>
      <c r="KMI362" s="633">
        <v>3563316.060000001</v>
      </c>
      <c r="KMJ362" s="633">
        <v>3305610.92</v>
      </c>
      <c r="KMK362" s="633">
        <v>3255686.1799999992</v>
      </c>
      <c r="KML362" s="633">
        <v>3172108.3800000018</v>
      </c>
      <c r="KMM362" s="633">
        <v>3430726.5900000026</v>
      </c>
      <c r="KMN362" s="633">
        <v>3636289.9099999997</v>
      </c>
      <c r="KMO362" s="633">
        <v>3606558.6500000022</v>
      </c>
      <c r="KMP362" s="633">
        <v>3549118.4400000018</v>
      </c>
      <c r="KMQ362" s="634">
        <v>39996846</v>
      </c>
      <c r="KMR362" s="633">
        <f>SUM(KME362:KMP362)</f>
        <v>39996846.150000013</v>
      </c>
      <c r="KMS362" s="631" t="s">
        <v>1836</v>
      </c>
      <c r="KMT362" s="632" t="s">
        <v>1673</v>
      </c>
      <c r="KMU362" s="633">
        <v>3470702.0100000007</v>
      </c>
      <c r="KMV362" s="633">
        <v>3448347.94</v>
      </c>
      <c r="KMW362" s="633">
        <v>3398526.4800000009</v>
      </c>
      <c r="KMX362" s="633">
        <v>2159854.59</v>
      </c>
      <c r="KMY362" s="633">
        <v>3563316.060000001</v>
      </c>
      <c r="KMZ362" s="633">
        <v>3305610.92</v>
      </c>
      <c r="KNA362" s="633">
        <v>3255686.1799999992</v>
      </c>
      <c r="KNB362" s="633">
        <v>3172108.3800000018</v>
      </c>
      <c r="KNC362" s="633">
        <v>3430726.5900000026</v>
      </c>
      <c r="KND362" s="633">
        <v>3636289.9099999997</v>
      </c>
      <c r="KNE362" s="633">
        <v>3606558.6500000022</v>
      </c>
      <c r="KNF362" s="633">
        <v>3549118.4400000018</v>
      </c>
      <c r="KNG362" s="634">
        <v>39996846</v>
      </c>
      <c r="KNH362" s="633">
        <f>SUM(KMU362:KNF362)</f>
        <v>39996846.150000013</v>
      </c>
      <c r="KNI362" s="631" t="s">
        <v>1836</v>
      </c>
      <c r="KNJ362" s="632" t="s">
        <v>1673</v>
      </c>
      <c r="KNK362" s="633">
        <v>3470702.0100000007</v>
      </c>
      <c r="KNL362" s="633">
        <v>3448347.94</v>
      </c>
      <c r="KNM362" s="633">
        <v>3398526.4800000009</v>
      </c>
      <c r="KNN362" s="633">
        <v>2159854.59</v>
      </c>
      <c r="KNO362" s="633">
        <v>3563316.060000001</v>
      </c>
      <c r="KNP362" s="633">
        <v>3305610.92</v>
      </c>
      <c r="KNQ362" s="633">
        <v>3255686.1799999992</v>
      </c>
      <c r="KNR362" s="633">
        <v>3172108.3800000018</v>
      </c>
      <c r="KNS362" s="633">
        <v>3430726.5900000026</v>
      </c>
      <c r="KNT362" s="633">
        <v>3636289.9099999997</v>
      </c>
      <c r="KNU362" s="633">
        <v>3606558.6500000022</v>
      </c>
      <c r="KNV362" s="633">
        <v>3549118.4400000018</v>
      </c>
      <c r="KNW362" s="634">
        <v>39996846</v>
      </c>
      <c r="KNX362" s="633">
        <f>SUM(KNK362:KNV362)</f>
        <v>39996846.150000013</v>
      </c>
      <c r="KNY362" s="631" t="s">
        <v>1836</v>
      </c>
      <c r="KNZ362" s="632" t="s">
        <v>1673</v>
      </c>
      <c r="KOA362" s="633">
        <v>3470702.0100000007</v>
      </c>
      <c r="KOB362" s="633">
        <v>3448347.94</v>
      </c>
      <c r="KOC362" s="633">
        <v>3398526.4800000009</v>
      </c>
      <c r="KOD362" s="633">
        <v>2159854.59</v>
      </c>
      <c r="KOE362" s="633">
        <v>3563316.060000001</v>
      </c>
      <c r="KOF362" s="633">
        <v>3305610.92</v>
      </c>
      <c r="KOG362" s="633">
        <v>3255686.1799999992</v>
      </c>
      <c r="KOH362" s="633">
        <v>3172108.3800000018</v>
      </c>
      <c r="KOI362" s="633">
        <v>3430726.5900000026</v>
      </c>
      <c r="KOJ362" s="633">
        <v>3636289.9099999997</v>
      </c>
      <c r="KOK362" s="633">
        <v>3606558.6500000022</v>
      </c>
      <c r="KOL362" s="633">
        <v>3549118.4400000018</v>
      </c>
      <c r="KOM362" s="634">
        <v>39996846</v>
      </c>
      <c r="KON362" s="633">
        <f>SUM(KOA362:KOL362)</f>
        <v>39996846.150000013</v>
      </c>
      <c r="KOO362" s="631" t="s">
        <v>1836</v>
      </c>
      <c r="KOP362" s="632" t="s">
        <v>1673</v>
      </c>
      <c r="KOQ362" s="633">
        <v>3470702.0100000007</v>
      </c>
      <c r="KOR362" s="633">
        <v>3448347.94</v>
      </c>
      <c r="KOS362" s="633">
        <v>3398526.4800000009</v>
      </c>
      <c r="KOT362" s="633">
        <v>2159854.59</v>
      </c>
      <c r="KOU362" s="633">
        <v>3563316.060000001</v>
      </c>
      <c r="KOV362" s="633">
        <v>3305610.92</v>
      </c>
      <c r="KOW362" s="633">
        <v>3255686.1799999992</v>
      </c>
      <c r="KOX362" s="633">
        <v>3172108.3800000018</v>
      </c>
      <c r="KOY362" s="633">
        <v>3430726.5900000026</v>
      </c>
      <c r="KOZ362" s="633">
        <v>3636289.9099999997</v>
      </c>
      <c r="KPA362" s="633">
        <v>3606558.6500000022</v>
      </c>
      <c r="KPB362" s="633">
        <v>3549118.4400000018</v>
      </c>
      <c r="KPC362" s="634">
        <v>39996846</v>
      </c>
      <c r="KPD362" s="633">
        <f>SUM(KOQ362:KPB362)</f>
        <v>39996846.150000013</v>
      </c>
      <c r="KPE362" s="631" t="s">
        <v>1836</v>
      </c>
      <c r="KPF362" s="632" t="s">
        <v>1673</v>
      </c>
      <c r="KPG362" s="633">
        <v>3470702.0100000007</v>
      </c>
      <c r="KPH362" s="633">
        <v>3448347.94</v>
      </c>
      <c r="KPI362" s="633">
        <v>3398526.4800000009</v>
      </c>
      <c r="KPJ362" s="633">
        <v>2159854.59</v>
      </c>
      <c r="KPK362" s="633">
        <v>3563316.060000001</v>
      </c>
      <c r="KPL362" s="633">
        <v>3305610.92</v>
      </c>
      <c r="KPM362" s="633">
        <v>3255686.1799999992</v>
      </c>
      <c r="KPN362" s="633">
        <v>3172108.3800000018</v>
      </c>
      <c r="KPO362" s="633">
        <v>3430726.5900000026</v>
      </c>
      <c r="KPP362" s="633">
        <v>3636289.9099999997</v>
      </c>
      <c r="KPQ362" s="633">
        <v>3606558.6500000022</v>
      </c>
      <c r="KPR362" s="633">
        <v>3549118.4400000018</v>
      </c>
      <c r="KPS362" s="634">
        <v>39996846</v>
      </c>
      <c r="KPT362" s="633">
        <f>SUM(KPG362:KPR362)</f>
        <v>39996846.150000013</v>
      </c>
      <c r="KPU362" s="631" t="s">
        <v>1836</v>
      </c>
      <c r="KPV362" s="632" t="s">
        <v>1673</v>
      </c>
      <c r="KPW362" s="633">
        <v>3470702.0100000007</v>
      </c>
      <c r="KPX362" s="633">
        <v>3448347.94</v>
      </c>
      <c r="KPY362" s="633">
        <v>3398526.4800000009</v>
      </c>
      <c r="KPZ362" s="633">
        <v>2159854.59</v>
      </c>
      <c r="KQA362" s="633">
        <v>3563316.060000001</v>
      </c>
      <c r="KQB362" s="633">
        <v>3305610.92</v>
      </c>
      <c r="KQC362" s="633">
        <v>3255686.1799999992</v>
      </c>
      <c r="KQD362" s="633">
        <v>3172108.3800000018</v>
      </c>
      <c r="KQE362" s="633">
        <v>3430726.5900000026</v>
      </c>
      <c r="KQF362" s="633">
        <v>3636289.9099999997</v>
      </c>
      <c r="KQG362" s="633">
        <v>3606558.6500000022</v>
      </c>
      <c r="KQH362" s="633">
        <v>3549118.4400000018</v>
      </c>
      <c r="KQI362" s="634">
        <v>39996846</v>
      </c>
      <c r="KQJ362" s="633">
        <f>SUM(KPW362:KQH362)</f>
        <v>39996846.150000013</v>
      </c>
      <c r="KQK362" s="631" t="s">
        <v>1836</v>
      </c>
      <c r="KQL362" s="632" t="s">
        <v>1673</v>
      </c>
      <c r="KQM362" s="633">
        <v>3470702.0100000007</v>
      </c>
      <c r="KQN362" s="633">
        <v>3448347.94</v>
      </c>
      <c r="KQO362" s="633">
        <v>3398526.4800000009</v>
      </c>
      <c r="KQP362" s="633">
        <v>2159854.59</v>
      </c>
      <c r="KQQ362" s="633">
        <v>3563316.060000001</v>
      </c>
      <c r="KQR362" s="633">
        <v>3305610.92</v>
      </c>
      <c r="KQS362" s="633">
        <v>3255686.1799999992</v>
      </c>
      <c r="KQT362" s="633">
        <v>3172108.3800000018</v>
      </c>
      <c r="KQU362" s="633">
        <v>3430726.5900000026</v>
      </c>
      <c r="KQV362" s="633">
        <v>3636289.9099999997</v>
      </c>
      <c r="KQW362" s="633">
        <v>3606558.6500000022</v>
      </c>
      <c r="KQX362" s="633">
        <v>3549118.4400000018</v>
      </c>
      <c r="KQY362" s="634">
        <v>39996846</v>
      </c>
      <c r="KQZ362" s="633">
        <f>SUM(KQM362:KQX362)</f>
        <v>39996846.150000013</v>
      </c>
      <c r="KRA362" s="631" t="s">
        <v>1836</v>
      </c>
      <c r="KRB362" s="632" t="s">
        <v>1673</v>
      </c>
      <c r="KRC362" s="633">
        <v>3470702.0100000007</v>
      </c>
      <c r="KRD362" s="633">
        <v>3448347.94</v>
      </c>
      <c r="KRE362" s="633">
        <v>3398526.4800000009</v>
      </c>
      <c r="KRF362" s="633">
        <v>2159854.59</v>
      </c>
      <c r="KRG362" s="633">
        <v>3563316.060000001</v>
      </c>
      <c r="KRH362" s="633">
        <v>3305610.92</v>
      </c>
      <c r="KRI362" s="633">
        <v>3255686.1799999992</v>
      </c>
      <c r="KRJ362" s="633">
        <v>3172108.3800000018</v>
      </c>
      <c r="KRK362" s="633">
        <v>3430726.5900000026</v>
      </c>
      <c r="KRL362" s="633">
        <v>3636289.9099999997</v>
      </c>
      <c r="KRM362" s="633">
        <v>3606558.6500000022</v>
      </c>
      <c r="KRN362" s="633">
        <v>3549118.4400000018</v>
      </c>
      <c r="KRO362" s="634">
        <v>39996846</v>
      </c>
      <c r="KRP362" s="633">
        <f>SUM(KRC362:KRN362)</f>
        <v>39996846.150000013</v>
      </c>
      <c r="KRQ362" s="631" t="s">
        <v>1836</v>
      </c>
      <c r="KRR362" s="632" t="s">
        <v>1673</v>
      </c>
      <c r="KRS362" s="633">
        <v>3470702.0100000007</v>
      </c>
      <c r="KRT362" s="633">
        <v>3448347.94</v>
      </c>
      <c r="KRU362" s="633">
        <v>3398526.4800000009</v>
      </c>
      <c r="KRV362" s="633">
        <v>2159854.59</v>
      </c>
      <c r="KRW362" s="633">
        <v>3563316.060000001</v>
      </c>
      <c r="KRX362" s="633">
        <v>3305610.92</v>
      </c>
      <c r="KRY362" s="633">
        <v>3255686.1799999992</v>
      </c>
      <c r="KRZ362" s="633">
        <v>3172108.3800000018</v>
      </c>
      <c r="KSA362" s="633">
        <v>3430726.5900000026</v>
      </c>
      <c r="KSB362" s="633">
        <v>3636289.9099999997</v>
      </c>
      <c r="KSC362" s="633">
        <v>3606558.6500000022</v>
      </c>
      <c r="KSD362" s="633">
        <v>3549118.4400000018</v>
      </c>
      <c r="KSE362" s="634">
        <v>39996846</v>
      </c>
      <c r="KSF362" s="633">
        <f>SUM(KRS362:KSD362)</f>
        <v>39996846.150000013</v>
      </c>
      <c r="KSG362" s="631" t="s">
        <v>1836</v>
      </c>
      <c r="KSH362" s="632" t="s">
        <v>1673</v>
      </c>
      <c r="KSI362" s="633">
        <v>3470702.0100000007</v>
      </c>
      <c r="KSJ362" s="633">
        <v>3448347.94</v>
      </c>
      <c r="KSK362" s="633">
        <v>3398526.4800000009</v>
      </c>
      <c r="KSL362" s="633">
        <v>2159854.59</v>
      </c>
      <c r="KSM362" s="633">
        <v>3563316.060000001</v>
      </c>
      <c r="KSN362" s="633">
        <v>3305610.92</v>
      </c>
      <c r="KSO362" s="633">
        <v>3255686.1799999992</v>
      </c>
      <c r="KSP362" s="633">
        <v>3172108.3800000018</v>
      </c>
      <c r="KSQ362" s="633">
        <v>3430726.5900000026</v>
      </c>
      <c r="KSR362" s="633">
        <v>3636289.9099999997</v>
      </c>
      <c r="KSS362" s="633">
        <v>3606558.6500000022</v>
      </c>
      <c r="KST362" s="633">
        <v>3549118.4400000018</v>
      </c>
      <c r="KSU362" s="634">
        <v>39996846</v>
      </c>
      <c r="KSV362" s="633">
        <f>SUM(KSI362:KST362)</f>
        <v>39996846.150000013</v>
      </c>
      <c r="KSW362" s="631" t="s">
        <v>1836</v>
      </c>
      <c r="KSX362" s="632" t="s">
        <v>1673</v>
      </c>
      <c r="KSY362" s="633">
        <v>3470702.0100000007</v>
      </c>
      <c r="KSZ362" s="633">
        <v>3448347.94</v>
      </c>
      <c r="KTA362" s="633">
        <v>3398526.4800000009</v>
      </c>
      <c r="KTB362" s="633">
        <v>2159854.59</v>
      </c>
      <c r="KTC362" s="633">
        <v>3563316.060000001</v>
      </c>
      <c r="KTD362" s="633">
        <v>3305610.92</v>
      </c>
      <c r="KTE362" s="633">
        <v>3255686.1799999992</v>
      </c>
      <c r="KTF362" s="633">
        <v>3172108.3800000018</v>
      </c>
      <c r="KTG362" s="633">
        <v>3430726.5900000026</v>
      </c>
      <c r="KTH362" s="633">
        <v>3636289.9099999997</v>
      </c>
      <c r="KTI362" s="633">
        <v>3606558.6500000022</v>
      </c>
      <c r="KTJ362" s="633">
        <v>3549118.4400000018</v>
      </c>
      <c r="KTK362" s="634">
        <v>39996846</v>
      </c>
      <c r="KTL362" s="633">
        <f>SUM(KSY362:KTJ362)</f>
        <v>39996846.150000013</v>
      </c>
      <c r="KTM362" s="631" t="s">
        <v>1836</v>
      </c>
      <c r="KTN362" s="632" t="s">
        <v>1673</v>
      </c>
      <c r="KTO362" s="633">
        <v>3470702.0100000007</v>
      </c>
      <c r="KTP362" s="633">
        <v>3448347.94</v>
      </c>
      <c r="KTQ362" s="633">
        <v>3398526.4800000009</v>
      </c>
      <c r="KTR362" s="633">
        <v>2159854.59</v>
      </c>
      <c r="KTS362" s="633">
        <v>3563316.060000001</v>
      </c>
      <c r="KTT362" s="633">
        <v>3305610.92</v>
      </c>
      <c r="KTU362" s="633">
        <v>3255686.1799999992</v>
      </c>
      <c r="KTV362" s="633">
        <v>3172108.3800000018</v>
      </c>
      <c r="KTW362" s="633">
        <v>3430726.5900000026</v>
      </c>
      <c r="KTX362" s="633">
        <v>3636289.9099999997</v>
      </c>
      <c r="KTY362" s="633">
        <v>3606558.6500000022</v>
      </c>
      <c r="KTZ362" s="633">
        <v>3549118.4400000018</v>
      </c>
      <c r="KUA362" s="634">
        <v>39996846</v>
      </c>
      <c r="KUB362" s="633">
        <f>SUM(KTO362:KTZ362)</f>
        <v>39996846.150000013</v>
      </c>
      <c r="KUC362" s="631" t="s">
        <v>1836</v>
      </c>
      <c r="KUD362" s="632" t="s">
        <v>1673</v>
      </c>
      <c r="KUE362" s="633">
        <v>3470702.0100000007</v>
      </c>
      <c r="KUF362" s="633">
        <v>3448347.94</v>
      </c>
      <c r="KUG362" s="633">
        <v>3398526.4800000009</v>
      </c>
      <c r="KUH362" s="633">
        <v>2159854.59</v>
      </c>
      <c r="KUI362" s="633">
        <v>3563316.060000001</v>
      </c>
      <c r="KUJ362" s="633">
        <v>3305610.92</v>
      </c>
      <c r="KUK362" s="633">
        <v>3255686.1799999992</v>
      </c>
      <c r="KUL362" s="633">
        <v>3172108.3800000018</v>
      </c>
      <c r="KUM362" s="633">
        <v>3430726.5900000026</v>
      </c>
      <c r="KUN362" s="633">
        <v>3636289.9099999997</v>
      </c>
      <c r="KUO362" s="633">
        <v>3606558.6500000022</v>
      </c>
      <c r="KUP362" s="633">
        <v>3549118.4400000018</v>
      </c>
      <c r="KUQ362" s="634">
        <v>39996846</v>
      </c>
      <c r="KUR362" s="633">
        <f>SUM(KUE362:KUP362)</f>
        <v>39996846.150000013</v>
      </c>
      <c r="KUS362" s="631" t="s">
        <v>1836</v>
      </c>
      <c r="KUT362" s="632" t="s">
        <v>1673</v>
      </c>
      <c r="KUU362" s="633">
        <v>3470702.0100000007</v>
      </c>
      <c r="KUV362" s="633">
        <v>3448347.94</v>
      </c>
      <c r="KUW362" s="633">
        <v>3398526.4800000009</v>
      </c>
      <c r="KUX362" s="633">
        <v>2159854.59</v>
      </c>
      <c r="KUY362" s="633">
        <v>3563316.060000001</v>
      </c>
      <c r="KUZ362" s="633">
        <v>3305610.92</v>
      </c>
      <c r="KVA362" s="633">
        <v>3255686.1799999992</v>
      </c>
      <c r="KVB362" s="633">
        <v>3172108.3800000018</v>
      </c>
      <c r="KVC362" s="633">
        <v>3430726.5900000026</v>
      </c>
      <c r="KVD362" s="633">
        <v>3636289.9099999997</v>
      </c>
      <c r="KVE362" s="633">
        <v>3606558.6500000022</v>
      </c>
      <c r="KVF362" s="633">
        <v>3549118.4400000018</v>
      </c>
      <c r="KVG362" s="634">
        <v>39996846</v>
      </c>
      <c r="KVH362" s="633">
        <f>SUM(KUU362:KVF362)</f>
        <v>39996846.150000013</v>
      </c>
      <c r="KVI362" s="631" t="s">
        <v>1836</v>
      </c>
      <c r="KVJ362" s="632" t="s">
        <v>1673</v>
      </c>
      <c r="KVK362" s="633">
        <v>3470702.0100000007</v>
      </c>
      <c r="KVL362" s="633">
        <v>3448347.94</v>
      </c>
      <c r="KVM362" s="633">
        <v>3398526.4800000009</v>
      </c>
      <c r="KVN362" s="633">
        <v>2159854.59</v>
      </c>
      <c r="KVO362" s="633">
        <v>3563316.060000001</v>
      </c>
      <c r="KVP362" s="633">
        <v>3305610.92</v>
      </c>
      <c r="KVQ362" s="633">
        <v>3255686.1799999992</v>
      </c>
      <c r="KVR362" s="633">
        <v>3172108.3800000018</v>
      </c>
      <c r="KVS362" s="633">
        <v>3430726.5900000026</v>
      </c>
      <c r="KVT362" s="633">
        <v>3636289.9099999997</v>
      </c>
      <c r="KVU362" s="633">
        <v>3606558.6500000022</v>
      </c>
      <c r="KVV362" s="633">
        <v>3549118.4400000018</v>
      </c>
      <c r="KVW362" s="634">
        <v>39996846</v>
      </c>
      <c r="KVX362" s="633">
        <f>SUM(KVK362:KVV362)</f>
        <v>39996846.150000013</v>
      </c>
      <c r="KVY362" s="631" t="s">
        <v>1836</v>
      </c>
      <c r="KVZ362" s="632" t="s">
        <v>1673</v>
      </c>
      <c r="KWA362" s="633">
        <v>3470702.0100000007</v>
      </c>
      <c r="KWB362" s="633">
        <v>3448347.94</v>
      </c>
      <c r="KWC362" s="633">
        <v>3398526.4800000009</v>
      </c>
      <c r="KWD362" s="633">
        <v>2159854.59</v>
      </c>
      <c r="KWE362" s="633">
        <v>3563316.060000001</v>
      </c>
      <c r="KWF362" s="633">
        <v>3305610.92</v>
      </c>
      <c r="KWG362" s="633">
        <v>3255686.1799999992</v>
      </c>
      <c r="KWH362" s="633">
        <v>3172108.3800000018</v>
      </c>
      <c r="KWI362" s="633">
        <v>3430726.5900000026</v>
      </c>
      <c r="KWJ362" s="633">
        <v>3636289.9099999997</v>
      </c>
      <c r="KWK362" s="633">
        <v>3606558.6500000022</v>
      </c>
      <c r="KWL362" s="633">
        <v>3549118.4400000018</v>
      </c>
      <c r="KWM362" s="634">
        <v>39996846</v>
      </c>
      <c r="KWN362" s="633">
        <f>SUM(KWA362:KWL362)</f>
        <v>39996846.150000013</v>
      </c>
      <c r="KWO362" s="631" t="s">
        <v>1836</v>
      </c>
      <c r="KWP362" s="632" t="s">
        <v>1673</v>
      </c>
      <c r="KWQ362" s="633">
        <v>3470702.0100000007</v>
      </c>
      <c r="KWR362" s="633">
        <v>3448347.94</v>
      </c>
      <c r="KWS362" s="633">
        <v>3398526.4800000009</v>
      </c>
      <c r="KWT362" s="633">
        <v>2159854.59</v>
      </c>
      <c r="KWU362" s="633">
        <v>3563316.060000001</v>
      </c>
      <c r="KWV362" s="633">
        <v>3305610.92</v>
      </c>
      <c r="KWW362" s="633">
        <v>3255686.1799999992</v>
      </c>
      <c r="KWX362" s="633">
        <v>3172108.3800000018</v>
      </c>
      <c r="KWY362" s="633">
        <v>3430726.5900000026</v>
      </c>
      <c r="KWZ362" s="633">
        <v>3636289.9099999997</v>
      </c>
      <c r="KXA362" s="633">
        <v>3606558.6500000022</v>
      </c>
      <c r="KXB362" s="633">
        <v>3549118.4400000018</v>
      </c>
      <c r="KXC362" s="634">
        <v>39996846</v>
      </c>
      <c r="KXD362" s="633">
        <f>SUM(KWQ362:KXB362)</f>
        <v>39996846.150000013</v>
      </c>
      <c r="KXE362" s="631" t="s">
        <v>1836</v>
      </c>
      <c r="KXF362" s="632" t="s">
        <v>1673</v>
      </c>
      <c r="KXG362" s="633">
        <v>3470702.0100000007</v>
      </c>
      <c r="KXH362" s="633">
        <v>3448347.94</v>
      </c>
      <c r="KXI362" s="633">
        <v>3398526.4800000009</v>
      </c>
      <c r="KXJ362" s="633">
        <v>2159854.59</v>
      </c>
      <c r="KXK362" s="633">
        <v>3563316.060000001</v>
      </c>
      <c r="KXL362" s="633">
        <v>3305610.92</v>
      </c>
      <c r="KXM362" s="633">
        <v>3255686.1799999992</v>
      </c>
      <c r="KXN362" s="633">
        <v>3172108.3800000018</v>
      </c>
      <c r="KXO362" s="633">
        <v>3430726.5900000026</v>
      </c>
      <c r="KXP362" s="633">
        <v>3636289.9099999997</v>
      </c>
      <c r="KXQ362" s="633">
        <v>3606558.6500000022</v>
      </c>
      <c r="KXR362" s="633">
        <v>3549118.4400000018</v>
      </c>
      <c r="KXS362" s="634">
        <v>39996846</v>
      </c>
      <c r="KXT362" s="633">
        <f>SUM(KXG362:KXR362)</f>
        <v>39996846.150000013</v>
      </c>
      <c r="KXU362" s="631" t="s">
        <v>1836</v>
      </c>
      <c r="KXV362" s="632" t="s">
        <v>1673</v>
      </c>
      <c r="KXW362" s="633">
        <v>3470702.0100000007</v>
      </c>
      <c r="KXX362" s="633">
        <v>3448347.94</v>
      </c>
      <c r="KXY362" s="633">
        <v>3398526.4800000009</v>
      </c>
      <c r="KXZ362" s="633">
        <v>2159854.59</v>
      </c>
      <c r="KYA362" s="633">
        <v>3563316.060000001</v>
      </c>
      <c r="KYB362" s="633">
        <v>3305610.92</v>
      </c>
      <c r="KYC362" s="633">
        <v>3255686.1799999992</v>
      </c>
      <c r="KYD362" s="633">
        <v>3172108.3800000018</v>
      </c>
      <c r="KYE362" s="633">
        <v>3430726.5900000026</v>
      </c>
      <c r="KYF362" s="633">
        <v>3636289.9099999997</v>
      </c>
      <c r="KYG362" s="633">
        <v>3606558.6500000022</v>
      </c>
      <c r="KYH362" s="633">
        <v>3549118.4400000018</v>
      </c>
      <c r="KYI362" s="634">
        <v>39996846</v>
      </c>
      <c r="KYJ362" s="633">
        <f>SUM(KXW362:KYH362)</f>
        <v>39996846.150000013</v>
      </c>
      <c r="KYK362" s="631" t="s">
        <v>1836</v>
      </c>
      <c r="KYL362" s="632" t="s">
        <v>1673</v>
      </c>
      <c r="KYM362" s="633">
        <v>3470702.0100000007</v>
      </c>
      <c r="KYN362" s="633">
        <v>3448347.94</v>
      </c>
      <c r="KYO362" s="633">
        <v>3398526.4800000009</v>
      </c>
      <c r="KYP362" s="633">
        <v>2159854.59</v>
      </c>
      <c r="KYQ362" s="633">
        <v>3563316.060000001</v>
      </c>
      <c r="KYR362" s="633">
        <v>3305610.92</v>
      </c>
      <c r="KYS362" s="633">
        <v>3255686.1799999992</v>
      </c>
      <c r="KYT362" s="633">
        <v>3172108.3800000018</v>
      </c>
      <c r="KYU362" s="633">
        <v>3430726.5900000026</v>
      </c>
      <c r="KYV362" s="633">
        <v>3636289.9099999997</v>
      </c>
      <c r="KYW362" s="633">
        <v>3606558.6500000022</v>
      </c>
      <c r="KYX362" s="633">
        <v>3549118.4400000018</v>
      </c>
      <c r="KYY362" s="634">
        <v>39996846</v>
      </c>
      <c r="KYZ362" s="633">
        <f>SUM(KYM362:KYX362)</f>
        <v>39996846.150000013</v>
      </c>
      <c r="KZA362" s="631" t="s">
        <v>1836</v>
      </c>
      <c r="KZB362" s="632" t="s">
        <v>1673</v>
      </c>
      <c r="KZC362" s="633">
        <v>3470702.0100000007</v>
      </c>
      <c r="KZD362" s="633">
        <v>3448347.94</v>
      </c>
      <c r="KZE362" s="633">
        <v>3398526.4800000009</v>
      </c>
      <c r="KZF362" s="633">
        <v>2159854.59</v>
      </c>
      <c r="KZG362" s="633">
        <v>3563316.060000001</v>
      </c>
      <c r="KZH362" s="633">
        <v>3305610.92</v>
      </c>
      <c r="KZI362" s="633">
        <v>3255686.1799999992</v>
      </c>
      <c r="KZJ362" s="633">
        <v>3172108.3800000018</v>
      </c>
      <c r="KZK362" s="633">
        <v>3430726.5900000026</v>
      </c>
      <c r="KZL362" s="633">
        <v>3636289.9099999997</v>
      </c>
      <c r="KZM362" s="633">
        <v>3606558.6500000022</v>
      </c>
      <c r="KZN362" s="633">
        <v>3549118.4400000018</v>
      </c>
      <c r="KZO362" s="634">
        <v>39996846</v>
      </c>
      <c r="KZP362" s="633">
        <f>SUM(KZC362:KZN362)</f>
        <v>39996846.150000013</v>
      </c>
      <c r="KZQ362" s="631" t="s">
        <v>1836</v>
      </c>
      <c r="KZR362" s="632" t="s">
        <v>1673</v>
      </c>
      <c r="KZS362" s="633">
        <v>3470702.0100000007</v>
      </c>
      <c r="KZT362" s="633">
        <v>3448347.94</v>
      </c>
      <c r="KZU362" s="633">
        <v>3398526.4800000009</v>
      </c>
      <c r="KZV362" s="633">
        <v>2159854.59</v>
      </c>
      <c r="KZW362" s="633">
        <v>3563316.060000001</v>
      </c>
      <c r="KZX362" s="633">
        <v>3305610.92</v>
      </c>
      <c r="KZY362" s="633">
        <v>3255686.1799999992</v>
      </c>
      <c r="KZZ362" s="633">
        <v>3172108.3800000018</v>
      </c>
      <c r="LAA362" s="633">
        <v>3430726.5900000026</v>
      </c>
      <c r="LAB362" s="633">
        <v>3636289.9099999997</v>
      </c>
      <c r="LAC362" s="633">
        <v>3606558.6500000022</v>
      </c>
      <c r="LAD362" s="633">
        <v>3549118.4400000018</v>
      </c>
      <c r="LAE362" s="634">
        <v>39996846</v>
      </c>
      <c r="LAF362" s="633">
        <f>SUM(KZS362:LAD362)</f>
        <v>39996846.150000013</v>
      </c>
      <c r="LAG362" s="631" t="s">
        <v>1836</v>
      </c>
      <c r="LAH362" s="632" t="s">
        <v>1673</v>
      </c>
      <c r="LAI362" s="633">
        <v>3470702.0100000007</v>
      </c>
      <c r="LAJ362" s="633">
        <v>3448347.94</v>
      </c>
      <c r="LAK362" s="633">
        <v>3398526.4800000009</v>
      </c>
      <c r="LAL362" s="633">
        <v>2159854.59</v>
      </c>
      <c r="LAM362" s="633">
        <v>3563316.060000001</v>
      </c>
      <c r="LAN362" s="633">
        <v>3305610.92</v>
      </c>
      <c r="LAO362" s="633">
        <v>3255686.1799999992</v>
      </c>
      <c r="LAP362" s="633">
        <v>3172108.3800000018</v>
      </c>
      <c r="LAQ362" s="633">
        <v>3430726.5900000026</v>
      </c>
      <c r="LAR362" s="633">
        <v>3636289.9099999997</v>
      </c>
      <c r="LAS362" s="633">
        <v>3606558.6500000022</v>
      </c>
      <c r="LAT362" s="633">
        <v>3549118.4400000018</v>
      </c>
      <c r="LAU362" s="634">
        <v>39996846</v>
      </c>
      <c r="LAV362" s="633">
        <f>SUM(LAI362:LAT362)</f>
        <v>39996846.150000013</v>
      </c>
      <c r="LAW362" s="631" t="s">
        <v>1836</v>
      </c>
      <c r="LAX362" s="632" t="s">
        <v>1673</v>
      </c>
      <c r="LAY362" s="633">
        <v>3470702.0100000007</v>
      </c>
      <c r="LAZ362" s="633">
        <v>3448347.94</v>
      </c>
      <c r="LBA362" s="633">
        <v>3398526.4800000009</v>
      </c>
      <c r="LBB362" s="633">
        <v>2159854.59</v>
      </c>
      <c r="LBC362" s="633">
        <v>3563316.060000001</v>
      </c>
      <c r="LBD362" s="633">
        <v>3305610.92</v>
      </c>
      <c r="LBE362" s="633">
        <v>3255686.1799999992</v>
      </c>
      <c r="LBF362" s="633">
        <v>3172108.3800000018</v>
      </c>
      <c r="LBG362" s="633">
        <v>3430726.5900000026</v>
      </c>
      <c r="LBH362" s="633">
        <v>3636289.9099999997</v>
      </c>
      <c r="LBI362" s="633">
        <v>3606558.6500000022</v>
      </c>
      <c r="LBJ362" s="633">
        <v>3549118.4400000018</v>
      </c>
      <c r="LBK362" s="634">
        <v>39996846</v>
      </c>
      <c r="LBL362" s="633">
        <f>SUM(LAY362:LBJ362)</f>
        <v>39996846.150000013</v>
      </c>
      <c r="LBM362" s="631" t="s">
        <v>1836</v>
      </c>
      <c r="LBN362" s="632" t="s">
        <v>1673</v>
      </c>
      <c r="LBO362" s="633">
        <v>3470702.0100000007</v>
      </c>
      <c r="LBP362" s="633">
        <v>3448347.94</v>
      </c>
      <c r="LBQ362" s="633">
        <v>3398526.4800000009</v>
      </c>
      <c r="LBR362" s="633">
        <v>2159854.59</v>
      </c>
      <c r="LBS362" s="633">
        <v>3563316.060000001</v>
      </c>
      <c r="LBT362" s="633">
        <v>3305610.92</v>
      </c>
      <c r="LBU362" s="633">
        <v>3255686.1799999992</v>
      </c>
      <c r="LBV362" s="633">
        <v>3172108.3800000018</v>
      </c>
      <c r="LBW362" s="633">
        <v>3430726.5900000026</v>
      </c>
      <c r="LBX362" s="633">
        <v>3636289.9099999997</v>
      </c>
      <c r="LBY362" s="633">
        <v>3606558.6500000022</v>
      </c>
      <c r="LBZ362" s="633">
        <v>3549118.4400000018</v>
      </c>
      <c r="LCA362" s="634">
        <v>39996846</v>
      </c>
      <c r="LCB362" s="633">
        <f>SUM(LBO362:LBZ362)</f>
        <v>39996846.150000013</v>
      </c>
      <c r="LCC362" s="631" t="s">
        <v>1836</v>
      </c>
      <c r="LCD362" s="632" t="s">
        <v>1673</v>
      </c>
      <c r="LCE362" s="633">
        <v>3470702.0100000007</v>
      </c>
      <c r="LCF362" s="633">
        <v>3448347.94</v>
      </c>
      <c r="LCG362" s="633">
        <v>3398526.4800000009</v>
      </c>
      <c r="LCH362" s="633">
        <v>2159854.59</v>
      </c>
      <c r="LCI362" s="633">
        <v>3563316.060000001</v>
      </c>
      <c r="LCJ362" s="633">
        <v>3305610.92</v>
      </c>
      <c r="LCK362" s="633">
        <v>3255686.1799999992</v>
      </c>
      <c r="LCL362" s="633">
        <v>3172108.3800000018</v>
      </c>
      <c r="LCM362" s="633">
        <v>3430726.5900000026</v>
      </c>
      <c r="LCN362" s="633">
        <v>3636289.9099999997</v>
      </c>
      <c r="LCO362" s="633">
        <v>3606558.6500000022</v>
      </c>
      <c r="LCP362" s="633">
        <v>3549118.4400000018</v>
      </c>
      <c r="LCQ362" s="634">
        <v>39996846</v>
      </c>
      <c r="LCR362" s="633">
        <f>SUM(LCE362:LCP362)</f>
        <v>39996846.150000013</v>
      </c>
      <c r="LCS362" s="631" t="s">
        <v>1836</v>
      </c>
      <c r="LCT362" s="632" t="s">
        <v>1673</v>
      </c>
      <c r="LCU362" s="633">
        <v>3470702.0100000007</v>
      </c>
      <c r="LCV362" s="633">
        <v>3448347.94</v>
      </c>
      <c r="LCW362" s="633">
        <v>3398526.4800000009</v>
      </c>
      <c r="LCX362" s="633">
        <v>2159854.59</v>
      </c>
      <c r="LCY362" s="633">
        <v>3563316.060000001</v>
      </c>
      <c r="LCZ362" s="633">
        <v>3305610.92</v>
      </c>
      <c r="LDA362" s="633">
        <v>3255686.1799999992</v>
      </c>
      <c r="LDB362" s="633">
        <v>3172108.3800000018</v>
      </c>
      <c r="LDC362" s="633">
        <v>3430726.5900000026</v>
      </c>
      <c r="LDD362" s="633">
        <v>3636289.9099999997</v>
      </c>
      <c r="LDE362" s="633">
        <v>3606558.6500000022</v>
      </c>
      <c r="LDF362" s="633">
        <v>3549118.4400000018</v>
      </c>
      <c r="LDG362" s="634">
        <v>39996846</v>
      </c>
      <c r="LDH362" s="633">
        <f>SUM(LCU362:LDF362)</f>
        <v>39996846.150000013</v>
      </c>
      <c r="LDI362" s="631" t="s">
        <v>1836</v>
      </c>
      <c r="LDJ362" s="632" t="s">
        <v>1673</v>
      </c>
      <c r="LDK362" s="633">
        <v>3470702.0100000007</v>
      </c>
      <c r="LDL362" s="633">
        <v>3448347.94</v>
      </c>
      <c r="LDM362" s="633">
        <v>3398526.4800000009</v>
      </c>
      <c r="LDN362" s="633">
        <v>2159854.59</v>
      </c>
      <c r="LDO362" s="633">
        <v>3563316.060000001</v>
      </c>
      <c r="LDP362" s="633">
        <v>3305610.92</v>
      </c>
      <c r="LDQ362" s="633">
        <v>3255686.1799999992</v>
      </c>
      <c r="LDR362" s="633">
        <v>3172108.3800000018</v>
      </c>
      <c r="LDS362" s="633">
        <v>3430726.5900000026</v>
      </c>
      <c r="LDT362" s="633">
        <v>3636289.9099999997</v>
      </c>
      <c r="LDU362" s="633">
        <v>3606558.6500000022</v>
      </c>
      <c r="LDV362" s="633">
        <v>3549118.4400000018</v>
      </c>
      <c r="LDW362" s="634">
        <v>39996846</v>
      </c>
      <c r="LDX362" s="633">
        <f>SUM(LDK362:LDV362)</f>
        <v>39996846.150000013</v>
      </c>
      <c r="LDY362" s="631" t="s">
        <v>1836</v>
      </c>
      <c r="LDZ362" s="632" t="s">
        <v>1673</v>
      </c>
      <c r="LEA362" s="633">
        <v>3470702.0100000007</v>
      </c>
      <c r="LEB362" s="633">
        <v>3448347.94</v>
      </c>
      <c r="LEC362" s="633">
        <v>3398526.4800000009</v>
      </c>
      <c r="LED362" s="633">
        <v>2159854.59</v>
      </c>
      <c r="LEE362" s="633">
        <v>3563316.060000001</v>
      </c>
      <c r="LEF362" s="633">
        <v>3305610.92</v>
      </c>
      <c r="LEG362" s="633">
        <v>3255686.1799999992</v>
      </c>
      <c r="LEH362" s="633">
        <v>3172108.3800000018</v>
      </c>
      <c r="LEI362" s="633">
        <v>3430726.5900000026</v>
      </c>
      <c r="LEJ362" s="633">
        <v>3636289.9099999997</v>
      </c>
      <c r="LEK362" s="633">
        <v>3606558.6500000022</v>
      </c>
      <c r="LEL362" s="633">
        <v>3549118.4400000018</v>
      </c>
      <c r="LEM362" s="634">
        <v>39996846</v>
      </c>
      <c r="LEN362" s="633">
        <f>SUM(LEA362:LEL362)</f>
        <v>39996846.150000013</v>
      </c>
      <c r="LEO362" s="631" t="s">
        <v>1836</v>
      </c>
      <c r="LEP362" s="632" t="s">
        <v>1673</v>
      </c>
      <c r="LEQ362" s="633">
        <v>3470702.0100000007</v>
      </c>
      <c r="LER362" s="633">
        <v>3448347.94</v>
      </c>
      <c r="LES362" s="633">
        <v>3398526.4800000009</v>
      </c>
      <c r="LET362" s="633">
        <v>2159854.59</v>
      </c>
      <c r="LEU362" s="633">
        <v>3563316.060000001</v>
      </c>
      <c r="LEV362" s="633">
        <v>3305610.92</v>
      </c>
      <c r="LEW362" s="633">
        <v>3255686.1799999992</v>
      </c>
      <c r="LEX362" s="633">
        <v>3172108.3800000018</v>
      </c>
      <c r="LEY362" s="633">
        <v>3430726.5900000026</v>
      </c>
      <c r="LEZ362" s="633">
        <v>3636289.9099999997</v>
      </c>
      <c r="LFA362" s="633">
        <v>3606558.6500000022</v>
      </c>
      <c r="LFB362" s="633">
        <v>3549118.4400000018</v>
      </c>
      <c r="LFC362" s="634">
        <v>39996846</v>
      </c>
      <c r="LFD362" s="633">
        <f>SUM(LEQ362:LFB362)</f>
        <v>39996846.150000013</v>
      </c>
      <c r="LFE362" s="631" t="s">
        <v>1836</v>
      </c>
      <c r="LFF362" s="632" t="s">
        <v>1673</v>
      </c>
      <c r="LFG362" s="633">
        <v>3470702.0100000007</v>
      </c>
      <c r="LFH362" s="633">
        <v>3448347.94</v>
      </c>
      <c r="LFI362" s="633">
        <v>3398526.4800000009</v>
      </c>
      <c r="LFJ362" s="633">
        <v>2159854.59</v>
      </c>
      <c r="LFK362" s="633">
        <v>3563316.060000001</v>
      </c>
      <c r="LFL362" s="633">
        <v>3305610.92</v>
      </c>
      <c r="LFM362" s="633">
        <v>3255686.1799999992</v>
      </c>
      <c r="LFN362" s="633">
        <v>3172108.3800000018</v>
      </c>
      <c r="LFO362" s="633">
        <v>3430726.5900000026</v>
      </c>
      <c r="LFP362" s="633">
        <v>3636289.9099999997</v>
      </c>
      <c r="LFQ362" s="633">
        <v>3606558.6500000022</v>
      </c>
      <c r="LFR362" s="633">
        <v>3549118.4400000018</v>
      </c>
      <c r="LFS362" s="634">
        <v>39996846</v>
      </c>
      <c r="LFT362" s="633">
        <f>SUM(LFG362:LFR362)</f>
        <v>39996846.150000013</v>
      </c>
      <c r="LFU362" s="631" t="s">
        <v>1836</v>
      </c>
      <c r="LFV362" s="632" t="s">
        <v>1673</v>
      </c>
      <c r="LFW362" s="633">
        <v>3470702.0100000007</v>
      </c>
      <c r="LFX362" s="633">
        <v>3448347.94</v>
      </c>
      <c r="LFY362" s="633">
        <v>3398526.4800000009</v>
      </c>
      <c r="LFZ362" s="633">
        <v>2159854.59</v>
      </c>
      <c r="LGA362" s="633">
        <v>3563316.060000001</v>
      </c>
      <c r="LGB362" s="633">
        <v>3305610.92</v>
      </c>
      <c r="LGC362" s="633">
        <v>3255686.1799999992</v>
      </c>
      <c r="LGD362" s="633">
        <v>3172108.3800000018</v>
      </c>
      <c r="LGE362" s="633">
        <v>3430726.5900000026</v>
      </c>
      <c r="LGF362" s="633">
        <v>3636289.9099999997</v>
      </c>
      <c r="LGG362" s="633">
        <v>3606558.6500000022</v>
      </c>
      <c r="LGH362" s="633">
        <v>3549118.4400000018</v>
      </c>
      <c r="LGI362" s="634">
        <v>39996846</v>
      </c>
      <c r="LGJ362" s="633">
        <f>SUM(LFW362:LGH362)</f>
        <v>39996846.150000013</v>
      </c>
      <c r="LGK362" s="631" t="s">
        <v>1836</v>
      </c>
      <c r="LGL362" s="632" t="s">
        <v>1673</v>
      </c>
      <c r="LGM362" s="633">
        <v>3470702.0100000007</v>
      </c>
      <c r="LGN362" s="633">
        <v>3448347.94</v>
      </c>
      <c r="LGO362" s="633">
        <v>3398526.4800000009</v>
      </c>
      <c r="LGP362" s="633">
        <v>2159854.59</v>
      </c>
      <c r="LGQ362" s="633">
        <v>3563316.060000001</v>
      </c>
      <c r="LGR362" s="633">
        <v>3305610.92</v>
      </c>
      <c r="LGS362" s="633">
        <v>3255686.1799999992</v>
      </c>
      <c r="LGT362" s="633">
        <v>3172108.3800000018</v>
      </c>
      <c r="LGU362" s="633">
        <v>3430726.5900000026</v>
      </c>
      <c r="LGV362" s="633">
        <v>3636289.9099999997</v>
      </c>
      <c r="LGW362" s="633">
        <v>3606558.6500000022</v>
      </c>
      <c r="LGX362" s="633">
        <v>3549118.4400000018</v>
      </c>
      <c r="LGY362" s="634">
        <v>39996846</v>
      </c>
      <c r="LGZ362" s="633">
        <f>SUM(LGM362:LGX362)</f>
        <v>39996846.150000013</v>
      </c>
      <c r="LHA362" s="631" t="s">
        <v>1836</v>
      </c>
      <c r="LHB362" s="632" t="s">
        <v>1673</v>
      </c>
      <c r="LHC362" s="633">
        <v>3470702.0100000007</v>
      </c>
      <c r="LHD362" s="633">
        <v>3448347.94</v>
      </c>
      <c r="LHE362" s="633">
        <v>3398526.4800000009</v>
      </c>
      <c r="LHF362" s="633">
        <v>2159854.59</v>
      </c>
      <c r="LHG362" s="633">
        <v>3563316.060000001</v>
      </c>
      <c r="LHH362" s="633">
        <v>3305610.92</v>
      </c>
      <c r="LHI362" s="633">
        <v>3255686.1799999992</v>
      </c>
      <c r="LHJ362" s="633">
        <v>3172108.3800000018</v>
      </c>
      <c r="LHK362" s="633">
        <v>3430726.5900000026</v>
      </c>
      <c r="LHL362" s="633">
        <v>3636289.9099999997</v>
      </c>
      <c r="LHM362" s="633">
        <v>3606558.6500000022</v>
      </c>
      <c r="LHN362" s="633">
        <v>3549118.4400000018</v>
      </c>
      <c r="LHO362" s="634">
        <v>39996846</v>
      </c>
      <c r="LHP362" s="633">
        <f>SUM(LHC362:LHN362)</f>
        <v>39996846.150000013</v>
      </c>
      <c r="LHQ362" s="631" t="s">
        <v>1836</v>
      </c>
      <c r="LHR362" s="632" t="s">
        <v>1673</v>
      </c>
      <c r="LHS362" s="633">
        <v>3470702.0100000007</v>
      </c>
      <c r="LHT362" s="633">
        <v>3448347.94</v>
      </c>
      <c r="LHU362" s="633">
        <v>3398526.4800000009</v>
      </c>
      <c r="LHV362" s="633">
        <v>2159854.59</v>
      </c>
      <c r="LHW362" s="633">
        <v>3563316.060000001</v>
      </c>
      <c r="LHX362" s="633">
        <v>3305610.92</v>
      </c>
      <c r="LHY362" s="633">
        <v>3255686.1799999992</v>
      </c>
      <c r="LHZ362" s="633">
        <v>3172108.3800000018</v>
      </c>
      <c r="LIA362" s="633">
        <v>3430726.5900000026</v>
      </c>
      <c r="LIB362" s="633">
        <v>3636289.9099999997</v>
      </c>
      <c r="LIC362" s="633">
        <v>3606558.6500000022</v>
      </c>
      <c r="LID362" s="633">
        <v>3549118.4400000018</v>
      </c>
      <c r="LIE362" s="634">
        <v>39996846</v>
      </c>
      <c r="LIF362" s="633">
        <f>SUM(LHS362:LID362)</f>
        <v>39996846.150000013</v>
      </c>
      <c r="LIG362" s="631" t="s">
        <v>1836</v>
      </c>
      <c r="LIH362" s="632" t="s">
        <v>1673</v>
      </c>
      <c r="LII362" s="633">
        <v>3470702.0100000007</v>
      </c>
      <c r="LIJ362" s="633">
        <v>3448347.94</v>
      </c>
      <c r="LIK362" s="633">
        <v>3398526.4800000009</v>
      </c>
      <c r="LIL362" s="633">
        <v>2159854.59</v>
      </c>
      <c r="LIM362" s="633">
        <v>3563316.060000001</v>
      </c>
      <c r="LIN362" s="633">
        <v>3305610.92</v>
      </c>
      <c r="LIO362" s="633">
        <v>3255686.1799999992</v>
      </c>
      <c r="LIP362" s="633">
        <v>3172108.3800000018</v>
      </c>
      <c r="LIQ362" s="633">
        <v>3430726.5900000026</v>
      </c>
      <c r="LIR362" s="633">
        <v>3636289.9099999997</v>
      </c>
      <c r="LIS362" s="633">
        <v>3606558.6500000022</v>
      </c>
      <c r="LIT362" s="633">
        <v>3549118.4400000018</v>
      </c>
      <c r="LIU362" s="634">
        <v>39996846</v>
      </c>
      <c r="LIV362" s="633">
        <f>SUM(LII362:LIT362)</f>
        <v>39996846.150000013</v>
      </c>
      <c r="LIW362" s="631" t="s">
        <v>1836</v>
      </c>
      <c r="LIX362" s="632" t="s">
        <v>1673</v>
      </c>
      <c r="LIY362" s="633">
        <v>3470702.0100000007</v>
      </c>
      <c r="LIZ362" s="633">
        <v>3448347.94</v>
      </c>
      <c r="LJA362" s="633">
        <v>3398526.4800000009</v>
      </c>
      <c r="LJB362" s="633">
        <v>2159854.59</v>
      </c>
      <c r="LJC362" s="633">
        <v>3563316.060000001</v>
      </c>
      <c r="LJD362" s="633">
        <v>3305610.92</v>
      </c>
      <c r="LJE362" s="633">
        <v>3255686.1799999992</v>
      </c>
      <c r="LJF362" s="633">
        <v>3172108.3800000018</v>
      </c>
      <c r="LJG362" s="633">
        <v>3430726.5900000026</v>
      </c>
      <c r="LJH362" s="633">
        <v>3636289.9099999997</v>
      </c>
      <c r="LJI362" s="633">
        <v>3606558.6500000022</v>
      </c>
      <c r="LJJ362" s="633">
        <v>3549118.4400000018</v>
      </c>
      <c r="LJK362" s="634">
        <v>39996846</v>
      </c>
      <c r="LJL362" s="633">
        <f>SUM(LIY362:LJJ362)</f>
        <v>39996846.150000013</v>
      </c>
      <c r="LJM362" s="631" t="s">
        <v>1836</v>
      </c>
      <c r="LJN362" s="632" t="s">
        <v>1673</v>
      </c>
      <c r="LJO362" s="633">
        <v>3470702.0100000007</v>
      </c>
      <c r="LJP362" s="633">
        <v>3448347.94</v>
      </c>
      <c r="LJQ362" s="633">
        <v>3398526.4800000009</v>
      </c>
      <c r="LJR362" s="633">
        <v>2159854.59</v>
      </c>
      <c r="LJS362" s="633">
        <v>3563316.060000001</v>
      </c>
      <c r="LJT362" s="633">
        <v>3305610.92</v>
      </c>
      <c r="LJU362" s="633">
        <v>3255686.1799999992</v>
      </c>
      <c r="LJV362" s="633">
        <v>3172108.3800000018</v>
      </c>
      <c r="LJW362" s="633">
        <v>3430726.5900000026</v>
      </c>
      <c r="LJX362" s="633">
        <v>3636289.9099999997</v>
      </c>
      <c r="LJY362" s="633">
        <v>3606558.6500000022</v>
      </c>
      <c r="LJZ362" s="633">
        <v>3549118.4400000018</v>
      </c>
      <c r="LKA362" s="634">
        <v>39996846</v>
      </c>
      <c r="LKB362" s="633">
        <f>SUM(LJO362:LJZ362)</f>
        <v>39996846.150000013</v>
      </c>
      <c r="LKC362" s="631" t="s">
        <v>1836</v>
      </c>
      <c r="LKD362" s="632" t="s">
        <v>1673</v>
      </c>
      <c r="LKE362" s="633">
        <v>3470702.0100000007</v>
      </c>
      <c r="LKF362" s="633">
        <v>3448347.94</v>
      </c>
      <c r="LKG362" s="633">
        <v>3398526.4800000009</v>
      </c>
      <c r="LKH362" s="633">
        <v>2159854.59</v>
      </c>
      <c r="LKI362" s="633">
        <v>3563316.060000001</v>
      </c>
      <c r="LKJ362" s="633">
        <v>3305610.92</v>
      </c>
      <c r="LKK362" s="633">
        <v>3255686.1799999992</v>
      </c>
      <c r="LKL362" s="633">
        <v>3172108.3800000018</v>
      </c>
      <c r="LKM362" s="633">
        <v>3430726.5900000026</v>
      </c>
      <c r="LKN362" s="633">
        <v>3636289.9099999997</v>
      </c>
      <c r="LKO362" s="633">
        <v>3606558.6500000022</v>
      </c>
      <c r="LKP362" s="633">
        <v>3549118.4400000018</v>
      </c>
      <c r="LKQ362" s="634">
        <v>39996846</v>
      </c>
      <c r="LKR362" s="633">
        <f>SUM(LKE362:LKP362)</f>
        <v>39996846.150000013</v>
      </c>
      <c r="LKS362" s="631" t="s">
        <v>1836</v>
      </c>
      <c r="LKT362" s="632" t="s">
        <v>1673</v>
      </c>
      <c r="LKU362" s="633">
        <v>3470702.0100000007</v>
      </c>
      <c r="LKV362" s="633">
        <v>3448347.94</v>
      </c>
      <c r="LKW362" s="633">
        <v>3398526.4800000009</v>
      </c>
      <c r="LKX362" s="633">
        <v>2159854.59</v>
      </c>
      <c r="LKY362" s="633">
        <v>3563316.060000001</v>
      </c>
      <c r="LKZ362" s="633">
        <v>3305610.92</v>
      </c>
      <c r="LLA362" s="633">
        <v>3255686.1799999992</v>
      </c>
      <c r="LLB362" s="633">
        <v>3172108.3800000018</v>
      </c>
      <c r="LLC362" s="633">
        <v>3430726.5900000026</v>
      </c>
      <c r="LLD362" s="633">
        <v>3636289.9099999997</v>
      </c>
      <c r="LLE362" s="633">
        <v>3606558.6500000022</v>
      </c>
      <c r="LLF362" s="633">
        <v>3549118.4400000018</v>
      </c>
      <c r="LLG362" s="634">
        <v>39996846</v>
      </c>
      <c r="LLH362" s="633">
        <f>SUM(LKU362:LLF362)</f>
        <v>39996846.150000013</v>
      </c>
      <c r="LLI362" s="631" t="s">
        <v>1836</v>
      </c>
      <c r="LLJ362" s="632" t="s">
        <v>1673</v>
      </c>
      <c r="LLK362" s="633">
        <v>3470702.0100000007</v>
      </c>
      <c r="LLL362" s="633">
        <v>3448347.94</v>
      </c>
      <c r="LLM362" s="633">
        <v>3398526.4800000009</v>
      </c>
      <c r="LLN362" s="633">
        <v>2159854.59</v>
      </c>
      <c r="LLO362" s="633">
        <v>3563316.060000001</v>
      </c>
      <c r="LLP362" s="633">
        <v>3305610.92</v>
      </c>
      <c r="LLQ362" s="633">
        <v>3255686.1799999992</v>
      </c>
      <c r="LLR362" s="633">
        <v>3172108.3800000018</v>
      </c>
      <c r="LLS362" s="633">
        <v>3430726.5900000026</v>
      </c>
      <c r="LLT362" s="633">
        <v>3636289.9099999997</v>
      </c>
      <c r="LLU362" s="633">
        <v>3606558.6500000022</v>
      </c>
      <c r="LLV362" s="633">
        <v>3549118.4400000018</v>
      </c>
      <c r="LLW362" s="634">
        <v>39996846</v>
      </c>
      <c r="LLX362" s="633">
        <f>SUM(LLK362:LLV362)</f>
        <v>39996846.150000013</v>
      </c>
      <c r="LLY362" s="631" t="s">
        <v>1836</v>
      </c>
      <c r="LLZ362" s="632" t="s">
        <v>1673</v>
      </c>
      <c r="LMA362" s="633">
        <v>3470702.0100000007</v>
      </c>
      <c r="LMB362" s="633">
        <v>3448347.94</v>
      </c>
      <c r="LMC362" s="633">
        <v>3398526.4800000009</v>
      </c>
      <c r="LMD362" s="633">
        <v>2159854.59</v>
      </c>
      <c r="LME362" s="633">
        <v>3563316.060000001</v>
      </c>
      <c r="LMF362" s="633">
        <v>3305610.92</v>
      </c>
      <c r="LMG362" s="633">
        <v>3255686.1799999992</v>
      </c>
      <c r="LMH362" s="633">
        <v>3172108.3800000018</v>
      </c>
      <c r="LMI362" s="633">
        <v>3430726.5900000026</v>
      </c>
      <c r="LMJ362" s="633">
        <v>3636289.9099999997</v>
      </c>
      <c r="LMK362" s="633">
        <v>3606558.6500000022</v>
      </c>
      <c r="LML362" s="633">
        <v>3549118.4400000018</v>
      </c>
      <c r="LMM362" s="634">
        <v>39996846</v>
      </c>
      <c r="LMN362" s="633">
        <f>SUM(LMA362:LML362)</f>
        <v>39996846.150000013</v>
      </c>
      <c r="LMO362" s="631" t="s">
        <v>1836</v>
      </c>
      <c r="LMP362" s="632" t="s">
        <v>1673</v>
      </c>
      <c r="LMQ362" s="633">
        <v>3470702.0100000007</v>
      </c>
      <c r="LMR362" s="633">
        <v>3448347.94</v>
      </c>
      <c r="LMS362" s="633">
        <v>3398526.4800000009</v>
      </c>
      <c r="LMT362" s="633">
        <v>2159854.59</v>
      </c>
      <c r="LMU362" s="633">
        <v>3563316.060000001</v>
      </c>
      <c r="LMV362" s="633">
        <v>3305610.92</v>
      </c>
      <c r="LMW362" s="633">
        <v>3255686.1799999992</v>
      </c>
      <c r="LMX362" s="633">
        <v>3172108.3800000018</v>
      </c>
      <c r="LMY362" s="633">
        <v>3430726.5900000026</v>
      </c>
      <c r="LMZ362" s="633">
        <v>3636289.9099999997</v>
      </c>
      <c r="LNA362" s="633">
        <v>3606558.6500000022</v>
      </c>
      <c r="LNB362" s="633">
        <v>3549118.4400000018</v>
      </c>
      <c r="LNC362" s="634">
        <v>39996846</v>
      </c>
      <c r="LND362" s="633">
        <f>SUM(LMQ362:LNB362)</f>
        <v>39996846.150000013</v>
      </c>
      <c r="LNE362" s="631" t="s">
        <v>1836</v>
      </c>
      <c r="LNF362" s="632" t="s">
        <v>1673</v>
      </c>
      <c r="LNG362" s="633">
        <v>3470702.0100000007</v>
      </c>
      <c r="LNH362" s="633">
        <v>3448347.94</v>
      </c>
      <c r="LNI362" s="633">
        <v>3398526.4800000009</v>
      </c>
      <c r="LNJ362" s="633">
        <v>2159854.59</v>
      </c>
      <c r="LNK362" s="633">
        <v>3563316.060000001</v>
      </c>
      <c r="LNL362" s="633">
        <v>3305610.92</v>
      </c>
      <c r="LNM362" s="633">
        <v>3255686.1799999992</v>
      </c>
      <c r="LNN362" s="633">
        <v>3172108.3800000018</v>
      </c>
      <c r="LNO362" s="633">
        <v>3430726.5900000026</v>
      </c>
      <c r="LNP362" s="633">
        <v>3636289.9099999997</v>
      </c>
      <c r="LNQ362" s="633">
        <v>3606558.6500000022</v>
      </c>
      <c r="LNR362" s="633">
        <v>3549118.4400000018</v>
      </c>
      <c r="LNS362" s="634">
        <v>39996846</v>
      </c>
      <c r="LNT362" s="633">
        <f>SUM(LNG362:LNR362)</f>
        <v>39996846.150000013</v>
      </c>
      <c r="LNU362" s="631" t="s">
        <v>1836</v>
      </c>
      <c r="LNV362" s="632" t="s">
        <v>1673</v>
      </c>
      <c r="LNW362" s="633">
        <v>3470702.0100000007</v>
      </c>
      <c r="LNX362" s="633">
        <v>3448347.94</v>
      </c>
      <c r="LNY362" s="633">
        <v>3398526.4800000009</v>
      </c>
      <c r="LNZ362" s="633">
        <v>2159854.59</v>
      </c>
      <c r="LOA362" s="633">
        <v>3563316.060000001</v>
      </c>
      <c r="LOB362" s="633">
        <v>3305610.92</v>
      </c>
      <c r="LOC362" s="633">
        <v>3255686.1799999992</v>
      </c>
      <c r="LOD362" s="633">
        <v>3172108.3800000018</v>
      </c>
      <c r="LOE362" s="633">
        <v>3430726.5900000026</v>
      </c>
      <c r="LOF362" s="633">
        <v>3636289.9099999997</v>
      </c>
      <c r="LOG362" s="633">
        <v>3606558.6500000022</v>
      </c>
      <c r="LOH362" s="633">
        <v>3549118.4400000018</v>
      </c>
      <c r="LOI362" s="634">
        <v>39996846</v>
      </c>
      <c r="LOJ362" s="633">
        <f>SUM(LNW362:LOH362)</f>
        <v>39996846.150000013</v>
      </c>
      <c r="LOK362" s="631" t="s">
        <v>1836</v>
      </c>
      <c r="LOL362" s="632" t="s">
        <v>1673</v>
      </c>
      <c r="LOM362" s="633">
        <v>3470702.0100000007</v>
      </c>
      <c r="LON362" s="633">
        <v>3448347.94</v>
      </c>
      <c r="LOO362" s="633">
        <v>3398526.4800000009</v>
      </c>
      <c r="LOP362" s="633">
        <v>2159854.59</v>
      </c>
      <c r="LOQ362" s="633">
        <v>3563316.060000001</v>
      </c>
      <c r="LOR362" s="633">
        <v>3305610.92</v>
      </c>
      <c r="LOS362" s="633">
        <v>3255686.1799999992</v>
      </c>
      <c r="LOT362" s="633">
        <v>3172108.3800000018</v>
      </c>
      <c r="LOU362" s="633">
        <v>3430726.5900000026</v>
      </c>
      <c r="LOV362" s="633">
        <v>3636289.9099999997</v>
      </c>
      <c r="LOW362" s="633">
        <v>3606558.6500000022</v>
      </c>
      <c r="LOX362" s="633">
        <v>3549118.4400000018</v>
      </c>
      <c r="LOY362" s="634">
        <v>39996846</v>
      </c>
      <c r="LOZ362" s="633">
        <f>SUM(LOM362:LOX362)</f>
        <v>39996846.150000013</v>
      </c>
      <c r="LPA362" s="631" t="s">
        <v>1836</v>
      </c>
      <c r="LPB362" s="632" t="s">
        <v>1673</v>
      </c>
      <c r="LPC362" s="633">
        <v>3470702.0100000007</v>
      </c>
      <c r="LPD362" s="633">
        <v>3448347.94</v>
      </c>
      <c r="LPE362" s="633">
        <v>3398526.4800000009</v>
      </c>
      <c r="LPF362" s="633">
        <v>2159854.59</v>
      </c>
      <c r="LPG362" s="633">
        <v>3563316.060000001</v>
      </c>
      <c r="LPH362" s="633">
        <v>3305610.92</v>
      </c>
      <c r="LPI362" s="633">
        <v>3255686.1799999992</v>
      </c>
      <c r="LPJ362" s="633">
        <v>3172108.3800000018</v>
      </c>
      <c r="LPK362" s="633">
        <v>3430726.5900000026</v>
      </c>
      <c r="LPL362" s="633">
        <v>3636289.9099999997</v>
      </c>
      <c r="LPM362" s="633">
        <v>3606558.6500000022</v>
      </c>
      <c r="LPN362" s="633">
        <v>3549118.4400000018</v>
      </c>
      <c r="LPO362" s="634">
        <v>39996846</v>
      </c>
      <c r="LPP362" s="633">
        <f>SUM(LPC362:LPN362)</f>
        <v>39996846.150000013</v>
      </c>
      <c r="LPQ362" s="631" t="s">
        <v>1836</v>
      </c>
      <c r="LPR362" s="632" t="s">
        <v>1673</v>
      </c>
      <c r="LPS362" s="633">
        <v>3470702.0100000007</v>
      </c>
      <c r="LPT362" s="633">
        <v>3448347.94</v>
      </c>
      <c r="LPU362" s="633">
        <v>3398526.4800000009</v>
      </c>
      <c r="LPV362" s="633">
        <v>2159854.59</v>
      </c>
      <c r="LPW362" s="633">
        <v>3563316.060000001</v>
      </c>
      <c r="LPX362" s="633">
        <v>3305610.92</v>
      </c>
      <c r="LPY362" s="633">
        <v>3255686.1799999992</v>
      </c>
      <c r="LPZ362" s="633">
        <v>3172108.3800000018</v>
      </c>
      <c r="LQA362" s="633">
        <v>3430726.5900000026</v>
      </c>
      <c r="LQB362" s="633">
        <v>3636289.9099999997</v>
      </c>
      <c r="LQC362" s="633">
        <v>3606558.6500000022</v>
      </c>
      <c r="LQD362" s="633">
        <v>3549118.4400000018</v>
      </c>
      <c r="LQE362" s="634">
        <v>39996846</v>
      </c>
      <c r="LQF362" s="633">
        <f>SUM(LPS362:LQD362)</f>
        <v>39996846.150000013</v>
      </c>
      <c r="LQG362" s="631" t="s">
        <v>1836</v>
      </c>
      <c r="LQH362" s="632" t="s">
        <v>1673</v>
      </c>
      <c r="LQI362" s="633">
        <v>3470702.0100000007</v>
      </c>
      <c r="LQJ362" s="633">
        <v>3448347.94</v>
      </c>
      <c r="LQK362" s="633">
        <v>3398526.4800000009</v>
      </c>
      <c r="LQL362" s="633">
        <v>2159854.59</v>
      </c>
      <c r="LQM362" s="633">
        <v>3563316.060000001</v>
      </c>
      <c r="LQN362" s="633">
        <v>3305610.92</v>
      </c>
      <c r="LQO362" s="633">
        <v>3255686.1799999992</v>
      </c>
      <c r="LQP362" s="633">
        <v>3172108.3800000018</v>
      </c>
      <c r="LQQ362" s="633">
        <v>3430726.5900000026</v>
      </c>
      <c r="LQR362" s="633">
        <v>3636289.9099999997</v>
      </c>
      <c r="LQS362" s="633">
        <v>3606558.6500000022</v>
      </c>
      <c r="LQT362" s="633">
        <v>3549118.4400000018</v>
      </c>
      <c r="LQU362" s="634">
        <v>39996846</v>
      </c>
      <c r="LQV362" s="633">
        <f>SUM(LQI362:LQT362)</f>
        <v>39996846.150000013</v>
      </c>
      <c r="LQW362" s="631" t="s">
        <v>1836</v>
      </c>
      <c r="LQX362" s="632" t="s">
        <v>1673</v>
      </c>
      <c r="LQY362" s="633">
        <v>3470702.0100000007</v>
      </c>
      <c r="LQZ362" s="633">
        <v>3448347.94</v>
      </c>
      <c r="LRA362" s="633">
        <v>3398526.4800000009</v>
      </c>
      <c r="LRB362" s="633">
        <v>2159854.59</v>
      </c>
      <c r="LRC362" s="633">
        <v>3563316.060000001</v>
      </c>
      <c r="LRD362" s="633">
        <v>3305610.92</v>
      </c>
      <c r="LRE362" s="633">
        <v>3255686.1799999992</v>
      </c>
      <c r="LRF362" s="633">
        <v>3172108.3800000018</v>
      </c>
      <c r="LRG362" s="633">
        <v>3430726.5900000026</v>
      </c>
      <c r="LRH362" s="633">
        <v>3636289.9099999997</v>
      </c>
      <c r="LRI362" s="633">
        <v>3606558.6500000022</v>
      </c>
      <c r="LRJ362" s="633">
        <v>3549118.4400000018</v>
      </c>
      <c r="LRK362" s="634">
        <v>39996846</v>
      </c>
      <c r="LRL362" s="633">
        <f>SUM(LQY362:LRJ362)</f>
        <v>39996846.150000013</v>
      </c>
      <c r="LRM362" s="631" t="s">
        <v>1836</v>
      </c>
      <c r="LRN362" s="632" t="s">
        <v>1673</v>
      </c>
      <c r="LRO362" s="633">
        <v>3470702.0100000007</v>
      </c>
      <c r="LRP362" s="633">
        <v>3448347.94</v>
      </c>
      <c r="LRQ362" s="633">
        <v>3398526.4800000009</v>
      </c>
      <c r="LRR362" s="633">
        <v>2159854.59</v>
      </c>
      <c r="LRS362" s="633">
        <v>3563316.060000001</v>
      </c>
      <c r="LRT362" s="633">
        <v>3305610.92</v>
      </c>
      <c r="LRU362" s="633">
        <v>3255686.1799999992</v>
      </c>
      <c r="LRV362" s="633">
        <v>3172108.3800000018</v>
      </c>
      <c r="LRW362" s="633">
        <v>3430726.5900000026</v>
      </c>
      <c r="LRX362" s="633">
        <v>3636289.9099999997</v>
      </c>
      <c r="LRY362" s="633">
        <v>3606558.6500000022</v>
      </c>
      <c r="LRZ362" s="633">
        <v>3549118.4400000018</v>
      </c>
      <c r="LSA362" s="634">
        <v>39996846</v>
      </c>
      <c r="LSB362" s="633">
        <f>SUM(LRO362:LRZ362)</f>
        <v>39996846.150000013</v>
      </c>
      <c r="LSC362" s="631" t="s">
        <v>1836</v>
      </c>
      <c r="LSD362" s="632" t="s">
        <v>1673</v>
      </c>
      <c r="LSE362" s="633">
        <v>3470702.0100000007</v>
      </c>
      <c r="LSF362" s="633">
        <v>3448347.94</v>
      </c>
      <c r="LSG362" s="633">
        <v>3398526.4800000009</v>
      </c>
      <c r="LSH362" s="633">
        <v>2159854.59</v>
      </c>
      <c r="LSI362" s="633">
        <v>3563316.060000001</v>
      </c>
      <c r="LSJ362" s="633">
        <v>3305610.92</v>
      </c>
      <c r="LSK362" s="633">
        <v>3255686.1799999992</v>
      </c>
      <c r="LSL362" s="633">
        <v>3172108.3800000018</v>
      </c>
      <c r="LSM362" s="633">
        <v>3430726.5900000026</v>
      </c>
      <c r="LSN362" s="633">
        <v>3636289.9099999997</v>
      </c>
      <c r="LSO362" s="633">
        <v>3606558.6500000022</v>
      </c>
      <c r="LSP362" s="633">
        <v>3549118.4400000018</v>
      </c>
      <c r="LSQ362" s="634">
        <v>39996846</v>
      </c>
      <c r="LSR362" s="633">
        <f>SUM(LSE362:LSP362)</f>
        <v>39996846.150000013</v>
      </c>
      <c r="LSS362" s="631" t="s">
        <v>1836</v>
      </c>
      <c r="LST362" s="632" t="s">
        <v>1673</v>
      </c>
      <c r="LSU362" s="633">
        <v>3470702.0100000007</v>
      </c>
      <c r="LSV362" s="633">
        <v>3448347.94</v>
      </c>
      <c r="LSW362" s="633">
        <v>3398526.4800000009</v>
      </c>
      <c r="LSX362" s="633">
        <v>2159854.59</v>
      </c>
      <c r="LSY362" s="633">
        <v>3563316.060000001</v>
      </c>
      <c r="LSZ362" s="633">
        <v>3305610.92</v>
      </c>
      <c r="LTA362" s="633">
        <v>3255686.1799999992</v>
      </c>
      <c r="LTB362" s="633">
        <v>3172108.3800000018</v>
      </c>
      <c r="LTC362" s="633">
        <v>3430726.5900000026</v>
      </c>
      <c r="LTD362" s="633">
        <v>3636289.9099999997</v>
      </c>
      <c r="LTE362" s="633">
        <v>3606558.6500000022</v>
      </c>
      <c r="LTF362" s="633">
        <v>3549118.4400000018</v>
      </c>
      <c r="LTG362" s="634">
        <v>39996846</v>
      </c>
      <c r="LTH362" s="633">
        <f>SUM(LSU362:LTF362)</f>
        <v>39996846.150000013</v>
      </c>
      <c r="LTI362" s="631" t="s">
        <v>1836</v>
      </c>
      <c r="LTJ362" s="632" t="s">
        <v>1673</v>
      </c>
      <c r="LTK362" s="633">
        <v>3470702.0100000007</v>
      </c>
      <c r="LTL362" s="633">
        <v>3448347.94</v>
      </c>
      <c r="LTM362" s="633">
        <v>3398526.4800000009</v>
      </c>
      <c r="LTN362" s="633">
        <v>2159854.59</v>
      </c>
      <c r="LTO362" s="633">
        <v>3563316.060000001</v>
      </c>
      <c r="LTP362" s="633">
        <v>3305610.92</v>
      </c>
      <c r="LTQ362" s="633">
        <v>3255686.1799999992</v>
      </c>
      <c r="LTR362" s="633">
        <v>3172108.3800000018</v>
      </c>
      <c r="LTS362" s="633">
        <v>3430726.5900000026</v>
      </c>
      <c r="LTT362" s="633">
        <v>3636289.9099999997</v>
      </c>
      <c r="LTU362" s="633">
        <v>3606558.6500000022</v>
      </c>
      <c r="LTV362" s="633">
        <v>3549118.4400000018</v>
      </c>
      <c r="LTW362" s="634">
        <v>39996846</v>
      </c>
      <c r="LTX362" s="633">
        <f>SUM(LTK362:LTV362)</f>
        <v>39996846.150000013</v>
      </c>
      <c r="LTY362" s="631" t="s">
        <v>1836</v>
      </c>
      <c r="LTZ362" s="632" t="s">
        <v>1673</v>
      </c>
      <c r="LUA362" s="633">
        <v>3470702.0100000007</v>
      </c>
      <c r="LUB362" s="633">
        <v>3448347.94</v>
      </c>
      <c r="LUC362" s="633">
        <v>3398526.4800000009</v>
      </c>
      <c r="LUD362" s="633">
        <v>2159854.59</v>
      </c>
      <c r="LUE362" s="633">
        <v>3563316.060000001</v>
      </c>
      <c r="LUF362" s="633">
        <v>3305610.92</v>
      </c>
      <c r="LUG362" s="633">
        <v>3255686.1799999992</v>
      </c>
      <c r="LUH362" s="633">
        <v>3172108.3800000018</v>
      </c>
      <c r="LUI362" s="633">
        <v>3430726.5900000026</v>
      </c>
      <c r="LUJ362" s="633">
        <v>3636289.9099999997</v>
      </c>
      <c r="LUK362" s="633">
        <v>3606558.6500000022</v>
      </c>
      <c r="LUL362" s="633">
        <v>3549118.4400000018</v>
      </c>
      <c r="LUM362" s="634">
        <v>39996846</v>
      </c>
      <c r="LUN362" s="633">
        <f>SUM(LUA362:LUL362)</f>
        <v>39996846.150000013</v>
      </c>
      <c r="LUO362" s="631" t="s">
        <v>1836</v>
      </c>
      <c r="LUP362" s="632" t="s">
        <v>1673</v>
      </c>
      <c r="LUQ362" s="633">
        <v>3470702.0100000007</v>
      </c>
      <c r="LUR362" s="633">
        <v>3448347.94</v>
      </c>
      <c r="LUS362" s="633">
        <v>3398526.4800000009</v>
      </c>
      <c r="LUT362" s="633">
        <v>2159854.59</v>
      </c>
      <c r="LUU362" s="633">
        <v>3563316.060000001</v>
      </c>
      <c r="LUV362" s="633">
        <v>3305610.92</v>
      </c>
      <c r="LUW362" s="633">
        <v>3255686.1799999992</v>
      </c>
      <c r="LUX362" s="633">
        <v>3172108.3800000018</v>
      </c>
      <c r="LUY362" s="633">
        <v>3430726.5900000026</v>
      </c>
      <c r="LUZ362" s="633">
        <v>3636289.9099999997</v>
      </c>
      <c r="LVA362" s="633">
        <v>3606558.6500000022</v>
      </c>
      <c r="LVB362" s="633">
        <v>3549118.4400000018</v>
      </c>
      <c r="LVC362" s="634">
        <v>39996846</v>
      </c>
      <c r="LVD362" s="633">
        <f>SUM(LUQ362:LVB362)</f>
        <v>39996846.150000013</v>
      </c>
      <c r="LVE362" s="631" t="s">
        <v>1836</v>
      </c>
      <c r="LVF362" s="632" t="s">
        <v>1673</v>
      </c>
      <c r="LVG362" s="633">
        <v>3470702.0100000007</v>
      </c>
      <c r="LVH362" s="633">
        <v>3448347.94</v>
      </c>
      <c r="LVI362" s="633">
        <v>3398526.4800000009</v>
      </c>
      <c r="LVJ362" s="633">
        <v>2159854.59</v>
      </c>
      <c r="LVK362" s="633">
        <v>3563316.060000001</v>
      </c>
      <c r="LVL362" s="633">
        <v>3305610.92</v>
      </c>
      <c r="LVM362" s="633">
        <v>3255686.1799999992</v>
      </c>
      <c r="LVN362" s="633">
        <v>3172108.3800000018</v>
      </c>
      <c r="LVO362" s="633">
        <v>3430726.5900000026</v>
      </c>
      <c r="LVP362" s="633">
        <v>3636289.9099999997</v>
      </c>
      <c r="LVQ362" s="633">
        <v>3606558.6500000022</v>
      </c>
      <c r="LVR362" s="633">
        <v>3549118.4400000018</v>
      </c>
      <c r="LVS362" s="634">
        <v>39996846</v>
      </c>
      <c r="LVT362" s="633">
        <f>SUM(LVG362:LVR362)</f>
        <v>39996846.150000013</v>
      </c>
      <c r="LVU362" s="631" t="s">
        <v>1836</v>
      </c>
      <c r="LVV362" s="632" t="s">
        <v>1673</v>
      </c>
      <c r="LVW362" s="633">
        <v>3470702.0100000007</v>
      </c>
      <c r="LVX362" s="633">
        <v>3448347.94</v>
      </c>
      <c r="LVY362" s="633">
        <v>3398526.4800000009</v>
      </c>
      <c r="LVZ362" s="633">
        <v>2159854.59</v>
      </c>
      <c r="LWA362" s="633">
        <v>3563316.060000001</v>
      </c>
      <c r="LWB362" s="633">
        <v>3305610.92</v>
      </c>
      <c r="LWC362" s="633">
        <v>3255686.1799999992</v>
      </c>
      <c r="LWD362" s="633">
        <v>3172108.3800000018</v>
      </c>
      <c r="LWE362" s="633">
        <v>3430726.5900000026</v>
      </c>
      <c r="LWF362" s="633">
        <v>3636289.9099999997</v>
      </c>
      <c r="LWG362" s="633">
        <v>3606558.6500000022</v>
      </c>
      <c r="LWH362" s="633">
        <v>3549118.4400000018</v>
      </c>
      <c r="LWI362" s="634">
        <v>39996846</v>
      </c>
      <c r="LWJ362" s="633">
        <f>SUM(LVW362:LWH362)</f>
        <v>39996846.150000013</v>
      </c>
      <c r="LWK362" s="631" t="s">
        <v>1836</v>
      </c>
      <c r="LWL362" s="632" t="s">
        <v>1673</v>
      </c>
      <c r="LWM362" s="633">
        <v>3470702.0100000007</v>
      </c>
      <c r="LWN362" s="633">
        <v>3448347.94</v>
      </c>
      <c r="LWO362" s="633">
        <v>3398526.4800000009</v>
      </c>
      <c r="LWP362" s="633">
        <v>2159854.59</v>
      </c>
      <c r="LWQ362" s="633">
        <v>3563316.060000001</v>
      </c>
      <c r="LWR362" s="633">
        <v>3305610.92</v>
      </c>
      <c r="LWS362" s="633">
        <v>3255686.1799999992</v>
      </c>
      <c r="LWT362" s="633">
        <v>3172108.3800000018</v>
      </c>
      <c r="LWU362" s="633">
        <v>3430726.5900000026</v>
      </c>
      <c r="LWV362" s="633">
        <v>3636289.9099999997</v>
      </c>
      <c r="LWW362" s="633">
        <v>3606558.6500000022</v>
      </c>
      <c r="LWX362" s="633">
        <v>3549118.4400000018</v>
      </c>
      <c r="LWY362" s="634">
        <v>39996846</v>
      </c>
      <c r="LWZ362" s="633">
        <f>SUM(LWM362:LWX362)</f>
        <v>39996846.150000013</v>
      </c>
      <c r="LXA362" s="631" t="s">
        <v>1836</v>
      </c>
      <c r="LXB362" s="632" t="s">
        <v>1673</v>
      </c>
      <c r="LXC362" s="633">
        <v>3470702.0100000007</v>
      </c>
      <c r="LXD362" s="633">
        <v>3448347.94</v>
      </c>
      <c r="LXE362" s="633">
        <v>3398526.4800000009</v>
      </c>
      <c r="LXF362" s="633">
        <v>2159854.59</v>
      </c>
      <c r="LXG362" s="633">
        <v>3563316.060000001</v>
      </c>
      <c r="LXH362" s="633">
        <v>3305610.92</v>
      </c>
      <c r="LXI362" s="633">
        <v>3255686.1799999992</v>
      </c>
      <c r="LXJ362" s="633">
        <v>3172108.3800000018</v>
      </c>
      <c r="LXK362" s="633">
        <v>3430726.5900000026</v>
      </c>
      <c r="LXL362" s="633">
        <v>3636289.9099999997</v>
      </c>
      <c r="LXM362" s="633">
        <v>3606558.6500000022</v>
      </c>
      <c r="LXN362" s="633">
        <v>3549118.4400000018</v>
      </c>
      <c r="LXO362" s="634">
        <v>39996846</v>
      </c>
      <c r="LXP362" s="633">
        <f>SUM(LXC362:LXN362)</f>
        <v>39996846.150000013</v>
      </c>
      <c r="LXQ362" s="631" t="s">
        <v>1836</v>
      </c>
      <c r="LXR362" s="632" t="s">
        <v>1673</v>
      </c>
      <c r="LXS362" s="633">
        <v>3470702.0100000007</v>
      </c>
      <c r="LXT362" s="633">
        <v>3448347.94</v>
      </c>
      <c r="LXU362" s="633">
        <v>3398526.4800000009</v>
      </c>
      <c r="LXV362" s="633">
        <v>2159854.59</v>
      </c>
      <c r="LXW362" s="633">
        <v>3563316.060000001</v>
      </c>
      <c r="LXX362" s="633">
        <v>3305610.92</v>
      </c>
      <c r="LXY362" s="633">
        <v>3255686.1799999992</v>
      </c>
      <c r="LXZ362" s="633">
        <v>3172108.3800000018</v>
      </c>
      <c r="LYA362" s="633">
        <v>3430726.5900000026</v>
      </c>
      <c r="LYB362" s="633">
        <v>3636289.9099999997</v>
      </c>
      <c r="LYC362" s="633">
        <v>3606558.6500000022</v>
      </c>
      <c r="LYD362" s="633">
        <v>3549118.4400000018</v>
      </c>
      <c r="LYE362" s="634">
        <v>39996846</v>
      </c>
      <c r="LYF362" s="633">
        <f>SUM(LXS362:LYD362)</f>
        <v>39996846.150000013</v>
      </c>
      <c r="LYG362" s="631" t="s">
        <v>1836</v>
      </c>
      <c r="LYH362" s="632" t="s">
        <v>1673</v>
      </c>
      <c r="LYI362" s="633">
        <v>3470702.0100000007</v>
      </c>
      <c r="LYJ362" s="633">
        <v>3448347.94</v>
      </c>
      <c r="LYK362" s="633">
        <v>3398526.4800000009</v>
      </c>
      <c r="LYL362" s="633">
        <v>2159854.59</v>
      </c>
      <c r="LYM362" s="633">
        <v>3563316.060000001</v>
      </c>
      <c r="LYN362" s="633">
        <v>3305610.92</v>
      </c>
      <c r="LYO362" s="633">
        <v>3255686.1799999992</v>
      </c>
      <c r="LYP362" s="633">
        <v>3172108.3800000018</v>
      </c>
      <c r="LYQ362" s="633">
        <v>3430726.5900000026</v>
      </c>
      <c r="LYR362" s="633">
        <v>3636289.9099999997</v>
      </c>
      <c r="LYS362" s="633">
        <v>3606558.6500000022</v>
      </c>
      <c r="LYT362" s="633">
        <v>3549118.4400000018</v>
      </c>
      <c r="LYU362" s="634">
        <v>39996846</v>
      </c>
      <c r="LYV362" s="633">
        <f>SUM(LYI362:LYT362)</f>
        <v>39996846.150000013</v>
      </c>
      <c r="LYW362" s="631" t="s">
        <v>1836</v>
      </c>
      <c r="LYX362" s="632" t="s">
        <v>1673</v>
      </c>
      <c r="LYY362" s="633">
        <v>3470702.0100000007</v>
      </c>
      <c r="LYZ362" s="633">
        <v>3448347.94</v>
      </c>
      <c r="LZA362" s="633">
        <v>3398526.4800000009</v>
      </c>
      <c r="LZB362" s="633">
        <v>2159854.59</v>
      </c>
      <c r="LZC362" s="633">
        <v>3563316.060000001</v>
      </c>
      <c r="LZD362" s="633">
        <v>3305610.92</v>
      </c>
      <c r="LZE362" s="633">
        <v>3255686.1799999992</v>
      </c>
      <c r="LZF362" s="633">
        <v>3172108.3800000018</v>
      </c>
      <c r="LZG362" s="633">
        <v>3430726.5900000026</v>
      </c>
      <c r="LZH362" s="633">
        <v>3636289.9099999997</v>
      </c>
      <c r="LZI362" s="633">
        <v>3606558.6500000022</v>
      </c>
      <c r="LZJ362" s="633">
        <v>3549118.4400000018</v>
      </c>
      <c r="LZK362" s="634">
        <v>39996846</v>
      </c>
      <c r="LZL362" s="633">
        <f>SUM(LYY362:LZJ362)</f>
        <v>39996846.150000013</v>
      </c>
      <c r="LZM362" s="631" t="s">
        <v>1836</v>
      </c>
      <c r="LZN362" s="632" t="s">
        <v>1673</v>
      </c>
      <c r="LZO362" s="633">
        <v>3470702.0100000007</v>
      </c>
      <c r="LZP362" s="633">
        <v>3448347.94</v>
      </c>
      <c r="LZQ362" s="633">
        <v>3398526.4800000009</v>
      </c>
      <c r="LZR362" s="633">
        <v>2159854.59</v>
      </c>
      <c r="LZS362" s="633">
        <v>3563316.060000001</v>
      </c>
      <c r="LZT362" s="633">
        <v>3305610.92</v>
      </c>
      <c r="LZU362" s="633">
        <v>3255686.1799999992</v>
      </c>
      <c r="LZV362" s="633">
        <v>3172108.3800000018</v>
      </c>
      <c r="LZW362" s="633">
        <v>3430726.5900000026</v>
      </c>
      <c r="LZX362" s="633">
        <v>3636289.9099999997</v>
      </c>
      <c r="LZY362" s="633">
        <v>3606558.6500000022</v>
      </c>
      <c r="LZZ362" s="633">
        <v>3549118.4400000018</v>
      </c>
      <c r="MAA362" s="634">
        <v>39996846</v>
      </c>
      <c r="MAB362" s="633">
        <f>SUM(LZO362:LZZ362)</f>
        <v>39996846.150000013</v>
      </c>
      <c r="MAC362" s="631" t="s">
        <v>1836</v>
      </c>
      <c r="MAD362" s="632" t="s">
        <v>1673</v>
      </c>
      <c r="MAE362" s="633">
        <v>3470702.0100000007</v>
      </c>
      <c r="MAF362" s="633">
        <v>3448347.94</v>
      </c>
      <c r="MAG362" s="633">
        <v>3398526.4800000009</v>
      </c>
      <c r="MAH362" s="633">
        <v>2159854.59</v>
      </c>
      <c r="MAI362" s="633">
        <v>3563316.060000001</v>
      </c>
      <c r="MAJ362" s="633">
        <v>3305610.92</v>
      </c>
      <c r="MAK362" s="633">
        <v>3255686.1799999992</v>
      </c>
      <c r="MAL362" s="633">
        <v>3172108.3800000018</v>
      </c>
      <c r="MAM362" s="633">
        <v>3430726.5900000026</v>
      </c>
      <c r="MAN362" s="633">
        <v>3636289.9099999997</v>
      </c>
      <c r="MAO362" s="633">
        <v>3606558.6500000022</v>
      </c>
      <c r="MAP362" s="633">
        <v>3549118.4400000018</v>
      </c>
      <c r="MAQ362" s="634">
        <v>39996846</v>
      </c>
      <c r="MAR362" s="633">
        <f>SUM(MAE362:MAP362)</f>
        <v>39996846.150000013</v>
      </c>
      <c r="MAS362" s="631" t="s">
        <v>1836</v>
      </c>
      <c r="MAT362" s="632" t="s">
        <v>1673</v>
      </c>
      <c r="MAU362" s="633">
        <v>3470702.0100000007</v>
      </c>
      <c r="MAV362" s="633">
        <v>3448347.94</v>
      </c>
      <c r="MAW362" s="633">
        <v>3398526.4800000009</v>
      </c>
      <c r="MAX362" s="633">
        <v>2159854.59</v>
      </c>
      <c r="MAY362" s="633">
        <v>3563316.060000001</v>
      </c>
      <c r="MAZ362" s="633">
        <v>3305610.92</v>
      </c>
      <c r="MBA362" s="633">
        <v>3255686.1799999992</v>
      </c>
      <c r="MBB362" s="633">
        <v>3172108.3800000018</v>
      </c>
      <c r="MBC362" s="633">
        <v>3430726.5900000026</v>
      </c>
      <c r="MBD362" s="633">
        <v>3636289.9099999997</v>
      </c>
      <c r="MBE362" s="633">
        <v>3606558.6500000022</v>
      </c>
      <c r="MBF362" s="633">
        <v>3549118.4400000018</v>
      </c>
      <c r="MBG362" s="634">
        <v>39996846</v>
      </c>
      <c r="MBH362" s="633">
        <f>SUM(MAU362:MBF362)</f>
        <v>39996846.150000013</v>
      </c>
      <c r="MBI362" s="631" t="s">
        <v>1836</v>
      </c>
      <c r="MBJ362" s="632" t="s">
        <v>1673</v>
      </c>
      <c r="MBK362" s="633">
        <v>3470702.0100000007</v>
      </c>
      <c r="MBL362" s="633">
        <v>3448347.94</v>
      </c>
      <c r="MBM362" s="633">
        <v>3398526.4800000009</v>
      </c>
      <c r="MBN362" s="633">
        <v>2159854.59</v>
      </c>
      <c r="MBO362" s="633">
        <v>3563316.060000001</v>
      </c>
      <c r="MBP362" s="633">
        <v>3305610.92</v>
      </c>
      <c r="MBQ362" s="633">
        <v>3255686.1799999992</v>
      </c>
      <c r="MBR362" s="633">
        <v>3172108.3800000018</v>
      </c>
      <c r="MBS362" s="633">
        <v>3430726.5900000026</v>
      </c>
      <c r="MBT362" s="633">
        <v>3636289.9099999997</v>
      </c>
      <c r="MBU362" s="633">
        <v>3606558.6500000022</v>
      </c>
      <c r="MBV362" s="633">
        <v>3549118.4400000018</v>
      </c>
      <c r="MBW362" s="634">
        <v>39996846</v>
      </c>
      <c r="MBX362" s="633">
        <f>SUM(MBK362:MBV362)</f>
        <v>39996846.150000013</v>
      </c>
      <c r="MBY362" s="631" t="s">
        <v>1836</v>
      </c>
      <c r="MBZ362" s="632" t="s">
        <v>1673</v>
      </c>
      <c r="MCA362" s="633">
        <v>3470702.0100000007</v>
      </c>
      <c r="MCB362" s="633">
        <v>3448347.94</v>
      </c>
      <c r="MCC362" s="633">
        <v>3398526.4800000009</v>
      </c>
      <c r="MCD362" s="633">
        <v>2159854.59</v>
      </c>
      <c r="MCE362" s="633">
        <v>3563316.060000001</v>
      </c>
      <c r="MCF362" s="633">
        <v>3305610.92</v>
      </c>
      <c r="MCG362" s="633">
        <v>3255686.1799999992</v>
      </c>
      <c r="MCH362" s="633">
        <v>3172108.3800000018</v>
      </c>
      <c r="MCI362" s="633">
        <v>3430726.5900000026</v>
      </c>
      <c r="MCJ362" s="633">
        <v>3636289.9099999997</v>
      </c>
      <c r="MCK362" s="633">
        <v>3606558.6500000022</v>
      </c>
      <c r="MCL362" s="633">
        <v>3549118.4400000018</v>
      </c>
      <c r="MCM362" s="634">
        <v>39996846</v>
      </c>
      <c r="MCN362" s="633">
        <f>SUM(MCA362:MCL362)</f>
        <v>39996846.150000013</v>
      </c>
      <c r="MCO362" s="631" t="s">
        <v>1836</v>
      </c>
      <c r="MCP362" s="632" t="s">
        <v>1673</v>
      </c>
      <c r="MCQ362" s="633">
        <v>3470702.0100000007</v>
      </c>
      <c r="MCR362" s="633">
        <v>3448347.94</v>
      </c>
      <c r="MCS362" s="633">
        <v>3398526.4800000009</v>
      </c>
      <c r="MCT362" s="633">
        <v>2159854.59</v>
      </c>
      <c r="MCU362" s="633">
        <v>3563316.060000001</v>
      </c>
      <c r="MCV362" s="633">
        <v>3305610.92</v>
      </c>
      <c r="MCW362" s="633">
        <v>3255686.1799999992</v>
      </c>
      <c r="MCX362" s="633">
        <v>3172108.3800000018</v>
      </c>
      <c r="MCY362" s="633">
        <v>3430726.5900000026</v>
      </c>
      <c r="MCZ362" s="633">
        <v>3636289.9099999997</v>
      </c>
      <c r="MDA362" s="633">
        <v>3606558.6500000022</v>
      </c>
      <c r="MDB362" s="633">
        <v>3549118.4400000018</v>
      </c>
      <c r="MDC362" s="634">
        <v>39996846</v>
      </c>
      <c r="MDD362" s="633">
        <f>SUM(MCQ362:MDB362)</f>
        <v>39996846.150000013</v>
      </c>
      <c r="MDE362" s="631" t="s">
        <v>1836</v>
      </c>
      <c r="MDF362" s="632" t="s">
        <v>1673</v>
      </c>
      <c r="MDG362" s="633">
        <v>3470702.0100000007</v>
      </c>
      <c r="MDH362" s="633">
        <v>3448347.94</v>
      </c>
      <c r="MDI362" s="633">
        <v>3398526.4800000009</v>
      </c>
      <c r="MDJ362" s="633">
        <v>2159854.59</v>
      </c>
      <c r="MDK362" s="633">
        <v>3563316.060000001</v>
      </c>
      <c r="MDL362" s="633">
        <v>3305610.92</v>
      </c>
      <c r="MDM362" s="633">
        <v>3255686.1799999992</v>
      </c>
      <c r="MDN362" s="633">
        <v>3172108.3800000018</v>
      </c>
      <c r="MDO362" s="633">
        <v>3430726.5900000026</v>
      </c>
      <c r="MDP362" s="633">
        <v>3636289.9099999997</v>
      </c>
      <c r="MDQ362" s="633">
        <v>3606558.6500000022</v>
      </c>
      <c r="MDR362" s="633">
        <v>3549118.4400000018</v>
      </c>
      <c r="MDS362" s="634">
        <v>39996846</v>
      </c>
      <c r="MDT362" s="633">
        <f>SUM(MDG362:MDR362)</f>
        <v>39996846.150000013</v>
      </c>
      <c r="MDU362" s="631" t="s">
        <v>1836</v>
      </c>
      <c r="MDV362" s="632" t="s">
        <v>1673</v>
      </c>
      <c r="MDW362" s="633">
        <v>3470702.0100000007</v>
      </c>
      <c r="MDX362" s="633">
        <v>3448347.94</v>
      </c>
      <c r="MDY362" s="633">
        <v>3398526.4800000009</v>
      </c>
      <c r="MDZ362" s="633">
        <v>2159854.59</v>
      </c>
      <c r="MEA362" s="633">
        <v>3563316.060000001</v>
      </c>
      <c r="MEB362" s="633">
        <v>3305610.92</v>
      </c>
      <c r="MEC362" s="633">
        <v>3255686.1799999992</v>
      </c>
      <c r="MED362" s="633">
        <v>3172108.3800000018</v>
      </c>
      <c r="MEE362" s="633">
        <v>3430726.5900000026</v>
      </c>
      <c r="MEF362" s="633">
        <v>3636289.9099999997</v>
      </c>
      <c r="MEG362" s="633">
        <v>3606558.6500000022</v>
      </c>
      <c r="MEH362" s="633">
        <v>3549118.4400000018</v>
      </c>
      <c r="MEI362" s="634">
        <v>39996846</v>
      </c>
      <c r="MEJ362" s="633">
        <f>SUM(MDW362:MEH362)</f>
        <v>39996846.150000013</v>
      </c>
      <c r="MEK362" s="631" t="s">
        <v>1836</v>
      </c>
      <c r="MEL362" s="632" t="s">
        <v>1673</v>
      </c>
      <c r="MEM362" s="633">
        <v>3470702.0100000007</v>
      </c>
      <c r="MEN362" s="633">
        <v>3448347.94</v>
      </c>
      <c r="MEO362" s="633">
        <v>3398526.4800000009</v>
      </c>
      <c r="MEP362" s="633">
        <v>2159854.59</v>
      </c>
      <c r="MEQ362" s="633">
        <v>3563316.060000001</v>
      </c>
      <c r="MER362" s="633">
        <v>3305610.92</v>
      </c>
      <c r="MES362" s="633">
        <v>3255686.1799999992</v>
      </c>
      <c r="MET362" s="633">
        <v>3172108.3800000018</v>
      </c>
      <c r="MEU362" s="633">
        <v>3430726.5900000026</v>
      </c>
      <c r="MEV362" s="633">
        <v>3636289.9099999997</v>
      </c>
      <c r="MEW362" s="633">
        <v>3606558.6500000022</v>
      </c>
      <c r="MEX362" s="633">
        <v>3549118.4400000018</v>
      </c>
      <c r="MEY362" s="634">
        <v>39996846</v>
      </c>
      <c r="MEZ362" s="633">
        <f>SUM(MEM362:MEX362)</f>
        <v>39996846.150000013</v>
      </c>
      <c r="MFA362" s="631" t="s">
        <v>1836</v>
      </c>
      <c r="MFB362" s="632" t="s">
        <v>1673</v>
      </c>
      <c r="MFC362" s="633">
        <v>3470702.0100000007</v>
      </c>
      <c r="MFD362" s="633">
        <v>3448347.94</v>
      </c>
      <c r="MFE362" s="633">
        <v>3398526.4800000009</v>
      </c>
      <c r="MFF362" s="633">
        <v>2159854.59</v>
      </c>
      <c r="MFG362" s="633">
        <v>3563316.060000001</v>
      </c>
      <c r="MFH362" s="633">
        <v>3305610.92</v>
      </c>
      <c r="MFI362" s="633">
        <v>3255686.1799999992</v>
      </c>
      <c r="MFJ362" s="633">
        <v>3172108.3800000018</v>
      </c>
      <c r="MFK362" s="633">
        <v>3430726.5900000026</v>
      </c>
      <c r="MFL362" s="633">
        <v>3636289.9099999997</v>
      </c>
      <c r="MFM362" s="633">
        <v>3606558.6500000022</v>
      </c>
      <c r="MFN362" s="633">
        <v>3549118.4400000018</v>
      </c>
      <c r="MFO362" s="634">
        <v>39996846</v>
      </c>
      <c r="MFP362" s="633">
        <f>SUM(MFC362:MFN362)</f>
        <v>39996846.150000013</v>
      </c>
      <c r="MFQ362" s="631" t="s">
        <v>1836</v>
      </c>
      <c r="MFR362" s="632" t="s">
        <v>1673</v>
      </c>
      <c r="MFS362" s="633">
        <v>3470702.0100000007</v>
      </c>
      <c r="MFT362" s="633">
        <v>3448347.94</v>
      </c>
      <c r="MFU362" s="633">
        <v>3398526.4800000009</v>
      </c>
      <c r="MFV362" s="633">
        <v>2159854.59</v>
      </c>
      <c r="MFW362" s="633">
        <v>3563316.060000001</v>
      </c>
      <c r="MFX362" s="633">
        <v>3305610.92</v>
      </c>
      <c r="MFY362" s="633">
        <v>3255686.1799999992</v>
      </c>
      <c r="MFZ362" s="633">
        <v>3172108.3800000018</v>
      </c>
      <c r="MGA362" s="633">
        <v>3430726.5900000026</v>
      </c>
      <c r="MGB362" s="633">
        <v>3636289.9099999997</v>
      </c>
      <c r="MGC362" s="633">
        <v>3606558.6500000022</v>
      </c>
      <c r="MGD362" s="633">
        <v>3549118.4400000018</v>
      </c>
      <c r="MGE362" s="634">
        <v>39996846</v>
      </c>
      <c r="MGF362" s="633">
        <f>SUM(MFS362:MGD362)</f>
        <v>39996846.150000013</v>
      </c>
      <c r="MGG362" s="631" t="s">
        <v>1836</v>
      </c>
      <c r="MGH362" s="632" t="s">
        <v>1673</v>
      </c>
      <c r="MGI362" s="633">
        <v>3470702.0100000007</v>
      </c>
      <c r="MGJ362" s="633">
        <v>3448347.94</v>
      </c>
      <c r="MGK362" s="633">
        <v>3398526.4800000009</v>
      </c>
      <c r="MGL362" s="633">
        <v>2159854.59</v>
      </c>
      <c r="MGM362" s="633">
        <v>3563316.060000001</v>
      </c>
      <c r="MGN362" s="633">
        <v>3305610.92</v>
      </c>
      <c r="MGO362" s="633">
        <v>3255686.1799999992</v>
      </c>
      <c r="MGP362" s="633">
        <v>3172108.3800000018</v>
      </c>
      <c r="MGQ362" s="633">
        <v>3430726.5900000026</v>
      </c>
      <c r="MGR362" s="633">
        <v>3636289.9099999997</v>
      </c>
      <c r="MGS362" s="633">
        <v>3606558.6500000022</v>
      </c>
      <c r="MGT362" s="633">
        <v>3549118.4400000018</v>
      </c>
      <c r="MGU362" s="634">
        <v>39996846</v>
      </c>
      <c r="MGV362" s="633">
        <f>SUM(MGI362:MGT362)</f>
        <v>39996846.150000013</v>
      </c>
      <c r="MGW362" s="631" t="s">
        <v>1836</v>
      </c>
      <c r="MGX362" s="632" t="s">
        <v>1673</v>
      </c>
      <c r="MGY362" s="633">
        <v>3470702.0100000007</v>
      </c>
      <c r="MGZ362" s="633">
        <v>3448347.94</v>
      </c>
      <c r="MHA362" s="633">
        <v>3398526.4800000009</v>
      </c>
      <c r="MHB362" s="633">
        <v>2159854.59</v>
      </c>
      <c r="MHC362" s="633">
        <v>3563316.060000001</v>
      </c>
      <c r="MHD362" s="633">
        <v>3305610.92</v>
      </c>
      <c r="MHE362" s="633">
        <v>3255686.1799999992</v>
      </c>
      <c r="MHF362" s="633">
        <v>3172108.3800000018</v>
      </c>
      <c r="MHG362" s="633">
        <v>3430726.5900000026</v>
      </c>
      <c r="MHH362" s="633">
        <v>3636289.9099999997</v>
      </c>
      <c r="MHI362" s="633">
        <v>3606558.6500000022</v>
      </c>
      <c r="MHJ362" s="633">
        <v>3549118.4400000018</v>
      </c>
      <c r="MHK362" s="634">
        <v>39996846</v>
      </c>
      <c r="MHL362" s="633">
        <f>SUM(MGY362:MHJ362)</f>
        <v>39996846.150000013</v>
      </c>
      <c r="MHM362" s="631" t="s">
        <v>1836</v>
      </c>
      <c r="MHN362" s="632" t="s">
        <v>1673</v>
      </c>
      <c r="MHO362" s="633">
        <v>3470702.0100000007</v>
      </c>
      <c r="MHP362" s="633">
        <v>3448347.94</v>
      </c>
      <c r="MHQ362" s="633">
        <v>3398526.4800000009</v>
      </c>
      <c r="MHR362" s="633">
        <v>2159854.59</v>
      </c>
      <c r="MHS362" s="633">
        <v>3563316.060000001</v>
      </c>
      <c r="MHT362" s="633">
        <v>3305610.92</v>
      </c>
      <c r="MHU362" s="633">
        <v>3255686.1799999992</v>
      </c>
      <c r="MHV362" s="633">
        <v>3172108.3800000018</v>
      </c>
      <c r="MHW362" s="633">
        <v>3430726.5900000026</v>
      </c>
      <c r="MHX362" s="633">
        <v>3636289.9099999997</v>
      </c>
      <c r="MHY362" s="633">
        <v>3606558.6500000022</v>
      </c>
      <c r="MHZ362" s="633">
        <v>3549118.4400000018</v>
      </c>
      <c r="MIA362" s="634">
        <v>39996846</v>
      </c>
      <c r="MIB362" s="633">
        <f>SUM(MHO362:MHZ362)</f>
        <v>39996846.150000013</v>
      </c>
      <c r="MIC362" s="631" t="s">
        <v>1836</v>
      </c>
      <c r="MID362" s="632" t="s">
        <v>1673</v>
      </c>
      <c r="MIE362" s="633">
        <v>3470702.0100000007</v>
      </c>
      <c r="MIF362" s="633">
        <v>3448347.94</v>
      </c>
      <c r="MIG362" s="633">
        <v>3398526.4800000009</v>
      </c>
      <c r="MIH362" s="633">
        <v>2159854.59</v>
      </c>
      <c r="MII362" s="633">
        <v>3563316.060000001</v>
      </c>
      <c r="MIJ362" s="633">
        <v>3305610.92</v>
      </c>
      <c r="MIK362" s="633">
        <v>3255686.1799999992</v>
      </c>
      <c r="MIL362" s="633">
        <v>3172108.3800000018</v>
      </c>
      <c r="MIM362" s="633">
        <v>3430726.5900000026</v>
      </c>
      <c r="MIN362" s="633">
        <v>3636289.9099999997</v>
      </c>
      <c r="MIO362" s="633">
        <v>3606558.6500000022</v>
      </c>
      <c r="MIP362" s="633">
        <v>3549118.4400000018</v>
      </c>
      <c r="MIQ362" s="634">
        <v>39996846</v>
      </c>
      <c r="MIR362" s="633">
        <f>SUM(MIE362:MIP362)</f>
        <v>39996846.150000013</v>
      </c>
      <c r="MIS362" s="631" t="s">
        <v>1836</v>
      </c>
      <c r="MIT362" s="632" t="s">
        <v>1673</v>
      </c>
      <c r="MIU362" s="633">
        <v>3470702.0100000007</v>
      </c>
      <c r="MIV362" s="633">
        <v>3448347.94</v>
      </c>
      <c r="MIW362" s="633">
        <v>3398526.4800000009</v>
      </c>
      <c r="MIX362" s="633">
        <v>2159854.59</v>
      </c>
      <c r="MIY362" s="633">
        <v>3563316.060000001</v>
      </c>
      <c r="MIZ362" s="633">
        <v>3305610.92</v>
      </c>
      <c r="MJA362" s="633">
        <v>3255686.1799999992</v>
      </c>
      <c r="MJB362" s="633">
        <v>3172108.3800000018</v>
      </c>
      <c r="MJC362" s="633">
        <v>3430726.5900000026</v>
      </c>
      <c r="MJD362" s="633">
        <v>3636289.9099999997</v>
      </c>
      <c r="MJE362" s="633">
        <v>3606558.6500000022</v>
      </c>
      <c r="MJF362" s="633">
        <v>3549118.4400000018</v>
      </c>
      <c r="MJG362" s="634">
        <v>39996846</v>
      </c>
      <c r="MJH362" s="633">
        <f>SUM(MIU362:MJF362)</f>
        <v>39996846.150000013</v>
      </c>
      <c r="MJI362" s="631" t="s">
        <v>1836</v>
      </c>
      <c r="MJJ362" s="632" t="s">
        <v>1673</v>
      </c>
      <c r="MJK362" s="633">
        <v>3470702.0100000007</v>
      </c>
      <c r="MJL362" s="633">
        <v>3448347.94</v>
      </c>
      <c r="MJM362" s="633">
        <v>3398526.4800000009</v>
      </c>
      <c r="MJN362" s="633">
        <v>2159854.59</v>
      </c>
      <c r="MJO362" s="633">
        <v>3563316.060000001</v>
      </c>
      <c r="MJP362" s="633">
        <v>3305610.92</v>
      </c>
      <c r="MJQ362" s="633">
        <v>3255686.1799999992</v>
      </c>
      <c r="MJR362" s="633">
        <v>3172108.3800000018</v>
      </c>
      <c r="MJS362" s="633">
        <v>3430726.5900000026</v>
      </c>
      <c r="MJT362" s="633">
        <v>3636289.9099999997</v>
      </c>
      <c r="MJU362" s="633">
        <v>3606558.6500000022</v>
      </c>
      <c r="MJV362" s="633">
        <v>3549118.4400000018</v>
      </c>
      <c r="MJW362" s="634">
        <v>39996846</v>
      </c>
      <c r="MJX362" s="633">
        <f>SUM(MJK362:MJV362)</f>
        <v>39996846.150000013</v>
      </c>
      <c r="MJY362" s="631" t="s">
        <v>1836</v>
      </c>
      <c r="MJZ362" s="632" t="s">
        <v>1673</v>
      </c>
      <c r="MKA362" s="633">
        <v>3470702.0100000007</v>
      </c>
      <c r="MKB362" s="633">
        <v>3448347.94</v>
      </c>
      <c r="MKC362" s="633">
        <v>3398526.4800000009</v>
      </c>
      <c r="MKD362" s="633">
        <v>2159854.59</v>
      </c>
      <c r="MKE362" s="633">
        <v>3563316.060000001</v>
      </c>
      <c r="MKF362" s="633">
        <v>3305610.92</v>
      </c>
      <c r="MKG362" s="633">
        <v>3255686.1799999992</v>
      </c>
      <c r="MKH362" s="633">
        <v>3172108.3800000018</v>
      </c>
      <c r="MKI362" s="633">
        <v>3430726.5900000026</v>
      </c>
      <c r="MKJ362" s="633">
        <v>3636289.9099999997</v>
      </c>
      <c r="MKK362" s="633">
        <v>3606558.6500000022</v>
      </c>
      <c r="MKL362" s="633">
        <v>3549118.4400000018</v>
      </c>
      <c r="MKM362" s="634">
        <v>39996846</v>
      </c>
      <c r="MKN362" s="633">
        <f>SUM(MKA362:MKL362)</f>
        <v>39996846.150000013</v>
      </c>
      <c r="MKO362" s="631" t="s">
        <v>1836</v>
      </c>
      <c r="MKP362" s="632" t="s">
        <v>1673</v>
      </c>
      <c r="MKQ362" s="633">
        <v>3470702.0100000007</v>
      </c>
      <c r="MKR362" s="633">
        <v>3448347.94</v>
      </c>
      <c r="MKS362" s="633">
        <v>3398526.4800000009</v>
      </c>
      <c r="MKT362" s="633">
        <v>2159854.59</v>
      </c>
      <c r="MKU362" s="633">
        <v>3563316.060000001</v>
      </c>
      <c r="MKV362" s="633">
        <v>3305610.92</v>
      </c>
      <c r="MKW362" s="633">
        <v>3255686.1799999992</v>
      </c>
      <c r="MKX362" s="633">
        <v>3172108.3800000018</v>
      </c>
      <c r="MKY362" s="633">
        <v>3430726.5900000026</v>
      </c>
      <c r="MKZ362" s="633">
        <v>3636289.9099999997</v>
      </c>
      <c r="MLA362" s="633">
        <v>3606558.6500000022</v>
      </c>
      <c r="MLB362" s="633">
        <v>3549118.4400000018</v>
      </c>
      <c r="MLC362" s="634">
        <v>39996846</v>
      </c>
      <c r="MLD362" s="633">
        <f>SUM(MKQ362:MLB362)</f>
        <v>39996846.150000013</v>
      </c>
      <c r="MLE362" s="631" t="s">
        <v>1836</v>
      </c>
      <c r="MLF362" s="632" t="s">
        <v>1673</v>
      </c>
      <c r="MLG362" s="633">
        <v>3470702.0100000007</v>
      </c>
      <c r="MLH362" s="633">
        <v>3448347.94</v>
      </c>
      <c r="MLI362" s="633">
        <v>3398526.4800000009</v>
      </c>
      <c r="MLJ362" s="633">
        <v>2159854.59</v>
      </c>
      <c r="MLK362" s="633">
        <v>3563316.060000001</v>
      </c>
      <c r="MLL362" s="633">
        <v>3305610.92</v>
      </c>
      <c r="MLM362" s="633">
        <v>3255686.1799999992</v>
      </c>
      <c r="MLN362" s="633">
        <v>3172108.3800000018</v>
      </c>
      <c r="MLO362" s="633">
        <v>3430726.5900000026</v>
      </c>
      <c r="MLP362" s="633">
        <v>3636289.9099999997</v>
      </c>
      <c r="MLQ362" s="633">
        <v>3606558.6500000022</v>
      </c>
      <c r="MLR362" s="633">
        <v>3549118.4400000018</v>
      </c>
      <c r="MLS362" s="634">
        <v>39996846</v>
      </c>
      <c r="MLT362" s="633">
        <f>SUM(MLG362:MLR362)</f>
        <v>39996846.150000013</v>
      </c>
      <c r="MLU362" s="631" t="s">
        <v>1836</v>
      </c>
      <c r="MLV362" s="632" t="s">
        <v>1673</v>
      </c>
      <c r="MLW362" s="633">
        <v>3470702.0100000007</v>
      </c>
      <c r="MLX362" s="633">
        <v>3448347.94</v>
      </c>
      <c r="MLY362" s="633">
        <v>3398526.4800000009</v>
      </c>
      <c r="MLZ362" s="633">
        <v>2159854.59</v>
      </c>
      <c r="MMA362" s="633">
        <v>3563316.060000001</v>
      </c>
      <c r="MMB362" s="633">
        <v>3305610.92</v>
      </c>
      <c r="MMC362" s="633">
        <v>3255686.1799999992</v>
      </c>
      <c r="MMD362" s="633">
        <v>3172108.3800000018</v>
      </c>
      <c r="MME362" s="633">
        <v>3430726.5900000026</v>
      </c>
      <c r="MMF362" s="633">
        <v>3636289.9099999997</v>
      </c>
      <c r="MMG362" s="633">
        <v>3606558.6500000022</v>
      </c>
      <c r="MMH362" s="633">
        <v>3549118.4400000018</v>
      </c>
      <c r="MMI362" s="634">
        <v>39996846</v>
      </c>
      <c r="MMJ362" s="633">
        <f>SUM(MLW362:MMH362)</f>
        <v>39996846.150000013</v>
      </c>
      <c r="MMK362" s="631" t="s">
        <v>1836</v>
      </c>
      <c r="MML362" s="632" t="s">
        <v>1673</v>
      </c>
      <c r="MMM362" s="633">
        <v>3470702.0100000007</v>
      </c>
      <c r="MMN362" s="633">
        <v>3448347.94</v>
      </c>
      <c r="MMO362" s="633">
        <v>3398526.4800000009</v>
      </c>
      <c r="MMP362" s="633">
        <v>2159854.59</v>
      </c>
      <c r="MMQ362" s="633">
        <v>3563316.060000001</v>
      </c>
      <c r="MMR362" s="633">
        <v>3305610.92</v>
      </c>
      <c r="MMS362" s="633">
        <v>3255686.1799999992</v>
      </c>
      <c r="MMT362" s="633">
        <v>3172108.3800000018</v>
      </c>
      <c r="MMU362" s="633">
        <v>3430726.5900000026</v>
      </c>
      <c r="MMV362" s="633">
        <v>3636289.9099999997</v>
      </c>
      <c r="MMW362" s="633">
        <v>3606558.6500000022</v>
      </c>
      <c r="MMX362" s="633">
        <v>3549118.4400000018</v>
      </c>
      <c r="MMY362" s="634">
        <v>39996846</v>
      </c>
      <c r="MMZ362" s="633">
        <f>SUM(MMM362:MMX362)</f>
        <v>39996846.150000013</v>
      </c>
      <c r="MNA362" s="631" t="s">
        <v>1836</v>
      </c>
      <c r="MNB362" s="632" t="s">
        <v>1673</v>
      </c>
      <c r="MNC362" s="633">
        <v>3470702.0100000007</v>
      </c>
      <c r="MND362" s="633">
        <v>3448347.94</v>
      </c>
      <c r="MNE362" s="633">
        <v>3398526.4800000009</v>
      </c>
      <c r="MNF362" s="633">
        <v>2159854.59</v>
      </c>
      <c r="MNG362" s="633">
        <v>3563316.060000001</v>
      </c>
      <c r="MNH362" s="633">
        <v>3305610.92</v>
      </c>
      <c r="MNI362" s="633">
        <v>3255686.1799999992</v>
      </c>
      <c r="MNJ362" s="633">
        <v>3172108.3800000018</v>
      </c>
      <c r="MNK362" s="633">
        <v>3430726.5900000026</v>
      </c>
      <c r="MNL362" s="633">
        <v>3636289.9099999997</v>
      </c>
      <c r="MNM362" s="633">
        <v>3606558.6500000022</v>
      </c>
      <c r="MNN362" s="633">
        <v>3549118.4400000018</v>
      </c>
      <c r="MNO362" s="634">
        <v>39996846</v>
      </c>
      <c r="MNP362" s="633">
        <f>SUM(MNC362:MNN362)</f>
        <v>39996846.150000013</v>
      </c>
      <c r="MNQ362" s="631" t="s">
        <v>1836</v>
      </c>
      <c r="MNR362" s="632" t="s">
        <v>1673</v>
      </c>
      <c r="MNS362" s="633">
        <v>3470702.0100000007</v>
      </c>
      <c r="MNT362" s="633">
        <v>3448347.94</v>
      </c>
      <c r="MNU362" s="633">
        <v>3398526.4800000009</v>
      </c>
      <c r="MNV362" s="633">
        <v>2159854.59</v>
      </c>
      <c r="MNW362" s="633">
        <v>3563316.060000001</v>
      </c>
      <c r="MNX362" s="633">
        <v>3305610.92</v>
      </c>
      <c r="MNY362" s="633">
        <v>3255686.1799999992</v>
      </c>
      <c r="MNZ362" s="633">
        <v>3172108.3800000018</v>
      </c>
      <c r="MOA362" s="633">
        <v>3430726.5900000026</v>
      </c>
      <c r="MOB362" s="633">
        <v>3636289.9099999997</v>
      </c>
      <c r="MOC362" s="633">
        <v>3606558.6500000022</v>
      </c>
      <c r="MOD362" s="633">
        <v>3549118.4400000018</v>
      </c>
      <c r="MOE362" s="634">
        <v>39996846</v>
      </c>
      <c r="MOF362" s="633">
        <f>SUM(MNS362:MOD362)</f>
        <v>39996846.150000013</v>
      </c>
      <c r="MOG362" s="631" t="s">
        <v>1836</v>
      </c>
      <c r="MOH362" s="632" t="s">
        <v>1673</v>
      </c>
      <c r="MOI362" s="633">
        <v>3470702.0100000007</v>
      </c>
      <c r="MOJ362" s="633">
        <v>3448347.94</v>
      </c>
      <c r="MOK362" s="633">
        <v>3398526.4800000009</v>
      </c>
      <c r="MOL362" s="633">
        <v>2159854.59</v>
      </c>
      <c r="MOM362" s="633">
        <v>3563316.060000001</v>
      </c>
      <c r="MON362" s="633">
        <v>3305610.92</v>
      </c>
      <c r="MOO362" s="633">
        <v>3255686.1799999992</v>
      </c>
      <c r="MOP362" s="633">
        <v>3172108.3800000018</v>
      </c>
      <c r="MOQ362" s="633">
        <v>3430726.5900000026</v>
      </c>
      <c r="MOR362" s="633">
        <v>3636289.9099999997</v>
      </c>
      <c r="MOS362" s="633">
        <v>3606558.6500000022</v>
      </c>
      <c r="MOT362" s="633">
        <v>3549118.4400000018</v>
      </c>
      <c r="MOU362" s="634">
        <v>39996846</v>
      </c>
      <c r="MOV362" s="633">
        <f>SUM(MOI362:MOT362)</f>
        <v>39996846.150000013</v>
      </c>
      <c r="MOW362" s="631" t="s">
        <v>1836</v>
      </c>
      <c r="MOX362" s="632" t="s">
        <v>1673</v>
      </c>
      <c r="MOY362" s="633">
        <v>3470702.0100000007</v>
      </c>
      <c r="MOZ362" s="633">
        <v>3448347.94</v>
      </c>
      <c r="MPA362" s="633">
        <v>3398526.4800000009</v>
      </c>
      <c r="MPB362" s="633">
        <v>2159854.59</v>
      </c>
      <c r="MPC362" s="633">
        <v>3563316.060000001</v>
      </c>
      <c r="MPD362" s="633">
        <v>3305610.92</v>
      </c>
      <c r="MPE362" s="633">
        <v>3255686.1799999992</v>
      </c>
      <c r="MPF362" s="633">
        <v>3172108.3800000018</v>
      </c>
      <c r="MPG362" s="633">
        <v>3430726.5900000026</v>
      </c>
      <c r="MPH362" s="633">
        <v>3636289.9099999997</v>
      </c>
      <c r="MPI362" s="633">
        <v>3606558.6500000022</v>
      </c>
      <c r="MPJ362" s="633">
        <v>3549118.4400000018</v>
      </c>
      <c r="MPK362" s="634">
        <v>39996846</v>
      </c>
      <c r="MPL362" s="633">
        <f>SUM(MOY362:MPJ362)</f>
        <v>39996846.150000013</v>
      </c>
      <c r="MPM362" s="631" t="s">
        <v>1836</v>
      </c>
      <c r="MPN362" s="632" t="s">
        <v>1673</v>
      </c>
      <c r="MPO362" s="633">
        <v>3470702.0100000007</v>
      </c>
      <c r="MPP362" s="633">
        <v>3448347.94</v>
      </c>
      <c r="MPQ362" s="633">
        <v>3398526.4800000009</v>
      </c>
      <c r="MPR362" s="633">
        <v>2159854.59</v>
      </c>
      <c r="MPS362" s="633">
        <v>3563316.060000001</v>
      </c>
      <c r="MPT362" s="633">
        <v>3305610.92</v>
      </c>
      <c r="MPU362" s="633">
        <v>3255686.1799999992</v>
      </c>
      <c r="MPV362" s="633">
        <v>3172108.3800000018</v>
      </c>
      <c r="MPW362" s="633">
        <v>3430726.5900000026</v>
      </c>
      <c r="MPX362" s="633">
        <v>3636289.9099999997</v>
      </c>
      <c r="MPY362" s="633">
        <v>3606558.6500000022</v>
      </c>
      <c r="MPZ362" s="633">
        <v>3549118.4400000018</v>
      </c>
      <c r="MQA362" s="634">
        <v>39996846</v>
      </c>
      <c r="MQB362" s="633">
        <f>SUM(MPO362:MPZ362)</f>
        <v>39996846.150000013</v>
      </c>
      <c r="MQC362" s="631" t="s">
        <v>1836</v>
      </c>
      <c r="MQD362" s="632" t="s">
        <v>1673</v>
      </c>
      <c r="MQE362" s="633">
        <v>3470702.0100000007</v>
      </c>
      <c r="MQF362" s="633">
        <v>3448347.94</v>
      </c>
      <c r="MQG362" s="633">
        <v>3398526.4800000009</v>
      </c>
      <c r="MQH362" s="633">
        <v>2159854.59</v>
      </c>
      <c r="MQI362" s="633">
        <v>3563316.060000001</v>
      </c>
      <c r="MQJ362" s="633">
        <v>3305610.92</v>
      </c>
      <c r="MQK362" s="633">
        <v>3255686.1799999992</v>
      </c>
      <c r="MQL362" s="633">
        <v>3172108.3800000018</v>
      </c>
      <c r="MQM362" s="633">
        <v>3430726.5900000026</v>
      </c>
      <c r="MQN362" s="633">
        <v>3636289.9099999997</v>
      </c>
      <c r="MQO362" s="633">
        <v>3606558.6500000022</v>
      </c>
      <c r="MQP362" s="633">
        <v>3549118.4400000018</v>
      </c>
      <c r="MQQ362" s="634">
        <v>39996846</v>
      </c>
      <c r="MQR362" s="633">
        <f>SUM(MQE362:MQP362)</f>
        <v>39996846.150000013</v>
      </c>
      <c r="MQS362" s="631" t="s">
        <v>1836</v>
      </c>
      <c r="MQT362" s="632" t="s">
        <v>1673</v>
      </c>
      <c r="MQU362" s="633">
        <v>3470702.0100000007</v>
      </c>
      <c r="MQV362" s="633">
        <v>3448347.94</v>
      </c>
      <c r="MQW362" s="633">
        <v>3398526.4800000009</v>
      </c>
      <c r="MQX362" s="633">
        <v>2159854.59</v>
      </c>
      <c r="MQY362" s="633">
        <v>3563316.060000001</v>
      </c>
      <c r="MQZ362" s="633">
        <v>3305610.92</v>
      </c>
      <c r="MRA362" s="633">
        <v>3255686.1799999992</v>
      </c>
      <c r="MRB362" s="633">
        <v>3172108.3800000018</v>
      </c>
      <c r="MRC362" s="633">
        <v>3430726.5900000026</v>
      </c>
      <c r="MRD362" s="633">
        <v>3636289.9099999997</v>
      </c>
      <c r="MRE362" s="633">
        <v>3606558.6500000022</v>
      </c>
      <c r="MRF362" s="633">
        <v>3549118.4400000018</v>
      </c>
      <c r="MRG362" s="634">
        <v>39996846</v>
      </c>
      <c r="MRH362" s="633">
        <f>SUM(MQU362:MRF362)</f>
        <v>39996846.150000013</v>
      </c>
      <c r="MRI362" s="631" t="s">
        <v>1836</v>
      </c>
      <c r="MRJ362" s="632" t="s">
        <v>1673</v>
      </c>
      <c r="MRK362" s="633">
        <v>3470702.0100000007</v>
      </c>
      <c r="MRL362" s="633">
        <v>3448347.94</v>
      </c>
      <c r="MRM362" s="633">
        <v>3398526.4800000009</v>
      </c>
      <c r="MRN362" s="633">
        <v>2159854.59</v>
      </c>
      <c r="MRO362" s="633">
        <v>3563316.060000001</v>
      </c>
      <c r="MRP362" s="633">
        <v>3305610.92</v>
      </c>
      <c r="MRQ362" s="633">
        <v>3255686.1799999992</v>
      </c>
      <c r="MRR362" s="633">
        <v>3172108.3800000018</v>
      </c>
      <c r="MRS362" s="633">
        <v>3430726.5900000026</v>
      </c>
      <c r="MRT362" s="633">
        <v>3636289.9099999997</v>
      </c>
      <c r="MRU362" s="633">
        <v>3606558.6500000022</v>
      </c>
      <c r="MRV362" s="633">
        <v>3549118.4400000018</v>
      </c>
      <c r="MRW362" s="634">
        <v>39996846</v>
      </c>
      <c r="MRX362" s="633">
        <f>SUM(MRK362:MRV362)</f>
        <v>39996846.150000013</v>
      </c>
      <c r="MRY362" s="631" t="s">
        <v>1836</v>
      </c>
      <c r="MRZ362" s="632" t="s">
        <v>1673</v>
      </c>
      <c r="MSA362" s="633">
        <v>3470702.0100000007</v>
      </c>
      <c r="MSB362" s="633">
        <v>3448347.94</v>
      </c>
      <c r="MSC362" s="633">
        <v>3398526.4800000009</v>
      </c>
      <c r="MSD362" s="633">
        <v>2159854.59</v>
      </c>
      <c r="MSE362" s="633">
        <v>3563316.060000001</v>
      </c>
      <c r="MSF362" s="633">
        <v>3305610.92</v>
      </c>
      <c r="MSG362" s="633">
        <v>3255686.1799999992</v>
      </c>
      <c r="MSH362" s="633">
        <v>3172108.3800000018</v>
      </c>
      <c r="MSI362" s="633">
        <v>3430726.5900000026</v>
      </c>
      <c r="MSJ362" s="633">
        <v>3636289.9099999997</v>
      </c>
      <c r="MSK362" s="633">
        <v>3606558.6500000022</v>
      </c>
      <c r="MSL362" s="633">
        <v>3549118.4400000018</v>
      </c>
      <c r="MSM362" s="634">
        <v>39996846</v>
      </c>
      <c r="MSN362" s="633">
        <f>SUM(MSA362:MSL362)</f>
        <v>39996846.150000013</v>
      </c>
      <c r="MSO362" s="631" t="s">
        <v>1836</v>
      </c>
      <c r="MSP362" s="632" t="s">
        <v>1673</v>
      </c>
      <c r="MSQ362" s="633">
        <v>3470702.0100000007</v>
      </c>
      <c r="MSR362" s="633">
        <v>3448347.94</v>
      </c>
      <c r="MSS362" s="633">
        <v>3398526.4800000009</v>
      </c>
      <c r="MST362" s="633">
        <v>2159854.59</v>
      </c>
      <c r="MSU362" s="633">
        <v>3563316.060000001</v>
      </c>
      <c r="MSV362" s="633">
        <v>3305610.92</v>
      </c>
      <c r="MSW362" s="633">
        <v>3255686.1799999992</v>
      </c>
      <c r="MSX362" s="633">
        <v>3172108.3800000018</v>
      </c>
      <c r="MSY362" s="633">
        <v>3430726.5900000026</v>
      </c>
      <c r="MSZ362" s="633">
        <v>3636289.9099999997</v>
      </c>
      <c r="MTA362" s="633">
        <v>3606558.6500000022</v>
      </c>
      <c r="MTB362" s="633">
        <v>3549118.4400000018</v>
      </c>
      <c r="MTC362" s="634">
        <v>39996846</v>
      </c>
      <c r="MTD362" s="633">
        <f>SUM(MSQ362:MTB362)</f>
        <v>39996846.150000013</v>
      </c>
      <c r="MTE362" s="631" t="s">
        <v>1836</v>
      </c>
      <c r="MTF362" s="632" t="s">
        <v>1673</v>
      </c>
      <c r="MTG362" s="633">
        <v>3470702.0100000007</v>
      </c>
      <c r="MTH362" s="633">
        <v>3448347.94</v>
      </c>
      <c r="MTI362" s="633">
        <v>3398526.4800000009</v>
      </c>
      <c r="MTJ362" s="633">
        <v>2159854.59</v>
      </c>
      <c r="MTK362" s="633">
        <v>3563316.060000001</v>
      </c>
      <c r="MTL362" s="633">
        <v>3305610.92</v>
      </c>
      <c r="MTM362" s="633">
        <v>3255686.1799999992</v>
      </c>
      <c r="MTN362" s="633">
        <v>3172108.3800000018</v>
      </c>
      <c r="MTO362" s="633">
        <v>3430726.5900000026</v>
      </c>
      <c r="MTP362" s="633">
        <v>3636289.9099999997</v>
      </c>
      <c r="MTQ362" s="633">
        <v>3606558.6500000022</v>
      </c>
      <c r="MTR362" s="633">
        <v>3549118.4400000018</v>
      </c>
      <c r="MTS362" s="634">
        <v>39996846</v>
      </c>
      <c r="MTT362" s="633">
        <f>SUM(MTG362:MTR362)</f>
        <v>39996846.150000013</v>
      </c>
      <c r="MTU362" s="631" t="s">
        <v>1836</v>
      </c>
      <c r="MTV362" s="632" t="s">
        <v>1673</v>
      </c>
      <c r="MTW362" s="633">
        <v>3470702.0100000007</v>
      </c>
      <c r="MTX362" s="633">
        <v>3448347.94</v>
      </c>
      <c r="MTY362" s="633">
        <v>3398526.4800000009</v>
      </c>
      <c r="MTZ362" s="633">
        <v>2159854.59</v>
      </c>
      <c r="MUA362" s="633">
        <v>3563316.060000001</v>
      </c>
      <c r="MUB362" s="633">
        <v>3305610.92</v>
      </c>
      <c r="MUC362" s="633">
        <v>3255686.1799999992</v>
      </c>
      <c r="MUD362" s="633">
        <v>3172108.3800000018</v>
      </c>
      <c r="MUE362" s="633">
        <v>3430726.5900000026</v>
      </c>
      <c r="MUF362" s="633">
        <v>3636289.9099999997</v>
      </c>
      <c r="MUG362" s="633">
        <v>3606558.6500000022</v>
      </c>
      <c r="MUH362" s="633">
        <v>3549118.4400000018</v>
      </c>
      <c r="MUI362" s="634">
        <v>39996846</v>
      </c>
      <c r="MUJ362" s="633">
        <f>SUM(MTW362:MUH362)</f>
        <v>39996846.150000013</v>
      </c>
      <c r="MUK362" s="631" t="s">
        <v>1836</v>
      </c>
      <c r="MUL362" s="632" t="s">
        <v>1673</v>
      </c>
      <c r="MUM362" s="633">
        <v>3470702.0100000007</v>
      </c>
      <c r="MUN362" s="633">
        <v>3448347.94</v>
      </c>
      <c r="MUO362" s="633">
        <v>3398526.4800000009</v>
      </c>
      <c r="MUP362" s="633">
        <v>2159854.59</v>
      </c>
      <c r="MUQ362" s="633">
        <v>3563316.060000001</v>
      </c>
      <c r="MUR362" s="633">
        <v>3305610.92</v>
      </c>
      <c r="MUS362" s="633">
        <v>3255686.1799999992</v>
      </c>
      <c r="MUT362" s="633">
        <v>3172108.3800000018</v>
      </c>
      <c r="MUU362" s="633">
        <v>3430726.5900000026</v>
      </c>
      <c r="MUV362" s="633">
        <v>3636289.9099999997</v>
      </c>
      <c r="MUW362" s="633">
        <v>3606558.6500000022</v>
      </c>
      <c r="MUX362" s="633">
        <v>3549118.4400000018</v>
      </c>
      <c r="MUY362" s="634">
        <v>39996846</v>
      </c>
      <c r="MUZ362" s="633">
        <f>SUM(MUM362:MUX362)</f>
        <v>39996846.150000013</v>
      </c>
      <c r="MVA362" s="631" t="s">
        <v>1836</v>
      </c>
      <c r="MVB362" s="632" t="s">
        <v>1673</v>
      </c>
      <c r="MVC362" s="633">
        <v>3470702.0100000007</v>
      </c>
      <c r="MVD362" s="633">
        <v>3448347.94</v>
      </c>
      <c r="MVE362" s="633">
        <v>3398526.4800000009</v>
      </c>
      <c r="MVF362" s="633">
        <v>2159854.59</v>
      </c>
      <c r="MVG362" s="633">
        <v>3563316.060000001</v>
      </c>
      <c r="MVH362" s="633">
        <v>3305610.92</v>
      </c>
      <c r="MVI362" s="633">
        <v>3255686.1799999992</v>
      </c>
      <c r="MVJ362" s="633">
        <v>3172108.3800000018</v>
      </c>
      <c r="MVK362" s="633">
        <v>3430726.5900000026</v>
      </c>
      <c r="MVL362" s="633">
        <v>3636289.9099999997</v>
      </c>
      <c r="MVM362" s="633">
        <v>3606558.6500000022</v>
      </c>
      <c r="MVN362" s="633">
        <v>3549118.4400000018</v>
      </c>
      <c r="MVO362" s="634">
        <v>39996846</v>
      </c>
      <c r="MVP362" s="633">
        <f>SUM(MVC362:MVN362)</f>
        <v>39996846.150000013</v>
      </c>
      <c r="MVQ362" s="631" t="s">
        <v>1836</v>
      </c>
      <c r="MVR362" s="632" t="s">
        <v>1673</v>
      </c>
      <c r="MVS362" s="633">
        <v>3470702.0100000007</v>
      </c>
      <c r="MVT362" s="633">
        <v>3448347.94</v>
      </c>
      <c r="MVU362" s="633">
        <v>3398526.4800000009</v>
      </c>
      <c r="MVV362" s="633">
        <v>2159854.59</v>
      </c>
      <c r="MVW362" s="633">
        <v>3563316.060000001</v>
      </c>
      <c r="MVX362" s="633">
        <v>3305610.92</v>
      </c>
      <c r="MVY362" s="633">
        <v>3255686.1799999992</v>
      </c>
      <c r="MVZ362" s="633">
        <v>3172108.3800000018</v>
      </c>
      <c r="MWA362" s="633">
        <v>3430726.5900000026</v>
      </c>
      <c r="MWB362" s="633">
        <v>3636289.9099999997</v>
      </c>
      <c r="MWC362" s="633">
        <v>3606558.6500000022</v>
      </c>
      <c r="MWD362" s="633">
        <v>3549118.4400000018</v>
      </c>
      <c r="MWE362" s="634">
        <v>39996846</v>
      </c>
      <c r="MWF362" s="633">
        <f>SUM(MVS362:MWD362)</f>
        <v>39996846.150000013</v>
      </c>
      <c r="MWG362" s="631" t="s">
        <v>1836</v>
      </c>
      <c r="MWH362" s="632" t="s">
        <v>1673</v>
      </c>
      <c r="MWI362" s="633">
        <v>3470702.0100000007</v>
      </c>
      <c r="MWJ362" s="633">
        <v>3448347.94</v>
      </c>
      <c r="MWK362" s="633">
        <v>3398526.4800000009</v>
      </c>
      <c r="MWL362" s="633">
        <v>2159854.59</v>
      </c>
      <c r="MWM362" s="633">
        <v>3563316.060000001</v>
      </c>
      <c r="MWN362" s="633">
        <v>3305610.92</v>
      </c>
      <c r="MWO362" s="633">
        <v>3255686.1799999992</v>
      </c>
      <c r="MWP362" s="633">
        <v>3172108.3800000018</v>
      </c>
      <c r="MWQ362" s="633">
        <v>3430726.5900000026</v>
      </c>
      <c r="MWR362" s="633">
        <v>3636289.9099999997</v>
      </c>
      <c r="MWS362" s="633">
        <v>3606558.6500000022</v>
      </c>
      <c r="MWT362" s="633">
        <v>3549118.4400000018</v>
      </c>
      <c r="MWU362" s="634">
        <v>39996846</v>
      </c>
      <c r="MWV362" s="633">
        <f>SUM(MWI362:MWT362)</f>
        <v>39996846.150000013</v>
      </c>
      <c r="MWW362" s="631" t="s">
        <v>1836</v>
      </c>
      <c r="MWX362" s="632" t="s">
        <v>1673</v>
      </c>
      <c r="MWY362" s="633">
        <v>3470702.0100000007</v>
      </c>
      <c r="MWZ362" s="633">
        <v>3448347.94</v>
      </c>
      <c r="MXA362" s="633">
        <v>3398526.4800000009</v>
      </c>
      <c r="MXB362" s="633">
        <v>2159854.59</v>
      </c>
      <c r="MXC362" s="633">
        <v>3563316.060000001</v>
      </c>
      <c r="MXD362" s="633">
        <v>3305610.92</v>
      </c>
      <c r="MXE362" s="633">
        <v>3255686.1799999992</v>
      </c>
      <c r="MXF362" s="633">
        <v>3172108.3800000018</v>
      </c>
      <c r="MXG362" s="633">
        <v>3430726.5900000026</v>
      </c>
      <c r="MXH362" s="633">
        <v>3636289.9099999997</v>
      </c>
      <c r="MXI362" s="633">
        <v>3606558.6500000022</v>
      </c>
      <c r="MXJ362" s="633">
        <v>3549118.4400000018</v>
      </c>
      <c r="MXK362" s="634">
        <v>39996846</v>
      </c>
      <c r="MXL362" s="633">
        <f>SUM(MWY362:MXJ362)</f>
        <v>39996846.150000013</v>
      </c>
      <c r="MXM362" s="631" t="s">
        <v>1836</v>
      </c>
      <c r="MXN362" s="632" t="s">
        <v>1673</v>
      </c>
      <c r="MXO362" s="633">
        <v>3470702.0100000007</v>
      </c>
      <c r="MXP362" s="633">
        <v>3448347.94</v>
      </c>
      <c r="MXQ362" s="633">
        <v>3398526.4800000009</v>
      </c>
      <c r="MXR362" s="633">
        <v>2159854.59</v>
      </c>
      <c r="MXS362" s="633">
        <v>3563316.060000001</v>
      </c>
      <c r="MXT362" s="633">
        <v>3305610.92</v>
      </c>
      <c r="MXU362" s="633">
        <v>3255686.1799999992</v>
      </c>
      <c r="MXV362" s="633">
        <v>3172108.3800000018</v>
      </c>
      <c r="MXW362" s="633">
        <v>3430726.5900000026</v>
      </c>
      <c r="MXX362" s="633">
        <v>3636289.9099999997</v>
      </c>
      <c r="MXY362" s="633">
        <v>3606558.6500000022</v>
      </c>
      <c r="MXZ362" s="633">
        <v>3549118.4400000018</v>
      </c>
      <c r="MYA362" s="634">
        <v>39996846</v>
      </c>
      <c r="MYB362" s="633">
        <f>SUM(MXO362:MXZ362)</f>
        <v>39996846.150000013</v>
      </c>
      <c r="MYC362" s="631" t="s">
        <v>1836</v>
      </c>
      <c r="MYD362" s="632" t="s">
        <v>1673</v>
      </c>
      <c r="MYE362" s="633">
        <v>3470702.0100000007</v>
      </c>
      <c r="MYF362" s="633">
        <v>3448347.94</v>
      </c>
      <c r="MYG362" s="633">
        <v>3398526.4800000009</v>
      </c>
      <c r="MYH362" s="633">
        <v>2159854.59</v>
      </c>
      <c r="MYI362" s="633">
        <v>3563316.060000001</v>
      </c>
      <c r="MYJ362" s="633">
        <v>3305610.92</v>
      </c>
      <c r="MYK362" s="633">
        <v>3255686.1799999992</v>
      </c>
      <c r="MYL362" s="633">
        <v>3172108.3800000018</v>
      </c>
      <c r="MYM362" s="633">
        <v>3430726.5900000026</v>
      </c>
      <c r="MYN362" s="633">
        <v>3636289.9099999997</v>
      </c>
      <c r="MYO362" s="633">
        <v>3606558.6500000022</v>
      </c>
      <c r="MYP362" s="633">
        <v>3549118.4400000018</v>
      </c>
      <c r="MYQ362" s="634">
        <v>39996846</v>
      </c>
      <c r="MYR362" s="633">
        <f>SUM(MYE362:MYP362)</f>
        <v>39996846.150000013</v>
      </c>
      <c r="MYS362" s="631" t="s">
        <v>1836</v>
      </c>
      <c r="MYT362" s="632" t="s">
        <v>1673</v>
      </c>
      <c r="MYU362" s="633">
        <v>3470702.0100000007</v>
      </c>
      <c r="MYV362" s="633">
        <v>3448347.94</v>
      </c>
      <c r="MYW362" s="633">
        <v>3398526.4800000009</v>
      </c>
      <c r="MYX362" s="633">
        <v>2159854.59</v>
      </c>
      <c r="MYY362" s="633">
        <v>3563316.060000001</v>
      </c>
      <c r="MYZ362" s="633">
        <v>3305610.92</v>
      </c>
      <c r="MZA362" s="633">
        <v>3255686.1799999992</v>
      </c>
      <c r="MZB362" s="633">
        <v>3172108.3800000018</v>
      </c>
      <c r="MZC362" s="633">
        <v>3430726.5900000026</v>
      </c>
      <c r="MZD362" s="633">
        <v>3636289.9099999997</v>
      </c>
      <c r="MZE362" s="633">
        <v>3606558.6500000022</v>
      </c>
      <c r="MZF362" s="633">
        <v>3549118.4400000018</v>
      </c>
      <c r="MZG362" s="634">
        <v>39996846</v>
      </c>
      <c r="MZH362" s="633">
        <f>SUM(MYU362:MZF362)</f>
        <v>39996846.150000013</v>
      </c>
      <c r="MZI362" s="631" t="s">
        <v>1836</v>
      </c>
      <c r="MZJ362" s="632" t="s">
        <v>1673</v>
      </c>
      <c r="MZK362" s="633">
        <v>3470702.0100000007</v>
      </c>
      <c r="MZL362" s="633">
        <v>3448347.94</v>
      </c>
      <c r="MZM362" s="633">
        <v>3398526.4800000009</v>
      </c>
      <c r="MZN362" s="633">
        <v>2159854.59</v>
      </c>
      <c r="MZO362" s="633">
        <v>3563316.060000001</v>
      </c>
      <c r="MZP362" s="633">
        <v>3305610.92</v>
      </c>
      <c r="MZQ362" s="633">
        <v>3255686.1799999992</v>
      </c>
      <c r="MZR362" s="633">
        <v>3172108.3800000018</v>
      </c>
      <c r="MZS362" s="633">
        <v>3430726.5900000026</v>
      </c>
      <c r="MZT362" s="633">
        <v>3636289.9099999997</v>
      </c>
      <c r="MZU362" s="633">
        <v>3606558.6500000022</v>
      </c>
      <c r="MZV362" s="633">
        <v>3549118.4400000018</v>
      </c>
      <c r="MZW362" s="634">
        <v>39996846</v>
      </c>
      <c r="MZX362" s="633">
        <f>SUM(MZK362:MZV362)</f>
        <v>39996846.150000013</v>
      </c>
      <c r="MZY362" s="631" t="s">
        <v>1836</v>
      </c>
      <c r="MZZ362" s="632" t="s">
        <v>1673</v>
      </c>
      <c r="NAA362" s="633">
        <v>3470702.0100000007</v>
      </c>
      <c r="NAB362" s="633">
        <v>3448347.94</v>
      </c>
      <c r="NAC362" s="633">
        <v>3398526.4800000009</v>
      </c>
      <c r="NAD362" s="633">
        <v>2159854.59</v>
      </c>
      <c r="NAE362" s="633">
        <v>3563316.060000001</v>
      </c>
      <c r="NAF362" s="633">
        <v>3305610.92</v>
      </c>
      <c r="NAG362" s="633">
        <v>3255686.1799999992</v>
      </c>
      <c r="NAH362" s="633">
        <v>3172108.3800000018</v>
      </c>
      <c r="NAI362" s="633">
        <v>3430726.5900000026</v>
      </c>
      <c r="NAJ362" s="633">
        <v>3636289.9099999997</v>
      </c>
      <c r="NAK362" s="633">
        <v>3606558.6500000022</v>
      </c>
      <c r="NAL362" s="633">
        <v>3549118.4400000018</v>
      </c>
      <c r="NAM362" s="634">
        <v>39996846</v>
      </c>
      <c r="NAN362" s="633">
        <f>SUM(NAA362:NAL362)</f>
        <v>39996846.150000013</v>
      </c>
      <c r="NAO362" s="631" t="s">
        <v>1836</v>
      </c>
      <c r="NAP362" s="632" t="s">
        <v>1673</v>
      </c>
      <c r="NAQ362" s="633">
        <v>3470702.0100000007</v>
      </c>
      <c r="NAR362" s="633">
        <v>3448347.94</v>
      </c>
      <c r="NAS362" s="633">
        <v>3398526.4800000009</v>
      </c>
      <c r="NAT362" s="633">
        <v>2159854.59</v>
      </c>
      <c r="NAU362" s="633">
        <v>3563316.060000001</v>
      </c>
      <c r="NAV362" s="633">
        <v>3305610.92</v>
      </c>
      <c r="NAW362" s="633">
        <v>3255686.1799999992</v>
      </c>
      <c r="NAX362" s="633">
        <v>3172108.3800000018</v>
      </c>
      <c r="NAY362" s="633">
        <v>3430726.5900000026</v>
      </c>
      <c r="NAZ362" s="633">
        <v>3636289.9099999997</v>
      </c>
      <c r="NBA362" s="633">
        <v>3606558.6500000022</v>
      </c>
      <c r="NBB362" s="633">
        <v>3549118.4400000018</v>
      </c>
      <c r="NBC362" s="634">
        <v>39996846</v>
      </c>
      <c r="NBD362" s="633">
        <f>SUM(NAQ362:NBB362)</f>
        <v>39996846.150000013</v>
      </c>
      <c r="NBE362" s="631" t="s">
        <v>1836</v>
      </c>
      <c r="NBF362" s="632" t="s">
        <v>1673</v>
      </c>
      <c r="NBG362" s="633">
        <v>3470702.0100000007</v>
      </c>
      <c r="NBH362" s="633">
        <v>3448347.94</v>
      </c>
      <c r="NBI362" s="633">
        <v>3398526.4800000009</v>
      </c>
      <c r="NBJ362" s="633">
        <v>2159854.59</v>
      </c>
      <c r="NBK362" s="633">
        <v>3563316.060000001</v>
      </c>
      <c r="NBL362" s="633">
        <v>3305610.92</v>
      </c>
      <c r="NBM362" s="633">
        <v>3255686.1799999992</v>
      </c>
      <c r="NBN362" s="633">
        <v>3172108.3800000018</v>
      </c>
      <c r="NBO362" s="633">
        <v>3430726.5900000026</v>
      </c>
      <c r="NBP362" s="633">
        <v>3636289.9099999997</v>
      </c>
      <c r="NBQ362" s="633">
        <v>3606558.6500000022</v>
      </c>
      <c r="NBR362" s="633">
        <v>3549118.4400000018</v>
      </c>
      <c r="NBS362" s="634">
        <v>39996846</v>
      </c>
      <c r="NBT362" s="633">
        <f>SUM(NBG362:NBR362)</f>
        <v>39996846.150000013</v>
      </c>
      <c r="NBU362" s="631" t="s">
        <v>1836</v>
      </c>
      <c r="NBV362" s="632" t="s">
        <v>1673</v>
      </c>
      <c r="NBW362" s="633">
        <v>3470702.0100000007</v>
      </c>
      <c r="NBX362" s="633">
        <v>3448347.94</v>
      </c>
      <c r="NBY362" s="633">
        <v>3398526.4800000009</v>
      </c>
      <c r="NBZ362" s="633">
        <v>2159854.59</v>
      </c>
      <c r="NCA362" s="633">
        <v>3563316.060000001</v>
      </c>
      <c r="NCB362" s="633">
        <v>3305610.92</v>
      </c>
      <c r="NCC362" s="633">
        <v>3255686.1799999992</v>
      </c>
      <c r="NCD362" s="633">
        <v>3172108.3800000018</v>
      </c>
      <c r="NCE362" s="633">
        <v>3430726.5900000026</v>
      </c>
      <c r="NCF362" s="633">
        <v>3636289.9099999997</v>
      </c>
      <c r="NCG362" s="633">
        <v>3606558.6500000022</v>
      </c>
      <c r="NCH362" s="633">
        <v>3549118.4400000018</v>
      </c>
      <c r="NCI362" s="634">
        <v>39996846</v>
      </c>
      <c r="NCJ362" s="633">
        <f>SUM(NBW362:NCH362)</f>
        <v>39996846.150000013</v>
      </c>
      <c r="NCK362" s="631" t="s">
        <v>1836</v>
      </c>
      <c r="NCL362" s="632" t="s">
        <v>1673</v>
      </c>
      <c r="NCM362" s="633">
        <v>3470702.0100000007</v>
      </c>
      <c r="NCN362" s="633">
        <v>3448347.94</v>
      </c>
      <c r="NCO362" s="633">
        <v>3398526.4800000009</v>
      </c>
      <c r="NCP362" s="633">
        <v>2159854.59</v>
      </c>
      <c r="NCQ362" s="633">
        <v>3563316.060000001</v>
      </c>
      <c r="NCR362" s="633">
        <v>3305610.92</v>
      </c>
      <c r="NCS362" s="633">
        <v>3255686.1799999992</v>
      </c>
      <c r="NCT362" s="633">
        <v>3172108.3800000018</v>
      </c>
      <c r="NCU362" s="633">
        <v>3430726.5900000026</v>
      </c>
      <c r="NCV362" s="633">
        <v>3636289.9099999997</v>
      </c>
      <c r="NCW362" s="633">
        <v>3606558.6500000022</v>
      </c>
      <c r="NCX362" s="633">
        <v>3549118.4400000018</v>
      </c>
      <c r="NCY362" s="634">
        <v>39996846</v>
      </c>
      <c r="NCZ362" s="633">
        <f>SUM(NCM362:NCX362)</f>
        <v>39996846.150000013</v>
      </c>
      <c r="NDA362" s="631" t="s">
        <v>1836</v>
      </c>
      <c r="NDB362" s="632" t="s">
        <v>1673</v>
      </c>
      <c r="NDC362" s="633">
        <v>3470702.0100000007</v>
      </c>
      <c r="NDD362" s="633">
        <v>3448347.94</v>
      </c>
      <c r="NDE362" s="633">
        <v>3398526.4800000009</v>
      </c>
      <c r="NDF362" s="633">
        <v>2159854.59</v>
      </c>
      <c r="NDG362" s="633">
        <v>3563316.060000001</v>
      </c>
      <c r="NDH362" s="633">
        <v>3305610.92</v>
      </c>
      <c r="NDI362" s="633">
        <v>3255686.1799999992</v>
      </c>
      <c r="NDJ362" s="633">
        <v>3172108.3800000018</v>
      </c>
      <c r="NDK362" s="633">
        <v>3430726.5900000026</v>
      </c>
      <c r="NDL362" s="633">
        <v>3636289.9099999997</v>
      </c>
      <c r="NDM362" s="633">
        <v>3606558.6500000022</v>
      </c>
      <c r="NDN362" s="633">
        <v>3549118.4400000018</v>
      </c>
      <c r="NDO362" s="634">
        <v>39996846</v>
      </c>
      <c r="NDP362" s="633">
        <f>SUM(NDC362:NDN362)</f>
        <v>39996846.150000013</v>
      </c>
      <c r="NDQ362" s="631" t="s">
        <v>1836</v>
      </c>
      <c r="NDR362" s="632" t="s">
        <v>1673</v>
      </c>
      <c r="NDS362" s="633">
        <v>3470702.0100000007</v>
      </c>
      <c r="NDT362" s="633">
        <v>3448347.94</v>
      </c>
      <c r="NDU362" s="633">
        <v>3398526.4800000009</v>
      </c>
      <c r="NDV362" s="633">
        <v>2159854.59</v>
      </c>
      <c r="NDW362" s="633">
        <v>3563316.060000001</v>
      </c>
      <c r="NDX362" s="633">
        <v>3305610.92</v>
      </c>
      <c r="NDY362" s="633">
        <v>3255686.1799999992</v>
      </c>
      <c r="NDZ362" s="633">
        <v>3172108.3800000018</v>
      </c>
      <c r="NEA362" s="633">
        <v>3430726.5900000026</v>
      </c>
      <c r="NEB362" s="633">
        <v>3636289.9099999997</v>
      </c>
      <c r="NEC362" s="633">
        <v>3606558.6500000022</v>
      </c>
      <c r="NED362" s="633">
        <v>3549118.4400000018</v>
      </c>
      <c r="NEE362" s="634">
        <v>39996846</v>
      </c>
      <c r="NEF362" s="633">
        <f>SUM(NDS362:NED362)</f>
        <v>39996846.150000013</v>
      </c>
      <c r="NEG362" s="631" t="s">
        <v>1836</v>
      </c>
      <c r="NEH362" s="632" t="s">
        <v>1673</v>
      </c>
      <c r="NEI362" s="633">
        <v>3470702.0100000007</v>
      </c>
      <c r="NEJ362" s="633">
        <v>3448347.94</v>
      </c>
      <c r="NEK362" s="633">
        <v>3398526.4800000009</v>
      </c>
      <c r="NEL362" s="633">
        <v>2159854.59</v>
      </c>
      <c r="NEM362" s="633">
        <v>3563316.060000001</v>
      </c>
      <c r="NEN362" s="633">
        <v>3305610.92</v>
      </c>
      <c r="NEO362" s="633">
        <v>3255686.1799999992</v>
      </c>
      <c r="NEP362" s="633">
        <v>3172108.3800000018</v>
      </c>
      <c r="NEQ362" s="633">
        <v>3430726.5900000026</v>
      </c>
      <c r="NER362" s="633">
        <v>3636289.9099999997</v>
      </c>
      <c r="NES362" s="633">
        <v>3606558.6500000022</v>
      </c>
      <c r="NET362" s="633">
        <v>3549118.4400000018</v>
      </c>
      <c r="NEU362" s="634">
        <v>39996846</v>
      </c>
      <c r="NEV362" s="633">
        <f>SUM(NEI362:NET362)</f>
        <v>39996846.150000013</v>
      </c>
      <c r="NEW362" s="631" t="s">
        <v>1836</v>
      </c>
      <c r="NEX362" s="632" t="s">
        <v>1673</v>
      </c>
      <c r="NEY362" s="633">
        <v>3470702.0100000007</v>
      </c>
      <c r="NEZ362" s="633">
        <v>3448347.94</v>
      </c>
      <c r="NFA362" s="633">
        <v>3398526.4800000009</v>
      </c>
      <c r="NFB362" s="633">
        <v>2159854.59</v>
      </c>
      <c r="NFC362" s="633">
        <v>3563316.060000001</v>
      </c>
      <c r="NFD362" s="633">
        <v>3305610.92</v>
      </c>
      <c r="NFE362" s="633">
        <v>3255686.1799999992</v>
      </c>
      <c r="NFF362" s="633">
        <v>3172108.3800000018</v>
      </c>
      <c r="NFG362" s="633">
        <v>3430726.5900000026</v>
      </c>
      <c r="NFH362" s="633">
        <v>3636289.9099999997</v>
      </c>
      <c r="NFI362" s="633">
        <v>3606558.6500000022</v>
      </c>
      <c r="NFJ362" s="633">
        <v>3549118.4400000018</v>
      </c>
      <c r="NFK362" s="634">
        <v>39996846</v>
      </c>
      <c r="NFL362" s="633">
        <f>SUM(NEY362:NFJ362)</f>
        <v>39996846.150000013</v>
      </c>
      <c r="NFM362" s="631" t="s">
        <v>1836</v>
      </c>
      <c r="NFN362" s="632" t="s">
        <v>1673</v>
      </c>
      <c r="NFO362" s="633">
        <v>3470702.0100000007</v>
      </c>
      <c r="NFP362" s="633">
        <v>3448347.94</v>
      </c>
      <c r="NFQ362" s="633">
        <v>3398526.4800000009</v>
      </c>
      <c r="NFR362" s="633">
        <v>2159854.59</v>
      </c>
      <c r="NFS362" s="633">
        <v>3563316.060000001</v>
      </c>
      <c r="NFT362" s="633">
        <v>3305610.92</v>
      </c>
      <c r="NFU362" s="633">
        <v>3255686.1799999992</v>
      </c>
      <c r="NFV362" s="633">
        <v>3172108.3800000018</v>
      </c>
      <c r="NFW362" s="633">
        <v>3430726.5900000026</v>
      </c>
      <c r="NFX362" s="633">
        <v>3636289.9099999997</v>
      </c>
      <c r="NFY362" s="633">
        <v>3606558.6500000022</v>
      </c>
      <c r="NFZ362" s="633">
        <v>3549118.4400000018</v>
      </c>
      <c r="NGA362" s="634">
        <v>39996846</v>
      </c>
      <c r="NGB362" s="633">
        <f>SUM(NFO362:NFZ362)</f>
        <v>39996846.150000013</v>
      </c>
      <c r="NGC362" s="631" t="s">
        <v>1836</v>
      </c>
      <c r="NGD362" s="632" t="s">
        <v>1673</v>
      </c>
      <c r="NGE362" s="633">
        <v>3470702.0100000007</v>
      </c>
      <c r="NGF362" s="633">
        <v>3448347.94</v>
      </c>
      <c r="NGG362" s="633">
        <v>3398526.4800000009</v>
      </c>
      <c r="NGH362" s="633">
        <v>2159854.59</v>
      </c>
      <c r="NGI362" s="633">
        <v>3563316.060000001</v>
      </c>
      <c r="NGJ362" s="633">
        <v>3305610.92</v>
      </c>
      <c r="NGK362" s="633">
        <v>3255686.1799999992</v>
      </c>
      <c r="NGL362" s="633">
        <v>3172108.3800000018</v>
      </c>
      <c r="NGM362" s="633">
        <v>3430726.5900000026</v>
      </c>
      <c r="NGN362" s="633">
        <v>3636289.9099999997</v>
      </c>
      <c r="NGO362" s="633">
        <v>3606558.6500000022</v>
      </c>
      <c r="NGP362" s="633">
        <v>3549118.4400000018</v>
      </c>
      <c r="NGQ362" s="634">
        <v>39996846</v>
      </c>
      <c r="NGR362" s="633">
        <f>SUM(NGE362:NGP362)</f>
        <v>39996846.150000013</v>
      </c>
      <c r="NGS362" s="631" t="s">
        <v>1836</v>
      </c>
      <c r="NGT362" s="632" t="s">
        <v>1673</v>
      </c>
      <c r="NGU362" s="633">
        <v>3470702.0100000007</v>
      </c>
      <c r="NGV362" s="633">
        <v>3448347.94</v>
      </c>
      <c r="NGW362" s="633">
        <v>3398526.4800000009</v>
      </c>
      <c r="NGX362" s="633">
        <v>2159854.59</v>
      </c>
      <c r="NGY362" s="633">
        <v>3563316.060000001</v>
      </c>
      <c r="NGZ362" s="633">
        <v>3305610.92</v>
      </c>
      <c r="NHA362" s="633">
        <v>3255686.1799999992</v>
      </c>
      <c r="NHB362" s="633">
        <v>3172108.3800000018</v>
      </c>
      <c r="NHC362" s="633">
        <v>3430726.5900000026</v>
      </c>
      <c r="NHD362" s="633">
        <v>3636289.9099999997</v>
      </c>
      <c r="NHE362" s="633">
        <v>3606558.6500000022</v>
      </c>
      <c r="NHF362" s="633">
        <v>3549118.4400000018</v>
      </c>
      <c r="NHG362" s="634">
        <v>39996846</v>
      </c>
      <c r="NHH362" s="633">
        <f>SUM(NGU362:NHF362)</f>
        <v>39996846.150000013</v>
      </c>
      <c r="NHI362" s="631" t="s">
        <v>1836</v>
      </c>
      <c r="NHJ362" s="632" t="s">
        <v>1673</v>
      </c>
      <c r="NHK362" s="633">
        <v>3470702.0100000007</v>
      </c>
      <c r="NHL362" s="633">
        <v>3448347.94</v>
      </c>
      <c r="NHM362" s="633">
        <v>3398526.4800000009</v>
      </c>
      <c r="NHN362" s="633">
        <v>2159854.59</v>
      </c>
      <c r="NHO362" s="633">
        <v>3563316.060000001</v>
      </c>
      <c r="NHP362" s="633">
        <v>3305610.92</v>
      </c>
      <c r="NHQ362" s="633">
        <v>3255686.1799999992</v>
      </c>
      <c r="NHR362" s="633">
        <v>3172108.3800000018</v>
      </c>
      <c r="NHS362" s="633">
        <v>3430726.5900000026</v>
      </c>
      <c r="NHT362" s="633">
        <v>3636289.9099999997</v>
      </c>
      <c r="NHU362" s="633">
        <v>3606558.6500000022</v>
      </c>
      <c r="NHV362" s="633">
        <v>3549118.4400000018</v>
      </c>
      <c r="NHW362" s="634">
        <v>39996846</v>
      </c>
      <c r="NHX362" s="633">
        <f>SUM(NHK362:NHV362)</f>
        <v>39996846.150000013</v>
      </c>
      <c r="NHY362" s="631" t="s">
        <v>1836</v>
      </c>
      <c r="NHZ362" s="632" t="s">
        <v>1673</v>
      </c>
      <c r="NIA362" s="633">
        <v>3470702.0100000007</v>
      </c>
      <c r="NIB362" s="633">
        <v>3448347.94</v>
      </c>
      <c r="NIC362" s="633">
        <v>3398526.4800000009</v>
      </c>
      <c r="NID362" s="633">
        <v>2159854.59</v>
      </c>
      <c r="NIE362" s="633">
        <v>3563316.060000001</v>
      </c>
      <c r="NIF362" s="633">
        <v>3305610.92</v>
      </c>
      <c r="NIG362" s="633">
        <v>3255686.1799999992</v>
      </c>
      <c r="NIH362" s="633">
        <v>3172108.3800000018</v>
      </c>
      <c r="NII362" s="633">
        <v>3430726.5900000026</v>
      </c>
      <c r="NIJ362" s="633">
        <v>3636289.9099999997</v>
      </c>
      <c r="NIK362" s="633">
        <v>3606558.6500000022</v>
      </c>
      <c r="NIL362" s="633">
        <v>3549118.4400000018</v>
      </c>
      <c r="NIM362" s="634">
        <v>39996846</v>
      </c>
      <c r="NIN362" s="633">
        <f>SUM(NIA362:NIL362)</f>
        <v>39996846.150000013</v>
      </c>
      <c r="NIO362" s="631" t="s">
        <v>1836</v>
      </c>
      <c r="NIP362" s="632" t="s">
        <v>1673</v>
      </c>
      <c r="NIQ362" s="633">
        <v>3470702.0100000007</v>
      </c>
      <c r="NIR362" s="633">
        <v>3448347.94</v>
      </c>
      <c r="NIS362" s="633">
        <v>3398526.4800000009</v>
      </c>
      <c r="NIT362" s="633">
        <v>2159854.59</v>
      </c>
      <c r="NIU362" s="633">
        <v>3563316.060000001</v>
      </c>
      <c r="NIV362" s="633">
        <v>3305610.92</v>
      </c>
      <c r="NIW362" s="633">
        <v>3255686.1799999992</v>
      </c>
      <c r="NIX362" s="633">
        <v>3172108.3800000018</v>
      </c>
      <c r="NIY362" s="633">
        <v>3430726.5900000026</v>
      </c>
      <c r="NIZ362" s="633">
        <v>3636289.9099999997</v>
      </c>
      <c r="NJA362" s="633">
        <v>3606558.6500000022</v>
      </c>
      <c r="NJB362" s="633">
        <v>3549118.4400000018</v>
      </c>
      <c r="NJC362" s="634">
        <v>39996846</v>
      </c>
      <c r="NJD362" s="633">
        <f>SUM(NIQ362:NJB362)</f>
        <v>39996846.150000013</v>
      </c>
      <c r="NJE362" s="631" t="s">
        <v>1836</v>
      </c>
      <c r="NJF362" s="632" t="s">
        <v>1673</v>
      </c>
      <c r="NJG362" s="633">
        <v>3470702.0100000007</v>
      </c>
      <c r="NJH362" s="633">
        <v>3448347.94</v>
      </c>
      <c r="NJI362" s="633">
        <v>3398526.4800000009</v>
      </c>
      <c r="NJJ362" s="633">
        <v>2159854.59</v>
      </c>
      <c r="NJK362" s="633">
        <v>3563316.060000001</v>
      </c>
      <c r="NJL362" s="633">
        <v>3305610.92</v>
      </c>
      <c r="NJM362" s="633">
        <v>3255686.1799999992</v>
      </c>
      <c r="NJN362" s="633">
        <v>3172108.3800000018</v>
      </c>
      <c r="NJO362" s="633">
        <v>3430726.5900000026</v>
      </c>
      <c r="NJP362" s="633">
        <v>3636289.9099999997</v>
      </c>
      <c r="NJQ362" s="633">
        <v>3606558.6500000022</v>
      </c>
      <c r="NJR362" s="633">
        <v>3549118.4400000018</v>
      </c>
      <c r="NJS362" s="634">
        <v>39996846</v>
      </c>
      <c r="NJT362" s="633">
        <f>SUM(NJG362:NJR362)</f>
        <v>39996846.150000013</v>
      </c>
      <c r="NJU362" s="631" t="s">
        <v>1836</v>
      </c>
      <c r="NJV362" s="632" t="s">
        <v>1673</v>
      </c>
      <c r="NJW362" s="633">
        <v>3470702.0100000007</v>
      </c>
      <c r="NJX362" s="633">
        <v>3448347.94</v>
      </c>
      <c r="NJY362" s="633">
        <v>3398526.4800000009</v>
      </c>
      <c r="NJZ362" s="633">
        <v>2159854.59</v>
      </c>
      <c r="NKA362" s="633">
        <v>3563316.060000001</v>
      </c>
      <c r="NKB362" s="633">
        <v>3305610.92</v>
      </c>
      <c r="NKC362" s="633">
        <v>3255686.1799999992</v>
      </c>
      <c r="NKD362" s="633">
        <v>3172108.3800000018</v>
      </c>
      <c r="NKE362" s="633">
        <v>3430726.5900000026</v>
      </c>
      <c r="NKF362" s="633">
        <v>3636289.9099999997</v>
      </c>
      <c r="NKG362" s="633">
        <v>3606558.6500000022</v>
      </c>
      <c r="NKH362" s="633">
        <v>3549118.4400000018</v>
      </c>
      <c r="NKI362" s="634">
        <v>39996846</v>
      </c>
      <c r="NKJ362" s="633">
        <f>SUM(NJW362:NKH362)</f>
        <v>39996846.150000013</v>
      </c>
      <c r="NKK362" s="631" t="s">
        <v>1836</v>
      </c>
      <c r="NKL362" s="632" t="s">
        <v>1673</v>
      </c>
      <c r="NKM362" s="633">
        <v>3470702.0100000007</v>
      </c>
      <c r="NKN362" s="633">
        <v>3448347.94</v>
      </c>
      <c r="NKO362" s="633">
        <v>3398526.4800000009</v>
      </c>
      <c r="NKP362" s="633">
        <v>2159854.59</v>
      </c>
      <c r="NKQ362" s="633">
        <v>3563316.060000001</v>
      </c>
      <c r="NKR362" s="633">
        <v>3305610.92</v>
      </c>
      <c r="NKS362" s="633">
        <v>3255686.1799999992</v>
      </c>
      <c r="NKT362" s="633">
        <v>3172108.3800000018</v>
      </c>
      <c r="NKU362" s="633">
        <v>3430726.5900000026</v>
      </c>
      <c r="NKV362" s="633">
        <v>3636289.9099999997</v>
      </c>
      <c r="NKW362" s="633">
        <v>3606558.6500000022</v>
      </c>
      <c r="NKX362" s="633">
        <v>3549118.4400000018</v>
      </c>
      <c r="NKY362" s="634">
        <v>39996846</v>
      </c>
      <c r="NKZ362" s="633">
        <f>SUM(NKM362:NKX362)</f>
        <v>39996846.150000013</v>
      </c>
      <c r="NLA362" s="631" t="s">
        <v>1836</v>
      </c>
      <c r="NLB362" s="632" t="s">
        <v>1673</v>
      </c>
      <c r="NLC362" s="633">
        <v>3470702.0100000007</v>
      </c>
      <c r="NLD362" s="633">
        <v>3448347.94</v>
      </c>
      <c r="NLE362" s="633">
        <v>3398526.4800000009</v>
      </c>
      <c r="NLF362" s="633">
        <v>2159854.59</v>
      </c>
      <c r="NLG362" s="633">
        <v>3563316.060000001</v>
      </c>
      <c r="NLH362" s="633">
        <v>3305610.92</v>
      </c>
      <c r="NLI362" s="633">
        <v>3255686.1799999992</v>
      </c>
      <c r="NLJ362" s="633">
        <v>3172108.3800000018</v>
      </c>
      <c r="NLK362" s="633">
        <v>3430726.5900000026</v>
      </c>
      <c r="NLL362" s="633">
        <v>3636289.9099999997</v>
      </c>
      <c r="NLM362" s="633">
        <v>3606558.6500000022</v>
      </c>
      <c r="NLN362" s="633">
        <v>3549118.4400000018</v>
      </c>
      <c r="NLO362" s="634">
        <v>39996846</v>
      </c>
      <c r="NLP362" s="633">
        <f>SUM(NLC362:NLN362)</f>
        <v>39996846.150000013</v>
      </c>
      <c r="NLQ362" s="631" t="s">
        <v>1836</v>
      </c>
      <c r="NLR362" s="632" t="s">
        <v>1673</v>
      </c>
      <c r="NLS362" s="633">
        <v>3470702.0100000007</v>
      </c>
      <c r="NLT362" s="633">
        <v>3448347.94</v>
      </c>
      <c r="NLU362" s="633">
        <v>3398526.4800000009</v>
      </c>
      <c r="NLV362" s="633">
        <v>2159854.59</v>
      </c>
      <c r="NLW362" s="633">
        <v>3563316.060000001</v>
      </c>
      <c r="NLX362" s="633">
        <v>3305610.92</v>
      </c>
      <c r="NLY362" s="633">
        <v>3255686.1799999992</v>
      </c>
      <c r="NLZ362" s="633">
        <v>3172108.3800000018</v>
      </c>
      <c r="NMA362" s="633">
        <v>3430726.5900000026</v>
      </c>
      <c r="NMB362" s="633">
        <v>3636289.9099999997</v>
      </c>
      <c r="NMC362" s="633">
        <v>3606558.6500000022</v>
      </c>
      <c r="NMD362" s="633">
        <v>3549118.4400000018</v>
      </c>
      <c r="NME362" s="634">
        <v>39996846</v>
      </c>
      <c r="NMF362" s="633">
        <f>SUM(NLS362:NMD362)</f>
        <v>39996846.150000013</v>
      </c>
      <c r="NMG362" s="631" t="s">
        <v>1836</v>
      </c>
      <c r="NMH362" s="632" t="s">
        <v>1673</v>
      </c>
      <c r="NMI362" s="633">
        <v>3470702.0100000007</v>
      </c>
      <c r="NMJ362" s="633">
        <v>3448347.94</v>
      </c>
      <c r="NMK362" s="633">
        <v>3398526.4800000009</v>
      </c>
      <c r="NML362" s="633">
        <v>2159854.59</v>
      </c>
      <c r="NMM362" s="633">
        <v>3563316.060000001</v>
      </c>
      <c r="NMN362" s="633">
        <v>3305610.92</v>
      </c>
      <c r="NMO362" s="633">
        <v>3255686.1799999992</v>
      </c>
      <c r="NMP362" s="633">
        <v>3172108.3800000018</v>
      </c>
      <c r="NMQ362" s="633">
        <v>3430726.5900000026</v>
      </c>
      <c r="NMR362" s="633">
        <v>3636289.9099999997</v>
      </c>
      <c r="NMS362" s="633">
        <v>3606558.6500000022</v>
      </c>
      <c r="NMT362" s="633">
        <v>3549118.4400000018</v>
      </c>
      <c r="NMU362" s="634">
        <v>39996846</v>
      </c>
      <c r="NMV362" s="633">
        <f>SUM(NMI362:NMT362)</f>
        <v>39996846.150000013</v>
      </c>
      <c r="NMW362" s="631" t="s">
        <v>1836</v>
      </c>
      <c r="NMX362" s="632" t="s">
        <v>1673</v>
      </c>
      <c r="NMY362" s="633">
        <v>3470702.0100000007</v>
      </c>
      <c r="NMZ362" s="633">
        <v>3448347.94</v>
      </c>
      <c r="NNA362" s="633">
        <v>3398526.4800000009</v>
      </c>
      <c r="NNB362" s="633">
        <v>2159854.59</v>
      </c>
      <c r="NNC362" s="633">
        <v>3563316.060000001</v>
      </c>
      <c r="NND362" s="633">
        <v>3305610.92</v>
      </c>
      <c r="NNE362" s="633">
        <v>3255686.1799999992</v>
      </c>
      <c r="NNF362" s="633">
        <v>3172108.3800000018</v>
      </c>
      <c r="NNG362" s="633">
        <v>3430726.5900000026</v>
      </c>
      <c r="NNH362" s="633">
        <v>3636289.9099999997</v>
      </c>
      <c r="NNI362" s="633">
        <v>3606558.6500000022</v>
      </c>
      <c r="NNJ362" s="633">
        <v>3549118.4400000018</v>
      </c>
      <c r="NNK362" s="634">
        <v>39996846</v>
      </c>
      <c r="NNL362" s="633">
        <f>SUM(NMY362:NNJ362)</f>
        <v>39996846.150000013</v>
      </c>
      <c r="NNM362" s="631" t="s">
        <v>1836</v>
      </c>
      <c r="NNN362" s="632" t="s">
        <v>1673</v>
      </c>
      <c r="NNO362" s="633">
        <v>3470702.0100000007</v>
      </c>
      <c r="NNP362" s="633">
        <v>3448347.94</v>
      </c>
      <c r="NNQ362" s="633">
        <v>3398526.4800000009</v>
      </c>
      <c r="NNR362" s="633">
        <v>2159854.59</v>
      </c>
      <c r="NNS362" s="633">
        <v>3563316.060000001</v>
      </c>
      <c r="NNT362" s="633">
        <v>3305610.92</v>
      </c>
      <c r="NNU362" s="633">
        <v>3255686.1799999992</v>
      </c>
      <c r="NNV362" s="633">
        <v>3172108.3800000018</v>
      </c>
      <c r="NNW362" s="633">
        <v>3430726.5900000026</v>
      </c>
      <c r="NNX362" s="633">
        <v>3636289.9099999997</v>
      </c>
      <c r="NNY362" s="633">
        <v>3606558.6500000022</v>
      </c>
      <c r="NNZ362" s="633">
        <v>3549118.4400000018</v>
      </c>
      <c r="NOA362" s="634">
        <v>39996846</v>
      </c>
      <c r="NOB362" s="633">
        <f>SUM(NNO362:NNZ362)</f>
        <v>39996846.150000013</v>
      </c>
      <c r="NOC362" s="631" t="s">
        <v>1836</v>
      </c>
      <c r="NOD362" s="632" t="s">
        <v>1673</v>
      </c>
      <c r="NOE362" s="633">
        <v>3470702.0100000007</v>
      </c>
      <c r="NOF362" s="633">
        <v>3448347.94</v>
      </c>
      <c r="NOG362" s="633">
        <v>3398526.4800000009</v>
      </c>
      <c r="NOH362" s="633">
        <v>2159854.59</v>
      </c>
      <c r="NOI362" s="633">
        <v>3563316.060000001</v>
      </c>
      <c r="NOJ362" s="633">
        <v>3305610.92</v>
      </c>
      <c r="NOK362" s="633">
        <v>3255686.1799999992</v>
      </c>
      <c r="NOL362" s="633">
        <v>3172108.3800000018</v>
      </c>
      <c r="NOM362" s="633">
        <v>3430726.5900000026</v>
      </c>
      <c r="NON362" s="633">
        <v>3636289.9099999997</v>
      </c>
      <c r="NOO362" s="633">
        <v>3606558.6500000022</v>
      </c>
      <c r="NOP362" s="633">
        <v>3549118.4400000018</v>
      </c>
      <c r="NOQ362" s="634">
        <v>39996846</v>
      </c>
      <c r="NOR362" s="633">
        <f>SUM(NOE362:NOP362)</f>
        <v>39996846.150000013</v>
      </c>
      <c r="NOS362" s="631" t="s">
        <v>1836</v>
      </c>
      <c r="NOT362" s="632" t="s">
        <v>1673</v>
      </c>
      <c r="NOU362" s="633">
        <v>3470702.0100000007</v>
      </c>
      <c r="NOV362" s="633">
        <v>3448347.94</v>
      </c>
      <c r="NOW362" s="633">
        <v>3398526.4800000009</v>
      </c>
      <c r="NOX362" s="633">
        <v>2159854.59</v>
      </c>
      <c r="NOY362" s="633">
        <v>3563316.060000001</v>
      </c>
      <c r="NOZ362" s="633">
        <v>3305610.92</v>
      </c>
      <c r="NPA362" s="633">
        <v>3255686.1799999992</v>
      </c>
      <c r="NPB362" s="633">
        <v>3172108.3800000018</v>
      </c>
      <c r="NPC362" s="633">
        <v>3430726.5900000026</v>
      </c>
      <c r="NPD362" s="633">
        <v>3636289.9099999997</v>
      </c>
      <c r="NPE362" s="633">
        <v>3606558.6500000022</v>
      </c>
      <c r="NPF362" s="633">
        <v>3549118.4400000018</v>
      </c>
      <c r="NPG362" s="634">
        <v>39996846</v>
      </c>
      <c r="NPH362" s="633">
        <f>SUM(NOU362:NPF362)</f>
        <v>39996846.150000013</v>
      </c>
      <c r="NPI362" s="631" t="s">
        <v>1836</v>
      </c>
      <c r="NPJ362" s="632" t="s">
        <v>1673</v>
      </c>
      <c r="NPK362" s="633">
        <v>3470702.0100000007</v>
      </c>
      <c r="NPL362" s="633">
        <v>3448347.94</v>
      </c>
      <c r="NPM362" s="633">
        <v>3398526.4800000009</v>
      </c>
      <c r="NPN362" s="633">
        <v>2159854.59</v>
      </c>
      <c r="NPO362" s="633">
        <v>3563316.060000001</v>
      </c>
      <c r="NPP362" s="633">
        <v>3305610.92</v>
      </c>
      <c r="NPQ362" s="633">
        <v>3255686.1799999992</v>
      </c>
      <c r="NPR362" s="633">
        <v>3172108.3800000018</v>
      </c>
      <c r="NPS362" s="633">
        <v>3430726.5900000026</v>
      </c>
      <c r="NPT362" s="633">
        <v>3636289.9099999997</v>
      </c>
      <c r="NPU362" s="633">
        <v>3606558.6500000022</v>
      </c>
      <c r="NPV362" s="633">
        <v>3549118.4400000018</v>
      </c>
      <c r="NPW362" s="634">
        <v>39996846</v>
      </c>
      <c r="NPX362" s="633">
        <f>SUM(NPK362:NPV362)</f>
        <v>39996846.150000013</v>
      </c>
      <c r="NPY362" s="631" t="s">
        <v>1836</v>
      </c>
      <c r="NPZ362" s="632" t="s">
        <v>1673</v>
      </c>
      <c r="NQA362" s="633">
        <v>3470702.0100000007</v>
      </c>
      <c r="NQB362" s="633">
        <v>3448347.94</v>
      </c>
      <c r="NQC362" s="633">
        <v>3398526.4800000009</v>
      </c>
      <c r="NQD362" s="633">
        <v>2159854.59</v>
      </c>
      <c r="NQE362" s="633">
        <v>3563316.060000001</v>
      </c>
      <c r="NQF362" s="633">
        <v>3305610.92</v>
      </c>
      <c r="NQG362" s="633">
        <v>3255686.1799999992</v>
      </c>
      <c r="NQH362" s="633">
        <v>3172108.3800000018</v>
      </c>
      <c r="NQI362" s="633">
        <v>3430726.5900000026</v>
      </c>
      <c r="NQJ362" s="633">
        <v>3636289.9099999997</v>
      </c>
      <c r="NQK362" s="633">
        <v>3606558.6500000022</v>
      </c>
      <c r="NQL362" s="633">
        <v>3549118.4400000018</v>
      </c>
      <c r="NQM362" s="634">
        <v>39996846</v>
      </c>
      <c r="NQN362" s="633">
        <f>SUM(NQA362:NQL362)</f>
        <v>39996846.150000013</v>
      </c>
      <c r="NQO362" s="631" t="s">
        <v>1836</v>
      </c>
      <c r="NQP362" s="632" t="s">
        <v>1673</v>
      </c>
      <c r="NQQ362" s="633">
        <v>3470702.0100000007</v>
      </c>
      <c r="NQR362" s="633">
        <v>3448347.94</v>
      </c>
      <c r="NQS362" s="633">
        <v>3398526.4800000009</v>
      </c>
      <c r="NQT362" s="633">
        <v>2159854.59</v>
      </c>
      <c r="NQU362" s="633">
        <v>3563316.060000001</v>
      </c>
      <c r="NQV362" s="633">
        <v>3305610.92</v>
      </c>
      <c r="NQW362" s="633">
        <v>3255686.1799999992</v>
      </c>
      <c r="NQX362" s="633">
        <v>3172108.3800000018</v>
      </c>
      <c r="NQY362" s="633">
        <v>3430726.5900000026</v>
      </c>
      <c r="NQZ362" s="633">
        <v>3636289.9099999997</v>
      </c>
      <c r="NRA362" s="633">
        <v>3606558.6500000022</v>
      </c>
      <c r="NRB362" s="633">
        <v>3549118.4400000018</v>
      </c>
      <c r="NRC362" s="634">
        <v>39996846</v>
      </c>
      <c r="NRD362" s="633">
        <f>SUM(NQQ362:NRB362)</f>
        <v>39996846.150000013</v>
      </c>
      <c r="NRE362" s="631" t="s">
        <v>1836</v>
      </c>
      <c r="NRF362" s="632" t="s">
        <v>1673</v>
      </c>
      <c r="NRG362" s="633">
        <v>3470702.0100000007</v>
      </c>
      <c r="NRH362" s="633">
        <v>3448347.94</v>
      </c>
      <c r="NRI362" s="633">
        <v>3398526.4800000009</v>
      </c>
      <c r="NRJ362" s="633">
        <v>2159854.59</v>
      </c>
      <c r="NRK362" s="633">
        <v>3563316.060000001</v>
      </c>
      <c r="NRL362" s="633">
        <v>3305610.92</v>
      </c>
      <c r="NRM362" s="633">
        <v>3255686.1799999992</v>
      </c>
      <c r="NRN362" s="633">
        <v>3172108.3800000018</v>
      </c>
      <c r="NRO362" s="633">
        <v>3430726.5900000026</v>
      </c>
      <c r="NRP362" s="633">
        <v>3636289.9099999997</v>
      </c>
      <c r="NRQ362" s="633">
        <v>3606558.6500000022</v>
      </c>
      <c r="NRR362" s="633">
        <v>3549118.4400000018</v>
      </c>
      <c r="NRS362" s="634">
        <v>39996846</v>
      </c>
      <c r="NRT362" s="633">
        <f>SUM(NRG362:NRR362)</f>
        <v>39996846.150000013</v>
      </c>
      <c r="NRU362" s="631" t="s">
        <v>1836</v>
      </c>
      <c r="NRV362" s="632" t="s">
        <v>1673</v>
      </c>
      <c r="NRW362" s="633">
        <v>3470702.0100000007</v>
      </c>
      <c r="NRX362" s="633">
        <v>3448347.94</v>
      </c>
      <c r="NRY362" s="633">
        <v>3398526.4800000009</v>
      </c>
      <c r="NRZ362" s="633">
        <v>2159854.59</v>
      </c>
      <c r="NSA362" s="633">
        <v>3563316.060000001</v>
      </c>
      <c r="NSB362" s="633">
        <v>3305610.92</v>
      </c>
      <c r="NSC362" s="633">
        <v>3255686.1799999992</v>
      </c>
      <c r="NSD362" s="633">
        <v>3172108.3800000018</v>
      </c>
      <c r="NSE362" s="633">
        <v>3430726.5900000026</v>
      </c>
      <c r="NSF362" s="633">
        <v>3636289.9099999997</v>
      </c>
      <c r="NSG362" s="633">
        <v>3606558.6500000022</v>
      </c>
      <c r="NSH362" s="633">
        <v>3549118.4400000018</v>
      </c>
      <c r="NSI362" s="634">
        <v>39996846</v>
      </c>
      <c r="NSJ362" s="633">
        <f>SUM(NRW362:NSH362)</f>
        <v>39996846.150000013</v>
      </c>
      <c r="NSK362" s="631" t="s">
        <v>1836</v>
      </c>
      <c r="NSL362" s="632" t="s">
        <v>1673</v>
      </c>
      <c r="NSM362" s="633">
        <v>3470702.0100000007</v>
      </c>
      <c r="NSN362" s="633">
        <v>3448347.94</v>
      </c>
      <c r="NSO362" s="633">
        <v>3398526.4800000009</v>
      </c>
      <c r="NSP362" s="633">
        <v>2159854.59</v>
      </c>
      <c r="NSQ362" s="633">
        <v>3563316.060000001</v>
      </c>
      <c r="NSR362" s="633">
        <v>3305610.92</v>
      </c>
      <c r="NSS362" s="633">
        <v>3255686.1799999992</v>
      </c>
      <c r="NST362" s="633">
        <v>3172108.3800000018</v>
      </c>
      <c r="NSU362" s="633">
        <v>3430726.5900000026</v>
      </c>
      <c r="NSV362" s="633">
        <v>3636289.9099999997</v>
      </c>
      <c r="NSW362" s="633">
        <v>3606558.6500000022</v>
      </c>
      <c r="NSX362" s="633">
        <v>3549118.4400000018</v>
      </c>
      <c r="NSY362" s="634">
        <v>39996846</v>
      </c>
      <c r="NSZ362" s="633">
        <f>SUM(NSM362:NSX362)</f>
        <v>39996846.150000013</v>
      </c>
      <c r="NTA362" s="631" t="s">
        <v>1836</v>
      </c>
      <c r="NTB362" s="632" t="s">
        <v>1673</v>
      </c>
      <c r="NTC362" s="633">
        <v>3470702.0100000007</v>
      </c>
      <c r="NTD362" s="633">
        <v>3448347.94</v>
      </c>
      <c r="NTE362" s="633">
        <v>3398526.4800000009</v>
      </c>
      <c r="NTF362" s="633">
        <v>2159854.59</v>
      </c>
      <c r="NTG362" s="633">
        <v>3563316.060000001</v>
      </c>
      <c r="NTH362" s="633">
        <v>3305610.92</v>
      </c>
      <c r="NTI362" s="633">
        <v>3255686.1799999992</v>
      </c>
      <c r="NTJ362" s="633">
        <v>3172108.3800000018</v>
      </c>
      <c r="NTK362" s="633">
        <v>3430726.5900000026</v>
      </c>
      <c r="NTL362" s="633">
        <v>3636289.9099999997</v>
      </c>
      <c r="NTM362" s="633">
        <v>3606558.6500000022</v>
      </c>
      <c r="NTN362" s="633">
        <v>3549118.4400000018</v>
      </c>
      <c r="NTO362" s="634">
        <v>39996846</v>
      </c>
      <c r="NTP362" s="633">
        <f>SUM(NTC362:NTN362)</f>
        <v>39996846.150000013</v>
      </c>
      <c r="NTQ362" s="631" t="s">
        <v>1836</v>
      </c>
      <c r="NTR362" s="632" t="s">
        <v>1673</v>
      </c>
      <c r="NTS362" s="633">
        <v>3470702.0100000007</v>
      </c>
      <c r="NTT362" s="633">
        <v>3448347.94</v>
      </c>
      <c r="NTU362" s="633">
        <v>3398526.4800000009</v>
      </c>
      <c r="NTV362" s="633">
        <v>2159854.59</v>
      </c>
      <c r="NTW362" s="633">
        <v>3563316.060000001</v>
      </c>
      <c r="NTX362" s="633">
        <v>3305610.92</v>
      </c>
      <c r="NTY362" s="633">
        <v>3255686.1799999992</v>
      </c>
      <c r="NTZ362" s="633">
        <v>3172108.3800000018</v>
      </c>
      <c r="NUA362" s="633">
        <v>3430726.5900000026</v>
      </c>
      <c r="NUB362" s="633">
        <v>3636289.9099999997</v>
      </c>
      <c r="NUC362" s="633">
        <v>3606558.6500000022</v>
      </c>
      <c r="NUD362" s="633">
        <v>3549118.4400000018</v>
      </c>
      <c r="NUE362" s="634">
        <v>39996846</v>
      </c>
      <c r="NUF362" s="633">
        <f>SUM(NTS362:NUD362)</f>
        <v>39996846.150000013</v>
      </c>
      <c r="NUG362" s="631" t="s">
        <v>1836</v>
      </c>
      <c r="NUH362" s="632" t="s">
        <v>1673</v>
      </c>
      <c r="NUI362" s="633">
        <v>3470702.0100000007</v>
      </c>
      <c r="NUJ362" s="633">
        <v>3448347.94</v>
      </c>
      <c r="NUK362" s="633">
        <v>3398526.4800000009</v>
      </c>
      <c r="NUL362" s="633">
        <v>2159854.59</v>
      </c>
      <c r="NUM362" s="633">
        <v>3563316.060000001</v>
      </c>
      <c r="NUN362" s="633">
        <v>3305610.92</v>
      </c>
      <c r="NUO362" s="633">
        <v>3255686.1799999992</v>
      </c>
      <c r="NUP362" s="633">
        <v>3172108.3800000018</v>
      </c>
      <c r="NUQ362" s="633">
        <v>3430726.5900000026</v>
      </c>
      <c r="NUR362" s="633">
        <v>3636289.9099999997</v>
      </c>
      <c r="NUS362" s="633">
        <v>3606558.6500000022</v>
      </c>
      <c r="NUT362" s="633">
        <v>3549118.4400000018</v>
      </c>
      <c r="NUU362" s="634">
        <v>39996846</v>
      </c>
      <c r="NUV362" s="633">
        <f>SUM(NUI362:NUT362)</f>
        <v>39996846.150000013</v>
      </c>
      <c r="NUW362" s="631" t="s">
        <v>1836</v>
      </c>
      <c r="NUX362" s="632" t="s">
        <v>1673</v>
      </c>
      <c r="NUY362" s="633">
        <v>3470702.0100000007</v>
      </c>
      <c r="NUZ362" s="633">
        <v>3448347.94</v>
      </c>
      <c r="NVA362" s="633">
        <v>3398526.4800000009</v>
      </c>
      <c r="NVB362" s="633">
        <v>2159854.59</v>
      </c>
      <c r="NVC362" s="633">
        <v>3563316.060000001</v>
      </c>
      <c r="NVD362" s="633">
        <v>3305610.92</v>
      </c>
      <c r="NVE362" s="633">
        <v>3255686.1799999992</v>
      </c>
      <c r="NVF362" s="633">
        <v>3172108.3800000018</v>
      </c>
      <c r="NVG362" s="633">
        <v>3430726.5900000026</v>
      </c>
      <c r="NVH362" s="633">
        <v>3636289.9099999997</v>
      </c>
      <c r="NVI362" s="633">
        <v>3606558.6500000022</v>
      </c>
      <c r="NVJ362" s="633">
        <v>3549118.4400000018</v>
      </c>
      <c r="NVK362" s="634">
        <v>39996846</v>
      </c>
      <c r="NVL362" s="633">
        <f>SUM(NUY362:NVJ362)</f>
        <v>39996846.150000013</v>
      </c>
      <c r="NVM362" s="631" t="s">
        <v>1836</v>
      </c>
      <c r="NVN362" s="632" t="s">
        <v>1673</v>
      </c>
      <c r="NVO362" s="633">
        <v>3470702.0100000007</v>
      </c>
      <c r="NVP362" s="633">
        <v>3448347.94</v>
      </c>
      <c r="NVQ362" s="633">
        <v>3398526.4800000009</v>
      </c>
      <c r="NVR362" s="633">
        <v>2159854.59</v>
      </c>
      <c r="NVS362" s="633">
        <v>3563316.060000001</v>
      </c>
      <c r="NVT362" s="633">
        <v>3305610.92</v>
      </c>
      <c r="NVU362" s="633">
        <v>3255686.1799999992</v>
      </c>
      <c r="NVV362" s="633">
        <v>3172108.3800000018</v>
      </c>
      <c r="NVW362" s="633">
        <v>3430726.5900000026</v>
      </c>
      <c r="NVX362" s="633">
        <v>3636289.9099999997</v>
      </c>
      <c r="NVY362" s="633">
        <v>3606558.6500000022</v>
      </c>
      <c r="NVZ362" s="633">
        <v>3549118.4400000018</v>
      </c>
      <c r="NWA362" s="634">
        <v>39996846</v>
      </c>
      <c r="NWB362" s="633">
        <f>SUM(NVO362:NVZ362)</f>
        <v>39996846.150000013</v>
      </c>
      <c r="NWC362" s="631" t="s">
        <v>1836</v>
      </c>
      <c r="NWD362" s="632" t="s">
        <v>1673</v>
      </c>
      <c r="NWE362" s="633">
        <v>3470702.0100000007</v>
      </c>
      <c r="NWF362" s="633">
        <v>3448347.94</v>
      </c>
      <c r="NWG362" s="633">
        <v>3398526.4800000009</v>
      </c>
      <c r="NWH362" s="633">
        <v>2159854.59</v>
      </c>
      <c r="NWI362" s="633">
        <v>3563316.060000001</v>
      </c>
      <c r="NWJ362" s="633">
        <v>3305610.92</v>
      </c>
      <c r="NWK362" s="633">
        <v>3255686.1799999992</v>
      </c>
      <c r="NWL362" s="633">
        <v>3172108.3800000018</v>
      </c>
      <c r="NWM362" s="633">
        <v>3430726.5900000026</v>
      </c>
      <c r="NWN362" s="633">
        <v>3636289.9099999997</v>
      </c>
      <c r="NWO362" s="633">
        <v>3606558.6500000022</v>
      </c>
      <c r="NWP362" s="633">
        <v>3549118.4400000018</v>
      </c>
      <c r="NWQ362" s="634">
        <v>39996846</v>
      </c>
      <c r="NWR362" s="633">
        <f>SUM(NWE362:NWP362)</f>
        <v>39996846.150000013</v>
      </c>
      <c r="NWS362" s="631" t="s">
        <v>1836</v>
      </c>
      <c r="NWT362" s="632" t="s">
        <v>1673</v>
      </c>
      <c r="NWU362" s="633">
        <v>3470702.0100000007</v>
      </c>
      <c r="NWV362" s="633">
        <v>3448347.94</v>
      </c>
      <c r="NWW362" s="633">
        <v>3398526.4800000009</v>
      </c>
      <c r="NWX362" s="633">
        <v>2159854.59</v>
      </c>
      <c r="NWY362" s="633">
        <v>3563316.060000001</v>
      </c>
      <c r="NWZ362" s="633">
        <v>3305610.92</v>
      </c>
      <c r="NXA362" s="633">
        <v>3255686.1799999992</v>
      </c>
      <c r="NXB362" s="633">
        <v>3172108.3800000018</v>
      </c>
      <c r="NXC362" s="633">
        <v>3430726.5900000026</v>
      </c>
      <c r="NXD362" s="633">
        <v>3636289.9099999997</v>
      </c>
      <c r="NXE362" s="633">
        <v>3606558.6500000022</v>
      </c>
      <c r="NXF362" s="633">
        <v>3549118.4400000018</v>
      </c>
      <c r="NXG362" s="634">
        <v>39996846</v>
      </c>
      <c r="NXH362" s="633">
        <f>SUM(NWU362:NXF362)</f>
        <v>39996846.150000013</v>
      </c>
      <c r="NXI362" s="631" t="s">
        <v>1836</v>
      </c>
      <c r="NXJ362" s="632" t="s">
        <v>1673</v>
      </c>
      <c r="NXK362" s="633">
        <v>3470702.0100000007</v>
      </c>
      <c r="NXL362" s="633">
        <v>3448347.94</v>
      </c>
      <c r="NXM362" s="633">
        <v>3398526.4800000009</v>
      </c>
      <c r="NXN362" s="633">
        <v>2159854.59</v>
      </c>
      <c r="NXO362" s="633">
        <v>3563316.060000001</v>
      </c>
      <c r="NXP362" s="633">
        <v>3305610.92</v>
      </c>
      <c r="NXQ362" s="633">
        <v>3255686.1799999992</v>
      </c>
      <c r="NXR362" s="633">
        <v>3172108.3800000018</v>
      </c>
      <c r="NXS362" s="633">
        <v>3430726.5900000026</v>
      </c>
      <c r="NXT362" s="633">
        <v>3636289.9099999997</v>
      </c>
      <c r="NXU362" s="633">
        <v>3606558.6500000022</v>
      </c>
      <c r="NXV362" s="633">
        <v>3549118.4400000018</v>
      </c>
      <c r="NXW362" s="634">
        <v>39996846</v>
      </c>
      <c r="NXX362" s="633">
        <f>SUM(NXK362:NXV362)</f>
        <v>39996846.150000013</v>
      </c>
      <c r="NXY362" s="631" t="s">
        <v>1836</v>
      </c>
      <c r="NXZ362" s="632" t="s">
        <v>1673</v>
      </c>
      <c r="NYA362" s="633">
        <v>3470702.0100000007</v>
      </c>
      <c r="NYB362" s="633">
        <v>3448347.94</v>
      </c>
      <c r="NYC362" s="633">
        <v>3398526.4800000009</v>
      </c>
      <c r="NYD362" s="633">
        <v>2159854.59</v>
      </c>
      <c r="NYE362" s="633">
        <v>3563316.060000001</v>
      </c>
      <c r="NYF362" s="633">
        <v>3305610.92</v>
      </c>
      <c r="NYG362" s="633">
        <v>3255686.1799999992</v>
      </c>
      <c r="NYH362" s="633">
        <v>3172108.3800000018</v>
      </c>
      <c r="NYI362" s="633">
        <v>3430726.5900000026</v>
      </c>
      <c r="NYJ362" s="633">
        <v>3636289.9099999997</v>
      </c>
      <c r="NYK362" s="633">
        <v>3606558.6500000022</v>
      </c>
      <c r="NYL362" s="633">
        <v>3549118.4400000018</v>
      </c>
      <c r="NYM362" s="634">
        <v>39996846</v>
      </c>
      <c r="NYN362" s="633">
        <f>SUM(NYA362:NYL362)</f>
        <v>39996846.150000013</v>
      </c>
      <c r="NYO362" s="631" t="s">
        <v>1836</v>
      </c>
      <c r="NYP362" s="632" t="s">
        <v>1673</v>
      </c>
      <c r="NYQ362" s="633">
        <v>3470702.0100000007</v>
      </c>
      <c r="NYR362" s="633">
        <v>3448347.94</v>
      </c>
      <c r="NYS362" s="633">
        <v>3398526.4800000009</v>
      </c>
      <c r="NYT362" s="633">
        <v>2159854.59</v>
      </c>
      <c r="NYU362" s="633">
        <v>3563316.060000001</v>
      </c>
      <c r="NYV362" s="633">
        <v>3305610.92</v>
      </c>
      <c r="NYW362" s="633">
        <v>3255686.1799999992</v>
      </c>
      <c r="NYX362" s="633">
        <v>3172108.3800000018</v>
      </c>
      <c r="NYY362" s="633">
        <v>3430726.5900000026</v>
      </c>
      <c r="NYZ362" s="633">
        <v>3636289.9099999997</v>
      </c>
      <c r="NZA362" s="633">
        <v>3606558.6500000022</v>
      </c>
      <c r="NZB362" s="633">
        <v>3549118.4400000018</v>
      </c>
      <c r="NZC362" s="634">
        <v>39996846</v>
      </c>
      <c r="NZD362" s="633">
        <f>SUM(NYQ362:NZB362)</f>
        <v>39996846.150000013</v>
      </c>
      <c r="NZE362" s="631" t="s">
        <v>1836</v>
      </c>
      <c r="NZF362" s="632" t="s">
        <v>1673</v>
      </c>
      <c r="NZG362" s="633">
        <v>3470702.0100000007</v>
      </c>
      <c r="NZH362" s="633">
        <v>3448347.94</v>
      </c>
      <c r="NZI362" s="633">
        <v>3398526.4800000009</v>
      </c>
      <c r="NZJ362" s="633">
        <v>2159854.59</v>
      </c>
      <c r="NZK362" s="633">
        <v>3563316.060000001</v>
      </c>
      <c r="NZL362" s="633">
        <v>3305610.92</v>
      </c>
      <c r="NZM362" s="633">
        <v>3255686.1799999992</v>
      </c>
      <c r="NZN362" s="633">
        <v>3172108.3800000018</v>
      </c>
      <c r="NZO362" s="633">
        <v>3430726.5900000026</v>
      </c>
      <c r="NZP362" s="633">
        <v>3636289.9099999997</v>
      </c>
      <c r="NZQ362" s="633">
        <v>3606558.6500000022</v>
      </c>
      <c r="NZR362" s="633">
        <v>3549118.4400000018</v>
      </c>
      <c r="NZS362" s="634">
        <v>39996846</v>
      </c>
      <c r="NZT362" s="633">
        <f>SUM(NZG362:NZR362)</f>
        <v>39996846.150000013</v>
      </c>
      <c r="NZU362" s="631" t="s">
        <v>1836</v>
      </c>
      <c r="NZV362" s="632" t="s">
        <v>1673</v>
      </c>
      <c r="NZW362" s="633">
        <v>3470702.0100000007</v>
      </c>
      <c r="NZX362" s="633">
        <v>3448347.94</v>
      </c>
      <c r="NZY362" s="633">
        <v>3398526.4800000009</v>
      </c>
      <c r="NZZ362" s="633">
        <v>2159854.59</v>
      </c>
      <c r="OAA362" s="633">
        <v>3563316.060000001</v>
      </c>
      <c r="OAB362" s="633">
        <v>3305610.92</v>
      </c>
      <c r="OAC362" s="633">
        <v>3255686.1799999992</v>
      </c>
      <c r="OAD362" s="633">
        <v>3172108.3800000018</v>
      </c>
      <c r="OAE362" s="633">
        <v>3430726.5900000026</v>
      </c>
      <c r="OAF362" s="633">
        <v>3636289.9099999997</v>
      </c>
      <c r="OAG362" s="633">
        <v>3606558.6500000022</v>
      </c>
      <c r="OAH362" s="633">
        <v>3549118.4400000018</v>
      </c>
      <c r="OAI362" s="634">
        <v>39996846</v>
      </c>
      <c r="OAJ362" s="633">
        <f>SUM(NZW362:OAH362)</f>
        <v>39996846.150000013</v>
      </c>
      <c r="OAK362" s="631" t="s">
        <v>1836</v>
      </c>
      <c r="OAL362" s="632" t="s">
        <v>1673</v>
      </c>
      <c r="OAM362" s="633">
        <v>3470702.0100000007</v>
      </c>
      <c r="OAN362" s="633">
        <v>3448347.94</v>
      </c>
      <c r="OAO362" s="633">
        <v>3398526.4800000009</v>
      </c>
      <c r="OAP362" s="633">
        <v>2159854.59</v>
      </c>
      <c r="OAQ362" s="633">
        <v>3563316.060000001</v>
      </c>
      <c r="OAR362" s="633">
        <v>3305610.92</v>
      </c>
      <c r="OAS362" s="633">
        <v>3255686.1799999992</v>
      </c>
      <c r="OAT362" s="633">
        <v>3172108.3800000018</v>
      </c>
      <c r="OAU362" s="633">
        <v>3430726.5900000026</v>
      </c>
      <c r="OAV362" s="633">
        <v>3636289.9099999997</v>
      </c>
      <c r="OAW362" s="633">
        <v>3606558.6500000022</v>
      </c>
      <c r="OAX362" s="633">
        <v>3549118.4400000018</v>
      </c>
      <c r="OAY362" s="634">
        <v>39996846</v>
      </c>
      <c r="OAZ362" s="633">
        <f>SUM(OAM362:OAX362)</f>
        <v>39996846.150000013</v>
      </c>
      <c r="OBA362" s="631" t="s">
        <v>1836</v>
      </c>
      <c r="OBB362" s="632" t="s">
        <v>1673</v>
      </c>
      <c r="OBC362" s="633">
        <v>3470702.0100000007</v>
      </c>
      <c r="OBD362" s="633">
        <v>3448347.94</v>
      </c>
      <c r="OBE362" s="633">
        <v>3398526.4800000009</v>
      </c>
      <c r="OBF362" s="633">
        <v>2159854.59</v>
      </c>
      <c r="OBG362" s="633">
        <v>3563316.060000001</v>
      </c>
      <c r="OBH362" s="633">
        <v>3305610.92</v>
      </c>
      <c r="OBI362" s="633">
        <v>3255686.1799999992</v>
      </c>
      <c r="OBJ362" s="633">
        <v>3172108.3800000018</v>
      </c>
      <c r="OBK362" s="633">
        <v>3430726.5900000026</v>
      </c>
      <c r="OBL362" s="633">
        <v>3636289.9099999997</v>
      </c>
      <c r="OBM362" s="633">
        <v>3606558.6500000022</v>
      </c>
      <c r="OBN362" s="633">
        <v>3549118.4400000018</v>
      </c>
      <c r="OBO362" s="634">
        <v>39996846</v>
      </c>
      <c r="OBP362" s="633">
        <f>SUM(OBC362:OBN362)</f>
        <v>39996846.150000013</v>
      </c>
      <c r="OBQ362" s="631" t="s">
        <v>1836</v>
      </c>
      <c r="OBR362" s="632" t="s">
        <v>1673</v>
      </c>
      <c r="OBS362" s="633">
        <v>3470702.0100000007</v>
      </c>
      <c r="OBT362" s="633">
        <v>3448347.94</v>
      </c>
      <c r="OBU362" s="633">
        <v>3398526.4800000009</v>
      </c>
      <c r="OBV362" s="633">
        <v>2159854.59</v>
      </c>
      <c r="OBW362" s="633">
        <v>3563316.060000001</v>
      </c>
      <c r="OBX362" s="633">
        <v>3305610.92</v>
      </c>
      <c r="OBY362" s="633">
        <v>3255686.1799999992</v>
      </c>
      <c r="OBZ362" s="633">
        <v>3172108.3800000018</v>
      </c>
      <c r="OCA362" s="633">
        <v>3430726.5900000026</v>
      </c>
      <c r="OCB362" s="633">
        <v>3636289.9099999997</v>
      </c>
      <c r="OCC362" s="633">
        <v>3606558.6500000022</v>
      </c>
      <c r="OCD362" s="633">
        <v>3549118.4400000018</v>
      </c>
      <c r="OCE362" s="634">
        <v>39996846</v>
      </c>
      <c r="OCF362" s="633">
        <f>SUM(OBS362:OCD362)</f>
        <v>39996846.150000013</v>
      </c>
      <c r="OCG362" s="631" t="s">
        <v>1836</v>
      </c>
      <c r="OCH362" s="632" t="s">
        <v>1673</v>
      </c>
      <c r="OCI362" s="633">
        <v>3470702.0100000007</v>
      </c>
      <c r="OCJ362" s="633">
        <v>3448347.94</v>
      </c>
      <c r="OCK362" s="633">
        <v>3398526.4800000009</v>
      </c>
      <c r="OCL362" s="633">
        <v>2159854.59</v>
      </c>
      <c r="OCM362" s="633">
        <v>3563316.060000001</v>
      </c>
      <c r="OCN362" s="633">
        <v>3305610.92</v>
      </c>
      <c r="OCO362" s="633">
        <v>3255686.1799999992</v>
      </c>
      <c r="OCP362" s="633">
        <v>3172108.3800000018</v>
      </c>
      <c r="OCQ362" s="633">
        <v>3430726.5900000026</v>
      </c>
      <c r="OCR362" s="633">
        <v>3636289.9099999997</v>
      </c>
      <c r="OCS362" s="633">
        <v>3606558.6500000022</v>
      </c>
      <c r="OCT362" s="633">
        <v>3549118.4400000018</v>
      </c>
      <c r="OCU362" s="634">
        <v>39996846</v>
      </c>
      <c r="OCV362" s="633">
        <f>SUM(OCI362:OCT362)</f>
        <v>39996846.150000013</v>
      </c>
      <c r="OCW362" s="631" t="s">
        <v>1836</v>
      </c>
      <c r="OCX362" s="632" t="s">
        <v>1673</v>
      </c>
      <c r="OCY362" s="633">
        <v>3470702.0100000007</v>
      </c>
      <c r="OCZ362" s="633">
        <v>3448347.94</v>
      </c>
      <c r="ODA362" s="633">
        <v>3398526.4800000009</v>
      </c>
      <c r="ODB362" s="633">
        <v>2159854.59</v>
      </c>
      <c r="ODC362" s="633">
        <v>3563316.060000001</v>
      </c>
      <c r="ODD362" s="633">
        <v>3305610.92</v>
      </c>
      <c r="ODE362" s="633">
        <v>3255686.1799999992</v>
      </c>
      <c r="ODF362" s="633">
        <v>3172108.3800000018</v>
      </c>
      <c r="ODG362" s="633">
        <v>3430726.5900000026</v>
      </c>
      <c r="ODH362" s="633">
        <v>3636289.9099999997</v>
      </c>
      <c r="ODI362" s="633">
        <v>3606558.6500000022</v>
      </c>
      <c r="ODJ362" s="633">
        <v>3549118.4400000018</v>
      </c>
      <c r="ODK362" s="634">
        <v>39996846</v>
      </c>
      <c r="ODL362" s="633">
        <f>SUM(OCY362:ODJ362)</f>
        <v>39996846.150000013</v>
      </c>
      <c r="ODM362" s="631" t="s">
        <v>1836</v>
      </c>
      <c r="ODN362" s="632" t="s">
        <v>1673</v>
      </c>
      <c r="ODO362" s="633">
        <v>3470702.0100000007</v>
      </c>
      <c r="ODP362" s="633">
        <v>3448347.94</v>
      </c>
      <c r="ODQ362" s="633">
        <v>3398526.4800000009</v>
      </c>
      <c r="ODR362" s="633">
        <v>2159854.59</v>
      </c>
      <c r="ODS362" s="633">
        <v>3563316.060000001</v>
      </c>
      <c r="ODT362" s="633">
        <v>3305610.92</v>
      </c>
      <c r="ODU362" s="633">
        <v>3255686.1799999992</v>
      </c>
      <c r="ODV362" s="633">
        <v>3172108.3800000018</v>
      </c>
      <c r="ODW362" s="633">
        <v>3430726.5900000026</v>
      </c>
      <c r="ODX362" s="633">
        <v>3636289.9099999997</v>
      </c>
      <c r="ODY362" s="633">
        <v>3606558.6500000022</v>
      </c>
      <c r="ODZ362" s="633">
        <v>3549118.4400000018</v>
      </c>
      <c r="OEA362" s="634">
        <v>39996846</v>
      </c>
      <c r="OEB362" s="633">
        <f>SUM(ODO362:ODZ362)</f>
        <v>39996846.150000013</v>
      </c>
      <c r="OEC362" s="631" t="s">
        <v>1836</v>
      </c>
      <c r="OED362" s="632" t="s">
        <v>1673</v>
      </c>
      <c r="OEE362" s="633">
        <v>3470702.0100000007</v>
      </c>
      <c r="OEF362" s="633">
        <v>3448347.94</v>
      </c>
      <c r="OEG362" s="633">
        <v>3398526.4800000009</v>
      </c>
      <c r="OEH362" s="633">
        <v>2159854.59</v>
      </c>
      <c r="OEI362" s="633">
        <v>3563316.060000001</v>
      </c>
      <c r="OEJ362" s="633">
        <v>3305610.92</v>
      </c>
      <c r="OEK362" s="633">
        <v>3255686.1799999992</v>
      </c>
      <c r="OEL362" s="633">
        <v>3172108.3800000018</v>
      </c>
      <c r="OEM362" s="633">
        <v>3430726.5900000026</v>
      </c>
      <c r="OEN362" s="633">
        <v>3636289.9099999997</v>
      </c>
      <c r="OEO362" s="633">
        <v>3606558.6500000022</v>
      </c>
      <c r="OEP362" s="633">
        <v>3549118.4400000018</v>
      </c>
      <c r="OEQ362" s="634">
        <v>39996846</v>
      </c>
      <c r="OER362" s="633">
        <f>SUM(OEE362:OEP362)</f>
        <v>39996846.150000013</v>
      </c>
      <c r="OES362" s="631" t="s">
        <v>1836</v>
      </c>
      <c r="OET362" s="632" t="s">
        <v>1673</v>
      </c>
      <c r="OEU362" s="633">
        <v>3470702.0100000007</v>
      </c>
      <c r="OEV362" s="633">
        <v>3448347.94</v>
      </c>
      <c r="OEW362" s="633">
        <v>3398526.4800000009</v>
      </c>
      <c r="OEX362" s="633">
        <v>2159854.59</v>
      </c>
      <c r="OEY362" s="633">
        <v>3563316.060000001</v>
      </c>
      <c r="OEZ362" s="633">
        <v>3305610.92</v>
      </c>
      <c r="OFA362" s="633">
        <v>3255686.1799999992</v>
      </c>
      <c r="OFB362" s="633">
        <v>3172108.3800000018</v>
      </c>
      <c r="OFC362" s="633">
        <v>3430726.5900000026</v>
      </c>
      <c r="OFD362" s="633">
        <v>3636289.9099999997</v>
      </c>
      <c r="OFE362" s="633">
        <v>3606558.6500000022</v>
      </c>
      <c r="OFF362" s="633">
        <v>3549118.4400000018</v>
      </c>
      <c r="OFG362" s="634">
        <v>39996846</v>
      </c>
      <c r="OFH362" s="633">
        <f>SUM(OEU362:OFF362)</f>
        <v>39996846.150000013</v>
      </c>
      <c r="OFI362" s="631" t="s">
        <v>1836</v>
      </c>
      <c r="OFJ362" s="632" t="s">
        <v>1673</v>
      </c>
      <c r="OFK362" s="633">
        <v>3470702.0100000007</v>
      </c>
      <c r="OFL362" s="633">
        <v>3448347.94</v>
      </c>
      <c r="OFM362" s="633">
        <v>3398526.4800000009</v>
      </c>
      <c r="OFN362" s="633">
        <v>2159854.59</v>
      </c>
      <c r="OFO362" s="633">
        <v>3563316.060000001</v>
      </c>
      <c r="OFP362" s="633">
        <v>3305610.92</v>
      </c>
      <c r="OFQ362" s="633">
        <v>3255686.1799999992</v>
      </c>
      <c r="OFR362" s="633">
        <v>3172108.3800000018</v>
      </c>
      <c r="OFS362" s="633">
        <v>3430726.5900000026</v>
      </c>
      <c r="OFT362" s="633">
        <v>3636289.9099999997</v>
      </c>
      <c r="OFU362" s="633">
        <v>3606558.6500000022</v>
      </c>
      <c r="OFV362" s="633">
        <v>3549118.4400000018</v>
      </c>
      <c r="OFW362" s="634">
        <v>39996846</v>
      </c>
      <c r="OFX362" s="633">
        <f>SUM(OFK362:OFV362)</f>
        <v>39996846.150000013</v>
      </c>
      <c r="OFY362" s="631" t="s">
        <v>1836</v>
      </c>
      <c r="OFZ362" s="632" t="s">
        <v>1673</v>
      </c>
      <c r="OGA362" s="633">
        <v>3470702.0100000007</v>
      </c>
      <c r="OGB362" s="633">
        <v>3448347.94</v>
      </c>
      <c r="OGC362" s="633">
        <v>3398526.4800000009</v>
      </c>
      <c r="OGD362" s="633">
        <v>2159854.59</v>
      </c>
      <c r="OGE362" s="633">
        <v>3563316.060000001</v>
      </c>
      <c r="OGF362" s="633">
        <v>3305610.92</v>
      </c>
      <c r="OGG362" s="633">
        <v>3255686.1799999992</v>
      </c>
      <c r="OGH362" s="633">
        <v>3172108.3800000018</v>
      </c>
      <c r="OGI362" s="633">
        <v>3430726.5900000026</v>
      </c>
      <c r="OGJ362" s="633">
        <v>3636289.9099999997</v>
      </c>
      <c r="OGK362" s="633">
        <v>3606558.6500000022</v>
      </c>
      <c r="OGL362" s="633">
        <v>3549118.4400000018</v>
      </c>
      <c r="OGM362" s="634">
        <v>39996846</v>
      </c>
      <c r="OGN362" s="633">
        <f>SUM(OGA362:OGL362)</f>
        <v>39996846.150000013</v>
      </c>
      <c r="OGO362" s="631" t="s">
        <v>1836</v>
      </c>
      <c r="OGP362" s="632" t="s">
        <v>1673</v>
      </c>
      <c r="OGQ362" s="633">
        <v>3470702.0100000007</v>
      </c>
      <c r="OGR362" s="633">
        <v>3448347.94</v>
      </c>
      <c r="OGS362" s="633">
        <v>3398526.4800000009</v>
      </c>
      <c r="OGT362" s="633">
        <v>2159854.59</v>
      </c>
      <c r="OGU362" s="633">
        <v>3563316.060000001</v>
      </c>
      <c r="OGV362" s="633">
        <v>3305610.92</v>
      </c>
      <c r="OGW362" s="633">
        <v>3255686.1799999992</v>
      </c>
      <c r="OGX362" s="633">
        <v>3172108.3800000018</v>
      </c>
      <c r="OGY362" s="633">
        <v>3430726.5900000026</v>
      </c>
      <c r="OGZ362" s="633">
        <v>3636289.9099999997</v>
      </c>
      <c r="OHA362" s="633">
        <v>3606558.6500000022</v>
      </c>
      <c r="OHB362" s="633">
        <v>3549118.4400000018</v>
      </c>
      <c r="OHC362" s="634">
        <v>39996846</v>
      </c>
      <c r="OHD362" s="633">
        <f>SUM(OGQ362:OHB362)</f>
        <v>39996846.150000013</v>
      </c>
      <c r="OHE362" s="631" t="s">
        <v>1836</v>
      </c>
      <c r="OHF362" s="632" t="s">
        <v>1673</v>
      </c>
      <c r="OHG362" s="633">
        <v>3470702.0100000007</v>
      </c>
      <c r="OHH362" s="633">
        <v>3448347.94</v>
      </c>
      <c r="OHI362" s="633">
        <v>3398526.4800000009</v>
      </c>
      <c r="OHJ362" s="633">
        <v>2159854.59</v>
      </c>
      <c r="OHK362" s="633">
        <v>3563316.060000001</v>
      </c>
      <c r="OHL362" s="633">
        <v>3305610.92</v>
      </c>
      <c r="OHM362" s="633">
        <v>3255686.1799999992</v>
      </c>
      <c r="OHN362" s="633">
        <v>3172108.3800000018</v>
      </c>
      <c r="OHO362" s="633">
        <v>3430726.5900000026</v>
      </c>
      <c r="OHP362" s="633">
        <v>3636289.9099999997</v>
      </c>
      <c r="OHQ362" s="633">
        <v>3606558.6500000022</v>
      </c>
      <c r="OHR362" s="633">
        <v>3549118.4400000018</v>
      </c>
      <c r="OHS362" s="634">
        <v>39996846</v>
      </c>
      <c r="OHT362" s="633">
        <f>SUM(OHG362:OHR362)</f>
        <v>39996846.150000013</v>
      </c>
      <c r="OHU362" s="631" t="s">
        <v>1836</v>
      </c>
      <c r="OHV362" s="632" t="s">
        <v>1673</v>
      </c>
      <c r="OHW362" s="633">
        <v>3470702.0100000007</v>
      </c>
      <c r="OHX362" s="633">
        <v>3448347.94</v>
      </c>
      <c r="OHY362" s="633">
        <v>3398526.4800000009</v>
      </c>
      <c r="OHZ362" s="633">
        <v>2159854.59</v>
      </c>
      <c r="OIA362" s="633">
        <v>3563316.060000001</v>
      </c>
      <c r="OIB362" s="633">
        <v>3305610.92</v>
      </c>
      <c r="OIC362" s="633">
        <v>3255686.1799999992</v>
      </c>
      <c r="OID362" s="633">
        <v>3172108.3800000018</v>
      </c>
      <c r="OIE362" s="633">
        <v>3430726.5900000026</v>
      </c>
      <c r="OIF362" s="633">
        <v>3636289.9099999997</v>
      </c>
      <c r="OIG362" s="633">
        <v>3606558.6500000022</v>
      </c>
      <c r="OIH362" s="633">
        <v>3549118.4400000018</v>
      </c>
      <c r="OII362" s="634">
        <v>39996846</v>
      </c>
      <c r="OIJ362" s="633">
        <f>SUM(OHW362:OIH362)</f>
        <v>39996846.150000013</v>
      </c>
      <c r="OIK362" s="631" t="s">
        <v>1836</v>
      </c>
      <c r="OIL362" s="632" t="s">
        <v>1673</v>
      </c>
      <c r="OIM362" s="633">
        <v>3470702.0100000007</v>
      </c>
      <c r="OIN362" s="633">
        <v>3448347.94</v>
      </c>
      <c r="OIO362" s="633">
        <v>3398526.4800000009</v>
      </c>
      <c r="OIP362" s="633">
        <v>2159854.59</v>
      </c>
      <c r="OIQ362" s="633">
        <v>3563316.060000001</v>
      </c>
      <c r="OIR362" s="633">
        <v>3305610.92</v>
      </c>
      <c r="OIS362" s="633">
        <v>3255686.1799999992</v>
      </c>
      <c r="OIT362" s="633">
        <v>3172108.3800000018</v>
      </c>
      <c r="OIU362" s="633">
        <v>3430726.5900000026</v>
      </c>
      <c r="OIV362" s="633">
        <v>3636289.9099999997</v>
      </c>
      <c r="OIW362" s="633">
        <v>3606558.6500000022</v>
      </c>
      <c r="OIX362" s="633">
        <v>3549118.4400000018</v>
      </c>
      <c r="OIY362" s="634">
        <v>39996846</v>
      </c>
      <c r="OIZ362" s="633">
        <f>SUM(OIM362:OIX362)</f>
        <v>39996846.150000013</v>
      </c>
      <c r="OJA362" s="631" t="s">
        <v>1836</v>
      </c>
      <c r="OJB362" s="632" t="s">
        <v>1673</v>
      </c>
      <c r="OJC362" s="633">
        <v>3470702.0100000007</v>
      </c>
      <c r="OJD362" s="633">
        <v>3448347.94</v>
      </c>
      <c r="OJE362" s="633">
        <v>3398526.4800000009</v>
      </c>
      <c r="OJF362" s="633">
        <v>2159854.59</v>
      </c>
      <c r="OJG362" s="633">
        <v>3563316.060000001</v>
      </c>
      <c r="OJH362" s="633">
        <v>3305610.92</v>
      </c>
      <c r="OJI362" s="633">
        <v>3255686.1799999992</v>
      </c>
      <c r="OJJ362" s="633">
        <v>3172108.3800000018</v>
      </c>
      <c r="OJK362" s="633">
        <v>3430726.5900000026</v>
      </c>
      <c r="OJL362" s="633">
        <v>3636289.9099999997</v>
      </c>
      <c r="OJM362" s="633">
        <v>3606558.6500000022</v>
      </c>
      <c r="OJN362" s="633">
        <v>3549118.4400000018</v>
      </c>
      <c r="OJO362" s="634">
        <v>39996846</v>
      </c>
      <c r="OJP362" s="633">
        <f>SUM(OJC362:OJN362)</f>
        <v>39996846.150000013</v>
      </c>
      <c r="OJQ362" s="631" t="s">
        <v>1836</v>
      </c>
      <c r="OJR362" s="632" t="s">
        <v>1673</v>
      </c>
      <c r="OJS362" s="633">
        <v>3470702.0100000007</v>
      </c>
      <c r="OJT362" s="633">
        <v>3448347.94</v>
      </c>
      <c r="OJU362" s="633">
        <v>3398526.4800000009</v>
      </c>
      <c r="OJV362" s="633">
        <v>2159854.59</v>
      </c>
      <c r="OJW362" s="633">
        <v>3563316.060000001</v>
      </c>
      <c r="OJX362" s="633">
        <v>3305610.92</v>
      </c>
      <c r="OJY362" s="633">
        <v>3255686.1799999992</v>
      </c>
      <c r="OJZ362" s="633">
        <v>3172108.3800000018</v>
      </c>
      <c r="OKA362" s="633">
        <v>3430726.5900000026</v>
      </c>
      <c r="OKB362" s="633">
        <v>3636289.9099999997</v>
      </c>
      <c r="OKC362" s="633">
        <v>3606558.6500000022</v>
      </c>
      <c r="OKD362" s="633">
        <v>3549118.4400000018</v>
      </c>
      <c r="OKE362" s="634">
        <v>39996846</v>
      </c>
      <c r="OKF362" s="633">
        <f>SUM(OJS362:OKD362)</f>
        <v>39996846.150000013</v>
      </c>
      <c r="OKG362" s="631" t="s">
        <v>1836</v>
      </c>
      <c r="OKH362" s="632" t="s">
        <v>1673</v>
      </c>
      <c r="OKI362" s="633">
        <v>3470702.0100000007</v>
      </c>
      <c r="OKJ362" s="633">
        <v>3448347.94</v>
      </c>
      <c r="OKK362" s="633">
        <v>3398526.4800000009</v>
      </c>
      <c r="OKL362" s="633">
        <v>2159854.59</v>
      </c>
      <c r="OKM362" s="633">
        <v>3563316.060000001</v>
      </c>
      <c r="OKN362" s="633">
        <v>3305610.92</v>
      </c>
      <c r="OKO362" s="633">
        <v>3255686.1799999992</v>
      </c>
      <c r="OKP362" s="633">
        <v>3172108.3800000018</v>
      </c>
      <c r="OKQ362" s="633">
        <v>3430726.5900000026</v>
      </c>
      <c r="OKR362" s="633">
        <v>3636289.9099999997</v>
      </c>
      <c r="OKS362" s="633">
        <v>3606558.6500000022</v>
      </c>
      <c r="OKT362" s="633">
        <v>3549118.4400000018</v>
      </c>
      <c r="OKU362" s="634">
        <v>39996846</v>
      </c>
      <c r="OKV362" s="633">
        <f>SUM(OKI362:OKT362)</f>
        <v>39996846.150000013</v>
      </c>
      <c r="OKW362" s="631" t="s">
        <v>1836</v>
      </c>
      <c r="OKX362" s="632" t="s">
        <v>1673</v>
      </c>
      <c r="OKY362" s="633">
        <v>3470702.0100000007</v>
      </c>
      <c r="OKZ362" s="633">
        <v>3448347.94</v>
      </c>
      <c r="OLA362" s="633">
        <v>3398526.4800000009</v>
      </c>
      <c r="OLB362" s="633">
        <v>2159854.59</v>
      </c>
      <c r="OLC362" s="633">
        <v>3563316.060000001</v>
      </c>
      <c r="OLD362" s="633">
        <v>3305610.92</v>
      </c>
      <c r="OLE362" s="633">
        <v>3255686.1799999992</v>
      </c>
      <c r="OLF362" s="633">
        <v>3172108.3800000018</v>
      </c>
      <c r="OLG362" s="633">
        <v>3430726.5900000026</v>
      </c>
      <c r="OLH362" s="633">
        <v>3636289.9099999997</v>
      </c>
      <c r="OLI362" s="633">
        <v>3606558.6500000022</v>
      </c>
      <c r="OLJ362" s="633">
        <v>3549118.4400000018</v>
      </c>
      <c r="OLK362" s="634">
        <v>39996846</v>
      </c>
      <c r="OLL362" s="633">
        <f>SUM(OKY362:OLJ362)</f>
        <v>39996846.150000013</v>
      </c>
      <c r="OLM362" s="631" t="s">
        <v>1836</v>
      </c>
      <c r="OLN362" s="632" t="s">
        <v>1673</v>
      </c>
      <c r="OLO362" s="633">
        <v>3470702.0100000007</v>
      </c>
      <c r="OLP362" s="633">
        <v>3448347.94</v>
      </c>
      <c r="OLQ362" s="633">
        <v>3398526.4800000009</v>
      </c>
      <c r="OLR362" s="633">
        <v>2159854.59</v>
      </c>
      <c r="OLS362" s="633">
        <v>3563316.060000001</v>
      </c>
      <c r="OLT362" s="633">
        <v>3305610.92</v>
      </c>
      <c r="OLU362" s="633">
        <v>3255686.1799999992</v>
      </c>
      <c r="OLV362" s="633">
        <v>3172108.3800000018</v>
      </c>
      <c r="OLW362" s="633">
        <v>3430726.5900000026</v>
      </c>
      <c r="OLX362" s="633">
        <v>3636289.9099999997</v>
      </c>
      <c r="OLY362" s="633">
        <v>3606558.6500000022</v>
      </c>
      <c r="OLZ362" s="633">
        <v>3549118.4400000018</v>
      </c>
      <c r="OMA362" s="634">
        <v>39996846</v>
      </c>
      <c r="OMB362" s="633">
        <f>SUM(OLO362:OLZ362)</f>
        <v>39996846.150000013</v>
      </c>
      <c r="OMC362" s="631" t="s">
        <v>1836</v>
      </c>
      <c r="OMD362" s="632" t="s">
        <v>1673</v>
      </c>
      <c r="OME362" s="633">
        <v>3470702.0100000007</v>
      </c>
      <c r="OMF362" s="633">
        <v>3448347.94</v>
      </c>
      <c r="OMG362" s="633">
        <v>3398526.4800000009</v>
      </c>
      <c r="OMH362" s="633">
        <v>2159854.59</v>
      </c>
      <c r="OMI362" s="633">
        <v>3563316.060000001</v>
      </c>
      <c r="OMJ362" s="633">
        <v>3305610.92</v>
      </c>
      <c r="OMK362" s="633">
        <v>3255686.1799999992</v>
      </c>
      <c r="OML362" s="633">
        <v>3172108.3800000018</v>
      </c>
      <c r="OMM362" s="633">
        <v>3430726.5900000026</v>
      </c>
      <c r="OMN362" s="633">
        <v>3636289.9099999997</v>
      </c>
      <c r="OMO362" s="633">
        <v>3606558.6500000022</v>
      </c>
      <c r="OMP362" s="633">
        <v>3549118.4400000018</v>
      </c>
      <c r="OMQ362" s="634">
        <v>39996846</v>
      </c>
      <c r="OMR362" s="633">
        <f>SUM(OME362:OMP362)</f>
        <v>39996846.150000013</v>
      </c>
      <c r="OMS362" s="631" t="s">
        <v>1836</v>
      </c>
      <c r="OMT362" s="632" t="s">
        <v>1673</v>
      </c>
      <c r="OMU362" s="633">
        <v>3470702.0100000007</v>
      </c>
      <c r="OMV362" s="633">
        <v>3448347.94</v>
      </c>
      <c r="OMW362" s="633">
        <v>3398526.4800000009</v>
      </c>
      <c r="OMX362" s="633">
        <v>2159854.59</v>
      </c>
      <c r="OMY362" s="633">
        <v>3563316.060000001</v>
      </c>
      <c r="OMZ362" s="633">
        <v>3305610.92</v>
      </c>
      <c r="ONA362" s="633">
        <v>3255686.1799999992</v>
      </c>
      <c r="ONB362" s="633">
        <v>3172108.3800000018</v>
      </c>
      <c r="ONC362" s="633">
        <v>3430726.5900000026</v>
      </c>
      <c r="OND362" s="633">
        <v>3636289.9099999997</v>
      </c>
      <c r="ONE362" s="633">
        <v>3606558.6500000022</v>
      </c>
      <c r="ONF362" s="633">
        <v>3549118.4400000018</v>
      </c>
      <c r="ONG362" s="634">
        <v>39996846</v>
      </c>
      <c r="ONH362" s="633">
        <f>SUM(OMU362:ONF362)</f>
        <v>39996846.150000013</v>
      </c>
      <c r="ONI362" s="631" t="s">
        <v>1836</v>
      </c>
      <c r="ONJ362" s="632" t="s">
        <v>1673</v>
      </c>
      <c r="ONK362" s="633">
        <v>3470702.0100000007</v>
      </c>
      <c r="ONL362" s="633">
        <v>3448347.94</v>
      </c>
      <c r="ONM362" s="633">
        <v>3398526.4800000009</v>
      </c>
      <c r="ONN362" s="633">
        <v>2159854.59</v>
      </c>
      <c r="ONO362" s="633">
        <v>3563316.060000001</v>
      </c>
      <c r="ONP362" s="633">
        <v>3305610.92</v>
      </c>
      <c r="ONQ362" s="633">
        <v>3255686.1799999992</v>
      </c>
      <c r="ONR362" s="633">
        <v>3172108.3800000018</v>
      </c>
      <c r="ONS362" s="633">
        <v>3430726.5900000026</v>
      </c>
      <c r="ONT362" s="633">
        <v>3636289.9099999997</v>
      </c>
      <c r="ONU362" s="633">
        <v>3606558.6500000022</v>
      </c>
      <c r="ONV362" s="633">
        <v>3549118.4400000018</v>
      </c>
      <c r="ONW362" s="634">
        <v>39996846</v>
      </c>
      <c r="ONX362" s="633">
        <f>SUM(ONK362:ONV362)</f>
        <v>39996846.150000013</v>
      </c>
      <c r="ONY362" s="631" t="s">
        <v>1836</v>
      </c>
      <c r="ONZ362" s="632" t="s">
        <v>1673</v>
      </c>
      <c r="OOA362" s="633">
        <v>3470702.0100000007</v>
      </c>
      <c r="OOB362" s="633">
        <v>3448347.94</v>
      </c>
      <c r="OOC362" s="633">
        <v>3398526.4800000009</v>
      </c>
      <c r="OOD362" s="633">
        <v>2159854.59</v>
      </c>
      <c r="OOE362" s="633">
        <v>3563316.060000001</v>
      </c>
      <c r="OOF362" s="633">
        <v>3305610.92</v>
      </c>
      <c r="OOG362" s="633">
        <v>3255686.1799999992</v>
      </c>
      <c r="OOH362" s="633">
        <v>3172108.3800000018</v>
      </c>
      <c r="OOI362" s="633">
        <v>3430726.5900000026</v>
      </c>
      <c r="OOJ362" s="633">
        <v>3636289.9099999997</v>
      </c>
      <c r="OOK362" s="633">
        <v>3606558.6500000022</v>
      </c>
      <c r="OOL362" s="633">
        <v>3549118.4400000018</v>
      </c>
      <c r="OOM362" s="634">
        <v>39996846</v>
      </c>
      <c r="OON362" s="633">
        <f>SUM(OOA362:OOL362)</f>
        <v>39996846.150000013</v>
      </c>
      <c r="OOO362" s="631" t="s">
        <v>1836</v>
      </c>
      <c r="OOP362" s="632" t="s">
        <v>1673</v>
      </c>
      <c r="OOQ362" s="633">
        <v>3470702.0100000007</v>
      </c>
      <c r="OOR362" s="633">
        <v>3448347.94</v>
      </c>
      <c r="OOS362" s="633">
        <v>3398526.4800000009</v>
      </c>
      <c r="OOT362" s="633">
        <v>2159854.59</v>
      </c>
      <c r="OOU362" s="633">
        <v>3563316.060000001</v>
      </c>
      <c r="OOV362" s="633">
        <v>3305610.92</v>
      </c>
      <c r="OOW362" s="633">
        <v>3255686.1799999992</v>
      </c>
      <c r="OOX362" s="633">
        <v>3172108.3800000018</v>
      </c>
      <c r="OOY362" s="633">
        <v>3430726.5900000026</v>
      </c>
      <c r="OOZ362" s="633">
        <v>3636289.9099999997</v>
      </c>
      <c r="OPA362" s="633">
        <v>3606558.6500000022</v>
      </c>
      <c r="OPB362" s="633">
        <v>3549118.4400000018</v>
      </c>
      <c r="OPC362" s="634">
        <v>39996846</v>
      </c>
      <c r="OPD362" s="633">
        <f>SUM(OOQ362:OPB362)</f>
        <v>39996846.150000013</v>
      </c>
      <c r="OPE362" s="631" t="s">
        <v>1836</v>
      </c>
      <c r="OPF362" s="632" t="s">
        <v>1673</v>
      </c>
      <c r="OPG362" s="633">
        <v>3470702.0100000007</v>
      </c>
      <c r="OPH362" s="633">
        <v>3448347.94</v>
      </c>
      <c r="OPI362" s="633">
        <v>3398526.4800000009</v>
      </c>
      <c r="OPJ362" s="633">
        <v>2159854.59</v>
      </c>
      <c r="OPK362" s="633">
        <v>3563316.060000001</v>
      </c>
      <c r="OPL362" s="633">
        <v>3305610.92</v>
      </c>
      <c r="OPM362" s="633">
        <v>3255686.1799999992</v>
      </c>
      <c r="OPN362" s="633">
        <v>3172108.3800000018</v>
      </c>
      <c r="OPO362" s="633">
        <v>3430726.5900000026</v>
      </c>
      <c r="OPP362" s="633">
        <v>3636289.9099999997</v>
      </c>
      <c r="OPQ362" s="633">
        <v>3606558.6500000022</v>
      </c>
      <c r="OPR362" s="633">
        <v>3549118.4400000018</v>
      </c>
      <c r="OPS362" s="634">
        <v>39996846</v>
      </c>
      <c r="OPT362" s="633">
        <f>SUM(OPG362:OPR362)</f>
        <v>39996846.150000013</v>
      </c>
      <c r="OPU362" s="631" t="s">
        <v>1836</v>
      </c>
      <c r="OPV362" s="632" t="s">
        <v>1673</v>
      </c>
      <c r="OPW362" s="633">
        <v>3470702.0100000007</v>
      </c>
      <c r="OPX362" s="633">
        <v>3448347.94</v>
      </c>
      <c r="OPY362" s="633">
        <v>3398526.4800000009</v>
      </c>
      <c r="OPZ362" s="633">
        <v>2159854.59</v>
      </c>
      <c r="OQA362" s="633">
        <v>3563316.060000001</v>
      </c>
      <c r="OQB362" s="633">
        <v>3305610.92</v>
      </c>
      <c r="OQC362" s="633">
        <v>3255686.1799999992</v>
      </c>
      <c r="OQD362" s="633">
        <v>3172108.3800000018</v>
      </c>
      <c r="OQE362" s="633">
        <v>3430726.5900000026</v>
      </c>
      <c r="OQF362" s="633">
        <v>3636289.9099999997</v>
      </c>
      <c r="OQG362" s="633">
        <v>3606558.6500000022</v>
      </c>
      <c r="OQH362" s="633">
        <v>3549118.4400000018</v>
      </c>
      <c r="OQI362" s="634">
        <v>39996846</v>
      </c>
      <c r="OQJ362" s="633">
        <f>SUM(OPW362:OQH362)</f>
        <v>39996846.150000013</v>
      </c>
      <c r="OQK362" s="631" t="s">
        <v>1836</v>
      </c>
      <c r="OQL362" s="632" t="s">
        <v>1673</v>
      </c>
      <c r="OQM362" s="633">
        <v>3470702.0100000007</v>
      </c>
      <c r="OQN362" s="633">
        <v>3448347.94</v>
      </c>
      <c r="OQO362" s="633">
        <v>3398526.4800000009</v>
      </c>
      <c r="OQP362" s="633">
        <v>2159854.59</v>
      </c>
      <c r="OQQ362" s="633">
        <v>3563316.060000001</v>
      </c>
      <c r="OQR362" s="633">
        <v>3305610.92</v>
      </c>
      <c r="OQS362" s="633">
        <v>3255686.1799999992</v>
      </c>
      <c r="OQT362" s="633">
        <v>3172108.3800000018</v>
      </c>
      <c r="OQU362" s="633">
        <v>3430726.5900000026</v>
      </c>
      <c r="OQV362" s="633">
        <v>3636289.9099999997</v>
      </c>
      <c r="OQW362" s="633">
        <v>3606558.6500000022</v>
      </c>
      <c r="OQX362" s="633">
        <v>3549118.4400000018</v>
      </c>
      <c r="OQY362" s="634">
        <v>39996846</v>
      </c>
      <c r="OQZ362" s="633">
        <f>SUM(OQM362:OQX362)</f>
        <v>39996846.150000013</v>
      </c>
      <c r="ORA362" s="631" t="s">
        <v>1836</v>
      </c>
      <c r="ORB362" s="632" t="s">
        <v>1673</v>
      </c>
      <c r="ORC362" s="633">
        <v>3470702.0100000007</v>
      </c>
      <c r="ORD362" s="633">
        <v>3448347.94</v>
      </c>
      <c r="ORE362" s="633">
        <v>3398526.4800000009</v>
      </c>
      <c r="ORF362" s="633">
        <v>2159854.59</v>
      </c>
      <c r="ORG362" s="633">
        <v>3563316.060000001</v>
      </c>
      <c r="ORH362" s="633">
        <v>3305610.92</v>
      </c>
      <c r="ORI362" s="633">
        <v>3255686.1799999992</v>
      </c>
      <c r="ORJ362" s="633">
        <v>3172108.3800000018</v>
      </c>
      <c r="ORK362" s="633">
        <v>3430726.5900000026</v>
      </c>
      <c r="ORL362" s="633">
        <v>3636289.9099999997</v>
      </c>
      <c r="ORM362" s="633">
        <v>3606558.6500000022</v>
      </c>
      <c r="ORN362" s="633">
        <v>3549118.4400000018</v>
      </c>
      <c r="ORO362" s="634">
        <v>39996846</v>
      </c>
      <c r="ORP362" s="633">
        <f>SUM(ORC362:ORN362)</f>
        <v>39996846.150000013</v>
      </c>
      <c r="ORQ362" s="631" t="s">
        <v>1836</v>
      </c>
      <c r="ORR362" s="632" t="s">
        <v>1673</v>
      </c>
      <c r="ORS362" s="633">
        <v>3470702.0100000007</v>
      </c>
      <c r="ORT362" s="633">
        <v>3448347.94</v>
      </c>
      <c r="ORU362" s="633">
        <v>3398526.4800000009</v>
      </c>
      <c r="ORV362" s="633">
        <v>2159854.59</v>
      </c>
      <c r="ORW362" s="633">
        <v>3563316.060000001</v>
      </c>
      <c r="ORX362" s="633">
        <v>3305610.92</v>
      </c>
      <c r="ORY362" s="633">
        <v>3255686.1799999992</v>
      </c>
      <c r="ORZ362" s="633">
        <v>3172108.3800000018</v>
      </c>
      <c r="OSA362" s="633">
        <v>3430726.5900000026</v>
      </c>
      <c r="OSB362" s="633">
        <v>3636289.9099999997</v>
      </c>
      <c r="OSC362" s="633">
        <v>3606558.6500000022</v>
      </c>
      <c r="OSD362" s="633">
        <v>3549118.4400000018</v>
      </c>
      <c r="OSE362" s="634">
        <v>39996846</v>
      </c>
      <c r="OSF362" s="633">
        <f>SUM(ORS362:OSD362)</f>
        <v>39996846.150000013</v>
      </c>
      <c r="OSG362" s="631" t="s">
        <v>1836</v>
      </c>
      <c r="OSH362" s="632" t="s">
        <v>1673</v>
      </c>
      <c r="OSI362" s="633">
        <v>3470702.0100000007</v>
      </c>
      <c r="OSJ362" s="633">
        <v>3448347.94</v>
      </c>
      <c r="OSK362" s="633">
        <v>3398526.4800000009</v>
      </c>
      <c r="OSL362" s="633">
        <v>2159854.59</v>
      </c>
      <c r="OSM362" s="633">
        <v>3563316.060000001</v>
      </c>
      <c r="OSN362" s="633">
        <v>3305610.92</v>
      </c>
      <c r="OSO362" s="633">
        <v>3255686.1799999992</v>
      </c>
      <c r="OSP362" s="633">
        <v>3172108.3800000018</v>
      </c>
      <c r="OSQ362" s="633">
        <v>3430726.5900000026</v>
      </c>
      <c r="OSR362" s="633">
        <v>3636289.9099999997</v>
      </c>
      <c r="OSS362" s="633">
        <v>3606558.6500000022</v>
      </c>
      <c r="OST362" s="633">
        <v>3549118.4400000018</v>
      </c>
      <c r="OSU362" s="634">
        <v>39996846</v>
      </c>
      <c r="OSV362" s="633">
        <f>SUM(OSI362:OST362)</f>
        <v>39996846.150000013</v>
      </c>
      <c r="OSW362" s="631" t="s">
        <v>1836</v>
      </c>
      <c r="OSX362" s="632" t="s">
        <v>1673</v>
      </c>
      <c r="OSY362" s="633">
        <v>3470702.0100000007</v>
      </c>
      <c r="OSZ362" s="633">
        <v>3448347.94</v>
      </c>
      <c r="OTA362" s="633">
        <v>3398526.4800000009</v>
      </c>
      <c r="OTB362" s="633">
        <v>2159854.59</v>
      </c>
      <c r="OTC362" s="633">
        <v>3563316.060000001</v>
      </c>
      <c r="OTD362" s="633">
        <v>3305610.92</v>
      </c>
      <c r="OTE362" s="633">
        <v>3255686.1799999992</v>
      </c>
      <c r="OTF362" s="633">
        <v>3172108.3800000018</v>
      </c>
      <c r="OTG362" s="633">
        <v>3430726.5900000026</v>
      </c>
      <c r="OTH362" s="633">
        <v>3636289.9099999997</v>
      </c>
      <c r="OTI362" s="633">
        <v>3606558.6500000022</v>
      </c>
      <c r="OTJ362" s="633">
        <v>3549118.4400000018</v>
      </c>
      <c r="OTK362" s="634">
        <v>39996846</v>
      </c>
      <c r="OTL362" s="633">
        <f>SUM(OSY362:OTJ362)</f>
        <v>39996846.150000013</v>
      </c>
      <c r="OTM362" s="631" t="s">
        <v>1836</v>
      </c>
      <c r="OTN362" s="632" t="s">
        <v>1673</v>
      </c>
      <c r="OTO362" s="633">
        <v>3470702.0100000007</v>
      </c>
      <c r="OTP362" s="633">
        <v>3448347.94</v>
      </c>
      <c r="OTQ362" s="633">
        <v>3398526.4800000009</v>
      </c>
      <c r="OTR362" s="633">
        <v>2159854.59</v>
      </c>
      <c r="OTS362" s="633">
        <v>3563316.060000001</v>
      </c>
      <c r="OTT362" s="633">
        <v>3305610.92</v>
      </c>
      <c r="OTU362" s="633">
        <v>3255686.1799999992</v>
      </c>
      <c r="OTV362" s="633">
        <v>3172108.3800000018</v>
      </c>
      <c r="OTW362" s="633">
        <v>3430726.5900000026</v>
      </c>
      <c r="OTX362" s="633">
        <v>3636289.9099999997</v>
      </c>
      <c r="OTY362" s="633">
        <v>3606558.6500000022</v>
      </c>
      <c r="OTZ362" s="633">
        <v>3549118.4400000018</v>
      </c>
      <c r="OUA362" s="634">
        <v>39996846</v>
      </c>
      <c r="OUB362" s="633">
        <f>SUM(OTO362:OTZ362)</f>
        <v>39996846.150000013</v>
      </c>
      <c r="OUC362" s="631" t="s">
        <v>1836</v>
      </c>
      <c r="OUD362" s="632" t="s">
        <v>1673</v>
      </c>
      <c r="OUE362" s="633">
        <v>3470702.0100000007</v>
      </c>
      <c r="OUF362" s="633">
        <v>3448347.94</v>
      </c>
      <c r="OUG362" s="633">
        <v>3398526.4800000009</v>
      </c>
      <c r="OUH362" s="633">
        <v>2159854.59</v>
      </c>
      <c r="OUI362" s="633">
        <v>3563316.060000001</v>
      </c>
      <c r="OUJ362" s="633">
        <v>3305610.92</v>
      </c>
      <c r="OUK362" s="633">
        <v>3255686.1799999992</v>
      </c>
      <c r="OUL362" s="633">
        <v>3172108.3800000018</v>
      </c>
      <c r="OUM362" s="633">
        <v>3430726.5900000026</v>
      </c>
      <c r="OUN362" s="633">
        <v>3636289.9099999997</v>
      </c>
      <c r="OUO362" s="633">
        <v>3606558.6500000022</v>
      </c>
      <c r="OUP362" s="633">
        <v>3549118.4400000018</v>
      </c>
      <c r="OUQ362" s="634">
        <v>39996846</v>
      </c>
      <c r="OUR362" s="633">
        <f>SUM(OUE362:OUP362)</f>
        <v>39996846.150000013</v>
      </c>
      <c r="OUS362" s="631" t="s">
        <v>1836</v>
      </c>
      <c r="OUT362" s="632" t="s">
        <v>1673</v>
      </c>
      <c r="OUU362" s="633">
        <v>3470702.0100000007</v>
      </c>
      <c r="OUV362" s="633">
        <v>3448347.94</v>
      </c>
      <c r="OUW362" s="633">
        <v>3398526.4800000009</v>
      </c>
      <c r="OUX362" s="633">
        <v>2159854.59</v>
      </c>
      <c r="OUY362" s="633">
        <v>3563316.060000001</v>
      </c>
      <c r="OUZ362" s="633">
        <v>3305610.92</v>
      </c>
      <c r="OVA362" s="633">
        <v>3255686.1799999992</v>
      </c>
      <c r="OVB362" s="633">
        <v>3172108.3800000018</v>
      </c>
      <c r="OVC362" s="633">
        <v>3430726.5900000026</v>
      </c>
      <c r="OVD362" s="633">
        <v>3636289.9099999997</v>
      </c>
      <c r="OVE362" s="633">
        <v>3606558.6500000022</v>
      </c>
      <c r="OVF362" s="633">
        <v>3549118.4400000018</v>
      </c>
      <c r="OVG362" s="634">
        <v>39996846</v>
      </c>
      <c r="OVH362" s="633">
        <f>SUM(OUU362:OVF362)</f>
        <v>39996846.150000013</v>
      </c>
      <c r="OVI362" s="631" t="s">
        <v>1836</v>
      </c>
      <c r="OVJ362" s="632" t="s">
        <v>1673</v>
      </c>
      <c r="OVK362" s="633">
        <v>3470702.0100000007</v>
      </c>
      <c r="OVL362" s="633">
        <v>3448347.94</v>
      </c>
      <c r="OVM362" s="633">
        <v>3398526.4800000009</v>
      </c>
      <c r="OVN362" s="633">
        <v>2159854.59</v>
      </c>
      <c r="OVO362" s="633">
        <v>3563316.060000001</v>
      </c>
      <c r="OVP362" s="633">
        <v>3305610.92</v>
      </c>
      <c r="OVQ362" s="633">
        <v>3255686.1799999992</v>
      </c>
      <c r="OVR362" s="633">
        <v>3172108.3800000018</v>
      </c>
      <c r="OVS362" s="633">
        <v>3430726.5900000026</v>
      </c>
      <c r="OVT362" s="633">
        <v>3636289.9099999997</v>
      </c>
      <c r="OVU362" s="633">
        <v>3606558.6500000022</v>
      </c>
      <c r="OVV362" s="633">
        <v>3549118.4400000018</v>
      </c>
      <c r="OVW362" s="634">
        <v>39996846</v>
      </c>
      <c r="OVX362" s="633">
        <f>SUM(OVK362:OVV362)</f>
        <v>39996846.150000013</v>
      </c>
      <c r="OVY362" s="631" t="s">
        <v>1836</v>
      </c>
      <c r="OVZ362" s="632" t="s">
        <v>1673</v>
      </c>
      <c r="OWA362" s="633">
        <v>3470702.0100000007</v>
      </c>
      <c r="OWB362" s="633">
        <v>3448347.94</v>
      </c>
      <c r="OWC362" s="633">
        <v>3398526.4800000009</v>
      </c>
      <c r="OWD362" s="633">
        <v>2159854.59</v>
      </c>
      <c r="OWE362" s="633">
        <v>3563316.060000001</v>
      </c>
      <c r="OWF362" s="633">
        <v>3305610.92</v>
      </c>
      <c r="OWG362" s="633">
        <v>3255686.1799999992</v>
      </c>
      <c r="OWH362" s="633">
        <v>3172108.3800000018</v>
      </c>
      <c r="OWI362" s="633">
        <v>3430726.5900000026</v>
      </c>
      <c r="OWJ362" s="633">
        <v>3636289.9099999997</v>
      </c>
      <c r="OWK362" s="633">
        <v>3606558.6500000022</v>
      </c>
      <c r="OWL362" s="633">
        <v>3549118.4400000018</v>
      </c>
      <c r="OWM362" s="634">
        <v>39996846</v>
      </c>
      <c r="OWN362" s="633">
        <f>SUM(OWA362:OWL362)</f>
        <v>39996846.150000013</v>
      </c>
      <c r="OWO362" s="631" t="s">
        <v>1836</v>
      </c>
      <c r="OWP362" s="632" t="s">
        <v>1673</v>
      </c>
      <c r="OWQ362" s="633">
        <v>3470702.0100000007</v>
      </c>
      <c r="OWR362" s="633">
        <v>3448347.94</v>
      </c>
      <c r="OWS362" s="633">
        <v>3398526.4800000009</v>
      </c>
      <c r="OWT362" s="633">
        <v>2159854.59</v>
      </c>
      <c r="OWU362" s="633">
        <v>3563316.060000001</v>
      </c>
      <c r="OWV362" s="633">
        <v>3305610.92</v>
      </c>
      <c r="OWW362" s="633">
        <v>3255686.1799999992</v>
      </c>
      <c r="OWX362" s="633">
        <v>3172108.3800000018</v>
      </c>
      <c r="OWY362" s="633">
        <v>3430726.5900000026</v>
      </c>
      <c r="OWZ362" s="633">
        <v>3636289.9099999997</v>
      </c>
      <c r="OXA362" s="633">
        <v>3606558.6500000022</v>
      </c>
      <c r="OXB362" s="633">
        <v>3549118.4400000018</v>
      </c>
      <c r="OXC362" s="634">
        <v>39996846</v>
      </c>
      <c r="OXD362" s="633">
        <f>SUM(OWQ362:OXB362)</f>
        <v>39996846.150000013</v>
      </c>
      <c r="OXE362" s="631" t="s">
        <v>1836</v>
      </c>
      <c r="OXF362" s="632" t="s">
        <v>1673</v>
      </c>
      <c r="OXG362" s="633">
        <v>3470702.0100000007</v>
      </c>
      <c r="OXH362" s="633">
        <v>3448347.94</v>
      </c>
      <c r="OXI362" s="633">
        <v>3398526.4800000009</v>
      </c>
      <c r="OXJ362" s="633">
        <v>2159854.59</v>
      </c>
      <c r="OXK362" s="633">
        <v>3563316.060000001</v>
      </c>
      <c r="OXL362" s="633">
        <v>3305610.92</v>
      </c>
      <c r="OXM362" s="633">
        <v>3255686.1799999992</v>
      </c>
      <c r="OXN362" s="633">
        <v>3172108.3800000018</v>
      </c>
      <c r="OXO362" s="633">
        <v>3430726.5900000026</v>
      </c>
      <c r="OXP362" s="633">
        <v>3636289.9099999997</v>
      </c>
      <c r="OXQ362" s="633">
        <v>3606558.6500000022</v>
      </c>
      <c r="OXR362" s="633">
        <v>3549118.4400000018</v>
      </c>
      <c r="OXS362" s="634">
        <v>39996846</v>
      </c>
      <c r="OXT362" s="633">
        <f>SUM(OXG362:OXR362)</f>
        <v>39996846.150000013</v>
      </c>
      <c r="OXU362" s="631" t="s">
        <v>1836</v>
      </c>
      <c r="OXV362" s="632" t="s">
        <v>1673</v>
      </c>
      <c r="OXW362" s="633">
        <v>3470702.0100000007</v>
      </c>
      <c r="OXX362" s="633">
        <v>3448347.94</v>
      </c>
      <c r="OXY362" s="633">
        <v>3398526.4800000009</v>
      </c>
      <c r="OXZ362" s="633">
        <v>2159854.59</v>
      </c>
      <c r="OYA362" s="633">
        <v>3563316.060000001</v>
      </c>
      <c r="OYB362" s="633">
        <v>3305610.92</v>
      </c>
      <c r="OYC362" s="633">
        <v>3255686.1799999992</v>
      </c>
      <c r="OYD362" s="633">
        <v>3172108.3800000018</v>
      </c>
      <c r="OYE362" s="633">
        <v>3430726.5900000026</v>
      </c>
      <c r="OYF362" s="633">
        <v>3636289.9099999997</v>
      </c>
      <c r="OYG362" s="633">
        <v>3606558.6500000022</v>
      </c>
      <c r="OYH362" s="633">
        <v>3549118.4400000018</v>
      </c>
      <c r="OYI362" s="634">
        <v>39996846</v>
      </c>
      <c r="OYJ362" s="633">
        <f>SUM(OXW362:OYH362)</f>
        <v>39996846.150000013</v>
      </c>
      <c r="OYK362" s="631" t="s">
        <v>1836</v>
      </c>
      <c r="OYL362" s="632" t="s">
        <v>1673</v>
      </c>
      <c r="OYM362" s="633">
        <v>3470702.0100000007</v>
      </c>
      <c r="OYN362" s="633">
        <v>3448347.94</v>
      </c>
      <c r="OYO362" s="633">
        <v>3398526.4800000009</v>
      </c>
      <c r="OYP362" s="633">
        <v>2159854.59</v>
      </c>
      <c r="OYQ362" s="633">
        <v>3563316.060000001</v>
      </c>
      <c r="OYR362" s="633">
        <v>3305610.92</v>
      </c>
      <c r="OYS362" s="633">
        <v>3255686.1799999992</v>
      </c>
      <c r="OYT362" s="633">
        <v>3172108.3800000018</v>
      </c>
      <c r="OYU362" s="633">
        <v>3430726.5900000026</v>
      </c>
      <c r="OYV362" s="633">
        <v>3636289.9099999997</v>
      </c>
      <c r="OYW362" s="633">
        <v>3606558.6500000022</v>
      </c>
      <c r="OYX362" s="633">
        <v>3549118.4400000018</v>
      </c>
      <c r="OYY362" s="634">
        <v>39996846</v>
      </c>
      <c r="OYZ362" s="633">
        <f>SUM(OYM362:OYX362)</f>
        <v>39996846.150000013</v>
      </c>
      <c r="OZA362" s="631" t="s">
        <v>1836</v>
      </c>
      <c r="OZB362" s="632" t="s">
        <v>1673</v>
      </c>
      <c r="OZC362" s="633">
        <v>3470702.0100000007</v>
      </c>
      <c r="OZD362" s="633">
        <v>3448347.94</v>
      </c>
      <c r="OZE362" s="633">
        <v>3398526.4800000009</v>
      </c>
      <c r="OZF362" s="633">
        <v>2159854.59</v>
      </c>
      <c r="OZG362" s="633">
        <v>3563316.060000001</v>
      </c>
      <c r="OZH362" s="633">
        <v>3305610.92</v>
      </c>
      <c r="OZI362" s="633">
        <v>3255686.1799999992</v>
      </c>
      <c r="OZJ362" s="633">
        <v>3172108.3800000018</v>
      </c>
      <c r="OZK362" s="633">
        <v>3430726.5900000026</v>
      </c>
      <c r="OZL362" s="633">
        <v>3636289.9099999997</v>
      </c>
      <c r="OZM362" s="633">
        <v>3606558.6500000022</v>
      </c>
      <c r="OZN362" s="633">
        <v>3549118.4400000018</v>
      </c>
      <c r="OZO362" s="634">
        <v>39996846</v>
      </c>
      <c r="OZP362" s="633">
        <f>SUM(OZC362:OZN362)</f>
        <v>39996846.150000013</v>
      </c>
      <c r="OZQ362" s="631" t="s">
        <v>1836</v>
      </c>
      <c r="OZR362" s="632" t="s">
        <v>1673</v>
      </c>
      <c r="OZS362" s="633">
        <v>3470702.0100000007</v>
      </c>
      <c r="OZT362" s="633">
        <v>3448347.94</v>
      </c>
      <c r="OZU362" s="633">
        <v>3398526.4800000009</v>
      </c>
      <c r="OZV362" s="633">
        <v>2159854.59</v>
      </c>
      <c r="OZW362" s="633">
        <v>3563316.060000001</v>
      </c>
      <c r="OZX362" s="633">
        <v>3305610.92</v>
      </c>
      <c r="OZY362" s="633">
        <v>3255686.1799999992</v>
      </c>
      <c r="OZZ362" s="633">
        <v>3172108.3800000018</v>
      </c>
      <c r="PAA362" s="633">
        <v>3430726.5900000026</v>
      </c>
      <c r="PAB362" s="633">
        <v>3636289.9099999997</v>
      </c>
      <c r="PAC362" s="633">
        <v>3606558.6500000022</v>
      </c>
      <c r="PAD362" s="633">
        <v>3549118.4400000018</v>
      </c>
      <c r="PAE362" s="634">
        <v>39996846</v>
      </c>
      <c r="PAF362" s="633">
        <f>SUM(OZS362:PAD362)</f>
        <v>39996846.150000013</v>
      </c>
      <c r="PAG362" s="631" t="s">
        <v>1836</v>
      </c>
      <c r="PAH362" s="632" t="s">
        <v>1673</v>
      </c>
      <c r="PAI362" s="633">
        <v>3470702.0100000007</v>
      </c>
      <c r="PAJ362" s="633">
        <v>3448347.94</v>
      </c>
      <c r="PAK362" s="633">
        <v>3398526.4800000009</v>
      </c>
      <c r="PAL362" s="633">
        <v>2159854.59</v>
      </c>
      <c r="PAM362" s="633">
        <v>3563316.060000001</v>
      </c>
      <c r="PAN362" s="633">
        <v>3305610.92</v>
      </c>
      <c r="PAO362" s="633">
        <v>3255686.1799999992</v>
      </c>
      <c r="PAP362" s="633">
        <v>3172108.3800000018</v>
      </c>
      <c r="PAQ362" s="633">
        <v>3430726.5900000026</v>
      </c>
      <c r="PAR362" s="633">
        <v>3636289.9099999997</v>
      </c>
      <c r="PAS362" s="633">
        <v>3606558.6500000022</v>
      </c>
      <c r="PAT362" s="633">
        <v>3549118.4400000018</v>
      </c>
      <c r="PAU362" s="634">
        <v>39996846</v>
      </c>
      <c r="PAV362" s="633">
        <f>SUM(PAI362:PAT362)</f>
        <v>39996846.150000013</v>
      </c>
      <c r="PAW362" s="631" t="s">
        <v>1836</v>
      </c>
      <c r="PAX362" s="632" t="s">
        <v>1673</v>
      </c>
      <c r="PAY362" s="633">
        <v>3470702.0100000007</v>
      </c>
      <c r="PAZ362" s="633">
        <v>3448347.94</v>
      </c>
      <c r="PBA362" s="633">
        <v>3398526.4800000009</v>
      </c>
      <c r="PBB362" s="633">
        <v>2159854.59</v>
      </c>
      <c r="PBC362" s="633">
        <v>3563316.060000001</v>
      </c>
      <c r="PBD362" s="633">
        <v>3305610.92</v>
      </c>
      <c r="PBE362" s="633">
        <v>3255686.1799999992</v>
      </c>
      <c r="PBF362" s="633">
        <v>3172108.3800000018</v>
      </c>
      <c r="PBG362" s="633">
        <v>3430726.5900000026</v>
      </c>
      <c r="PBH362" s="633">
        <v>3636289.9099999997</v>
      </c>
      <c r="PBI362" s="633">
        <v>3606558.6500000022</v>
      </c>
      <c r="PBJ362" s="633">
        <v>3549118.4400000018</v>
      </c>
      <c r="PBK362" s="634">
        <v>39996846</v>
      </c>
      <c r="PBL362" s="633">
        <f>SUM(PAY362:PBJ362)</f>
        <v>39996846.150000013</v>
      </c>
      <c r="PBM362" s="631" t="s">
        <v>1836</v>
      </c>
      <c r="PBN362" s="632" t="s">
        <v>1673</v>
      </c>
      <c r="PBO362" s="633">
        <v>3470702.0100000007</v>
      </c>
      <c r="PBP362" s="633">
        <v>3448347.94</v>
      </c>
      <c r="PBQ362" s="633">
        <v>3398526.4800000009</v>
      </c>
      <c r="PBR362" s="633">
        <v>2159854.59</v>
      </c>
      <c r="PBS362" s="633">
        <v>3563316.060000001</v>
      </c>
      <c r="PBT362" s="633">
        <v>3305610.92</v>
      </c>
      <c r="PBU362" s="633">
        <v>3255686.1799999992</v>
      </c>
      <c r="PBV362" s="633">
        <v>3172108.3800000018</v>
      </c>
      <c r="PBW362" s="633">
        <v>3430726.5900000026</v>
      </c>
      <c r="PBX362" s="633">
        <v>3636289.9099999997</v>
      </c>
      <c r="PBY362" s="633">
        <v>3606558.6500000022</v>
      </c>
      <c r="PBZ362" s="633">
        <v>3549118.4400000018</v>
      </c>
      <c r="PCA362" s="634">
        <v>39996846</v>
      </c>
      <c r="PCB362" s="633">
        <f>SUM(PBO362:PBZ362)</f>
        <v>39996846.150000013</v>
      </c>
      <c r="PCC362" s="631" t="s">
        <v>1836</v>
      </c>
      <c r="PCD362" s="632" t="s">
        <v>1673</v>
      </c>
      <c r="PCE362" s="633">
        <v>3470702.0100000007</v>
      </c>
      <c r="PCF362" s="633">
        <v>3448347.94</v>
      </c>
      <c r="PCG362" s="633">
        <v>3398526.4800000009</v>
      </c>
      <c r="PCH362" s="633">
        <v>2159854.59</v>
      </c>
      <c r="PCI362" s="633">
        <v>3563316.060000001</v>
      </c>
      <c r="PCJ362" s="633">
        <v>3305610.92</v>
      </c>
      <c r="PCK362" s="633">
        <v>3255686.1799999992</v>
      </c>
      <c r="PCL362" s="633">
        <v>3172108.3800000018</v>
      </c>
      <c r="PCM362" s="633">
        <v>3430726.5900000026</v>
      </c>
      <c r="PCN362" s="633">
        <v>3636289.9099999997</v>
      </c>
      <c r="PCO362" s="633">
        <v>3606558.6500000022</v>
      </c>
      <c r="PCP362" s="633">
        <v>3549118.4400000018</v>
      </c>
      <c r="PCQ362" s="634">
        <v>39996846</v>
      </c>
      <c r="PCR362" s="633">
        <f>SUM(PCE362:PCP362)</f>
        <v>39996846.150000013</v>
      </c>
      <c r="PCS362" s="631" t="s">
        <v>1836</v>
      </c>
      <c r="PCT362" s="632" t="s">
        <v>1673</v>
      </c>
      <c r="PCU362" s="633">
        <v>3470702.0100000007</v>
      </c>
      <c r="PCV362" s="633">
        <v>3448347.94</v>
      </c>
      <c r="PCW362" s="633">
        <v>3398526.4800000009</v>
      </c>
      <c r="PCX362" s="633">
        <v>2159854.59</v>
      </c>
      <c r="PCY362" s="633">
        <v>3563316.060000001</v>
      </c>
      <c r="PCZ362" s="633">
        <v>3305610.92</v>
      </c>
      <c r="PDA362" s="633">
        <v>3255686.1799999992</v>
      </c>
      <c r="PDB362" s="633">
        <v>3172108.3800000018</v>
      </c>
      <c r="PDC362" s="633">
        <v>3430726.5900000026</v>
      </c>
      <c r="PDD362" s="633">
        <v>3636289.9099999997</v>
      </c>
      <c r="PDE362" s="633">
        <v>3606558.6500000022</v>
      </c>
      <c r="PDF362" s="633">
        <v>3549118.4400000018</v>
      </c>
      <c r="PDG362" s="634">
        <v>39996846</v>
      </c>
      <c r="PDH362" s="633">
        <f>SUM(PCU362:PDF362)</f>
        <v>39996846.150000013</v>
      </c>
      <c r="PDI362" s="631" t="s">
        <v>1836</v>
      </c>
      <c r="PDJ362" s="632" t="s">
        <v>1673</v>
      </c>
      <c r="PDK362" s="633">
        <v>3470702.0100000007</v>
      </c>
      <c r="PDL362" s="633">
        <v>3448347.94</v>
      </c>
      <c r="PDM362" s="633">
        <v>3398526.4800000009</v>
      </c>
      <c r="PDN362" s="633">
        <v>2159854.59</v>
      </c>
      <c r="PDO362" s="633">
        <v>3563316.060000001</v>
      </c>
      <c r="PDP362" s="633">
        <v>3305610.92</v>
      </c>
      <c r="PDQ362" s="633">
        <v>3255686.1799999992</v>
      </c>
      <c r="PDR362" s="633">
        <v>3172108.3800000018</v>
      </c>
      <c r="PDS362" s="633">
        <v>3430726.5900000026</v>
      </c>
      <c r="PDT362" s="633">
        <v>3636289.9099999997</v>
      </c>
      <c r="PDU362" s="633">
        <v>3606558.6500000022</v>
      </c>
      <c r="PDV362" s="633">
        <v>3549118.4400000018</v>
      </c>
      <c r="PDW362" s="634">
        <v>39996846</v>
      </c>
      <c r="PDX362" s="633">
        <f>SUM(PDK362:PDV362)</f>
        <v>39996846.150000013</v>
      </c>
      <c r="PDY362" s="631" t="s">
        <v>1836</v>
      </c>
      <c r="PDZ362" s="632" t="s">
        <v>1673</v>
      </c>
      <c r="PEA362" s="633">
        <v>3470702.0100000007</v>
      </c>
      <c r="PEB362" s="633">
        <v>3448347.94</v>
      </c>
      <c r="PEC362" s="633">
        <v>3398526.4800000009</v>
      </c>
      <c r="PED362" s="633">
        <v>2159854.59</v>
      </c>
      <c r="PEE362" s="633">
        <v>3563316.060000001</v>
      </c>
      <c r="PEF362" s="633">
        <v>3305610.92</v>
      </c>
      <c r="PEG362" s="633">
        <v>3255686.1799999992</v>
      </c>
      <c r="PEH362" s="633">
        <v>3172108.3800000018</v>
      </c>
      <c r="PEI362" s="633">
        <v>3430726.5900000026</v>
      </c>
      <c r="PEJ362" s="633">
        <v>3636289.9099999997</v>
      </c>
      <c r="PEK362" s="633">
        <v>3606558.6500000022</v>
      </c>
      <c r="PEL362" s="633">
        <v>3549118.4400000018</v>
      </c>
      <c r="PEM362" s="634">
        <v>39996846</v>
      </c>
      <c r="PEN362" s="633">
        <f>SUM(PEA362:PEL362)</f>
        <v>39996846.150000013</v>
      </c>
      <c r="PEO362" s="631" t="s">
        <v>1836</v>
      </c>
      <c r="PEP362" s="632" t="s">
        <v>1673</v>
      </c>
      <c r="PEQ362" s="633">
        <v>3470702.0100000007</v>
      </c>
      <c r="PER362" s="633">
        <v>3448347.94</v>
      </c>
      <c r="PES362" s="633">
        <v>3398526.4800000009</v>
      </c>
      <c r="PET362" s="633">
        <v>2159854.59</v>
      </c>
      <c r="PEU362" s="633">
        <v>3563316.060000001</v>
      </c>
      <c r="PEV362" s="633">
        <v>3305610.92</v>
      </c>
      <c r="PEW362" s="633">
        <v>3255686.1799999992</v>
      </c>
      <c r="PEX362" s="633">
        <v>3172108.3800000018</v>
      </c>
      <c r="PEY362" s="633">
        <v>3430726.5900000026</v>
      </c>
      <c r="PEZ362" s="633">
        <v>3636289.9099999997</v>
      </c>
      <c r="PFA362" s="633">
        <v>3606558.6500000022</v>
      </c>
      <c r="PFB362" s="633">
        <v>3549118.4400000018</v>
      </c>
      <c r="PFC362" s="634">
        <v>39996846</v>
      </c>
      <c r="PFD362" s="633">
        <f>SUM(PEQ362:PFB362)</f>
        <v>39996846.150000013</v>
      </c>
      <c r="PFE362" s="631" t="s">
        <v>1836</v>
      </c>
      <c r="PFF362" s="632" t="s">
        <v>1673</v>
      </c>
      <c r="PFG362" s="633">
        <v>3470702.0100000007</v>
      </c>
      <c r="PFH362" s="633">
        <v>3448347.94</v>
      </c>
      <c r="PFI362" s="633">
        <v>3398526.4800000009</v>
      </c>
      <c r="PFJ362" s="633">
        <v>2159854.59</v>
      </c>
      <c r="PFK362" s="633">
        <v>3563316.060000001</v>
      </c>
      <c r="PFL362" s="633">
        <v>3305610.92</v>
      </c>
      <c r="PFM362" s="633">
        <v>3255686.1799999992</v>
      </c>
      <c r="PFN362" s="633">
        <v>3172108.3800000018</v>
      </c>
      <c r="PFO362" s="633">
        <v>3430726.5900000026</v>
      </c>
      <c r="PFP362" s="633">
        <v>3636289.9099999997</v>
      </c>
      <c r="PFQ362" s="633">
        <v>3606558.6500000022</v>
      </c>
      <c r="PFR362" s="633">
        <v>3549118.4400000018</v>
      </c>
      <c r="PFS362" s="634">
        <v>39996846</v>
      </c>
      <c r="PFT362" s="633">
        <f>SUM(PFG362:PFR362)</f>
        <v>39996846.150000013</v>
      </c>
      <c r="PFU362" s="631" t="s">
        <v>1836</v>
      </c>
      <c r="PFV362" s="632" t="s">
        <v>1673</v>
      </c>
      <c r="PFW362" s="633">
        <v>3470702.0100000007</v>
      </c>
      <c r="PFX362" s="633">
        <v>3448347.94</v>
      </c>
      <c r="PFY362" s="633">
        <v>3398526.4800000009</v>
      </c>
      <c r="PFZ362" s="633">
        <v>2159854.59</v>
      </c>
      <c r="PGA362" s="633">
        <v>3563316.060000001</v>
      </c>
      <c r="PGB362" s="633">
        <v>3305610.92</v>
      </c>
      <c r="PGC362" s="633">
        <v>3255686.1799999992</v>
      </c>
      <c r="PGD362" s="633">
        <v>3172108.3800000018</v>
      </c>
      <c r="PGE362" s="633">
        <v>3430726.5900000026</v>
      </c>
      <c r="PGF362" s="633">
        <v>3636289.9099999997</v>
      </c>
      <c r="PGG362" s="633">
        <v>3606558.6500000022</v>
      </c>
      <c r="PGH362" s="633">
        <v>3549118.4400000018</v>
      </c>
      <c r="PGI362" s="634">
        <v>39996846</v>
      </c>
      <c r="PGJ362" s="633">
        <f>SUM(PFW362:PGH362)</f>
        <v>39996846.150000013</v>
      </c>
      <c r="PGK362" s="631" t="s">
        <v>1836</v>
      </c>
      <c r="PGL362" s="632" t="s">
        <v>1673</v>
      </c>
      <c r="PGM362" s="633">
        <v>3470702.0100000007</v>
      </c>
      <c r="PGN362" s="633">
        <v>3448347.94</v>
      </c>
      <c r="PGO362" s="633">
        <v>3398526.4800000009</v>
      </c>
      <c r="PGP362" s="633">
        <v>2159854.59</v>
      </c>
      <c r="PGQ362" s="633">
        <v>3563316.060000001</v>
      </c>
      <c r="PGR362" s="633">
        <v>3305610.92</v>
      </c>
      <c r="PGS362" s="633">
        <v>3255686.1799999992</v>
      </c>
      <c r="PGT362" s="633">
        <v>3172108.3800000018</v>
      </c>
      <c r="PGU362" s="633">
        <v>3430726.5900000026</v>
      </c>
      <c r="PGV362" s="633">
        <v>3636289.9099999997</v>
      </c>
      <c r="PGW362" s="633">
        <v>3606558.6500000022</v>
      </c>
      <c r="PGX362" s="633">
        <v>3549118.4400000018</v>
      </c>
      <c r="PGY362" s="634">
        <v>39996846</v>
      </c>
      <c r="PGZ362" s="633">
        <f>SUM(PGM362:PGX362)</f>
        <v>39996846.150000013</v>
      </c>
      <c r="PHA362" s="631" t="s">
        <v>1836</v>
      </c>
      <c r="PHB362" s="632" t="s">
        <v>1673</v>
      </c>
      <c r="PHC362" s="633">
        <v>3470702.0100000007</v>
      </c>
      <c r="PHD362" s="633">
        <v>3448347.94</v>
      </c>
      <c r="PHE362" s="633">
        <v>3398526.4800000009</v>
      </c>
      <c r="PHF362" s="633">
        <v>2159854.59</v>
      </c>
      <c r="PHG362" s="633">
        <v>3563316.060000001</v>
      </c>
      <c r="PHH362" s="633">
        <v>3305610.92</v>
      </c>
      <c r="PHI362" s="633">
        <v>3255686.1799999992</v>
      </c>
      <c r="PHJ362" s="633">
        <v>3172108.3800000018</v>
      </c>
      <c r="PHK362" s="633">
        <v>3430726.5900000026</v>
      </c>
      <c r="PHL362" s="633">
        <v>3636289.9099999997</v>
      </c>
      <c r="PHM362" s="633">
        <v>3606558.6500000022</v>
      </c>
      <c r="PHN362" s="633">
        <v>3549118.4400000018</v>
      </c>
      <c r="PHO362" s="634">
        <v>39996846</v>
      </c>
      <c r="PHP362" s="633">
        <f>SUM(PHC362:PHN362)</f>
        <v>39996846.150000013</v>
      </c>
      <c r="PHQ362" s="631" t="s">
        <v>1836</v>
      </c>
      <c r="PHR362" s="632" t="s">
        <v>1673</v>
      </c>
      <c r="PHS362" s="633">
        <v>3470702.0100000007</v>
      </c>
      <c r="PHT362" s="633">
        <v>3448347.94</v>
      </c>
      <c r="PHU362" s="633">
        <v>3398526.4800000009</v>
      </c>
      <c r="PHV362" s="633">
        <v>2159854.59</v>
      </c>
      <c r="PHW362" s="633">
        <v>3563316.060000001</v>
      </c>
      <c r="PHX362" s="633">
        <v>3305610.92</v>
      </c>
      <c r="PHY362" s="633">
        <v>3255686.1799999992</v>
      </c>
      <c r="PHZ362" s="633">
        <v>3172108.3800000018</v>
      </c>
      <c r="PIA362" s="633">
        <v>3430726.5900000026</v>
      </c>
      <c r="PIB362" s="633">
        <v>3636289.9099999997</v>
      </c>
      <c r="PIC362" s="633">
        <v>3606558.6500000022</v>
      </c>
      <c r="PID362" s="633">
        <v>3549118.4400000018</v>
      </c>
      <c r="PIE362" s="634">
        <v>39996846</v>
      </c>
      <c r="PIF362" s="633">
        <f>SUM(PHS362:PID362)</f>
        <v>39996846.150000013</v>
      </c>
      <c r="PIG362" s="631" t="s">
        <v>1836</v>
      </c>
      <c r="PIH362" s="632" t="s">
        <v>1673</v>
      </c>
      <c r="PII362" s="633">
        <v>3470702.0100000007</v>
      </c>
      <c r="PIJ362" s="633">
        <v>3448347.94</v>
      </c>
      <c r="PIK362" s="633">
        <v>3398526.4800000009</v>
      </c>
      <c r="PIL362" s="633">
        <v>2159854.59</v>
      </c>
      <c r="PIM362" s="633">
        <v>3563316.060000001</v>
      </c>
      <c r="PIN362" s="633">
        <v>3305610.92</v>
      </c>
      <c r="PIO362" s="633">
        <v>3255686.1799999992</v>
      </c>
      <c r="PIP362" s="633">
        <v>3172108.3800000018</v>
      </c>
      <c r="PIQ362" s="633">
        <v>3430726.5900000026</v>
      </c>
      <c r="PIR362" s="633">
        <v>3636289.9099999997</v>
      </c>
      <c r="PIS362" s="633">
        <v>3606558.6500000022</v>
      </c>
      <c r="PIT362" s="633">
        <v>3549118.4400000018</v>
      </c>
      <c r="PIU362" s="634">
        <v>39996846</v>
      </c>
      <c r="PIV362" s="633">
        <f>SUM(PII362:PIT362)</f>
        <v>39996846.150000013</v>
      </c>
      <c r="PIW362" s="631" t="s">
        <v>1836</v>
      </c>
      <c r="PIX362" s="632" t="s">
        <v>1673</v>
      </c>
      <c r="PIY362" s="633">
        <v>3470702.0100000007</v>
      </c>
      <c r="PIZ362" s="633">
        <v>3448347.94</v>
      </c>
      <c r="PJA362" s="633">
        <v>3398526.4800000009</v>
      </c>
      <c r="PJB362" s="633">
        <v>2159854.59</v>
      </c>
      <c r="PJC362" s="633">
        <v>3563316.060000001</v>
      </c>
      <c r="PJD362" s="633">
        <v>3305610.92</v>
      </c>
      <c r="PJE362" s="633">
        <v>3255686.1799999992</v>
      </c>
      <c r="PJF362" s="633">
        <v>3172108.3800000018</v>
      </c>
      <c r="PJG362" s="633">
        <v>3430726.5900000026</v>
      </c>
      <c r="PJH362" s="633">
        <v>3636289.9099999997</v>
      </c>
      <c r="PJI362" s="633">
        <v>3606558.6500000022</v>
      </c>
      <c r="PJJ362" s="633">
        <v>3549118.4400000018</v>
      </c>
      <c r="PJK362" s="634">
        <v>39996846</v>
      </c>
      <c r="PJL362" s="633">
        <f>SUM(PIY362:PJJ362)</f>
        <v>39996846.150000013</v>
      </c>
      <c r="PJM362" s="631" t="s">
        <v>1836</v>
      </c>
      <c r="PJN362" s="632" t="s">
        <v>1673</v>
      </c>
      <c r="PJO362" s="633">
        <v>3470702.0100000007</v>
      </c>
      <c r="PJP362" s="633">
        <v>3448347.94</v>
      </c>
      <c r="PJQ362" s="633">
        <v>3398526.4800000009</v>
      </c>
      <c r="PJR362" s="633">
        <v>2159854.59</v>
      </c>
      <c r="PJS362" s="633">
        <v>3563316.060000001</v>
      </c>
      <c r="PJT362" s="633">
        <v>3305610.92</v>
      </c>
      <c r="PJU362" s="633">
        <v>3255686.1799999992</v>
      </c>
      <c r="PJV362" s="633">
        <v>3172108.3800000018</v>
      </c>
      <c r="PJW362" s="633">
        <v>3430726.5900000026</v>
      </c>
      <c r="PJX362" s="633">
        <v>3636289.9099999997</v>
      </c>
      <c r="PJY362" s="633">
        <v>3606558.6500000022</v>
      </c>
      <c r="PJZ362" s="633">
        <v>3549118.4400000018</v>
      </c>
      <c r="PKA362" s="634">
        <v>39996846</v>
      </c>
      <c r="PKB362" s="633">
        <f>SUM(PJO362:PJZ362)</f>
        <v>39996846.150000013</v>
      </c>
      <c r="PKC362" s="631" t="s">
        <v>1836</v>
      </c>
      <c r="PKD362" s="632" t="s">
        <v>1673</v>
      </c>
      <c r="PKE362" s="633">
        <v>3470702.0100000007</v>
      </c>
      <c r="PKF362" s="633">
        <v>3448347.94</v>
      </c>
      <c r="PKG362" s="633">
        <v>3398526.4800000009</v>
      </c>
      <c r="PKH362" s="633">
        <v>2159854.59</v>
      </c>
      <c r="PKI362" s="633">
        <v>3563316.060000001</v>
      </c>
      <c r="PKJ362" s="633">
        <v>3305610.92</v>
      </c>
      <c r="PKK362" s="633">
        <v>3255686.1799999992</v>
      </c>
      <c r="PKL362" s="633">
        <v>3172108.3800000018</v>
      </c>
      <c r="PKM362" s="633">
        <v>3430726.5900000026</v>
      </c>
      <c r="PKN362" s="633">
        <v>3636289.9099999997</v>
      </c>
      <c r="PKO362" s="633">
        <v>3606558.6500000022</v>
      </c>
      <c r="PKP362" s="633">
        <v>3549118.4400000018</v>
      </c>
      <c r="PKQ362" s="634">
        <v>39996846</v>
      </c>
      <c r="PKR362" s="633">
        <f>SUM(PKE362:PKP362)</f>
        <v>39996846.150000013</v>
      </c>
      <c r="PKS362" s="631" t="s">
        <v>1836</v>
      </c>
      <c r="PKT362" s="632" t="s">
        <v>1673</v>
      </c>
      <c r="PKU362" s="633">
        <v>3470702.0100000007</v>
      </c>
      <c r="PKV362" s="633">
        <v>3448347.94</v>
      </c>
      <c r="PKW362" s="633">
        <v>3398526.4800000009</v>
      </c>
      <c r="PKX362" s="633">
        <v>2159854.59</v>
      </c>
      <c r="PKY362" s="633">
        <v>3563316.060000001</v>
      </c>
      <c r="PKZ362" s="633">
        <v>3305610.92</v>
      </c>
      <c r="PLA362" s="633">
        <v>3255686.1799999992</v>
      </c>
      <c r="PLB362" s="633">
        <v>3172108.3800000018</v>
      </c>
      <c r="PLC362" s="633">
        <v>3430726.5900000026</v>
      </c>
      <c r="PLD362" s="633">
        <v>3636289.9099999997</v>
      </c>
      <c r="PLE362" s="633">
        <v>3606558.6500000022</v>
      </c>
      <c r="PLF362" s="633">
        <v>3549118.4400000018</v>
      </c>
      <c r="PLG362" s="634">
        <v>39996846</v>
      </c>
      <c r="PLH362" s="633">
        <f>SUM(PKU362:PLF362)</f>
        <v>39996846.150000013</v>
      </c>
      <c r="PLI362" s="631" t="s">
        <v>1836</v>
      </c>
      <c r="PLJ362" s="632" t="s">
        <v>1673</v>
      </c>
      <c r="PLK362" s="633">
        <v>3470702.0100000007</v>
      </c>
      <c r="PLL362" s="633">
        <v>3448347.94</v>
      </c>
      <c r="PLM362" s="633">
        <v>3398526.4800000009</v>
      </c>
      <c r="PLN362" s="633">
        <v>2159854.59</v>
      </c>
      <c r="PLO362" s="633">
        <v>3563316.060000001</v>
      </c>
      <c r="PLP362" s="633">
        <v>3305610.92</v>
      </c>
      <c r="PLQ362" s="633">
        <v>3255686.1799999992</v>
      </c>
      <c r="PLR362" s="633">
        <v>3172108.3800000018</v>
      </c>
      <c r="PLS362" s="633">
        <v>3430726.5900000026</v>
      </c>
      <c r="PLT362" s="633">
        <v>3636289.9099999997</v>
      </c>
      <c r="PLU362" s="633">
        <v>3606558.6500000022</v>
      </c>
      <c r="PLV362" s="633">
        <v>3549118.4400000018</v>
      </c>
      <c r="PLW362" s="634">
        <v>39996846</v>
      </c>
      <c r="PLX362" s="633">
        <f>SUM(PLK362:PLV362)</f>
        <v>39996846.150000013</v>
      </c>
      <c r="PLY362" s="631" t="s">
        <v>1836</v>
      </c>
      <c r="PLZ362" s="632" t="s">
        <v>1673</v>
      </c>
      <c r="PMA362" s="633">
        <v>3470702.0100000007</v>
      </c>
      <c r="PMB362" s="633">
        <v>3448347.94</v>
      </c>
      <c r="PMC362" s="633">
        <v>3398526.4800000009</v>
      </c>
      <c r="PMD362" s="633">
        <v>2159854.59</v>
      </c>
      <c r="PME362" s="633">
        <v>3563316.060000001</v>
      </c>
      <c r="PMF362" s="633">
        <v>3305610.92</v>
      </c>
      <c r="PMG362" s="633">
        <v>3255686.1799999992</v>
      </c>
      <c r="PMH362" s="633">
        <v>3172108.3800000018</v>
      </c>
      <c r="PMI362" s="633">
        <v>3430726.5900000026</v>
      </c>
      <c r="PMJ362" s="633">
        <v>3636289.9099999997</v>
      </c>
      <c r="PMK362" s="633">
        <v>3606558.6500000022</v>
      </c>
      <c r="PML362" s="633">
        <v>3549118.4400000018</v>
      </c>
      <c r="PMM362" s="634">
        <v>39996846</v>
      </c>
      <c r="PMN362" s="633">
        <f>SUM(PMA362:PML362)</f>
        <v>39996846.150000013</v>
      </c>
      <c r="PMO362" s="631" t="s">
        <v>1836</v>
      </c>
      <c r="PMP362" s="632" t="s">
        <v>1673</v>
      </c>
      <c r="PMQ362" s="633">
        <v>3470702.0100000007</v>
      </c>
      <c r="PMR362" s="633">
        <v>3448347.94</v>
      </c>
      <c r="PMS362" s="633">
        <v>3398526.4800000009</v>
      </c>
      <c r="PMT362" s="633">
        <v>2159854.59</v>
      </c>
      <c r="PMU362" s="633">
        <v>3563316.060000001</v>
      </c>
      <c r="PMV362" s="633">
        <v>3305610.92</v>
      </c>
      <c r="PMW362" s="633">
        <v>3255686.1799999992</v>
      </c>
      <c r="PMX362" s="633">
        <v>3172108.3800000018</v>
      </c>
      <c r="PMY362" s="633">
        <v>3430726.5900000026</v>
      </c>
      <c r="PMZ362" s="633">
        <v>3636289.9099999997</v>
      </c>
      <c r="PNA362" s="633">
        <v>3606558.6500000022</v>
      </c>
      <c r="PNB362" s="633">
        <v>3549118.4400000018</v>
      </c>
      <c r="PNC362" s="634">
        <v>39996846</v>
      </c>
      <c r="PND362" s="633">
        <f>SUM(PMQ362:PNB362)</f>
        <v>39996846.150000013</v>
      </c>
      <c r="PNE362" s="631" t="s">
        <v>1836</v>
      </c>
      <c r="PNF362" s="632" t="s">
        <v>1673</v>
      </c>
      <c r="PNG362" s="633">
        <v>3470702.0100000007</v>
      </c>
      <c r="PNH362" s="633">
        <v>3448347.94</v>
      </c>
      <c r="PNI362" s="633">
        <v>3398526.4800000009</v>
      </c>
      <c r="PNJ362" s="633">
        <v>2159854.59</v>
      </c>
      <c r="PNK362" s="633">
        <v>3563316.060000001</v>
      </c>
      <c r="PNL362" s="633">
        <v>3305610.92</v>
      </c>
      <c r="PNM362" s="633">
        <v>3255686.1799999992</v>
      </c>
      <c r="PNN362" s="633">
        <v>3172108.3800000018</v>
      </c>
      <c r="PNO362" s="633">
        <v>3430726.5900000026</v>
      </c>
      <c r="PNP362" s="633">
        <v>3636289.9099999997</v>
      </c>
      <c r="PNQ362" s="633">
        <v>3606558.6500000022</v>
      </c>
      <c r="PNR362" s="633">
        <v>3549118.4400000018</v>
      </c>
      <c r="PNS362" s="634">
        <v>39996846</v>
      </c>
      <c r="PNT362" s="633">
        <f>SUM(PNG362:PNR362)</f>
        <v>39996846.150000013</v>
      </c>
      <c r="PNU362" s="631" t="s">
        <v>1836</v>
      </c>
      <c r="PNV362" s="632" t="s">
        <v>1673</v>
      </c>
      <c r="PNW362" s="633">
        <v>3470702.0100000007</v>
      </c>
      <c r="PNX362" s="633">
        <v>3448347.94</v>
      </c>
      <c r="PNY362" s="633">
        <v>3398526.4800000009</v>
      </c>
      <c r="PNZ362" s="633">
        <v>2159854.59</v>
      </c>
      <c r="POA362" s="633">
        <v>3563316.060000001</v>
      </c>
      <c r="POB362" s="633">
        <v>3305610.92</v>
      </c>
      <c r="POC362" s="633">
        <v>3255686.1799999992</v>
      </c>
      <c r="POD362" s="633">
        <v>3172108.3800000018</v>
      </c>
      <c r="POE362" s="633">
        <v>3430726.5900000026</v>
      </c>
      <c r="POF362" s="633">
        <v>3636289.9099999997</v>
      </c>
      <c r="POG362" s="633">
        <v>3606558.6500000022</v>
      </c>
      <c r="POH362" s="633">
        <v>3549118.4400000018</v>
      </c>
      <c r="POI362" s="634">
        <v>39996846</v>
      </c>
      <c r="POJ362" s="633">
        <f>SUM(PNW362:POH362)</f>
        <v>39996846.150000013</v>
      </c>
      <c r="POK362" s="631" t="s">
        <v>1836</v>
      </c>
      <c r="POL362" s="632" t="s">
        <v>1673</v>
      </c>
      <c r="POM362" s="633">
        <v>3470702.0100000007</v>
      </c>
      <c r="PON362" s="633">
        <v>3448347.94</v>
      </c>
      <c r="POO362" s="633">
        <v>3398526.4800000009</v>
      </c>
      <c r="POP362" s="633">
        <v>2159854.59</v>
      </c>
      <c r="POQ362" s="633">
        <v>3563316.060000001</v>
      </c>
      <c r="POR362" s="633">
        <v>3305610.92</v>
      </c>
      <c r="POS362" s="633">
        <v>3255686.1799999992</v>
      </c>
      <c r="POT362" s="633">
        <v>3172108.3800000018</v>
      </c>
      <c r="POU362" s="633">
        <v>3430726.5900000026</v>
      </c>
      <c r="POV362" s="633">
        <v>3636289.9099999997</v>
      </c>
      <c r="POW362" s="633">
        <v>3606558.6500000022</v>
      </c>
      <c r="POX362" s="633">
        <v>3549118.4400000018</v>
      </c>
      <c r="POY362" s="634">
        <v>39996846</v>
      </c>
      <c r="POZ362" s="633">
        <f>SUM(POM362:POX362)</f>
        <v>39996846.150000013</v>
      </c>
      <c r="PPA362" s="631" t="s">
        <v>1836</v>
      </c>
      <c r="PPB362" s="632" t="s">
        <v>1673</v>
      </c>
      <c r="PPC362" s="633">
        <v>3470702.0100000007</v>
      </c>
      <c r="PPD362" s="633">
        <v>3448347.94</v>
      </c>
      <c r="PPE362" s="633">
        <v>3398526.4800000009</v>
      </c>
      <c r="PPF362" s="633">
        <v>2159854.59</v>
      </c>
      <c r="PPG362" s="633">
        <v>3563316.060000001</v>
      </c>
      <c r="PPH362" s="633">
        <v>3305610.92</v>
      </c>
      <c r="PPI362" s="633">
        <v>3255686.1799999992</v>
      </c>
      <c r="PPJ362" s="633">
        <v>3172108.3800000018</v>
      </c>
      <c r="PPK362" s="633">
        <v>3430726.5900000026</v>
      </c>
      <c r="PPL362" s="633">
        <v>3636289.9099999997</v>
      </c>
      <c r="PPM362" s="633">
        <v>3606558.6500000022</v>
      </c>
      <c r="PPN362" s="633">
        <v>3549118.4400000018</v>
      </c>
      <c r="PPO362" s="634">
        <v>39996846</v>
      </c>
      <c r="PPP362" s="633">
        <f>SUM(PPC362:PPN362)</f>
        <v>39996846.150000013</v>
      </c>
      <c r="PPQ362" s="631" t="s">
        <v>1836</v>
      </c>
      <c r="PPR362" s="632" t="s">
        <v>1673</v>
      </c>
      <c r="PPS362" s="633">
        <v>3470702.0100000007</v>
      </c>
      <c r="PPT362" s="633">
        <v>3448347.94</v>
      </c>
      <c r="PPU362" s="633">
        <v>3398526.4800000009</v>
      </c>
      <c r="PPV362" s="633">
        <v>2159854.59</v>
      </c>
      <c r="PPW362" s="633">
        <v>3563316.060000001</v>
      </c>
      <c r="PPX362" s="633">
        <v>3305610.92</v>
      </c>
      <c r="PPY362" s="633">
        <v>3255686.1799999992</v>
      </c>
      <c r="PPZ362" s="633">
        <v>3172108.3800000018</v>
      </c>
      <c r="PQA362" s="633">
        <v>3430726.5900000026</v>
      </c>
      <c r="PQB362" s="633">
        <v>3636289.9099999997</v>
      </c>
      <c r="PQC362" s="633">
        <v>3606558.6500000022</v>
      </c>
      <c r="PQD362" s="633">
        <v>3549118.4400000018</v>
      </c>
      <c r="PQE362" s="634">
        <v>39996846</v>
      </c>
      <c r="PQF362" s="633">
        <f>SUM(PPS362:PQD362)</f>
        <v>39996846.150000013</v>
      </c>
      <c r="PQG362" s="631" t="s">
        <v>1836</v>
      </c>
      <c r="PQH362" s="632" t="s">
        <v>1673</v>
      </c>
      <c r="PQI362" s="633">
        <v>3470702.0100000007</v>
      </c>
      <c r="PQJ362" s="633">
        <v>3448347.94</v>
      </c>
      <c r="PQK362" s="633">
        <v>3398526.4800000009</v>
      </c>
      <c r="PQL362" s="633">
        <v>2159854.59</v>
      </c>
      <c r="PQM362" s="633">
        <v>3563316.060000001</v>
      </c>
      <c r="PQN362" s="633">
        <v>3305610.92</v>
      </c>
      <c r="PQO362" s="633">
        <v>3255686.1799999992</v>
      </c>
      <c r="PQP362" s="633">
        <v>3172108.3800000018</v>
      </c>
      <c r="PQQ362" s="633">
        <v>3430726.5900000026</v>
      </c>
      <c r="PQR362" s="633">
        <v>3636289.9099999997</v>
      </c>
      <c r="PQS362" s="633">
        <v>3606558.6500000022</v>
      </c>
      <c r="PQT362" s="633">
        <v>3549118.4400000018</v>
      </c>
      <c r="PQU362" s="634">
        <v>39996846</v>
      </c>
      <c r="PQV362" s="633">
        <f>SUM(PQI362:PQT362)</f>
        <v>39996846.150000013</v>
      </c>
      <c r="PQW362" s="631" t="s">
        <v>1836</v>
      </c>
      <c r="PQX362" s="632" t="s">
        <v>1673</v>
      </c>
      <c r="PQY362" s="633">
        <v>3470702.0100000007</v>
      </c>
      <c r="PQZ362" s="633">
        <v>3448347.94</v>
      </c>
      <c r="PRA362" s="633">
        <v>3398526.4800000009</v>
      </c>
      <c r="PRB362" s="633">
        <v>2159854.59</v>
      </c>
      <c r="PRC362" s="633">
        <v>3563316.060000001</v>
      </c>
      <c r="PRD362" s="633">
        <v>3305610.92</v>
      </c>
      <c r="PRE362" s="633">
        <v>3255686.1799999992</v>
      </c>
      <c r="PRF362" s="633">
        <v>3172108.3800000018</v>
      </c>
      <c r="PRG362" s="633">
        <v>3430726.5900000026</v>
      </c>
      <c r="PRH362" s="633">
        <v>3636289.9099999997</v>
      </c>
      <c r="PRI362" s="633">
        <v>3606558.6500000022</v>
      </c>
      <c r="PRJ362" s="633">
        <v>3549118.4400000018</v>
      </c>
      <c r="PRK362" s="634">
        <v>39996846</v>
      </c>
      <c r="PRL362" s="633">
        <f>SUM(PQY362:PRJ362)</f>
        <v>39996846.150000013</v>
      </c>
      <c r="PRM362" s="631" t="s">
        <v>1836</v>
      </c>
      <c r="PRN362" s="632" t="s">
        <v>1673</v>
      </c>
      <c r="PRO362" s="633">
        <v>3470702.0100000007</v>
      </c>
      <c r="PRP362" s="633">
        <v>3448347.94</v>
      </c>
      <c r="PRQ362" s="633">
        <v>3398526.4800000009</v>
      </c>
      <c r="PRR362" s="633">
        <v>2159854.59</v>
      </c>
      <c r="PRS362" s="633">
        <v>3563316.060000001</v>
      </c>
      <c r="PRT362" s="633">
        <v>3305610.92</v>
      </c>
      <c r="PRU362" s="633">
        <v>3255686.1799999992</v>
      </c>
      <c r="PRV362" s="633">
        <v>3172108.3800000018</v>
      </c>
      <c r="PRW362" s="633">
        <v>3430726.5900000026</v>
      </c>
      <c r="PRX362" s="633">
        <v>3636289.9099999997</v>
      </c>
      <c r="PRY362" s="633">
        <v>3606558.6500000022</v>
      </c>
      <c r="PRZ362" s="633">
        <v>3549118.4400000018</v>
      </c>
      <c r="PSA362" s="634">
        <v>39996846</v>
      </c>
      <c r="PSB362" s="633">
        <f>SUM(PRO362:PRZ362)</f>
        <v>39996846.150000013</v>
      </c>
      <c r="PSC362" s="631" t="s">
        <v>1836</v>
      </c>
      <c r="PSD362" s="632" t="s">
        <v>1673</v>
      </c>
      <c r="PSE362" s="633">
        <v>3470702.0100000007</v>
      </c>
      <c r="PSF362" s="633">
        <v>3448347.94</v>
      </c>
      <c r="PSG362" s="633">
        <v>3398526.4800000009</v>
      </c>
      <c r="PSH362" s="633">
        <v>2159854.59</v>
      </c>
      <c r="PSI362" s="633">
        <v>3563316.060000001</v>
      </c>
      <c r="PSJ362" s="633">
        <v>3305610.92</v>
      </c>
      <c r="PSK362" s="633">
        <v>3255686.1799999992</v>
      </c>
      <c r="PSL362" s="633">
        <v>3172108.3800000018</v>
      </c>
      <c r="PSM362" s="633">
        <v>3430726.5900000026</v>
      </c>
      <c r="PSN362" s="633">
        <v>3636289.9099999997</v>
      </c>
      <c r="PSO362" s="633">
        <v>3606558.6500000022</v>
      </c>
      <c r="PSP362" s="633">
        <v>3549118.4400000018</v>
      </c>
      <c r="PSQ362" s="634">
        <v>39996846</v>
      </c>
      <c r="PSR362" s="633">
        <f>SUM(PSE362:PSP362)</f>
        <v>39996846.150000013</v>
      </c>
      <c r="PSS362" s="631" t="s">
        <v>1836</v>
      </c>
      <c r="PST362" s="632" t="s">
        <v>1673</v>
      </c>
      <c r="PSU362" s="633">
        <v>3470702.0100000007</v>
      </c>
      <c r="PSV362" s="633">
        <v>3448347.94</v>
      </c>
      <c r="PSW362" s="633">
        <v>3398526.4800000009</v>
      </c>
      <c r="PSX362" s="633">
        <v>2159854.59</v>
      </c>
      <c r="PSY362" s="633">
        <v>3563316.060000001</v>
      </c>
      <c r="PSZ362" s="633">
        <v>3305610.92</v>
      </c>
      <c r="PTA362" s="633">
        <v>3255686.1799999992</v>
      </c>
      <c r="PTB362" s="633">
        <v>3172108.3800000018</v>
      </c>
      <c r="PTC362" s="633">
        <v>3430726.5900000026</v>
      </c>
      <c r="PTD362" s="633">
        <v>3636289.9099999997</v>
      </c>
      <c r="PTE362" s="633">
        <v>3606558.6500000022</v>
      </c>
      <c r="PTF362" s="633">
        <v>3549118.4400000018</v>
      </c>
      <c r="PTG362" s="634">
        <v>39996846</v>
      </c>
      <c r="PTH362" s="633">
        <f>SUM(PSU362:PTF362)</f>
        <v>39996846.150000013</v>
      </c>
      <c r="PTI362" s="631" t="s">
        <v>1836</v>
      </c>
      <c r="PTJ362" s="632" t="s">
        <v>1673</v>
      </c>
      <c r="PTK362" s="633">
        <v>3470702.0100000007</v>
      </c>
      <c r="PTL362" s="633">
        <v>3448347.94</v>
      </c>
      <c r="PTM362" s="633">
        <v>3398526.4800000009</v>
      </c>
      <c r="PTN362" s="633">
        <v>2159854.59</v>
      </c>
      <c r="PTO362" s="633">
        <v>3563316.060000001</v>
      </c>
      <c r="PTP362" s="633">
        <v>3305610.92</v>
      </c>
      <c r="PTQ362" s="633">
        <v>3255686.1799999992</v>
      </c>
      <c r="PTR362" s="633">
        <v>3172108.3800000018</v>
      </c>
      <c r="PTS362" s="633">
        <v>3430726.5900000026</v>
      </c>
      <c r="PTT362" s="633">
        <v>3636289.9099999997</v>
      </c>
      <c r="PTU362" s="633">
        <v>3606558.6500000022</v>
      </c>
      <c r="PTV362" s="633">
        <v>3549118.4400000018</v>
      </c>
      <c r="PTW362" s="634">
        <v>39996846</v>
      </c>
      <c r="PTX362" s="633">
        <f>SUM(PTK362:PTV362)</f>
        <v>39996846.150000013</v>
      </c>
      <c r="PTY362" s="631" t="s">
        <v>1836</v>
      </c>
      <c r="PTZ362" s="632" t="s">
        <v>1673</v>
      </c>
      <c r="PUA362" s="633">
        <v>3470702.0100000007</v>
      </c>
      <c r="PUB362" s="633">
        <v>3448347.94</v>
      </c>
      <c r="PUC362" s="633">
        <v>3398526.4800000009</v>
      </c>
      <c r="PUD362" s="633">
        <v>2159854.59</v>
      </c>
      <c r="PUE362" s="633">
        <v>3563316.060000001</v>
      </c>
      <c r="PUF362" s="633">
        <v>3305610.92</v>
      </c>
      <c r="PUG362" s="633">
        <v>3255686.1799999992</v>
      </c>
      <c r="PUH362" s="633">
        <v>3172108.3800000018</v>
      </c>
      <c r="PUI362" s="633">
        <v>3430726.5900000026</v>
      </c>
      <c r="PUJ362" s="633">
        <v>3636289.9099999997</v>
      </c>
      <c r="PUK362" s="633">
        <v>3606558.6500000022</v>
      </c>
      <c r="PUL362" s="633">
        <v>3549118.4400000018</v>
      </c>
      <c r="PUM362" s="634">
        <v>39996846</v>
      </c>
      <c r="PUN362" s="633">
        <f>SUM(PUA362:PUL362)</f>
        <v>39996846.150000013</v>
      </c>
      <c r="PUO362" s="631" t="s">
        <v>1836</v>
      </c>
      <c r="PUP362" s="632" t="s">
        <v>1673</v>
      </c>
      <c r="PUQ362" s="633">
        <v>3470702.0100000007</v>
      </c>
      <c r="PUR362" s="633">
        <v>3448347.94</v>
      </c>
      <c r="PUS362" s="633">
        <v>3398526.4800000009</v>
      </c>
      <c r="PUT362" s="633">
        <v>2159854.59</v>
      </c>
      <c r="PUU362" s="633">
        <v>3563316.060000001</v>
      </c>
      <c r="PUV362" s="633">
        <v>3305610.92</v>
      </c>
      <c r="PUW362" s="633">
        <v>3255686.1799999992</v>
      </c>
      <c r="PUX362" s="633">
        <v>3172108.3800000018</v>
      </c>
      <c r="PUY362" s="633">
        <v>3430726.5900000026</v>
      </c>
      <c r="PUZ362" s="633">
        <v>3636289.9099999997</v>
      </c>
      <c r="PVA362" s="633">
        <v>3606558.6500000022</v>
      </c>
      <c r="PVB362" s="633">
        <v>3549118.4400000018</v>
      </c>
      <c r="PVC362" s="634">
        <v>39996846</v>
      </c>
      <c r="PVD362" s="633">
        <f>SUM(PUQ362:PVB362)</f>
        <v>39996846.150000013</v>
      </c>
      <c r="PVE362" s="631" t="s">
        <v>1836</v>
      </c>
      <c r="PVF362" s="632" t="s">
        <v>1673</v>
      </c>
      <c r="PVG362" s="633">
        <v>3470702.0100000007</v>
      </c>
      <c r="PVH362" s="633">
        <v>3448347.94</v>
      </c>
      <c r="PVI362" s="633">
        <v>3398526.4800000009</v>
      </c>
      <c r="PVJ362" s="633">
        <v>2159854.59</v>
      </c>
      <c r="PVK362" s="633">
        <v>3563316.060000001</v>
      </c>
      <c r="PVL362" s="633">
        <v>3305610.92</v>
      </c>
      <c r="PVM362" s="633">
        <v>3255686.1799999992</v>
      </c>
      <c r="PVN362" s="633">
        <v>3172108.3800000018</v>
      </c>
      <c r="PVO362" s="633">
        <v>3430726.5900000026</v>
      </c>
      <c r="PVP362" s="633">
        <v>3636289.9099999997</v>
      </c>
      <c r="PVQ362" s="633">
        <v>3606558.6500000022</v>
      </c>
      <c r="PVR362" s="633">
        <v>3549118.4400000018</v>
      </c>
      <c r="PVS362" s="634">
        <v>39996846</v>
      </c>
      <c r="PVT362" s="633">
        <f>SUM(PVG362:PVR362)</f>
        <v>39996846.150000013</v>
      </c>
      <c r="PVU362" s="631" t="s">
        <v>1836</v>
      </c>
      <c r="PVV362" s="632" t="s">
        <v>1673</v>
      </c>
      <c r="PVW362" s="633">
        <v>3470702.0100000007</v>
      </c>
      <c r="PVX362" s="633">
        <v>3448347.94</v>
      </c>
      <c r="PVY362" s="633">
        <v>3398526.4800000009</v>
      </c>
      <c r="PVZ362" s="633">
        <v>2159854.59</v>
      </c>
      <c r="PWA362" s="633">
        <v>3563316.060000001</v>
      </c>
      <c r="PWB362" s="633">
        <v>3305610.92</v>
      </c>
      <c r="PWC362" s="633">
        <v>3255686.1799999992</v>
      </c>
      <c r="PWD362" s="633">
        <v>3172108.3800000018</v>
      </c>
      <c r="PWE362" s="633">
        <v>3430726.5900000026</v>
      </c>
      <c r="PWF362" s="633">
        <v>3636289.9099999997</v>
      </c>
      <c r="PWG362" s="633">
        <v>3606558.6500000022</v>
      </c>
      <c r="PWH362" s="633">
        <v>3549118.4400000018</v>
      </c>
      <c r="PWI362" s="634">
        <v>39996846</v>
      </c>
      <c r="PWJ362" s="633">
        <f>SUM(PVW362:PWH362)</f>
        <v>39996846.150000013</v>
      </c>
      <c r="PWK362" s="631" t="s">
        <v>1836</v>
      </c>
      <c r="PWL362" s="632" t="s">
        <v>1673</v>
      </c>
      <c r="PWM362" s="633">
        <v>3470702.0100000007</v>
      </c>
      <c r="PWN362" s="633">
        <v>3448347.94</v>
      </c>
      <c r="PWO362" s="633">
        <v>3398526.4800000009</v>
      </c>
      <c r="PWP362" s="633">
        <v>2159854.59</v>
      </c>
      <c r="PWQ362" s="633">
        <v>3563316.060000001</v>
      </c>
      <c r="PWR362" s="633">
        <v>3305610.92</v>
      </c>
      <c r="PWS362" s="633">
        <v>3255686.1799999992</v>
      </c>
      <c r="PWT362" s="633">
        <v>3172108.3800000018</v>
      </c>
      <c r="PWU362" s="633">
        <v>3430726.5900000026</v>
      </c>
      <c r="PWV362" s="633">
        <v>3636289.9099999997</v>
      </c>
      <c r="PWW362" s="633">
        <v>3606558.6500000022</v>
      </c>
      <c r="PWX362" s="633">
        <v>3549118.4400000018</v>
      </c>
      <c r="PWY362" s="634">
        <v>39996846</v>
      </c>
      <c r="PWZ362" s="633">
        <f>SUM(PWM362:PWX362)</f>
        <v>39996846.150000013</v>
      </c>
      <c r="PXA362" s="631" t="s">
        <v>1836</v>
      </c>
      <c r="PXB362" s="632" t="s">
        <v>1673</v>
      </c>
      <c r="PXC362" s="633">
        <v>3470702.0100000007</v>
      </c>
      <c r="PXD362" s="633">
        <v>3448347.94</v>
      </c>
      <c r="PXE362" s="633">
        <v>3398526.4800000009</v>
      </c>
      <c r="PXF362" s="633">
        <v>2159854.59</v>
      </c>
      <c r="PXG362" s="633">
        <v>3563316.060000001</v>
      </c>
      <c r="PXH362" s="633">
        <v>3305610.92</v>
      </c>
      <c r="PXI362" s="633">
        <v>3255686.1799999992</v>
      </c>
      <c r="PXJ362" s="633">
        <v>3172108.3800000018</v>
      </c>
      <c r="PXK362" s="633">
        <v>3430726.5900000026</v>
      </c>
      <c r="PXL362" s="633">
        <v>3636289.9099999997</v>
      </c>
      <c r="PXM362" s="633">
        <v>3606558.6500000022</v>
      </c>
      <c r="PXN362" s="633">
        <v>3549118.4400000018</v>
      </c>
      <c r="PXO362" s="634">
        <v>39996846</v>
      </c>
      <c r="PXP362" s="633">
        <f>SUM(PXC362:PXN362)</f>
        <v>39996846.150000013</v>
      </c>
      <c r="PXQ362" s="631" t="s">
        <v>1836</v>
      </c>
      <c r="PXR362" s="632" t="s">
        <v>1673</v>
      </c>
      <c r="PXS362" s="633">
        <v>3470702.0100000007</v>
      </c>
      <c r="PXT362" s="633">
        <v>3448347.94</v>
      </c>
      <c r="PXU362" s="633">
        <v>3398526.4800000009</v>
      </c>
      <c r="PXV362" s="633">
        <v>2159854.59</v>
      </c>
      <c r="PXW362" s="633">
        <v>3563316.060000001</v>
      </c>
      <c r="PXX362" s="633">
        <v>3305610.92</v>
      </c>
      <c r="PXY362" s="633">
        <v>3255686.1799999992</v>
      </c>
      <c r="PXZ362" s="633">
        <v>3172108.3800000018</v>
      </c>
      <c r="PYA362" s="633">
        <v>3430726.5900000026</v>
      </c>
      <c r="PYB362" s="633">
        <v>3636289.9099999997</v>
      </c>
      <c r="PYC362" s="633">
        <v>3606558.6500000022</v>
      </c>
      <c r="PYD362" s="633">
        <v>3549118.4400000018</v>
      </c>
      <c r="PYE362" s="634">
        <v>39996846</v>
      </c>
      <c r="PYF362" s="633">
        <f>SUM(PXS362:PYD362)</f>
        <v>39996846.150000013</v>
      </c>
      <c r="PYG362" s="631" t="s">
        <v>1836</v>
      </c>
      <c r="PYH362" s="632" t="s">
        <v>1673</v>
      </c>
      <c r="PYI362" s="633">
        <v>3470702.0100000007</v>
      </c>
      <c r="PYJ362" s="633">
        <v>3448347.94</v>
      </c>
      <c r="PYK362" s="633">
        <v>3398526.4800000009</v>
      </c>
      <c r="PYL362" s="633">
        <v>2159854.59</v>
      </c>
      <c r="PYM362" s="633">
        <v>3563316.060000001</v>
      </c>
      <c r="PYN362" s="633">
        <v>3305610.92</v>
      </c>
      <c r="PYO362" s="633">
        <v>3255686.1799999992</v>
      </c>
      <c r="PYP362" s="633">
        <v>3172108.3800000018</v>
      </c>
      <c r="PYQ362" s="633">
        <v>3430726.5900000026</v>
      </c>
      <c r="PYR362" s="633">
        <v>3636289.9099999997</v>
      </c>
      <c r="PYS362" s="633">
        <v>3606558.6500000022</v>
      </c>
      <c r="PYT362" s="633">
        <v>3549118.4400000018</v>
      </c>
      <c r="PYU362" s="634">
        <v>39996846</v>
      </c>
      <c r="PYV362" s="633">
        <f>SUM(PYI362:PYT362)</f>
        <v>39996846.150000013</v>
      </c>
      <c r="PYW362" s="631" t="s">
        <v>1836</v>
      </c>
      <c r="PYX362" s="632" t="s">
        <v>1673</v>
      </c>
      <c r="PYY362" s="633">
        <v>3470702.0100000007</v>
      </c>
      <c r="PYZ362" s="633">
        <v>3448347.94</v>
      </c>
      <c r="PZA362" s="633">
        <v>3398526.4800000009</v>
      </c>
      <c r="PZB362" s="633">
        <v>2159854.59</v>
      </c>
      <c r="PZC362" s="633">
        <v>3563316.060000001</v>
      </c>
      <c r="PZD362" s="633">
        <v>3305610.92</v>
      </c>
      <c r="PZE362" s="633">
        <v>3255686.1799999992</v>
      </c>
      <c r="PZF362" s="633">
        <v>3172108.3800000018</v>
      </c>
      <c r="PZG362" s="633">
        <v>3430726.5900000026</v>
      </c>
      <c r="PZH362" s="633">
        <v>3636289.9099999997</v>
      </c>
      <c r="PZI362" s="633">
        <v>3606558.6500000022</v>
      </c>
      <c r="PZJ362" s="633">
        <v>3549118.4400000018</v>
      </c>
      <c r="PZK362" s="634">
        <v>39996846</v>
      </c>
      <c r="PZL362" s="633">
        <f>SUM(PYY362:PZJ362)</f>
        <v>39996846.150000013</v>
      </c>
      <c r="PZM362" s="631" t="s">
        <v>1836</v>
      </c>
      <c r="PZN362" s="632" t="s">
        <v>1673</v>
      </c>
      <c r="PZO362" s="633">
        <v>3470702.0100000007</v>
      </c>
      <c r="PZP362" s="633">
        <v>3448347.94</v>
      </c>
      <c r="PZQ362" s="633">
        <v>3398526.4800000009</v>
      </c>
      <c r="PZR362" s="633">
        <v>2159854.59</v>
      </c>
      <c r="PZS362" s="633">
        <v>3563316.060000001</v>
      </c>
      <c r="PZT362" s="633">
        <v>3305610.92</v>
      </c>
      <c r="PZU362" s="633">
        <v>3255686.1799999992</v>
      </c>
      <c r="PZV362" s="633">
        <v>3172108.3800000018</v>
      </c>
      <c r="PZW362" s="633">
        <v>3430726.5900000026</v>
      </c>
      <c r="PZX362" s="633">
        <v>3636289.9099999997</v>
      </c>
      <c r="PZY362" s="633">
        <v>3606558.6500000022</v>
      </c>
      <c r="PZZ362" s="633">
        <v>3549118.4400000018</v>
      </c>
      <c r="QAA362" s="634">
        <v>39996846</v>
      </c>
      <c r="QAB362" s="633">
        <f>SUM(PZO362:PZZ362)</f>
        <v>39996846.150000013</v>
      </c>
      <c r="QAC362" s="631" t="s">
        <v>1836</v>
      </c>
      <c r="QAD362" s="632" t="s">
        <v>1673</v>
      </c>
      <c r="QAE362" s="633">
        <v>3470702.0100000007</v>
      </c>
      <c r="QAF362" s="633">
        <v>3448347.94</v>
      </c>
      <c r="QAG362" s="633">
        <v>3398526.4800000009</v>
      </c>
      <c r="QAH362" s="633">
        <v>2159854.59</v>
      </c>
      <c r="QAI362" s="633">
        <v>3563316.060000001</v>
      </c>
      <c r="QAJ362" s="633">
        <v>3305610.92</v>
      </c>
      <c r="QAK362" s="633">
        <v>3255686.1799999992</v>
      </c>
      <c r="QAL362" s="633">
        <v>3172108.3800000018</v>
      </c>
      <c r="QAM362" s="633">
        <v>3430726.5900000026</v>
      </c>
      <c r="QAN362" s="633">
        <v>3636289.9099999997</v>
      </c>
      <c r="QAO362" s="633">
        <v>3606558.6500000022</v>
      </c>
      <c r="QAP362" s="633">
        <v>3549118.4400000018</v>
      </c>
      <c r="QAQ362" s="634">
        <v>39996846</v>
      </c>
      <c r="QAR362" s="633">
        <f>SUM(QAE362:QAP362)</f>
        <v>39996846.150000013</v>
      </c>
      <c r="QAS362" s="631" t="s">
        <v>1836</v>
      </c>
      <c r="QAT362" s="632" t="s">
        <v>1673</v>
      </c>
      <c r="QAU362" s="633">
        <v>3470702.0100000007</v>
      </c>
      <c r="QAV362" s="633">
        <v>3448347.94</v>
      </c>
      <c r="QAW362" s="633">
        <v>3398526.4800000009</v>
      </c>
      <c r="QAX362" s="633">
        <v>2159854.59</v>
      </c>
      <c r="QAY362" s="633">
        <v>3563316.060000001</v>
      </c>
      <c r="QAZ362" s="633">
        <v>3305610.92</v>
      </c>
      <c r="QBA362" s="633">
        <v>3255686.1799999992</v>
      </c>
      <c r="QBB362" s="633">
        <v>3172108.3800000018</v>
      </c>
      <c r="QBC362" s="633">
        <v>3430726.5900000026</v>
      </c>
      <c r="QBD362" s="633">
        <v>3636289.9099999997</v>
      </c>
      <c r="QBE362" s="633">
        <v>3606558.6500000022</v>
      </c>
      <c r="QBF362" s="633">
        <v>3549118.4400000018</v>
      </c>
      <c r="QBG362" s="634">
        <v>39996846</v>
      </c>
      <c r="QBH362" s="633">
        <f>SUM(QAU362:QBF362)</f>
        <v>39996846.150000013</v>
      </c>
      <c r="QBI362" s="631" t="s">
        <v>1836</v>
      </c>
      <c r="QBJ362" s="632" t="s">
        <v>1673</v>
      </c>
      <c r="QBK362" s="633">
        <v>3470702.0100000007</v>
      </c>
      <c r="QBL362" s="633">
        <v>3448347.94</v>
      </c>
      <c r="QBM362" s="633">
        <v>3398526.4800000009</v>
      </c>
      <c r="QBN362" s="633">
        <v>2159854.59</v>
      </c>
      <c r="QBO362" s="633">
        <v>3563316.060000001</v>
      </c>
      <c r="QBP362" s="633">
        <v>3305610.92</v>
      </c>
      <c r="QBQ362" s="633">
        <v>3255686.1799999992</v>
      </c>
      <c r="QBR362" s="633">
        <v>3172108.3800000018</v>
      </c>
      <c r="QBS362" s="633">
        <v>3430726.5900000026</v>
      </c>
      <c r="QBT362" s="633">
        <v>3636289.9099999997</v>
      </c>
      <c r="QBU362" s="633">
        <v>3606558.6500000022</v>
      </c>
      <c r="QBV362" s="633">
        <v>3549118.4400000018</v>
      </c>
      <c r="QBW362" s="634">
        <v>39996846</v>
      </c>
      <c r="QBX362" s="633">
        <f>SUM(QBK362:QBV362)</f>
        <v>39996846.150000013</v>
      </c>
      <c r="QBY362" s="631" t="s">
        <v>1836</v>
      </c>
      <c r="QBZ362" s="632" t="s">
        <v>1673</v>
      </c>
      <c r="QCA362" s="633">
        <v>3470702.0100000007</v>
      </c>
      <c r="QCB362" s="633">
        <v>3448347.94</v>
      </c>
      <c r="QCC362" s="633">
        <v>3398526.4800000009</v>
      </c>
      <c r="QCD362" s="633">
        <v>2159854.59</v>
      </c>
      <c r="QCE362" s="633">
        <v>3563316.060000001</v>
      </c>
      <c r="QCF362" s="633">
        <v>3305610.92</v>
      </c>
      <c r="QCG362" s="633">
        <v>3255686.1799999992</v>
      </c>
      <c r="QCH362" s="633">
        <v>3172108.3800000018</v>
      </c>
      <c r="QCI362" s="633">
        <v>3430726.5900000026</v>
      </c>
      <c r="QCJ362" s="633">
        <v>3636289.9099999997</v>
      </c>
      <c r="QCK362" s="633">
        <v>3606558.6500000022</v>
      </c>
      <c r="QCL362" s="633">
        <v>3549118.4400000018</v>
      </c>
      <c r="QCM362" s="634">
        <v>39996846</v>
      </c>
      <c r="QCN362" s="633">
        <f>SUM(QCA362:QCL362)</f>
        <v>39996846.150000013</v>
      </c>
      <c r="QCO362" s="631" t="s">
        <v>1836</v>
      </c>
      <c r="QCP362" s="632" t="s">
        <v>1673</v>
      </c>
      <c r="QCQ362" s="633">
        <v>3470702.0100000007</v>
      </c>
      <c r="QCR362" s="633">
        <v>3448347.94</v>
      </c>
      <c r="QCS362" s="633">
        <v>3398526.4800000009</v>
      </c>
      <c r="QCT362" s="633">
        <v>2159854.59</v>
      </c>
      <c r="QCU362" s="633">
        <v>3563316.060000001</v>
      </c>
      <c r="QCV362" s="633">
        <v>3305610.92</v>
      </c>
      <c r="QCW362" s="633">
        <v>3255686.1799999992</v>
      </c>
      <c r="QCX362" s="633">
        <v>3172108.3800000018</v>
      </c>
      <c r="QCY362" s="633">
        <v>3430726.5900000026</v>
      </c>
      <c r="QCZ362" s="633">
        <v>3636289.9099999997</v>
      </c>
      <c r="QDA362" s="633">
        <v>3606558.6500000022</v>
      </c>
      <c r="QDB362" s="633">
        <v>3549118.4400000018</v>
      </c>
      <c r="QDC362" s="634">
        <v>39996846</v>
      </c>
      <c r="QDD362" s="633">
        <f>SUM(QCQ362:QDB362)</f>
        <v>39996846.150000013</v>
      </c>
      <c r="QDE362" s="631" t="s">
        <v>1836</v>
      </c>
      <c r="QDF362" s="632" t="s">
        <v>1673</v>
      </c>
      <c r="QDG362" s="633">
        <v>3470702.0100000007</v>
      </c>
      <c r="QDH362" s="633">
        <v>3448347.94</v>
      </c>
      <c r="QDI362" s="633">
        <v>3398526.4800000009</v>
      </c>
      <c r="QDJ362" s="633">
        <v>2159854.59</v>
      </c>
      <c r="QDK362" s="633">
        <v>3563316.060000001</v>
      </c>
      <c r="QDL362" s="633">
        <v>3305610.92</v>
      </c>
      <c r="QDM362" s="633">
        <v>3255686.1799999992</v>
      </c>
      <c r="QDN362" s="633">
        <v>3172108.3800000018</v>
      </c>
      <c r="QDO362" s="633">
        <v>3430726.5900000026</v>
      </c>
      <c r="QDP362" s="633">
        <v>3636289.9099999997</v>
      </c>
      <c r="QDQ362" s="633">
        <v>3606558.6500000022</v>
      </c>
      <c r="QDR362" s="633">
        <v>3549118.4400000018</v>
      </c>
      <c r="QDS362" s="634">
        <v>39996846</v>
      </c>
      <c r="QDT362" s="633">
        <f>SUM(QDG362:QDR362)</f>
        <v>39996846.150000013</v>
      </c>
      <c r="QDU362" s="631" t="s">
        <v>1836</v>
      </c>
      <c r="QDV362" s="632" t="s">
        <v>1673</v>
      </c>
      <c r="QDW362" s="633">
        <v>3470702.0100000007</v>
      </c>
      <c r="QDX362" s="633">
        <v>3448347.94</v>
      </c>
      <c r="QDY362" s="633">
        <v>3398526.4800000009</v>
      </c>
      <c r="QDZ362" s="633">
        <v>2159854.59</v>
      </c>
      <c r="QEA362" s="633">
        <v>3563316.060000001</v>
      </c>
      <c r="QEB362" s="633">
        <v>3305610.92</v>
      </c>
      <c r="QEC362" s="633">
        <v>3255686.1799999992</v>
      </c>
      <c r="QED362" s="633">
        <v>3172108.3800000018</v>
      </c>
      <c r="QEE362" s="633">
        <v>3430726.5900000026</v>
      </c>
      <c r="QEF362" s="633">
        <v>3636289.9099999997</v>
      </c>
      <c r="QEG362" s="633">
        <v>3606558.6500000022</v>
      </c>
      <c r="QEH362" s="633">
        <v>3549118.4400000018</v>
      </c>
      <c r="QEI362" s="634">
        <v>39996846</v>
      </c>
      <c r="QEJ362" s="633">
        <f>SUM(QDW362:QEH362)</f>
        <v>39996846.150000013</v>
      </c>
      <c r="QEK362" s="631" t="s">
        <v>1836</v>
      </c>
      <c r="QEL362" s="632" t="s">
        <v>1673</v>
      </c>
      <c r="QEM362" s="633">
        <v>3470702.0100000007</v>
      </c>
      <c r="QEN362" s="633">
        <v>3448347.94</v>
      </c>
      <c r="QEO362" s="633">
        <v>3398526.4800000009</v>
      </c>
      <c r="QEP362" s="633">
        <v>2159854.59</v>
      </c>
      <c r="QEQ362" s="633">
        <v>3563316.060000001</v>
      </c>
      <c r="QER362" s="633">
        <v>3305610.92</v>
      </c>
      <c r="QES362" s="633">
        <v>3255686.1799999992</v>
      </c>
      <c r="QET362" s="633">
        <v>3172108.3800000018</v>
      </c>
      <c r="QEU362" s="633">
        <v>3430726.5900000026</v>
      </c>
      <c r="QEV362" s="633">
        <v>3636289.9099999997</v>
      </c>
      <c r="QEW362" s="633">
        <v>3606558.6500000022</v>
      </c>
      <c r="QEX362" s="633">
        <v>3549118.4400000018</v>
      </c>
      <c r="QEY362" s="634">
        <v>39996846</v>
      </c>
      <c r="QEZ362" s="633">
        <f>SUM(QEM362:QEX362)</f>
        <v>39996846.150000013</v>
      </c>
      <c r="QFA362" s="631" t="s">
        <v>1836</v>
      </c>
      <c r="QFB362" s="632" t="s">
        <v>1673</v>
      </c>
      <c r="QFC362" s="633">
        <v>3470702.0100000007</v>
      </c>
      <c r="QFD362" s="633">
        <v>3448347.94</v>
      </c>
      <c r="QFE362" s="633">
        <v>3398526.4800000009</v>
      </c>
      <c r="QFF362" s="633">
        <v>2159854.59</v>
      </c>
      <c r="QFG362" s="633">
        <v>3563316.060000001</v>
      </c>
      <c r="QFH362" s="633">
        <v>3305610.92</v>
      </c>
      <c r="QFI362" s="633">
        <v>3255686.1799999992</v>
      </c>
      <c r="QFJ362" s="633">
        <v>3172108.3800000018</v>
      </c>
      <c r="QFK362" s="633">
        <v>3430726.5900000026</v>
      </c>
      <c r="QFL362" s="633">
        <v>3636289.9099999997</v>
      </c>
      <c r="QFM362" s="633">
        <v>3606558.6500000022</v>
      </c>
      <c r="QFN362" s="633">
        <v>3549118.4400000018</v>
      </c>
      <c r="QFO362" s="634">
        <v>39996846</v>
      </c>
      <c r="QFP362" s="633">
        <f>SUM(QFC362:QFN362)</f>
        <v>39996846.150000013</v>
      </c>
      <c r="QFQ362" s="631" t="s">
        <v>1836</v>
      </c>
      <c r="QFR362" s="632" t="s">
        <v>1673</v>
      </c>
      <c r="QFS362" s="633">
        <v>3470702.0100000007</v>
      </c>
      <c r="QFT362" s="633">
        <v>3448347.94</v>
      </c>
      <c r="QFU362" s="633">
        <v>3398526.4800000009</v>
      </c>
      <c r="QFV362" s="633">
        <v>2159854.59</v>
      </c>
      <c r="QFW362" s="633">
        <v>3563316.060000001</v>
      </c>
      <c r="QFX362" s="633">
        <v>3305610.92</v>
      </c>
      <c r="QFY362" s="633">
        <v>3255686.1799999992</v>
      </c>
      <c r="QFZ362" s="633">
        <v>3172108.3800000018</v>
      </c>
      <c r="QGA362" s="633">
        <v>3430726.5900000026</v>
      </c>
      <c r="QGB362" s="633">
        <v>3636289.9099999997</v>
      </c>
      <c r="QGC362" s="633">
        <v>3606558.6500000022</v>
      </c>
      <c r="QGD362" s="633">
        <v>3549118.4400000018</v>
      </c>
      <c r="QGE362" s="634">
        <v>39996846</v>
      </c>
      <c r="QGF362" s="633">
        <f>SUM(QFS362:QGD362)</f>
        <v>39996846.150000013</v>
      </c>
      <c r="QGG362" s="631" t="s">
        <v>1836</v>
      </c>
      <c r="QGH362" s="632" t="s">
        <v>1673</v>
      </c>
      <c r="QGI362" s="633">
        <v>3470702.0100000007</v>
      </c>
      <c r="QGJ362" s="633">
        <v>3448347.94</v>
      </c>
      <c r="QGK362" s="633">
        <v>3398526.4800000009</v>
      </c>
      <c r="QGL362" s="633">
        <v>2159854.59</v>
      </c>
      <c r="QGM362" s="633">
        <v>3563316.060000001</v>
      </c>
      <c r="QGN362" s="633">
        <v>3305610.92</v>
      </c>
      <c r="QGO362" s="633">
        <v>3255686.1799999992</v>
      </c>
      <c r="QGP362" s="633">
        <v>3172108.3800000018</v>
      </c>
      <c r="QGQ362" s="633">
        <v>3430726.5900000026</v>
      </c>
      <c r="QGR362" s="633">
        <v>3636289.9099999997</v>
      </c>
      <c r="QGS362" s="633">
        <v>3606558.6500000022</v>
      </c>
      <c r="QGT362" s="633">
        <v>3549118.4400000018</v>
      </c>
      <c r="QGU362" s="634">
        <v>39996846</v>
      </c>
      <c r="QGV362" s="633">
        <f>SUM(QGI362:QGT362)</f>
        <v>39996846.150000013</v>
      </c>
      <c r="QGW362" s="631" t="s">
        <v>1836</v>
      </c>
      <c r="QGX362" s="632" t="s">
        <v>1673</v>
      </c>
      <c r="QGY362" s="633">
        <v>3470702.0100000007</v>
      </c>
      <c r="QGZ362" s="633">
        <v>3448347.94</v>
      </c>
      <c r="QHA362" s="633">
        <v>3398526.4800000009</v>
      </c>
      <c r="QHB362" s="633">
        <v>2159854.59</v>
      </c>
      <c r="QHC362" s="633">
        <v>3563316.060000001</v>
      </c>
      <c r="QHD362" s="633">
        <v>3305610.92</v>
      </c>
      <c r="QHE362" s="633">
        <v>3255686.1799999992</v>
      </c>
      <c r="QHF362" s="633">
        <v>3172108.3800000018</v>
      </c>
      <c r="QHG362" s="633">
        <v>3430726.5900000026</v>
      </c>
      <c r="QHH362" s="633">
        <v>3636289.9099999997</v>
      </c>
      <c r="QHI362" s="633">
        <v>3606558.6500000022</v>
      </c>
      <c r="QHJ362" s="633">
        <v>3549118.4400000018</v>
      </c>
      <c r="QHK362" s="634">
        <v>39996846</v>
      </c>
      <c r="QHL362" s="633">
        <f>SUM(QGY362:QHJ362)</f>
        <v>39996846.150000013</v>
      </c>
      <c r="QHM362" s="631" t="s">
        <v>1836</v>
      </c>
      <c r="QHN362" s="632" t="s">
        <v>1673</v>
      </c>
      <c r="QHO362" s="633">
        <v>3470702.0100000007</v>
      </c>
      <c r="QHP362" s="633">
        <v>3448347.94</v>
      </c>
      <c r="QHQ362" s="633">
        <v>3398526.4800000009</v>
      </c>
      <c r="QHR362" s="633">
        <v>2159854.59</v>
      </c>
      <c r="QHS362" s="633">
        <v>3563316.060000001</v>
      </c>
      <c r="QHT362" s="633">
        <v>3305610.92</v>
      </c>
      <c r="QHU362" s="633">
        <v>3255686.1799999992</v>
      </c>
      <c r="QHV362" s="633">
        <v>3172108.3800000018</v>
      </c>
      <c r="QHW362" s="633">
        <v>3430726.5900000026</v>
      </c>
      <c r="QHX362" s="633">
        <v>3636289.9099999997</v>
      </c>
      <c r="QHY362" s="633">
        <v>3606558.6500000022</v>
      </c>
      <c r="QHZ362" s="633">
        <v>3549118.4400000018</v>
      </c>
      <c r="QIA362" s="634">
        <v>39996846</v>
      </c>
      <c r="QIB362" s="633">
        <f>SUM(QHO362:QHZ362)</f>
        <v>39996846.150000013</v>
      </c>
      <c r="QIC362" s="631" t="s">
        <v>1836</v>
      </c>
      <c r="QID362" s="632" t="s">
        <v>1673</v>
      </c>
      <c r="QIE362" s="633">
        <v>3470702.0100000007</v>
      </c>
      <c r="QIF362" s="633">
        <v>3448347.94</v>
      </c>
      <c r="QIG362" s="633">
        <v>3398526.4800000009</v>
      </c>
      <c r="QIH362" s="633">
        <v>2159854.59</v>
      </c>
      <c r="QII362" s="633">
        <v>3563316.060000001</v>
      </c>
      <c r="QIJ362" s="633">
        <v>3305610.92</v>
      </c>
      <c r="QIK362" s="633">
        <v>3255686.1799999992</v>
      </c>
      <c r="QIL362" s="633">
        <v>3172108.3800000018</v>
      </c>
      <c r="QIM362" s="633">
        <v>3430726.5900000026</v>
      </c>
      <c r="QIN362" s="633">
        <v>3636289.9099999997</v>
      </c>
      <c r="QIO362" s="633">
        <v>3606558.6500000022</v>
      </c>
      <c r="QIP362" s="633">
        <v>3549118.4400000018</v>
      </c>
      <c r="QIQ362" s="634">
        <v>39996846</v>
      </c>
      <c r="QIR362" s="633">
        <f>SUM(QIE362:QIP362)</f>
        <v>39996846.150000013</v>
      </c>
      <c r="QIS362" s="631" t="s">
        <v>1836</v>
      </c>
      <c r="QIT362" s="632" t="s">
        <v>1673</v>
      </c>
      <c r="QIU362" s="633">
        <v>3470702.0100000007</v>
      </c>
      <c r="QIV362" s="633">
        <v>3448347.94</v>
      </c>
      <c r="QIW362" s="633">
        <v>3398526.4800000009</v>
      </c>
      <c r="QIX362" s="633">
        <v>2159854.59</v>
      </c>
      <c r="QIY362" s="633">
        <v>3563316.060000001</v>
      </c>
      <c r="QIZ362" s="633">
        <v>3305610.92</v>
      </c>
      <c r="QJA362" s="633">
        <v>3255686.1799999992</v>
      </c>
      <c r="QJB362" s="633">
        <v>3172108.3800000018</v>
      </c>
      <c r="QJC362" s="633">
        <v>3430726.5900000026</v>
      </c>
      <c r="QJD362" s="633">
        <v>3636289.9099999997</v>
      </c>
      <c r="QJE362" s="633">
        <v>3606558.6500000022</v>
      </c>
      <c r="QJF362" s="633">
        <v>3549118.4400000018</v>
      </c>
      <c r="QJG362" s="634">
        <v>39996846</v>
      </c>
      <c r="QJH362" s="633">
        <f>SUM(QIU362:QJF362)</f>
        <v>39996846.150000013</v>
      </c>
      <c r="QJI362" s="631" t="s">
        <v>1836</v>
      </c>
      <c r="QJJ362" s="632" t="s">
        <v>1673</v>
      </c>
      <c r="QJK362" s="633">
        <v>3470702.0100000007</v>
      </c>
      <c r="QJL362" s="633">
        <v>3448347.94</v>
      </c>
      <c r="QJM362" s="633">
        <v>3398526.4800000009</v>
      </c>
      <c r="QJN362" s="633">
        <v>2159854.59</v>
      </c>
      <c r="QJO362" s="633">
        <v>3563316.060000001</v>
      </c>
      <c r="QJP362" s="633">
        <v>3305610.92</v>
      </c>
      <c r="QJQ362" s="633">
        <v>3255686.1799999992</v>
      </c>
      <c r="QJR362" s="633">
        <v>3172108.3800000018</v>
      </c>
      <c r="QJS362" s="633">
        <v>3430726.5900000026</v>
      </c>
      <c r="QJT362" s="633">
        <v>3636289.9099999997</v>
      </c>
      <c r="QJU362" s="633">
        <v>3606558.6500000022</v>
      </c>
      <c r="QJV362" s="633">
        <v>3549118.4400000018</v>
      </c>
      <c r="QJW362" s="634">
        <v>39996846</v>
      </c>
      <c r="QJX362" s="633">
        <f>SUM(QJK362:QJV362)</f>
        <v>39996846.150000013</v>
      </c>
      <c r="QJY362" s="631" t="s">
        <v>1836</v>
      </c>
      <c r="QJZ362" s="632" t="s">
        <v>1673</v>
      </c>
      <c r="QKA362" s="633">
        <v>3470702.0100000007</v>
      </c>
      <c r="QKB362" s="633">
        <v>3448347.94</v>
      </c>
      <c r="QKC362" s="633">
        <v>3398526.4800000009</v>
      </c>
      <c r="QKD362" s="633">
        <v>2159854.59</v>
      </c>
      <c r="QKE362" s="633">
        <v>3563316.060000001</v>
      </c>
      <c r="QKF362" s="633">
        <v>3305610.92</v>
      </c>
      <c r="QKG362" s="633">
        <v>3255686.1799999992</v>
      </c>
      <c r="QKH362" s="633">
        <v>3172108.3800000018</v>
      </c>
      <c r="QKI362" s="633">
        <v>3430726.5900000026</v>
      </c>
      <c r="QKJ362" s="633">
        <v>3636289.9099999997</v>
      </c>
      <c r="QKK362" s="633">
        <v>3606558.6500000022</v>
      </c>
      <c r="QKL362" s="633">
        <v>3549118.4400000018</v>
      </c>
      <c r="QKM362" s="634">
        <v>39996846</v>
      </c>
      <c r="QKN362" s="633">
        <f>SUM(QKA362:QKL362)</f>
        <v>39996846.150000013</v>
      </c>
      <c r="QKO362" s="631" t="s">
        <v>1836</v>
      </c>
      <c r="QKP362" s="632" t="s">
        <v>1673</v>
      </c>
      <c r="QKQ362" s="633">
        <v>3470702.0100000007</v>
      </c>
      <c r="QKR362" s="633">
        <v>3448347.94</v>
      </c>
      <c r="QKS362" s="633">
        <v>3398526.4800000009</v>
      </c>
      <c r="QKT362" s="633">
        <v>2159854.59</v>
      </c>
      <c r="QKU362" s="633">
        <v>3563316.060000001</v>
      </c>
      <c r="QKV362" s="633">
        <v>3305610.92</v>
      </c>
      <c r="QKW362" s="633">
        <v>3255686.1799999992</v>
      </c>
      <c r="QKX362" s="633">
        <v>3172108.3800000018</v>
      </c>
      <c r="QKY362" s="633">
        <v>3430726.5900000026</v>
      </c>
      <c r="QKZ362" s="633">
        <v>3636289.9099999997</v>
      </c>
      <c r="QLA362" s="633">
        <v>3606558.6500000022</v>
      </c>
      <c r="QLB362" s="633">
        <v>3549118.4400000018</v>
      </c>
      <c r="QLC362" s="634">
        <v>39996846</v>
      </c>
      <c r="QLD362" s="633">
        <f>SUM(QKQ362:QLB362)</f>
        <v>39996846.150000013</v>
      </c>
      <c r="QLE362" s="631" t="s">
        <v>1836</v>
      </c>
      <c r="QLF362" s="632" t="s">
        <v>1673</v>
      </c>
      <c r="QLG362" s="633">
        <v>3470702.0100000007</v>
      </c>
      <c r="QLH362" s="633">
        <v>3448347.94</v>
      </c>
      <c r="QLI362" s="633">
        <v>3398526.4800000009</v>
      </c>
      <c r="QLJ362" s="633">
        <v>2159854.59</v>
      </c>
      <c r="QLK362" s="633">
        <v>3563316.060000001</v>
      </c>
      <c r="QLL362" s="633">
        <v>3305610.92</v>
      </c>
      <c r="QLM362" s="633">
        <v>3255686.1799999992</v>
      </c>
      <c r="QLN362" s="633">
        <v>3172108.3800000018</v>
      </c>
      <c r="QLO362" s="633">
        <v>3430726.5900000026</v>
      </c>
      <c r="QLP362" s="633">
        <v>3636289.9099999997</v>
      </c>
      <c r="QLQ362" s="633">
        <v>3606558.6500000022</v>
      </c>
      <c r="QLR362" s="633">
        <v>3549118.4400000018</v>
      </c>
      <c r="QLS362" s="634">
        <v>39996846</v>
      </c>
      <c r="QLT362" s="633">
        <f>SUM(QLG362:QLR362)</f>
        <v>39996846.150000013</v>
      </c>
      <c r="QLU362" s="631" t="s">
        <v>1836</v>
      </c>
      <c r="QLV362" s="632" t="s">
        <v>1673</v>
      </c>
      <c r="QLW362" s="633">
        <v>3470702.0100000007</v>
      </c>
      <c r="QLX362" s="633">
        <v>3448347.94</v>
      </c>
      <c r="QLY362" s="633">
        <v>3398526.4800000009</v>
      </c>
      <c r="QLZ362" s="633">
        <v>2159854.59</v>
      </c>
      <c r="QMA362" s="633">
        <v>3563316.060000001</v>
      </c>
      <c r="QMB362" s="633">
        <v>3305610.92</v>
      </c>
      <c r="QMC362" s="633">
        <v>3255686.1799999992</v>
      </c>
      <c r="QMD362" s="633">
        <v>3172108.3800000018</v>
      </c>
      <c r="QME362" s="633">
        <v>3430726.5900000026</v>
      </c>
      <c r="QMF362" s="633">
        <v>3636289.9099999997</v>
      </c>
      <c r="QMG362" s="633">
        <v>3606558.6500000022</v>
      </c>
      <c r="QMH362" s="633">
        <v>3549118.4400000018</v>
      </c>
      <c r="QMI362" s="634">
        <v>39996846</v>
      </c>
      <c r="QMJ362" s="633">
        <f>SUM(QLW362:QMH362)</f>
        <v>39996846.150000013</v>
      </c>
      <c r="QMK362" s="631" t="s">
        <v>1836</v>
      </c>
      <c r="QML362" s="632" t="s">
        <v>1673</v>
      </c>
      <c r="QMM362" s="633">
        <v>3470702.0100000007</v>
      </c>
      <c r="QMN362" s="633">
        <v>3448347.94</v>
      </c>
      <c r="QMO362" s="633">
        <v>3398526.4800000009</v>
      </c>
      <c r="QMP362" s="633">
        <v>2159854.59</v>
      </c>
      <c r="QMQ362" s="633">
        <v>3563316.060000001</v>
      </c>
      <c r="QMR362" s="633">
        <v>3305610.92</v>
      </c>
      <c r="QMS362" s="633">
        <v>3255686.1799999992</v>
      </c>
      <c r="QMT362" s="633">
        <v>3172108.3800000018</v>
      </c>
      <c r="QMU362" s="633">
        <v>3430726.5900000026</v>
      </c>
      <c r="QMV362" s="633">
        <v>3636289.9099999997</v>
      </c>
      <c r="QMW362" s="633">
        <v>3606558.6500000022</v>
      </c>
      <c r="QMX362" s="633">
        <v>3549118.4400000018</v>
      </c>
      <c r="QMY362" s="634">
        <v>39996846</v>
      </c>
      <c r="QMZ362" s="633">
        <f>SUM(QMM362:QMX362)</f>
        <v>39996846.150000013</v>
      </c>
      <c r="QNA362" s="631" t="s">
        <v>1836</v>
      </c>
      <c r="QNB362" s="632" t="s">
        <v>1673</v>
      </c>
      <c r="QNC362" s="633">
        <v>3470702.0100000007</v>
      </c>
      <c r="QND362" s="633">
        <v>3448347.94</v>
      </c>
      <c r="QNE362" s="633">
        <v>3398526.4800000009</v>
      </c>
      <c r="QNF362" s="633">
        <v>2159854.59</v>
      </c>
      <c r="QNG362" s="633">
        <v>3563316.060000001</v>
      </c>
      <c r="QNH362" s="633">
        <v>3305610.92</v>
      </c>
      <c r="QNI362" s="633">
        <v>3255686.1799999992</v>
      </c>
      <c r="QNJ362" s="633">
        <v>3172108.3800000018</v>
      </c>
      <c r="QNK362" s="633">
        <v>3430726.5900000026</v>
      </c>
      <c r="QNL362" s="633">
        <v>3636289.9099999997</v>
      </c>
      <c r="QNM362" s="633">
        <v>3606558.6500000022</v>
      </c>
      <c r="QNN362" s="633">
        <v>3549118.4400000018</v>
      </c>
      <c r="QNO362" s="634">
        <v>39996846</v>
      </c>
      <c r="QNP362" s="633">
        <f>SUM(QNC362:QNN362)</f>
        <v>39996846.150000013</v>
      </c>
      <c r="QNQ362" s="631" t="s">
        <v>1836</v>
      </c>
      <c r="QNR362" s="632" t="s">
        <v>1673</v>
      </c>
      <c r="QNS362" s="633">
        <v>3470702.0100000007</v>
      </c>
      <c r="QNT362" s="633">
        <v>3448347.94</v>
      </c>
      <c r="QNU362" s="633">
        <v>3398526.4800000009</v>
      </c>
      <c r="QNV362" s="633">
        <v>2159854.59</v>
      </c>
      <c r="QNW362" s="633">
        <v>3563316.060000001</v>
      </c>
      <c r="QNX362" s="633">
        <v>3305610.92</v>
      </c>
      <c r="QNY362" s="633">
        <v>3255686.1799999992</v>
      </c>
      <c r="QNZ362" s="633">
        <v>3172108.3800000018</v>
      </c>
      <c r="QOA362" s="633">
        <v>3430726.5900000026</v>
      </c>
      <c r="QOB362" s="633">
        <v>3636289.9099999997</v>
      </c>
      <c r="QOC362" s="633">
        <v>3606558.6500000022</v>
      </c>
      <c r="QOD362" s="633">
        <v>3549118.4400000018</v>
      </c>
      <c r="QOE362" s="634">
        <v>39996846</v>
      </c>
      <c r="QOF362" s="633">
        <f>SUM(QNS362:QOD362)</f>
        <v>39996846.150000013</v>
      </c>
      <c r="QOG362" s="631" t="s">
        <v>1836</v>
      </c>
      <c r="QOH362" s="632" t="s">
        <v>1673</v>
      </c>
      <c r="QOI362" s="633">
        <v>3470702.0100000007</v>
      </c>
      <c r="QOJ362" s="633">
        <v>3448347.94</v>
      </c>
      <c r="QOK362" s="633">
        <v>3398526.4800000009</v>
      </c>
      <c r="QOL362" s="633">
        <v>2159854.59</v>
      </c>
      <c r="QOM362" s="633">
        <v>3563316.060000001</v>
      </c>
      <c r="QON362" s="633">
        <v>3305610.92</v>
      </c>
      <c r="QOO362" s="633">
        <v>3255686.1799999992</v>
      </c>
      <c r="QOP362" s="633">
        <v>3172108.3800000018</v>
      </c>
      <c r="QOQ362" s="633">
        <v>3430726.5900000026</v>
      </c>
      <c r="QOR362" s="633">
        <v>3636289.9099999997</v>
      </c>
      <c r="QOS362" s="633">
        <v>3606558.6500000022</v>
      </c>
      <c r="QOT362" s="633">
        <v>3549118.4400000018</v>
      </c>
      <c r="QOU362" s="634">
        <v>39996846</v>
      </c>
      <c r="QOV362" s="633">
        <f>SUM(QOI362:QOT362)</f>
        <v>39996846.150000013</v>
      </c>
      <c r="QOW362" s="631" t="s">
        <v>1836</v>
      </c>
      <c r="QOX362" s="632" t="s">
        <v>1673</v>
      </c>
      <c r="QOY362" s="633">
        <v>3470702.0100000007</v>
      </c>
      <c r="QOZ362" s="633">
        <v>3448347.94</v>
      </c>
      <c r="QPA362" s="633">
        <v>3398526.4800000009</v>
      </c>
      <c r="QPB362" s="633">
        <v>2159854.59</v>
      </c>
      <c r="QPC362" s="633">
        <v>3563316.060000001</v>
      </c>
      <c r="QPD362" s="633">
        <v>3305610.92</v>
      </c>
      <c r="QPE362" s="633">
        <v>3255686.1799999992</v>
      </c>
      <c r="QPF362" s="633">
        <v>3172108.3800000018</v>
      </c>
      <c r="QPG362" s="633">
        <v>3430726.5900000026</v>
      </c>
      <c r="QPH362" s="633">
        <v>3636289.9099999997</v>
      </c>
      <c r="QPI362" s="633">
        <v>3606558.6500000022</v>
      </c>
      <c r="QPJ362" s="633">
        <v>3549118.4400000018</v>
      </c>
      <c r="QPK362" s="634">
        <v>39996846</v>
      </c>
      <c r="QPL362" s="633">
        <f>SUM(QOY362:QPJ362)</f>
        <v>39996846.150000013</v>
      </c>
      <c r="QPM362" s="631" t="s">
        <v>1836</v>
      </c>
      <c r="QPN362" s="632" t="s">
        <v>1673</v>
      </c>
      <c r="QPO362" s="633">
        <v>3470702.0100000007</v>
      </c>
      <c r="QPP362" s="633">
        <v>3448347.94</v>
      </c>
      <c r="QPQ362" s="633">
        <v>3398526.4800000009</v>
      </c>
      <c r="QPR362" s="633">
        <v>2159854.59</v>
      </c>
      <c r="QPS362" s="633">
        <v>3563316.060000001</v>
      </c>
      <c r="QPT362" s="633">
        <v>3305610.92</v>
      </c>
      <c r="QPU362" s="633">
        <v>3255686.1799999992</v>
      </c>
      <c r="QPV362" s="633">
        <v>3172108.3800000018</v>
      </c>
      <c r="QPW362" s="633">
        <v>3430726.5900000026</v>
      </c>
      <c r="QPX362" s="633">
        <v>3636289.9099999997</v>
      </c>
      <c r="QPY362" s="633">
        <v>3606558.6500000022</v>
      </c>
      <c r="QPZ362" s="633">
        <v>3549118.4400000018</v>
      </c>
      <c r="QQA362" s="634">
        <v>39996846</v>
      </c>
      <c r="QQB362" s="633">
        <f>SUM(QPO362:QPZ362)</f>
        <v>39996846.150000013</v>
      </c>
      <c r="QQC362" s="631" t="s">
        <v>1836</v>
      </c>
      <c r="QQD362" s="632" t="s">
        <v>1673</v>
      </c>
      <c r="QQE362" s="633">
        <v>3470702.0100000007</v>
      </c>
      <c r="QQF362" s="633">
        <v>3448347.94</v>
      </c>
      <c r="QQG362" s="633">
        <v>3398526.4800000009</v>
      </c>
      <c r="QQH362" s="633">
        <v>2159854.59</v>
      </c>
      <c r="QQI362" s="633">
        <v>3563316.060000001</v>
      </c>
      <c r="QQJ362" s="633">
        <v>3305610.92</v>
      </c>
      <c r="QQK362" s="633">
        <v>3255686.1799999992</v>
      </c>
      <c r="QQL362" s="633">
        <v>3172108.3800000018</v>
      </c>
      <c r="QQM362" s="633">
        <v>3430726.5900000026</v>
      </c>
      <c r="QQN362" s="633">
        <v>3636289.9099999997</v>
      </c>
      <c r="QQO362" s="633">
        <v>3606558.6500000022</v>
      </c>
      <c r="QQP362" s="633">
        <v>3549118.4400000018</v>
      </c>
      <c r="QQQ362" s="634">
        <v>39996846</v>
      </c>
      <c r="QQR362" s="633">
        <f>SUM(QQE362:QQP362)</f>
        <v>39996846.150000013</v>
      </c>
      <c r="QQS362" s="631" t="s">
        <v>1836</v>
      </c>
      <c r="QQT362" s="632" t="s">
        <v>1673</v>
      </c>
      <c r="QQU362" s="633">
        <v>3470702.0100000007</v>
      </c>
      <c r="QQV362" s="633">
        <v>3448347.94</v>
      </c>
      <c r="QQW362" s="633">
        <v>3398526.4800000009</v>
      </c>
      <c r="QQX362" s="633">
        <v>2159854.59</v>
      </c>
      <c r="QQY362" s="633">
        <v>3563316.060000001</v>
      </c>
      <c r="QQZ362" s="633">
        <v>3305610.92</v>
      </c>
      <c r="QRA362" s="633">
        <v>3255686.1799999992</v>
      </c>
      <c r="QRB362" s="633">
        <v>3172108.3800000018</v>
      </c>
      <c r="QRC362" s="633">
        <v>3430726.5900000026</v>
      </c>
      <c r="QRD362" s="633">
        <v>3636289.9099999997</v>
      </c>
      <c r="QRE362" s="633">
        <v>3606558.6500000022</v>
      </c>
      <c r="QRF362" s="633">
        <v>3549118.4400000018</v>
      </c>
      <c r="QRG362" s="634">
        <v>39996846</v>
      </c>
      <c r="QRH362" s="633">
        <f>SUM(QQU362:QRF362)</f>
        <v>39996846.150000013</v>
      </c>
      <c r="QRI362" s="631" t="s">
        <v>1836</v>
      </c>
      <c r="QRJ362" s="632" t="s">
        <v>1673</v>
      </c>
      <c r="QRK362" s="633">
        <v>3470702.0100000007</v>
      </c>
      <c r="QRL362" s="633">
        <v>3448347.94</v>
      </c>
      <c r="QRM362" s="633">
        <v>3398526.4800000009</v>
      </c>
      <c r="QRN362" s="633">
        <v>2159854.59</v>
      </c>
      <c r="QRO362" s="633">
        <v>3563316.060000001</v>
      </c>
      <c r="QRP362" s="633">
        <v>3305610.92</v>
      </c>
      <c r="QRQ362" s="633">
        <v>3255686.1799999992</v>
      </c>
      <c r="QRR362" s="633">
        <v>3172108.3800000018</v>
      </c>
      <c r="QRS362" s="633">
        <v>3430726.5900000026</v>
      </c>
      <c r="QRT362" s="633">
        <v>3636289.9099999997</v>
      </c>
      <c r="QRU362" s="633">
        <v>3606558.6500000022</v>
      </c>
      <c r="QRV362" s="633">
        <v>3549118.4400000018</v>
      </c>
      <c r="QRW362" s="634">
        <v>39996846</v>
      </c>
      <c r="QRX362" s="633">
        <f>SUM(QRK362:QRV362)</f>
        <v>39996846.150000013</v>
      </c>
      <c r="QRY362" s="631" t="s">
        <v>1836</v>
      </c>
      <c r="QRZ362" s="632" t="s">
        <v>1673</v>
      </c>
      <c r="QSA362" s="633">
        <v>3470702.0100000007</v>
      </c>
      <c r="QSB362" s="633">
        <v>3448347.94</v>
      </c>
      <c r="QSC362" s="633">
        <v>3398526.4800000009</v>
      </c>
      <c r="QSD362" s="633">
        <v>2159854.59</v>
      </c>
      <c r="QSE362" s="633">
        <v>3563316.060000001</v>
      </c>
      <c r="QSF362" s="633">
        <v>3305610.92</v>
      </c>
      <c r="QSG362" s="633">
        <v>3255686.1799999992</v>
      </c>
      <c r="QSH362" s="633">
        <v>3172108.3800000018</v>
      </c>
      <c r="QSI362" s="633">
        <v>3430726.5900000026</v>
      </c>
      <c r="QSJ362" s="633">
        <v>3636289.9099999997</v>
      </c>
      <c r="QSK362" s="633">
        <v>3606558.6500000022</v>
      </c>
      <c r="QSL362" s="633">
        <v>3549118.4400000018</v>
      </c>
      <c r="QSM362" s="634">
        <v>39996846</v>
      </c>
      <c r="QSN362" s="633">
        <f>SUM(QSA362:QSL362)</f>
        <v>39996846.150000013</v>
      </c>
      <c r="QSO362" s="631" t="s">
        <v>1836</v>
      </c>
      <c r="QSP362" s="632" t="s">
        <v>1673</v>
      </c>
      <c r="QSQ362" s="633">
        <v>3470702.0100000007</v>
      </c>
      <c r="QSR362" s="633">
        <v>3448347.94</v>
      </c>
      <c r="QSS362" s="633">
        <v>3398526.4800000009</v>
      </c>
      <c r="QST362" s="633">
        <v>2159854.59</v>
      </c>
      <c r="QSU362" s="633">
        <v>3563316.060000001</v>
      </c>
      <c r="QSV362" s="633">
        <v>3305610.92</v>
      </c>
      <c r="QSW362" s="633">
        <v>3255686.1799999992</v>
      </c>
      <c r="QSX362" s="633">
        <v>3172108.3800000018</v>
      </c>
      <c r="QSY362" s="633">
        <v>3430726.5900000026</v>
      </c>
      <c r="QSZ362" s="633">
        <v>3636289.9099999997</v>
      </c>
      <c r="QTA362" s="633">
        <v>3606558.6500000022</v>
      </c>
      <c r="QTB362" s="633">
        <v>3549118.4400000018</v>
      </c>
      <c r="QTC362" s="634">
        <v>39996846</v>
      </c>
      <c r="QTD362" s="633">
        <f>SUM(QSQ362:QTB362)</f>
        <v>39996846.150000013</v>
      </c>
      <c r="QTE362" s="631" t="s">
        <v>1836</v>
      </c>
      <c r="QTF362" s="632" t="s">
        <v>1673</v>
      </c>
      <c r="QTG362" s="633">
        <v>3470702.0100000007</v>
      </c>
      <c r="QTH362" s="633">
        <v>3448347.94</v>
      </c>
      <c r="QTI362" s="633">
        <v>3398526.4800000009</v>
      </c>
      <c r="QTJ362" s="633">
        <v>2159854.59</v>
      </c>
      <c r="QTK362" s="633">
        <v>3563316.060000001</v>
      </c>
      <c r="QTL362" s="633">
        <v>3305610.92</v>
      </c>
      <c r="QTM362" s="633">
        <v>3255686.1799999992</v>
      </c>
      <c r="QTN362" s="633">
        <v>3172108.3800000018</v>
      </c>
      <c r="QTO362" s="633">
        <v>3430726.5900000026</v>
      </c>
      <c r="QTP362" s="633">
        <v>3636289.9099999997</v>
      </c>
      <c r="QTQ362" s="633">
        <v>3606558.6500000022</v>
      </c>
      <c r="QTR362" s="633">
        <v>3549118.4400000018</v>
      </c>
      <c r="QTS362" s="634">
        <v>39996846</v>
      </c>
      <c r="QTT362" s="633">
        <f>SUM(QTG362:QTR362)</f>
        <v>39996846.150000013</v>
      </c>
      <c r="QTU362" s="631" t="s">
        <v>1836</v>
      </c>
      <c r="QTV362" s="632" t="s">
        <v>1673</v>
      </c>
      <c r="QTW362" s="633">
        <v>3470702.0100000007</v>
      </c>
      <c r="QTX362" s="633">
        <v>3448347.94</v>
      </c>
      <c r="QTY362" s="633">
        <v>3398526.4800000009</v>
      </c>
      <c r="QTZ362" s="633">
        <v>2159854.59</v>
      </c>
      <c r="QUA362" s="633">
        <v>3563316.060000001</v>
      </c>
      <c r="QUB362" s="633">
        <v>3305610.92</v>
      </c>
      <c r="QUC362" s="633">
        <v>3255686.1799999992</v>
      </c>
      <c r="QUD362" s="633">
        <v>3172108.3800000018</v>
      </c>
      <c r="QUE362" s="633">
        <v>3430726.5900000026</v>
      </c>
      <c r="QUF362" s="633">
        <v>3636289.9099999997</v>
      </c>
      <c r="QUG362" s="633">
        <v>3606558.6500000022</v>
      </c>
      <c r="QUH362" s="633">
        <v>3549118.4400000018</v>
      </c>
      <c r="QUI362" s="634">
        <v>39996846</v>
      </c>
      <c r="QUJ362" s="633">
        <f>SUM(QTW362:QUH362)</f>
        <v>39996846.150000013</v>
      </c>
      <c r="QUK362" s="631" t="s">
        <v>1836</v>
      </c>
      <c r="QUL362" s="632" t="s">
        <v>1673</v>
      </c>
      <c r="QUM362" s="633">
        <v>3470702.0100000007</v>
      </c>
      <c r="QUN362" s="633">
        <v>3448347.94</v>
      </c>
      <c r="QUO362" s="633">
        <v>3398526.4800000009</v>
      </c>
      <c r="QUP362" s="633">
        <v>2159854.59</v>
      </c>
      <c r="QUQ362" s="633">
        <v>3563316.060000001</v>
      </c>
      <c r="QUR362" s="633">
        <v>3305610.92</v>
      </c>
      <c r="QUS362" s="633">
        <v>3255686.1799999992</v>
      </c>
      <c r="QUT362" s="633">
        <v>3172108.3800000018</v>
      </c>
      <c r="QUU362" s="633">
        <v>3430726.5900000026</v>
      </c>
      <c r="QUV362" s="633">
        <v>3636289.9099999997</v>
      </c>
      <c r="QUW362" s="633">
        <v>3606558.6500000022</v>
      </c>
      <c r="QUX362" s="633">
        <v>3549118.4400000018</v>
      </c>
      <c r="QUY362" s="634">
        <v>39996846</v>
      </c>
      <c r="QUZ362" s="633">
        <f>SUM(QUM362:QUX362)</f>
        <v>39996846.150000013</v>
      </c>
      <c r="QVA362" s="631" t="s">
        <v>1836</v>
      </c>
      <c r="QVB362" s="632" t="s">
        <v>1673</v>
      </c>
      <c r="QVC362" s="633">
        <v>3470702.0100000007</v>
      </c>
      <c r="QVD362" s="633">
        <v>3448347.94</v>
      </c>
      <c r="QVE362" s="633">
        <v>3398526.4800000009</v>
      </c>
      <c r="QVF362" s="633">
        <v>2159854.59</v>
      </c>
      <c r="QVG362" s="633">
        <v>3563316.060000001</v>
      </c>
      <c r="QVH362" s="633">
        <v>3305610.92</v>
      </c>
      <c r="QVI362" s="633">
        <v>3255686.1799999992</v>
      </c>
      <c r="QVJ362" s="633">
        <v>3172108.3800000018</v>
      </c>
      <c r="QVK362" s="633">
        <v>3430726.5900000026</v>
      </c>
      <c r="QVL362" s="633">
        <v>3636289.9099999997</v>
      </c>
      <c r="QVM362" s="633">
        <v>3606558.6500000022</v>
      </c>
      <c r="QVN362" s="633">
        <v>3549118.4400000018</v>
      </c>
      <c r="QVO362" s="634">
        <v>39996846</v>
      </c>
      <c r="QVP362" s="633">
        <f>SUM(QVC362:QVN362)</f>
        <v>39996846.150000013</v>
      </c>
      <c r="QVQ362" s="631" t="s">
        <v>1836</v>
      </c>
      <c r="QVR362" s="632" t="s">
        <v>1673</v>
      </c>
      <c r="QVS362" s="633">
        <v>3470702.0100000007</v>
      </c>
      <c r="QVT362" s="633">
        <v>3448347.94</v>
      </c>
      <c r="QVU362" s="633">
        <v>3398526.4800000009</v>
      </c>
      <c r="QVV362" s="633">
        <v>2159854.59</v>
      </c>
      <c r="QVW362" s="633">
        <v>3563316.060000001</v>
      </c>
      <c r="QVX362" s="633">
        <v>3305610.92</v>
      </c>
      <c r="QVY362" s="633">
        <v>3255686.1799999992</v>
      </c>
      <c r="QVZ362" s="633">
        <v>3172108.3800000018</v>
      </c>
      <c r="QWA362" s="633">
        <v>3430726.5900000026</v>
      </c>
      <c r="QWB362" s="633">
        <v>3636289.9099999997</v>
      </c>
      <c r="QWC362" s="633">
        <v>3606558.6500000022</v>
      </c>
      <c r="QWD362" s="633">
        <v>3549118.4400000018</v>
      </c>
      <c r="QWE362" s="634">
        <v>39996846</v>
      </c>
      <c r="QWF362" s="633">
        <f>SUM(QVS362:QWD362)</f>
        <v>39996846.150000013</v>
      </c>
      <c r="QWG362" s="631" t="s">
        <v>1836</v>
      </c>
      <c r="QWH362" s="632" t="s">
        <v>1673</v>
      </c>
      <c r="QWI362" s="633">
        <v>3470702.0100000007</v>
      </c>
      <c r="QWJ362" s="633">
        <v>3448347.94</v>
      </c>
      <c r="QWK362" s="633">
        <v>3398526.4800000009</v>
      </c>
      <c r="QWL362" s="633">
        <v>2159854.59</v>
      </c>
      <c r="QWM362" s="633">
        <v>3563316.060000001</v>
      </c>
      <c r="QWN362" s="633">
        <v>3305610.92</v>
      </c>
      <c r="QWO362" s="633">
        <v>3255686.1799999992</v>
      </c>
      <c r="QWP362" s="633">
        <v>3172108.3800000018</v>
      </c>
      <c r="QWQ362" s="633">
        <v>3430726.5900000026</v>
      </c>
      <c r="QWR362" s="633">
        <v>3636289.9099999997</v>
      </c>
      <c r="QWS362" s="633">
        <v>3606558.6500000022</v>
      </c>
      <c r="QWT362" s="633">
        <v>3549118.4400000018</v>
      </c>
      <c r="QWU362" s="634">
        <v>39996846</v>
      </c>
      <c r="QWV362" s="633">
        <f>SUM(QWI362:QWT362)</f>
        <v>39996846.150000013</v>
      </c>
      <c r="QWW362" s="631" t="s">
        <v>1836</v>
      </c>
      <c r="QWX362" s="632" t="s">
        <v>1673</v>
      </c>
      <c r="QWY362" s="633">
        <v>3470702.0100000007</v>
      </c>
      <c r="QWZ362" s="633">
        <v>3448347.94</v>
      </c>
      <c r="QXA362" s="633">
        <v>3398526.4800000009</v>
      </c>
      <c r="QXB362" s="633">
        <v>2159854.59</v>
      </c>
      <c r="QXC362" s="633">
        <v>3563316.060000001</v>
      </c>
      <c r="QXD362" s="633">
        <v>3305610.92</v>
      </c>
      <c r="QXE362" s="633">
        <v>3255686.1799999992</v>
      </c>
      <c r="QXF362" s="633">
        <v>3172108.3800000018</v>
      </c>
      <c r="QXG362" s="633">
        <v>3430726.5900000026</v>
      </c>
      <c r="QXH362" s="633">
        <v>3636289.9099999997</v>
      </c>
      <c r="QXI362" s="633">
        <v>3606558.6500000022</v>
      </c>
      <c r="QXJ362" s="633">
        <v>3549118.4400000018</v>
      </c>
      <c r="QXK362" s="634">
        <v>39996846</v>
      </c>
      <c r="QXL362" s="633">
        <f>SUM(QWY362:QXJ362)</f>
        <v>39996846.150000013</v>
      </c>
      <c r="QXM362" s="631" t="s">
        <v>1836</v>
      </c>
      <c r="QXN362" s="632" t="s">
        <v>1673</v>
      </c>
      <c r="QXO362" s="633">
        <v>3470702.0100000007</v>
      </c>
      <c r="QXP362" s="633">
        <v>3448347.94</v>
      </c>
      <c r="QXQ362" s="633">
        <v>3398526.4800000009</v>
      </c>
      <c r="QXR362" s="633">
        <v>2159854.59</v>
      </c>
      <c r="QXS362" s="633">
        <v>3563316.060000001</v>
      </c>
      <c r="QXT362" s="633">
        <v>3305610.92</v>
      </c>
      <c r="QXU362" s="633">
        <v>3255686.1799999992</v>
      </c>
      <c r="QXV362" s="633">
        <v>3172108.3800000018</v>
      </c>
      <c r="QXW362" s="633">
        <v>3430726.5900000026</v>
      </c>
      <c r="QXX362" s="633">
        <v>3636289.9099999997</v>
      </c>
      <c r="QXY362" s="633">
        <v>3606558.6500000022</v>
      </c>
      <c r="QXZ362" s="633">
        <v>3549118.4400000018</v>
      </c>
      <c r="QYA362" s="634">
        <v>39996846</v>
      </c>
      <c r="QYB362" s="633">
        <f>SUM(QXO362:QXZ362)</f>
        <v>39996846.150000013</v>
      </c>
      <c r="QYC362" s="631" t="s">
        <v>1836</v>
      </c>
      <c r="QYD362" s="632" t="s">
        <v>1673</v>
      </c>
      <c r="QYE362" s="633">
        <v>3470702.0100000007</v>
      </c>
      <c r="QYF362" s="633">
        <v>3448347.94</v>
      </c>
      <c r="QYG362" s="633">
        <v>3398526.4800000009</v>
      </c>
      <c r="QYH362" s="633">
        <v>2159854.59</v>
      </c>
      <c r="QYI362" s="633">
        <v>3563316.060000001</v>
      </c>
      <c r="QYJ362" s="633">
        <v>3305610.92</v>
      </c>
      <c r="QYK362" s="633">
        <v>3255686.1799999992</v>
      </c>
      <c r="QYL362" s="633">
        <v>3172108.3800000018</v>
      </c>
      <c r="QYM362" s="633">
        <v>3430726.5900000026</v>
      </c>
      <c r="QYN362" s="633">
        <v>3636289.9099999997</v>
      </c>
      <c r="QYO362" s="633">
        <v>3606558.6500000022</v>
      </c>
      <c r="QYP362" s="633">
        <v>3549118.4400000018</v>
      </c>
      <c r="QYQ362" s="634">
        <v>39996846</v>
      </c>
      <c r="QYR362" s="633">
        <f>SUM(QYE362:QYP362)</f>
        <v>39996846.150000013</v>
      </c>
      <c r="QYS362" s="631" t="s">
        <v>1836</v>
      </c>
      <c r="QYT362" s="632" t="s">
        <v>1673</v>
      </c>
      <c r="QYU362" s="633">
        <v>3470702.0100000007</v>
      </c>
      <c r="QYV362" s="633">
        <v>3448347.94</v>
      </c>
      <c r="QYW362" s="633">
        <v>3398526.4800000009</v>
      </c>
      <c r="QYX362" s="633">
        <v>2159854.59</v>
      </c>
      <c r="QYY362" s="633">
        <v>3563316.060000001</v>
      </c>
      <c r="QYZ362" s="633">
        <v>3305610.92</v>
      </c>
      <c r="QZA362" s="633">
        <v>3255686.1799999992</v>
      </c>
      <c r="QZB362" s="633">
        <v>3172108.3800000018</v>
      </c>
      <c r="QZC362" s="633">
        <v>3430726.5900000026</v>
      </c>
      <c r="QZD362" s="633">
        <v>3636289.9099999997</v>
      </c>
      <c r="QZE362" s="633">
        <v>3606558.6500000022</v>
      </c>
      <c r="QZF362" s="633">
        <v>3549118.4400000018</v>
      </c>
      <c r="QZG362" s="634">
        <v>39996846</v>
      </c>
      <c r="QZH362" s="633">
        <f>SUM(QYU362:QZF362)</f>
        <v>39996846.150000013</v>
      </c>
      <c r="QZI362" s="631" t="s">
        <v>1836</v>
      </c>
      <c r="QZJ362" s="632" t="s">
        <v>1673</v>
      </c>
      <c r="QZK362" s="633">
        <v>3470702.0100000007</v>
      </c>
      <c r="QZL362" s="633">
        <v>3448347.94</v>
      </c>
      <c r="QZM362" s="633">
        <v>3398526.4800000009</v>
      </c>
      <c r="QZN362" s="633">
        <v>2159854.59</v>
      </c>
      <c r="QZO362" s="633">
        <v>3563316.060000001</v>
      </c>
      <c r="QZP362" s="633">
        <v>3305610.92</v>
      </c>
      <c r="QZQ362" s="633">
        <v>3255686.1799999992</v>
      </c>
      <c r="QZR362" s="633">
        <v>3172108.3800000018</v>
      </c>
      <c r="QZS362" s="633">
        <v>3430726.5900000026</v>
      </c>
      <c r="QZT362" s="633">
        <v>3636289.9099999997</v>
      </c>
      <c r="QZU362" s="633">
        <v>3606558.6500000022</v>
      </c>
      <c r="QZV362" s="633">
        <v>3549118.4400000018</v>
      </c>
      <c r="QZW362" s="634">
        <v>39996846</v>
      </c>
      <c r="QZX362" s="633">
        <f>SUM(QZK362:QZV362)</f>
        <v>39996846.150000013</v>
      </c>
      <c r="QZY362" s="631" t="s">
        <v>1836</v>
      </c>
      <c r="QZZ362" s="632" t="s">
        <v>1673</v>
      </c>
      <c r="RAA362" s="633">
        <v>3470702.0100000007</v>
      </c>
      <c r="RAB362" s="633">
        <v>3448347.94</v>
      </c>
      <c r="RAC362" s="633">
        <v>3398526.4800000009</v>
      </c>
      <c r="RAD362" s="633">
        <v>2159854.59</v>
      </c>
      <c r="RAE362" s="633">
        <v>3563316.060000001</v>
      </c>
      <c r="RAF362" s="633">
        <v>3305610.92</v>
      </c>
      <c r="RAG362" s="633">
        <v>3255686.1799999992</v>
      </c>
      <c r="RAH362" s="633">
        <v>3172108.3800000018</v>
      </c>
      <c r="RAI362" s="633">
        <v>3430726.5900000026</v>
      </c>
      <c r="RAJ362" s="633">
        <v>3636289.9099999997</v>
      </c>
      <c r="RAK362" s="633">
        <v>3606558.6500000022</v>
      </c>
      <c r="RAL362" s="633">
        <v>3549118.4400000018</v>
      </c>
      <c r="RAM362" s="634">
        <v>39996846</v>
      </c>
      <c r="RAN362" s="633">
        <f>SUM(RAA362:RAL362)</f>
        <v>39996846.150000013</v>
      </c>
      <c r="RAO362" s="631" t="s">
        <v>1836</v>
      </c>
      <c r="RAP362" s="632" t="s">
        <v>1673</v>
      </c>
      <c r="RAQ362" s="633">
        <v>3470702.0100000007</v>
      </c>
      <c r="RAR362" s="633">
        <v>3448347.94</v>
      </c>
      <c r="RAS362" s="633">
        <v>3398526.4800000009</v>
      </c>
      <c r="RAT362" s="633">
        <v>2159854.59</v>
      </c>
      <c r="RAU362" s="633">
        <v>3563316.060000001</v>
      </c>
      <c r="RAV362" s="633">
        <v>3305610.92</v>
      </c>
      <c r="RAW362" s="633">
        <v>3255686.1799999992</v>
      </c>
      <c r="RAX362" s="633">
        <v>3172108.3800000018</v>
      </c>
      <c r="RAY362" s="633">
        <v>3430726.5900000026</v>
      </c>
      <c r="RAZ362" s="633">
        <v>3636289.9099999997</v>
      </c>
      <c r="RBA362" s="633">
        <v>3606558.6500000022</v>
      </c>
      <c r="RBB362" s="633">
        <v>3549118.4400000018</v>
      </c>
      <c r="RBC362" s="634">
        <v>39996846</v>
      </c>
      <c r="RBD362" s="633">
        <f>SUM(RAQ362:RBB362)</f>
        <v>39996846.150000013</v>
      </c>
      <c r="RBE362" s="631" t="s">
        <v>1836</v>
      </c>
      <c r="RBF362" s="632" t="s">
        <v>1673</v>
      </c>
      <c r="RBG362" s="633">
        <v>3470702.0100000007</v>
      </c>
      <c r="RBH362" s="633">
        <v>3448347.94</v>
      </c>
      <c r="RBI362" s="633">
        <v>3398526.4800000009</v>
      </c>
      <c r="RBJ362" s="633">
        <v>2159854.59</v>
      </c>
      <c r="RBK362" s="633">
        <v>3563316.060000001</v>
      </c>
      <c r="RBL362" s="633">
        <v>3305610.92</v>
      </c>
      <c r="RBM362" s="633">
        <v>3255686.1799999992</v>
      </c>
      <c r="RBN362" s="633">
        <v>3172108.3800000018</v>
      </c>
      <c r="RBO362" s="633">
        <v>3430726.5900000026</v>
      </c>
      <c r="RBP362" s="633">
        <v>3636289.9099999997</v>
      </c>
      <c r="RBQ362" s="633">
        <v>3606558.6500000022</v>
      </c>
      <c r="RBR362" s="633">
        <v>3549118.4400000018</v>
      </c>
      <c r="RBS362" s="634">
        <v>39996846</v>
      </c>
      <c r="RBT362" s="633">
        <f>SUM(RBG362:RBR362)</f>
        <v>39996846.150000013</v>
      </c>
      <c r="RBU362" s="631" t="s">
        <v>1836</v>
      </c>
      <c r="RBV362" s="632" t="s">
        <v>1673</v>
      </c>
      <c r="RBW362" s="633">
        <v>3470702.0100000007</v>
      </c>
      <c r="RBX362" s="633">
        <v>3448347.94</v>
      </c>
      <c r="RBY362" s="633">
        <v>3398526.4800000009</v>
      </c>
      <c r="RBZ362" s="633">
        <v>2159854.59</v>
      </c>
      <c r="RCA362" s="633">
        <v>3563316.060000001</v>
      </c>
      <c r="RCB362" s="633">
        <v>3305610.92</v>
      </c>
      <c r="RCC362" s="633">
        <v>3255686.1799999992</v>
      </c>
      <c r="RCD362" s="633">
        <v>3172108.3800000018</v>
      </c>
      <c r="RCE362" s="633">
        <v>3430726.5900000026</v>
      </c>
      <c r="RCF362" s="633">
        <v>3636289.9099999997</v>
      </c>
      <c r="RCG362" s="633">
        <v>3606558.6500000022</v>
      </c>
      <c r="RCH362" s="633">
        <v>3549118.4400000018</v>
      </c>
      <c r="RCI362" s="634">
        <v>39996846</v>
      </c>
      <c r="RCJ362" s="633">
        <f>SUM(RBW362:RCH362)</f>
        <v>39996846.150000013</v>
      </c>
      <c r="RCK362" s="631" t="s">
        <v>1836</v>
      </c>
      <c r="RCL362" s="632" t="s">
        <v>1673</v>
      </c>
      <c r="RCM362" s="633">
        <v>3470702.0100000007</v>
      </c>
      <c r="RCN362" s="633">
        <v>3448347.94</v>
      </c>
      <c r="RCO362" s="633">
        <v>3398526.4800000009</v>
      </c>
      <c r="RCP362" s="633">
        <v>2159854.59</v>
      </c>
      <c r="RCQ362" s="633">
        <v>3563316.060000001</v>
      </c>
      <c r="RCR362" s="633">
        <v>3305610.92</v>
      </c>
      <c r="RCS362" s="633">
        <v>3255686.1799999992</v>
      </c>
      <c r="RCT362" s="633">
        <v>3172108.3800000018</v>
      </c>
      <c r="RCU362" s="633">
        <v>3430726.5900000026</v>
      </c>
      <c r="RCV362" s="633">
        <v>3636289.9099999997</v>
      </c>
      <c r="RCW362" s="633">
        <v>3606558.6500000022</v>
      </c>
      <c r="RCX362" s="633">
        <v>3549118.4400000018</v>
      </c>
      <c r="RCY362" s="634">
        <v>39996846</v>
      </c>
      <c r="RCZ362" s="633">
        <f>SUM(RCM362:RCX362)</f>
        <v>39996846.150000013</v>
      </c>
      <c r="RDA362" s="631" t="s">
        <v>1836</v>
      </c>
      <c r="RDB362" s="632" t="s">
        <v>1673</v>
      </c>
      <c r="RDC362" s="633">
        <v>3470702.0100000007</v>
      </c>
      <c r="RDD362" s="633">
        <v>3448347.94</v>
      </c>
      <c r="RDE362" s="633">
        <v>3398526.4800000009</v>
      </c>
      <c r="RDF362" s="633">
        <v>2159854.59</v>
      </c>
      <c r="RDG362" s="633">
        <v>3563316.060000001</v>
      </c>
      <c r="RDH362" s="633">
        <v>3305610.92</v>
      </c>
      <c r="RDI362" s="633">
        <v>3255686.1799999992</v>
      </c>
      <c r="RDJ362" s="633">
        <v>3172108.3800000018</v>
      </c>
      <c r="RDK362" s="633">
        <v>3430726.5900000026</v>
      </c>
      <c r="RDL362" s="633">
        <v>3636289.9099999997</v>
      </c>
      <c r="RDM362" s="633">
        <v>3606558.6500000022</v>
      </c>
      <c r="RDN362" s="633">
        <v>3549118.4400000018</v>
      </c>
      <c r="RDO362" s="634">
        <v>39996846</v>
      </c>
      <c r="RDP362" s="633">
        <f>SUM(RDC362:RDN362)</f>
        <v>39996846.150000013</v>
      </c>
      <c r="RDQ362" s="631" t="s">
        <v>1836</v>
      </c>
      <c r="RDR362" s="632" t="s">
        <v>1673</v>
      </c>
      <c r="RDS362" s="633">
        <v>3470702.0100000007</v>
      </c>
      <c r="RDT362" s="633">
        <v>3448347.94</v>
      </c>
      <c r="RDU362" s="633">
        <v>3398526.4800000009</v>
      </c>
      <c r="RDV362" s="633">
        <v>2159854.59</v>
      </c>
      <c r="RDW362" s="633">
        <v>3563316.060000001</v>
      </c>
      <c r="RDX362" s="633">
        <v>3305610.92</v>
      </c>
      <c r="RDY362" s="633">
        <v>3255686.1799999992</v>
      </c>
      <c r="RDZ362" s="633">
        <v>3172108.3800000018</v>
      </c>
      <c r="REA362" s="633">
        <v>3430726.5900000026</v>
      </c>
      <c r="REB362" s="633">
        <v>3636289.9099999997</v>
      </c>
      <c r="REC362" s="633">
        <v>3606558.6500000022</v>
      </c>
      <c r="RED362" s="633">
        <v>3549118.4400000018</v>
      </c>
      <c r="REE362" s="634">
        <v>39996846</v>
      </c>
      <c r="REF362" s="633">
        <f>SUM(RDS362:RED362)</f>
        <v>39996846.150000013</v>
      </c>
      <c r="REG362" s="631" t="s">
        <v>1836</v>
      </c>
      <c r="REH362" s="632" t="s">
        <v>1673</v>
      </c>
      <c r="REI362" s="633">
        <v>3470702.0100000007</v>
      </c>
      <c r="REJ362" s="633">
        <v>3448347.94</v>
      </c>
      <c r="REK362" s="633">
        <v>3398526.4800000009</v>
      </c>
      <c r="REL362" s="633">
        <v>2159854.59</v>
      </c>
      <c r="REM362" s="633">
        <v>3563316.060000001</v>
      </c>
      <c r="REN362" s="633">
        <v>3305610.92</v>
      </c>
      <c r="REO362" s="633">
        <v>3255686.1799999992</v>
      </c>
      <c r="REP362" s="633">
        <v>3172108.3800000018</v>
      </c>
      <c r="REQ362" s="633">
        <v>3430726.5900000026</v>
      </c>
      <c r="RER362" s="633">
        <v>3636289.9099999997</v>
      </c>
      <c r="RES362" s="633">
        <v>3606558.6500000022</v>
      </c>
      <c r="RET362" s="633">
        <v>3549118.4400000018</v>
      </c>
      <c r="REU362" s="634">
        <v>39996846</v>
      </c>
      <c r="REV362" s="633">
        <f>SUM(REI362:RET362)</f>
        <v>39996846.150000013</v>
      </c>
      <c r="REW362" s="631" t="s">
        <v>1836</v>
      </c>
      <c r="REX362" s="632" t="s">
        <v>1673</v>
      </c>
      <c r="REY362" s="633">
        <v>3470702.0100000007</v>
      </c>
      <c r="REZ362" s="633">
        <v>3448347.94</v>
      </c>
      <c r="RFA362" s="633">
        <v>3398526.4800000009</v>
      </c>
      <c r="RFB362" s="633">
        <v>2159854.59</v>
      </c>
      <c r="RFC362" s="633">
        <v>3563316.060000001</v>
      </c>
      <c r="RFD362" s="633">
        <v>3305610.92</v>
      </c>
      <c r="RFE362" s="633">
        <v>3255686.1799999992</v>
      </c>
      <c r="RFF362" s="633">
        <v>3172108.3800000018</v>
      </c>
      <c r="RFG362" s="633">
        <v>3430726.5900000026</v>
      </c>
      <c r="RFH362" s="633">
        <v>3636289.9099999997</v>
      </c>
      <c r="RFI362" s="633">
        <v>3606558.6500000022</v>
      </c>
      <c r="RFJ362" s="633">
        <v>3549118.4400000018</v>
      </c>
      <c r="RFK362" s="634">
        <v>39996846</v>
      </c>
      <c r="RFL362" s="633">
        <f>SUM(REY362:RFJ362)</f>
        <v>39996846.150000013</v>
      </c>
      <c r="RFM362" s="631" t="s">
        <v>1836</v>
      </c>
      <c r="RFN362" s="632" t="s">
        <v>1673</v>
      </c>
      <c r="RFO362" s="633">
        <v>3470702.0100000007</v>
      </c>
      <c r="RFP362" s="633">
        <v>3448347.94</v>
      </c>
      <c r="RFQ362" s="633">
        <v>3398526.4800000009</v>
      </c>
      <c r="RFR362" s="633">
        <v>2159854.59</v>
      </c>
      <c r="RFS362" s="633">
        <v>3563316.060000001</v>
      </c>
      <c r="RFT362" s="633">
        <v>3305610.92</v>
      </c>
      <c r="RFU362" s="633">
        <v>3255686.1799999992</v>
      </c>
      <c r="RFV362" s="633">
        <v>3172108.3800000018</v>
      </c>
      <c r="RFW362" s="633">
        <v>3430726.5900000026</v>
      </c>
      <c r="RFX362" s="633">
        <v>3636289.9099999997</v>
      </c>
      <c r="RFY362" s="633">
        <v>3606558.6500000022</v>
      </c>
      <c r="RFZ362" s="633">
        <v>3549118.4400000018</v>
      </c>
      <c r="RGA362" s="634">
        <v>39996846</v>
      </c>
      <c r="RGB362" s="633">
        <f>SUM(RFO362:RFZ362)</f>
        <v>39996846.150000013</v>
      </c>
      <c r="RGC362" s="631" t="s">
        <v>1836</v>
      </c>
      <c r="RGD362" s="632" t="s">
        <v>1673</v>
      </c>
      <c r="RGE362" s="633">
        <v>3470702.0100000007</v>
      </c>
      <c r="RGF362" s="633">
        <v>3448347.94</v>
      </c>
      <c r="RGG362" s="633">
        <v>3398526.4800000009</v>
      </c>
      <c r="RGH362" s="633">
        <v>2159854.59</v>
      </c>
      <c r="RGI362" s="633">
        <v>3563316.060000001</v>
      </c>
      <c r="RGJ362" s="633">
        <v>3305610.92</v>
      </c>
      <c r="RGK362" s="633">
        <v>3255686.1799999992</v>
      </c>
      <c r="RGL362" s="633">
        <v>3172108.3800000018</v>
      </c>
      <c r="RGM362" s="633">
        <v>3430726.5900000026</v>
      </c>
      <c r="RGN362" s="633">
        <v>3636289.9099999997</v>
      </c>
      <c r="RGO362" s="633">
        <v>3606558.6500000022</v>
      </c>
      <c r="RGP362" s="633">
        <v>3549118.4400000018</v>
      </c>
      <c r="RGQ362" s="634">
        <v>39996846</v>
      </c>
      <c r="RGR362" s="633">
        <f>SUM(RGE362:RGP362)</f>
        <v>39996846.150000013</v>
      </c>
      <c r="RGS362" s="631" t="s">
        <v>1836</v>
      </c>
      <c r="RGT362" s="632" t="s">
        <v>1673</v>
      </c>
      <c r="RGU362" s="633">
        <v>3470702.0100000007</v>
      </c>
      <c r="RGV362" s="633">
        <v>3448347.94</v>
      </c>
      <c r="RGW362" s="633">
        <v>3398526.4800000009</v>
      </c>
      <c r="RGX362" s="633">
        <v>2159854.59</v>
      </c>
      <c r="RGY362" s="633">
        <v>3563316.060000001</v>
      </c>
      <c r="RGZ362" s="633">
        <v>3305610.92</v>
      </c>
      <c r="RHA362" s="633">
        <v>3255686.1799999992</v>
      </c>
      <c r="RHB362" s="633">
        <v>3172108.3800000018</v>
      </c>
      <c r="RHC362" s="633">
        <v>3430726.5900000026</v>
      </c>
      <c r="RHD362" s="633">
        <v>3636289.9099999997</v>
      </c>
      <c r="RHE362" s="633">
        <v>3606558.6500000022</v>
      </c>
      <c r="RHF362" s="633">
        <v>3549118.4400000018</v>
      </c>
      <c r="RHG362" s="634">
        <v>39996846</v>
      </c>
      <c r="RHH362" s="633">
        <f>SUM(RGU362:RHF362)</f>
        <v>39996846.150000013</v>
      </c>
      <c r="RHI362" s="631" t="s">
        <v>1836</v>
      </c>
      <c r="RHJ362" s="632" t="s">
        <v>1673</v>
      </c>
      <c r="RHK362" s="633">
        <v>3470702.0100000007</v>
      </c>
      <c r="RHL362" s="633">
        <v>3448347.94</v>
      </c>
      <c r="RHM362" s="633">
        <v>3398526.4800000009</v>
      </c>
      <c r="RHN362" s="633">
        <v>2159854.59</v>
      </c>
      <c r="RHO362" s="633">
        <v>3563316.060000001</v>
      </c>
      <c r="RHP362" s="633">
        <v>3305610.92</v>
      </c>
      <c r="RHQ362" s="633">
        <v>3255686.1799999992</v>
      </c>
      <c r="RHR362" s="633">
        <v>3172108.3800000018</v>
      </c>
      <c r="RHS362" s="633">
        <v>3430726.5900000026</v>
      </c>
      <c r="RHT362" s="633">
        <v>3636289.9099999997</v>
      </c>
      <c r="RHU362" s="633">
        <v>3606558.6500000022</v>
      </c>
      <c r="RHV362" s="633">
        <v>3549118.4400000018</v>
      </c>
      <c r="RHW362" s="634">
        <v>39996846</v>
      </c>
      <c r="RHX362" s="633">
        <f>SUM(RHK362:RHV362)</f>
        <v>39996846.150000013</v>
      </c>
      <c r="RHY362" s="631" t="s">
        <v>1836</v>
      </c>
      <c r="RHZ362" s="632" t="s">
        <v>1673</v>
      </c>
      <c r="RIA362" s="633">
        <v>3470702.0100000007</v>
      </c>
      <c r="RIB362" s="633">
        <v>3448347.94</v>
      </c>
      <c r="RIC362" s="633">
        <v>3398526.4800000009</v>
      </c>
      <c r="RID362" s="633">
        <v>2159854.59</v>
      </c>
      <c r="RIE362" s="633">
        <v>3563316.060000001</v>
      </c>
      <c r="RIF362" s="633">
        <v>3305610.92</v>
      </c>
      <c r="RIG362" s="633">
        <v>3255686.1799999992</v>
      </c>
      <c r="RIH362" s="633">
        <v>3172108.3800000018</v>
      </c>
      <c r="RII362" s="633">
        <v>3430726.5900000026</v>
      </c>
      <c r="RIJ362" s="633">
        <v>3636289.9099999997</v>
      </c>
      <c r="RIK362" s="633">
        <v>3606558.6500000022</v>
      </c>
      <c r="RIL362" s="633">
        <v>3549118.4400000018</v>
      </c>
      <c r="RIM362" s="634">
        <v>39996846</v>
      </c>
      <c r="RIN362" s="633">
        <f>SUM(RIA362:RIL362)</f>
        <v>39996846.150000013</v>
      </c>
      <c r="RIO362" s="631" t="s">
        <v>1836</v>
      </c>
      <c r="RIP362" s="632" t="s">
        <v>1673</v>
      </c>
      <c r="RIQ362" s="633">
        <v>3470702.0100000007</v>
      </c>
      <c r="RIR362" s="633">
        <v>3448347.94</v>
      </c>
      <c r="RIS362" s="633">
        <v>3398526.4800000009</v>
      </c>
      <c r="RIT362" s="633">
        <v>2159854.59</v>
      </c>
      <c r="RIU362" s="633">
        <v>3563316.060000001</v>
      </c>
      <c r="RIV362" s="633">
        <v>3305610.92</v>
      </c>
      <c r="RIW362" s="633">
        <v>3255686.1799999992</v>
      </c>
      <c r="RIX362" s="633">
        <v>3172108.3800000018</v>
      </c>
      <c r="RIY362" s="633">
        <v>3430726.5900000026</v>
      </c>
      <c r="RIZ362" s="633">
        <v>3636289.9099999997</v>
      </c>
      <c r="RJA362" s="633">
        <v>3606558.6500000022</v>
      </c>
      <c r="RJB362" s="633">
        <v>3549118.4400000018</v>
      </c>
      <c r="RJC362" s="634">
        <v>39996846</v>
      </c>
      <c r="RJD362" s="633">
        <f>SUM(RIQ362:RJB362)</f>
        <v>39996846.150000013</v>
      </c>
      <c r="RJE362" s="631" t="s">
        <v>1836</v>
      </c>
      <c r="RJF362" s="632" t="s">
        <v>1673</v>
      </c>
      <c r="RJG362" s="633">
        <v>3470702.0100000007</v>
      </c>
      <c r="RJH362" s="633">
        <v>3448347.94</v>
      </c>
      <c r="RJI362" s="633">
        <v>3398526.4800000009</v>
      </c>
      <c r="RJJ362" s="633">
        <v>2159854.59</v>
      </c>
      <c r="RJK362" s="633">
        <v>3563316.060000001</v>
      </c>
      <c r="RJL362" s="633">
        <v>3305610.92</v>
      </c>
      <c r="RJM362" s="633">
        <v>3255686.1799999992</v>
      </c>
      <c r="RJN362" s="633">
        <v>3172108.3800000018</v>
      </c>
      <c r="RJO362" s="633">
        <v>3430726.5900000026</v>
      </c>
      <c r="RJP362" s="633">
        <v>3636289.9099999997</v>
      </c>
      <c r="RJQ362" s="633">
        <v>3606558.6500000022</v>
      </c>
      <c r="RJR362" s="633">
        <v>3549118.4400000018</v>
      </c>
      <c r="RJS362" s="634">
        <v>39996846</v>
      </c>
      <c r="RJT362" s="633">
        <f>SUM(RJG362:RJR362)</f>
        <v>39996846.150000013</v>
      </c>
      <c r="RJU362" s="631" t="s">
        <v>1836</v>
      </c>
      <c r="RJV362" s="632" t="s">
        <v>1673</v>
      </c>
      <c r="RJW362" s="633">
        <v>3470702.0100000007</v>
      </c>
      <c r="RJX362" s="633">
        <v>3448347.94</v>
      </c>
      <c r="RJY362" s="633">
        <v>3398526.4800000009</v>
      </c>
      <c r="RJZ362" s="633">
        <v>2159854.59</v>
      </c>
      <c r="RKA362" s="633">
        <v>3563316.060000001</v>
      </c>
      <c r="RKB362" s="633">
        <v>3305610.92</v>
      </c>
      <c r="RKC362" s="633">
        <v>3255686.1799999992</v>
      </c>
      <c r="RKD362" s="633">
        <v>3172108.3800000018</v>
      </c>
      <c r="RKE362" s="633">
        <v>3430726.5900000026</v>
      </c>
      <c r="RKF362" s="633">
        <v>3636289.9099999997</v>
      </c>
      <c r="RKG362" s="633">
        <v>3606558.6500000022</v>
      </c>
      <c r="RKH362" s="633">
        <v>3549118.4400000018</v>
      </c>
      <c r="RKI362" s="634">
        <v>39996846</v>
      </c>
      <c r="RKJ362" s="633">
        <f>SUM(RJW362:RKH362)</f>
        <v>39996846.150000013</v>
      </c>
      <c r="RKK362" s="631" t="s">
        <v>1836</v>
      </c>
      <c r="RKL362" s="632" t="s">
        <v>1673</v>
      </c>
      <c r="RKM362" s="633">
        <v>3470702.0100000007</v>
      </c>
      <c r="RKN362" s="633">
        <v>3448347.94</v>
      </c>
      <c r="RKO362" s="633">
        <v>3398526.4800000009</v>
      </c>
      <c r="RKP362" s="633">
        <v>2159854.59</v>
      </c>
      <c r="RKQ362" s="633">
        <v>3563316.060000001</v>
      </c>
      <c r="RKR362" s="633">
        <v>3305610.92</v>
      </c>
      <c r="RKS362" s="633">
        <v>3255686.1799999992</v>
      </c>
      <c r="RKT362" s="633">
        <v>3172108.3800000018</v>
      </c>
      <c r="RKU362" s="633">
        <v>3430726.5900000026</v>
      </c>
      <c r="RKV362" s="633">
        <v>3636289.9099999997</v>
      </c>
      <c r="RKW362" s="633">
        <v>3606558.6500000022</v>
      </c>
      <c r="RKX362" s="633">
        <v>3549118.4400000018</v>
      </c>
      <c r="RKY362" s="634">
        <v>39996846</v>
      </c>
      <c r="RKZ362" s="633">
        <f>SUM(RKM362:RKX362)</f>
        <v>39996846.150000013</v>
      </c>
      <c r="RLA362" s="631" t="s">
        <v>1836</v>
      </c>
      <c r="RLB362" s="632" t="s">
        <v>1673</v>
      </c>
      <c r="RLC362" s="633">
        <v>3470702.0100000007</v>
      </c>
      <c r="RLD362" s="633">
        <v>3448347.94</v>
      </c>
      <c r="RLE362" s="633">
        <v>3398526.4800000009</v>
      </c>
      <c r="RLF362" s="633">
        <v>2159854.59</v>
      </c>
      <c r="RLG362" s="633">
        <v>3563316.060000001</v>
      </c>
      <c r="RLH362" s="633">
        <v>3305610.92</v>
      </c>
      <c r="RLI362" s="633">
        <v>3255686.1799999992</v>
      </c>
      <c r="RLJ362" s="633">
        <v>3172108.3800000018</v>
      </c>
      <c r="RLK362" s="633">
        <v>3430726.5900000026</v>
      </c>
      <c r="RLL362" s="633">
        <v>3636289.9099999997</v>
      </c>
      <c r="RLM362" s="633">
        <v>3606558.6500000022</v>
      </c>
      <c r="RLN362" s="633">
        <v>3549118.4400000018</v>
      </c>
      <c r="RLO362" s="634">
        <v>39996846</v>
      </c>
      <c r="RLP362" s="633">
        <f>SUM(RLC362:RLN362)</f>
        <v>39996846.150000013</v>
      </c>
      <c r="RLQ362" s="631" t="s">
        <v>1836</v>
      </c>
      <c r="RLR362" s="632" t="s">
        <v>1673</v>
      </c>
      <c r="RLS362" s="633">
        <v>3470702.0100000007</v>
      </c>
      <c r="RLT362" s="633">
        <v>3448347.94</v>
      </c>
      <c r="RLU362" s="633">
        <v>3398526.4800000009</v>
      </c>
      <c r="RLV362" s="633">
        <v>2159854.59</v>
      </c>
      <c r="RLW362" s="633">
        <v>3563316.060000001</v>
      </c>
      <c r="RLX362" s="633">
        <v>3305610.92</v>
      </c>
      <c r="RLY362" s="633">
        <v>3255686.1799999992</v>
      </c>
      <c r="RLZ362" s="633">
        <v>3172108.3800000018</v>
      </c>
      <c r="RMA362" s="633">
        <v>3430726.5900000026</v>
      </c>
      <c r="RMB362" s="633">
        <v>3636289.9099999997</v>
      </c>
      <c r="RMC362" s="633">
        <v>3606558.6500000022</v>
      </c>
      <c r="RMD362" s="633">
        <v>3549118.4400000018</v>
      </c>
      <c r="RME362" s="634">
        <v>39996846</v>
      </c>
      <c r="RMF362" s="633">
        <f>SUM(RLS362:RMD362)</f>
        <v>39996846.150000013</v>
      </c>
      <c r="RMG362" s="631" t="s">
        <v>1836</v>
      </c>
      <c r="RMH362" s="632" t="s">
        <v>1673</v>
      </c>
      <c r="RMI362" s="633">
        <v>3470702.0100000007</v>
      </c>
      <c r="RMJ362" s="633">
        <v>3448347.94</v>
      </c>
      <c r="RMK362" s="633">
        <v>3398526.4800000009</v>
      </c>
      <c r="RML362" s="633">
        <v>2159854.59</v>
      </c>
      <c r="RMM362" s="633">
        <v>3563316.060000001</v>
      </c>
      <c r="RMN362" s="633">
        <v>3305610.92</v>
      </c>
      <c r="RMO362" s="633">
        <v>3255686.1799999992</v>
      </c>
      <c r="RMP362" s="633">
        <v>3172108.3800000018</v>
      </c>
      <c r="RMQ362" s="633">
        <v>3430726.5900000026</v>
      </c>
      <c r="RMR362" s="633">
        <v>3636289.9099999997</v>
      </c>
      <c r="RMS362" s="633">
        <v>3606558.6500000022</v>
      </c>
      <c r="RMT362" s="633">
        <v>3549118.4400000018</v>
      </c>
      <c r="RMU362" s="634">
        <v>39996846</v>
      </c>
      <c r="RMV362" s="633">
        <f>SUM(RMI362:RMT362)</f>
        <v>39996846.150000013</v>
      </c>
      <c r="RMW362" s="631" t="s">
        <v>1836</v>
      </c>
      <c r="RMX362" s="632" t="s">
        <v>1673</v>
      </c>
      <c r="RMY362" s="633">
        <v>3470702.0100000007</v>
      </c>
      <c r="RMZ362" s="633">
        <v>3448347.94</v>
      </c>
      <c r="RNA362" s="633">
        <v>3398526.4800000009</v>
      </c>
      <c r="RNB362" s="633">
        <v>2159854.59</v>
      </c>
      <c r="RNC362" s="633">
        <v>3563316.060000001</v>
      </c>
      <c r="RND362" s="633">
        <v>3305610.92</v>
      </c>
      <c r="RNE362" s="633">
        <v>3255686.1799999992</v>
      </c>
      <c r="RNF362" s="633">
        <v>3172108.3800000018</v>
      </c>
      <c r="RNG362" s="633">
        <v>3430726.5900000026</v>
      </c>
      <c r="RNH362" s="633">
        <v>3636289.9099999997</v>
      </c>
      <c r="RNI362" s="633">
        <v>3606558.6500000022</v>
      </c>
      <c r="RNJ362" s="633">
        <v>3549118.4400000018</v>
      </c>
      <c r="RNK362" s="634">
        <v>39996846</v>
      </c>
      <c r="RNL362" s="633">
        <f>SUM(RMY362:RNJ362)</f>
        <v>39996846.150000013</v>
      </c>
      <c r="RNM362" s="631" t="s">
        <v>1836</v>
      </c>
      <c r="RNN362" s="632" t="s">
        <v>1673</v>
      </c>
      <c r="RNO362" s="633">
        <v>3470702.0100000007</v>
      </c>
      <c r="RNP362" s="633">
        <v>3448347.94</v>
      </c>
      <c r="RNQ362" s="633">
        <v>3398526.4800000009</v>
      </c>
      <c r="RNR362" s="633">
        <v>2159854.59</v>
      </c>
      <c r="RNS362" s="633">
        <v>3563316.060000001</v>
      </c>
      <c r="RNT362" s="633">
        <v>3305610.92</v>
      </c>
      <c r="RNU362" s="633">
        <v>3255686.1799999992</v>
      </c>
      <c r="RNV362" s="633">
        <v>3172108.3800000018</v>
      </c>
      <c r="RNW362" s="633">
        <v>3430726.5900000026</v>
      </c>
      <c r="RNX362" s="633">
        <v>3636289.9099999997</v>
      </c>
      <c r="RNY362" s="633">
        <v>3606558.6500000022</v>
      </c>
      <c r="RNZ362" s="633">
        <v>3549118.4400000018</v>
      </c>
      <c r="ROA362" s="634">
        <v>39996846</v>
      </c>
      <c r="ROB362" s="633">
        <f>SUM(RNO362:RNZ362)</f>
        <v>39996846.150000013</v>
      </c>
      <c r="ROC362" s="631" t="s">
        <v>1836</v>
      </c>
      <c r="ROD362" s="632" t="s">
        <v>1673</v>
      </c>
      <c r="ROE362" s="633">
        <v>3470702.0100000007</v>
      </c>
      <c r="ROF362" s="633">
        <v>3448347.94</v>
      </c>
      <c r="ROG362" s="633">
        <v>3398526.4800000009</v>
      </c>
      <c r="ROH362" s="633">
        <v>2159854.59</v>
      </c>
      <c r="ROI362" s="633">
        <v>3563316.060000001</v>
      </c>
      <c r="ROJ362" s="633">
        <v>3305610.92</v>
      </c>
      <c r="ROK362" s="633">
        <v>3255686.1799999992</v>
      </c>
      <c r="ROL362" s="633">
        <v>3172108.3800000018</v>
      </c>
      <c r="ROM362" s="633">
        <v>3430726.5900000026</v>
      </c>
      <c r="RON362" s="633">
        <v>3636289.9099999997</v>
      </c>
      <c r="ROO362" s="633">
        <v>3606558.6500000022</v>
      </c>
      <c r="ROP362" s="633">
        <v>3549118.4400000018</v>
      </c>
      <c r="ROQ362" s="634">
        <v>39996846</v>
      </c>
      <c r="ROR362" s="633">
        <f>SUM(ROE362:ROP362)</f>
        <v>39996846.150000013</v>
      </c>
      <c r="ROS362" s="631" t="s">
        <v>1836</v>
      </c>
      <c r="ROT362" s="632" t="s">
        <v>1673</v>
      </c>
      <c r="ROU362" s="633">
        <v>3470702.0100000007</v>
      </c>
      <c r="ROV362" s="633">
        <v>3448347.94</v>
      </c>
      <c r="ROW362" s="633">
        <v>3398526.4800000009</v>
      </c>
      <c r="ROX362" s="633">
        <v>2159854.59</v>
      </c>
      <c r="ROY362" s="633">
        <v>3563316.060000001</v>
      </c>
      <c r="ROZ362" s="633">
        <v>3305610.92</v>
      </c>
      <c r="RPA362" s="633">
        <v>3255686.1799999992</v>
      </c>
      <c r="RPB362" s="633">
        <v>3172108.3800000018</v>
      </c>
      <c r="RPC362" s="633">
        <v>3430726.5900000026</v>
      </c>
      <c r="RPD362" s="633">
        <v>3636289.9099999997</v>
      </c>
      <c r="RPE362" s="633">
        <v>3606558.6500000022</v>
      </c>
      <c r="RPF362" s="633">
        <v>3549118.4400000018</v>
      </c>
      <c r="RPG362" s="634">
        <v>39996846</v>
      </c>
      <c r="RPH362" s="633">
        <f>SUM(ROU362:RPF362)</f>
        <v>39996846.150000013</v>
      </c>
      <c r="RPI362" s="631" t="s">
        <v>1836</v>
      </c>
      <c r="RPJ362" s="632" t="s">
        <v>1673</v>
      </c>
      <c r="RPK362" s="633">
        <v>3470702.0100000007</v>
      </c>
      <c r="RPL362" s="633">
        <v>3448347.94</v>
      </c>
      <c r="RPM362" s="633">
        <v>3398526.4800000009</v>
      </c>
      <c r="RPN362" s="633">
        <v>2159854.59</v>
      </c>
      <c r="RPO362" s="633">
        <v>3563316.060000001</v>
      </c>
      <c r="RPP362" s="633">
        <v>3305610.92</v>
      </c>
      <c r="RPQ362" s="633">
        <v>3255686.1799999992</v>
      </c>
      <c r="RPR362" s="633">
        <v>3172108.3800000018</v>
      </c>
      <c r="RPS362" s="633">
        <v>3430726.5900000026</v>
      </c>
      <c r="RPT362" s="633">
        <v>3636289.9099999997</v>
      </c>
      <c r="RPU362" s="633">
        <v>3606558.6500000022</v>
      </c>
      <c r="RPV362" s="633">
        <v>3549118.4400000018</v>
      </c>
      <c r="RPW362" s="634">
        <v>39996846</v>
      </c>
      <c r="RPX362" s="633">
        <f>SUM(RPK362:RPV362)</f>
        <v>39996846.150000013</v>
      </c>
      <c r="RPY362" s="631" t="s">
        <v>1836</v>
      </c>
      <c r="RPZ362" s="632" t="s">
        <v>1673</v>
      </c>
      <c r="RQA362" s="633">
        <v>3470702.0100000007</v>
      </c>
      <c r="RQB362" s="633">
        <v>3448347.94</v>
      </c>
      <c r="RQC362" s="633">
        <v>3398526.4800000009</v>
      </c>
      <c r="RQD362" s="633">
        <v>2159854.59</v>
      </c>
      <c r="RQE362" s="633">
        <v>3563316.060000001</v>
      </c>
      <c r="RQF362" s="633">
        <v>3305610.92</v>
      </c>
      <c r="RQG362" s="633">
        <v>3255686.1799999992</v>
      </c>
      <c r="RQH362" s="633">
        <v>3172108.3800000018</v>
      </c>
      <c r="RQI362" s="633">
        <v>3430726.5900000026</v>
      </c>
      <c r="RQJ362" s="633">
        <v>3636289.9099999997</v>
      </c>
      <c r="RQK362" s="633">
        <v>3606558.6500000022</v>
      </c>
      <c r="RQL362" s="633">
        <v>3549118.4400000018</v>
      </c>
      <c r="RQM362" s="634">
        <v>39996846</v>
      </c>
      <c r="RQN362" s="633">
        <f>SUM(RQA362:RQL362)</f>
        <v>39996846.150000013</v>
      </c>
      <c r="RQO362" s="631" t="s">
        <v>1836</v>
      </c>
      <c r="RQP362" s="632" t="s">
        <v>1673</v>
      </c>
      <c r="RQQ362" s="633">
        <v>3470702.0100000007</v>
      </c>
      <c r="RQR362" s="633">
        <v>3448347.94</v>
      </c>
      <c r="RQS362" s="633">
        <v>3398526.4800000009</v>
      </c>
      <c r="RQT362" s="633">
        <v>2159854.59</v>
      </c>
      <c r="RQU362" s="633">
        <v>3563316.060000001</v>
      </c>
      <c r="RQV362" s="633">
        <v>3305610.92</v>
      </c>
      <c r="RQW362" s="633">
        <v>3255686.1799999992</v>
      </c>
      <c r="RQX362" s="633">
        <v>3172108.3800000018</v>
      </c>
      <c r="RQY362" s="633">
        <v>3430726.5900000026</v>
      </c>
      <c r="RQZ362" s="633">
        <v>3636289.9099999997</v>
      </c>
      <c r="RRA362" s="633">
        <v>3606558.6500000022</v>
      </c>
      <c r="RRB362" s="633">
        <v>3549118.4400000018</v>
      </c>
      <c r="RRC362" s="634">
        <v>39996846</v>
      </c>
      <c r="RRD362" s="633">
        <f>SUM(RQQ362:RRB362)</f>
        <v>39996846.150000013</v>
      </c>
      <c r="RRE362" s="631" t="s">
        <v>1836</v>
      </c>
      <c r="RRF362" s="632" t="s">
        <v>1673</v>
      </c>
      <c r="RRG362" s="633">
        <v>3470702.0100000007</v>
      </c>
      <c r="RRH362" s="633">
        <v>3448347.94</v>
      </c>
      <c r="RRI362" s="633">
        <v>3398526.4800000009</v>
      </c>
      <c r="RRJ362" s="633">
        <v>2159854.59</v>
      </c>
      <c r="RRK362" s="633">
        <v>3563316.060000001</v>
      </c>
      <c r="RRL362" s="633">
        <v>3305610.92</v>
      </c>
      <c r="RRM362" s="633">
        <v>3255686.1799999992</v>
      </c>
      <c r="RRN362" s="633">
        <v>3172108.3800000018</v>
      </c>
      <c r="RRO362" s="633">
        <v>3430726.5900000026</v>
      </c>
      <c r="RRP362" s="633">
        <v>3636289.9099999997</v>
      </c>
      <c r="RRQ362" s="633">
        <v>3606558.6500000022</v>
      </c>
      <c r="RRR362" s="633">
        <v>3549118.4400000018</v>
      </c>
      <c r="RRS362" s="634">
        <v>39996846</v>
      </c>
      <c r="RRT362" s="633">
        <f>SUM(RRG362:RRR362)</f>
        <v>39996846.150000013</v>
      </c>
      <c r="RRU362" s="631" t="s">
        <v>1836</v>
      </c>
      <c r="RRV362" s="632" t="s">
        <v>1673</v>
      </c>
      <c r="RRW362" s="633">
        <v>3470702.0100000007</v>
      </c>
      <c r="RRX362" s="633">
        <v>3448347.94</v>
      </c>
      <c r="RRY362" s="633">
        <v>3398526.4800000009</v>
      </c>
      <c r="RRZ362" s="633">
        <v>2159854.59</v>
      </c>
      <c r="RSA362" s="633">
        <v>3563316.060000001</v>
      </c>
      <c r="RSB362" s="633">
        <v>3305610.92</v>
      </c>
      <c r="RSC362" s="633">
        <v>3255686.1799999992</v>
      </c>
      <c r="RSD362" s="633">
        <v>3172108.3800000018</v>
      </c>
      <c r="RSE362" s="633">
        <v>3430726.5900000026</v>
      </c>
      <c r="RSF362" s="633">
        <v>3636289.9099999997</v>
      </c>
      <c r="RSG362" s="633">
        <v>3606558.6500000022</v>
      </c>
      <c r="RSH362" s="633">
        <v>3549118.4400000018</v>
      </c>
      <c r="RSI362" s="634">
        <v>39996846</v>
      </c>
      <c r="RSJ362" s="633">
        <f>SUM(RRW362:RSH362)</f>
        <v>39996846.150000013</v>
      </c>
      <c r="RSK362" s="631" t="s">
        <v>1836</v>
      </c>
      <c r="RSL362" s="632" t="s">
        <v>1673</v>
      </c>
      <c r="RSM362" s="633">
        <v>3470702.0100000007</v>
      </c>
      <c r="RSN362" s="633">
        <v>3448347.94</v>
      </c>
      <c r="RSO362" s="633">
        <v>3398526.4800000009</v>
      </c>
      <c r="RSP362" s="633">
        <v>2159854.59</v>
      </c>
      <c r="RSQ362" s="633">
        <v>3563316.060000001</v>
      </c>
      <c r="RSR362" s="633">
        <v>3305610.92</v>
      </c>
      <c r="RSS362" s="633">
        <v>3255686.1799999992</v>
      </c>
      <c r="RST362" s="633">
        <v>3172108.3800000018</v>
      </c>
      <c r="RSU362" s="633">
        <v>3430726.5900000026</v>
      </c>
      <c r="RSV362" s="633">
        <v>3636289.9099999997</v>
      </c>
      <c r="RSW362" s="633">
        <v>3606558.6500000022</v>
      </c>
      <c r="RSX362" s="633">
        <v>3549118.4400000018</v>
      </c>
      <c r="RSY362" s="634">
        <v>39996846</v>
      </c>
      <c r="RSZ362" s="633">
        <f>SUM(RSM362:RSX362)</f>
        <v>39996846.150000013</v>
      </c>
      <c r="RTA362" s="631" t="s">
        <v>1836</v>
      </c>
      <c r="RTB362" s="632" t="s">
        <v>1673</v>
      </c>
      <c r="RTC362" s="633">
        <v>3470702.0100000007</v>
      </c>
      <c r="RTD362" s="633">
        <v>3448347.94</v>
      </c>
      <c r="RTE362" s="633">
        <v>3398526.4800000009</v>
      </c>
      <c r="RTF362" s="633">
        <v>2159854.59</v>
      </c>
      <c r="RTG362" s="633">
        <v>3563316.060000001</v>
      </c>
      <c r="RTH362" s="633">
        <v>3305610.92</v>
      </c>
      <c r="RTI362" s="633">
        <v>3255686.1799999992</v>
      </c>
      <c r="RTJ362" s="633">
        <v>3172108.3800000018</v>
      </c>
      <c r="RTK362" s="633">
        <v>3430726.5900000026</v>
      </c>
      <c r="RTL362" s="633">
        <v>3636289.9099999997</v>
      </c>
      <c r="RTM362" s="633">
        <v>3606558.6500000022</v>
      </c>
      <c r="RTN362" s="633">
        <v>3549118.4400000018</v>
      </c>
      <c r="RTO362" s="634">
        <v>39996846</v>
      </c>
      <c r="RTP362" s="633">
        <f>SUM(RTC362:RTN362)</f>
        <v>39996846.150000013</v>
      </c>
      <c r="RTQ362" s="631" t="s">
        <v>1836</v>
      </c>
      <c r="RTR362" s="632" t="s">
        <v>1673</v>
      </c>
      <c r="RTS362" s="633">
        <v>3470702.0100000007</v>
      </c>
      <c r="RTT362" s="633">
        <v>3448347.94</v>
      </c>
      <c r="RTU362" s="633">
        <v>3398526.4800000009</v>
      </c>
      <c r="RTV362" s="633">
        <v>2159854.59</v>
      </c>
      <c r="RTW362" s="633">
        <v>3563316.060000001</v>
      </c>
      <c r="RTX362" s="633">
        <v>3305610.92</v>
      </c>
      <c r="RTY362" s="633">
        <v>3255686.1799999992</v>
      </c>
      <c r="RTZ362" s="633">
        <v>3172108.3800000018</v>
      </c>
      <c r="RUA362" s="633">
        <v>3430726.5900000026</v>
      </c>
      <c r="RUB362" s="633">
        <v>3636289.9099999997</v>
      </c>
      <c r="RUC362" s="633">
        <v>3606558.6500000022</v>
      </c>
      <c r="RUD362" s="633">
        <v>3549118.4400000018</v>
      </c>
      <c r="RUE362" s="634">
        <v>39996846</v>
      </c>
      <c r="RUF362" s="633">
        <f>SUM(RTS362:RUD362)</f>
        <v>39996846.150000013</v>
      </c>
      <c r="RUG362" s="631" t="s">
        <v>1836</v>
      </c>
      <c r="RUH362" s="632" t="s">
        <v>1673</v>
      </c>
      <c r="RUI362" s="633">
        <v>3470702.0100000007</v>
      </c>
      <c r="RUJ362" s="633">
        <v>3448347.94</v>
      </c>
      <c r="RUK362" s="633">
        <v>3398526.4800000009</v>
      </c>
      <c r="RUL362" s="633">
        <v>2159854.59</v>
      </c>
      <c r="RUM362" s="633">
        <v>3563316.060000001</v>
      </c>
      <c r="RUN362" s="633">
        <v>3305610.92</v>
      </c>
      <c r="RUO362" s="633">
        <v>3255686.1799999992</v>
      </c>
      <c r="RUP362" s="633">
        <v>3172108.3800000018</v>
      </c>
      <c r="RUQ362" s="633">
        <v>3430726.5900000026</v>
      </c>
      <c r="RUR362" s="633">
        <v>3636289.9099999997</v>
      </c>
      <c r="RUS362" s="633">
        <v>3606558.6500000022</v>
      </c>
      <c r="RUT362" s="633">
        <v>3549118.4400000018</v>
      </c>
      <c r="RUU362" s="634">
        <v>39996846</v>
      </c>
      <c r="RUV362" s="633">
        <f>SUM(RUI362:RUT362)</f>
        <v>39996846.150000013</v>
      </c>
      <c r="RUW362" s="631" t="s">
        <v>1836</v>
      </c>
      <c r="RUX362" s="632" t="s">
        <v>1673</v>
      </c>
      <c r="RUY362" s="633">
        <v>3470702.0100000007</v>
      </c>
      <c r="RUZ362" s="633">
        <v>3448347.94</v>
      </c>
      <c r="RVA362" s="633">
        <v>3398526.4800000009</v>
      </c>
      <c r="RVB362" s="633">
        <v>2159854.59</v>
      </c>
      <c r="RVC362" s="633">
        <v>3563316.060000001</v>
      </c>
      <c r="RVD362" s="633">
        <v>3305610.92</v>
      </c>
      <c r="RVE362" s="633">
        <v>3255686.1799999992</v>
      </c>
      <c r="RVF362" s="633">
        <v>3172108.3800000018</v>
      </c>
      <c r="RVG362" s="633">
        <v>3430726.5900000026</v>
      </c>
      <c r="RVH362" s="633">
        <v>3636289.9099999997</v>
      </c>
      <c r="RVI362" s="633">
        <v>3606558.6500000022</v>
      </c>
      <c r="RVJ362" s="633">
        <v>3549118.4400000018</v>
      </c>
      <c r="RVK362" s="634">
        <v>39996846</v>
      </c>
      <c r="RVL362" s="633">
        <f>SUM(RUY362:RVJ362)</f>
        <v>39996846.150000013</v>
      </c>
      <c r="RVM362" s="631" t="s">
        <v>1836</v>
      </c>
      <c r="RVN362" s="632" t="s">
        <v>1673</v>
      </c>
      <c r="RVO362" s="633">
        <v>3470702.0100000007</v>
      </c>
      <c r="RVP362" s="633">
        <v>3448347.94</v>
      </c>
      <c r="RVQ362" s="633">
        <v>3398526.4800000009</v>
      </c>
      <c r="RVR362" s="633">
        <v>2159854.59</v>
      </c>
      <c r="RVS362" s="633">
        <v>3563316.060000001</v>
      </c>
      <c r="RVT362" s="633">
        <v>3305610.92</v>
      </c>
      <c r="RVU362" s="633">
        <v>3255686.1799999992</v>
      </c>
      <c r="RVV362" s="633">
        <v>3172108.3800000018</v>
      </c>
      <c r="RVW362" s="633">
        <v>3430726.5900000026</v>
      </c>
      <c r="RVX362" s="633">
        <v>3636289.9099999997</v>
      </c>
      <c r="RVY362" s="633">
        <v>3606558.6500000022</v>
      </c>
      <c r="RVZ362" s="633">
        <v>3549118.4400000018</v>
      </c>
      <c r="RWA362" s="634">
        <v>39996846</v>
      </c>
      <c r="RWB362" s="633">
        <f>SUM(RVO362:RVZ362)</f>
        <v>39996846.150000013</v>
      </c>
      <c r="RWC362" s="631" t="s">
        <v>1836</v>
      </c>
      <c r="RWD362" s="632" t="s">
        <v>1673</v>
      </c>
      <c r="RWE362" s="633">
        <v>3470702.0100000007</v>
      </c>
      <c r="RWF362" s="633">
        <v>3448347.94</v>
      </c>
      <c r="RWG362" s="633">
        <v>3398526.4800000009</v>
      </c>
      <c r="RWH362" s="633">
        <v>2159854.59</v>
      </c>
      <c r="RWI362" s="633">
        <v>3563316.060000001</v>
      </c>
      <c r="RWJ362" s="633">
        <v>3305610.92</v>
      </c>
      <c r="RWK362" s="633">
        <v>3255686.1799999992</v>
      </c>
      <c r="RWL362" s="633">
        <v>3172108.3800000018</v>
      </c>
      <c r="RWM362" s="633">
        <v>3430726.5900000026</v>
      </c>
      <c r="RWN362" s="633">
        <v>3636289.9099999997</v>
      </c>
      <c r="RWO362" s="633">
        <v>3606558.6500000022</v>
      </c>
      <c r="RWP362" s="633">
        <v>3549118.4400000018</v>
      </c>
      <c r="RWQ362" s="634">
        <v>39996846</v>
      </c>
      <c r="RWR362" s="633">
        <f>SUM(RWE362:RWP362)</f>
        <v>39996846.150000013</v>
      </c>
      <c r="RWS362" s="631" t="s">
        <v>1836</v>
      </c>
      <c r="RWT362" s="632" t="s">
        <v>1673</v>
      </c>
      <c r="RWU362" s="633">
        <v>3470702.0100000007</v>
      </c>
      <c r="RWV362" s="633">
        <v>3448347.94</v>
      </c>
      <c r="RWW362" s="633">
        <v>3398526.4800000009</v>
      </c>
      <c r="RWX362" s="633">
        <v>2159854.59</v>
      </c>
      <c r="RWY362" s="633">
        <v>3563316.060000001</v>
      </c>
      <c r="RWZ362" s="633">
        <v>3305610.92</v>
      </c>
      <c r="RXA362" s="633">
        <v>3255686.1799999992</v>
      </c>
      <c r="RXB362" s="633">
        <v>3172108.3800000018</v>
      </c>
      <c r="RXC362" s="633">
        <v>3430726.5900000026</v>
      </c>
      <c r="RXD362" s="633">
        <v>3636289.9099999997</v>
      </c>
      <c r="RXE362" s="633">
        <v>3606558.6500000022</v>
      </c>
      <c r="RXF362" s="633">
        <v>3549118.4400000018</v>
      </c>
      <c r="RXG362" s="634">
        <v>39996846</v>
      </c>
      <c r="RXH362" s="633">
        <f>SUM(RWU362:RXF362)</f>
        <v>39996846.150000013</v>
      </c>
      <c r="RXI362" s="631" t="s">
        <v>1836</v>
      </c>
      <c r="RXJ362" s="632" t="s">
        <v>1673</v>
      </c>
      <c r="RXK362" s="633">
        <v>3470702.0100000007</v>
      </c>
      <c r="RXL362" s="633">
        <v>3448347.94</v>
      </c>
      <c r="RXM362" s="633">
        <v>3398526.4800000009</v>
      </c>
      <c r="RXN362" s="633">
        <v>2159854.59</v>
      </c>
      <c r="RXO362" s="633">
        <v>3563316.060000001</v>
      </c>
      <c r="RXP362" s="633">
        <v>3305610.92</v>
      </c>
      <c r="RXQ362" s="633">
        <v>3255686.1799999992</v>
      </c>
      <c r="RXR362" s="633">
        <v>3172108.3800000018</v>
      </c>
      <c r="RXS362" s="633">
        <v>3430726.5900000026</v>
      </c>
      <c r="RXT362" s="633">
        <v>3636289.9099999997</v>
      </c>
      <c r="RXU362" s="633">
        <v>3606558.6500000022</v>
      </c>
      <c r="RXV362" s="633">
        <v>3549118.4400000018</v>
      </c>
      <c r="RXW362" s="634">
        <v>39996846</v>
      </c>
      <c r="RXX362" s="633">
        <f>SUM(RXK362:RXV362)</f>
        <v>39996846.150000013</v>
      </c>
      <c r="RXY362" s="631" t="s">
        <v>1836</v>
      </c>
      <c r="RXZ362" s="632" t="s">
        <v>1673</v>
      </c>
      <c r="RYA362" s="633">
        <v>3470702.0100000007</v>
      </c>
      <c r="RYB362" s="633">
        <v>3448347.94</v>
      </c>
      <c r="RYC362" s="633">
        <v>3398526.4800000009</v>
      </c>
      <c r="RYD362" s="633">
        <v>2159854.59</v>
      </c>
      <c r="RYE362" s="633">
        <v>3563316.060000001</v>
      </c>
      <c r="RYF362" s="633">
        <v>3305610.92</v>
      </c>
      <c r="RYG362" s="633">
        <v>3255686.1799999992</v>
      </c>
      <c r="RYH362" s="633">
        <v>3172108.3800000018</v>
      </c>
      <c r="RYI362" s="633">
        <v>3430726.5900000026</v>
      </c>
      <c r="RYJ362" s="633">
        <v>3636289.9099999997</v>
      </c>
      <c r="RYK362" s="633">
        <v>3606558.6500000022</v>
      </c>
      <c r="RYL362" s="633">
        <v>3549118.4400000018</v>
      </c>
      <c r="RYM362" s="634">
        <v>39996846</v>
      </c>
      <c r="RYN362" s="633">
        <f>SUM(RYA362:RYL362)</f>
        <v>39996846.150000013</v>
      </c>
      <c r="RYO362" s="631" t="s">
        <v>1836</v>
      </c>
      <c r="RYP362" s="632" t="s">
        <v>1673</v>
      </c>
      <c r="RYQ362" s="633">
        <v>3470702.0100000007</v>
      </c>
      <c r="RYR362" s="633">
        <v>3448347.94</v>
      </c>
      <c r="RYS362" s="633">
        <v>3398526.4800000009</v>
      </c>
      <c r="RYT362" s="633">
        <v>2159854.59</v>
      </c>
      <c r="RYU362" s="633">
        <v>3563316.060000001</v>
      </c>
      <c r="RYV362" s="633">
        <v>3305610.92</v>
      </c>
      <c r="RYW362" s="633">
        <v>3255686.1799999992</v>
      </c>
      <c r="RYX362" s="633">
        <v>3172108.3800000018</v>
      </c>
      <c r="RYY362" s="633">
        <v>3430726.5900000026</v>
      </c>
      <c r="RYZ362" s="633">
        <v>3636289.9099999997</v>
      </c>
      <c r="RZA362" s="633">
        <v>3606558.6500000022</v>
      </c>
      <c r="RZB362" s="633">
        <v>3549118.4400000018</v>
      </c>
      <c r="RZC362" s="634">
        <v>39996846</v>
      </c>
      <c r="RZD362" s="633">
        <f>SUM(RYQ362:RZB362)</f>
        <v>39996846.150000013</v>
      </c>
      <c r="RZE362" s="631" t="s">
        <v>1836</v>
      </c>
      <c r="RZF362" s="632" t="s">
        <v>1673</v>
      </c>
      <c r="RZG362" s="633">
        <v>3470702.0100000007</v>
      </c>
      <c r="RZH362" s="633">
        <v>3448347.94</v>
      </c>
      <c r="RZI362" s="633">
        <v>3398526.4800000009</v>
      </c>
      <c r="RZJ362" s="633">
        <v>2159854.59</v>
      </c>
      <c r="RZK362" s="633">
        <v>3563316.060000001</v>
      </c>
      <c r="RZL362" s="633">
        <v>3305610.92</v>
      </c>
      <c r="RZM362" s="633">
        <v>3255686.1799999992</v>
      </c>
      <c r="RZN362" s="633">
        <v>3172108.3800000018</v>
      </c>
      <c r="RZO362" s="633">
        <v>3430726.5900000026</v>
      </c>
      <c r="RZP362" s="633">
        <v>3636289.9099999997</v>
      </c>
      <c r="RZQ362" s="633">
        <v>3606558.6500000022</v>
      </c>
      <c r="RZR362" s="633">
        <v>3549118.4400000018</v>
      </c>
      <c r="RZS362" s="634">
        <v>39996846</v>
      </c>
      <c r="RZT362" s="633">
        <f>SUM(RZG362:RZR362)</f>
        <v>39996846.150000013</v>
      </c>
      <c r="RZU362" s="631" t="s">
        <v>1836</v>
      </c>
      <c r="RZV362" s="632" t="s">
        <v>1673</v>
      </c>
      <c r="RZW362" s="633">
        <v>3470702.0100000007</v>
      </c>
      <c r="RZX362" s="633">
        <v>3448347.94</v>
      </c>
      <c r="RZY362" s="633">
        <v>3398526.4800000009</v>
      </c>
      <c r="RZZ362" s="633">
        <v>2159854.59</v>
      </c>
      <c r="SAA362" s="633">
        <v>3563316.060000001</v>
      </c>
      <c r="SAB362" s="633">
        <v>3305610.92</v>
      </c>
      <c r="SAC362" s="633">
        <v>3255686.1799999992</v>
      </c>
      <c r="SAD362" s="633">
        <v>3172108.3800000018</v>
      </c>
      <c r="SAE362" s="633">
        <v>3430726.5900000026</v>
      </c>
      <c r="SAF362" s="633">
        <v>3636289.9099999997</v>
      </c>
      <c r="SAG362" s="633">
        <v>3606558.6500000022</v>
      </c>
      <c r="SAH362" s="633">
        <v>3549118.4400000018</v>
      </c>
      <c r="SAI362" s="634">
        <v>39996846</v>
      </c>
      <c r="SAJ362" s="633">
        <f>SUM(RZW362:SAH362)</f>
        <v>39996846.150000013</v>
      </c>
      <c r="SAK362" s="631" t="s">
        <v>1836</v>
      </c>
      <c r="SAL362" s="632" t="s">
        <v>1673</v>
      </c>
      <c r="SAM362" s="633">
        <v>3470702.0100000007</v>
      </c>
      <c r="SAN362" s="633">
        <v>3448347.94</v>
      </c>
      <c r="SAO362" s="633">
        <v>3398526.4800000009</v>
      </c>
      <c r="SAP362" s="633">
        <v>2159854.59</v>
      </c>
      <c r="SAQ362" s="633">
        <v>3563316.060000001</v>
      </c>
      <c r="SAR362" s="633">
        <v>3305610.92</v>
      </c>
      <c r="SAS362" s="633">
        <v>3255686.1799999992</v>
      </c>
      <c r="SAT362" s="633">
        <v>3172108.3800000018</v>
      </c>
      <c r="SAU362" s="633">
        <v>3430726.5900000026</v>
      </c>
      <c r="SAV362" s="633">
        <v>3636289.9099999997</v>
      </c>
      <c r="SAW362" s="633">
        <v>3606558.6500000022</v>
      </c>
      <c r="SAX362" s="633">
        <v>3549118.4400000018</v>
      </c>
      <c r="SAY362" s="634">
        <v>39996846</v>
      </c>
      <c r="SAZ362" s="633">
        <f>SUM(SAM362:SAX362)</f>
        <v>39996846.150000013</v>
      </c>
      <c r="SBA362" s="631" t="s">
        <v>1836</v>
      </c>
      <c r="SBB362" s="632" t="s">
        <v>1673</v>
      </c>
      <c r="SBC362" s="633">
        <v>3470702.0100000007</v>
      </c>
      <c r="SBD362" s="633">
        <v>3448347.94</v>
      </c>
      <c r="SBE362" s="633">
        <v>3398526.4800000009</v>
      </c>
      <c r="SBF362" s="633">
        <v>2159854.59</v>
      </c>
      <c r="SBG362" s="633">
        <v>3563316.060000001</v>
      </c>
      <c r="SBH362" s="633">
        <v>3305610.92</v>
      </c>
      <c r="SBI362" s="633">
        <v>3255686.1799999992</v>
      </c>
      <c r="SBJ362" s="633">
        <v>3172108.3800000018</v>
      </c>
      <c r="SBK362" s="633">
        <v>3430726.5900000026</v>
      </c>
      <c r="SBL362" s="633">
        <v>3636289.9099999997</v>
      </c>
      <c r="SBM362" s="633">
        <v>3606558.6500000022</v>
      </c>
      <c r="SBN362" s="633">
        <v>3549118.4400000018</v>
      </c>
      <c r="SBO362" s="634">
        <v>39996846</v>
      </c>
      <c r="SBP362" s="633">
        <f>SUM(SBC362:SBN362)</f>
        <v>39996846.150000013</v>
      </c>
      <c r="SBQ362" s="631" t="s">
        <v>1836</v>
      </c>
      <c r="SBR362" s="632" t="s">
        <v>1673</v>
      </c>
      <c r="SBS362" s="633">
        <v>3470702.0100000007</v>
      </c>
      <c r="SBT362" s="633">
        <v>3448347.94</v>
      </c>
      <c r="SBU362" s="633">
        <v>3398526.4800000009</v>
      </c>
      <c r="SBV362" s="633">
        <v>2159854.59</v>
      </c>
      <c r="SBW362" s="633">
        <v>3563316.060000001</v>
      </c>
      <c r="SBX362" s="633">
        <v>3305610.92</v>
      </c>
      <c r="SBY362" s="633">
        <v>3255686.1799999992</v>
      </c>
      <c r="SBZ362" s="633">
        <v>3172108.3800000018</v>
      </c>
      <c r="SCA362" s="633">
        <v>3430726.5900000026</v>
      </c>
      <c r="SCB362" s="633">
        <v>3636289.9099999997</v>
      </c>
      <c r="SCC362" s="633">
        <v>3606558.6500000022</v>
      </c>
      <c r="SCD362" s="633">
        <v>3549118.4400000018</v>
      </c>
      <c r="SCE362" s="634">
        <v>39996846</v>
      </c>
      <c r="SCF362" s="633">
        <f>SUM(SBS362:SCD362)</f>
        <v>39996846.150000013</v>
      </c>
      <c r="SCG362" s="631" t="s">
        <v>1836</v>
      </c>
      <c r="SCH362" s="632" t="s">
        <v>1673</v>
      </c>
      <c r="SCI362" s="633">
        <v>3470702.0100000007</v>
      </c>
      <c r="SCJ362" s="633">
        <v>3448347.94</v>
      </c>
      <c r="SCK362" s="633">
        <v>3398526.4800000009</v>
      </c>
      <c r="SCL362" s="633">
        <v>2159854.59</v>
      </c>
      <c r="SCM362" s="633">
        <v>3563316.060000001</v>
      </c>
      <c r="SCN362" s="633">
        <v>3305610.92</v>
      </c>
      <c r="SCO362" s="633">
        <v>3255686.1799999992</v>
      </c>
      <c r="SCP362" s="633">
        <v>3172108.3800000018</v>
      </c>
      <c r="SCQ362" s="633">
        <v>3430726.5900000026</v>
      </c>
      <c r="SCR362" s="633">
        <v>3636289.9099999997</v>
      </c>
      <c r="SCS362" s="633">
        <v>3606558.6500000022</v>
      </c>
      <c r="SCT362" s="633">
        <v>3549118.4400000018</v>
      </c>
      <c r="SCU362" s="634">
        <v>39996846</v>
      </c>
      <c r="SCV362" s="633">
        <f>SUM(SCI362:SCT362)</f>
        <v>39996846.150000013</v>
      </c>
      <c r="SCW362" s="631" t="s">
        <v>1836</v>
      </c>
      <c r="SCX362" s="632" t="s">
        <v>1673</v>
      </c>
      <c r="SCY362" s="633">
        <v>3470702.0100000007</v>
      </c>
      <c r="SCZ362" s="633">
        <v>3448347.94</v>
      </c>
      <c r="SDA362" s="633">
        <v>3398526.4800000009</v>
      </c>
      <c r="SDB362" s="633">
        <v>2159854.59</v>
      </c>
      <c r="SDC362" s="633">
        <v>3563316.060000001</v>
      </c>
      <c r="SDD362" s="633">
        <v>3305610.92</v>
      </c>
      <c r="SDE362" s="633">
        <v>3255686.1799999992</v>
      </c>
      <c r="SDF362" s="633">
        <v>3172108.3800000018</v>
      </c>
      <c r="SDG362" s="633">
        <v>3430726.5900000026</v>
      </c>
      <c r="SDH362" s="633">
        <v>3636289.9099999997</v>
      </c>
      <c r="SDI362" s="633">
        <v>3606558.6500000022</v>
      </c>
      <c r="SDJ362" s="633">
        <v>3549118.4400000018</v>
      </c>
      <c r="SDK362" s="634">
        <v>39996846</v>
      </c>
      <c r="SDL362" s="633">
        <f>SUM(SCY362:SDJ362)</f>
        <v>39996846.150000013</v>
      </c>
      <c r="SDM362" s="631" t="s">
        <v>1836</v>
      </c>
      <c r="SDN362" s="632" t="s">
        <v>1673</v>
      </c>
      <c r="SDO362" s="633">
        <v>3470702.0100000007</v>
      </c>
      <c r="SDP362" s="633">
        <v>3448347.94</v>
      </c>
      <c r="SDQ362" s="633">
        <v>3398526.4800000009</v>
      </c>
      <c r="SDR362" s="633">
        <v>2159854.59</v>
      </c>
      <c r="SDS362" s="633">
        <v>3563316.060000001</v>
      </c>
      <c r="SDT362" s="633">
        <v>3305610.92</v>
      </c>
      <c r="SDU362" s="633">
        <v>3255686.1799999992</v>
      </c>
      <c r="SDV362" s="633">
        <v>3172108.3800000018</v>
      </c>
      <c r="SDW362" s="633">
        <v>3430726.5900000026</v>
      </c>
      <c r="SDX362" s="633">
        <v>3636289.9099999997</v>
      </c>
      <c r="SDY362" s="633">
        <v>3606558.6500000022</v>
      </c>
      <c r="SDZ362" s="633">
        <v>3549118.4400000018</v>
      </c>
      <c r="SEA362" s="634">
        <v>39996846</v>
      </c>
      <c r="SEB362" s="633">
        <f>SUM(SDO362:SDZ362)</f>
        <v>39996846.150000013</v>
      </c>
      <c r="SEC362" s="631" t="s">
        <v>1836</v>
      </c>
      <c r="SED362" s="632" t="s">
        <v>1673</v>
      </c>
      <c r="SEE362" s="633">
        <v>3470702.0100000007</v>
      </c>
      <c r="SEF362" s="633">
        <v>3448347.94</v>
      </c>
      <c r="SEG362" s="633">
        <v>3398526.4800000009</v>
      </c>
      <c r="SEH362" s="633">
        <v>2159854.59</v>
      </c>
      <c r="SEI362" s="633">
        <v>3563316.060000001</v>
      </c>
      <c r="SEJ362" s="633">
        <v>3305610.92</v>
      </c>
      <c r="SEK362" s="633">
        <v>3255686.1799999992</v>
      </c>
      <c r="SEL362" s="633">
        <v>3172108.3800000018</v>
      </c>
      <c r="SEM362" s="633">
        <v>3430726.5900000026</v>
      </c>
      <c r="SEN362" s="633">
        <v>3636289.9099999997</v>
      </c>
      <c r="SEO362" s="633">
        <v>3606558.6500000022</v>
      </c>
      <c r="SEP362" s="633">
        <v>3549118.4400000018</v>
      </c>
      <c r="SEQ362" s="634">
        <v>39996846</v>
      </c>
      <c r="SER362" s="633">
        <f>SUM(SEE362:SEP362)</f>
        <v>39996846.150000013</v>
      </c>
      <c r="SES362" s="631" t="s">
        <v>1836</v>
      </c>
      <c r="SET362" s="632" t="s">
        <v>1673</v>
      </c>
      <c r="SEU362" s="633">
        <v>3470702.0100000007</v>
      </c>
      <c r="SEV362" s="633">
        <v>3448347.94</v>
      </c>
      <c r="SEW362" s="633">
        <v>3398526.4800000009</v>
      </c>
      <c r="SEX362" s="633">
        <v>2159854.59</v>
      </c>
      <c r="SEY362" s="633">
        <v>3563316.060000001</v>
      </c>
      <c r="SEZ362" s="633">
        <v>3305610.92</v>
      </c>
      <c r="SFA362" s="633">
        <v>3255686.1799999992</v>
      </c>
      <c r="SFB362" s="633">
        <v>3172108.3800000018</v>
      </c>
      <c r="SFC362" s="633">
        <v>3430726.5900000026</v>
      </c>
      <c r="SFD362" s="633">
        <v>3636289.9099999997</v>
      </c>
      <c r="SFE362" s="633">
        <v>3606558.6500000022</v>
      </c>
      <c r="SFF362" s="633">
        <v>3549118.4400000018</v>
      </c>
      <c r="SFG362" s="634">
        <v>39996846</v>
      </c>
      <c r="SFH362" s="633">
        <f>SUM(SEU362:SFF362)</f>
        <v>39996846.150000013</v>
      </c>
      <c r="SFI362" s="631" t="s">
        <v>1836</v>
      </c>
      <c r="SFJ362" s="632" t="s">
        <v>1673</v>
      </c>
      <c r="SFK362" s="633">
        <v>3470702.0100000007</v>
      </c>
      <c r="SFL362" s="633">
        <v>3448347.94</v>
      </c>
      <c r="SFM362" s="633">
        <v>3398526.4800000009</v>
      </c>
      <c r="SFN362" s="633">
        <v>2159854.59</v>
      </c>
      <c r="SFO362" s="633">
        <v>3563316.060000001</v>
      </c>
      <c r="SFP362" s="633">
        <v>3305610.92</v>
      </c>
      <c r="SFQ362" s="633">
        <v>3255686.1799999992</v>
      </c>
      <c r="SFR362" s="633">
        <v>3172108.3800000018</v>
      </c>
      <c r="SFS362" s="633">
        <v>3430726.5900000026</v>
      </c>
      <c r="SFT362" s="633">
        <v>3636289.9099999997</v>
      </c>
      <c r="SFU362" s="633">
        <v>3606558.6500000022</v>
      </c>
      <c r="SFV362" s="633">
        <v>3549118.4400000018</v>
      </c>
      <c r="SFW362" s="634">
        <v>39996846</v>
      </c>
      <c r="SFX362" s="633">
        <f>SUM(SFK362:SFV362)</f>
        <v>39996846.150000013</v>
      </c>
      <c r="SFY362" s="631" t="s">
        <v>1836</v>
      </c>
      <c r="SFZ362" s="632" t="s">
        <v>1673</v>
      </c>
      <c r="SGA362" s="633">
        <v>3470702.0100000007</v>
      </c>
      <c r="SGB362" s="633">
        <v>3448347.94</v>
      </c>
      <c r="SGC362" s="633">
        <v>3398526.4800000009</v>
      </c>
      <c r="SGD362" s="633">
        <v>2159854.59</v>
      </c>
      <c r="SGE362" s="633">
        <v>3563316.060000001</v>
      </c>
      <c r="SGF362" s="633">
        <v>3305610.92</v>
      </c>
      <c r="SGG362" s="633">
        <v>3255686.1799999992</v>
      </c>
      <c r="SGH362" s="633">
        <v>3172108.3800000018</v>
      </c>
      <c r="SGI362" s="633">
        <v>3430726.5900000026</v>
      </c>
      <c r="SGJ362" s="633">
        <v>3636289.9099999997</v>
      </c>
      <c r="SGK362" s="633">
        <v>3606558.6500000022</v>
      </c>
      <c r="SGL362" s="633">
        <v>3549118.4400000018</v>
      </c>
      <c r="SGM362" s="634">
        <v>39996846</v>
      </c>
      <c r="SGN362" s="633">
        <f>SUM(SGA362:SGL362)</f>
        <v>39996846.150000013</v>
      </c>
      <c r="SGO362" s="631" t="s">
        <v>1836</v>
      </c>
      <c r="SGP362" s="632" t="s">
        <v>1673</v>
      </c>
      <c r="SGQ362" s="633">
        <v>3470702.0100000007</v>
      </c>
      <c r="SGR362" s="633">
        <v>3448347.94</v>
      </c>
      <c r="SGS362" s="633">
        <v>3398526.4800000009</v>
      </c>
      <c r="SGT362" s="633">
        <v>2159854.59</v>
      </c>
      <c r="SGU362" s="633">
        <v>3563316.060000001</v>
      </c>
      <c r="SGV362" s="633">
        <v>3305610.92</v>
      </c>
      <c r="SGW362" s="633">
        <v>3255686.1799999992</v>
      </c>
      <c r="SGX362" s="633">
        <v>3172108.3800000018</v>
      </c>
      <c r="SGY362" s="633">
        <v>3430726.5900000026</v>
      </c>
      <c r="SGZ362" s="633">
        <v>3636289.9099999997</v>
      </c>
      <c r="SHA362" s="633">
        <v>3606558.6500000022</v>
      </c>
      <c r="SHB362" s="633">
        <v>3549118.4400000018</v>
      </c>
      <c r="SHC362" s="634">
        <v>39996846</v>
      </c>
      <c r="SHD362" s="633">
        <f>SUM(SGQ362:SHB362)</f>
        <v>39996846.150000013</v>
      </c>
      <c r="SHE362" s="631" t="s">
        <v>1836</v>
      </c>
      <c r="SHF362" s="632" t="s">
        <v>1673</v>
      </c>
      <c r="SHG362" s="633">
        <v>3470702.0100000007</v>
      </c>
      <c r="SHH362" s="633">
        <v>3448347.94</v>
      </c>
      <c r="SHI362" s="633">
        <v>3398526.4800000009</v>
      </c>
      <c r="SHJ362" s="633">
        <v>2159854.59</v>
      </c>
      <c r="SHK362" s="633">
        <v>3563316.060000001</v>
      </c>
      <c r="SHL362" s="633">
        <v>3305610.92</v>
      </c>
      <c r="SHM362" s="633">
        <v>3255686.1799999992</v>
      </c>
      <c r="SHN362" s="633">
        <v>3172108.3800000018</v>
      </c>
      <c r="SHO362" s="633">
        <v>3430726.5900000026</v>
      </c>
      <c r="SHP362" s="633">
        <v>3636289.9099999997</v>
      </c>
      <c r="SHQ362" s="633">
        <v>3606558.6500000022</v>
      </c>
      <c r="SHR362" s="633">
        <v>3549118.4400000018</v>
      </c>
      <c r="SHS362" s="634">
        <v>39996846</v>
      </c>
      <c r="SHT362" s="633">
        <f>SUM(SHG362:SHR362)</f>
        <v>39996846.150000013</v>
      </c>
      <c r="SHU362" s="631" t="s">
        <v>1836</v>
      </c>
      <c r="SHV362" s="632" t="s">
        <v>1673</v>
      </c>
      <c r="SHW362" s="633">
        <v>3470702.0100000007</v>
      </c>
      <c r="SHX362" s="633">
        <v>3448347.94</v>
      </c>
      <c r="SHY362" s="633">
        <v>3398526.4800000009</v>
      </c>
      <c r="SHZ362" s="633">
        <v>2159854.59</v>
      </c>
      <c r="SIA362" s="633">
        <v>3563316.060000001</v>
      </c>
      <c r="SIB362" s="633">
        <v>3305610.92</v>
      </c>
      <c r="SIC362" s="633">
        <v>3255686.1799999992</v>
      </c>
      <c r="SID362" s="633">
        <v>3172108.3800000018</v>
      </c>
      <c r="SIE362" s="633">
        <v>3430726.5900000026</v>
      </c>
      <c r="SIF362" s="633">
        <v>3636289.9099999997</v>
      </c>
      <c r="SIG362" s="633">
        <v>3606558.6500000022</v>
      </c>
      <c r="SIH362" s="633">
        <v>3549118.4400000018</v>
      </c>
      <c r="SII362" s="634">
        <v>39996846</v>
      </c>
      <c r="SIJ362" s="633">
        <f>SUM(SHW362:SIH362)</f>
        <v>39996846.150000013</v>
      </c>
      <c r="SIK362" s="631" t="s">
        <v>1836</v>
      </c>
      <c r="SIL362" s="632" t="s">
        <v>1673</v>
      </c>
      <c r="SIM362" s="633">
        <v>3470702.0100000007</v>
      </c>
      <c r="SIN362" s="633">
        <v>3448347.94</v>
      </c>
      <c r="SIO362" s="633">
        <v>3398526.4800000009</v>
      </c>
      <c r="SIP362" s="633">
        <v>2159854.59</v>
      </c>
      <c r="SIQ362" s="633">
        <v>3563316.060000001</v>
      </c>
      <c r="SIR362" s="633">
        <v>3305610.92</v>
      </c>
      <c r="SIS362" s="633">
        <v>3255686.1799999992</v>
      </c>
      <c r="SIT362" s="633">
        <v>3172108.3800000018</v>
      </c>
      <c r="SIU362" s="633">
        <v>3430726.5900000026</v>
      </c>
      <c r="SIV362" s="633">
        <v>3636289.9099999997</v>
      </c>
      <c r="SIW362" s="633">
        <v>3606558.6500000022</v>
      </c>
      <c r="SIX362" s="633">
        <v>3549118.4400000018</v>
      </c>
      <c r="SIY362" s="634">
        <v>39996846</v>
      </c>
      <c r="SIZ362" s="633">
        <f>SUM(SIM362:SIX362)</f>
        <v>39996846.150000013</v>
      </c>
      <c r="SJA362" s="631" t="s">
        <v>1836</v>
      </c>
      <c r="SJB362" s="632" t="s">
        <v>1673</v>
      </c>
      <c r="SJC362" s="633">
        <v>3470702.0100000007</v>
      </c>
      <c r="SJD362" s="633">
        <v>3448347.94</v>
      </c>
      <c r="SJE362" s="633">
        <v>3398526.4800000009</v>
      </c>
      <c r="SJF362" s="633">
        <v>2159854.59</v>
      </c>
      <c r="SJG362" s="633">
        <v>3563316.060000001</v>
      </c>
      <c r="SJH362" s="633">
        <v>3305610.92</v>
      </c>
      <c r="SJI362" s="633">
        <v>3255686.1799999992</v>
      </c>
      <c r="SJJ362" s="633">
        <v>3172108.3800000018</v>
      </c>
      <c r="SJK362" s="633">
        <v>3430726.5900000026</v>
      </c>
      <c r="SJL362" s="633">
        <v>3636289.9099999997</v>
      </c>
      <c r="SJM362" s="633">
        <v>3606558.6500000022</v>
      </c>
      <c r="SJN362" s="633">
        <v>3549118.4400000018</v>
      </c>
      <c r="SJO362" s="634">
        <v>39996846</v>
      </c>
      <c r="SJP362" s="633">
        <f>SUM(SJC362:SJN362)</f>
        <v>39996846.150000013</v>
      </c>
      <c r="SJQ362" s="631" t="s">
        <v>1836</v>
      </c>
      <c r="SJR362" s="632" t="s">
        <v>1673</v>
      </c>
      <c r="SJS362" s="633">
        <v>3470702.0100000007</v>
      </c>
      <c r="SJT362" s="633">
        <v>3448347.94</v>
      </c>
      <c r="SJU362" s="633">
        <v>3398526.4800000009</v>
      </c>
      <c r="SJV362" s="633">
        <v>2159854.59</v>
      </c>
      <c r="SJW362" s="633">
        <v>3563316.060000001</v>
      </c>
      <c r="SJX362" s="633">
        <v>3305610.92</v>
      </c>
      <c r="SJY362" s="633">
        <v>3255686.1799999992</v>
      </c>
      <c r="SJZ362" s="633">
        <v>3172108.3800000018</v>
      </c>
      <c r="SKA362" s="633">
        <v>3430726.5900000026</v>
      </c>
      <c r="SKB362" s="633">
        <v>3636289.9099999997</v>
      </c>
      <c r="SKC362" s="633">
        <v>3606558.6500000022</v>
      </c>
      <c r="SKD362" s="633">
        <v>3549118.4400000018</v>
      </c>
      <c r="SKE362" s="634">
        <v>39996846</v>
      </c>
      <c r="SKF362" s="633">
        <f>SUM(SJS362:SKD362)</f>
        <v>39996846.150000013</v>
      </c>
      <c r="SKG362" s="631" t="s">
        <v>1836</v>
      </c>
      <c r="SKH362" s="632" t="s">
        <v>1673</v>
      </c>
      <c r="SKI362" s="633">
        <v>3470702.0100000007</v>
      </c>
      <c r="SKJ362" s="633">
        <v>3448347.94</v>
      </c>
      <c r="SKK362" s="633">
        <v>3398526.4800000009</v>
      </c>
      <c r="SKL362" s="633">
        <v>2159854.59</v>
      </c>
      <c r="SKM362" s="633">
        <v>3563316.060000001</v>
      </c>
      <c r="SKN362" s="633">
        <v>3305610.92</v>
      </c>
      <c r="SKO362" s="633">
        <v>3255686.1799999992</v>
      </c>
      <c r="SKP362" s="633">
        <v>3172108.3800000018</v>
      </c>
      <c r="SKQ362" s="633">
        <v>3430726.5900000026</v>
      </c>
      <c r="SKR362" s="633">
        <v>3636289.9099999997</v>
      </c>
      <c r="SKS362" s="633">
        <v>3606558.6500000022</v>
      </c>
      <c r="SKT362" s="633">
        <v>3549118.4400000018</v>
      </c>
      <c r="SKU362" s="634">
        <v>39996846</v>
      </c>
      <c r="SKV362" s="633">
        <f>SUM(SKI362:SKT362)</f>
        <v>39996846.150000013</v>
      </c>
      <c r="SKW362" s="631" t="s">
        <v>1836</v>
      </c>
      <c r="SKX362" s="632" t="s">
        <v>1673</v>
      </c>
      <c r="SKY362" s="633">
        <v>3470702.0100000007</v>
      </c>
      <c r="SKZ362" s="633">
        <v>3448347.94</v>
      </c>
      <c r="SLA362" s="633">
        <v>3398526.4800000009</v>
      </c>
      <c r="SLB362" s="633">
        <v>2159854.59</v>
      </c>
      <c r="SLC362" s="633">
        <v>3563316.060000001</v>
      </c>
      <c r="SLD362" s="633">
        <v>3305610.92</v>
      </c>
      <c r="SLE362" s="633">
        <v>3255686.1799999992</v>
      </c>
      <c r="SLF362" s="633">
        <v>3172108.3800000018</v>
      </c>
      <c r="SLG362" s="633">
        <v>3430726.5900000026</v>
      </c>
      <c r="SLH362" s="633">
        <v>3636289.9099999997</v>
      </c>
      <c r="SLI362" s="633">
        <v>3606558.6500000022</v>
      </c>
      <c r="SLJ362" s="633">
        <v>3549118.4400000018</v>
      </c>
      <c r="SLK362" s="634">
        <v>39996846</v>
      </c>
      <c r="SLL362" s="633">
        <f>SUM(SKY362:SLJ362)</f>
        <v>39996846.150000013</v>
      </c>
      <c r="SLM362" s="631" t="s">
        <v>1836</v>
      </c>
      <c r="SLN362" s="632" t="s">
        <v>1673</v>
      </c>
      <c r="SLO362" s="633">
        <v>3470702.0100000007</v>
      </c>
      <c r="SLP362" s="633">
        <v>3448347.94</v>
      </c>
      <c r="SLQ362" s="633">
        <v>3398526.4800000009</v>
      </c>
      <c r="SLR362" s="633">
        <v>2159854.59</v>
      </c>
      <c r="SLS362" s="633">
        <v>3563316.060000001</v>
      </c>
      <c r="SLT362" s="633">
        <v>3305610.92</v>
      </c>
      <c r="SLU362" s="633">
        <v>3255686.1799999992</v>
      </c>
      <c r="SLV362" s="633">
        <v>3172108.3800000018</v>
      </c>
      <c r="SLW362" s="633">
        <v>3430726.5900000026</v>
      </c>
      <c r="SLX362" s="633">
        <v>3636289.9099999997</v>
      </c>
      <c r="SLY362" s="633">
        <v>3606558.6500000022</v>
      </c>
      <c r="SLZ362" s="633">
        <v>3549118.4400000018</v>
      </c>
      <c r="SMA362" s="634">
        <v>39996846</v>
      </c>
      <c r="SMB362" s="633">
        <f>SUM(SLO362:SLZ362)</f>
        <v>39996846.150000013</v>
      </c>
      <c r="SMC362" s="631" t="s">
        <v>1836</v>
      </c>
      <c r="SMD362" s="632" t="s">
        <v>1673</v>
      </c>
      <c r="SME362" s="633">
        <v>3470702.0100000007</v>
      </c>
      <c r="SMF362" s="633">
        <v>3448347.94</v>
      </c>
      <c r="SMG362" s="633">
        <v>3398526.4800000009</v>
      </c>
      <c r="SMH362" s="633">
        <v>2159854.59</v>
      </c>
      <c r="SMI362" s="633">
        <v>3563316.060000001</v>
      </c>
      <c r="SMJ362" s="633">
        <v>3305610.92</v>
      </c>
      <c r="SMK362" s="633">
        <v>3255686.1799999992</v>
      </c>
      <c r="SML362" s="633">
        <v>3172108.3800000018</v>
      </c>
      <c r="SMM362" s="633">
        <v>3430726.5900000026</v>
      </c>
      <c r="SMN362" s="633">
        <v>3636289.9099999997</v>
      </c>
      <c r="SMO362" s="633">
        <v>3606558.6500000022</v>
      </c>
      <c r="SMP362" s="633">
        <v>3549118.4400000018</v>
      </c>
      <c r="SMQ362" s="634">
        <v>39996846</v>
      </c>
      <c r="SMR362" s="633">
        <f>SUM(SME362:SMP362)</f>
        <v>39996846.150000013</v>
      </c>
      <c r="SMS362" s="631" t="s">
        <v>1836</v>
      </c>
      <c r="SMT362" s="632" t="s">
        <v>1673</v>
      </c>
      <c r="SMU362" s="633">
        <v>3470702.0100000007</v>
      </c>
      <c r="SMV362" s="633">
        <v>3448347.94</v>
      </c>
      <c r="SMW362" s="633">
        <v>3398526.4800000009</v>
      </c>
      <c r="SMX362" s="633">
        <v>2159854.59</v>
      </c>
      <c r="SMY362" s="633">
        <v>3563316.060000001</v>
      </c>
      <c r="SMZ362" s="633">
        <v>3305610.92</v>
      </c>
      <c r="SNA362" s="633">
        <v>3255686.1799999992</v>
      </c>
      <c r="SNB362" s="633">
        <v>3172108.3800000018</v>
      </c>
      <c r="SNC362" s="633">
        <v>3430726.5900000026</v>
      </c>
      <c r="SND362" s="633">
        <v>3636289.9099999997</v>
      </c>
      <c r="SNE362" s="633">
        <v>3606558.6500000022</v>
      </c>
      <c r="SNF362" s="633">
        <v>3549118.4400000018</v>
      </c>
      <c r="SNG362" s="634">
        <v>39996846</v>
      </c>
      <c r="SNH362" s="633">
        <f>SUM(SMU362:SNF362)</f>
        <v>39996846.150000013</v>
      </c>
      <c r="SNI362" s="631" t="s">
        <v>1836</v>
      </c>
      <c r="SNJ362" s="632" t="s">
        <v>1673</v>
      </c>
      <c r="SNK362" s="633">
        <v>3470702.0100000007</v>
      </c>
      <c r="SNL362" s="633">
        <v>3448347.94</v>
      </c>
      <c r="SNM362" s="633">
        <v>3398526.4800000009</v>
      </c>
      <c r="SNN362" s="633">
        <v>2159854.59</v>
      </c>
      <c r="SNO362" s="633">
        <v>3563316.060000001</v>
      </c>
      <c r="SNP362" s="633">
        <v>3305610.92</v>
      </c>
      <c r="SNQ362" s="633">
        <v>3255686.1799999992</v>
      </c>
      <c r="SNR362" s="633">
        <v>3172108.3800000018</v>
      </c>
      <c r="SNS362" s="633">
        <v>3430726.5900000026</v>
      </c>
      <c r="SNT362" s="633">
        <v>3636289.9099999997</v>
      </c>
      <c r="SNU362" s="633">
        <v>3606558.6500000022</v>
      </c>
      <c r="SNV362" s="633">
        <v>3549118.4400000018</v>
      </c>
      <c r="SNW362" s="634">
        <v>39996846</v>
      </c>
      <c r="SNX362" s="633">
        <f>SUM(SNK362:SNV362)</f>
        <v>39996846.150000013</v>
      </c>
      <c r="SNY362" s="631" t="s">
        <v>1836</v>
      </c>
      <c r="SNZ362" s="632" t="s">
        <v>1673</v>
      </c>
      <c r="SOA362" s="633">
        <v>3470702.0100000007</v>
      </c>
      <c r="SOB362" s="633">
        <v>3448347.94</v>
      </c>
      <c r="SOC362" s="633">
        <v>3398526.4800000009</v>
      </c>
      <c r="SOD362" s="633">
        <v>2159854.59</v>
      </c>
      <c r="SOE362" s="633">
        <v>3563316.060000001</v>
      </c>
      <c r="SOF362" s="633">
        <v>3305610.92</v>
      </c>
      <c r="SOG362" s="633">
        <v>3255686.1799999992</v>
      </c>
      <c r="SOH362" s="633">
        <v>3172108.3800000018</v>
      </c>
      <c r="SOI362" s="633">
        <v>3430726.5900000026</v>
      </c>
      <c r="SOJ362" s="633">
        <v>3636289.9099999997</v>
      </c>
      <c r="SOK362" s="633">
        <v>3606558.6500000022</v>
      </c>
      <c r="SOL362" s="633">
        <v>3549118.4400000018</v>
      </c>
      <c r="SOM362" s="634">
        <v>39996846</v>
      </c>
      <c r="SON362" s="633">
        <f>SUM(SOA362:SOL362)</f>
        <v>39996846.150000013</v>
      </c>
      <c r="SOO362" s="631" t="s">
        <v>1836</v>
      </c>
      <c r="SOP362" s="632" t="s">
        <v>1673</v>
      </c>
      <c r="SOQ362" s="633">
        <v>3470702.0100000007</v>
      </c>
      <c r="SOR362" s="633">
        <v>3448347.94</v>
      </c>
      <c r="SOS362" s="633">
        <v>3398526.4800000009</v>
      </c>
      <c r="SOT362" s="633">
        <v>2159854.59</v>
      </c>
      <c r="SOU362" s="633">
        <v>3563316.060000001</v>
      </c>
      <c r="SOV362" s="633">
        <v>3305610.92</v>
      </c>
      <c r="SOW362" s="633">
        <v>3255686.1799999992</v>
      </c>
      <c r="SOX362" s="633">
        <v>3172108.3800000018</v>
      </c>
      <c r="SOY362" s="633">
        <v>3430726.5900000026</v>
      </c>
      <c r="SOZ362" s="633">
        <v>3636289.9099999997</v>
      </c>
      <c r="SPA362" s="633">
        <v>3606558.6500000022</v>
      </c>
      <c r="SPB362" s="633">
        <v>3549118.4400000018</v>
      </c>
      <c r="SPC362" s="634">
        <v>39996846</v>
      </c>
      <c r="SPD362" s="633">
        <f>SUM(SOQ362:SPB362)</f>
        <v>39996846.150000013</v>
      </c>
      <c r="SPE362" s="631" t="s">
        <v>1836</v>
      </c>
      <c r="SPF362" s="632" t="s">
        <v>1673</v>
      </c>
      <c r="SPG362" s="633">
        <v>3470702.0100000007</v>
      </c>
      <c r="SPH362" s="633">
        <v>3448347.94</v>
      </c>
      <c r="SPI362" s="633">
        <v>3398526.4800000009</v>
      </c>
      <c r="SPJ362" s="633">
        <v>2159854.59</v>
      </c>
      <c r="SPK362" s="633">
        <v>3563316.060000001</v>
      </c>
      <c r="SPL362" s="633">
        <v>3305610.92</v>
      </c>
      <c r="SPM362" s="633">
        <v>3255686.1799999992</v>
      </c>
      <c r="SPN362" s="633">
        <v>3172108.3800000018</v>
      </c>
      <c r="SPO362" s="633">
        <v>3430726.5900000026</v>
      </c>
      <c r="SPP362" s="633">
        <v>3636289.9099999997</v>
      </c>
      <c r="SPQ362" s="633">
        <v>3606558.6500000022</v>
      </c>
      <c r="SPR362" s="633">
        <v>3549118.4400000018</v>
      </c>
      <c r="SPS362" s="634">
        <v>39996846</v>
      </c>
      <c r="SPT362" s="633">
        <f>SUM(SPG362:SPR362)</f>
        <v>39996846.150000013</v>
      </c>
      <c r="SPU362" s="631" t="s">
        <v>1836</v>
      </c>
      <c r="SPV362" s="632" t="s">
        <v>1673</v>
      </c>
      <c r="SPW362" s="633">
        <v>3470702.0100000007</v>
      </c>
      <c r="SPX362" s="633">
        <v>3448347.94</v>
      </c>
      <c r="SPY362" s="633">
        <v>3398526.4800000009</v>
      </c>
      <c r="SPZ362" s="633">
        <v>2159854.59</v>
      </c>
      <c r="SQA362" s="633">
        <v>3563316.060000001</v>
      </c>
      <c r="SQB362" s="633">
        <v>3305610.92</v>
      </c>
      <c r="SQC362" s="633">
        <v>3255686.1799999992</v>
      </c>
      <c r="SQD362" s="633">
        <v>3172108.3800000018</v>
      </c>
      <c r="SQE362" s="633">
        <v>3430726.5900000026</v>
      </c>
      <c r="SQF362" s="633">
        <v>3636289.9099999997</v>
      </c>
      <c r="SQG362" s="633">
        <v>3606558.6500000022</v>
      </c>
      <c r="SQH362" s="633">
        <v>3549118.4400000018</v>
      </c>
      <c r="SQI362" s="634">
        <v>39996846</v>
      </c>
      <c r="SQJ362" s="633">
        <f>SUM(SPW362:SQH362)</f>
        <v>39996846.150000013</v>
      </c>
      <c r="SQK362" s="631" t="s">
        <v>1836</v>
      </c>
      <c r="SQL362" s="632" t="s">
        <v>1673</v>
      </c>
      <c r="SQM362" s="633">
        <v>3470702.0100000007</v>
      </c>
      <c r="SQN362" s="633">
        <v>3448347.94</v>
      </c>
      <c r="SQO362" s="633">
        <v>3398526.4800000009</v>
      </c>
      <c r="SQP362" s="633">
        <v>2159854.59</v>
      </c>
      <c r="SQQ362" s="633">
        <v>3563316.060000001</v>
      </c>
      <c r="SQR362" s="633">
        <v>3305610.92</v>
      </c>
      <c r="SQS362" s="633">
        <v>3255686.1799999992</v>
      </c>
      <c r="SQT362" s="633">
        <v>3172108.3800000018</v>
      </c>
      <c r="SQU362" s="633">
        <v>3430726.5900000026</v>
      </c>
      <c r="SQV362" s="633">
        <v>3636289.9099999997</v>
      </c>
      <c r="SQW362" s="633">
        <v>3606558.6500000022</v>
      </c>
      <c r="SQX362" s="633">
        <v>3549118.4400000018</v>
      </c>
      <c r="SQY362" s="634">
        <v>39996846</v>
      </c>
      <c r="SQZ362" s="633">
        <f>SUM(SQM362:SQX362)</f>
        <v>39996846.150000013</v>
      </c>
      <c r="SRA362" s="631" t="s">
        <v>1836</v>
      </c>
      <c r="SRB362" s="632" t="s">
        <v>1673</v>
      </c>
      <c r="SRC362" s="633">
        <v>3470702.0100000007</v>
      </c>
      <c r="SRD362" s="633">
        <v>3448347.94</v>
      </c>
      <c r="SRE362" s="633">
        <v>3398526.4800000009</v>
      </c>
      <c r="SRF362" s="633">
        <v>2159854.59</v>
      </c>
      <c r="SRG362" s="633">
        <v>3563316.060000001</v>
      </c>
      <c r="SRH362" s="633">
        <v>3305610.92</v>
      </c>
      <c r="SRI362" s="633">
        <v>3255686.1799999992</v>
      </c>
      <c r="SRJ362" s="633">
        <v>3172108.3800000018</v>
      </c>
      <c r="SRK362" s="633">
        <v>3430726.5900000026</v>
      </c>
      <c r="SRL362" s="633">
        <v>3636289.9099999997</v>
      </c>
      <c r="SRM362" s="633">
        <v>3606558.6500000022</v>
      </c>
      <c r="SRN362" s="633">
        <v>3549118.4400000018</v>
      </c>
      <c r="SRO362" s="634">
        <v>39996846</v>
      </c>
      <c r="SRP362" s="633">
        <f>SUM(SRC362:SRN362)</f>
        <v>39996846.150000013</v>
      </c>
      <c r="SRQ362" s="631" t="s">
        <v>1836</v>
      </c>
      <c r="SRR362" s="632" t="s">
        <v>1673</v>
      </c>
      <c r="SRS362" s="633">
        <v>3470702.0100000007</v>
      </c>
      <c r="SRT362" s="633">
        <v>3448347.94</v>
      </c>
      <c r="SRU362" s="633">
        <v>3398526.4800000009</v>
      </c>
      <c r="SRV362" s="633">
        <v>2159854.59</v>
      </c>
      <c r="SRW362" s="633">
        <v>3563316.060000001</v>
      </c>
      <c r="SRX362" s="633">
        <v>3305610.92</v>
      </c>
      <c r="SRY362" s="633">
        <v>3255686.1799999992</v>
      </c>
      <c r="SRZ362" s="633">
        <v>3172108.3800000018</v>
      </c>
      <c r="SSA362" s="633">
        <v>3430726.5900000026</v>
      </c>
      <c r="SSB362" s="633">
        <v>3636289.9099999997</v>
      </c>
      <c r="SSC362" s="633">
        <v>3606558.6500000022</v>
      </c>
      <c r="SSD362" s="633">
        <v>3549118.4400000018</v>
      </c>
      <c r="SSE362" s="634">
        <v>39996846</v>
      </c>
      <c r="SSF362" s="633">
        <f>SUM(SRS362:SSD362)</f>
        <v>39996846.150000013</v>
      </c>
      <c r="SSG362" s="631" t="s">
        <v>1836</v>
      </c>
      <c r="SSH362" s="632" t="s">
        <v>1673</v>
      </c>
      <c r="SSI362" s="633">
        <v>3470702.0100000007</v>
      </c>
      <c r="SSJ362" s="633">
        <v>3448347.94</v>
      </c>
      <c r="SSK362" s="633">
        <v>3398526.4800000009</v>
      </c>
      <c r="SSL362" s="633">
        <v>2159854.59</v>
      </c>
      <c r="SSM362" s="633">
        <v>3563316.060000001</v>
      </c>
      <c r="SSN362" s="633">
        <v>3305610.92</v>
      </c>
      <c r="SSO362" s="633">
        <v>3255686.1799999992</v>
      </c>
      <c r="SSP362" s="633">
        <v>3172108.3800000018</v>
      </c>
      <c r="SSQ362" s="633">
        <v>3430726.5900000026</v>
      </c>
      <c r="SSR362" s="633">
        <v>3636289.9099999997</v>
      </c>
      <c r="SSS362" s="633">
        <v>3606558.6500000022</v>
      </c>
      <c r="SST362" s="633">
        <v>3549118.4400000018</v>
      </c>
      <c r="SSU362" s="634">
        <v>39996846</v>
      </c>
      <c r="SSV362" s="633">
        <f>SUM(SSI362:SST362)</f>
        <v>39996846.150000013</v>
      </c>
      <c r="SSW362" s="631" t="s">
        <v>1836</v>
      </c>
      <c r="SSX362" s="632" t="s">
        <v>1673</v>
      </c>
      <c r="SSY362" s="633">
        <v>3470702.0100000007</v>
      </c>
      <c r="SSZ362" s="633">
        <v>3448347.94</v>
      </c>
      <c r="STA362" s="633">
        <v>3398526.4800000009</v>
      </c>
      <c r="STB362" s="633">
        <v>2159854.59</v>
      </c>
      <c r="STC362" s="633">
        <v>3563316.060000001</v>
      </c>
      <c r="STD362" s="633">
        <v>3305610.92</v>
      </c>
      <c r="STE362" s="633">
        <v>3255686.1799999992</v>
      </c>
      <c r="STF362" s="633">
        <v>3172108.3800000018</v>
      </c>
      <c r="STG362" s="633">
        <v>3430726.5900000026</v>
      </c>
      <c r="STH362" s="633">
        <v>3636289.9099999997</v>
      </c>
      <c r="STI362" s="633">
        <v>3606558.6500000022</v>
      </c>
      <c r="STJ362" s="633">
        <v>3549118.4400000018</v>
      </c>
      <c r="STK362" s="634">
        <v>39996846</v>
      </c>
      <c r="STL362" s="633">
        <f>SUM(SSY362:STJ362)</f>
        <v>39996846.150000013</v>
      </c>
      <c r="STM362" s="631" t="s">
        <v>1836</v>
      </c>
      <c r="STN362" s="632" t="s">
        <v>1673</v>
      </c>
      <c r="STO362" s="633">
        <v>3470702.0100000007</v>
      </c>
      <c r="STP362" s="633">
        <v>3448347.94</v>
      </c>
      <c r="STQ362" s="633">
        <v>3398526.4800000009</v>
      </c>
      <c r="STR362" s="633">
        <v>2159854.59</v>
      </c>
      <c r="STS362" s="633">
        <v>3563316.060000001</v>
      </c>
      <c r="STT362" s="633">
        <v>3305610.92</v>
      </c>
      <c r="STU362" s="633">
        <v>3255686.1799999992</v>
      </c>
      <c r="STV362" s="633">
        <v>3172108.3800000018</v>
      </c>
      <c r="STW362" s="633">
        <v>3430726.5900000026</v>
      </c>
      <c r="STX362" s="633">
        <v>3636289.9099999997</v>
      </c>
      <c r="STY362" s="633">
        <v>3606558.6500000022</v>
      </c>
      <c r="STZ362" s="633">
        <v>3549118.4400000018</v>
      </c>
      <c r="SUA362" s="634">
        <v>39996846</v>
      </c>
      <c r="SUB362" s="633">
        <f>SUM(STO362:STZ362)</f>
        <v>39996846.150000013</v>
      </c>
    </row>
    <row r="363" spans="1:13392" s="57" customFormat="1" ht="20.25" customHeight="1">
      <c r="A363" s="919" t="s">
        <v>1837</v>
      </c>
      <c r="B363" s="1643" t="s">
        <v>1838</v>
      </c>
      <c r="C363" s="1648">
        <v>344028.50012699998</v>
      </c>
      <c r="D363" s="1648">
        <v>335387.28629100003</v>
      </c>
      <c r="E363" s="1648">
        <v>337602.67972299998</v>
      </c>
      <c r="F363" s="1648">
        <v>210440.148116</v>
      </c>
      <c r="G363" s="1648">
        <v>330912.82974800002</v>
      </c>
      <c r="H363" s="1648">
        <v>321507.96580100001</v>
      </c>
      <c r="I363" s="1648">
        <v>310040.96500000003</v>
      </c>
      <c r="J363" s="1648">
        <v>306104.158</v>
      </c>
      <c r="K363" s="1648">
        <v>350079.51500000001</v>
      </c>
      <c r="L363" s="1648">
        <v>376736.01</v>
      </c>
      <c r="M363" s="1648">
        <v>382165.86499999999</v>
      </c>
      <c r="N363" s="1648">
        <v>356897.57900000003</v>
      </c>
      <c r="O363" s="635">
        <v>3961904</v>
      </c>
      <c r="P363" s="633">
        <f>SUM(C363:N363)</f>
        <v>3961903.5018060002</v>
      </c>
      <c r="Q363" s="925" t="s">
        <v>1837</v>
      </c>
      <c r="R363" s="1649" t="s">
        <v>1838</v>
      </c>
      <c r="S363" s="1650">
        <v>344028.50012699998</v>
      </c>
      <c r="T363" s="1650">
        <v>335387.28629100003</v>
      </c>
      <c r="U363" s="1650">
        <v>337602.67972299998</v>
      </c>
      <c r="V363" s="1650">
        <v>210440.148116</v>
      </c>
      <c r="W363" s="1650">
        <v>330912.82974800002</v>
      </c>
      <c r="X363" s="1650">
        <v>321507.96580100001</v>
      </c>
      <c r="Y363" s="1650">
        <v>310040.96500000003</v>
      </c>
      <c r="Z363" s="1650">
        <v>306104.158</v>
      </c>
      <c r="AA363" s="1650">
        <v>350079.51500000001</v>
      </c>
      <c r="AB363" s="1650">
        <v>376736.01</v>
      </c>
      <c r="AC363" s="1650">
        <v>382165.86499999999</v>
      </c>
      <c r="AD363" s="1650">
        <v>356897.57900000003</v>
      </c>
      <c r="AE363" s="697">
        <v>3961904</v>
      </c>
      <c r="AF363" s="695">
        <f>SUM(S363:AD363)</f>
        <v>3961903.5018060002</v>
      </c>
      <c r="AG363" s="919" t="s">
        <v>1837</v>
      </c>
      <c r="AH363" s="1643" t="s">
        <v>1838</v>
      </c>
      <c r="AI363" s="1648">
        <v>344028.50012699998</v>
      </c>
      <c r="AJ363" s="1648">
        <v>335387.28629100003</v>
      </c>
      <c r="AK363" s="1648">
        <v>337602.67972299998</v>
      </c>
      <c r="AL363" s="1648">
        <v>210440.148116</v>
      </c>
      <c r="AM363" s="1648">
        <v>330912.82974800002</v>
      </c>
      <c r="AN363" s="1648">
        <v>321507.96580100001</v>
      </c>
      <c r="AO363" s="1648">
        <v>310040.96500000003</v>
      </c>
      <c r="AP363" s="1648">
        <v>306104.158</v>
      </c>
      <c r="AQ363" s="1648">
        <v>350079.51500000001</v>
      </c>
      <c r="AR363" s="1648">
        <v>376736.01</v>
      </c>
      <c r="AS363" s="1648">
        <v>382165.86499999999</v>
      </c>
      <c r="AT363" s="1648">
        <v>356897.57900000003</v>
      </c>
      <c r="AU363" s="635">
        <v>3961904</v>
      </c>
      <c r="AV363" s="633">
        <f>SUM(AI363:AT363)</f>
        <v>3961903.5018060002</v>
      </c>
      <c r="AW363" s="919" t="s">
        <v>1837</v>
      </c>
      <c r="AX363" s="1643" t="s">
        <v>1838</v>
      </c>
      <c r="AY363" s="1648">
        <v>344028.50012699998</v>
      </c>
      <c r="AZ363" s="1648">
        <v>335387.28629100003</v>
      </c>
      <c r="BA363" s="1648">
        <v>337602.67972299998</v>
      </c>
      <c r="BB363" s="1648">
        <v>210440.148116</v>
      </c>
      <c r="BC363" s="1648">
        <v>330912.82974800002</v>
      </c>
      <c r="BD363" s="1648">
        <v>321507.96580100001</v>
      </c>
      <c r="BE363" s="1648">
        <v>310040.96500000003</v>
      </c>
      <c r="BF363" s="1648">
        <v>306104.158</v>
      </c>
      <c r="BG363" s="1648">
        <v>350079.51500000001</v>
      </c>
      <c r="BH363" s="1648">
        <v>376736.01</v>
      </c>
      <c r="BI363" s="1648">
        <v>382165.86499999999</v>
      </c>
      <c r="BJ363" s="1648">
        <v>356897.57900000003</v>
      </c>
      <c r="BK363" s="635">
        <v>3961904</v>
      </c>
      <c r="BL363" s="633">
        <f>SUM(AY363:BJ363)</f>
        <v>3961903.5018060002</v>
      </c>
      <c r="BM363" s="919" t="s">
        <v>1837</v>
      </c>
      <c r="BN363" s="1643" t="s">
        <v>1838</v>
      </c>
      <c r="BO363" s="1648">
        <v>344028.50012699998</v>
      </c>
      <c r="BP363" s="1648">
        <v>335387.28629100003</v>
      </c>
      <c r="BQ363" s="1648">
        <v>337602.67972299998</v>
      </c>
      <c r="BR363" s="1648">
        <v>210440.148116</v>
      </c>
      <c r="BS363" s="1648">
        <v>330912.82974800002</v>
      </c>
      <c r="BT363" s="1648">
        <v>321507.96580100001</v>
      </c>
      <c r="BU363" s="1648">
        <v>310040.96500000003</v>
      </c>
      <c r="BV363" s="1648">
        <v>306104.158</v>
      </c>
      <c r="BW363" s="1648">
        <v>350079.51500000001</v>
      </c>
      <c r="BX363" s="1648">
        <v>376736.01</v>
      </c>
      <c r="BY363" s="1648">
        <v>382165.86499999999</v>
      </c>
      <c r="BZ363" s="1648">
        <v>356897.57900000003</v>
      </c>
      <c r="CA363" s="635">
        <v>3961904</v>
      </c>
      <c r="CB363" s="633">
        <f>SUM(BO363:BZ363)</f>
        <v>3961903.5018060002</v>
      </c>
      <c r="CC363" s="919" t="s">
        <v>1837</v>
      </c>
      <c r="CD363" s="1643" t="s">
        <v>1838</v>
      </c>
      <c r="CE363" s="1648">
        <v>344028.50012699998</v>
      </c>
      <c r="CF363" s="1648">
        <v>335387.28629100003</v>
      </c>
      <c r="CG363" s="1648">
        <v>337602.67972299998</v>
      </c>
      <c r="CH363" s="1648">
        <v>210440.148116</v>
      </c>
      <c r="CI363" s="1648">
        <v>330912.82974800002</v>
      </c>
      <c r="CJ363" s="1648">
        <v>321507.96580100001</v>
      </c>
      <c r="CK363" s="1648">
        <v>310040.96500000003</v>
      </c>
      <c r="CL363" s="1648">
        <v>306104.158</v>
      </c>
      <c r="CM363" s="1648">
        <v>350079.51500000001</v>
      </c>
      <c r="CN363" s="1648">
        <v>376736.01</v>
      </c>
      <c r="CO363" s="1648">
        <v>382165.86499999999</v>
      </c>
      <c r="CP363" s="1648">
        <v>356897.57900000003</v>
      </c>
      <c r="CQ363" s="635">
        <v>3961904</v>
      </c>
      <c r="CR363" s="633">
        <f>SUM(CE363:CP363)</f>
        <v>3961903.5018060002</v>
      </c>
      <c r="CS363" s="919" t="s">
        <v>1837</v>
      </c>
      <c r="CT363" s="1643" t="s">
        <v>1838</v>
      </c>
      <c r="CU363" s="1648">
        <v>344028.50012699998</v>
      </c>
      <c r="CV363" s="1648">
        <v>335387.28629100003</v>
      </c>
      <c r="CW363" s="1648">
        <v>337602.67972299998</v>
      </c>
      <c r="CX363" s="1648">
        <v>210440.148116</v>
      </c>
      <c r="CY363" s="1648">
        <v>330912.82974800002</v>
      </c>
      <c r="CZ363" s="1648">
        <v>321507.96580100001</v>
      </c>
      <c r="DA363" s="1648">
        <v>310040.96500000003</v>
      </c>
      <c r="DB363" s="1648">
        <v>306104.158</v>
      </c>
      <c r="DC363" s="1648">
        <v>350079.51500000001</v>
      </c>
      <c r="DD363" s="1648">
        <v>376736.01</v>
      </c>
      <c r="DE363" s="1648">
        <v>382165.86499999999</v>
      </c>
      <c r="DF363" s="1648">
        <v>356897.57900000003</v>
      </c>
      <c r="DG363" s="635">
        <v>3961904</v>
      </c>
      <c r="DH363" s="633">
        <f>SUM(CU363:DF363)</f>
        <v>3961903.5018060002</v>
      </c>
      <c r="DI363" s="919" t="s">
        <v>1837</v>
      </c>
      <c r="DJ363" s="1643" t="s">
        <v>1838</v>
      </c>
      <c r="DK363" s="1648">
        <v>344028.50012699998</v>
      </c>
      <c r="DL363" s="1648">
        <v>335387.28629100003</v>
      </c>
      <c r="DM363" s="1648">
        <v>337602.67972299998</v>
      </c>
      <c r="DN363" s="1648">
        <v>210440.148116</v>
      </c>
      <c r="DO363" s="1648">
        <v>330912.82974800002</v>
      </c>
      <c r="DP363" s="1648">
        <v>321507.96580100001</v>
      </c>
      <c r="DQ363" s="1648">
        <v>310040.96500000003</v>
      </c>
      <c r="DR363" s="1648">
        <v>306104.158</v>
      </c>
      <c r="DS363" s="1648">
        <v>350079.51500000001</v>
      </c>
      <c r="DT363" s="1648">
        <v>376736.01</v>
      </c>
      <c r="DU363" s="1648">
        <v>382165.86499999999</v>
      </c>
      <c r="DV363" s="1648">
        <v>356897.57900000003</v>
      </c>
      <c r="DW363" s="635">
        <v>3961904</v>
      </c>
      <c r="DX363" s="633">
        <f>SUM(DK363:DV363)</f>
        <v>3961903.5018060002</v>
      </c>
      <c r="DY363" s="919" t="s">
        <v>1837</v>
      </c>
      <c r="DZ363" s="1643" t="s">
        <v>1838</v>
      </c>
      <c r="EA363" s="1648">
        <v>344028.50012699998</v>
      </c>
      <c r="EB363" s="1648">
        <v>335387.28629100003</v>
      </c>
      <c r="EC363" s="1648">
        <v>337602.67972299998</v>
      </c>
      <c r="ED363" s="1648">
        <v>210440.148116</v>
      </c>
      <c r="EE363" s="1648">
        <v>330912.82974800002</v>
      </c>
      <c r="EF363" s="1648">
        <v>321507.96580100001</v>
      </c>
      <c r="EG363" s="1648">
        <v>310040.96500000003</v>
      </c>
      <c r="EH363" s="1648">
        <v>306104.158</v>
      </c>
      <c r="EI363" s="1648">
        <v>350079.51500000001</v>
      </c>
      <c r="EJ363" s="1648">
        <v>376736.01</v>
      </c>
      <c r="EK363" s="1648">
        <v>382165.86499999999</v>
      </c>
      <c r="EL363" s="1648">
        <v>356897.57900000003</v>
      </c>
      <c r="EM363" s="635">
        <v>3961904</v>
      </c>
      <c r="EN363" s="633">
        <f>SUM(EA363:EL363)</f>
        <v>3961903.5018060002</v>
      </c>
      <c r="EO363" s="919" t="s">
        <v>1837</v>
      </c>
      <c r="EP363" s="1643" t="s">
        <v>1838</v>
      </c>
      <c r="EQ363" s="1648">
        <v>344028.50012699998</v>
      </c>
      <c r="ER363" s="1648">
        <v>335387.28629100003</v>
      </c>
      <c r="ES363" s="1648">
        <v>337602.67972299998</v>
      </c>
      <c r="ET363" s="1648">
        <v>210440.148116</v>
      </c>
      <c r="EU363" s="1648">
        <v>330912.82974800002</v>
      </c>
      <c r="EV363" s="1648">
        <v>321507.96580100001</v>
      </c>
      <c r="EW363" s="1648">
        <v>310040.96500000003</v>
      </c>
      <c r="EX363" s="1648">
        <v>306104.158</v>
      </c>
      <c r="EY363" s="1648">
        <v>350079.51500000001</v>
      </c>
      <c r="EZ363" s="1648">
        <v>376736.01</v>
      </c>
      <c r="FA363" s="1648">
        <v>382165.86499999999</v>
      </c>
      <c r="FB363" s="1648">
        <v>356897.57900000003</v>
      </c>
      <c r="FC363" s="635">
        <v>3961904</v>
      </c>
      <c r="FD363" s="633">
        <f>SUM(EQ363:FB363)</f>
        <v>3961903.5018060002</v>
      </c>
      <c r="FE363" s="919" t="s">
        <v>1837</v>
      </c>
      <c r="FF363" s="1643" t="s">
        <v>1838</v>
      </c>
      <c r="FG363" s="1648">
        <v>344028.50012699998</v>
      </c>
      <c r="FH363" s="1648">
        <v>335387.28629100003</v>
      </c>
      <c r="FI363" s="1648">
        <v>337602.67972299998</v>
      </c>
      <c r="FJ363" s="1648">
        <v>210440.148116</v>
      </c>
      <c r="FK363" s="1648">
        <v>330912.82974800002</v>
      </c>
      <c r="FL363" s="1648">
        <v>321507.96580100001</v>
      </c>
      <c r="FM363" s="1648">
        <v>310040.96500000003</v>
      </c>
      <c r="FN363" s="1648">
        <v>306104.158</v>
      </c>
      <c r="FO363" s="1648">
        <v>350079.51500000001</v>
      </c>
      <c r="FP363" s="1648">
        <v>376736.01</v>
      </c>
      <c r="FQ363" s="1648">
        <v>382165.86499999999</v>
      </c>
      <c r="FR363" s="1648">
        <v>356897.57900000003</v>
      </c>
      <c r="FS363" s="635">
        <v>3961904</v>
      </c>
      <c r="FT363" s="633">
        <f>SUM(FG363:FR363)</f>
        <v>3961903.5018060002</v>
      </c>
      <c r="FU363" s="919" t="s">
        <v>1837</v>
      </c>
      <c r="FV363" s="1643" t="s">
        <v>1838</v>
      </c>
      <c r="FW363" s="1648">
        <v>344028.50012699998</v>
      </c>
      <c r="FX363" s="1648">
        <v>335387.28629100003</v>
      </c>
      <c r="FY363" s="1648">
        <v>337602.67972299998</v>
      </c>
      <c r="FZ363" s="1648">
        <v>210440.148116</v>
      </c>
      <c r="GA363" s="1648">
        <v>330912.82974800002</v>
      </c>
      <c r="GB363" s="1648">
        <v>321507.96580100001</v>
      </c>
      <c r="GC363" s="1648">
        <v>310040.96500000003</v>
      </c>
      <c r="GD363" s="1648">
        <v>306104.158</v>
      </c>
      <c r="GE363" s="1648">
        <v>350079.51500000001</v>
      </c>
      <c r="GF363" s="1648">
        <v>376736.01</v>
      </c>
      <c r="GG363" s="1648">
        <v>382165.86499999999</v>
      </c>
      <c r="GH363" s="1648">
        <v>356897.57900000003</v>
      </c>
      <c r="GI363" s="635">
        <v>3961904</v>
      </c>
      <c r="GJ363" s="633">
        <f>SUM(FW363:GH363)</f>
        <v>3961903.5018060002</v>
      </c>
      <c r="GK363" s="919" t="s">
        <v>1837</v>
      </c>
      <c r="GL363" s="1643" t="s">
        <v>1838</v>
      </c>
      <c r="GM363" s="1648">
        <v>344028.50012699998</v>
      </c>
      <c r="GN363" s="1648">
        <v>335387.28629100003</v>
      </c>
      <c r="GO363" s="1648">
        <v>337602.67972299998</v>
      </c>
      <c r="GP363" s="1648">
        <v>210440.148116</v>
      </c>
      <c r="GQ363" s="1648">
        <v>330912.82974800002</v>
      </c>
      <c r="GR363" s="1648">
        <v>321507.96580100001</v>
      </c>
      <c r="GS363" s="1648">
        <v>310040.96500000003</v>
      </c>
      <c r="GT363" s="1648">
        <v>306104.158</v>
      </c>
      <c r="GU363" s="1648">
        <v>350079.51500000001</v>
      </c>
      <c r="GV363" s="1648">
        <v>376736.01</v>
      </c>
      <c r="GW363" s="1648">
        <v>382165.86499999999</v>
      </c>
      <c r="GX363" s="1648">
        <v>356897.57900000003</v>
      </c>
      <c r="GY363" s="635">
        <v>3961904</v>
      </c>
      <c r="GZ363" s="633">
        <f>SUM(GM363:GX363)</f>
        <v>3961903.5018060002</v>
      </c>
      <c r="HA363" s="919" t="s">
        <v>1837</v>
      </c>
      <c r="HB363" s="1643" t="s">
        <v>1838</v>
      </c>
      <c r="HC363" s="1648">
        <v>344028.50012699998</v>
      </c>
      <c r="HD363" s="1648">
        <v>335387.28629100003</v>
      </c>
      <c r="HE363" s="1648">
        <v>337602.67972299998</v>
      </c>
      <c r="HF363" s="1648">
        <v>210440.148116</v>
      </c>
      <c r="HG363" s="1648">
        <v>330912.82974800002</v>
      </c>
      <c r="HH363" s="1648">
        <v>321507.96580100001</v>
      </c>
      <c r="HI363" s="1648">
        <v>310040.96500000003</v>
      </c>
      <c r="HJ363" s="1648">
        <v>306104.158</v>
      </c>
      <c r="HK363" s="1648">
        <v>350079.51500000001</v>
      </c>
      <c r="HL363" s="1648">
        <v>376736.01</v>
      </c>
      <c r="HM363" s="1648">
        <v>382165.86499999999</v>
      </c>
      <c r="HN363" s="1648">
        <v>356897.57900000003</v>
      </c>
      <c r="HO363" s="635">
        <v>3961904</v>
      </c>
      <c r="HP363" s="633">
        <f>SUM(HC363:HN363)</f>
        <v>3961903.5018060002</v>
      </c>
      <c r="HQ363" s="919" t="s">
        <v>1837</v>
      </c>
      <c r="HR363" s="1643" t="s">
        <v>1838</v>
      </c>
      <c r="HS363" s="1648">
        <v>344028.50012699998</v>
      </c>
      <c r="HT363" s="1648">
        <v>335387.28629100003</v>
      </c>
      <c r="HU363" s="1648">
        <v>337602.67972299998</v>
      </c>
      <c r="HV363" s="1648">
        <v>210440.148116</v>
      </c>
      <c r="HW363" s="1648">
        <v>330912.82974800002</v>
      </c>
      <c r="HX363" s="1648">
        <v>321507.96580100001</v>
      </c>
      <c r="HY363" s="1648">
        <v>310040.96500000003</v>
      </c>
      <c r="HZ363" s="1648">
        <v>306104.158</v>
      </c>
      <c r="IA363" s="1648">
        <v>350079.51500000001</v>
      </c>
      <c r="IB363" s="1648">
        <v>376736.01</v>
      </c>
      <c r="IC363" s="1648">
        <v>382165.86499999999</v>
      </c>
      <c r="ID363" s="1648">
        <v>356897.57900000003</v>
      </c>
      <c r="IE363" s="635">
        <v>3961904</v>
      </c>
      <c r="IF363" s="633">
        <f>SUM(HS363:ID363)</f>
        <v>3961903.5018060002</v>
      </c>
      <c r="IG363" s="919" t="s">
        <v>1837</v>
      </c>
      <c r="IH363" s="1643" t="s">
        <v>1838</v>
      </c>
      <c r="II363" s="1648">
        <v>344028.50012699998</v>
      </c>
      <c r="IJ363" s="1648">
        <v>335387.28629100003</v>
      </c>
      <c r="IK363" s="1648">
        <v>337602.67972299998</v>
      </c>
      <c r="IL363" s="1648">
        <v>210440.148116</v>
      </c>
      <c r="IM363" s="1648">
        <v>330912.82974800002</v>
      </c>
      <c r="IN363" s="1648">
        <v>321507.96580100001</v>
      </c>
      <c r="IO363" s="1648">
        <v>310040.96500000003</v>
      </c>
      <c r="IP363" s="1648">
        <v>306104.158</v>
      </c>
      <c r="IQ363" s="1648">
        <v>350079.51500000001</v>
      </c>
      <c r="IR363" s="1648">
        <v>376736.01</v>
      </c>
      <c r="IS363" s="1648">
        <v>382165.86499999999</v>
      </c>
      <c r="IT363" s="1648">
        <v>356897.57900000003</v>
      </c>
      <c r="IU363" s="635">
        <v>3961904</v>
      </c>
      <c r="IV363" s="633">
        <f>SUM(II363:IT363)</f>
        <v>3961903.5018060002</v>
      </c>
      <c r="IW363" s="919" t="s">
        <v>1837</v>
      </c>
      <c r="IX363" s="1643" t="s">
        <v>1838</v>
      </c>
      <c r="IY363" s="1648">
        <v>344028.50012699998</v>
      </c>
      <c r="IZ363" s="1648">
        <v>335387.28629100003</v>
      </c>
      <c r="JA363" s="1648">
        <v>337602.67972299998</v>
      </c>
      <c r="JB363" s="1648">
        <v>210440.148116</v>
      </c>
      <c r="JC363" s="1648">
        <v>330912.82974800002</v>
      </c>
      <c r="JD363" s="1648">
        <v>321507.96580100001</v>
      </c>
      <c r="JE363" s="1648">
        <v>310040.96500000003</v>
      </c>
      <c r="JF363" s="1648">
        <v>306104.158</v>
      </c>
      <c r="JG363" s="1648">
        <v>350079.51500000001</v>
      </c>
      <c r="JH363" s="1648">
        <v>376736.01</v>
      </c>
      <c r="JI363" s="1648">
        <v>382165.86499999999</v>
      </c>
      <c r="JJ363" s="1648">
        <v>356897.57900000003</v>
      </c>
      <c r="JK363" s="635">
        <v>3961904</v>
      </c>
      <c r="JL363" s="633">
        <f>SUM(IY363:JJ363)</f>
        <v>3961903.5018060002</v>
      </c>
      <c r="JM363" s="919" t="s">
        <v>1837</v>
      </c>
      <c r="JN363" s="1643" t="s">
        <v>1838</v>
      </c>
      <c r="JO363" s="1648">
        <v>344028.50012699998</v>
      </c>
      <c r="JP363" s="1648">
        <v>335387.28629100003</v>
      </c>
      <c r="JQ363" s="1648">
        <v>337602.67972299998</v>
      </c>
      <c r="JR363" s="1648">
        <v>210440.148116</v>
      </c>
      <c r="JS363" s="1648">
        <v>330912.82974800002</v>
      </c>
      <c r="JT363" s="1648">
        <v>321507.96580100001</v>
      </c>
      <c r="JU363" s="1648">
        <v>310040.96500000003</v>
      </c>
      <c r="JV363" s="1648">
        <v>306104.158</v>
      </c>
      <c r="JW363" s="1648">
        <v>350079.51500000001</v>
      </c>
      <c r="JX363" s="1648">
        <v>376736.01</v>
      </c>
      <c r="JY363" s="1648">
        <v>382165.86499999999</v>
      </c>
      <c r="JZ363" s="1648">
        <v>356897.57900000003</v>
      </c>
      <c r="KA363" s="635">
        <v>3961904</v>
      </c>
      <c r="KB363" s="633">
        <f>SUM(JO363:JZ363)</f>
        <v>3961903.5018060002</v>
      </c>
      <c r="KC363" s="919" t="s">
        <v>1837</v>
      </c>
      <c r="KD363" s="1643" t="s">
        <v>1838</v>
      </c>
      <c r="KE363" s="1648">
        <v>344028.50012699998</v>
      </c>
      <c r="KF363" s="1648">
        <v>335387.28629100003</v>
      </c>
      <c r="KG363" s="1648">
        <v>337602.67972299998</v>
      </c>
      <c r="KH363" s="1648">
        <v>210440.148116</v>
      </c>
      <c r="KI363" s="1648">
        <v>330912.82974800002</v>
      </c>
      <c r="KJ363" s="1648">
        <v>321507.96580100001</v>
      </c>
      <c r="KK363" s="1648">
        <v>310040.96500000003</v>
      </c>
      <c r="KL363" s="1648">
        <v>306104.158</v>
      </c>
      <c r="KM363" s="1648">
        <v>350079.51500000001</v>
      </c>
      <c r="KN363" s="1648">
        <v>376736.01</v>
      </c>
      <c r="KO363" s="1648">
        <v>382165.86499999999</v>
      </c>
      <c r="KP363" s="1648">
        <v>356897.57900000003</v>
      </c>
      <c r="KQ363" s="635">
        <v>3961904</v>
      </c>
      <c r="KR363" s="633">
        <f>SUM(KE363:KP363)</f>
        <v>3961903.5018060002</v>
      </c>
      <c r="KS363" s="919" t="s">
        <v>1837</v>
      </c>
      <c r="KT363" s="1643" t="s">
        <v>1838</v>
      </c>
      <c r="KU363" s="1648">
        <v>344028.50012699998</v>
      </c>
      <c r="KV363" s="1648">
        <v>335387.28629100003</v>
      </c>
      <c r="KW363" s="1648">
        <v>337602.67972299998</v>
      </c>
      <c r="KX363" s="1648">
        <v>210440.148116</v>
      </c>
      <c r="KY363" s="1648">
        <v>330912.82974800002</v>
      </c>
      <c r="KZ363" s="1648">
        <v>321507.96580100001</v>
      </c>
      <c r="LA363" s="1648">
        <v>310040.96500000003</v>
      </c>
      <c r="LB363" s="1648">
        <v>306104.158</v>
      </c>
      <c r="LC363" s="1648">
        <v>350079.51500000001</v>
      </c>
      <c r="LD363" s="1648">
        <v>376736.01</v>
      </c>
      <c r="LE363" s="1648">
        <v>382165.86499999999</v>
      </c>
      <c r="LF363" s="1648">
        <v>356897.57900000003</v>
      </c>
      <c r="LG363" s="635">
        <v>3961904</v>
      </c>
      <c r="LH363" s="633">
        <f>SUM(KU363:LF363)</f>
        <v>3961903.5018060002</v>
      </c>
      <c r="LI363" s="919" t="s">
        <v>1837</v>
      </c>
      <c r="LJ363" s="1643" t="s">
        <v>1838</v>
      </c>
      <c r="LK363" s="1648">
        <v>344028.50012699998</v>
      </c>
      <c r="LL363" s="1648">
        <v>335387.28629100003</v>
      </c>
      <c r="LM363" s="1648">
        <v>337602.67972299998</v>
      </c>
      <c r="LN363" s="1648">
        <v>210440.148116</v>
      </c>
      <c r="LO363" s="1648">
        <v>330912.82974800002</v>
      </c>
      <c r="LP363" s="1648">
        <v>321507.96580100001</v>
      </c>
      <c r="LQ363" s="1648">
        <v>310040.96500000003</v>
      </c>
      <c r="LR363" s="1648">
        <v>306104.158</v>
      </c>
      <c r="LS363" s="1648">
        <v>350079.51500000001</v>
      </c>
      <c r="LT363" s="1648">
        <v>376736.01</v>
      </c>
      <c r="LU363" s="1648">
        <v>382165.86499999999</v>
      </c>
      <c r="LV363" s="1648">
        <v>356897.57900000003</v>
      </c>
      <c r="LW363" s="635">
        <v>3961904</v>
      </c>
      <c r="LX363" s="633">
        <f>SUM(LK363:LV363)</f>
        <v>3961903.5018060002</v>
      </c>
      <c r="LY363" s="919" t="s">
        <v>1837</v>
      </c>
      <c r="LZ363" s="1643" t="s">
        <v>1838</v>
      </c>
      <c r="MA363" s="1648">
        <v>344028.50012699998</v>
      </c>
      <c r="MB363" s="1648">
        <v>335387.28629100003</v>
      </c>
      <c r="MC363" s="1648">
        <v>337602.67972299998</v>
      </c>
      <c r="MD363" s="1648">
        <v>210440.148116</v>
      </c>
      <c r="ME363" s="1648">
        <v>330912.82974800002</v>
      </c>
      <c r="MF363" s="1648">
        <v>321507.96580100001</v>
      </c>
      <c r="MG363" s="1648">
        <v>310040.96500000003</v>
      </c>
      <c r="MH363" s="1648">
        <v>306104.158</v>
      </c>
      <c r="MI363" s="1648">
        <v>350079.51500000001</v>
      </c>
      <c r="MJ363" s="1648">
        <v>376736.01</v>
      </c>
      <c r="MK363" s="1648">
        <v>382165.86499999999</v>
      </c>
      <c r="ML363" s="1648">
        <v>356897.57900000003</v>
      </c>
      <c r="MM363" s="635">
        <v>3961904</v>
      </c>
      <c r="MN363" s="633">
        <f>SUM(MA363:ML363)</f>
        <v>3961903.5018060002</v>
      </c>
      <c r="MO363" s="919" t="s">
        <v>1837</v>
      </c>
      <c r="MP363" s="1643" t="s">
        <v>1838</v>
      </c>
      <c r="MQ363" s="1648">
        <v>344028.50012699998</v>
      </c>
      <c r="MR363" s="1648">
        <v>335387.28629100003</v>
      </c>
      <c r="MS363" s="1648">
        <v>337602.67972299998</v>
      </c>
      <c r="MT363" s="1648">
        <v>210440.148116</v>
      </c>
      <c r="MU363" s="1648">
        <v>330912.82974800002</v>
      </c>
      <c r="MV363" s="1648">
        <v>321507.96580100001</v>
      </c>
      <c r="MW363" s="1648">
        <v>310040.96500000003</v>
      </c>
      <c r="MX363" s="1648">
        <v>306104.158</v>
      </c>
      <c r="MY363" s="1648">
        <v>350079.51500000001</v>
      </c>
      <c r="MZ363" s="1648">
        <v>376736.01</v>
      </c>
      <c r="NA363" s="1648">
        <v>382165.86499999999</v>
      </c>
      <c r="NB363" s="1648">
        <v>356897.57900000003</v>
      </c>
      <c r="NC363" s="635">
        <v>3961904</v>
      </c>
      <c r="ND363" s="633">
        <f>SUM(MQ363:NB363)</f>
        <v>3961903.5018060002</v>
      </c>
      <c r="NE363" s="919" t="s">
        <v>1837</v>
      </c>
      <c r="NF363" s="1643" t="s">
        <v>1838</v>
      </c>
      <c r="NG363" s="1648">
        <v>344028.50012699998</v>
      </c>
      <c r="NH363" s="1648">
        <v>335387.28629100003</v>
      </c>
      <c r="NI363" s="1648">
        <v>337602.67972299998</v>
      </c>
      <c r="NJ363" s="1648">
        <v>210440.148116</v>
      </c>
      <c r="NK363" s="1648">
        <v>330912.82974800002</v>
      </c>
      <c r="NL363" s="1648">
        <v>321507.96580100001</v>
      </c>
      <c r="NM363" s="1648">
        <v>310040.96500000003</v>
      </c>
      <c r="NN363" s="1648">
        <v>306104.158</v>
      </c>
      <c r="NO363" s="1648">
        <v>350079.51500000001</v>
      </c>
      <c r="NP363" s="1648">
        <v>376736.01</v>
      </c>
      <c r="NQ363" s="1648">
        <v>382165.86499999999</v>
      </c>
      <c r="NR363" s="1648">
        <v>356897.57900000003</v>
      </c>
      <c r="NS363" s="635">
        <v>3961904</v>
      </c>
      <c r="NT363" s="633">
        <f>SUM(NG363:NR363)</f>
        <v>3961903.5018060002</v>
      </c>
      <c r="NU363" s="919" t="s">
        <v>1837</v>
      </c>
      <c r="NV363" s="1643" t="s">
        <v>1838</v>
      </c>
      <c r="NW363" s="1648">
        <v>344028.50012699998</v>
      </c>
      <c r="NX363" s="1648">
        <v>335387.28629100003</v>
      </c>
      <c r="NY363" s="1648">
        <v>337602.67972299998</v>
      </c>
      <c r="NZ363" s="1648">
        <v>210440.148116</v>
      </c>
      <c r="OA363" s="1648">
        <v>330912.82974800002</v>
      </c>
      <c r="OB363" s="1648">
        <v>321507.96580100001</v>
      </c>
      <c r="OC363" s="1648">
        <v>310040.96500000003</v>
      </c>
      <c r="OD363" s="1648">
        <v>306104.158</v>
      </c>
      <c r="OE363" s="1648">
        <v>350079.51500000001</v>
      </c>
      <c r="OF363" s="1648">
        <v>376736.01</v>
      </c>
      <c r="OG363" s="1648">
        <v>382165.86499999999</v>
      </c>
      <c r="OH363" s="1648">
        <v>356897.57900000003</v>
      </c>
      <c r="OI363" s="635">
        <v>3961904</v>
      </c>
      <c r="OJ363" s="633">
        <f>SUM(NW363:OH363)</f>
        <v>3961903.5018060002</v>
      </c>
      <c r="OK363" s="919" t="s">
        <v>1837</v>
      </c>
      <c r="OL363" s="1643" t="s">
        <v>1838</v>
      </c>
      <c r="OM363" s="1648">
        <v>344028.50012699998</v>
      </c>
      <c r="ON363" s="1648">
        <v>335387.28629100003</v>
      </c>
      <c r="OO363" s="1648">
        <v>337602.67972299998</v>
      </c>
      <c r="OP363" s="1648">
        <v>210440.148116</v>
      </c>
      <c r="OQ363" s="1648">
        <v>330912.82974800002</v>
      </c>
      <c r="OR363" s="1648">
        <v>321507.96580100001</v>
      </c>
      <c r="OS363" s="1648">
        <v>310040.96500000003</v>
      </c>
      <c r="OT363" s="1648">
        <v>306104.158</v>
      </c>
      <c r="OU363" s="1648">
        <v>350079.51500000001</v>
      </c>
      <c r="OV363" s="1648">
        <v>376736.01</v>
      </c>
      <c r="OW363" s="1648">
        <v>382165.86499999999</v>
      </c>
      <c r="OX363" s="1648">
        <v>356897.57900000003</v>
      </c>
      <c r="OY363" s="635">
        <v>3961904</v>
      </c>
      <c r="OZ363" s="633">
        <f>SUM(OM363:OX363)</f>
        <v>3961903.5018060002</v>
      </c>
      <c r="PA363" s="919" t="s">
        <v>1837</v>
      </c>
      <c r="PB363" s="1643" t="s">
        <v>1838</v>
      </c>
      <c r="PC363" s="1648">
        <v>344028.50012699998</v>
      </c>
      <c r="PD363" s="1648">
        <v>335387.28629100003</v>
      </c>
      <c r="PE363" s="1648">
        <v>337602.67972299998</v>
      </c>
      <c r="PF363" s="1648">
        <v>210440.148116</v>
      </c>
      <c r="PG363" s="1648">
        <v>330912.82974800002</v>
      </c>
      <c r="PH363" s="1648">
        <v>321507.96580100001</v>
      </c>
      <c r="PI363" s="1648">
        <v>310040.96500000003</v>
      </c>
      <c r="PJ363" s="1648">
        <v>306104.158</v>
      </c>
      <c r="PK363" s="1648">
        <v>350079.51500000001</v>
      </c>
      <c r="PL363" s="1648">
        <v>376736.01</v>
      </c>
      <c r="PM363" s="1648">
        <v>382165.86499999999</v>
      </c>
      <c r="PN363" s="1648">
        <v>356897.57900000003</v>
      </c>
      <c r="PO363" s="635">
        <v>3961904</v>
      </c>
      <c r="PP363" s="633">
        <f>SUM(PC363:PN363)</f>
        <v>3961903.5018060002</v>
      </c>
      <c r="PQ363" s="919" t="s">
        <v>1837</v>
      </c>
      <c r="PR363" s="1643" t="s">
        <v>1838</v>
      </c>
      <c r="PS363" s="1648">
        <v>344028.50012699998</v>
      </c>
      <c r="PT363" s="1648">
        <v>335387.28629100003</v>
      </c>
      <c r="PU363" s="1648">
        <v>337602.67972299998</v>
      </c>
      <c r="PV363" s="1648">
        <v>210440.148116</v>
      </c>
      <c r="PW363" s="1648">
        <v>330912.82974800002</v>
      </c>
      <c r="PX363" s="1648">
        <v>321507.96580100001</v>
      </c>
      <c r="PY363" s="1648">
        <v>310040.96500000003</v>
      </c>
      <c r="PZ363" s="1648">
        <v>306104.158</v>
      </c>
      <c r="QA363" s="1648">
        <v>350079.51500000001</v>
      </c>
      <c r="QB363" s="1648">
        <v>376736.01</v>
      </c>
      <c r="QC363" s="1648">
        <v>382165.86499999999</v>
      </c>
      <c r="QD363" s="1648">
        <v>356897.57900000003</v>
      </c>
      <c r="QE363" s="635">
        <v>3961904</v>
      </c>
      <c r="QF363" s="633">
        <f>SUM(PS363:QD363)</f>
        <v>3961903.5018060002</v>
      </c>
      <c r="QG363" s="919" t="s">
        <v>1837</v>
      </c>
      <c r="QH363" s="1643" t="s">
        <v>1838</v>
      </c>
      <c r="QI363" s="1648">
        <v>344028.50012699998</v>
      </c>
      <c r="QJ363" s="1648">
        <v>335387.28629100003</v>
      </c>
      <c r="QK363" s="1648">
        <v>337602.67972299998</v>
      </c>
      <c r="QL363" s="1648">
        <v>210440.148116</v>
      </c>
      <c r="QM363" s="1648">
        <v>330912.82974800002</v>
      </c>
      <c r="QN363" s="1648">
        <v>321507.96580100001</v>
      </c>
      <c r="QO363" s="1648">
        <v>310040.96500000003</v>
      </c>
      <c r="QP363" s="1648">
        <v>306104.158</v>
      </c>
      <c r="QQ363" s="1648">
        <v>350079.51500000001</v>
      </c>
      <c r="QR363" s="1648">
        <v>376736.01</v>
      </c>
      <c r="QS363" s="1648">
        <v>382165.86499999999</v>
      </c>
      <c r="QT363" s="1648">
        <v>356897.57900000003</v>
      </c>
      <c r="QU363" s="635">
        <v>3961904</v>
      </c>
      <c r="QV363" s="633">
        <f>SUM(QI363:QT363)</f>
        <v>3961903.5018060002</v>
      </c>
      <c r="QW363" s="919" t="s">
        <v>1837</v>
      </c>
      <c r="QX363" s="1643" t="s">
        <v>1838</v>
      </c>
      <c r="QY363" s="1648">
        <v>344028.50012699998</v>
      </c>
      <c r="QZ363" s="1648">
        <v>335387.28629100003</v>
      </c>
      <c r="RA363" s="1648">
        <v>337602.67972299998</v>
      </c>
      <c r="RB363" s="1648">
        <v>210440.148116</v>
      </c>
      <c r="RC363" s="1648">
        <v>330912.82974800002</v>
      </c>
      <c r="RD363" s="1648">
        <v>321507.96580100001</v>
      </c>
      <c r="RE363" s="1648">
        <v>310040.96500000003</v>
      </c>
      <c r="RF363" s="1648">
        <v>306104.158</v>
      </c>
      <c r="RG363" s="1648">
        <v>350079.51500000001</v>
      </c>
      <c r="RH363" s="1648">
        <v>376736.01</v>
      </c>
      <c r="RI363" s="1648">
        <v>382165.86499999999</v>
      </c>
      <c r="RJ363" s="1648">
        <v>356897.57900000003</v>
      </c>
      <c r="RK363" s="635">
        <v>3961904</v>
      </c>
      <c r="RL363" s="633">
        <f>SUM(QY363:RJ363)</f>
        <v>3961903.5018060002</v>
      </c>
      <c r="RM363" s="919" t="s">
        <v>1837</v>
      </c>
      <c r="RN363" s="1643" t="s">
        <v>1838</v>
      </c>
      <c r="RO363" s="1648">
        <v>344028.50012699998</v>
      </c>
      <c r="RP363" s="1648">
        <v>335387.28629100003</v>
      </c>
      <c r="RQ363" s="1648">
        <v>337602.67972299998</v>
      </c>
      <c r="RR363" s="1648">
        <v>210440.148116</v>
      </c>
      <c r="RS363" s="1648">
        <v>330912.82974800002</v>
      </c>
      <c r="RT363" s="1648">
        <v>321507.96580100001</v>
      </c>
      <c r="RU363" s="1648">
        <v>310040.96500000003</v>
      </c>
      <c r="RV363" s="1648">
        <v>306104.158</v>
      </c>
      <c r="RW363" s="1648">
        <v>350079.51500000001</v>
      </c>
      <c r="RX363" s="1648">
        <v>376736.01</v>
      </c>
      <c r="RY363" s="1648">
        <v>382165.86499999999</v>
      </c>
      <c r="RZ363" s="1648">
        <v>356897.57900000003</v>
      </c>
      <c r="SA363" s="635">
        <v>3961904</v>
      </c>
      <c r="SB363" s="633">
        <f>SUM(RO363:RZ363)</f>
        <v>3961903.5018060002</v>
      </c>
      <c r="SC363" s="919" t="s">
        <v>1837</v>
      </c>
      <c r="SD363" s="1643" t="s">
        <v>1838</v>
      </c>
      <c r="SE363" s="1648">
        <v>344028.50012699998</v>
      </c>
      <c r="SF363" s="1648">
        <v>335387.28629100003</v>
      </c>
      <c r="SG363" s="1648">
        <v>337602.67972299998</v>
      </c>
      <c r="SH363" s="1648">
        <v>210440.148116</v>
      </c>
      <c r="SI363" s="1648">
        <v>330912.82974800002</v>
      </c>
      <c r="SJ363" s="1648">
        <v>321507.96580100001</v>
      </c>
      <c r="SK363" s="1648">
        <v>310040.96500000003</v>
      </c>
      <c r="SL363" s="1648">
        <v>306104.158</v>
      </c>
      <c r="SM363" s="1648">
        <v>350079.51500000001</v>
      </c>
      <c r="SN363" s="1648">
        <v>376736.01</v>
      </c>
      <c r="SO363" s="1648">
        <v>382165.86499999999</v>
      </c>
      <c r="SP363" s="1648">
        <v>356897.57900000003</v>
      </c>
      <c r="SQ363" s="635">
        <v>3961904</v>
      </c>
      <c r="SR363" s="633">
        <f>SUM(SE363:SP363)</f>
        <v>3961903.5018060002</v>
      </c>
      <c r="SS363" s="919" t="s">
        <v>1837</v>
      </c>
      <c r="ST363" s="1643" t="s">
        <v>1838</v>
      </c>
      <c r="SU363" s="1648">
        <v>344028.50012699998</v>
      </c>
      <c r="SV363" s="1648">
        <v>335387.28629100003</v>
      </c>
      <c r="SW363" s="1648">
        <v>337602.67972299998</v>
      </c>
      <c r="SX363" s="1648">
        <v>210440.148116</v>
      </c>
      <c r="SY363" s="1648">
        <v>330912.82974800002</v>
      </c>
      <c r="SZ363" s="1648">
        <v>321507.96580100001</v>
      </c>
      <c r="TA363" s="1648">
        <v>310040.96500000003</v>
      </c>
      <c r="TB363" s="1648">
        <v>306104.158</v>
      </c>
      <c r="TC363" s="1648">
        <v>350079.51500000001</v>
      </c>
      <c r="TD363" s="1648">
        <v>376736.01</v>
      </c>
      <c r="TE363" s="1648">
        <v>382165.86499999999</v>
      </c>
      <c r="TF363" s="1648">
        <v>356897.57900000003</v>
      </c>
      <c r="TG363" s="635">
        <v>3961904</v>
      </c>
      <c r="TH363" s="633">
        <f>SUM(SU363:TF363)</f>
        <v>3961903.5018060002</v>
      </c>
      <c r="TI363" s="919" t="s">
        <v>1837</v>
      </c>
      <c r="TJ363" s="1643" t="s">
        <v>1838</v>
      </c>
      <c r="TK363" s="1648">
        <v>344028.50012699998</v>
      </c>
      <c r="TL363" s="1648">
        <v>335387.28629100003</v>
      </c>
      <c r="TM363" s="1648">
        <v>337602.67972299998</v>
      </c>
      <c r="TN363" s="1648">
        <v>210440.148116</v>
      </c>
      <c r="TO363" s="1648">
        <v>330912.82974800002</v>
      </c>
      <c r="TP363" s="1648">
        <v>321507.96580100001</v>
      </c>
      <c r="TQ363" s="1648">
        <v>310040.96500000003</v>
      </c>
      <c r="TR363" s="1648">
        <v>306104.158</v>
      </c>
      <c r="TS363" s="1648">
        <v>350079.51500000001</v>
      </c>
      <c r="TT363" s="1648">
        <v>376736.01</v>
      </c>
      <c r="TU363" s="1648">
        <v>382165.86499999999</v>
      </c>
      <c r="TV363" s="1648">
        <v>356897.57900000003</v>
      </c>
      <c r="TW363" s="635">
        <v>3961904</v>
      </c>
      <c r="TX363" s="633">
        <f>SUM(TK363:TV363)</f>
        <v>3961903.5018060002</v>
      </c>
      <c r="TY363" s="919" t="s">
        <v>1837</v>
      </c>
      <c r="TZ363" s="1643" t="s">
        <v>1838</v>
      </c>
      <c r="UA363" s="1648">
        <v>344028.50012699998</v>
      </c>
      <c r="UB363" s="1648">
        <v>335387.28629100003</v>
      </c>
      <c r="UC363" s="1648">
        <v>337602.67972299998</v>
      </c>
      <c r="UD363" s="1648">
        <v>210440.148116</v>
      </c>
      <c r="UE363" s="1648">
        <v>330912.82974800002</v>
      </c>
      <c r="UF363" s="1648">
        <v>321507.96580100001</v>
      </c>
      <c r="UG363" s="1648">
        <v>310040.96500000003</v>
      </c>
      <c r="UH363" s="1648">
        <v>306104.158</v>
      </c>
      <c r="UI363" s="1648">
        <v>350079.51500000001</v>
      </c>
      <c r="UJ363" s="1648">
        <v>376736.01</v>
      </c>
      <c r="UK363" s="1648">
        <v>382165.86499999999</v>
      </c>
      <c r="UL363" s="1648">
        <v>356897.57900000003</v>
      </c>
      <c r="UM363" s="635">
        <v>3961904</v>
      </c>
      <c r="UN363" s="633">
        <f>SUM(UA363:UL363)</f>
        <v>3961903.5018060002</v>
      </c>
      <c r="UO363" s="919" t="s">
        <v>1837</v>
      </c>
      <c r="UP363" s="1643" t="s">
        <v>1838</v>
      </c>
      <c r="UQ363" s="1648">
        <v>344028.50012699998</v>
      </c>
      <c r="UR363" s="1648">
        <v>335387.28629100003</v>
      </c>
      <c r="US363" s="1648">
        <v>337602.67972299998</v>
      </c>
      <c r="UT363" s="1648">
        <v>210440.148116</v>
      </c>
      <c r="UU363" s="1648">
        <v>330912.82974800002</v>
      </c>
      <c r="UV363" s="1648">
        <v>321507.96580100001</v>
      </c>
      <c r="UW363" s="1648">
        <v>310040.96500000003</v>
      </c>
      <c r="UX363" s="1648">
        <v>306104.158</v>
      </c>
      <c r="UY363" s="1648">
        <v>350079.51500000001</v>
      </c>
      <c r="UZ363" s="1648">
        <v>376736.01</v>
      </c>
      <c r="VA363" s="1648">
        <v>382165.86499999999</v>
      </c>
      <c r="VB363" s="1648">
        <v>356897.57900000003</v>
      </c>
      <c r="VC363" s="635">
        <v>3961904</v>
      </c>
      <c r="VD363" s="633">
        <f>SUM(UQ363:VB363)</f>
        <v>3961903.5018060002</v>
      </c>
      <c r="VE363" s="919" t="s">
        <v>1837</v>
      </c>
      <c r="VF363" s="1643" t="s">
        <v>1838</v>
      </c>
      <c r="VG363" s="1648">
        <v>344028.50012699998</v>
      </c>
      <c r="VH363" s="1648">
        <v>335387.28629100003</v>
      </c>
      <c r="VI363" s="1648">
        <v>337602.67972299998</v>
      </c>
      <c r="VJ363" s="1648">
        <v>210440.148116</v>
      </c>
      <c r="VK363" s="1648">
        <v>330912.82974800002</v>
      </c>
      <c r="VL363" s="1648">
        <v>321507.96580100001</v>
      </c>
      <c r="VM363" s="1648">
        <v>310040.96500000003</v>
      </c>
      <c r="VN363" s="1648">
        <v>306104.158</v>
      </c>
      <c r="VO363" s="1648">
        <v>350079.51500000001</v>
      </c>
      <c r="VP363" s="1648">
        <v>376736.01</v>
      </c>
      <c r="VQ363" s="1648">
        <v>382165.86499999999</v>
      </c>
      <c r="VR363" s="1648">
        <v>356897.57900000003</v>
      </c>
      <c r="VS363" s="635">
        <v>3961904</v>
      </c>
      <c r="VT363" s="633">
        <f>SUM(VG363:VR363)</f>
        <v>3961903.5018060002</v>
      </c>
      <c r="VU363" s="919" t="s">
        <v>1837</v>
      </c>
      <c r="VV363" s="1643" t="s">
        <v>1838</v>
      </c>
      <c r="VW363" s="1648">
        <v>344028.50012699998</v>
      </c>
      <c r="VX363" s="1648">
        <v>335387.28629100003</v>
      </c>
      <c r="VY363" s="1648">
        <v>337602.67972299998</v>
      </c>
      <c r="VZ363" s="1648">
        <v>210440.148116</v>
      </c>
      <c r="WA363" s="1648">
        <v>330912.82974800002</v>
      </c>
      <c r="WB363" s="1648">
        <v>321507.96580100001</v>
      </c>
      <c r="WC363" s="1648">
        <v>310040.96500000003</v>
      </c>
      <c r="WD363" s="1648">
        <v>306104.158</v>
      </c>
      <c r="WE363" s="1648">
        <v>350079.51500000001</v>
      </c>
      <c r="WF363" s="1648">
        <v>376736.01</v>
      </c>
      <c r="WG363" s="1648">
        <v>382165.86499999999</v>
      </c>
      <c r="WH363" s="1648">
        <v>356897.57900000003</v>
      </c>
      <c r="WI363" s="635">
        <v>3961904</v>
      </c>
      <c r="WJ363" s="633">
        <f>SUM(VW363:WH363)</f>
        <v>3961903.5018060002</v>
      </c>
      <c r="WK363" s="919" t="s">
        <v>1837</v>
      </c>
      <c r="WL363" s="1643" t="s">
        <v>1838</v>
      </c>
      <c r="WM363" s="1648">
        <v>344028.50012699998</v>
      </c>
      <c r="WN363" s="1648">
        <v>335387.28629100003</v>
      </c>
      <c r="WO363" s="1648">
        <v>337602.67972299998</v>
      </c>
      <c r="WP363" s="1648">
        <v>210440.148116</v>
      </c>
      <c r="WQ363" s="1648">
        <v>330912.82974800002</v>
      </c>
      <c r="WR363" s="1648">
        <v>321507.96580100001</v>
      </c>
      <c r="WS363" s="1648">
        <v>310040.96500000003</v>
      </c>
      <c r="WT363" s="1648">
        <v>306104.158</v>
      </c>
      <c r="WU363" s="1648">
        <v>350079.51500000001</v>
      </c>
      <c r="WV363" s="1648">
        <v>376736.01</v>
      </c>
      <c r="WW363" s="1648">
        <v>382165.86499999999</v>
      </c>
      <c r="WX363" s="1648">
        <v>356897.57900000003</v>
      </c>
      <c r="WY363" s="635">
        <v>3961904</v>
      </c>
      <c r="WZ363" s="633">
        <f>SUM(WM363:WX363)</f>
        <v>3961903.5018060002</v>
      </c>
      <c r="XA363" s="919" t="s">
        <v>1837</v>
      </c>
      <c r="XB363" s="1643" t="s">
        <v>1838</v>
      </c>
      <c r="XC363" s="1648">
        <v>344028.50012699998</v>
      </c>
      <c r="XD363" s="1648">
        <v>335387.28629100003</v>
      </c>
      <c r="XE363" s="1648">
        <v>337602.67972299998</v>
      </c>
      <c r="XF363" s="1648">
        <v>210440.148116</v>
      </c>
      <c r="XG363" s="1648">
        <v>330912.82974800002</v>
      </c>
      <c r="XH363" s="1648">
        <v>321507.96580100001</v>
      </c>
      <c r="XI363" s="1648">
        <v>310040.96500000003</v>
      </c>
      <c r="XJ363" s="1648">
        <v>306104.158</v>
      </c>
      <c r="XK363" s="1648">
        <v>350079.51500000001</v>
      </c>
      <c r="XL363" s="1648">
        <v>376736.01</v>
      </c>
      <c r="XM363" s="1648">
        <v>382165.86499999999</v>
      </c>
      <c r="XN363" s="1648">
        <v>356897.57900000003</v>
      </c>
      <c r="XO363" s="635">
        <v>3961904</v>
      </c>
      <c r="XP363" s="633">
        <f>SUM(XC363:XN363)</f>
        <v>3961903.5018060002</v>
      </c>
      <c r="XQ363" s="919" t="s">
        <v>1837</v>
      </c>
      <c r="XR363" s="1643" t="s">
        <v>1838</v>
      </c>
      <c r="XS363" s="1648">
        <v>344028.50012699998</v>
      </c>
      <c r="XT363" s="1648">
        <v>335387.28629100003</v>
      </c>
      <c r="XU363" s="1648">
        <v>337602.67972299998</v>
      </c>
      <c r="XV363" s="1648">
        <v>210440.148116</v>
      </c>
      <c r="XW363" s="1648">
        <v>330912.82974800002</v>
      </c>
      <c r="XX363" s="1648">
        <v>321507.96580100001</v>
      </c>
      <c r="XY363" s="1648">
        <v>310040.96500000003</v>
      </c>
      <c r="XZ363" s="1648">
        <v>306104.158</v>
      </c>
      <c r="YA363" s="1648">
        <v>350079.51500000001</v>
      </c>
      <c r="YB363" s="1648">
        <v>376736.01</v>
      </c>
      <c r="YC363" s="1648">
        <v>382165.86499999999</v>
      </c>
      <c r="YD363" s="1648">
        <v>356897.57900000003</v>
      </c>
      <c r="YE363" s="635">
        <v>3961904</v>
      </c>
      <c r="YF363" s="633">
        <f>SUM(XS363:YD363)</f>
        <v>3961903.5018060002</v>
      </c>
      <c r="YG363" s="919" t="s">
        <v>1837</v>
      </c>
      <c r="YH363" s="1643" t="s">
        <v>1838</v>
      </c>
      <c r="YI363" s="1648">
        <v>344028.50012699998</v>
      </c>
      <c r="YJ363" s="1648">
        <v>335387.28629100003</v>
      </c>
      <c r="YK363" s="1648">
        <v>337602.67972299998</v>
      </c>
      <c r="YL363" s="1648">
        <v>210440.148116</v>
      </c>
      <c r="YM363" s="1648">
        <v>330912.82974800002</v>
      </c>
      <c r="YN363" s="1648">
        <v>321507.96580100001</v>
      </c>
      <c r="YO363" s="1648">
        <v>310040.96500000003</v>
      </c>
      <c r="YP363" s="1648">
        <v>306104.158</v>
      </c>
      <c r="YQ363" s="1648">
        <v>350079.51500000001</v>
      </c>
      <c r="YR363" s="1648">
        <v>376736.01</v>
      </c>
      <c r="YS363" s="1648">
        <v>382165.86499999999</v>
      </c>
      <c r="YT363" s="1648">
        <v>356897.57900000003</v>
      </c>
      <c r="YU363" s="635">
        <v>3961904</v>
      </c>
      <c r="YV363" s="633">
        <f>SUM(YI363:YT363)</f>
        <v>3961903.5018060002</v>
      </c>
      <c r="YW363" s="919" t="s">
        <v>1837</v>
      </c>
      <c r="YX363" s="1643" t="s">
        <v>1838</v>
      </c>
      <c r="YY363" s="1648">
        <v>344028.50012699998</v>
      </c>
      <c r="YZ363" s="1648">
        <v>335387.28629100003</v>
      </c>
      <c r="ZA363" s="1648">
        <v>337602.67972299998</v>
      </c>
      <c r="ZB363" s="1648">
        <v>210440.148116</v>
      </c>
      <c r="ZC363" s="1648">
        <v>330912.82974800002</v>
      </c>
      <c r="ZD363" s="1648">
        <v>321507.96580100001</v>
      </c>
      <c r="ZE363" s="1648">
        <v>310040.96500000003</v>
      </c>
      <c r="ZF363" s="1648">
        <v>306104.158</v>
      </c>
      <c r="ZG363" s="1648">
        <v>350079.51500000001</v>
      </c>
      <c r="ZH363" s="1648">
        <v>376736.01</v>
      </c>
      <c r="ZI363" s="1648">
        <v>382165.86499999999</v>
      </c>
      <c r="ZJ363" s="1648">
        <v>356897.57900000003</v>
      </c>
      <c r="ZK363" s="635">
        <v>3961904</v>
      </c>
      <c r="ZL363" s="633">
        <f>SUM(YY363:ZJ363)</f>
        <v>3961903.5018060002</v>
      </c>
      <c r="ZM363" s="919" t="s">
        <v>1837</v>
      </c>
      <c r="ZN363" s="1643" t="s">
        <v>1838</v>
      </c>
      <c r="ZO363" s="1648">
        <v>344028.50012699998</v>
      </c>
      <c r="ZP363" s="1648">
        <v>335387.28629100003</v>
      </c>
      <c r="ZQ363" s="1648">
        <v>337602.67972299998</v>
      </c>
      <c r="ZR363" s="1648">
        <v>210440.148116</v>
      </c>
      <c r="ZS363" s="1648">
        <v>330912.82974800002</v>
      </c>
      <c r="ZT363" s="1648">
        <v>321507.96580100001</v>
      </c>
      <c r="ZU363" s="1648">
        <v>310040.96500000003</v>
      </c>
      <c r="ZV363" s="1648">
        <v>306104.158</v>
      </c>
      <c r="ZW363" s="1648">
        <v>350079.51500000001</v>
      </c>
      <c r="ZX363" s="1648">
        <v>376736.01</v>
      </c>
      <c r="ZY363" s="1648">
        <v>382165.86499999999</v>
      </c>
      <c r="ZZ363" s="1648">
        <v>356897.57900000003</v>
      </c>
      <c r="AAA363" s="635">
        <v>3961904</v>
      </c>
      <c r="AAB363" s="633">
        <f>SUM(ZO363:ZZ363)</f>
        <v>3961903.5018060002</v>
      </c>
      <c r="AAC363" s="919" t="s">
        <v>1837</v>
      </c>
      <c r="AAD363" s="1643" t="s">
        <v>1838</v>
      </c>
      <c r="AAE363" s="1648">
        <v>344028.50012699998</v>
      </c>
      <c r="AAF363" s="1648">
        <v>335387.28629100003</v>
      </c>
      <c r="AAG363" s="1648">
        <v>337602.67972299998</v>
      </c>
      <c r="AAH363" s="1648">
        <v>210440.148116</v>
      </c>
      <c r="AAI363" s="1648">
        <v>330912.82974800002</v>
      </c>
      <c r="AAJ363" s="1648">
        <v>321507.96580100001</v>
      </c>
      <c r="AAK363" s="1648">
        <v>310040.96500000003</v>
      </c>
      <c r="AAL363" s="1648">
        <v>306104.158</v>
      </c>
      <c r="AAM363" s="1648">
        <v>350079.51500000001</v>
      </c>
      <c r="AAN363" s="1648">
        <v>376736.01</v>
      </c>
      <c r="AAO363" s="1648">
        <v>382165.86499999999</v>
      </c>
      <c r="AAP363" s="1648">
        <v>356897.57900000003</v>
      </c>
      <c r="AAQ363" s="635">
        <v>3961904</v>
      </c>
      <c r="AAR363" s="633">
        <f>SUM(AAE363:AAP363)</f>
        <v>3961903.5018060002</v>
      </c>
      <c r="AAS363" s="919" t="s">
        <v>1837</v>
      </c>
      <c r="AAT363" s="1643" t="s">
        <v>1838</v>
      </c>
      <c r="AAU363" s="1648">
        <v>344028.50012699998</v>
      </c>
      <c r="AAV363" s="1648">
        <v>335387.28629100003</v>
      </c>
      <c r="AAW363" s="1648">
        <v>337602.67972299998</v>
      </c>
      <c r="AAX363" s="1648">
        <v>210440.148116</v>
      </c>
      <c r="AAY363" s="1648">
        <v>330912.82974800002</v>
      </c>
      <c r="AAZ363" s="1648">
        <v>321507.96580100001</v>
      </c>
      <c r="ABA363" s="1648">
        <v>310040.96500000003</v>
      </c>
      <c r="ABB363" s="1648">
        <v>306104.158</v>
      </c>
      <c r="ABC363" s="1648">
        <v>350079.51500000001</v>
      </c>
      <c r="ABD363" s="1648">
        <v>376736.01</v>
      </c>
      <c r="ABE363" s="1648">
        <v>382165.86499999999</v>
      </c>
      <c r="ABF363" s="1648">
        <v>356897.57900000003</v>
      </c>
      <c r="ABG363" s="635">
        <v>3961904</v>
      </c>
      <c r="ABH363" s="633">
        <f>SUM(AAU363:ABF363)</f>
        <v>3961903.5018060002</v>
      </c>
      <c r="ABI363" s="919" t="s">
        <v>1837</v>
      </c>
      <c r="ABJ363" s="1643" t="s">
        <v>1838</v>
      </c>
      <c r="ABK363" s="1648">
        <v>344028.50012699998</v>
      </c>
      <c r="ABL363" s="1648">
        <v>335387.28629100003</v>
      </c>
      <c r="ABM363" s="1648">
        <v>337602.67972299998</v>
      </c>
      <c r="ABN363" s="1648">
        <v>210440.148116</v>
      </c>
      <c r="ABO363" s="1648">
        <v>330912.82974800002</v>
      </c>
      <c r="ABP363" s="1648">
        <v>321507.96580100001</v>
      </c>
      <c r="ABQ363" s="1648">
        <v>310040.96500000003</v>
      </c>
      <c r="ABR363" s="1648">
        <v>306104.158</v>
      </c>
      <c r="ABS363" s="1648">
        <v>350079.51500000001</v>
      </c>
      <c r="ABT363" s="1648">
        <v>376736.01</v>
      </c>
      <c r="ABU363" s="1648">
        <v>382165.86499999999</v>
      </c>
      <c r="ABV363" s="1648">
        <v>356897.57900000003</v>
      </c>
      <c r="ABW363" s="635">
        <v>3961904</v>
      </c>
      <c r="ABX363" s="633">
        <f>SUM(ABK363:ABV363)</f>
        <v>3961903.5018060002</v>
      </c>
      <c r="ABY363" s="919" t="s">
        <v>1837</v>
      </c>
      <c r="ABZ363" s="1643" t="s">
        <v>1838</v>
      </c>
      <c r="ACA363" s="1648">
        <v>344028.50012699998</v>
      </c>
      <c r="ACB363" s="1648">
        <v>335387.28629100003</v>
      </c>
      <c r="ACC363" s="1648">
        <v>337602.67972299998</v>
      </c>
      <c r="ACD363" s="1648">
        <v>210440.148116</v>
      </c>
      <c r="ACE363" s="1648">
        <v>330912.82974800002</v>
      </c>
      <c r="ACF363" s="1648">
        <v>321507.96580100001</v>
      </c>
      <c r="ACG363" s="1648">
        <v>310040.96500000003</v>
      </c>
      <c r="ACH363" s="1648">
        <v>306104.158</v>
      </c>
      <c r="ACI363" s="1648">
        <v>350079.51500000001</v>
      </c>
      <c r="ACJ363" s="1648">
        <v>376736.01</v>
      </c>
      <c r="ACK363" s="1648">
        <v>382165.86499999999</v>
      </c>
      <c r="ACL363" s="1648">
        <v>356897.57900000003</v>
      </c>
      <c r="ACM363" s="635">
        <v>3961904</v>
      </c>
      <c r="ACN363" s="633">
        <f>SUM(ACA363:ACL363)</f>
        <v>3961903.5018060002</v>
      </c>
      <c r="ACO363" s="919" t="s">
        <v>1837</v>
      </c>
      <c r="ACP363" s="1643" t="s">
        <v>1838</v>
      </c>
      <c r="ACQ363" s="1648">
        <v>344028.50012699998</v>
      </c>
      <c r="ACR363" s="1648">
        <v>335387.28629100003</v>
      </c>
      <c r="ACS363" s="1648">
        <v>337602.67972299998</v>
      </c>
      <c r="ACT363" s="1648">
        <v>210440.148116</v>
      </c>
      <c r="ACU363" s="1648">
        <v>330912.82974800002</v>
      </c>
      <c r="ACV363" s="1648">
        <v>321507.96580100001</v>
      </c>
      <c r="ACW363" s="1648">
        <v>310040.96500000003</v>
      </c>
      <c r="ACX363" s="1648">
        <v>306104.158</v>
      </c>
      <c r="ACY363" s="1648">
        <v>350079.51500000001</v>
      </c>
      <c r="ACZ363" s="1648">
        <v>376736.01</v>
      </c>
      <c r="ADA363" s="1648">
        <v>382165.86499999999</v>
      </c>
      <c r="ADB363" s="1648">
        <v>356897.57900000003</v>
      </c>
      <c r="ADC363" s="635">
        <v>3961904</v>
      </c>
      <c r="ADD363" s="633">
        <f>SUM(ACQ363:ADB363)</f>
        <v>3961903.5018060002</v>
      </c>
      <c r="ADE363" s="919" t="s">
        <v>1837</v>
      </c>
      <c r="ADF363" s="1643" t="s">
        <v>1838</v>
      </c>
      <c r="ADG363" s="1648">
        <v>344028.50012699998</v>
      </c>
      <c r="ADH363" s="1648">
        <v>335387.28629100003</v>
      </c>
      <c r="ADI363" s="1648">
        <v>337602.67972299998</v>
      </c>
      <c r="ADJ363" s="1648">
        <v>210440.148116</v>
      </c>
      <c r="ADK363" s="1648">
        <v>330912.82974800002</v>
      </c>
      <c r="ADL363" s="1648">
        <v>321507.96580100001</v>
      </c>
      <c r="ADM363" s="1648">
        <v>310040.96500000003</v>
      </c>
      <c r="ADN363" s="1648">
        <v>306104.158</v>
      </c>
      <c r="ADO363" s="1648">
        <v>350079.51500000001</v>
      </c>
      <c r="ADP363" s="1648">
        <v>376736.01</v>
      </c>
      <c r="ADQ363" s="1648">
        <v>382165.86499999999</v>
      </c>
      <c r="ADR363" s="1648">
        <v>356897.57900000003</v>
      </c>
      <c r="ADS363" s="635">
        <v>3961904</v>
      </c>
      <c r="ADT363" s="633">
        <f>SUM(ADG363:ADR363)</f>
        <v>3961903.5018060002</v>
      </c>
      <c r="ADU363" s="919" t="s">
        <v>1837</v>
      </c>
      <c r="ADV363" s="1643" t="s">
        <v>1838</v>
      </c>
      <c r="ADW363" s="1648">
        <v>344028.50012699998</v>
      </c>
      <c r="ADX363" s="1648">
        <v>335387.28629100003</v>
      </c>
      <c r="ADY363" s="1648">
        <v>337602.67972299998</v>
      </c>
      <c r="ADZ363" s="1648">
        <v>210440.148116</v>
      </c>
      <c r="AEA363" s="1648">
        <v>330912.82974800002</v>
      </c>
      <c r="AEB363" s="1648">
        <v>321507.96580100001</v>
      </c>
      <c r="AEC363" s="1648">
        <v>310040.96500000003</v>
      </c>
      <c r="AED363" s="1648">
        <v>306104.158</v>
      </c>
      <c r="AEE363" s="1648">
        <v>350079.51500000001</v>
      </c>
      <c r="AEF363" s="1648">
        <v>376736.01</v>
      </c>
      <c r="AEG363" s="1648">
        <v>382165.86499999999</v>
      </c>
      <c r="AEH363" s="1648">
        <v>356897.57900000003</v>
      </c>
      <c r="AEI363" s="635">
        <v>3961904</v>
      </c>
      <c r="AEJ363" s="633">
        <f>SUM(ADW363:AEH363)</f>
        <v>3961903.5018060002</v>
      </c>
      <c r="AEK363" s="919" t="s">
        <v>1837</v>
      </c>
      <c r="AEL363" s="1643" t="s">
        <v>1838</v>
      </c>
      <c r="AEM363" s="1648">
        <v>344028.50012699998</v>
      </c>
      <c r="AEN363" s="1648">
        <v>335387.28629100003</v>
      </c>
      <c r="AEO363" s="1648">
        <v>337602.67972299998</v>
      </c>
      <c r="AEP363" s="1648">
        <v>210440.148116</v>
      </c>
      <c r="AEQ363" s="1648">
        <v>330912.82974800002</v>
      </c>
      <c r="AER363" s="1648">
        <v>321507.96580100001</v>
      </c>
      <c r="AES363" s="1648">
        <v>310040.96500000003</v>
      </c>
      <c r="AET363" s="1648">
        <v>306104.158</v>
      </c>
      <c r="AEU363" s="1648">
        <v>350079.51500000001</v>
      </c>
      <c r="AEV363" s="1648">
        <v>376736.01</v>
      </c>
      <c r="AEW363" s="1648">
        <v>382165.86499999999</v>
      </c>
      <c r="AEX363" s="1648">
        <v>356897.57900000003</v>
      </c>
      <c r="AEY363" s="635">
        <v>3961904</v>
      </c>
      <c r="AEZ363" s="633">
        <f>SUM(AEM363:AEX363)</f>
        <v>3961903.5018060002</v>
      </c>
      <c r="AFA363" s="919" t="s">
        <v>1837</v>
      </c>
      <c r="AFB363" s="1643" t="s">
        <v>1838</v>
      </c>
      <c r="AFC363" s="1648">
        <v>344028.50012699998</v>
      </c>
      <c r="AFD363" s="1648">
        <v>335387.28629100003</v>
      </c>
      <c r="AFE363" s="1648">
        <v>337602.67972299998</v>
      </c>
      <c r="AFF363" s="1648">
        <v>210440.148116</v>
      </c>
      <c r="AFG363" s="1648">
        <v>330912.82974800002</v>
      </c>
      <c r="AFH363" s="1648">
        <v>321507.96580100001</v>
      </c>
      <c r="AFI363" s="1648">
        <v>310040.96500000003</v>
      </c>
      <c r="AFJ363" s="1648">
        <v>306104.158</v>
      </c>
      <c r="AFK363" s="1648">
        <v>350079.51500000001</v>
      </c>
      <c r="AFL363" s="1648">
        <v>376736.01</v>
      </c>
      <c r="AFM363" s="1648">
        <v>382165.86499999999</v>
      </c>
      <c r="AFN363" s="1648">
        <v>356897.57900000003</v>
      </c>
      <c r="AFO363" s="635">
        <v>3961904</v>
      </c>
      <c r="AFP363" s="633">
        <f>SUM(AFC363:AFN363)</f>
        <v>3961903.5018060002</v>
      </c>
      <c r="AFQ363" s="919" t="s">
        <v>1837</v>
      </c>
      <c r="AFR363" s="1643" t="s">
        <v>1838</v>
      </c>
      <c r="AFS363" s="1648">
        <v>344028.50012699998</v>
      </c>
      <c r="AFT363" s="1648">
        <v>335387.28629100003</v>
      </c>
      <c r="AFU363" s="1648">
        <v>337602.67972299998</v>
      </c>
      <c r="AFV363" s="1648">
        <v>210440.148116</v>
      </c>
      <c r="AFW363" s="1648">
        <v>330912.82974800002</v>
      </c>
      <c r="AFX363" s="1648">
        <v>321507.96580100001</v>
      </c>
      <c r="AFY363" s="1648">
        <v>310040.96500000003</v>
      </c>
      <c r="AFZ363" s="1648">
        <v>306104.158</v>
      </c>
      <c r="AGA363" s="1648">
        <v>350079.51500000001</v>
      </c>
      <c r="AGB363" s="1648">
        <v>376736.01</v>
      </c>
      <c r="AGC363" s="1648">
        <v>382165.86499999999</v>
      </c>
      <c r="AGD363" s="1648">
        <v>356897.57900000003</v>
      </c>
      <c r="AGE363" s="635">
        <v>3961904</v>
      </c>
      <c r="AGF363" s="633">
        <f>SUM(AFS363:AGD363)</f>
        <v>3961903.5018060002</v>
      </c>
      <c r="AGG363" s="919" t="s">
        <v>1837</v>
      </c>
      <c r="AGH363" s="1643" t="s">
        <v>1838</v>
      </c>
      <c r="AGI363" s="1648">
        <v>344028.50012699998</v>
      </c>
      <c r="AGJ363" s="1648">
        <v>335387.28629100003</v>
      </c>
      <c r="AGK363" s="1648">
        <v>337602.67972299998</v>
      </c>
      <c r="AGL363" s="1648">
        <v>210440.148116</v>
      </c>
      <c r="AGM363" s="1648">
        <v>330912.82974800002</v>
      </c>
      <c r="AGN363" s="1648">
        <v>321507.96580100001</v>
      </c>
      <c r="AGO363" s="1648">
        <v>310040.96500000003</v>
      </c>
      <c r="AGP363" s="1648">
        <v>306104.158</v>
      </c>
      <c r="AGQ363" s="1648">
        <v>350079.51500000001</v>
      </c>
      <c r="AGR363" s="1648">
        <v>376736.01</v>
      </c>
      <c r="AGS363" s="1648">
        <v>382165.86499999999</v>
      </c>
      <c r="AGT363" s="1648">
        <v>356897.57900000003</v>
      </c>
      <c r="AGU363" s="635">
        <v>3961904</v>
      </c>
      <c r="AGV363" s="633">
        <f>SUM(AGI363:AGT363)</f>
        <v>3961903.5018060002</v>
      </c>
      <c r="AGW363" s="919" t="s">
        <v>1837</v>
      </c>
      <c r="AGX363" s="1643" t="s">
        <v>1838</v>
      </c>
      <c r="AGY363" s="1648">
        <v>344028.50012699998</v>
      </c>
      <c r="AGZ363" s="1648">
        <v>335387.28629100003</v>
      </c>
      <c r="AHA363" s="1648">
        <v>337602.67972299998</v>
      </c>
      <c r="AHB363" s="1648">
        <v>210440.148116</v>
      </c>
      <c r="AHC363" s="1648">
        <v>330912.82974800002</v>
      </c>
      <c r="AHD363" s="1648">
        <v>321507.96580100001</v>
      </c>
      <c r="AHE363" s="1648">
        <v>310040.96500000003</v>
      </c>
      <c r="AHF363" s="1648">
        <v>306104.158</v>
      </c>
      <c r="AHG363" s="1648">
        <v>350079.51500000001</v>
      </c>
      <c r="AHH363" s="1648">
        <v>376736.01</v>
      </c>
      <c r="AHI363" s="1648">
        <v>382165.86499999999</v>
      </c>
      <c r="AHJ363" s="1648">
        <v>356897.57900000003</v>
      </c>
      <c r="AHK363" s="635">
        <v>3961904</v>
      </c>
      <c r="AHL363" s="633">
        <f>SUM(AGY363:AHJ363)</f>
        <v>3961903.5018060002</v>
      </c>
      <c r="AHM363" s="919" t="s">
        <v>1837</v>
      </c>
      <c r="AHN363" s="1643" t="s">
        <v>1838</v>
      </c>
      <c r="AHO363" s="1648">
        <v>344028.50012699998</v>
      </c>
      <c r="AHP363" s="1648">
        <v>335387.28629100003</v>
      </c>
      <c r="AHQ363" s="1648">
        <v>337602.67972299998</v>
      </c>
      <c r="AHR363" s="1648">
        <v>210440.148116</v>
      </c>
      <c r="AHS363" s="1648">
        <v>330912.82974800002</v>
      </c>
      <c r="AHT363" s="1648">
        <v>321507.96580100001</v>
      </c>
      <c r="AHU363" s="1648">
        <v>310040.96500000003</v>
      </c>
      <c r="AHV363" s="1648">
        <v>306104.158</v>
      </c>
      <c r="AHW363" s="1648">
        <v>350079.51500000001</v>
      </c>
      <c r="AHX363" s="1648">
        <v>376736.01</v>
      </c>
      <c r="AHY363" s="1648">
        <v>382165.86499999999</v>
      </c>
      <c r="AHZ363" s="1648">
        <v>356897.57900000003</v>
      </c>
      <c r="AIA363" s="635">
        <v>3961904</v>
      </c>
      <c r="AIB363" s="633">
        <f>SUM(AHO363:AHZ363)</f>
        <v>3961903.5018060002</v>
      </c>
      <c r="AIC363" s="919" t="s">
        <v>1837</v>
      </c>
      <c r="AID363" s="1643" t="s">
        <v>1838</v>
      </c>
      <c r="AIE363" s="1648">
        <v>344028.50012699998</v>
      </c>
      <c r="AIF363" s="1648">
        <v>335387.28629100003</v>
      </c>
      <c r="AIG363" s="1648">
        <v>337602.67972299998</v>
      </c>
      <c r="AIH363" s="1648">
        <v>210440.148116</v>
      </c>
      <c r="AII363" s="1648">
        <v>330912.82974800002</v>
      </c>
      <c r="AIJ363" s="1648">
        <v>321507.96580100001</v>
      </c>
      <c r="AIK363" s="1648">
        <v>310040.96500000003</v>
      </c>
      <c r="AIL363" s="1648">
        <v>306104.158</v>
      </c>
      <c r="AIM363" s="1648">
        <v>350079.51500000001</v>
      </c>
      <c r="AIN363" s="1648">
        <v>376736.01</v>
      </c>
      <c r="AIO363" s="1648">
        <v>382165.86499999999</v>
      </c>
      <c r="AIP363" s="1648">
        <v>356897.57900000003</v>
      </c>
      <c r="AIQ363" s="635">
        <v>3961904</v>
      </c>
      <c r="AIR363" s="633">
        <f>SUM(AIE363:AIP363)</f>
        <v>3961903.5018060002</v>
      </c>
      <c r="AIS363" s="919" t="s">
        <v>1837</v>
      </c>
      <c r="AIT363" s="1643" t="s">
        <v>1838</v>
      </c>
      <c r="AIU363" s="1648">
        <v>344028.50012699998</v>
      </c>
      <c r="AIV363" s="1648">
        <v>335387.28629100003</v>
      </c>
      <c r="AIW363" s="1648">
        <v>337602.67972299998</v>
      </c>
      <c r="AIX363" s="1648">
        <v>210440.148116</v>
      </c>
      <c r="AIY363" s="1648">
        <v>330912.82974800002</v>
      </c>
      <c r="AIZ363" s="1648">
        <v>321507.96580100001</v>
      </c>
      <c r="AJA363" s="1648">
        <v>310040.96500000003</v>
      </c>
      <c r="AJB363" s="1648">
        <v>306104.158</v>
      </c>
      <c r="AJC363" s="1648">
        <v>350079.51500000001</v>
      </c>
      <c r="AJD363" s="1648">
        <v>376736.01</v>
      </c>
      <c r="AJE363" s="1648">
        <v>382165.86499999999</v>
      </c>
      <c r="AJF363" s="1648">
        <v>356897.57900000003</v>
      </c>
      <c r="AJG363" s="635">
        <v>3961904</v>
      </c>
      <c r="AJH363" s="633">
        <f>SUM(AIU363:AJF363)</f>
        <v>3961903.5018060002</v>
      </c>
      <c r="AJI363" s="919" t="s">
        <v>1837</v>
      </c>
      <c r="AJJ363" s="1643" t="s">
        <v>1838</v>
      </c>
      <c r="AJK363" s="1648">
        <v>344028.50012699998</v>
      </c>
      <c r="AJL363" s="1648">
        <v>335387.28629100003</v>
      </c>
      <c r="AJM363" s="1648">
        <v>337602.67972299998</v>
      </c>
      <c r="AJN363" s="1648">
        <v>210440.148116</v>
      </c>
      <c r="AJO363" s="1648">
        <v>330912.82974800002</v>
      </c>
      <c r="AJP363" s="1648">
        <v>321507.96580100001</v>
      </c>
      <c r="AJQ363" s="1648">
        <v>310040.96500000003</v>
      </c>
      <c r="AJR363" s="1648">
        <v>306104.158</v>
      </c>
      <c r="AJS363" s="1648">
        <v>350079.51500000001</v>
      </c>
      <c r="AJT363" s="1648">
        <v>376736.01</v>
      </c>
      <c r="AJU363" s="1648">
        <v>382165.86499999999</v>
      </c>
      <c r="AJV363" s="1648">
        <v>356897.57900000003</v>
      </c>
      <c r="AJW363" s="635">
        <v>3961904</v>
      </c>
      <c r="AJX363" s="633">
        <f>SUM(AJK363:AJV363)</f>
        <v>3961903.5018060002</v>
      </c>
      <c r="AJY363" s="919" t="s">
        <v>1837</v>
      </c>
      <c r="AJZ363" s="1643" t="s">
        <v>1838</v>
      </c>
      <c r="AKA363" s="1648">
        <v>344028.50012699998</v>
      </c>
      <c r="AKB363" s="1648">
        <v>335387.28629100003</v>
      </c>
      <c r="AKC363" s="1648">
        <v>337602.67972299998</v>
      </c>
      <c r="AKD363" s="1648">
        <v>210440.148116</v>
      </c>
      <c r="AKE363" s="1648">
        <v>330912.82974800002</v>
      </c>
      <c r="AKF363" s="1648">
        <v>321507.96580100001</v>
      </c>
      <c r="AKG363" s="1648">
        <v>310040.96500000003</v>
      </c>
      <c r="AKH363" s="1648">
        <v>306104.158</v>
      </c>
      <c r="AKI363" s="1648">
        <v>350079.51500000001</v>
      </c>
      <c r="AKJ363" s="1648">
        <v>376736.01</v>
      </c>
      <c r="AKK363" s="1648">
        <v>382165.86499999999</v>
      </c>
      <c r="AKL363" s="1648">
        <v>356897.57900000003</v>
      </c>
      <c r="AKM363" s="635">
        <v>3961904</v>
      </c>
      <c r="AKN363" s="633">
        <f>SUM(AKA363:AKL363)</f>
        <v>3961903.5018060002</v>
      </c>
      <c r="AKO363" s="919" t="s">
        <v>1837</v>
      </c>
      <c r="AKP363" s="1643" t="s">
        <v>1838</v>
      </c>
      <c r="AKQ363" s="1648">
        <v>344028.50012699998</v>
      </c>
      <c r="AKR363" s="1648">
        <v>335387.28629100003</v>
      </c>
      <c r="AKS363" s="1648">
        <v>337602.67972299998</v>
      </c>
      <c r="AKT363" s="1648">
        <v>210440.148116</v>
      </c>
      <c r="AKU363" s="1648">
        <v>330912.82974800002</v>
      </c>
      <c r="AKV363" s="1648">
        <v>321507.96580100001</v>
      </c>
      <c r="AKW363" s="1648">
        <v>310040.96500000003</v>
      </c>
      <c r="AKX363" s="1648">
        <v>306104.158</v>
      </c>
      <c r="AKY363" s="1648">
        <v>350079.51500000001</v>
      </c>
      <c r="AKZ363" s="1648">
        <v>376736.01</v>
      </c>
      <c r="ALA363" s="1648">
        <v>382165.86499999999</v>
      </c>
      <c r="ALB363" s="1648">
        <v>356897.57900000003</v>
      </c>
      <c r="ALC363" s="635">
        <v>3961904</v>
      </c>
      <c r="ALD363" s="633">
        <f>SUM(AKQ363:ALB363)</f>
        <v>3961903.5018060002</v>
      </c>
      <c r="ALE363" s="919" t="s">
        <v>1837</v>
      </c>
      <c r="ALF363" s="1643" t="s">
        <v>1838</v>
      </c>
      <c r="ALG363" s="1648">
        <v>344028.50012699998</v>
      </c>
      <c r="ALH363" s="1648">
        <v>335387.28629100003</v>
      </c>
      <c r="ALI363" s="1648">
        <v>337602.67972299998</v>
      </c>
      <c r="ALJ363" s="1648">
        <v>210440.148116</v>
      </c>
      <c r="ALK363" s="1648">
        <v>330912.82974800002</v>
      </c>
      <c r="ALL363" s="1648">
        <v>321507.96580100001</v>
      </c>
      <c r="ALM363" s="1648">
        <v>310040.96500000003</v>
      </c>
      <c r="ALN363" s="1648">
        <v>306104.158</v>
      </c>
      <c r="ALO363" s="1648">
        <v>350079.51500000001</v>
      </c>
      <c r="ALP363" s="1648">
        <v>376736.01</v>
      </c>
      <c r="ALQ363" s="1648">
        <v>382165.86499999999</v>
      </c>
      <c r="ALR363" s="1648">
        <v>356897.57900000003</v>
      </c>
      <c r="ALS363" s="635">
        <v>3961904</v>
      </c>
      <c r="ALT363" s="633">
        <f>SUM(ALG363:ALR363)</f>
        <v>3961903.5018060002</v>
      </c>
      <c r="ALU363" s="919" t="s">
        <v>1837</v>
      </c>
      <c r="ALV363" s="1643" t="s">
        <v>1838</v>
      </c>
      <c r="ALW363" s="1648">
        <v>344028.50012699998</v>
      </c>
      <c r="ALX363" s="1648">
        <v>335387.28629100003</v>
      </c>
      <c r="ALY363" s="1648">
        <v>337602.67972299998</v>
      </c>
      <c r="ALZ363" s="1648">
        <v>210440.148116</v>
      </c>
      <c r="AMA363" s="1648">
        <v>330912.82974800002</v>
      </c>
      <c r="AMB363" s="1648">
        <v>321507.96580100001</v>
      </c>
      <c r="AMC363" s="1648">
        <v>310040.96500000003</v>
      </c>
      <c r="AMD363" s="1648">
        <v>306104.158</v>
      </c>
      <c r="AME363" s="1648">
        <v>350079.51500000001</v>
      </c>
      <c r="AMF363" s="1648">
        <v>376736.01</v>
      </c>
      <c r="AMG363" s="1648">
        <v>382165.86499999999</v>
      </c>
      <c r="AMH363" s="1648">
        <v>356897.57900000003</v>
      </c>
      <c r="AMI363" s="635">
        <v>3961904</v>
      </c>
      <c r="AMJ363" s="633">
        <f>SUM(ALW363:AMH363)</f>
        <v>3961903.5018060002</v>
      </c>
      <c r="AMK363" s="919" t="s">
        <v>1837</v>
      </c>
      <c r="AML363" s="1643" t="s">
        <v>1838</v>
      </c>
      <c r="AMM363" s="1648">
        <v>344028.50012699998</v>
      </c>
      <c r="AMN363" s="1648">
        <v>335387.28629100003</v>
      </c>
      <c r="AMO363" s="1648">
        <v>337602.67972299998</v>
      </c>
      <c r="AMP363" s="1648">
        <v>210440.148116</v>
      </c>
      <c r="AMQ363" s="1648">
        <v>330912.82974800002</v>
      </c>
      <c r="AMR363" s="1648">
        <v>321507.96580100001</v>
      </c>
      <c r="AMS363" s="1648">
        <v>310040.96500000003</v>
      </c>
      <c r="AMT363" s="1648">
        <v>306104.158</v>
      </c>
      <c r="AMU363" s="1648">
        <v>350079.51500000001</v>
      </c>
      <c r="AMV363" s="1648">
        <v>376736.01</v>
      </c>
      <c r="AMW363" s="1648">
        <v>382165.86499999999</v>
      </c>
      <c r="AMX363" s="1648">
        <v>356897.57900000003</v>
      </c>
      <c r="AMY363" s="635">
        <v>3961904</v>
      </c>
      <c r="AMZ363" s="633">
        <f>SUM(AMM363:AMX363)</f>
        <v>3961903.5018060002</v>
      </c>
      <c r="ANA363" s="919" t="s">
        <v>1837</v>
      </c>
      <c r="ANB363" s="1643" t="s">
        <v>1838</v>
      </c>
      <c r="ANC363" s="1648">
        <v>344028.50012699998</v>
      </c>
      <c r="AND363" s="1648">
        <v>335387.28629100003</v>
      </c>
      <c r="ANE363" s="1648">
        <v>337602.67972299998</v>
      </c>
      <c r="ANF363" s="1648">
        <v>210440.148116</v>
      </c>
      <c r="ANG363" s="1648">
        <v>330912.82974800002</v>
      </c>
      <c r="ANH363" s="1648">
        <v>321507.96580100001</v>
      </c>
      <c r="ANI363" s="1648">
        <v>310040.96500000003</v>
      </c>
      <c r="ANJ363" s="1648">
        <v>306104.158</v>
      </c>
      <c r="ANK363" s="1648">
        <v>350079.51500000001</v>
      </c>
      <c r="ANL363" s="1648">
        <v>376736.01</v>
      </c>
      <c r="ANM363" s="1648">
        <v>382165.86499999999</v>
      </c>
      <c r="ANN363" s="1648">
        <v>356897.57900000003</v>
      </c>
      <c r="ANO363" s="635">
        <v>3961904</v>
      </c>
      <c r="ANP363" s="633">
        <f>SUM(ANC363:ANN363)</f>
        <v>3961903.5018060002</v>
      </c>
      <c r="ANQ363" s="919" t="s">
        <v>1837</v>
      </c>
      <c r="ANR363" s="1643" t="s">
        <v>1838</v>
      </c>
      <c r="ANS363" s="1648">
        <v>344028.50012699998</v>
      </c>
      <c r="ANT363" s="1648">
        <v>335387.28629100003</v>
      </c>
      <c r="ANU363" s="1648">
        <v>337602.67972299998</v>
      </c>
      <c r="ANV363" s="1648">
        <v>210440.148116</v>
      </c>
      <c r="ANW363" s="1648">
        <v>330912.82974800002</v>
      </c>
      <c r="ANX363" s="1648">
        <v>321507.96580100001</v>
      </c>
      <c r="ANY363" s="1648">
        <v>310040.96500000003</v>
      </c>
      <c r="ANZ363" s="1648">
        <v>306104.158</v>
      </c>
      <c r="AOA363" s="1648">
        <v>350079.51500000001</v>
      </c>
      <c r="AOB363" s="1648">
        <v>376736.01</v>
      </c>
      <c r="AOC363" s="1648">
        <v>382165.86499999999</v>
      </c>
      <c r="AOD363" s="1648">
        <v>356897.57900000003</v>
      </c>
      <c r="AOE363" s="635">
        <v>3961904</v>
      </c>
      <c r="AOF363" s="633">
        <f>SUM(ANS363:AOD363)</f>
        <v>3961903.5018060002</v>
      </c>
      <c r="AOG363" s="919" t="s">
        <v>1837</v>
      </c>
      <c r="AOH363" s="1643" t="s">
        <v>1838</v>
      </c>
      <c r="AOI363" s="1648">
        <v>344028.50012699998</v>
      </c>
      <c r="AOJ363" s="1648">
        <v>335387.28629100003</v>
      </c>
      <c r="AOK363" s="1648">
        <v>337602.67972299998</v>
      </c>
      <c r="AOL363" s="1648">
        <v>210440.148116</v>
      </c>
      <c r="AOM363" s="1648">
        <v>330912.82974800002</v>
      </c>
      <c r="AON363" s="1648">
        <v>321507.96580100001</v>
      </c>
      <c r="AOO363" s="1648">
        <v>310040.96500000003</v>
      </c>
      <c r="AOP363" s="1648">
        <v>306104.158</v>
      </c>
      <c r="AOQ363" s="1648">
        <v>350079.51500000001</v>
      </c>
      <c r="AOR363" s="1648">
        <v>376736.01</v>
      </c>
      <c r="AOS363" s="1648">
        <v>382165.86499999999</v>
      </c>
      <c r="AOT363" s="1648">
        <v>356897.57900000003</v>
      </c>
      <c r="AOU363" s="635">
        <v>3961904</v>
      </c>
      <c r="AOV363" s="633">
        <f>SUM(AOI363:AOT363)</f>
        <v>3961903.5018060002</v>
      </c>
      <c r="AOW363" s="919" t="s">
        <v>1837</v>
      </c>
      <c r="AOX363" s="1643" t="s">
        <v>1838</v>
      </c>
      <c r="AOY363" s="1648">
        <v>344028.50012699998</v>
      </c>
      <c r="AOZ363" s="1648">
        <v>335387.28629100003</v>
      </c>
      <c r="APA363" s="1648">
        <v>337602.67972299998</v>
      </c>
      <c r="APB363" s="1648">
        <v>210440.148116</v>
      </c>
      <c r="APC363" s="1648">
        <v>330912.82974800002</v>
      </c>
      <c r="APD363" s="1648">
        <v>321507.96580100001</v>
      </c>
      <c r="APE363" s="1648">
        <v>310040.96500000003</v>
      </c>
      <c r="APF363" s="1648">
        <v>306104.158</v>
      </c>
      <c r="APG363" s="1648">
        <v>350079.51500000001</v>
      </c>
      <c r="APH363" s="1648">
        <v>376736.01</v>
      </c>
      <c r="API363" s="1648">
        <v>382165.86499999999</v>
      </c>
      <c r="APJ363" s="1648">
        <v>356897.57900000003</v>
      </c>
      <c r="APK363" s="635">
        <v>3961904</v>
      </c>
      <c r="APL363" s="633">
        <f>SUM(AOY363:APJ363)</f>
        <v>3961903.5018060002</v>
      </c>
      <c r="APM363" s="919" t="s">
        <v>1837</v>
      </c>
      <c r="APN363" s="1643" t="s">
        <v>1838</v>
      </c>
      <c r="APO363" s="1648">
        <v>344028.50012699998</v>
      </c>
      <c r="APP363" s="1648">
        <v>335387.28629100003</v>
      </c>
      <c r="APQ363" s="1648">
        <v>337602.67972299998</v>
      </c>
      <c r="APR363" s="1648">
        <v>210440.148116</v>
      </c>
      <c r="APS363" s="1648">
        <v>330912.82974800002</v>
      </c>
      <c r="APT363" s="1648">
        <v>321507.96580100001</v>
      </c>
      <c r="APU363" s="1648">
        <v>310040.96500000003</v>
      </c>
      <c r="APV363" s="1648">
        <v>306104.158</v>
      </c>
      <c r="APW363" s="1648">
        <v>350079.51500000001</v>
      </c>
      <c r="APX363" s="1648">
        <v>376736.01</v>
      </c>
      <c r="APY363" s="1648">
        <v>382165.86499999999</v>
      </c>
      <c r="APZ363" s="1648">
        <v>356897.57900000003</v>
      </c>
      <c r="AQA363" s="635">
        <v>3961904</v>
      </c>
      <c r="AQB363" s="633">
        <f>SUM(APO363:APZ363)</f>
        <v>3961903.5018060002</v>
      </c>
      <c r="AQC363" s="919" t="s">
        <v>1837</v>
      </c>
      <c r="AQD363" s="1643" t="s">
        <v>1838</v>
      </c>
      <c r="AQE363" s="1648">
        <v>344028.50012699998</v>
      </c>
      <c r="AQF363" s="1648">
        <v>335387.28629100003</v>
      </c>
      <c r="AQG363" s="1648">
        <v>337602.67972299998</v>
      </c>
      <c r="AQH363" s="1648">
        <v>210440.148116</v>
      </c>
      <c r="AQI363" s="1648">
        <v>330912.82974800002</v>
      </c>
      <c r="AQJ363" s="1648">
        <v>321507.96580100001</v>
      </c>
      <c r="AQK363" s="1648">
        <v>310040.96500000003</v>
      </c>
      <c r="AQL363" s="1648">
        <v>306104.158</v>
      </c>
      <c r="AQM363" s="1648">
        <v>350079.51500000001</v>
      </c>
      <c r="AQN363" s="1648">
        <v>376736.01</v>
      </c>
      <c r="AQO363" s="1648">
        <v>382165.86499999999</v>
      </c>
      <c r="AQP363" s="1648">
        <v>356897.57900000003</v>
      </c>
      <c r="AQQ363" s="635">
        <v>3961904</v>
      </c>
      <c r="AQR363" s="633">
        <f>SUM(AQE363:AQP363)</f>
        <v>3961903.5018060002</v>
      </c>
      <c r="AQS363" s="919" t="s">
        <v>1837</v>
      </c>
      <c r="AQT363" s="1643" t="s">
        <v>1838</v>
      </c>
      <c r="AQU363" s="1648">
        <v>344028.50012699998</v>
      </c>
      <c r="AQV363" s="1648">
        <v>335387.28629100003</v>
      </c>
      <c r="AQW363" s="1648">
        <v>337602.67972299998</v>
      </c>
      <c r="AQX363" s="1648">
        <v>210440.148116</v>
      </c>
      <c r="AQY363" s="1648">
        <v>330912.82974800002</v>
      </c>
      <c r="AQZ363" s="1648">
        <v>321507.96580100001</v>
      </c>
      <c r="ARA363" s="1648">
        <v>310040.96500000003</v>
      </c>
      <c r="ARB363" s="1648">
        <v>306104.158</v>
      </c>
      <c r="ARC363" s="1648">
        <v>350079.51500000001</v>
      </c>
      <c r="ARD363" s="1648">
        <v>376736.01</v>
      </c>
      <c r="ARE363" s="1648">
        <v>382165.86499999999</v>
      </c>
      <c r="ARF363" s="1648">
        <v>356897.57900000003</v>
      </c>
      <c r="ARG363" s="635">
        <v>3961904</v>
      </c>
      <c r="ARH363" s="633">
        <f>SUM(AQU363:ARF363)</f>
        <v>3961903.5018060002</v>
      </c>
      <c r="ARI363" s="919" t="s">
        <v>1837</v>
      </c>
      <c r="ARJ363" s="1643" t="s">
        <v>1838</v>
      </c>
      <c r="ARK363" s="1648">
        <v>344028.50012699998</v>
      </c>
      <c r="ARL363" s="1648">
        <v>335387.28629100003</v>
      </c>
      <c r="ARM363" s="1648">
        <v>337602.67972299998</v>
      </c>
      <c r="ARN363" s="1648">
        <v>210440.148116</v>
      </c>
      <c r="ARO363" s="1648">
        <v>330912.82974800002</v>
      </c>
      <c r="ARP363" s="1648">
        <v>321507.96580100001</v>
      </c>
      <c r="ARQ363" s="1648">
        <v>310040.96500000003</v>
      </c>
      <c r="ARR363" s="1648">
        <v>306104.158</v>
      </c>
      <c r="ARS363" s="1648">
        <v>350079.51500000001</v>
      </c>
      <c r="ART363" s="1648">
        <v>376736.01</v>
      </c>
      <c r="ARU363" s="1648">
        <v>382165.86499999999</v>
      </c>
      <c r="ARV363" s="1648">
        <v>356897.57900000003</v>
      </c>
      <c r="ARW363" s="635">
        <v>3961904</v>
      </c>
      <c r="ARX363" s="633">
        <f>SUM(ARK363:ARV363)</f>
        <v>3961903.5018060002</v>
      </c>
      <c r="ARY363" s="919" t="s">
        <v>1837</v>
      </c>
      <c r="ARZ363" s="1643" t="s">
        <v>1838</v>
      </c>
      <c r="ASA363" s="1648">
        <v>344028.50012699998</v>
      </c>
      <c r="ASB363" s="1648">
        <v>335387.28629100003</v>
      </c>
      <c r="ASC363" s="1648">
        <v>337602.67972299998</v>
      </c>
      <c r="ASD363" s="1648">
        <v>210440.148116</v>
      </c>
      <c r="ASE363" s="1648">
        <v>330912.82974800002</v>
      </c>
      <c r="ASF363" s="1648">
        <v>321507.96580100001</v>
      </c>
      <c r="ASG363" s="1648">
        <v>310040.96500000003</v>
      </c>
      <c r="ASH363" s="1648">
        <v>306104.158</v>
      </c>
      <c r="ASI363" s="1648">
        <v>350079.51500000001</v>
      </c>
      <c r="ASJ363" s="1648">
        <v>376736.01</v>
      </c>
      <c r="ASK363" s="1648">
        <v>382165.86499999999</v>
      </c>
      <c r="ASL363" s="1648">
        <v>356897.57900000003</v>
      </c>
      <c r="ASM363" s="635">
        <v>3961904</v>
      </c>
      <c r="ASN363" s="633">
        <f>SUM(ASA363:ASL363)</f>
        <v>3961903.5018060002</v>
      </c>
      <c r="ASO363" s="919" t="s">
        <v>1837</v>
      </c>
      <c r="ASP363" s="1643" t="s">
        <v>1838</v>
      </c>
      <c r="ASQ363" s="1648">
        <v>344028.50012699998</v>
      </c>
      <c r="ASR363" s="1648">
        <v>335387.28629100003</v>
      </c>
      <c r="ASS363" s="1648">
        <v>337602.67972299998</v>
      </c>
      <c r="AST363" s="1648">
        <v>210440.148116</v>
      </c>
      <c r="ASU363" s="1648">
        <v>330912.82974800002</v>
      </c>
      <c r="ASV363" s="1648">
        <v>321507.96580100001</v>
      </c>
      <c r="ASW363" s="1648">
        <v>310040.96500000003</v>
      </c>
      <c r="ASX363" s="1648">
        <v>306104.158</v>
      </c>
      <c r="ASY363" s="1648">
        <v>350079.51500000001</v>
      </c>
      <c r="ASZ363" s="1648">
        <v>376736.01</v>
      </c>
      <c r="ATA363" s="1648">
        <v>382165.86499999999</v>
      </c>
      <c r="ATB363" s="1648">
        <v>356897.57900000003</v>
      </c>
      <c r="ATC363" s="635">
        <v>3961904</v>
      </c>
      <c r="ATD363" s="633">
        <f>SUM(ASQ363:ATB363)</f>
        <v>3961903.5018060002</v>
      </c>
      <c r="ATE363" s="919" t="s">
        <v>1837</v>
      </c>
      <c r="ATF363" s="1643" t="s">
        <v>1838</v>
      </c>
      <c r="ATG363" s="1648">
        <v>344028.50012699998</v>
      </c>
      <c r="ATH363" s="1648">
        <v>335387.28629100003</v>
      </c>
      <c r="ATI363" s="1648">
        <v>337602.67972299998</v>
      </c>
      <c r="ATJ363" s="1648">
        <v>210440.148116</v>
      </c>
      <c r="ATK363" s="1648">
        <v>330912.82974800002</v>
      </c>
      <c r="ATL363" s="1648">
        <v>321507.96580100001</v>
      </c>
      <c r="ATM363" s="1648">
        <v>310040.96500000003</v>
      </c>
      <c r="ATN363" s="1648">
        <v>306104.158</v>
      </c>
      <c r="ATO363" s="1648">
        <v>350079.51500000001</v>
      </c>
      <c r="ATP363" s="1648">
        <v>376736.01</v>
      </c>
      <c r="ATQ363" s="1648">
        <v>382165.86499999999</v>
      </c>
      <c r="ATR363" s="1648">
        <v>356897.57900000003</v>
      </c>
      <c r="ATS363" s="635">
        <v>3961904</v>
      </c>
      <c r="ATT363" s="633">
        <f>SUM(ATG363:ATR363)</f>
        <v>3961903.5018060002</v>
      </c>
      <c r="ATU363" s="919" t="s">
        <v>1837</v>
      </c>
      <c r="ATV363" s="1643" t="s">
        <v>1838</v>
      </c>
      <c r="ATW363" s="1648">
        <v>344028.50012699998</v>
      </c>
      <c r="ATX363" s="1648">
        <v>335387.28629100003</v>
      </c>
      <c r="ATY363" s="1648">
        <v>337602.67972299998</v>
      </c>
      <c r="ATZ363" s="1648">
        <v>210440.148116</v>
      </c>
      <c r="AUA363" s="1648">
        <v>330912.82974800002</v>
      </c>
      <c r="AUB363" s="1648">
        <v>321507.96580100001</v>
      </c>
      <c r="AUC363" s="1648">
        <v>310040.96500000003</v>
      </c>
      <c r="AUD363" s="1648">
        <v>306104.158</v>
      </c>
      <c r="AUE363" s="1648">
        <v>350079.51500000001</v>
      </c>
      <c r="AUF363" s="1648">
        <v>376736.01</v>
      </c>
      <c r="AUG363" s="1648">
        <v>382165.86499999999</v>
      </c>
      <c r="AUH363" s="1648">
        <v>356897.57900000003</v>
      </c>
      <c r="AUI363" s="635">
        <v>3961904</v>
      </c>
      <c r="AUJ363" s="633">
        <f>SUM(ATW363:AUH363)</f>
        <v>3961903.5018060002</v>
      </c>
      <c r="AUK363" s="919" t="s">
        <v>1837</v>
      </c>
      <c r="AUL363" s="1643" t="s">
        <v>1838</v>
      </c>
      <c r="AUM363" s="1648">
        <v>344028.50012699998</v>
      </c>
      <c r="AUN363" s="1648">
        <v>335387.28629100003</v>
      </c>
      <c r="AUO363" s="1648">
        <v>337602.67972299998</v>
      </c>
      <c r="AUP363" s="1648">
        <v>210440.148116</v>
      </c>
      <c r="AUQ363" s="1648">
        <v>330912.82974800002</v>
      </c>
      <c r="AUR363" s="1648">
        <v>321507.96580100001</v>
      </c>
      <c r="AUS363" s="1648">
        <v>310040.96500000003</v>
      </c>
      <c r="AUT363" s="1648">
        <v>306104.158</v>
      </c>
      <c r="AUU363" s="1648">
        <v>350079.51500000001</v>
      </c>
      <c r="AUV363" s="1648">
        <v>376736.01</v>
      </c>
      <c r="AUW363" s="1648">
        <v>382165.86499999999</v>
      </c>
      <c r="AUX363" s="1648">
        <v>356897.57900000003</v>
      </c>
      <c r="AUY363" s="635">
        <v>3961904</v>
      </c>
      <c r="AUZ363" s="633">
        <f>SUM(AUM363:AUX363)</f>
        <v>3961903.5018060002</v>
      </c>
      <c r="AVA363" s="919" t="s">
        <v>1837</v>
      </c>
      <c r="AVB363" s="1643" t="s">
        <v>1838</v>
      </c>
      <c r="AVC363" s="1648">
        <v>344028.50012699998</v>
      </c>
      <c r="AVD363" s="1648">
        <v>335387.28629100003</v>
      </c>
      <c r="AVE363" s="1648">
        <v>337602.67972299998</v>
      </c>
      <c r="AVF363" s="1648">
        <v>210440.148116</v>
      </c>
      <c r="AVG363" s="1648">
        <v>330912.82974800002</v>
      </c>
      <c r="AVH363" s="1648">
        <v>321507.96580100001</v>
      </c>
      <c r="AVI363" s="1648">
        <v>310040.96500000003</v>
      </c>
      <c r="AVJ363" s="1648">
        <v>306104.158</v>
      </c>
      <c r="AVK363" s="1648">
        <v>350079.51500000001</v>
      </c>
      <c r="AVL363" s="1648">
        <v>376736.01</v>
      </c>
      <c r="AVM363" s="1648">
        <v>382165.86499999999</v>
      </c>
      <c r="AVN363" s="1648">
        <v>356897.57900000003</v>
      </c>
      <c r="AVO363" s="635">
        <v>3961904</v>
      </c>
      <c r="AVP363" s="633">
        <f>SUM(AVC363:AVN363)</f>
        <v>3961903.5018060002</v>
      </c>
      <c r="AVQ363" s="919" t="s">
        <v>1837</v>
      </c>
      <c r="AVR363" s="1643" t="s">
        <v>1838</v>
      </c>
      <c r="AVS363" s="1648">
        <v>344028.50012699998</v>
      </c>
      <c r="AVT363" s="1648">
        <v>335387.28629100003</v>
      </c>
      <c r="AVU363" s="1648">
        <v>337602.67972299998</v>
      </c>
      <c r="AVV363" s="1648">
        <v>210440.148116</v>
      </c>
      <c r="AVW363" s="1648">
        <v>330912.82974800002</v>
      </c>
      <c r="AVX363" s="1648">
        <v>321507.96580100001</v>
      </c>
      <c r="AVY363" s="1648">
        <v>310040.96500000003</v>
      </c>
      <c r="AVZ363" s="1648">
        <v>306104.158</v>
      </c>
      <c r="AWA363" s="1648">
        <v>350079.51500000001</v>
      </c>
      <c r="AWB363" s="1648">
        <v>376736.01</v>
      </c>
      <c r="AWC363" s="1648">
        <v>382165.86499999999</v>
      </c>
      <c r="AWD363" s="1648">
        <v>356897.57900000003</v>
      </c>
      <c r="AWE363" s="635">
        <v>3961904</v>
      </c>
      <c r="AWF363" s="633">
        <f>SUM(AVS363:AWD363)</f>
        <v>3961903.5018060002</v>
      </c>
      <c r="AWG363" s="919" t="s">
        <v>1837</v>
      </c>
      <c r="AWH363" s="1643" t="s">
        <v>1838</v>
      </c>
      <c r="AWI363" s="1648">
        <v>344028.50012699998</v>
      </c>
      <c r="AWJ363" s="1648">
        <v>335387.28629100003</v>
      </c>
      <c r="AWK363" s="1648">
        <v>337602.67972299998</v>
      </c>
      <c r="AWL363" s="1648">
        <v>210440.148116</v>
      </c>
      <c r="AWM363" s="1648">
        <v>330912.82974800002</v>
      </c>
      <c r="AWN363" s="1648">
        <v>321507.96580100001</v>
      </c>
      <c r="AWO363" s="1648">
        <v>310040.96500000003</v>
      </c>
      <c r="AWP363" s="1648">
        <v>306104.158</v>
      </c>
      <c r="AWQ363" s="1648">
        <v>350079.51500000001</v>
      </c>
      <c r="AWR363" s="1648">
        <v>376736.01</v>
      </c>
      <c r="AWS363" s="1648">
        <v>382165.86499999999</v>
      </c>
      <c r="AWT363" s="1648">
        <v>356897.57900000003</v>
      </c>
      <c r="AWU363" s="635">
        <v>3961904</v>
      </c>
      <c r="AWV363" s="633">
        <f>SUM(AWI363:AWT363)</f>
        <v>3961903.5018060002</v>
      </c>
      <c r="AWW363" s="919" t="s">
        <v>1837</v>
      </c>
      <c r="AWX363" s="1643" t="s">
        <v>1838</v>
      </c>
      <c r="AWY363" s="1648">
        <v>344028.50012699998</v>
      </c>
      <c r="AWZ363" s="1648">
        <v>335387.28629100003</v>
      </c>
      <c r="AXA363" s="1648">
        <v>337602.67972299998</v>
      </c>
      <c r="AXB363" s="1648">
        <v>210440.148116</v>
      </c>
      <c r="AXC363" s="1648">
        <v>330912.82974800002</v>
      </c>
      <c r="AXD363" s="1648">
        <v>321507.96580100001</v>
      </c>
      <c r="AXE363" s="1648">
        <v>310040.96500000003</v>
      </c>
      <c r="AXF363" s="1648">
        <v>306104.158</v>
      </c>
      <c r="AXG363" s="1648">
        <v>350079.51500000001</v>
      </c>
      <c r="AXH363" s="1648">
        <v>376736.01</v>
      </c>
      <c r="AXI363" s="1648">
        <v>382165.86499999999</v>
      </c>
      <c r="AXJ363" s="1648">
        <v>356897.57900000003</v>
      </c>
      <c r="AXK363" s="635">
        <v>3961904</v>
      </c>
      <c r="AXL363" s="633">
        <f>SUM(AWY363:AXJ363)</f>
        <v>3961903.5018060002</v>
      </c>
      <c r="AXM363" s="919" t="s">
        <v>1837</v>
      </c>
      <c r="AXN363" s="1643" t="s">
        <v>1838</v>
      </c>
      <c r="AXO363" s="1648">
        <v>344028.50012699998</v>
      </c>
      <c r="AXP363" s="1648">
        <v>335387.28629100003</v>
      </c>
      <c r="AXQ363" s="1648">
        <v>337602.67972299998</v>
      </c>
      <c r="AXR363" s="1648">
        <v>210440.148116</v>
      </c>
      <c r="AXS363" s="1648">
        <v>330912.82974800002</v>
      </c>
      <c r="AXT363" s="1648">
        <v>321507.96580100001</v>
      </c>
      <c r="AXU363" s="1648">
        <v>310040.96500000003</v>
      </c>
      <c r="AXV363" s="1648">
        <v>306104.158</v>
      </c>
      <c r="AXW363" s="1648">
        <v>350079.51500000001</v>
      </c>
      <c r="AXX363" s="1648">
        <v>376736.01</v>
      </c>
      <c r="AXY363" s="1648">
        <v>382165.86499999999</v>
      </c>
      <c r="AXZ363" s="1648">
        <v>356897.57900000003</v>
      </c>
      <c r="AYA363" s="635">
        <v>3961904</v>
      </c>
      <c r="AYB363" s="633">
        <f>SUM(AXO363:AXZ363)</f>
        <v>3961903.5018060002</v>
      </c>
      <c r="AYC363" s="919" t="s">
        <v>1837</v>
      </c>
      <c r="AYD363" s="1643" t="s">
        <v>1838</v>
      </c>
      <c r="AYE363" s="1648">
        <v>344028.50012699998</v>
      </c>
      <c r="AYF363" s="1648">
        <v>335387.28629100003</v>
      </c>
      <c r="AYG363" s="1648">
        <v>337602.67972299998</v>
      </c>
      <c r="AYH363" s="1648">
        <v>210440.148116</v>
      </c>
      <c r="AYI363" s="1648">
        <v>330912.82974800002</v>
      </c>
      <c r="AYJ363" s="1648">
        <v>321507.96580100001</v>
      </c>
      <c r="AYK363" s="1648">
        <v>310040.96500000003</v>
      </c>
      <c r="AYL363" s="1648">
        <v>306104.158</v>
      </c>
      <c r="AYM363" s="1648">
        <v>350079.51500000001</v>
      </c>
      <c r="AYN363" s="1648">
        <v>376736.01</v>
      </c>
      <c r="AYO363" s="1648">
        <v>382165.86499999999</v>
      </c>
      <c r="AYP363" s="1648">
        <v>356897.57900000003</v>
      </c>
      <c r="AYQ363" s="635">
        <v>3961904</v>
      </c>
      <c r="AYR363" s="633">
        <f>SUM(AYE363:AYP363)</f>
        <v>3961903.5018060002</v>
      </c>
      <c r="AYS363" s="919" t="s">
        <v>1837</v>
      </c>
      <c r="AYT363" s="1643" t="s">
        <v>1838</v>
      </c>
      <c r="AYU363" s="1648">
        <v>344028.50012699998</v>
      </c>
      <c r="AYV363" s="1648">
        <v>335387.28629100003</v>
      </c>
      <c r="AYW363" s="1648">
        <v>337602.67972299998</v>
      </c>
      <c r="AYX363" s="1648">
        <v>210440.148116</v>
      </c>
      <c r="AYY363" s="1648">
        <v>330912.82974800002</v>
      </c>
      <c r="AYZ363" s="1648">
        <v>321507.96580100001</v>
      </c>
      <c r="AZA363" s="1648">
        <v>310040.96500000003</v>
      </c>
      <c r="AZB363" s="1648">
        <v>306104.158</v>
      </c>
      <c r="AZC363" s="1648">
        <v>350079.51500000001</v>
      </c>
      <c r="AZD363" s="1648">
        <v>376736.01</v>
      </c>
      <c r="AZE363" s="1648">
        <v>382165.86499999999</v>
      </c>
      <c r="AZF363" s="1648">
        <v>356897.57900000003</v>
      </c>
      <c r="AZG363" s="635">
        <v>3961904</v>
      </c>
      <c r="AZH363" s="633">
        <f>SUM(AYU363:AZF363)</f>
        <v>3961903.5018060002</v>
      </c>
      <c r="AZI363" s="919" t="s">
        <v>1837</v>
      </c>
      <c r="AZJ363" s="1643" t="s">
        <v>1838</v>
      </c>
      <c r="AZK363" s="1648">
        <v>344028.50012699998</v>
      </c>
      <c r="AZL363" s="1648">
        <v>335387.28629100003</v>
      </c>
      <c r="AZM363" s="1648">
        <v>337602.67972299998</v>
      </c>
      <c r="AZN363" s="1648">
        <v>210440.148116</v>
      </c>
      <c r="AZO363" s="1648">
        <v>330912.82974800002</v>
      </c>
      <c r="AZP363" s="1648">
        <v>321507.96580100001</v>
      </c>
      <c r="AZQ363" s="1648">
        <v>310040.96500000003</v>
      </c>
      <c r="AZR363" s="1648">
        <v>306104.158</v>
      </c>
      <c r="AZS363" s="1648">
        <v>350079.51500000001</v>
      </c>
      <c r="AZT363" s="1648">
        <v>376736.01</v>
      </c>
      <c r="AZU363" s="1648">
        <v>382165.86499999999</v>
      </c>
      <c r="AZV363" s="1648">
        <v>356897.57900000003</v>
      </c>
      <c r="AZW363" s="635">
        <v>3961904</v>
      </c>
      <c r="AZX363" s="633">
        <f>SUM(AZK363:AZV363)</f>
        <v>3961903.5018060002</v>
      </c>
      <c r="AZY363" s="919" t="s">
        <v>1837</v>
      </c>
      <c r="AZZ363" s="1643" t="s">
        <v>1838</v>
      </c>
      <c r="BAA363" s="1648">
        <v>344028.50012699998</v>
      </c>
      <c r="BAB363" s="1648">
        <v>335387.28629100003</v>
      </c>
      <c r="BAC363" s="1648">
        <v>337602.67972299998</v>
      </c>
      <c r="BAD363" s="1648">
        <v>210440.148116</v>
      </c>
      <c r="BAE363" s="1648">
        <v>330912.82974800002</v>
      </c>
      <c r="BAF363" s="1648">
        <v>321507.96580100001</v>
      </c>
      <c r="BAG363" s="1648">
        <v>310040.96500000003</v>
      </c>
      <c r="BAH363" s="1648">
        <v>306104.158</v>
      </c>
      <c r="BAI363" s="1648">
        <v>350079.51500000001</v>
      </c>
      <c r="BAJ363" s="1648">
        <v>376736.01</v>
      </c>
      <c r="BAK363" s="1648">
        <v>382165.86499999999</v>
      </c>
      <c r="BAL363" s="1648">
        <v>356897.57900000003</v>
      </c>
      <c r="BAM363" s="635">
        <v>3961904</v>
      </c>
      <c r="BAN363" s="633">
        <f>SUM(BAA363:BAL363)</f>
        <v>3961903.5018060002</v>
      </c>
      <c r="BAO363" s="919" t="s">
        <v>1837</v>
      </c>
      <c r="BAP363" s="1643" t="s">
        <v>1838</v>
      </c>
      <c r="BAQ363" s="1648">
        <v>344028.50012699998</v>
      </c>
      <c r="BAR363" s="1648">
        <v>335387.28629100003</v>
      </c>
      <c r="BAS363" s="1648">
        <v>337602.67972299998</v>
      </c>
      <c r="BAT363" s="1648">
        <v>210440.148116</v>
      </c>
      <c r="BAU363" s="1648">
        <v>330912.82974800002</v>
      </c>
      <c r="BAV363" s="1648">
        <v>321507.96580100001</v>
      </c>
      <c r="BAW363" s="1648">
        <v>310040.96500000003</v>
      </c>
      <c r="BAX363" s="1648">
        <v>306104.158</v>
      </c>
      <c r="BAY363" s="1648">
        <v>350079.51500000001</v>
      </c>
      <c r="BAZ363" s="1648">
        <v>376736.01</v>
      </c>
      <c r="BBA363" s="1648">
        <v>382165.86499999999</v>
      </c>
      <c r="BBB363" s="1648">
        <v>356897.57900000003</v>
      </c>
      <c r="BBC363" s="635">
        <v>3961904</v>
      </c>
      <c r="BBD363" s="633">
        <f>SUM(BAQ363:BBB363)</f>
        <v>3961903.5018060002</v>
      </c>
      <c r="BBE363" s="919" t="s">
        <v>1837</v>
      </c>
      <c r="BBF363" s="1643" t="s">
        <v>1838</v>
      </c>
      <c r="BBG363" s="1648">
        <v>344028.50012699998</v>
      </c>
      <c r="BBH363" s="1648">
        <v>335387.28629100003</v>
      </c>
      <c r="BBI363" s="1648">
        <v>337602.67972299998</v>
      </c>
      <c r="BBJ363" s="1648">
        <v>210440.148116</v>
      </c>
      <c r="BBK363" s="1648">
        <v>330912.82974800002</v>
      </c>
      <c r="BBL363" s="1648">
        <v>321507.96580100001</v>
      </c>
      <c r="BBM363" s="1648">
        <v>310040.96500000003</v>
      </c>
      <c r="BBN363" s="1648">
        <v>306104.158</v>
      </c>
      <c r="BBO363" s="1648">
        <v>350079.51500000001</v>
      </c>
      <c r="BBP363" s="1648">
        <v>376736.01</v>
      </c>
      <c r="BBQ363" s="1648">
        <v>382165.86499999999</v>
      </c>
      <c r="BBR363" s="1648">
        <v>356897.57900000003</v>
      </c>
      <c r="BBS363" s="635">
        <v>3961904</v>
      </c>
      <c r="BBT363" s="633">
        <f>SUM(BBG363:BBR363)</f>
        <v>3961903.5018060002</v>
      </c>
      <c r="BBU363" s="919" t="s">
        <v>1837</v>
      </c>
      <c r="BBV363" s="1643" t="s">
        <v>1838</v>
      </c>
      <c r="BBW363" s="1648">
        <v>344028.50012699998</v>
      </c>
      <c r="BBX363" s="1648">
        <v>335387.28629100003</v>
      </c>
      <c r="BBY363" s="1648">
        <v>337602.67972299998</v>
      </c>
      <c r="BBZ363" s="1648">
        <v>210440.148116</v>
      </c>
      <c r="BCA363" s="1648">
        <v>330912.82974800002</v>
      </c>
      <c r="BCB363" s="1648">
        <v>321507.96580100001</v>
      </c>
      <c r="BCC363" s="1648">
        <v>310040.96500000003</v>
      </c>
      <c r="BCD363" s="1648">
        <v>306104.158</v>
      </c>
      <c r="BCE363" s="1648">
        <v>350079.51500000001</v>
      </c>
      <c r="BCF363" s="1648">
        <v>376736.01</v>
      </c>
      <c r="BCG363" s="1648">
        <v>382165.86499999999</v>
      </c>
      <c r="BCH363" s="1648">
        <v>356897.57900000003</v>
      </c>
      <c r="BCI363" s="635">
        <v>3961904</v>
      </c>
      <c r="BCJ363" s="633">
        <f>SUM(BBW363:BCH363)</f>
        <v>3961903.5018060002</v>
      </c>
      <c r="BCK363" s="919" t="s">
        <v>1837</v>
      </c>
      <c r="BCL363" s="1643" t="s">
        <v>1838</v>
      </c>
      <c r="BCM363" s="1648">
        <v>344028.50012699998</v>
      </c>
      <c r="BCN363" s="1648">
        <v>335387.28629100003</v>
      </c>
      <c r="BCO363" s="1648">
        <v>337602.67972299998</v>
      </c>
      <c r="BCP363" s="1648">
        <v>210440.148116</v>
      </c>
      <c r="BCQ363" s="1648">
        <v>330912.82974800002</v>
      </c>
      <c r="BCR363" s="1648">
        <v>321507.96580100001</v>
      </c>
      <c r="BCS363" s="1648">
        <v>310040.96500000003</v>
      </c>
      <c r="BCT363" s="1648">
        <v>306104.158</v>
      </c>
      <c r="BCU363" s="1648">
        <v>350079.51500000001</v>
      </c>
      <c r="BCV363" s="1648">
        <v>376736.01</v>
      </c>
      <c r="BCW363" s="1648">
        <v>382165.86499999999</v>
      </c>
      <c r="BCX363" s="1648">
        <v>356897.57900000003</v>
      </c>
      <c r="BCY363" s="635">
        <v>3961904</v>
      </c>
      <c r="BCZ363" s="633">
        <f>SUM(BCM363:BCX363)</f>
        <v>3961903.5018060002</v>
      </c>
      <c r="BDA363" s="919" t="s">
        <v>1837</v>
      </c>
      <c r="BDB363" s="1643" t="s">
        <v>1838</v>
      </c>
      <c r="BDC363" s="1648">
        <v>344028.50012699998</v>
      </c>
      <c r="BDD363" s="1648">
        <v>335387.28629100003</v>
      </c>
      <c r="BDE363" s="1648">
        <v>337602.67972299998</v>
      </c>
      <c r="BDF363" s="1648">
        <v>210440.148116</v>
      </c>
      <c r="BDG363" s="1648">
        <v>330912.82974800002</v>
      </c>
      <c r="BDH363" s="1648">
        <v>321507.96580100001</v>
      </c>
      <c r="BDI363" s="1648">
        <v>310040.96500000003</v>
      </c>
      <c r="BDJ363" s="1648">
        <v>306104.158</v>
      </c>
      <c r="BDK363" s="1648">
        <v>350079.51500000001</v>
      </c>
      <c r="BDL363" s="1648">
        <v>376736.01</v>
      </c>
      <c r="BDM363" s="1648">
        <v>382165.86499999999</v>
      </c>
      <c r="BDN363" s="1648">
        <v>356897.57900000003</v>
      </c>
      <c r="BDO363" s="635">
        <v>3961904</v>
      </c>
      <c r="BDP363" s="633">
        <f>SUM(BDC363:BDN363)</f>
        <v>3961903.5018060002</v>
      </c>
      <c r="BDQ363" s="919" t="s">
        <v>1837</v>
      </c>
      <c r="BDR363" s="1643" t="s">
        <v>1838</v>
      </c>
      <c r="BDS363" s="1648">
        <v>344028.50012699998</v>
      </c>
      <c r="BDT363" s="1648">
        <v>335387.28629100003</v>
      </c>
      <c r="BDU363" s="1648">
        <v>337602.67972299998</v>
      </c>
      <c r="BDV363" s="1648">
        <v>210440.148116</v>
      </c>
      <c r="BDW363" s="1648">
        <v>330912.82974800002</v>
      </c>
      <c r="BDX363" s="1648">
        <v>321507.96580100001</v>
      </c>
      <c r="BDY363" s="1648">
        <v>310040.96500000003</v>
      </c>
      <c r="BDZ363" s="1648">
        <v>306104.158</v>
      </c>
      <c r="BEA363" s="1648">
        <v>350079.51500000001</v>
      </c>
      <c r="BEB363" s="1648">
        <v>376736.01</v>
      </c>
      <c r="BEC363" s="1648">
        <v>382165.86499999999</v>
      </c>
      <c r="BED363" s="1648">
        <v>356897.57900000003</v>
      </c>
      <c r="BEE363" s="635">
        <v>3961904</v>
      </c>
      <c r="BEF363" s="633">
        <f>SUM(BDS363:BED363)</f>
        <v>3961903.5018060002</v>
      </c>
      <c r="BEG363" s="919" t="s">
        <v>1837</v>
      </c>
      <c r="BEH363" s="1643" t="s">
        <v>1838</v>
      </c>
      <c r="BEI363" s="1648">
        <v>344028.50012699998</v>
      </c>
      <c r="BEJ363" s="1648">
        <v>335387.28629100003</v>
      </c>
      <c r="BEK363" s="1648">
        <v>337602.67972299998</v>
      </c>
      <c r="BEL363" s="1648">
        <v>210440.148116</v>
      </c>
      <c r="BEM363" s="1648">
        <v>330912.82974800002</v>
      </c>
      <c r="BEN363" s="1648">
        <v>321507.96580100001</v>
      </c>
      <c r="BEO363" s="1648">
        <v>310040.96500000003</v>
      </c>
      <c r="BEP363" s="1648">
        <v>306104.158</v>
      </c>
      <c r="BEQ363" s="1648">
        <v>350079.51500000001</v>
      </c>
      <c r="BER363" s="1648">
        <v>376736.01</v>
      </c>
      <c r="BES363" s="1648">
        <v>382165.86499999999</v>
      </c>
      <c r="BET363" s="1648">
        <v>356897.57900000003</v>
      </c>
      <c r="BEU363" s="635">
        <v>3961904</v>
      </c>
      <c r="BEV363" s="633">
        <f>SUM(BEI363:BET363)</f>
        <v>3961903.5018060002</v>
      </c>
      <c r="BEW363" s="919" t="s">
        <v>1837</v>
      </c>
      <c r="BEX363" s="1643" t="s">
        <v>1838</v>
      </c>
      <c r="BEY363" s="1648">
        <v>344028.50012699998</v>
      </c>
      <c r="BEZ363" s="1648">
        <v>335387.28629100003</v>
      </c>
      <c r="BFA363" s="1648">
        <v>337602.67972299998</v>
      </c>
      <c r="BFB363" s="1648">
        <v>210440.148116</v>
      </c>
      <c r="BFC363" s="1648">
        <v>330912.82974800002</v>
      </c>
      <c r="BFD363" s="1648">
        <v>321507.96580100001</v>
      </c>
      <c r="BFE363" s="1648">
        <v>310040.96500000003</v>
      </c>
      <c r="BFF363" s="1648">
        <v>306104.158</v>
      </c>
      <c r="BFG363" s="1648">
        <v>350079.51500000001</v>
      </c>
      <c r="BFH363" s="1648">
        <v>376736.01</v>
      </c>
      <c r="BFI363" s="1648">
        <v>382165.86499999999</v>
      </c>
      <c r="BFJ363" s="1648">
        <v>356897.57900000003</v>
      </c>
      <c r="BFK363" s="635">
        <v>3961904</v>
      </c>
      <c r="BFL363" s="633">
        <f>SUM(BEY363:BFJ363)</f>
        <v>3961903.5018060002</v>
      </c>
      <c r="BFM363" s="919" t="s">
        <v>1837</v>
      </c>
      <c r="BFN363" s="1643" t="s">
        <v>1838</v>
      </c>
      <c r="BFO363" s="1648">
        <v>344028.50012699998</v>
      </c>
      <c r="BFP363" s="1648">
        <v>335387.28629100003</v>
      </c>
      <c r="BFQ363" s="1648">
        <v>337602.67972299998</v>
      </c>
      <c r="BFR363" s="1648">
        <v>210440.148116</v>
      </c>
      <c r="BFS363" s="1648">
        <v>330912.82974800002</v>
      </c>
      <c r="BFT363" s="1648">
        <v>321507.96580100001</v>
      </c>
      <c r="BFU363" s="1648">
        <v>310040.96500000003</v>
      </c>
      <c r="BFV363" s="1648">
        <v>306104.158</v>
      </c>
      <c r="BFW363" s="1648">
        <v>350079.51500000001</v>
      </c>
      <c r="BFX363" s="1648">
        <v>376736.01</v>
      </c>
      <c r="BFY363" s="1648">
        <v>382165.86499999999</v>
      </c>
      <c r="BFZ363" s="1648">
        <v>356897.57900000003</v>
      </c>
      <c r="BGA363" s="635">
        <v>3961904</v>
      </c>
      <c r="BGB363" s="633">
        <f>SUM(BFO363:BFZ363)</f>
        <v>3961903.5018060002</v>
      </c>
      <c r="BGC363" s="919" t="s">
        <v>1837</v>
      </c>
      <c r="BGD363" s="1643" t="s">
        <v>1838</v>
      </c>
      <c r="BGE363" s="1648">
        <v>344028.50012699998</v>
      </c>
      <c r="BGF363" s="1648">
        <v>335387.28629100003</v>
      </c>
      <c r="BGG363" s="1648">
        <v>337602.67972299998</v>
      </c>
      <c r="BGH363" s="1648">
        <v>210440.148116</v>
      </c>
      <c r="BGI363" s="1648">
        <v>330912.82974800002</v>
      </c>
      <c r="BGJ363" s="1648">
        <v>321507.96580100001</v>
      </c>
      <c r="BGK363" s="1648">
        <v>310040.96500000003</v>
      </c>
      <c r="BGL363" s="1648">
        <v>306104.158</v>
      </c>
      <c r="BGM363" s="1648">
        <v>350079.51500000001</v>
      </c>
      <c r="BGN363" s="1648">
        <v>376736.01</v>
      </c>
      <c r="BGO363" s="1648">
        <v>382165.86499999999</v>
      </c>
      <c r="BGP363" s="1648">
        <v>356897.57900000003</v>
      </c>
      <c r="BGQ363" s="635">
        <v>3961904</v>
      </c>
      <c r="BGR363" s="633">
        <f>SUM(BGE363:BGP363)</f>
        <v>3961903.5018060002</v>
      </c>
      <c r="BGS363" s="919" t="s">
        <v>1837</v>
      </c>
      <c r="BGT363" s="1643" t="s">
        <v>1838</v>
      </c>
      <c r="BGU363" s="1648">
        <v>344028.50012699998</v>
      </c>
      <c r="BGV363" s="1648">
        <v>335387.28629100003</v>
      </c>
      <c r="BGW363" s="1648">
        <v>337602.67972299998</v>
      </c>
      <c r="BGX363" s="1648">
        <v>210440.148116</v>
      </c>
      <c r="BGY363" s="1648">
        <v>330912.82974800002</v>
      </c>
      <c r="BGZ363" s="1648">
        <v>321507.96580100001</v>
      </c>
      <c r="BHA363" s="1648">
        <v>310040.96500000003</v>
      </c>
      <c r="BHB363" s="1648">
        <v>306104.158</v>
      </c>
      <c r="BHC363" s="1648">
        <v>350079.51500000001</v>
      </c>
      <c r="BHD363" s="1648">
        <v>376736.01</v>
      </c>
      <c r="BHE363" s="1648">
        <v>382165.86499999999</v>
      </c>
      <c r="BHF363" s="1648">
        <v>356897.57900000003</v>
      </c>
      <c r="BHG363" s="635">
        <v>3961904</v>
      </c>
      <c r="BHH363" s="633">
        <f>SUM(BGU363:BHF363)</f>
        <v>3961903.5018060002</v>
      </c>
      <c r="BHI363" s="919" t="s">
        <v>1837</v>
      </c>
      <c r="BHJ363" s="1643" t="s">
        <v>1838</v>
      </c>
      <c r="BHK363" s="1648">
        <v>344028.50012699998</v>
      </c>
      <c r="BHL363" s="1648">
        <v>335387.28629100003</v>
      </c>
      <c r="BHM363" s="1648">
        <v>337602.67972299998</v>
      </c>
      <c r="BHN363" s="1648">
        <v>210440.148116</v>
      </c>
      <c r="BHO363" s="1648">
        <v>330912.82974800002</v>
      </c>
      <c r="BHP363" s="1648">
        <v>321507.96580100001</v>
      </c>
      <c r="BHQ363" s="1648">
        <v>310040.96500000003</v>
      </c>
      <c r="BHR363" s="1648">
        <v>306104.158</v>
      </c>
      <c r="BHS363" s="1648">
        <v>350079.51500000001</v>
      </c>
      <c r="BHT363" s="1648">
        <v>376736.01</v>
      </c>
      <c r="BHU363" s="1648">
        <v>382165.86499999999</v>
      </c>
      <c r="BHV363" s="1648">
        <v>356897.57900000003</v>
      </c>
      <c r="BHW363" s="635">
        <v>3961904</v>
      </c>
      <c r="BHX363" s="633">
        <f>SUM(BHK363:BHV363)</f>
        <v>3961903.5018060002</v>
      </c>
      <c r="BHY363" s="919" t="s">
        <v>1837</v>
      </c>
      <c r="BHZ363" s="1643" t="s">
        <v>1838</v>
      </c>
      <c r="BIA363" s="1648">
        <v>344028.50012699998</v>
      </c>
      <c r="BIB363" s="1648">
        <v>335387.28629100003</v>
      </c>
      <c r="BIC363" s="1648">
        <v>337602.67972299998</v>
      </c>
      <c r="BID363" s="1648">
        <v>210440.148116</v>
      </c>
      <c r="BIE363" s="1648">
        <v>330912.82974800002</v>
      </c>
      <c r="BIF363" s="1648">
        <v>321507.96580100001</v>
      </c>
      <c r="BIG363" s="1648">
        <v>310040.96500000003</v>
      </c>
      <c r="BIH363" s="1648">
        <v>306104.158</v>
      </c>
      <c r="BII363" s="1648">
        <v>350079.51500000001</v>
      </c>
      <c r="BIJ363" s="1648">
        <v>376736.01</v>
      </c>
      <c r="BIK363" s="1648">
        <v>382165.86499999999</v>
      </c>
      <c r="BIL363" s="1648">
        <v>356897.57900000003</v>
      </c>
      <c r="BIM363" s="635">
        <v>3961904</v>
      </c>
      <c r="BIN363" s="633">
        <f>SUM(BIA363:BIL363)</f>
        <v>3961903.5018060002</v>
      </c>
      <c r="BIO363" s="919" t="s">
        <v>1837</v>
      </c>
      <c r="BIP363" s="1643" t="s">
        <v>1838</v>
      </c>
      <c r="BIQ363" s="1648">
        <v>344028.50012699998</v>
      </c>
      <c r="BIR363" s="1648">
        <v>335387.28629100003</v>
      </c>
      <c r="BIS363" s="1648">
        <v>337602.67972299998</v>
      </c>
      <c r="BIT363" s="1648">
        <v>210440.148116</v>
      </c>
      <c r="BIU363" s="1648">
        <v>330912.82974800002</v>
      </c>
      <c r="BIV363" s="1648">
        <v>321507.96580100001</v>
      </c>
      <c r="BIW363" s="1648">
        <v>310040.96500000003</v>
      </c>
      <c r="BIX363" s="1648">
        <v>306104.158</v>
      </c>
      <c r="BIY363" s="1648">
        <v>350079.51500000001</v>
      </c>
      <c r="BIZ363" s="1648">
        <v>376736.01</v>
      </c>
      <c r="BJA363" s="1648">
        <v>382165.86499999999</v>
      </c>
      <c r="BJB363" s="1648">
        <v>356897.57900000003</v>
      </c>
      <c r="BJC363" s="635">
        <v>3961904</v>
      </c>
      <c r="BJD363" s="633">
        <f>SUM(BIQ363:BJB363)</f>
        <v>3961903.5018060002</v>
      </c>
      <c r="BJE363" s="919" t="s">
        <v>1837</v>
      </c>
      <c r="BJF363" s="1643" t="s">
        <v>1838</v>
      </c>
      <c r="BJG363" s="1648">
        <v>344028.50012699998</v>
      </c>
      <c r="BJH363" s="1648">
        <v>335387.28629100003</v>
      </c>
      <c r="BJI363" s="1648">
        <v>337602.67972299998</v>
      </c>
      <c r="BJJ363" s="1648">
        <v>210440.148116</v>
      </c>
      <c r="BJK363" s="1648">
        <v>330912.82974800002</v>
      </c>
      <c r="BJL363" s="1648">
        <v>321507.96580100001</v>
      </c>
      <c r="BJM363" s="1648">
        <v>310040.96500000003</v>
      </c>
      <c r="BJN363" s="1648">
        <v>306104.158</v>
      </c>
      <c r="BJO363" s="1648">
        <v>350079.51500000001</v>
      </c>
      <c r="BJP363" s="1648">
        <v>376736.01</v>
      </c>
      <c r="BJQ363" s="1648">
        <v>382165.86499999999</v>
      </c>
      <c r="BJR363" s="1648">
        <v>356897.57900000003</v>
      </c>
      <c r="BJS363" s="635">
        <v>3961904</v>
      </c>
      <c r="BJT363" s="633">
        <f>SUM(BJG363:BJR363)</f>
        <v>3961903.5018060002</v>
      </c>
      <c r="BJU363" s="919" t="s">
        <v>1837</v>
      </c>
      <c r="BJV363" s="1643" t="s">
        <v>1838</v>
      </c>
      <c r="BJW363" s="1648">
        <v>344028.50012699998</v>
      </c>
      <c r="BJX363" s="1648">
        <v>335387.28629100003</v>
      </c>
      <c r="BJY363" s="1648">
        <v>337602.67972299998</v>
      </c>
      <c r="BJZ363" s="1648">
        <v>210440.148116</v>
      </c>
      <c r="BKA363" s="1648">
        <v>330912.82974800002</v>
      </c>
      <c r="BKB363" s="1648">
        <v>321507.96580100001</v>
      </c>
      <c r="BKC363" s="1648">
        <v>310040.96500000003</v>
      </c>
      <c r="BKD363" s="1648">
        <v>306104.158</v>
      </c>
      <c r="BKE363" s="1648">
        <v>350079.51500000001</v>
      </c>
      <c r="BKF363" s="1648">
        <v>376736.01</v>
      </c>
      <c r="BKG363" s="1648">
        <v>382165.86499999999</v>
      </c>
      <c r="BKH363" s="1648">
        <v>356897.57900000003</v>
      </c>
      <c r="BKI363" s="635">
        <v>3961904</v>
      </c>
      <c r="BKJ363" s="633">
        <f>SUM(BJW363:BKH363)</f>
        <v>3961903.5018060002</v>
      </c>
      <c r="BKK363" s="919" t="s">
        <v>1837</v>
      </c>
      <c r="BKL363" s="1643" t="s">
        <v>1838</v>
      </c>
      <c r="BKM363" s="1648">
        <v>344028.50012699998</v>
      </c>
      <c r="BKN363" s="1648">
        <v>335387.28629100003</v>
      </c>
      <c r="BKO363" s="1648">
        <v>337602.67972299998</v>
      </c>
      <c r="BKP363" s="1648">
        <v>210440.148116</v>
      </c>
      <c r="BKQ363" s="1648">
        <v>330912.82974800002</v>
      </c>
      <c r="BKR363" s="1648">
        <v>321507.96580100001</v>
      </c>
      <c r="BKS363" s="1648">
        <v>310040.96500000003</v>
      </c>
      <c r="BKT363" s="1648">
        <v>306104.158</v>
      </c>
      <c r="BKU363" s="1648">
        <v>350079.51500000001</v>
      </c>
      <c r="BKV363" s="1648">
        <v>376736.01</v>
      </c>
      <c r="BKW363" s="1648">
        <v>382165.86499999999</v>
      </c>
      <c r="BKX363" s="1648">
        <v>356897.57900000003</v>
      </c>
      <c r="BKY363" s="635">
        <v>3961904</v>
      </c>
      <c r="BKZ363" s="633">
        <f>SUM(BKM363:BKX363)</f>
        <v>3961903.5018060002</v>
      </c>
      <c r="BLA363" s="919" t="s">
        <v>1837</v>
      </c>
      <c r="BLB363" s="1643" t="s">
        <v>1838</v>
      </c>
      <c r="BLC363" s="1648">
        <v>344028.50012699998</v>
      </c>
      <c r="BLD363" s="1648">
        <v>335387.28629100003</v>
      </c>
      <c r="BLE363" s="1648">
        <v>337602.67972299998</v>
      </c>
      <c r="BLF363" s="1648">
        <v>210440.148116</v>
      </c>
      <c r="BLG363" s="1648">
        <v>330912.82974800002</v>
      </c>
      <c r="BLH363" s="1648">
        <v>321507.96580100001</v>
      </c>
      <c r="BLI363" s="1648">
        <v>310040.96500000003</v>
      </c>
      <c r="BLJ363" s="1648">
        <v>306104.158</v>
      </c>
      <c r="BLK363" s="1648">
        <v>350079.51500000001</v>
      </c>
      <c r="BLL363" s="1648">
        <v>376736.01</v>
      </c>
      <c r="BLM363" s="1648">
        <v>382165.86499999999</v>
      </c>
      <c r="BLN363" s="1648">
        <v>356897.57900000003</v>
      </c>
      <c r="BLO363" s="635">
        <v>3961904</v>
      </c>
      <c r="BLP363" s="633">
        <f>SUM(BLC363:BLN363)</f>
        <v>3961903.5018060002</v>
      </c>
      <c r="BLQ363" s="919" t="s">
        <v>1837</v>
      </c>
      <c r="BLR363" s="1643" t="s">
        <v>1838</v>
      </c>
      <c r="BLS363" s="1648">
        <v>344028.50012699998</v>
      </c>
      <c r="BLT363" s="1648">
        <v>335387.28629100003</v>
      </c>
      <c r="BLU363" s="1648">
        <v>337602.67972299998</v>
      </c>
      <c r="BLV363" s="1648">
        <v>210440.148116</v>
      </c>
      <c r="BLW363" s="1648">
        <v>330912.82974800002</v>
      </c>
      <c r="BLX363" s="1648">
        <v>321507.96580100001</v>
      </c>
      <c r="BLY363" s="1648">
        <v>310040.96500000003</v>
      </c>
      <c r="BLZ363" s="1648">
        <v>306104.158</v>
      </c>
      <c r="BMA363" s="1648">
        <v>350079.51500000001</v>
      </c>
      <c r="BMB363" s="1648">
        <v>376736.01</v>
      </c>
      <c r="BMC363" s="1648">
        <v>382165.86499999999</v>
      </c>
      <c r="BMD363" s="1648">
        <v>356897.57900000003</v>
      </c>
      <c r="BME363" s="635">
        <v>3961904</v>
      </c>
      <c r="BMF363" s="633">
        <f>SUM(BLS363:BMD363)</f>
        <v>3961903.5018060002</v>
      </c>
      <c r="BMG363" s="919" t="s">
        <v>1837</v>
      </c>
      <c r="BMH363" s="1643" t="s">
        <v>1838</v>
      </c>
      <c r="BMI363" s="1648">
        <v>344028.50012699998</v>
      </c>
      <c r="BMJ363" s="1648">
        <v>335387.28629100003</v>
      </c>
      <c r="BMK363" s="1648">
        <v>337602.67972299998</v>
      </c>
      <c r="BML363" s="1648">
        <v>210440.148116</v>
      </c>
      <c r="BMM363" s="1648">
        <v>330912.82974800002</v>
      </c>
      <c r="BMN363" s="1648">
        <v>321507.96580100001</v>
      </c>
      <c r="BMO363" s="1648">
        <v>310040.96500000003</v>
      </c>
      <c r="BMP363" s="1648">
        <v>306104.158</v>
      </c>
      <c r="BMQ363" s="1648">
        <v>350079.51500000001</v>
      </c>
      <c r="BMR363" s="1648">
        <v>376736.01</v>
      </c>
      <c r="BMS363" s="1648">
        <v>382165.86499999999</v>
      </c>
      <c r="BMT363" s="1648">
        <v>356897.57900000003</v>
      </c>
      <c r="BMU363" s="635">
        <v>3961904</v>
      </c>
      <c r="BMV363" s="633">
        <f>SUM(BMI363:BMT363)</f>
        <v>3961903.5018060002</v>
      </c>
      <c r="BMW363" s="919" t="s">
        <v>1837</v>
      </c>
      <c r="BMX363" s="1643" t="s">
        <v>1838</v>
      </c>
      <c r="BMY363" s="1648">
        <v>344028.50012699998</v>
      </c>
      <c r="BMZ363" s="1648">
        <v>335387.28629100003</v>
      </c>
      <c r="BNA363" s="1648">
        <v>337602.67972299998</v>
      </c>
      <c r="BNB363" s="1648">
        <v>210440.148116</v>
      </c>
      <c r="BNC363" s="1648">
        <v>330912.82974800002</v>
      </c>
      <c r="BND363" s="1648">
        <v>321507.96580100001</v>
      </c>
      <c r="BNE363" s="1648">
        <v>310040.96500000003</v>
      </c>
      <c r="BNF363" s="1648">
        <v>306104.158</v>
      </c>
      <c r="BNG363" s="1648">
        <v>350079.51500000001</v>
      </c>
      <c r="BNH363" s="1648">
        <v>376736.01</v>
      </c>
      <c r="BNI363" s="1648">
        <v>382165.86499999999</v>
      </c>
      <c r="BNJ363" s="1648">
        <v>356897.57900000003</v>
      </c>
      <c r="BNK363" s="635">
        <v>3961904</v>
      </c>
      <c r="BNL363" s="633">
        <f>SUM(BMY363:BNJ363)</f>
        <v>3961903.5018060002</v>
      </c>
      <c r="BNM363" s="919" t="s">
        <v>1837</v>
      </c>
      <c r="BNN363" s="1643" t="s">
        <v>1838</v>
      </c>
      <c r="BNO363" s="1648">
        <v>344028.50012699998</v>
      </c>
      <c r="BNP363" s="1648">
        <v>335387.28629100003</v>
      </c>
      <c r="BNQ363" s="1648">
        <v>337602.67972299998</v>
      </c>
      <c r="BNR363" s="1648">
        <v>210440.148116</v>
      </c>
      <c r="BNS363" s="1648">
        <v>330912.82974800002</v>
      </c>
      <c r="BNT363" s="1648">
        <v>321507.96580100001</v>
      </c>
      <c r="BNU363" s="1648">
        <v>310040.96500000003</v>
      </c>
      <c r="BNV363" s="1648">
        <v>306104.158</v>
      </c>
      <c r="BNW363" s="1648">
        <v>350079.51500000001</v>
      </c>
      <c r="BNX363" s="1648">
        <v>376736.01</v>
      </c>
      <c r="BNY363" s="1648">
        <v>382165.86499999999</v>
      </c>
      <c r="BNZ363" s="1648">
        <v>356897.57900000003</v>
      </c>
      <c r="BOA363" s="635">
        <v>3961904</v>
      </c>
      <c r="BOB363" s="633">
        <f>SUM(BNO363:BNZ363)</f>
        <v>3961903.5018060002</v>
      </c>
      <c r="BOC363" s="919" t="s">
        <v>1837</v>
      </c>
      <c r="BOD363" s="1643" t="s">
        <v>1838</v>
      </c>
      <c r="BOE363" s="1648">
        <v>344028.50012699998</v>
      </c>
      <c r="BOF363" s="1648">
        <v>335387.28629100003</v>
      </c>
      <c r="BOG363" s="1648">
        <v>337602.67972299998</v>
      </c>
      <c r="BOH363" s="1648">
        <v>210440.148116</v>
      </c>
      <c r="BOI363" s="1648">
        <v>330912.82974800002</v>
      </c>
      <c r="BOJ363" s="1648">
        <v>321507.96580100001</v>
      </c>
      <c r="BOK363" s="1648">
        <v>310040.96500000003</v>
      </c>
      <c r="BOL363" s="1648">
        <v>306104.158</v>
      </c>
      <c r="BOM363" s="1648">
        <v>350079.51500000001</v>
      </c>
      <c r="BON363" s="1648">
        <v>376736.01</v>
      </c>
      <c r="BOO363" s="1648">
        <v>382165.86499999999</v>
      </c>
      <c r="BOP363" s="1648">
        <v>356897.57900000003</v>
      </c>
      <c r="BOQ363" s="635">
        <v>3961904</v>
      </c>
      <c r="BOR363" s="633">
        <f>SUM(BOE363:BOP363)</f>
        <v>3961903.5018060002</v>
      </c>
      <c r="BOS363" s="919" t="s">
        <v>1837</v>
      </c>
      <c r="BOT363" s="1643" t="s">
        <v>1838</v>
      </c>
      <c r="BOU363" s="1648">
        <v>344028.50012699998</v>
      </c>
      <c r="BOV363" s="1648">
        <v>335387.28629100003</v>
      </c>
      <c r="BOW363" s="1648">
        <v>337602.67972299998</v>
      </c>
      <c r="BOX363" s="1648">
        <v>210440.148116</v>
      </c>
      <c r="BOY363" s="1648">
        <v>330912.82974800002</v>
      </c>
      <c r="BOZ363" s="1648">
        <v>321507.96580100001</v>
      </c>
      <c r="BPA363" s="1648">
        <v>310040.96500000003</v>
      </c>
      <c r="BPB363" s="1648">
        <v>306104.158</v>
      </c>
      <c r="BPC363" s="1648">
        <v>350079.51500000001</v>
      </c>
      <c r="BPD363" s="1648">
        <v>376736.01</v>
      </c>
      <c r="BPE363" s="1648">
        <v>382165.86499999999</v>
      </c>
      <c r="BPF363" s="1648">
        <v>356897.57900000003</v>
      </c>
      <c r="BPG363" s="635">
        <v>3961904</v>
      </c>
      <c r="BPH363" s="633">
        <f>SUM(BOU363:BPF363)</f>
        <v>3961903.5018060002</v>
      </c>
      <c r="BPI363" s="919" t="s">
        <v>1837</v>
      </c>
      <c r="BPJ363" s="1643" t="s">
        <v>1838</v>
      </c>
      <c r="BPK363" s="1648">
        <v>344028.50012699998</v>
      </c>
      <c r="BPL363" s="1648">
        <v>335387.28629100003</v>
      </c>
      <c r="BPM363" s="1648">
        <v>337602.67972299998</v>
      </c>
      <c r="BPN363" s="1648">
        <v>210440.148116</v>
      </c>
      <c r="BPO363" s="1648">
        <v>330912.82974800002</v>
      </c>
      <c r="BPP363" s="1648">
        <v>321507.96580100001</v>
      </c>
      <c r="BPQ363" s="1648">
        <v>310040.96500000003</v>
      </c>
      <c r="BPR363" s="1648">
        <v>306104.158</v>
      </c>
      <c r="BPS363" s="1648">
        <v>350079.51500000001</v>
      </c>
      <c r="BPT363" s="1648">
        <v>376736.01</v>
      </c>
      <c r="BPU363" s="1648">
        <v>382165.86499999999</v>
      </c>
      <c r="BPV363" s="1648">
        <v>356897.57900000003</v>
      </c>
      <c r="BPW363" s="635">
        <v>3961904</v>
      </c>
      <c r="BPX363" s="633">
        <f>SUM(BPK363:BPV363)</f>
        <v>3961903.5018060002</v>
      </c>
      <c r="BPY363" s="919" t="s">
        <v>1837</v>
      </c>
      <c r="BPZ363" s="1643" t="s">
        <v>1838</v>
      </c>
      <c r="BQA363" s="1648">
        <v>344028.50012699998</v>
      </c>
      <c r="BQB363" s="1648">
        <v>335387.28629100003</v>
      </c>
      <c r="BQC363" s="1648">
        <v>337602.67972299998</v>
      </c>
      <c r="BQD363" s="1648">
        <v>210440.148116</v>
      </c>
      <c r="BQE363" s="1648">
        <v>330912.82974800002</v>
      </c>
      <c r="BQF363" s="1648">
        <v>321507.96580100001</v>
      </c>
      <c r="BQG363" s="1648">
        <v>310040.96500000003</v>
      </c>
      <c r="BQH363" s="1648">
        <v>306104.158</v>
      </c>
      <c r="BQI363" s="1648">
        <v>350079.51500000001</v>
      </c>
      <c r="BQJ363" s="1648">
        <v>376736.01</v>
      </c>
      <c r="BQK363" s="1648">
        <v>382165.86499999999</v>
      </c>
      <c r="BQL363" s="1648">
        <v>356897.57900000003</v>
      </c>
      <c r="BQM363" s="635">
        <v>3961904</v>
      </c>
      <c r="BQN363" s="633">
        <f>SUM(BQA363:BQL363)</f>
        <v>3961903.5018060002</v>
      </c>
      <c r="BQO363" s="919" t="s">
        <v>1837</v>
      </c>
      <c r="BQP363" s="1643" t="s">
        <v>1838</v>
      </c>
      <c r="BQQ363" s="1648">
        <v>344028.50012699998</v>
      </c>
      <c r="BQR363" s="1648">
        <v>335387.28629100003</v>
      </c>
      <c r="BQS363" s="1648">
        <v>337602.67972299998</v>
      </c>
      <c r="BQT363" s="1648">
        <v>210440.148116</v>
      </c>
      <c r="BQU363" s="1648">
        <v>330912.82974800002</v>
      </c>
      <c r="BQV363" s="1648">
        <v>321507.96580100001</v>
      </c>
      <c r="BQW363" s="1648">
        <v>310040.96500000003</v>
      </c>
      <c r="BQX363" s="1648">
        <v>306104.158</v>
      </c>
      <c r="BQY363" s="1648">
        <v>350079.51500000001</v>
      </c>
      <c r="BQZ363" s="1648">
        <v>376736.01</v>
      </c>
      <c r="BRA363" s="1648">
        <v>382165.86499999999</v>
      </c>
      <c r="BRB363" s="1648">
        <v>356897.57900000003</v>
      </c>
      <c r="BRC363" s="635">
        <v>3961904</v>
      </c>
      <c r="BRD363" s="633">
        <f>SUM(BQQ363:BRB363)</f>
        <v>3961903.5018060002</v>
      </c>
      <c r="BRE363" s="919" t="s">
        <v>1837</v>
      </c>
      <c r="BRF363" s="1643" t="s">
        <v>1838</v>
      </c>
      <c r="BRG363" s="1648">
        <v>344028.50012699998</v>
      </c>
      <c r="BRH363" s="1648">
        <v>335387.28629100003</v>
      </c>
      <c r="BRI363" s="1648">
        <v>337602.67972299998</v>
      </c>
      <c r="BRJ363" s="1648">
        <v>210440.148116</v>
      </c>
      <c r="BRK363" s="1648">
        <v>330912.82974800002</v>
      </c>
      <c r="BRL363" s="1648">
        <v>321507.96580100001</v>
      </c>
      <c r="BRM363" s="1648">
        <v>310040.96500000003</v>
      </c>
      <c r="BRN363" s="1648">
        <v>306104.158</v>
      </c>
      <c r="BRO363" s="1648">
        <v>350079.51500000001</v>
      </c>
      <c r="BRP363" s="1648">
        <v>376736.01</v>
      </c>
      <c r="BRQ363" s="1648">
        <v>382165.86499999999</v>
      </c>
      <c r="BRR363" s="1648">
        <v>356897.57900000003</v>
      </c>
      <c r="BRS363" s="635">
        <v>3961904</v>
      </c>
      <c r="BRT363" s="633">
        <f>SUM(BRG363:BRR363)</f>
        <v>3961903.5018060002</v>
      </c>
      <c r="BRU363" s="919" t="s">
        <v>1837</v>
      </c>
      <c r="BRV363" s="1643" t="s">
        <v>1838</v>
      </c>
      <c r="BRW363" s="1648">
        <v>344028.50012699998</v>
      </c>
      <c r="BRX363" s="1648">
        <v>335387.28629100003</v>
      </c>
      <c r="BRY363" s="1648">
        <v>337602.67972299998</v>
      </c>
      <c r="BRZ363" s="1648">
        <v>210440.148116</v>
      </c>
      <c r="BSA363" s="1648">
        <v>330912.82974800002</v>
      </c>
      <c r="BSB363" s="1648">
        <v>321507.96580100001</v>
      </c>
      <c r="BSC363" s="1648">
        <v>310040.96500000003</v>
      </c>
      <c r="BSD363" s="1648">
        <v>306104.158</v>
      </c>
      <c r="BSE363" s="1648">
        <v>350079.51500000001</v>
      </c>
      <c r="BSF363" s="1648">
        <v>376736.01</v>
      </c>
      <c r="BSG363" s="1648">
        <v>382165.86499999999</v>
      </c>
      <c r="BSH363" s="1648">
        <v>356897.57900000003</v>
      </c>
      <c r="BSI363" s="635">
        <v>3961904</v>
      </c>
      <c r="BSJ363" s="633">
        <f>SUM(BRW363:BSH363)</f>
        <v>3961903.5018060002</v>
      </c>
      <c r="BSK363" s="919" t="s">
        <v>1837</v>
      </c>
      <c r="BSL363" s="1643" t="s">
        <v>1838</v>
      </c>
      <c r="BSM363" s="1648">
        <v>344028.50012699998</v>
      </c>
      <c r="BSN363" s="1648">
        <v>335387.28629100003</v>
      </c>
      <c r="BSO363" s="1648">
        <v>337602.67972299998</v>
      </c>
      <c r="BSP363" s="1648">
        <v>210440.148116</v>
      </c>
      <c r="BSQ363" s="1648">
        <v>330912.82974800002</v>
      </c>
      <c r="BSR363" s="1648">
        <v>321507.96580100001</v>
      </c>
      <c r="BSS363" s="1648">
        <v>310040.96500000003</v>
      </c>
      <c r="BST363" s="1648">
        <v>306104.158</v>
      </c>
      <c r="BSU363" s="1648">
        <v>350079.51500000001</v>
      </c>
      <c r="BSV363" s="1648">
        <v>376736.01</v>
      </c>
      <c r="BSW363" s="1648">
        <v>382165.86499999999</v>
      </c>
      <c r="BSX363" s="1648">
        <v>356897.57900000003</v>
      </c>
      <c r="BSY363" s="635">
        <v>3961904</v>
      </c>
      <c r="BSZ363" s="633">
        <f>SUM(BSM363:BSX363)</f>
        <v>3961903.5018060002</v>
      </c>
      <c r="BTA363" s="919" t="s">
        <v>1837</v>
      </c>
      <c r="BTB363" s="1643" t="s">
        <v>1838</v>
      </c>
      <c r="BTC363" s="1648">
        <v>344028.50012699998</v>
      </c>
      <c r="BTD363" s="1648">
        <v>335387.28629100003</v>
      </c>
      <c r="BTE363" s="1648">
        <v>337602.67972299998</v>
      </c>
      <c r="BTF363" s="1648">
        <v>210440.148116</v>
      </c>
      <c r="BTG363" s="1648">
        <v>330912.82974800002</v>
      </c>
      <c r="BTH363" s="1648">
        <v>321507.96580100001</v>
      </c>
      <c r="BTI363" s="1648">
        <v>310040.96500000003</v>
      </c>
      <c r="BTJ363" s="1648">
        <v>306104.158</v>
      </c>
      <c r="BTK363" s="1648">
        <v>350079.51500000001</v>
      </c>
      <c r="BTL363" s="1648">
        <v>376736.01</v>
      </c>
      <c r="BTM363" s="1648">
        <v>382165.86499999999</v>
      </c>
      <c r="BTN363" s="1648">
        <v>356897.57900000003</v>
      </c>
      <c r="BTO363" s="635">
        <v>3961904</v>
      </c>
      <c r="BTP363" s="633">
        <f>SUM(BTC363:BTN363)</f>
        <v>3961903.5018060002</v>
      </c>
      <c r="BTQ363" s="919" t="s">
        <v>1837</v>
      </c>
      <c r="BTR363" s="1643" t="s">
        <v>1838</v>
      </c>
      <c r="BTS363" s="1648">
        <v>344028.50012699998</v>
      </c>
      <c r="BTT363" s="1648">
        <v>335387.28629100003</v>
      </c>
      <c r="BTU363" s="1648">
        <v>337602.67972299998</v>
      </c>
      <c r="BTV363" s="1648">
        <v>210440.148116</v>
      </c>
      <c r="BTW363" s="1648">
        <v>330912.82974800002</v>
      </c>
      <c r="BTX363" s="1648">
        <v>321507.96580100001</v>
      </c>
      <c r="BTY363" s="1648">
        <v>310040.96500000003</v>
      </c>
      <c r="BTZ363" s="1648">
        <v>306104.158</v>
      </c>
      <c r="BUA363" s="1648">
        <v>350079.51500000001</v>
      </c>
      <c r="BUB363" s="1648">
        <v>376736.01</v>
      </c>
      <c r="BUC363" s="1648">
        <v>382165.86499999999</v>
      </c>
      <c r="BUD363" s="1648">
        <v>356897.57900000003</v>
      </c>
      <c r="BUE363" s="635">
        <v>3961904</v>
      </c>
      <c r="BUF363" s="633">
        <f>SUM(BTS363:BUD363)</f>
        <v>3961903.5018060002</v>
      </c>
      <c r="BUG363" s="919" t="s">
        <v>1837</v>
      </c>
      <c r="BUH363" s="1643" t="s">
        <v>1838</v>
      </c>
      <c r="BUI363" s="1648">
        <v>344028.50012699998</v>
      </c>
      <c r="BUJ363" s="1648">
        <v>335387.28629100003</v>
      </c>
      <c r="BUK363" s="1648">
        <v>337602.67972299998</v>
      </c>
      <c r="BUL363" s="1648">
        <v>210440.148116</v>
      </c>
      <c r="BUM363" s="1648">
        <v>330912.82974800002</v>
      </c>
      <c r="BUN363" s="1648">
        <v>321507.96580100001</v>
      </c>
      <c r="BUO363" s="1648">
        <v>310040.96500000003</v>
      </c>
      <c r="BUP363" s="1648">
        <v>306104.158</v>
      </c>
      <c r="BUQ363" s="1648">
        <v>350079.51500000001</v>
      </c>
      <c r="BUR363" s="1648">
        <v>376736.01</v>
      </c>
      <c r="BUS363" s="1648">
        <v>382165.86499999999</v>
      </c>
      <c r="BUT363" s="1648">
        <v>356897.57900000003</v>
      </c>
      <c r="BUU363" s="635">
        <v>3961904</v>
      </c>
      <c r="BUV363" s="633">
        <f>SUM(BUI363:BUT363)</f>
        <v>3961903.5018060002</v>
      </c>
      <c r="BUW363" s="919" t="s">
        <v>1837</v>
      </c>
      <c r="BUX363" s="1643" t="s">
        <v>1838</v>
      </c>
      <c r="BUY363" s="1648">
        <v>344028.50012699998</v>
      </c>
      <c r="BUZ363" s="1648">
        <v>335387.28629100003</v>
      </c>
      <c r="BVA363" s="1648">
        <v>337602.67972299998</v>
      </c>
      <c r="BVB363" s="1648">
        <v>210440.148116</v>
      </c>
      <c r="BVC363" s="1648">
        <v>330912.82974800002</v>
      </c>
      <c r="BVD363" s="1648">
        <v>321507.96580100001</v>
      </c>
      <c r="BVE363" s="1648">
        <v>310040.96500000003</v>
      </c>
      <c r="BVF363" s="1648">
        <v>306104.158</v>
      </c>
      <c r="BVG363" s="1648">
        <v>350079.51500000001</v>
      </c>
      <c r="BVH363" s="1648">
        <v>376736.01</v>
      </c>
      <c r="BVI363" s="1648">
        <v>382165.86499999999</v>
      </c>
      <c r="BVJ363" s="1648">
        <v>356897.57900000003</v>
      </c>
      <c r="BVK363" s="635">
        <v>3961904</v>
      </c>
      <c r="BVL363" s="633">
        <f>SUM(BUY363:BVJ363)</f>
        <v>3961903.5018060002</v>
      </c>
      <c r="BVM363" s="919" t="s">
        <v>1837</v>
      </c>
      <c r="BVN363" s="1643" t="s">
        <v>1838</v>
      </c>
      <c r="BVO363" s="1648">
        <v>344028.50012699998</v>
      </c>
      <c r="BVP363" s="1648">
        <v>335387.28629100003</v>
      </c>
      <c r="BVQ363" s="1648">
        <v>337602.67972299998</v>
      </c>
      <c r="BVR363" s="1648">
        <v>210440.148116</v>
      </c>
      <c r="BVS363" s="1648">
        <v>330912.82974800002</v>
      </c>
      <c r="BVT363" s="1648">
        <v>321507.96580100001</v>
      </c>
      <c r="BVU363" s="1648">
        <v>310040.96500000003</v>
      </c>
      <c r="BVV363" s="1648">
        <v>306104.158</v>
      </c>
      <c r="BVW363" s="1648">
        <v>350079.51500000001</v>
      </c>
      <c r="BVX363" s="1648">
        <v>376736.01</v>
      </c>
      <c r="BVY363" s="1648">
        <v>382165.86499999999</v>
      </c>
      <c r="BVZ363" s="1648">
        <v>356897.57900000003</v>
      </c>
      <c r="BWA363" s="635">
        <v>3961904</v>
      </c>
      <c r="BWB363" s="633">
        <f>SUM(BVO363:BVZ363)</f>
        <v>3961903.5018060002</v>
      </c>
      <c r="BWC363" s="919" t="s">
        <v>1837</v>
      </c>
      <c r="BWD363" s="1643" t="s">
        <v>1838</v>
      </c>
      <c r="BWE363" s="1648">
        <v>344028.50012699998</v>
      </c>
      <c r="BWF363" s="1648">
        <v>335387.28629100003</v>
      </c>
      <c r="BWG363" s="1648">
        <v>337602.67972299998</v>
      </c>
      <c r="BWH363" s="1648">
        <v>210440.148116</v>
      </c>
      <c r="BWI363" s="1648">
        <v>330912.82974800002</v>
      </c>
      <c r="BWJ363" s="1648">
        <v>321507.96580100001</v>
      </c>
      <c r="BWK363" s="1648">
        <v>310040.96500000003</v>
      </c>
      <c r="BWL363" s="1648">
        <v>306104.158</v>
      </c>
      <c r="BWM363" s="1648">
        <v>350079.51500000001</v>
      </c>
      <c r="BWN363" s="1648">
        <v>376736.01</v>
      </c>
      <c r="BWO363" s="1648">
        <v>382165.86499999999</v>
      </c>
      <c r="BWP363" s="1648">
        <v>356897.57900000003</v>
      </c>
      <c r="BWQ363" s="635">
        <v>3961904</v>
      </c>
      <c r="BWR363" s="633">
        <f>SUM(BWE363:BWP363)</f>
        <v>3961903.5018060002</v>
      </c>
      <c r="BWS363" s="919" t="s">
        <v>1837</v>
      </c>
      <c r="BWT363" s="1643" t="s">
        <v>1838</v>
      </c>
      <c r="BWU363" s="1648">
        <v>344028.50012699998</v>
      </c>
      <c r="BWV363" s="1648">
        <v>335387.28629100003</v>
      </c>
      <c r="BWW363" s="1648">
        <v>337602.67972299998</v>
      </c>
      <c r="BWX363" s="1648">
        <v>210440.148116</v>
      </c>
      <c r="BWY363" s="1648">
        <v>330912.82974800002</v>
      </c>
      <c r="BWZ363" s="1648">
        <v>321507.96580100001</v>
      </c>
      <c r="BXA363" s="1648">
        <v>310040.96500000003</v>
      </c>
      <c r="BXB363" s="1648">
        <v>306104.158</v>
      </c>
      <c r="BXC363" s="1648">
        <v>350079.51500000001</v>
      </c>
      <c r="BXD363" s="1648">
        <v>376736.01</v>
      </c>
      <c r="BXE363" s="1648">
        <v>382165.86499999999</v>
      </c>
      <c r="BXF363" s="1648">
        <v>356897.57900000003</v>
      </c>
      <c r="BXG363" s="635">
        <v>3961904</v>
      </c>
      <c r="BXH363" s="633">
        <f>SUM(BWU363:BXF363)</f>
        <v>3961903.5018060002</v>
      </c>
      <c r="BXI363" s="919" t="s">
        <v>1837</v>
      </c>
      <c r="BXJ363" s="1643" t="s">
        <v>1838</v>
      </c>
      <c r="BXK363" s="1648">
        <v>344028.50012699998</v>
      </c>
      <c r="BXL363" s="1648">
        <v>335387.28629100003</v>
      </c>
      <c r="BXM363" s="1648">
        <v>337602.67972299998</v>
      </c>
      <c r="BXN363" s="1648">
        <v>210440.148116</v>
      </c>
      <c r="BXO363" s="1648">
        <v>330912.82974800002</v>
      </c>
      <c r="BXP363" s="1648">
        <v>321507.96580100001</v>
      </c>
      <c r="BXQ363" s="1648">
        <v>310040.96500000003</v>
      </c>
      <c r="BXR363" s="1648">
        <v>306104.158</v>
      </c>
      <c r="BXS363" s="1648">
        <v>350079.51500000001</v>
      </c>
      <c r="BXT363" s="1648">
        <v>376736.01</v>
      </c>
      <c r="BXU363" s="1648">
        <v>382165.86499999999</v>
      </c>
      <c r="BXV363" s="1648">
        <v>356897.57900000003</v>
      </c>
      <c r="BXW363" s="635">
        <v>3961904</v>
      </c>
      <c r="BXX363" s="633">
        <f>SUM(BXK363:BXV363)</f>
        <v>3961903.5018060002</v>
      </c>
      <c r="BXY363" s="919" t="s">
        <v>1837</v>
      </c>
      <c r="BXZ363" s="1643" t="s">
        <v>1838</v>
      </c>
      <c r="BYA363" s="1648">
        <v>344028.50012699998</v>
      </c>
      <c r="BYB363" s="1648">
        <v>335387.28629100003</v>
      </c>
      <c r="BYC363" s="1648">
        <v>337602.67972299998</v>
      </c>
      <c r="BYD363" s="1648">
        <v>210440.148116</v>
      </c>
      <c r="BYE363" s="1648">
        <v>330912.82974800002</v>
      </c>
      <c r="BYF363" s="1648">
        <v>321507.96580100001</v>
      </c>
      <c r="BYG363" s="1648">
        <v>310040.96500000003</v>
      </c>
      <c r="BYH363" s="1648">
        <v>306104.158</v>
      </c>
      <c r="BYI363" s="1648">
        <v>350079.51500000001</v>
      </c>
      <c r="BYJ363" s="1648">
        <v>376736.01</v>
      </c>
      <c r="BYK363" s="1648">
        <v>382165.86499999999</v>
      </c>
      <c r="BYL363" s="1648">
        <v>356897.57900000003</v>
      </c>
      <c r="BYM363" s="635">
        <v>3961904</v>
      </c>
      <c r="BYN363" s="633">
        <f>SUM(BYA363:BYL363)</f>
        <v>3961903.5018060002</v>
      </c>
      <c r="BYO363" s="919" t="s">
        <v>1837</v>
      </c>
      <c r="BYP363" s="1643" t="s">
        <v>1838</v>
      </c>
      <c r="BYQ363" s="1648">
        <v>344028.50012699998</v>
      </c>
      <c r="BYR363" s="1648">
        <v>335387.28629100003</v>
      </c>
      <c r="BYS363" s="1648">
        <v>337602.67972299998</v>
      </c>
      <c r="BYT363" s="1648">
        <v>210440.148116</v>
      </c>
      <c r="BYU363" s="1648">
        <v>330912.82974800002</v>
      </c>
      <c r="BYV363" s="1648">
        <v>321507.96580100001</v>
      </c>
      <c r="BYW363" s="1648">
        <v>310040.96500000003</v>
      </c>
      <c r="BYX363" s="1648">
        <v>306104.158</v>
      </c>
      <c r="BYY363" s="1648">
        <v>350079.51500000001</v>
      </c>
      <c r="BYZ363" s="1648">
        <v>376736.01</v>
      </c>
      <c r="BZA363" s="1648">
        <v>382165.86499999999</v>
      </c>
      <c r="BZB363" s="1648">
        <v>356897.57900000003</v>
      </c>
      <c r="BZC363" s="635">
        <v>3961904</v>
      </c>
      <c r="BZD363" s="633">
        <f>SUM(BYQ363:BZB363)</f>
        <v>3961903.5018060002</v>
      </c>
      <c r="BZE363" s="919" t="s">
        <v>1837</v>
      </c>
      <c r="BZF363" s="1643" t="s">
        <v>1838</v>
      </c>
      <c r="BZG363" s="1648">
        <v>344028.50012699998</v>
      </c>
      <c r="BZH363" s="1648">
        <v>335387.28629100003</v>
      </c>
      <c r="BZI363" s="1648">
        <v>337602.67972299998</v>
      </c>
      <c r="BZJ363" s="1648">
        <v>210440.148116</v>
      </c>
      <c r="BZK363" s="1648">
        <v>330912.82974800002</v>
      </c>
      <c r="BZL363" s="1648">
        <v>321507.96580100001</v>
      </c>
      <c r="BZM363" s="1648">
        <v>310040.96500000003</v>
      </c>
      <c r="BZN363" s="1648">
        <v>306104.158</v>
      </c>
      <c r="BZO363" s="1648">
        <v>350079.51500000001</v>
      </c>
      <c r="BZP363" s="1648">
        <v>376736.01</v>
      </c>
      <c r="BZQ363" s="1648">
        <v>382165.86499999999</v>
      </c>
      <c r="BZR363" s="1648">
        <v>356897.57900000003</v>
      </c>
      <c r="BZS363" s="635">
        <v>3961904</v>
      </c>
      <c r="BZT363" s="633">
        <f>SUM(BZG363:BZR363)</f>
        <v>3961903.5018060002</v>
      </c>
      <c r="BZU363" s="919" t="s">
        <v>1837</v>
      </c>
      <c r="BZV363" s="1643" t="s">
        <v>1838</v>
      </c>
      <c r="BZW363" s="1648">
        <v>344028.50012699998</v>
      </c>
      <c r="BZX363" s="1648">
        <v>335387.28629100003</v>
      </c>
      <c r="BZY363" s="1648">
        <v>337602.67972299998</v>
      </c>
      <c r="BZZ363" s="1648">
        <v>210440.148116</v>
      </c>
      <c r="CAA363" s="1648">
        <v>330912.82974800002</v>
      </c>
      <c r="CAB363" s="1648">
        <v>321507.96580100001</v>
      </c>
      <c r="CAC363" s="1648">
        <v>310040.96500000003</v>
      </c>
      <c r="CAD363" s="1648">
        <v>306104.158</v>
      </c>
      <c r="CAE363" s="1648">
        <v>350079.51500000001</v>
      </c>
      <c r="CAF363" s="1648">
        <v>376736.01</v>
      </c>
      <c r="CAG363" s="1648">
        <v>382165.86499999999</v>
      </c>
      <c r="CAH363" s="1648">
        <v>356897.57900000003</v>
      </c>
      <c r="CAI363" s="635">
        <v>3961904</v>
      </c>
      <c r="CAJ363" s="633">
        <f>SUM(BZW363:CAH363)</f>
        <v>3961903.5018060002</v>
      </c>
      <c r="CAK363" s="919" t="s">
        <v>1837</v>
      </c>
      <c r="CAL363" s="1643" t="s">
        <v>1838</v>
      </c>
      <c r="CAM363" s="1648">
        <v>344028.50012699998</v>
      </c>
      <c r="CAN363" s="1648">
        <v>335387.28629100003</v>
      </c>
      <c r="CAO363" s="1648">
        <v>337602.67972299998</v>
      </c>
      <c r="CAP363" s="1648">
        <v>210440.148116</v>
      </c>
      <c r="CAQ363" s="1648">
        <v>330912.82974800002</v>
      </c>
      <c r="CAR363" s="1648">
        <v>321507.96580100001</v>
      </c>
      <c r="CAS363" s="1648">
        <v>310040.96500000003</v>
      </c>
      <c r="CAT363" s="1648">
        <v>306104.158</v>
      </c>
      <c r="CAU363" s="1648">
        <v>350079.51500000001</v>
      </c>
      <c r="CAV363" s="1648">
        <v>376736.01</v>
      </c>
      <c r="CAW363" s="1648">
        <v>382165.86499999999</v>
      </c>
      <c r="CAX363" s="1648">
        <v>356897.57900000003</v>
      </c>
      <c r="CAY363" s="635">
        <v>3961904</v>
      </c>
      <c r="CAZ363" s="633">
        <f>SUM(CAM363:CAX363)</f>
        <v>3961903.5018060002</v>
      </c>
      <c r="CBA363" s="919" t="s">
        <v>1837</v>
      </c>
      <c r="CBB363" s="1643" t="s">
        <v>1838</v>
      </c>
      <c r="CBC363" s="1648">
        <v>344028.50012699998</v>
      </c>
      <c r="CBD363" s="1648">
        <v>335387.28629100003</v>
      </c>
      <c r="CBE363" s="1648">
        <v>337602.67972299998</v>
      </c>
      <c r="CBF363" s="1648">
        <v>210440.148116</v>
      </c>
      <c r="CBG363" s="1648">
        <v>330912.82974800002</v>
      </c>
      <c r="CBH363" s="1648">
        <v>321507.96580100001</v>
      </c>
      <c r="CBI363" s="1648">
        <v>310040.96500000003</v>
      </c>
      <c r="CBJ363" s="1648">
        <v>306104.158</v>
      </c>
      <c r="CBK363" s="1648">
        <v>350079.51500000001</v>
      </c>
      <c r="CBL363" s="1648">
        <v>376736.01</v>
      </c>
      <c r="CBM363" s="1648">
        <v>382165.86499999999</v>
      </c>
      <c r="CBN363" s="1648">
        <v>356897.57900000003</v>
      </c>
      <c r="CBO363" s="635">
        <v>3961904</v>
      </c>
      <c r="CBP363" s="633">
        <f>SUM(CBC363:CBN363)</f>
        <v>3961903.5018060002</v>
      </c>
      <c r="CBQ363" s="919" t="s">
        <v>1837</v>
      </c>
      <c r="CBR363" s="1643" t="s">
        <v>1838</v>
      </c>
      <c r="CBS363" s="1648">
        <v>344028.50012699998</v>
      </c>
      <c r="CBT363" s="1648">
        <v>335387.28629100003</v>
      </c>
      <c r="CBU363" s="1648">
        <v>337602.67972299998</v>
      </c>
      <c r="CBV363" s="1648">
        <v>210440.148116</v>
      </c>
      <c r="CBW363" s="1648">
        <v>330912.82974800002</v>
      </c>
      <c r="CBX363" s="1648">
        <v>321507.96580100001</v>
      </c>
      <c r="CBY363" s="1648">
        <v>310040.96500000003</v>
      </c>
      <c r="CBZ363" s="1648">
        <v>306104.158</v>
      </c>
      <c r="CCA363" s="1648">
        <v>350079.51500000001</v>
      </c>
      <c r="CCB363" s="1648">
        <v>376736.01</v>
      </c>
      <c r="CCC363" s="1648">
        <v>382165.86499999999</v>
      </c>
      <c r="CCD363" s="1648">
        <v>356897.57900000003</v>
      </c>
      <c r="CCE363" s="635">
        <v>3961904</v>
      </c>
      <c r="CCF363" s="633">
        <f>SUM(CBS363:CCD363)</f>
        <v>3961903.5018060002</v>
      </c>
      <c r="CCG363" s="919" t="s">
        <v>1837</v>
      </c>
      <c r="CCH363" s="1643" t="s">
        <v>1838</v>
      </c>
      <c r="CCI363" s="1648">
        <v>344028.50012699998</v>
      </c>
      <c r="CCJ363" s="1648">
        <v>335387.28629100003</v>
      </c>
      <c r="CCK363" s="1648">
        <v>337602.67972299998</v>
      </c>
      <c r="CCL363" s="1648">
        <v>210440.148116</v>
      </c>
      <c r="CCM363" s="1648">
        <v>330912.82974800002</v>
      </c>
      <c r="CCN363" s="1648">
        <v>321507.96580100001</v>
      </c>
      <c r="CCO363" s="1648">
        <v>310040.96500000003</v>
      </c>
      <c r="CCP363" s="1648">
        <v>306104.158</v>
      </c>
      <c r="CCQ363" s="1648">
        <v>350079.51500000001</v>
      </c>
      <c r="CCR363" s="1648">
        <v>376736.01</v>
      </c>
      <c r="CCS363" s="1648">
        <v>382165.86499999999</v>
      </c>
      <c r="CCT363" s="1648">
        <v>356897.57900000003</v>
      </c>
      <c r="CCU363" s="635">
        <v>3961904</v>
      </c>
      <c r="CCV363" s="633">
        <f>SUM(CCI363:CCT363)</f>
        <v>3961903.5018060002</v>
      </c>
      <c r="CCW363" s="919" t="s">
        <v>1837</v>
      </c>
      <c r="CCX363" s="1643" t="s">
        <v>1838</v>
      </c>
      <c r="CCY363" s="1648">
        <v>344028.50012699998</v>
      </c>
      <c r="CCZ363" s="1648">
        <v>335387.28629100003</v>
      </c>
      <c r="CDA363" s="1648">
        <v>337602.67972299998</v>
      </c>
      <c r="CDB363" s="1648">
        <v>210440.148116</v>
      </c>
      <c r="CDC363" s="1648">
        <v>330912.82974800002</v>
      </c>
      <c r="CDD363" s="1648">
        <v>321507.96580100001</v>
      </c>
      <c r="CDE363" s="1648">
        <v>310040.96500000003</v>
      </c>
      <c r="CDF363" s="1648">
        <v>306104.158</v>
      </c>
      <c r="CDG363" s="1648">
        <v>350079.51500000001</v>
      </c>
      <c r="CDH363" s="1648">
        <v>376736.01</v>
      </c>
      <c r="CDI363" s="1648">
        <v>382165.86499999999</v>
      </c>
      <c r="CDJ363" s="1648">
        <v>356897.57900000003</v>
      </c>
      <c r="CDK363" s="635">
        <v>3961904</v>
      </c>
      <c r="CDL363" s="633">
        <f>SUM(CCY363:CDJ363)</f>
        <v>3961903.5018060002</v>
      </c>
      <c r="CDM363" s="919" t="s">
        <v>1837</v>
      </c>
      <c r="CDN363" s="1643" t="s">
        <v>1838</v>
      </c>
      <c r="CDO363" s="1648">
        <v>344028.50012699998</v>
      </c>
      <c r="CDP363" s="1648">
        <v>335387.28629100003</v>
      </c>
      <c r="CDQ363" s="1648">
        <v>337602.67972299998</v>
      </c>
      <c r="CDR363" s="1648">
        <v>210440.148116</v>
      </c>
      <c r="CDS363" s="1648">
        <v>330912.82974800002</v>
      </c>
      <c r="CDT363" s="1648">
        <v>321507.96580100001</v>
      </c>
      <c r="CDU363" s="1648">
        <v>310040.96500000003</v>
      </c>
      <c r="CDV363" s="1648">
        <v>306104.158</v>
      </c>
      <c r="CDW363" s="1648">
        <v>350079.51500000001</v>
      </c>
      <c r="CDX363" s="1648">
        <v>376736.01</v>
      </c>
      <c r="CDY363" s="1648">
        <v>382165.86499999999</v>
      </c>
      <c r="CDZ363" s="1648">
        <v>356897.57900000003</v>
      </c>
      <c r="CEA363" s="635">
        <v>3961904</v>
      </c>
      <c r="CEB363" s="633">
        <f>SUM(CDO363:CDZ363)</f>
        <v>3961903.5018060002</v>
      </c>
      <c r="CEC363" s="919" t="s">
        <v>1837</v>
      </c>
      <c r="CED363" s="1643" t="s">
        <v>1838</v>
      </c>
      <c r="CEE363" s="1648">
        <v>344028.50012699998</v>
      </c>
      <c r="CEF363" s="1648">
        <v>335387.28629100003</v>
      </c>
      <c r="CEG363" s="1648">
        <v>337602.67972299998</v>
      </c>
      <c r="CEH363" s="1648">
        <v>210440.148116</v>
      </c>
      <c r="CEI363" s="1648">
        <v>330912.82974800002</v>
      </c>
      <c r="CEJ363" s="1648">
        <v>321507.96580100001</v>
      </c>
      <c r="CEK363" s="1648">
        <v>310040.96500000003</v>
      </c>
      <c r="CEL363" s="1648">
        <v>306104.158</v>
      </c>
      <c r="CEM363" s="1648">
        <v>350079.51500000001</v>
      </c>
      <c r="CEN363" s="1648">
        <v>376736.01</v>
      </c>
      <c r="CEO363" s="1648">
        <v>382165.86499999999</v>
      </c>
      <c r="CEP363" s="1648">
        <v>356897.57900000003</v>
      </c>
      <c r="CEQ363" s="635">
        <v>3961904</v>
      </c>
      <c r="CER363" s="633">
        <f>SUM(CEE363:CEP363)</f>
        <v>3961903.5018060002</v>
      </c>
      <c r="CES363" s="919" t="s">
        <v>1837</v>
      </c>
      <c r="CET363" s="1643" t="s">
        <v>1838</v>
      </c>
      <c r="CEU363" s="1648">
        <v>344028.50012699998</v>
      </c>
      <c r="CEV363" s="1648">
        <v>335387.28629100003</v>
      </c>
      <c r="CEW363" s="1648">
        <v>337602.67972299998</v>
      </c>
      <c r="CEX363" s="1648">
        <v>210440.148116</v>
      </c>
      <c r="CEY363" s="1648">
        <v>330912.82974800002</v>
      </c>
      <c r="CEZ363" s="1648">
        <v>321507.96580100001</v>
      </c>
      <c r="CFA363" s="1648">
        <v>310040.96500000003</v>
      </c>
      <c r="CFB363" s="1648">
        <v>306104.158</v>
      </c>
      <c r="CFC363" s="1648">
        <v>350079.51500000001</v>
      </c>
      <c r="CFD363" s="1648">
        <v>376736.01</v>
      </c>
      <c r="CFE363" s="1648">
        <v>382165.86499999999</v>
      </c>
      <c r="CFF363" s="1648">
        <v>356897.57900000003</v>
      </c>
      <c r="CFG363" s="635">
        <v>3961904</v>
      </c>
      <c r="CFH363" s="633">
        <f>SUM(CEU363:CFF363)</f>
        <v>3961903.5018060002</v>
      </c>
      <c r="CFI363" s="919" t="s">
        <v>1837</v>
      </c>
      <c r="CFJ363" s="1643" t="s">
        <v>1838</v>
      </c>
      <c r="CFK363" s="1648">
        <v>344028.50012699998</v>
      </c>
      <c r="CFL363" s="1648">
        <v>335387.28629100003</v>
      </c>
      <c r="CFM363" s="1648">
        <v>337602.67972299998</v>
      </c>
      <c r="CFN363" s="1648">
        <v>210440.148116</v>
      </c>
      <c r="CFO363" s="1648">
        <v>330912.82974800002</v>
      </c>
      <c r="CFP363" s="1648">
        <v>321507.96580100001</v>
      </c>
      <c r="CFQ363" s="1648">
        <v>310040.96500000003</v>
      </c>
      <c r="CFR363" s="1648">
        <v>306104.158</v>
      </c>
      <c r="CFS363" s="1648">
        <v>350079.51500000001</v>
      </c>
      <c r="CFT363" s="1648">
        <v>376736.01</v>
      </c>
      <c r="CFU363" s="1648">
        <v>382165.86499999999</v>
      </c>
      <c r="CFV363" s="1648">
        <v>356897.57900000003</v>
      </c>
      <c r="CFW363" s="635">
        <v>3961904</v>
      </c>
      <c r="CFX363" s="633">
        <f>SUM(CFK363:CFV363)</f>
        <v>3961903.5018060002</v>
      </c>
      <c r="CFY363" s="919" t="s">
        <v>1837</v>
      </c>
      <c r="CFZ363" s="1643" t="s">
        <v>1838</v>
      </c>
      <c r="CGA363" s="1648">
        <v>344028.50012699998</v>
      </c>
      <c r="CGB363" s="1648">
        <v>335387.28629100003</v>
      </c>
      <c r="CGC363" s="1648">
        <v>337602.67972299998</v>
      </c>
      <c r="CGD363" s="1648">
        <v>210440.148116</v>
      </c>
      <c r="CGE363" s="1648">
        <v>330912.82974800002</v>
      </c>
      <c r="CGF363" s="1648">
        <v>321507.96580100001</v>
      </c>
      <c r="CGG363" s="1648">
        <v>310040.96500000003</v>
      </c>
      <c r="CGH363" s="1648">
        <v>306104.158</v>
      </c>
      <c r="CGI363" s="1648">
        <v>350079.51500000001</v>
      </c>
      <c r="CGJ363" s="1648">
        <v>376736.01</v>
      </c>
      <c r="CGK363" s="1648">
        <v>382165.86499999999</v>
      </c>
      <c r="CGL363" s="1648">
        <v>356897.57900000003</v>
      </c>
      <c r="CGM363" s="635">
        <v>3961904</v>
      </c>
      <c r="CGN363" s="633">
        <f>SUM(CGA363:CGL363)</f>
        <v>3961903.5018060002</v>
      </c>
      <c r="CGO363" s="919" t="s">
        <v>1837</v>
      </c>
      <c r="CGP363" s="1643" t="s">
        <v>1838</v>
      </c>
      <c r="CGQ363" s="1648">
        <v>344028.50012699998</v>
      </c>
      <c r="CGR363" s="1648">
        <v>335387.28629100003</v>
      </c>
      <c r="CGS363" s="1648">
        <v>337602.67972299998</v>
      </c>
      <c r="CGT363" s="1648">
        <v>210440.148116</v>
      </c>
      <c r="CGU363" s="1648">
        <v>330912.82974800002</v>
      </c>
      <c r="CGV363" s="1648">
        <v>321507.96580100001</v>
      </c>
      <c r="CGW363" s="1648">
        <v>310040.96500000003</v>
      </c>
      <c r="CGX363" s="1648">
        <v>306104.158</v>
      </c>
      <c r="CGY363" s="1648">
        <v>350079.51500000001</v>
      </c>
      <c r="CGZ363" s="1648">
        <v>376736.01</v>
      </c>
      <c r="CHA363" s="1648">
        <v>382165.86499999999</v>
      </c>
      <c r="CHB363" s="1648">
        <v>356897.57900000003</v>
      </c>
      <c r="CHC363" s="635">
        <v>3961904</v>
      </c>
      <c r="CHD363" s="633">
        <f>SUM(CGQ363:CHB363)</f>
        <v>3961903.5018060002</v>
      </c>
      <c r="CHE363" s="919" t="s">
        <v>1837</v>
      </c>
      <c r="CHF363" s="1643" t="s">
        <v>1838</v>
      </c>
      <c r="CHG363" s="1648">
        <v>344028.50012699998</v>
      </c>
      <c r="CHH363" s="1648">
        <v>335387.28629100003</v>
      </c>
      <c r="CHI363" s="1648">
        <v>337602.67972299998</v>
      </c>
      <c r="CHJ363" s="1648">
        <v>210440.148116</v>
      </c>
      <c r="CHK363" s="1648">
        <v>330912.82974800002</v>
      </c>
      <c r="CHL363" s="1648">
        <v>321507.96580100001</v>
      </c>
      <c r="CHM363" s="1648">
        <v>310040.96500000003</v>
      </c>
      <c r="CHN363" s="1648">
        <v>306104.158</v>
      </c>
      <c r="CHO363" s="1648">
        <v>350079.51500000001</v>
      </c>
      <c r="CHP363" s="1648">
        <v>376736.01</v>
      </c>
      <c r="CHQ363" s="1648">
        <v>382165.86499999999</v>
      </c>
      <c r="CHR363" s="1648">
        <v>356897.57900000003</v>
      </c>
      <c r="CHS363" s="635">
        <v>3961904</v>
      </c>
      <c r="CHT363" s="633">
        <f>SUM(CHG363:CHR363)</f>
        <v>3961903.5018060002</v>
      </c>
      <c r="CHU363" s="919" t="s">
        <v>1837</v>
      </c>
      <c r="CHV363" s="1643" t="s">
        <v>1838</v>
      </c>
      <c r="CHW363" s="1648">
        <v>344028.50012699998</v>
      </c>
      <c r="CHX363" s="1648">
        <v>335387.28629100003</v>
      </c>
      <c r="CHY363" s="1648">
        <v>337602.67972299998</v>
      </c>
      <c r="CHZ363" s="1648">
        <v>210440.148116</v>
      </c>
      <c r="CIA363" s="1648">
        <v>330912.82974800002</v>
      </c>
      <c r="CIB363" s="1648">
        <v>321507.96580100001</v>
      </c>
      <c r="CIC363" s="1648">
        <v>310040.96500000003</v>
      </c>
      <c r="CID363" s="1648">
        <v>306104.158</v>
      </c>
      <c r="CIE363" s="1648">
        <v>350079.51500000001</v>
      </c>
      <c r="CIF363" s="1648">
        <v>376736.01</v>
      </c>
      <c r="CIG363" s="1648">
        <v>382165.86499999999</v>
      </c>
      <c r="CIH363" s="1648">
        <v>356897.57900000003</v>
      </c>
      <c r="CII363" s="635">
        <v>3961904</v>
      </c>
      <c r="CIJ363" s="633">
        <f>SUM(CHW363:CIH363)</f>
        <v>3961903.5018060002</v>
      </c>
      <c r="CIK363" s="919" t="s">
        <v>1837</v>
      </c>
      <c r="CIL363" s="1643" t="s">
        <v>1838</v>
      </c>
      <c r="CIM363" s="1648">
        <v>344028.50012699998</v>
      </c>
      <c r="CIN363" s="1648">
        <v>335387.28629100003</v>
      </c>
      <c r="CIO363" s="1648">
        <v>337602.67972299998</v>
      </c>
      <c r="CIP363" s="1648">
        <v>210440.148116</v>
      </c>
      <c r="CIQ363" s="1648">
        <v>330912.82974800002</v>
      </c>
      <c r="CIR363" s="1648">
        <v>321507.96580100001</v>
      </c>
      <c r="CIS363" s="1648">
        <v>310040.96500000003</v>
      </c>
      <c r="CIT363" s="1648">
        <v>306104.158</v>
      </c>
      <c r="CIU363" s="1648">
        <v>350079.51500000001</v>
      </c>
      <c r="CIV363" s="1648">
        <v>376736.01</v>
      </c>
      <c r="CIW363" s="1648">
        <v>382165.86499999999</v>
      </c>
      <c r="CIX363" s="1648">
        <v>356897.57900000003</v>
      </c>
      <c r="CIY363" s="635">
        <v>3961904</v>
      </c>
      <c r="CIZ363" s="633">
        <f>SUM(CIM363:CIX363)</f>
        <v>3961903.5018060002</v>
      </c>
      <c r="CJA363" s="919" t="s">
        <v>1837</v>
      </c>
      <c r="CJB363" s="1643" t="s">
        <v>1838</v>
      </c>
      <c r="CJC363" s="1648">
        <v>344028.50012699998</v>
      </c>
      <c r="CJD363" s="1648">
        <v>335387.28629100003</v>
      </c>
      <c r="CJE363" s="1648">
        <v>337602.67972299998</v>
      </c>
      <c r="CJF363" s="1648">
        <v>210440.148116</v>
      </c>
      <c r="CJG363" s="1648">
        <v>330912.82974800002</v>
      </c>
      <c r="CJH363" s="1648">
        <v>321507.96580100001</v>
      </c>
      <c r="CJI363" s="1648">
        <v>310040.96500000003</v>
      </c>
      <c r="CJJ363" s="1648">
        <v>306104.158</v>
      </c>
      <c r="CJK363" s="1648">
        <v>350079.51500000001</v>
      </c>
      <c r="CJL363" s="1648">
        <v>376736.01</v>
      </c>
      <c r="CJM363" s="1648">
        <v>382165.86499999999</v>
      </c>
      <c r="CJN363" s="1648">
        <v>356897.57900000003</v>
      </c>
      <c r="CJO363" s="635">
        <v>3961904</v>
      </c>
      <c r="CJP363" s="633">
        <f>SUM(CJC363:CJN363)</f>
        <v>3961903.5018060002</v>
      </c>
      <c r="CJQ363" s="919" t="s">
        <v>1837</v>
      </c>
      <c r="CJR363" s="1643" t="s">
        <v>1838</v>
      </c>
      <c r="CJS363" s="1648">
        <v>344028.50012699998</v>
      </c>
      <c r="CJT363" s="1648">
        <v>335387.28629100003</v>
      </c>
      <c r="CJU363" s="1648">
        <v>337602.67972299998</v>
      </c>
      <c r="CJV363" s="1648">
        <v>210440.148116</v>
      </c>
      <c r="CJW363" s="1648">
        <v>330912.82974800002</v>
      </c>
      <c r="CJX363" s="1648">
        <v>321507.96580100001</v>
      </c>
      <c r="CJY363" s="1648">
        <v>310040.96500000003</v>
      </c>
      <c r="CJZ363" s="1648">
        <v>306104.158</v>
      </c>
      <c r="CKA363" s="1648">
        <v>350079.51500000001</v>
      </c>
      <c r="CKB363" s="1648">
        <v>376736.01</v>
      </c>
      <c r="CKC363" s="1648">
        <v>382165.86499999999</v>
      </c>
      <c r="CKD363" s="1648">
        <v>356897.57900000003</v>
      </c>
      <c r="CKE363" s="635">
        <v>3961904</v>
      </c>
      <c r="CKF363" s="633">
        <f>SUM(CJS363:CKD363)</f>
        <v>3961903.5018060002</v>
      </c>
      <c r="CKG363" s="919" t="s">
        <v>1837</v>
      </c>
      <c r="CKH363" s="1643" t="s">
        <v>1838</v>
      </c>
      <c r="CKI363" s="1648">
        <v>344028.50012699998</v>
      </c>
      <c r="CKJ363" s="1648">
        <v>335387.28629100003</v>
      </c>
      <c r="CKK363" s="1648">
        <v>337602.67972299998</v>
      </c>
      <c r="CKL363" s="1648">
        <v>210440.148116</v>
      </c>
      <c r="CKM363" s="1648">
        <v>330912.82974800002</v>
      </c>
      <c r="CKN363" s="1648">
        <v>321507.96580100001</v>
      </c>
      <c r="CKO363" s="1648">
        <v>310040.96500000003</v>
      </c>
      <c r="CKP363" s="1648">
        <v>306104.158</v>
      </c>
      <c r="CKQ363" s="1648">
        <v>350079.51500000001</v>
      </c>
      <c r="CKR363" s="1648">
        <v>376736.01</v>
      </c>
      <c r="CKS363" s="1648">
        <v>382165.86499999999</v>
      </c>
      <c r="CKT363" s="1648">
        <v>356897.57900000003</v>
      </c>
      <c r="CKU363" s="635">
        <v>3961904</v>
      </c>
      <c r="CKV363" s="633">
        <f>SUM(CKI363:CKT363)</f>
        <v>3961903.5018060002</v>
      </c>
      <c r="CKW363" s="919" t="s">
        <v>1837</v>
      </c>
      <c r="CKX363" s="1643" t="s">
        <v>1838</v>
      </c>
      <c r="CKY363" s="1648">
        <v>344028.50012699998</v>
      </c>
      <c r="CKZ363" s="1648">
        <v>335387.28629100003</v>
      </c>
      <c r="CLA363" s="1648">
        <v>337602.67972299998</v>
      </c>
      <c r="CLB363" s="1648">
        <v>210440.148116</v>
      </c>
      <c r="CLC363" s="1648">
        <v>330912.82974800002</v>
      </c>
      <c r="CLD363" s="1648">
        <v>321507.96580100001</v>
      </c>
      <c r="CLE363" s="1648">
        <v>310040.96500000003</v>
      </c>
      <c r="CLF363" s="1648">
        <v>306104.158</v>
      </c>
      <c r="CLG363" s="1648">
        <v>350079.51500000001</v>
      </c>
      <c r="CLH363" s="1648">
        <v>376736.01</v>
      </c>
      <c r="CLI363" s="1648">
        <v>382165.86499999999</v>
      </c>
      <c r="CLJ363" s="1648">
        <v>356897.57900000003</v>
      </c>
      <c r="CLK363" s="635">
        <v>3961904</v>
      </c>
      <c r="CLL363" s="633">
        <f>SUM(CKY363:CLJ363)</f>
        <v>3961903.5018060002</v>
      </c>
      <c r="CLM363" s="919" t="s">
        <v>1837</v>
      </c>
      <c r="CLN363" s="1643" t="s">
        <v>1838</v>
      </c>
      <c r="CLO363" s="1648">
        <v>344028.50012699998</v>
      </c>
      <c r="CLP363" s="1648">
        <v>335387.28629100003</v>
      </c>
      <c r="CLQ363" s="1648">
        <v>337602.67972299998</v>
      </c>
      <c r="CLR363" s="1648">
        <v>210440.148116</v>
      </c>
      <c r="CLS363" s="1648">
        <v>330912.82974800002</v>
      </c>
      <c r="CLT363" s="1648">
        <v>321507.96580100001</v>
      </c>
      <c r="CLU363" s="1648">
        <v>310040.96500000003</v>
      </c>
      <c r="CLV363" s="1648">
        <v>306104.158</v>
      </c>
      <c r="CLW363" s="1648">
        <v>350079.51500000001</v>
      </c>
      <c r="CLX363" s="1648">
        <v>376736.01</v>
      </c>
      <c r="CLY363" s="1648">
        <v>382165.86499999999</v>
      </c>
      <c r="CLZ363" s="1648">
        <v>356897.57900000003</v>
      </c>
      <c r="CMA363" s="635">
        <v>3961904</v>
      </c>
      <c r="CMB363" s="633">
        <f>SUM(CLO363:CLZ363)</f>
        <v>3961903.5018060002</v>
      </c>
      <c r="CMC363" s="919" t="s">
        <v>1837</v>
      </c>
      <c r="CMD363" s="1643" t="s">
        <v>1838</v>
      </c>
      <c r="CME363" s="1648">
        <v>344028.50012699998</v>
      </c>
      <c r="CMF363" s="1648">
        <v>335387.28629100003</v>
      </c>
      <c r="CMG363" s="1648">
        <v>337602.67972299998</v>
      </c>
      <c r="CMH363" s="1648">
        <v>210440.148116</v>
      </c>
      <c r="CMI363" s="1648">
        <v>330912.82974800002</v>
      </c>
      <c r="CMJ363" s="1648">
        <v>321507.96580100001</v>
      </c>
      <c r="CMK363" s="1648">
        <v>310040.96500000003</v>
      </c>
      <c r="CML363" s="1648">
        <v>306104.158</v>
      </c>
      <c r="CMM363" s="1648">
        <v>350079.51500000001</v>
      </c>
      <c r="CMN363" s="1648">
        <v>376736.01</v>
      </c>
      <c r="CMO363" s="1648">
        <v>382165.86499999999</v>
      </c>
      <c r="CMP363" s="1648">
        <v>356897.57900000003</v>
      </c>
      <c r="CMQ363" s="635">
        <v>3961904</v>
      </c>
      <c r="CMR363" s="633">
        <f>SUM(CME363:CMP363)</f>
        <v>3961903.5018060002</v>
      </c>
      <c r="CMS363" s="919" t="s">
        <v>1837</v>
      </c>
      <c r="CMT363" s="1643" t="s">
        <v>1838</v>
      </c>
      <c r="CMU363" s="1648">
        <v>344028.50012699998</v>
      </c>
      <c r="CMV363" s="1648">
        <v>335387.28629100003</v>
      </c>
      <c r="CMW363" s="1648">
        <v>337602.67972299998</v>
      </c>
      <c r="CMX363" s="1648">
        <v>210440.148116</v>
      </c>
      <c r="CMY363" s="1648">
        <v>330912.82974800002</v>
      </c>
      <c r="CMZ363" s="1648">
        <v>321507.96580100001</v>
      </c>
      <c r="CNA363" s="1648">
        <v>310040.96500000003</v>
      </c>
      <c r="CNB363" s="1648">
        <v>306104.158</v>
      </c>
      <c r="CNC363" s="1648">
        <v>350079.51500000001</v>
      </c>
      <c r="CND363" s="1648">
        <v>376736.01</v>
      </c>
      <c r="CNE363" s="1648">
        <v>382165.86499999999</v>
      </c>
      <c r="CNF363" s="1648">
        <v>356897.57900000003</v>
      </c>
      <c r="CNG363" s="635">
        <v>3961904</v>
      </c>
      <c r="CNH363" s="633">
        <f>SUM(CMU363:CNF363)</f>
        <v>3961903.5018060002</v>
      </c>
      <c r="CNI363" s="919" t="s">
        <v>1837</v>
      </c>
      <c r="CNJ363" s="1643" t="s">
        <v>1838</v>
      </c>
      <c r="CNK363" s="1648">
        <v>344028.50012699998</v>
      </c>
      <c r="CNL363" s="1648">
        <v>335387.28629100003</v>
      </c>
      <c r="CNM363" s="1648">
        <v>337602.67972299998</v>
      </c>
      <c r="CNN363" s="1648">
        <v>210440.148116</v>
      </c>
      <c r="CNO363" s="1648">
        <v>330912.82974800002</v>
      </c>
      <c r="CNP363" s="1648">
        <v>321507.96580100001</v>
      </c>
      <c r="CNQ363" s="1648">
        <v>310040.96500000003</v>
      </c>
      <c r="CNR363" s="1648">
        <v>306104.158</v>
      </c>
      <c r="CNS363" s="1648">
        <v>350079.51500000001</v>
      </c>
      <c r="CNT363" s="1648">
        <v>376736.01</v>
      </c>
      <c r="CNU363" s="1648">
        <v>382165.86499999999</v>
      </c>
      <c r="CNV363" s="1648">
        <v>356897.57900000003</v>
      </c>
      <c r="CNW363" s="635">
        <v>3961904</v>
      </c>
      <c r="CNX363" s="633">
        <f>SUM(CNK363:CNV363)</f>
        <v>3961903.5018060002</v>
      </c>
      <c r="CNY363" s="919" t="s">
        <v>1837</v>
      </c>
      <c r="CNZ363" s="1643" t="s">
        <v>1838</v>
      </c>
      <c r="COA363" s="1648">
        <v>344028.50012699998</v>
      </c>
      <c r="COB363" s="1648">
        <v>335387.28629100003</v>
      </c>
      <c r="COC363" s="1648">
        <v>337602.67972299998</v>
      </c>
      <c r="COD363" s="1648">
        <v>210440.148116</v>
      </c>
      <c r="COE363" s="1648">
        <v>330912.82974800002</v>
      </c>
      <c r="COF363" s="1648">
        <v>321507.96580100001</v>
      </c>
      <c r="COG363" s="1648">
        <v>310040.96500000003</v>
      </c>
      <c r="COH363" s="1648">
        <v>306104.158</v>
      </c>
      <c r="COI363" s="1648">
        <v>350079.51500000001</v>
      </c>
      <c r="COJ363" s="1648">
        <v>376736.01</v>
      </c>
      <c r="COK363" s="1648">
        <v>382165.86499999999</v>
      </c>
      <c r="COL363" s="1648">
        <v>356897.57900000003</v>
      </c>
      <c r="COM363" s="635">
        <v>3961904</v>
      </c>
      <c r="CON363" s="633">
        <f>SUM(COA363:COL363)</f>
        <v>3961903.5018060002</v>
      </c>
      <c r="COO363" s="919" t="s">
        <v>1837</v>
      </c>
      <c r="COP363" s="1643" t="s">
        <v>1838</v>
      </c>
      <c r="COQ363" s="1648">
        <v>344028.50012699998</v>
      </c>
      <c r="COR363" s="1648">
        <v>335387.28629100003</v>
      </c>
      <c r="COS363" s="1648">
        <v>337602.67972299998</v>
      </c>
      <c r="COT363" s="1648">
        <v>210440.148116</v>
      </c>
      <c r="COU363" s="1648">
        <v>330912.82974800002</v>
      </c>
      <c r="COV363" s="1648">
        <v>321507.96580100001</v>
      </c>
      <c r="COW363" s="1648">
        <v>310040.96500000003</v>
      </c>
      <c r="COX363" s="1648">
        <v>306104.158</v>
      </c>
      <c r="COY363" s="1648">
        <v>350079.51500000001</v>
      </c>
      <c r="COZ363" s="1648">
        <v>376736.01</v>
      </c>
      <c r="CPA363" s="1648">
        <v>382165.86499999999</v>
      </c>
      <c r="CPB363" s="1648">
        <v>356897.57900000003</v>
      </c>
      <c r="CPC363" s="635">
        <v>3961904</v>
      </c>
      <c r="CPD363" s="633">
        <f>SUM(COQ363:CPB363)</f>
        <v>3961903.5018060002</v>
      </c>
      <c r="CPE363" s="919" t="s">
        <v>1837</v>
      </c>
      <c r="CPF363" s="1643" t="s">
        <v>1838</v>
      </c>
      <c r="CPG363" s="1648">
        <v>344028.50012699998</v>
      </c>
      <c r="CPH363" s="1648">
        <v>335387.28629100003</v>
      </c>
      <c r="CPI363" s="1648">
        <v>337602.67972299998</v>
      </c>
      <c r="CPJ363" s="1648">
        <v>210440.148116</v>
      </c>
      <c r="CPK363" s="1648">
        <v>330912.82974800002</v>
      </c>
      <c r="CPL363" s="1648">
        <v>321507.96580100001</v>
      </c>
      <c r="CPM363" s="1648">
        <v>310040.96500000003</v>
      </c>
      <c r="CPN363" s="1648">
        <v>306104.158</v>
      </c>
      <c r="CPO363" s="1648">
        <v>350079.51500000001</v>
      </c>
      <c r="CPP363" s="1648">
        <v>376736.01</v>
      </c>
      <c r="CPQ363" s="1648">
        <v>382165.86499999999</v>
      </c>
      <c r="CPR363" s="1648">
        <v>356897.57900000003</v>
      </c>
      <c r="CPS363" s="635">
        <v>3961904</v>
      </c>
      <c r="CPT363" s="633">
        <f>SUM(CPG363:CPR363)</f>
        <v>3961903.5018060002</v>
      </c>
      <c r="CPU363" s="919" t="s">
        <v>1837</v>
      </c>
      <c r="CPV363" s="1643" t="s">
        <v>1838</v>
      </c>
      <c r="CPW363" s="1648">
        <v>344028.50012699998</v>
      </c>
      <c r="CPX363" s="1648">
        <v>335387.28629100003</v>
      </c>
      <c r="CPY363" s="1648">
        <v>337602.67972299998</v>
      </c>
      <c r="CPZ363" s="1648">
        <v>210440.148116</v>
      </c>
      <c r="CQA363" s="1648">
        <v>330912.82974800002</v>
      </c>
      <c r="CQB363" s="1648">
        <v>321507.96580100001</v>
      </c>
      <c r="CQC363" s="1648">
        <v>310040.96500000003</v>
      </c>
      <c r="CQD363" s="1648">
        <v>306104.158</v>
      </c>
      <c r="CQE363" s="1648">
        <v>350079.51500000001</v>
      </c>
      <c r="CQF363" s="1648">
        <v>376736.01</v>
      </c>
      <c r="CQG363" s="1648">
        <v>382165.86499999999</v>
      </c>
      <c r="CQH363" s="1648">
        <v>356897.57900000003</v>
      </c>
      <c r="CQI363" s="635">
        <v>3961904</v>
      </c>
      <c r="CQJ363" s="633">
        <f>SUM(CPW363:CQH363)</f>
        <v>3961903.5018060002</v>
      </c>
      <c r="CQK363" s="919" t="s">
        <v>1837</v>
      </c>
      <c r="CQL363" s="1643" t="s">
        <v>1838</v>
      </c>
      <c r="CQM363" s="1648">
        <v>344028.50012699998</v>
      </c>
      <c r="CQN363" s="1648">
        <v>335387.28629100003</v>
      </c>
      <c r="CQO363" s="1648">
        <v>337602.67972299998</v>
      </c>
      <c r="CQP363" s="1648">
        <v>210440.148116</v>
      </c>
      <c r="CQQ363" s="1648">
        <v>330912.82974800002</v>
      </c>
      <c r="CQR363" s="1648">
        <v>321507.96580100001</v>
      </c>
      <c r="CQS363" s="1648">
        <v>310040.96500000003</v>
      </c>
      <c r="CQT363" s="1648">
        <v>306104.158</v>
      </c>
      <c r="CQU363" s="1648">
        <v>350079.51500000001</v>
      </c>
      <c r="CQV363" s="1648">
        <v>376736.01</v>
      </c>
      <c r="CQW363" s="1648">
        <v>382165.86499999999</v>
      </c>
      <c r="CQX363" s="1648">
        <v>356897.57900000003</v>
      </c>
      <c r="CQY363" s="635">
        <v>3961904</v>
      </c>
      <c r="CQZ363" s="633">
        <f>SUM(CQM363:CQX363)</f>
        <v>3961903.5018060002</v>
      </c>
      <c r="CRA363" s="919" t="s">
        <v>1837</v>
      </c>
      <c r="CRB363" s="1643" t="s">
        <v>1838</v>
      </c>
      <c r="CRC363" s="1648">
        <v>344028.50012699998</v>
      </c>
      <c r="CRD363" s="1648">
        <v>335387.28629100003</v>
      </c>
      <c r="CRE363" s="1648">
        <v>337602.67972299998</v>
      </c>
      <c r="CRF363" s="1648">
        <v>210440.148116</v>
      </c>
      <c r="CRG363" s="1648">
        <v>330912.82974800002</v>
      </c>
      <c r="CRH363" s="1648">
        <v>321507.96580100001</v>
      </c>
      <c r="CRI363" s="1648">
        <v>310040.96500000003</v>
      </c>
      <c r="CRJ363" s="1648">
        <v>306104.158</v>
      </c>
      <c r="CRK363" s="1648">
        <v>350079.51500000001</v>
      </c>
      <c r="CRL363" s="1648">
        <v>376736.01</v>
      </c>
      <c r="CRM363" s="1648">
        <v>382165.86499999999</v>
      </c>
      <c r="CRN363" s="1648">
        <v>356897.57900000003</v>
      </c>
      <c r="CRO363" s="635">
        <v>3961904</v>
      </c>
      <c r="CRP363" s="633">
        <f>SUM(CRC363:CRN363)</f>
        <v>3961903.5018060002</v>
      </c>
      <c r="CRQ363" s="919" t="s">
        <v>1837</v>
      </c>
      <c r="CRR363" s="1643" t="s">
        <v>1838</v>
      </c>
      <c r="CRS363" s="1648">
        <v>344028.50012699998</v>
      </c>
      <c r="CRT363" s="1648">
        <v>335387.28629100003</v>
      </c>
      <c r="CRU363" s="1648">
        <v>337602.67972299998</v>
      </c>
      <c r="CRV363" s="1648">
        <v>210440.148116</v>
      </c>
      <c r="CRW363" s="1648">
        <v>330912.82974800002</v>
      </c>
      <c r="CRX363" s="1648">
        <v>321507.96580100001</v>
      </c>
      <c r="CRY363" s="1648">
        <v>310040.96500000003</v>
      </c>
      <c r="CRZ363" s="1648">
        <v>306104.158</v>
      </c>
      <c r="CSA363" s="1648">
        <v>350079.51500000001</v>
      </c>
      <c r="CSB363" s="1648">
        <v>376736.01</v>
      </c>
      <c r="CSC363" s="1648">
        <v>382165.86499999999</v>
      </c>
      <c r="CSD363" s="1648">
        <v>356897.57900000003</v>
      </c>
      <c r="CSE363" s="635">
        <v>3961904</v>
      </c>
      <c r="CSF363" s="633">
        <f>SUM(CRS363:CSD363)</f>
        <v>3961903.5018060002</v>
      </c>
      <c r="CSG363" s="919" t="s">
        <v>1837</v>
      </c>
      <c r="CSH363" s="1643" t="s">
        <v>1838</v>
      </c>
      <c r="CSI363" s="1648">
        <v>344028.50012699998</v>
      </c>
      <c r="CSJ363" s="1648">
        <v>335387.28629100003</v>
      </c>
      <c r="CSK363" s="1648">
        <v>337602.67972299998</v>
      </c>
      <c r="CSL363" s="1648">
        <v>210440.148116</v>
      </c>
      <c r="CSM363" s="1648">
        <v>330912.82974800002</v>
      </c>
      <c r="CSN363" s="1648">
        <v>321507.96580100001</v>
      </c>
      <c r="CSO363" s="1648">
        <v>310040.96500000003</v>
      </c>
      <c r="CSP363" s="1648">
        <v>306104.158</v>
      </c>
      <c r="CSQ363" s="1648">
        <v>350079.51500000001</v>
      </c>
      <c r="CSR363" s="1648">
        <v>376736.01</v>
      </c>
      <c r="CSS363" s="1648">
        <v>382165.86499999999</v>
      </c>
      <c r="CST363" s="1648">
        <v>356897.57900000003</v>
      </c>
      <c r="CSU363" s="635">
        <v>3961904</v>
      </c>
      <c r="CSV363" s="633">
        <f>SUM(CSI363:CST363)</f>
        <v>3961903.5018060002</v>
      </c>
      <c r="CSW363" s="919" t="s">
        <v>1837</v>
      </c>
      <c r="CSX363" s="1643" t="s">
        <v>1838</v>
      </c>
      <c r="CSY363" s="1648">
        <v>344028.50012699998</v>
      </c>
      <c r="CSZ363" s="1648">
        <v>335387.28629100003</v>
      </c>
      <c r="CTA363" s="1648">
        <v>337602.67972299998</v>
      </c>
      <c r="CTB363" s="1648">
        <v>210440.148116</v>
      </c>
      <c r="CTC363" s="1648">
        <v>330912.82974800002</v>
      </c>
      <c r="CTD363" s="1648">
        <v>321507.96580100001</v>
      </c>
      <c r="CTE363" s="1648">
        <v>310040.96500000003</v>
      </c>
      <c r="CTF363" s="1648">
        <v>306104.158</v>
      </c>
      <c r="CTG363" s="1648">
        <v>350079.51500000001</v>
      </c>
      <c r="CTH363" s="1648">
        <v>376736.01</v>
      </c>
      <c r="CTI363" s="1648">
        <v>382165.86499999999</v>
      </c>
      <c r="CTJ363" s="1648">
        <v>356897.57900000003</v>
      </c>
      <c r="CTK363" s="635">
        <v>3961904</v>
      </c>
      <c r="CTL363" s="633">
        <f>SUM(CSY363:CTJ363)</f>
        <v>3961903.5018060002</v>
      </c>
      <c r="CTM363" s="919" t="s">
        <v>1837</v>
      </c>
      <c r="CTN363" s="1643" t="s">
        <v>1838</v>
      </c>
      <c r="CTO363" s="1648">
        <v>344028.50012699998</v>
      </c>
      <c r="CTP363" s="1648">
        <v>335387.28629100003</v>
      </c>
      <c r="CTQ363" s="1648">
        <v>337602.67972299998</v>
      </c>
      <c r="CTR363" s="1648">
        <v>210440.148116</v>
      </c>
      <c r="CTS363" s="1648">
        <v>330912.82974800002</v>
      </c>
      <c r="CTT363" s="1648">
        <v>321507.96580100001</v>
      </c>
      <c r="CTU363" s="1648">
        <v>310040.96500000003</v>
      </c>
      <c r="CTV363" s="1648">
        <v>306104.158</v>
      </c>
      <c r="CTW363" s="1648">
        <v>350079.51500000001</v>
      </c>
      <c r="CTX363" s="1648">
        <v>376736.01</v>
      </c>
      <c r="CTY363" s="1648">
        <v>382165.86499999999</v>
      </c>
      <c r="CTZ363" s="1648">
        <v>356897.57900000003</v>
      </c>
      <c r="CUA363" s="635">
        <v>3961904</v>
      </c>
      <c r="CUB363" s="633">
        <f>SUM(CTO363:CTZ363)</f>
        <v>3961903.5018060002</v>
      </c>
      <c r="CUC363" s="919" t="s">
        <v>1837</v>
      </c>
      <c r="CUD363" s="1643" t="s">
        <v>1838</v>
      </c>
      <c r="CUE363" s="1648">
        <v>344028.50012699998</v>
      </c>
      <c r="CUF363" s="1648">
        <v>335387.28629100003</v>
      </c>
      <c r="CUG363" s="1648">
        <v>337602.67972299998</v>
      </c>
      <c r="CUH363" s="1648">
        <v>210440.148116</v>
      </c>
      <c r="CUI363" s="1648">
        <v>330912.82974800002</v>
      </c>
      <c r="CUJ363" s="1648">
        <v>321507.96580100001</v>
      </c>
      <c r="CUK363" s="1648">
        <v>310040.96500000003</v>
      </c>
      <c r="CUL363" s="1648">
        <v>306104.158</v>
      </c>
      <c r="CUM363" s="1648">
        <v>350079.51500000001</v>
      </c>
      <c r="CUN363" s="1648">
        <v>376736.01</v>
      </c>
      <c r="CUO363" s="1648">
        <v>382165.86499999999</v>
      </c>
      <c r="CUP363" s="1648">
        <v>356897.57900000003</v>
      </c>
      <c r="CUQ363" s="635">
        <v>3961904</v>
      </c>
      <c r="CUR363" s="633">
        <f>SUM(CUE363:CUP363)</f>
        <v>3961903.5018060002</v>
      </c>
      <c r="CUS363" s="919" t="s">
        <v>1837</v>
      </c>
      <c r="CUT363" s="1643" t="s">
        <v>1838</v>
      </c>
      <c r="CUU363" s="1648">
        <v>344028.50012699998</v>
      </c>
      <c r="CUV363" s="1648">
        <v>335387.28629100003</v>
      </c>
      <c r="CUW363" s="1648">
        <v>337602.67972299998</v>
      </c>
      <c r="CUX363" s="1648">
        <v>210440.148116</v>
      </c>
      <c r="CUY363" s="1648">
        <v>330912.82974800002</v>
      </c>
      <c r="CUZ363" s="1648">
        <v>321507.96580100001</v>
      </c>
      <c r="CVA363" s="1648">
        <v>310040.96500000003</v>
      </c>
      <c r="CVB363" s="1648">
        <v>306104.158</v>
      </c>
      <c r="CVC363" s="1648">
        <v>350079.51500000001</v>
      </c>
      <c r="CVD363" s="1648">
        <v>376736.01</v>
      </c>
      <c r="CVE363" s="1648">
        <v>382165.86499999999</v>
      </c>
      <c r="CVF363" s="1648">
        <v>356897.57900000003</v>
      </c>
      <c r="CVG363" s="635">
        <v>3961904</v>
      </c>
      <c r="CVH363" s="633">
        <f>SUM(CUU363:CVF363)</f>
        <v>3961903.5018060002</v>
      </c>
      <c r="CVI363" s="919" t="s">
        <v>1837</v>
      </c>
      <c r="CVJ363" s="1643" t="s">
        <v>1838</v>
      </c>
      <c r="CVK363" s="1648">
        <v>344028.50012699998</v>
      </c>
      <c r="CVL363" s="1648">
        <v>335387.28629100003</v>
      </c>
      <c r="CVM363" s="1648">
        <v>337602.67972299998</v>
      </c>
      <c r="CVN363" s="1648">
        <v>210440.148116</v>
      </c>
      <c r="CVO363" s="1648">
        <v>330912.82974800002</v>
      </c>
      <c r="CVP363" s="1648">
        <v>321507.96580100001</v>
      </c>
      <c r="CVQ363" s="1648">
        <v>310040.96500000003</v>
      </c>
      <c r="CVR363" s="1648">
        <v>306104.158</v>
      </c>
      <c r="CVS363" s="1648">
        <v>350079.51500000001</v>
      </c>
      <c r="CVT363" s="1648">
        <v>376736.01</v>
      </c>
      <c r="CVU363" s="1648">
        <v>382165.86499999999</v>
      </c>
      <c r="CVV363" s="1648">
        <v>356897.57900000003</v>
      </c>
      <c r="CVW363" s="635">
        <v>3961904</v>
      </c>
      <c r="CVX363" s="633">
        <f>SUM(CVK363:CVV363)</f>
        <v>3961903.5018060002</v>
      </c>
      <c r="CVY363" s="919" t="s">
        <v>1837</v>
      </c>
      <c r="CVZ363" s="1643" t="s">
        <v>1838</v>
      </c>
      <c r="CWA363" s="1648">
        <v>344028.50012699998</v>
      </c>
      <c r="CWB363" s="1648">
        <v>335387.28629100003</v>
      </c>
      <c r="CWC363" s="1648">
        <v>337602.67972299998</v>
      </c>
      <c r="CWD363" s="1648">
        <v>210440.148116</v>
      </c>
      <c r="CWE363" s="1648">
        <v>330912.82974800002</v>
      </c>
      <c r="CWF363" s="1648">
        <v>321507.96580100001</v>
      </c>
      <c r="CWG363" s="1648">
        <v>310040.96500000003</v>
      </c>
      <c r="CWH363" s="1648">
        <v>306104.158</v>
      </c>
      <c r="CWI363" s="1648">
        <v>350079.51500000001</v>
      </c>
      <c r="CWJ363" s="1648">
        <v>376736.01</v>
      </c>
      <c r="CWK363" s="1648">
        <v>382165.86499999999</v>
      </c>
      <c r="CWL363" s="1648">
        <v>356897.57900000003</v>
      </c>
      <c r="CWM363" s="635">
        <v>3961904</v>
      </c>
      <c r="CWN363" s="633">
        <f>SUM(CWA363:CWL363)</f>
        <v>3961903.5018060002</v>
      </c>
      <c r="CWO363" s="919" t="s">
        <v>1837</v>
      </c>
      <c r="CWP363" s="1643" t="s">
        <v>1838</v>
      </c>
      <c r="CWQ363" s="1648">
        <v>344028.50012699998</v>
      </c>
      <c r="CWR363" s="1648">
        <v>335387.28629100003</v>
      </c>
      <c r="CWS363" s="1648">
        <v>337602.67972299998</v>
      </c>
      <c r="CWT363" s="1648">
        <v>210440.148116</v>
      </c>
      <c r="CWU363" s="1648">
        <v>330912.82974800002</v>
      </c>
      <c r="CWV363" s="1648">
        <v>321507.96580100001</v>
      </c>
      <c r="CWW363" s="1648">
        <v>310040.96500000003</v>
      </c>
      <c r="CWX363" s="1648">
        <v>306104.158</v>
      </c>
      <c r="CWY363" s="1648">
        <v>350079.51500000001</v>
      </c>
      <c r="CWZ363" s="1648">
        <v>376736.01</v>
      </c>
      <c r="CXA363" s="1648">
        <v>382165.86499999999</v>
      </c>
      <c r="CXB363" s="1648">
        <v>356897.57900000003</v>
      </c>
      <c r="CXC363" s="635">
        <v>3961904</v>
      </c>
      <c r="CXD363" s="633">
        <f>SUM(CWQ363:CXB363)</f>
        <v>3961903.5018060002</v>
      </c>
      <c r="CXE363" s="919" t="s">
        <v>1837</v>
      </c>
      <c r="CXF363" s="1643" t="s">
        <v>1838</v>
      </c>
      <c r="CXG363" s="1648">
        <v>344028.50012699998</v>
      </c>
      <c r="CXH363" s="1648">
        <v>335387.28629100003</v>
      </c>
      <c r="CXI363" s="1648">
        <v>337602.67972299998</v>
      </c>
      <c r="CXJ363" s="1648">
        <v>210440.148116</v>
      </c>
      <c r="CXK363" s="1648">
        <v>330912.82974800002</v>
      </c>
      <c r="CXL363" s="1648">
        <v>321507.96580100001</v>
      </c>
      <c r="CXM363" s="1648">
        <v>310040.96500000003</v>
      </c>
      <c r="CXN363" s="1648">
        <v>306104.158</v>
      </c>
      <c r="CXO363" s="1648">
        <v>350079.51500000001</v>
      </c>
      <c r="CXP363" s="1648">
        <v>376736.01</v>
      </c>
      <c r="CXQ363" s="1648">
        <v>382165.86499999999</v>
      </c>
      <c r="CXR363" s="1648">
        <v>356897.57900000003</v>
      </c>
      <c r="CXS363" s="635">
        <v>3961904</v>
      </c>
      <c r="CXT363" s="633">
        <f>SUM(CXG363:CXR363)</f>
        <v>3961903.5018060002</v>
      </c>
      <c r="CXU363" s="919" t="s">
        <v>1837</v>
      </c>
      <c r="CXV363" s="1643" t="s">
        <v>1838</v>
      </c>
      <c r="CXW363" s="1648">
        <v>344028.50012699998</v>
      </c>
      <c r="CXX363" s="1648">
        <v>335387.28629100003</v>
      </c>
      <c r="CXY363" s="1648">
        <v>337602.67972299998</v>
      </c>
      <c r="CXZ363" s="1648">
        <v>210440.148116</v>
      </c>
      <c r="CYA363" s="1648">
        <v>330912.82974800002</v>
      </c>
      <c r="CYB363" s="1648">
        <v>321507.96580100001</v>
      </c>
      <c r="CYC363" s="1648">
        <v>310040.96500000003</v>
      </c>
      <c r="CYD363" s="1648">
        <v>306104.158</v>
      </c>
      <c r="CYE363" s="1648">
        <v>350079.51500000001</v>
      </c>
      <c r="CYF363" s="1648">
        <v>376736.01</v>
      </c>
      <c r="CYG363" s="1648">
        <v>382165.86499999999</v>
      </c>
      <c r="CYH363" s="1648">
        <v>356897.57900000003</v>
      </c>
      <c r="CYI363" s="635">
        <v>3961904</v>
      </c>
      <c r="CYJ363" s="633">
        <f>SUM(CXW363:CYH363)</f>
        <v>3961903.5018060002</v>
      </c>
      <c r="CYK363" s="919" t="s">
        <v>1837</v>
      </c>
      <c r="CYL363" s="1643" t="s">
        <v>1838</v>
      </c>
      <c r="CYM363" s="1648">
        <v>344028.50012699998</v>
      </c>
      <c r="CYN363" s="1648">
        <v>335387.28629100003</v>
      </c>
      <c r="CYO363" s="1648">
        <v>337602.67972299998</v>
      </c>
      <c r="CYP363" s="1648">
        <v>210440.148116</v>
      </c>
      <c r="CYQ363" s="1648">
        <v>330912.82974800002</v>
      </c>
      <c r="CYR363" s="1648">
        <v>321507.96580100001</v>
      </c>
      <c r="CYS363" s="1648">
        <v>310040.96500000003</v>
      </c>
      <c r="CYT363" s="1648">
        <v>306104.158</v>
      </c>
      <c r="CYU363" s="1648">
        <v>350079.51500000001</v>
      </c>
      <c r="CYV363" s="1648">
        <v>376736.01</v>
      </c>
      <c r="CYW363" s="1648">
        <v>382165.86499999999</v>
      </c>
      <c r="CYX363" s="1648">
        <v>356897.57900000003</v>
      </c>
      <c r="CYY363" s="635">
        <v>3961904</v>
      </c>
      <c r="CYZ363" s="633">
        <f>SUM(CYM363:CYX363)</f>
        <v>3961903.5018060002</v>
      </c>
      <c r="CZA363" s="919" t="s">
        <v>1837</v>
      </c>
      <c r="CZB363" s="1643" t="s">
        <v>1838</v>
      </c>
      <c r="CZC363" s="1648">
        <v>344028.50012699998</v>
      </c>
      <c r="CZD363" s="1648">
        <v>335387.28629100003</v>
      </c>
      <c r="CZE363" s="1648">
        <v>337602.67972299998</v>
      </c>
      <c r="CZF363" s="1648">
        <v>210440.148116</v>
      </c>
      <c r="CZG363" s="1648">
        <v>330912.82974800002</v>
      </c>
      <c r="CZH363" s="1648">
        <v>321507.96580100001</v>
      </c>
      <c r="CZI363" s="1648">
        <v>310040.96500000003</v>
      </c>
      <c r="CZJ363" s="1648">
        <v>306104.158</v>
      </c>
      <c r="CZK363" s="1648">
        <v>350079.51500000001</v>
      </c>
      <c r="CZL363" s="1648">
        <v>376736.01</v>
      </c>
      <c r="CZM363" s="1648">
        <v>382165.86499999999</v>
      </c>
      <c r="CZN363" s="1648">
        <v>356897.57900000003</v>
      </c>
      <c r="CZO363" s="635">
        <v>3961904</v>
      </c>
      <c r="CZP363" s="633">
        <f>SUM(CZC363:CZN363)</f>
        <v>3961903.5018060002</v>
      </c>
      <c r="CZQ363" s="919" t="s">
        <v>1837</v>
      </c>
      <c r="CZR363" s="1643" t="s">
        <v>1838</v>
      </c>
      <c r="CZS363" s="1648">
        <v>344028.50012699998</v>
      </c>
      <c r="CZT363" s="1648">
        <v>335387.28629100003</v>
      </c>
      <c r="CZU363" s="1648">
        <v>337602.67972299998</v>
      </c>
      <c r="CZV363" s="1648">
        <v>210440.148116</v>
      </c>
      <c r="CZW363" s="1648">
        <v>330912.82974800002</v>
      </c>
      <c r="CZX363" s="1648">
        <v>321507.96580100001</v>
      </c>
      <c r="CZY363" s="1648">
        <v>310040.96500000003</v>
      </c>
      <c r="CZZ363" s="1648">
        <v>306104.158</v>
      </c>
      <c r="DAA363" s="1648">
        <v>350079.51500000001</v>
      </c>
      <c r="DAB363" s="1648">
        <v>376736.01</v>
      </c>
      <c r="DAC363" s="1648">
        <v>382165.86499999999</v>
      </c>
      <c r="DAD363" s="1648">
        <v>356897.57900000003</v>
      </c>
      <c r="DAE363" s="635">
        <v>3961904</v>
      </c>
      <c r="DAF363" s="633">
        <f>SUM(CZS363:DAD363)</f>
        <v>3961903.5018060002</v>
      </c>
      <c r="DAG363" s="919" t="s">
        <v>1837</v>
      </c>
      <c r="DAH363" s="1643" t="s">
        <v>1838</v>
      </c>
      <c r="DAI363" s="1648">
        <v>344028.50012699998</v>
      </c>
      <c r="DAJ363" s="1648">
        <v>335387.28629100003</v>
      </c>
      <c r="DAK363" s="1648">
        <v>337602.67972299998</v>
      </c>
      <c r="DAL363" s="1648">
        <v>210440.148116</v>
      </c>
      <c r="DAM363" s="1648">
        <v>330912.82974800002</v>
      </c>
      <c r="DAN363" s="1648">
        <v>321507.96580100001</v>
      </c>
      <c r="DAO363" s="1648">
        <v>310040.96500000003</v>
      </c>
      <c r="DAP363" s="1648">
        <v>306104.158</v>
      </c>
      <c r="DAQ363" s="1648">
        <v>350079.51500000001</v>
      </c>
      <c r="DAR363" s="1648">
        <v>376736.01</v>
      </c>
      <c r="DAS363" s="1648">
        <v>382165.86499999999</v>
      </c>
      <c r="DAT363" s="1648">
        <v>356897.57900000003</v>
      </c>
      <c r="DAU363" s="635">
        <v>3961904</v>
      </c>
      <c r="DAV363" s="633">
        <f>SUM(DAI363:DAT363)</f>
        <v>3961903.5018060002</v>
      </c>
      <c r="DAW363" s="919" t="s">
        <v>1837</v>
      </c>
      <c r="DAX363" s="1643" t="s">
        <v>1838</v>
      </c>
      <c r="DAY363" s="1648">
        <v>344028.50012699998</v>
      </c>
      <c r="DAZ363" s="1648">
        <v>335387.28629100003</v>
      </c>
      <c r="DBA363" s="1648">
        <v>337602.67972299998</v>
      </c>
      <c r="DBB363" s="1648">
        <v>210440.148116</v>
      </c>
      <c r="DBC363" s="1648">
        <v>330912.82974800002</v>
      </c>
      <c r="DBD363" s="1648">
        <v>321507.96580100001</v>
      </c>
      <c r="DBE363" s="1648">
        <v>310040.96500000003</v>
      </c>
      <c r="DBF363" s="1648">
        <v>306104.158</v>
      </c>
      <c r="DBG363" s="1648">
        <v>350079.51500000001</v>
      </c>
      <c r="DBH363" s="1648">
        <v>376736.01</v>
      </c>
      <c r="DBI363" s="1648">
        <v>382165.86499999999</v>
      </c>
      <c r="DBJ363" s="1648">
        <v>356897.57900000003</v>
      </c>
      <c r="DBK363" s="635">
        <v>3961904</v>
      </c>
      <c r="DBL363" s="633">
        <f>SUM(DAY363:DBJ363)</f>
        <v>3961903.5018060002</v>
      </c>
      <c r="DBM363" s="919" t="s">
        <v>1837</v>
      </c>
      <c r="DBN363" s="1643" t="s">
        <v>1838</v>
      </c>
      <c r="DBO363" s="1648">
        <v>344028.50012699998</v>
      </c>
      <c r="DBP363" s="1648">
        <v>335387.28629100003</v>
      </c>
      <c r="DBQ363" s="1648">
        <v>337602.67972299998</v>
      </c>
      <c r="DBR363" s="1648">
        <v>210440.148116</v>
      </c>
      <c r="DBS363" s="1648">
        <v>330912.82974800002</v>
      </c>
      <c r="DBT363" s="1648">
        <v>321507.96580100001</v>
      </c>
      <c r="DBU363" s="1648">
        <v>310040.96500000003</v>
      </c>
      <c r="DBV363" s="1648">
        <v>306104.158</v>
      </c>
      <c r="DBW363" s="1648">
        <v>350079.51500000001</v>
      </c>
      <c r="DBX363" s="1648">
        <v>376736.01</v>
      </c>
      <c r="DBY363" s="1648">
        <v>382165.86499999999</v>
      </c>
      <c r="DBZ363" s="1648">
        <v>356897.57900000003</v>
      </c>
      <c r="DCA363" s="635">
        <v>3961904</v>
      </c>
      <c r="DCB363" s="633">
        <f>SUM(DBO363:DBZ363)</f>
        <v>3961903.5018060002</v>
      </c>
      <c r="DCC363" s="919" t="s">
        <v>1837</v>
      </c>
      <c r="DCD363" s="1643" t="s">
        <v>1838</v>
      </c>
      <c r="DCE363" s="1648">
        <v>344028.50012699998</v>
      </c>
      <c r="DCF363" s="1648">
        <v>335387.28629100003</v>
      </c>
      <c r="DCG363" s="1648">
        <v>337602.67972299998</v>
      </c>
      <c r="DCH363" s="1648">
        <v>210440.148116</v>
      </c>
      <c r="DCI363" s="1648">
        <v>330912.82974800002</v>
      </c>
      <c r="DCJ363" s="1648">
        <v>321507.96580100001</v>
      </c>
      <c r="DCK363" s="1648">
        <v>310040.96500000003</v>
      </c>
      <c r="DCL363" s="1648">
        <v>306104.158</v>
      </c>
      <c r="DCM363" s="1648">
        <v>350079.51500000001</v>
      </c>
      <c r="DCN363" s="1648">
        <v>376736.01</v>
      </c>
      <c r="DCO363" s="1648">
        <v>382165.86499999999</v>
      </c>
      <c r="DCP363" s="1648">
        <v>356897.57900000003</v>
      </c>
      <c r="DCQ363" s="635">
        <v>3961904</v>
      </c>
      <c r="DCR363" s="633">
        <f>SUM(DCE363:DCP363)</f>
        <v>3961903.5018060002</v>
      </c>
      <c r="DCS363" s="919" t="s">
        <v>1837</v>
      </c>
      <c r="DCT363" s="1643" t="s">
        <v>1838</v>
      </c>
      <c r="DCU363" s="1648">
        <v>344028.50012699998</v>
      </c>
      <c r="DCV363" s="1648">
        <v>335387.28629100003</v>
      </c>
      <c r="DCW363" s="1648">
        <v>337602.67972299998</v>
      </c>
      <c r="DCX363" s="1648">
        <v>210440.148116</v>
      </c>
      <c r="DCY363" s="1648">
        <v>330912.82974800002</v>
      </c>
      <c r="DCZ363" s="1648">
        <v>321507.96580100001</v>
      </c>
      <c r="DDA363" s="1648">
        <v>310040.96500000003</v>
      </c>
      <c r="DDB363" s="1648">
        <v>306104.158</v>
      </c>
      <c r="DDC363" s="1648">
        <v>350079.51500000001</v>
      </c>
      <c r="DDD363" s="1648">
        <v>376736.01</v>
      </c>
      <c r="DDE363" s="1648">
        <v>382165.86499999999</v>
      </c>
      <c r="DDF363" s="1648">
        <v>356897.57900000003</v>
      </c>
      <c r="DDG363" s="635">
        <v>3961904</v>
      </c>
      <c r="DDH363" s="633">
        <f>SUM(DCU363:DDF363)</f>
        <v>3961903.5018060002</v>
      </c>
      <c r="DDI363" s="919" t="s">
        <v>1837</v>
      </c>
      <c r="DDJ363" s="1643" t="s">
        <v>1838</v>
      </c>
      <c r="DDK363" s="1648">
        <v>344028.50012699998</v>
      </c>
      <c r="DDL363" s="1648">
        <v>335387.28629100003</v>
      </c>
      <c r="DDM363" s="1648">
        <v>337602.67972299998</v>
      </c>
      <c r="DDN363" s="1648">
        <v>210440.148116</v>
      </c>
      <c r="DDO363" s="1648">
        <v>330912.82974800002</v>
      </c>
      <c r="DDP363" s="1648">
        <v>321507.96580100001</v>
      </c>
      <c r="DDQ363" s="1648">
        <v>310040.96500000003</v>
      </c>
      <c r="DDR363" s="1648">
        <v>306104.158</v>
      </c>
      <c r="DDS363" s="1648">
        <v>350079.51500000001</v>
      </c>
      <c r="DDT363" s="1648">
        <v>376736.01</v>
      </c>
      <c r="DDU363" s="1648">
        <v>382165.86499999999</v>
      </c>
      <c r="DDV363" s="1648">
        <v>356897.57900000003</v>
      </c>
      <c r="DDW363" s="635">
        <v>3961904</v>
      </c>
      <c r="DDX363" s="633">
        <f>SUM(DDK363:DDV363)</f>
        <v>3961903.5018060002</v>
      </c>
      <c r="DDY363" s="919" t="s">
        <v>1837</v>
      </c>
      <c r="DDZ363" s="1643" t="s">
        <v>1838</v>
      </c>
      <c r="DEA363" s="1648">
        <v>344028.50012699998</v>
      </c>
      <c r="DEB363" s="1648">
        <v>335387.28629100003</v>
      </c>
      <c r="DEC363" s="1648">
        <v>337602.67972299998</v>
      </c>
      <c r="DED363" s="1648">
        <v>210440.148116</v>
      </c>
      <c r="DEE363" s="1648">
        <v>330912.82974800002</v>
      </c>
      <c r="DEF363" s="1648">
        <v>321507.96580100001</v>
      </c>
      <c r="DEG363" s="1648">
        <v>310040.96500000003</v>
      </c>
      <c r="DEH363" s="1648">
        <v>306104.158</v>
      </c>
      <c r="DEI363" s="1648">
        <v>350079.51500000001</v>
      </c>
      <c r="DEJ363" s="1648">
        <v>376736.01</v>
      </c>
      <c r="DEK363" s="1648">
        <v>382165.86499999999</v>
      </c>
      <c r="DEL363" s="1648">
        <v>356897.57900000003</v>
      </c>
      <c r="DEM363" s="635">
        <v>3961904</v>
      </c>
      <c r="DEN363" s="633">
        <f>SUM(DEA363:DEL363)</f>
        <v>3961903.5018060002</v>
      </c>
      <c r="DEO363" s="919" t="s">
        <v>1837</v>
      </c>
      <c r="DEP363" s="1643" t="s">
        <v>1838</v>
      </c>
      <c r="DEQ363" s="1648">
        <v>344028.50012699998</v>
      </c>
      <c r="DER363" s="1648">
        <v>335387.28629100003</v>
      </c>
      <c r="DES363" s="1648">
        <v>337602.67972299998</v>
      </c>
      <c r="DET363" s="1648">
        <v>210440.148116</v>
      </c>
      <c r="DEU363" s="1648">
        <v>330912.82974800002</v>
      </c>
      <c r="DEV363" s="1648">
        <v>321507.96580100001</v>
      </c>
      <c r="DEW363" s="1648">
        <v>310040.96500000003</v>
      </c>
      <c r="DEX363" s="1648">
        <v>306104.158</v>
      </c>
      <c r="DEY363" s="1648">
        <v>350079.51500000001</v>
      </c>
      <c r="DEZ363" s="1648">
        <v>376736.01</v>
      </c>
      <c r="DFA363" s="1648">
        <v>382165.86499999999</v>
      </c>
      <c r="DFB363" s="1648">
        <v>356897.57900000003</v>
      </c>
      <c r="DFC363" s="635">
        <v>3961904</v>
      </c>
      <c r="DFD363" s="633">
        <f>SUM(DEQ363:DFB363)</f>
        <v>3961903.5018060002</v>
      </c>
      <c r="DFE363" s="919" t="s">
        <v>1837</v>
      </c>
      <c r="DFF363" s="1643" t="s">
        <v>1838</v>
      </c>
      <c r="DFG363" s="1648">
        <v>344028.50012699998</v>
      </c>
      <c r="DFH363" s="1648">
        <v>335387.28629100003</v>
      </c>
      <c r="DFI363" s="1648">
        <v>337602.67972299998</v>
      </c>
      <c r="DFJ363" s="1648">
        <v>210440.148116</v>
      </c>
      <c r="DFK363" s="1648">
        <v>330912.82974800002</v>
      </c>
      <c r="DFL363" s="1648">
        <v>321507.96580100001</v>
      </c>
      <c r="DFM363" s="1648">
        <v>310040.96500000003</v>
      </c>
      <c r="DFN363" s="1648">
        <v>306104.158</v>
      </c>
      <c r="DFO363" s="1648">
        <v>350079.51500000001</v>
      </c>
      <c r="DFP363" s="1648">
        <v>376736.01</v>
      </c>
      <c r="DFQ363" s="1648">
        <v>382165.86499999999</v>
      </c>
      <c r="DFR363" s="1648">
        <v>356897.57900000003</v>
      </c>
      <c r="DFS363" s="635">
        <v>3961904</v>
      </c>
      <c r="DFT363" s="633">
        <f>SUM(DFG363:DFR363)</f>
        <v>3961903.5018060002</v>
      </c>
      <c r="DFU363" s="919" t="s">
        <v>1837</v>
      </c>
      <c r="DFV363" s="1643" t="s">
        <v>1838</v>
      </c>
      <c r="DFW363" s="1648">
        <v>344028.50012699998</v>
      </c>
      <c r="DFX363" s="1648">
        <v>335387.28629100003</v>
      </c>
      <c r="DFY363" s="1648">
        <v>337602.67972299998</v>
      </c>
      <c r="DFZ363" s="1648">
        <v>210440.148116</v>
      </c>
      <c r="DGA363" s="1648">
        <v>330912.82974800002</v>
      </c>
      <c r="DGB363" s="1648">
        <v>321507.96580100001</v>
      </c>
      <c r="DGC363" s="1648">
        <v>310040.96500000003</v>
      </c>
      <c r="DGD363" s="1648">
        <v>306104.158</v>
      </c>
      <c r="DGE363" s="1648">
        <v>350079.51500000001</v>
      </c>
      <c r="DGF363" s="1648">
        <v>376736.01</v>
      </c>
      <c r="DGG363" s="1648">
        <v>382165.86499999999</v>
      </c>
      <c r="DGH363" s="1648">
        <v>356897.57900000003</v>
      </c>
      <c r="DGI363" s="635">
        <v>3961904</v>
      </c>
      <c r="DGJ363" s="633">
        <f>SUM(DFW363:DGH363)</f>
        <v>3961903.5018060002</v>
      </c>
      <c r="DGK363" s="919" t="s">
        <v>1837</v>
      </c>
      <c r="DGL363" s="1643" t="s">
        <v>1838</v>
      </c>
      <c r="DGM363" s="1648">
        <v>344028.50012699998</v>
      </c>
      <c r="DGN363" s="1648">
        <v>335387.28629100003</v>
      </c>
      <c r="DGO363" s="1648">
        <v>337602.67972299998</v>
      </c>
      <c r="DGP363" s="1648">
        <v>210440.148116</v>
      </c>
      <c r="DGQ363" s="1648">
        <v>330912.82974800002</v>
      </c>
      <c r="DGR363" s="1648">
        <v>321507.96580100001</v>
      </c>
      <c r="DGS363" s="1648">
        <v>310040.96500000003</v>
      </c>
      <c r="DGT363" s="1648">
        <v>306104.158</v>
      </c>
      <c r="DGU363" s="1648">
        <v>350079.51500000001</v>
      </c>
      <c r="DGV363" s="1648">
        <v>376736.01</v>
      </c>
      <c r="DGW363" s="1648">
        <v>382165.86499999999</v>
      </c>
      <c r="DGX363" s="1648">
        <v>356897.57900000003</v>
      </c>
      <c r="DGY363" s="635">
        <v>3961904</v>
      </c>
      <c r="DGZ363" s="633">
        <f>SUM(DGM363:DGX363)</f>
        <v>3961903.5018060002</v>
      </c>
      <c r="DHA363" s="919" t="s">
        <v>1837</v>
      </c>
      <c r="DHB363" s="1643" t="s">
        <v>1838</v>
      </c>
      <c r="DHC363" s="1648">
        <v>344028.50012699998</v>
      </c>
      <c r="DHD363" s="1648">
        <v>335387.28629100003</v>
      </c>
      <c r="DHE363" s="1648">
        <v>337602.67972299998</v>
      </c>
      <c r="DHF363" s="1648">
        <v>210440.148116</v>
      </c>
      <c r="DHG363" s="1648">
        <v>330912.82974800002</v>
      </c>
      <c r="DHH363" s="1648">
        <v>321507.96580100001</v>
      </c>
      <c r="DHI363" s="1648">
        <v>310040.96500000003</v>
      </c>
      <c r="DHJ363" s="1648">
        <v>306104.158</v>
      </c>
      <c r="DHK363" s="1648">
        <v>350079.51500000001</v>
      </c>
      <c r="DHL363" s="1648">
        <v>376736.01</v>
      </c>
      <c r="DHM363" s="1648">
        <v>382165.86499999999</v>
      </c>
      <c r="DHN363" s="1648">
        <v>356897.57900000003</v>
      </c>
      <c r="DHO363" s="635">
        <v>3961904</v>
      </c>
      <c r="DHP363" s="633">
        <f>SUM(DHC363:DHN363)</f>
        <v>3961903.5018060002</v>
      </c>
      <c r="DHQ363" s="919" t="s">
        <v>1837</v>
      </c>
      <c r="DHR363" s="1643" t="s">
        <v>1838</v>
      </c>
      <c r="DHS363" s="1648">
        <v>344028.50012699998</v>
      </c>
      <c r="DHT363" s="1648">
        <v>335387.28629100003</v>
      </c>
      <c r="DHU363" s="1648">
        <v>337602.67972299998</v>
      </c>
      <c r="DHV363" s="1648">
        <v>210440.148116</v>
      </c>
      <c r="DHW363" s="1648">
        <v>330912.82974800002</v>
      </c>
      <c r="DHX363" s="1648">
        <v>321507.96580100001</v>
      </c>
      <c r="DHY363" s="1648">
        <v>310040.96500000003</v>
      </c>
      <c r="DHZ363" s="1648">
        <v>306104.158</v>
      </c>
      <c r="DIA363" s="1648">
        <v>350079.51500000001</v>
      </c>
      <c r="DIB363" s="1648">
        <v>376736.01</v>
      </c>
      <c r="DIC363" s="1648">
        <v>382165.86499999999</v>
      </c>
      <c r="DID363" s="1648">
        <v>356897.57900000003</v>
      </c>
      <c r="DIE363" s="635">
        <v>3961904</v>
      </c>
      <c r="DIF363" s="633">
        <f>SUM(DHS363:DID363)</f>
        <v>3961903.5018060002</v>
      </c>
      <c r="DIG363" s="919" t="s">
        <v>1837</v>
      </c>
      <c r="DIH363" s="1643" t="s">
        <v>1838</v>
      </c>
      <c r="DII363" s="1648">
        <v>344028.50012699998</v>
      </c>
      <c r="DIJ363" s="1648">
        <v>335387.28629100003</v>
      </c>
      <c r="DIK363" s="1648">
        <v>337602.67972299998</v>
      </c>
      <c r="DIL363" s="1648">
        <v>210440.148116</v>
      </c>
      <c r="DIM363" s="1648">
        <v>330912.82974800002</v>
      </c>
      <c r="DIN363" s="1648">
        <v>321507.96580100001</v>
      </c>
      <c r="DIO363" s="1648">
        <v>310040.96500000003</v>
      </c>
      <c r="DIP363" s="1648">
        <v>306104.158</v>
      </c>
      <c r="DIQ363" s="1648">
        <v>350079.51500000001</v>
      </c>
      <c r="DIR363" s="1648">
        <v>376736.01</v>
      </c>
      <c r="DIS363" s="1648">
        <v>382165.86499999999</v>
      </c>
      <c r="DIT363" s="1648">
        <v>356897.57900000003</v>
      </c>
      <c r="DIU363" s="635">
        <v>3961904</v>
      </c>
      <c r="DIV363" s="633">
        <f>SUM(DII363:DIT363)</f>
        <v>3961903.5018060002</v>
      </c>
      <c r="DIW363" s="919" t="s">
        <v>1837</v>
      </c>
      <c r="DIX363" s="1643" t="s">
        <v>1838</v>
      </c>
      <c r="DIY363" s="1648">
        <v>344028.50012699998</v>
      </c>
      <c r="DIZ363" s="1648">
        <v>335387.28629100003</v>
      </c>
      <c r="DJA363" s="1648">
        <v>337602.67972299998</v>
      </c>
      <c r="DJB363" s="1648">
        <v>210440.148116</v>
      </c>
      <c r="DJC363" s="1648">
        <v>330912.82974800002</v>
      </c>
      <c r="DJD363" s="1648">
        <v>321507.96580100001</v>
      </c>
      <c r="DJE363" s="1648">
        <v>310040.96500000003</v>
      </c>
      <c r="DJF363" s="1648">
        <v>306104.158</v>
      </c>
      <c r="DJG363" s="1648">
        <v>350079.51500000001</v>
      </c>
      <c r="DJH363" s="1648">
        <v>376736.01</v>
      </c>
      <c r="DJI363" s="1648">
        <v>382165.86499999999</v>
      </c>
      <c r="DJJ363" s="1648">
        <v>356897.57900000003</v>
      </c>
      <c r="DJK363" s="635">
        <v>3961904</v>
      </c>
      <c r="DJL363" s="633">
        <f>SUM(DIY363:DJJ363)</f>
        <v>3961903.5018060002</v>
      </c>
      <c r="DJM363" s="919" t="s">
        <v>1837</v>
      </c>
      <c r="DJN363" s="1643" t="s">
        <v>1838</v>
      </c>
      <c r="DJO363" s="1648">
        <v>344028.50012699998</v>
      </c>
      <c r="DJP363" s="1648">
        <v>335387.28629100003</v>
      </c>
      <c r="DJQ363" s="1648">
        <v>337602.67972299998</v>
      </c>
      <c r="DJR363" s="1648">
        <v>210440.148116</v>
      </c>
      <c r="DJS363" s="1648">
        <v>330912.82974800002</v>
      </c>
      <c r="DJT363" s="1648">
        <v>321507.96580100001</v>
      </c>
      <c r="DJU363" s="1648">
        <v>310040.96500000003</v>
      </c>
      <c r="DJV363" s="1648">
        <v>306104.158</v>
      </c>
      <c r="DJW363" s="1648">
        <v>350079.51500000001</v>
      </c>
      <c r="DJX363" s="1648">
        <v>376736.01</v>
      </c>
      <c r="DJY363" s="1648">
        <v>382165.86499999999</v>
      </c>
      <c r="DJZ363" s="1648">
        <v>356897.57900000003</v>
      </c>
      <c r="DKA363" s="635">
        <v>3961904</v>
      </c>
      <c r="DKB363" s="633">
        <f>SUM(DJO363:DJZ363)</f>
        <v>3961903.5018060002</v>
      </c>
      <c r="DKC363" s="919" t="s">
        <v>1837</v>
      </c>
      <c r="DKD363" s="1643" t="s">
        <v>1838</v>
      </c>
      <c r="DKE363" s="1648">
        <v>344028.50012699998</v>
      </c>
      <c r="DKF363" s="1648">
        <v>335387.28629100003</v>
      </c>
      <c r="DKG363" s="1648">
        <v>337602.67972299998</v>
      </c>
      <c r="DKH363" s="1648">
        <v>210440.148116</v>
      </c>
      <c r="DKI363" s="1648">
        <v>330912.82974800002</v>
      </c>
      <c r="DKJ363" s="1648">
        <v>321507.96580100001</v>
      </c>
      <c r="DKK363" s="1648">
        <v>310040.96500000003</v>
      </c>
      <c r="DKL363" s="1648">
        <v>306104.158</v>
      </c>
      <c r="DKM363" s="1648">
        <v>350079.51500000001</v>
      </c>
      <c r="DKN363" s="1648">
        <v>376736.01</v>
      </c>
      <c r="DKO363" s="1648">
        <v>382165.86499999999</v>
      </c>
      <c r="DKP363" s="1648">
        <v>356897.57900000003</v>
      </c>
      <c r="DKQ363" s="635">
        <v>3961904</v>
      </c>
      <c r="DKR363" s="633">
        <f>SUM(DKE363:DKP363)</f>
        <v>3961903.5018060002</v>
      </c>
      <c r="DKS363" s="919" t="s">
        <v>1837</v>
      </c>
      <c r="DKT363" s="1643" t="s">
        <v>1838</v>
      </c>
      <c r="DKU363" s="1648">
        <v>344028.50012699998</v>
      </c>
      <c r="DKV363" s="1648">
        <v>335387.28629100003</v>
      </c>
      <c r="DKW363" s="1648">
        <v>337602.67972299998</v>
      </c>
      <c r="DKX363" s="1648">
        <v>210440.148116</v>
      </c>
      <c r="DKY363" s="1648">
        <v>330912.82974800002</v>
      </c>
      <c r="DKZ363" s="1648">
        <v>321507.96580100001</v>
      </c>
      <c r="DLA363" s="1648">
        <v>310040.96500000003</v>
      </c>
      <c r="DLB363" s="1648">
        <v>306104.158</v>
      </c>
      <c r="DLC363" s="1648">
        <v>350079.51500000001</v>
      </c>
      <c r="DLD363" s="1648">
        <v>376736.01</v>
      </c>
      <c r="DLE363" s="1648">
        <v>382165.86499999999</v>
      </c>
      <c r="DLF363" s="1648">
        <v>356897.57900000003</v>
      </c>
      <c r="DLG363" s="635">
        <v>3961904</v>
      </c>
      <c r="DLH363" s="633">
        <f>SUM(DKU363:DLF363)</f>
        <v>3961903.5018060002</v>
      </c>
      <c r="DLI363" s="919" t="s">
        <v>1837</v>
      </c>
      <c r="DLJ363" s="1643" t="s">
        <v>1838</v>
      </c>
      <c r="DLK363" s="1648">
        <v>344028.50012699998</v>
      </c>
      <c r="DLL363" s="1648">
        <v>335387.28629100003</v>
      </c>
      <c r="DLM363" s="1648">
        <v>337602.67972299998</v>
      </c>
      <c r="DLN363" s="1648">
        <v>210440.148116</v>
      </c>
      <c r="DLO363" s="1648">
        <v>330912.82974800002</v>
      </c>
      <c r="DLP363" s="1648">
        <v>321507.96580100001</v>
      </c>
      <c r="DLQ363" s="1648">
        <v>310040.96500000003</v>
      </c>
      <c r="DLR363" s="1648">
        <v>306104.158</v>
      </c>
      <c r="DLS363" s="1648">
        <v>350079.51500000001</v>
      </c>
      <c r="DLT363" s="1648">
        <v>376736.01</v>
      </c>
      <c r="DLU363" s="1648">
        <v>382165.86499999999</v>
      </c>
      <c r="DLV363" s="1648">
        <v>356897.57900000003</v>
      </c>
      <c r="DLW363" s="635">
        <v>3961904</v>
      </c>
      <c r="DLX363" s="633">
        <f>SUM(DLK363:DLV363)</f>
        <v>3961903.5018060002</v>
      </c>
      <c r="DLY363" s="919" t="s">
        <v>1837</v>
      </c>
      <c r="DLZ363" s="1643" t="s">
        <v>1838</v>
      </c>
      <c r="DMA363" s="1648">
        <v>344028.50012699998</v>
      </c>
      <c r="DMB363" s="1648">
        <v>335387.28629100003</v>
      </c>
      <c r="DMC363" s="1648">
        <v>337602.67972299998</v>
      </c>
      <c r="DMD363" s="1648">
        <v>210440.148116</v>
      </c>
      <c r="DME363" s="1648">
        <v>330912.82974800002</v>
      </c>
      <c r="DMF363" s="1648">
        <v>321507.96580100001</v>
      </c>
      <c r="DMG363" s="1648">
        <v>310040.96500000003</v>
      </c>
      <c r="DMH363" s="1648">
        <v>306104.158</v>
      </c>
      <c r="DMI363" s="1648">
        <v>350079.51500000001</v>
      </c>
      <c r="DMJ363" s="1648">
        <v>376736.01</v>
      </c>
      <c r="DMK363" s="1648">
        <v>382165.86499999999</v>
      </c>
      <c r="DML363" s="1648">
        <v>356897.57900000003</v>
      </c>
      <c r="DMM363" s="635">
        <v>3961904</v>
      </c>
      <c r="DMN363" s="633">
        <f>SUM(DMA363:DML363)</f>
        <v>3961903.5018060002</v>
      </c>
      <c r="DMO363" s="919" t="s">
        <v>1837</v>
      </c>
      <c r="DMP363" s="1643" t="s">
        <v>1838</v>
      </c>
      <c r="DMQ363" s="1648">
        <v>344028.50012699998</v>
      </c>
      <c r="DMR363" s="1648">
        <v>335387.28629100003</v>
      </c>
      <c r="DMS363" s="1648">
        <v>337602.67972299998</v>
      </c>
      <c r="DMT363" s="1648">
        <v>210440.148116</v>
      </c>
      <c r="DMU363" s="1648">
        <v>330912.82974800002</v>
      </c>
      <c r="DMV363" s="1648">
        <v>321507.96580100001</v>
      </c>
      <c r="DMW363" s="1648">
        <v>310040.96500000003</v>
      </c>
      <c r="DMX363" s="1648">
        <v>306104.158</v>
      </c>
      <c r="DMY363" s="1648">
        <v>350079.51500000001</v>
      </c>
      <c r="DMZ363" s="1648">
        <v>376736.01</v>
      </c>
      <c r="DNA363" s="1648">
        <v>382165.86499999999</v>
      </c>
      <c r="DNB363" s="1648">
        <v>356897.57900000003</v>
      </c>
      <c r="DNC363" s="635">
        <v>3961904</v>
      </c>
      <c r="DND363" s="633">
        <f>SUM(DMQ363:DNB363)</f>
        <v>3961903.5018060002</v>
      </c>
      <c r="DNE363" s="919" t="s">
        <v>1837</v>
      </c>
      <c r="DNF363" s="1643" t="s">
        <v>1838</v>
      </c>
      <c r="DNG363" s="1648">
        <v>344028.50012699998</v>
      </c>
      <c r="DNH363" s="1648">
        <v>335387.28629100003</v>
      </c>
      <c r="DNI363" s="1648">
        <v>337602.67972299998</v>
      </c>
      <c r="DNJ363" s="1648">
        <v>210440.148116</v>
      </c>
      <c r="DNK363" s="1648">
        <v>330912.82974800002</v>
      </c>
      <c r="DNL363" s="1648">
        <v>321507.96580100001</v>
      </c>
      <c r="DNM363" s="1648">
        <v>310040.96500000003</v>
      </c>
      <c r="DNN363" s="1648">
        <v>306104.158</v>
      </c>
      <c r="DNO363" s="1648">
        <v>350079.51500000001</v>
      </c>
      <c r="DNP363" s="1648">
        <v>376736.01</v>
      </c>
      <c r="DNQ363" s="1648">
        <v>382165.86499999999</v>
      </c>
      <c r="DNR363" s="1648">
        <v>356897.57900000003</v>
      </c>
      <c r="DNS363" s="635">
        <v>3961904</v>
      </c>
      <c r="DNT363" s="633">
        <f>SUM(DNG363:DNR363)</f>
        <v>3961903.5018060002</v>
      </c>
      <c r="DNU363" s="919" t="s">
        <v>1837</v>
      </c>
      <c r="DNV363" s="1643" t="s">
        <v>1838</v>
      </c>
      <c r="DNW363" s="1648">
        <v>344028.50012699998</v>
      </c>
      <c r="DNX363" s="1648">
        <v>335387.28629100003</v>
      </c>
      <c r="DNY363" s="1648">
        <v>337602.67972299998</v>
      </c>
      <c r="DNZ363" s="1648">
        <v>210440.148116</v>
      </c>
      <c r="DOA363" s="1648">
        <v>330912.82974800002</v>
      </c>
      <c r="DOB363" s="1648">
        <v>321507.96580100001</v>
      </c>
      <c r="DOC363" s="1648">
        <v>310040.96500000003</v>
      </c>
      <c r="DOD363" s="1648">
        <v>306104.158</v>
      </c>
      <c r="DOE363" s="1648">
        <v>350079.51500000001</v>
      </c>
      <c r="DOF363" s="1648">
        <v>376736.01</v>
      </c>
      <c r="DOG363" s="1648">
        <v>382165.86499999999</v>
      </c>
      <c r="DOH363" s="1648">
        <v>356897.57900000003</v>
      </c>
      <c r="DOI363" s="635">
        <v>3961904</v>
      </c>
      <c r="DOJ363" s="633">
        <f>SUM(DNW363:DOH363)</f>
        <v>3961903.5018060002</v>
      </c>
      <c r="DOK363" s="919" t="s">
        <v>1837</v>
      </c>
      <c r="DOL363" s="1643" t="s">
        <v>1838</v>
      </c>
      <c r="DOM363" s="1648">
        <v>344028.50012699998</v>
      </c>
      <c r="DON363" s="1648">
        <v>335387.28629100003</v>
      </c>
      <c r="DOO363" s="1648">
        <v>337602.67972299998</v>
      </c>
      <c r="DOP363" s="1648">
        <v>210440.148116</v>
      </c>
      <c r="DOQ363" s="1648">
        <v>330912.82974800002</v>
      </c>
      <c r="DOR363" s="1648">
        <v>321507.96580100001</v>
      </c>
      <c r="DOS363" s="1648">
        <v>310040.96500000003</v>
      </c>
      <c r="DOT363" s="1648">
        <v>306104.158</v>
      </c>
      <c r="DOU363" s="1648">
        <v>350079.51500000001</v>
      </c>
      <c r="DOV363" s="1648">
        <v>376736.01</v>
      </c>
      <c r="DOW363" s="1648">
        <v>382165.86499999999</v>
      </c>
      <c r="DOX363" s="1648">
        <v>356897.57900000003</v>
      </c>
      <c r="DOY363" s="635">
        <v>3961904</v>
      </c>
      <c r="DOZ363" s="633">
        <f>SUM(DOM363:DOX363)</f>
        <v>3961903.5018060002</v>
      </c>
      <c r="DPA363" s="919" t="s">
        <v>1837</v>
      </c>
      <c r="DPB363" s="1643" t="s">
        <v>1838</v>
      </c>
      <c r="DPC363" s="1648">
        <v>344028.50012699998</v>
      </c>
      <c r="DPD363" s="1648">
        <v>335387.28629100003</v>
      </c>
      <c r="DPE363" s="1648">
        <v>337602.67972299998</v>
      </c>
      <c r="DPF363" s="1648">
        <v>210440.148116</v>
      </c>
      <c r="DPG363" s="1648">
        <v>330912.82974800002</v>
      </c>
      <c r="DPH363" s="1648">
        <v>321507.96580100001</v>
      </c>
      <c r="DPI363" s="1648">
        <v>310040.96500000003</v>
      </c>
      <c r="DPJ363" s="1648">
        <v>306104.158</v>
      </c>
      <c r="DPK363" s="1648">
        <v>350079.51500000001</v>
      </c>
      <c r="DPL363" s="1648">
        <v>376736.01</v>
      </c>
      <c r="DPM363" s="1648">
        <v>382165.86499999999</v>
      </c>
      <c r="DPN363" s="1648">
        <v>356897.57900000003</v>
      </c>
      <c r="DPO363" s="635">
        <v>3961904</v>
      </c>
      <c r="DPP363" s="633">
        <f>SUM(DPC363:DPN363)</f>
        <v>3961903.5018060002</v>
      </c>
      <c r="DPQ363" s="919" t="s">
        <v>1837</v>
      </c>
      <c r="DPR363" s="1643" t="s">
        <v>1838</v>
      </c>
      <c r="DPS363" s="1648">
        <v>344028.50012699998</v>
      </c>
      <c r="DPT363" s="1648">
        <v>335387.28629100003</v>
      </c>
      <c r="DPU363" s="1648">
        <v>337602.67972299998</v>
      </c>
      <c r="DPV363" s="1648">
        <v>210440.148116</v>
      </c>
      <c r="DPW363" s="1648">
        <v>330912.82974800002</v>
      </c>
      <c r="DPX363" s="1648">
        <v>321507.96580100001</v>
      </c>
      <c r="DPY363" s="1648">
        <v>310040.96500000003</v>
      </c>
      <c r="DPZ363" s="1648">
        <v>306104.158</v>
      </c>
      <c r="DQA363" s="1648">
        <v>350079.51500000001</v>
      </c>
      <c r="DQB363" s="1648">
        <v>376736.01</v>
      </c>
      <c r="DQC363" s="1648">
        <v>382165.86499999999</v>
      </c>
      <c r="DQD363" s="1648">
        <v>356897.57900000003</v>
      </c>
      <c r="DQE363" s="635">
        <v>3961904</v>
      </c>
      <c r="DQF363" s="633">
        <f>SUM(DPS363:DQD363)</f>
        <v>3961903.5018060002</v>
      </c>
      <c r="DQG363" s="919" t="s">
        <v>1837</v>
      </c>
      <c r="DQH363" s="1643" t="s">
        <v>1838</v>
      </c>
      <c r="DQI363" s="1648">
        <v>344028.50012699998</v>
      </c>
      <c r="DQJ363" s="1648">
        <v>335387.28629100003</v>
      </c>
      <c r="DQK363" s="1648">
        <v>337602.67972299998</v>
      </c>
      <c r="DQL363" s="1648">
        <v>210440.148116</v>
      </c>
      <c r="DQM363" s="1648">
        <v>330912.82974800002</v>
      </c>
      <c r="DQN363" s="1648">
        <v>321507.96580100001</v>
      </c>
      <c r="DQO363" s="1648">
        <v>310040.96500000003</v>
      </c>
      <c r="DQP363" s="1648">
        <v>306104.158</v>
      </c>
      <c r="DQQ363" s="1648">
        <v>350079.51500000001</v>
      </c>
      <c r="DQR363" s="1648">
        <v>376736.01</v>
      </c>
      <c r="DQS363" s="1648">
        <v>382165.86499999999</v>
      </c>
      <c r="DQT363" s="1648">
        <v>356897.57900000003</v>
      </c>
      <c r="DQU363" s="635">
        <v>3961904</v>
      </c>
      <c r="DQV363" s="633">
        <f>SUM(DQI363:DQT363)</f>
        <v>3961903.5018060002</v>
      </c>
      <c r="DQW363" s="919" t="s">
        <v>1837</v>
      </c>
      <c r="DQX363" s="1643" t="s">
        <v>1838</v>
      </c>
      <c r="DQY363" s="1648">
        <v>344028.50012699998</v>
      </c>
      <c r="DQZ363" s="1648">
        <v>335387.28629100003</v>
      </c>
      <c r="DRA363" s="1648">
        <v>337602.67972299998</v>
      </c>
      <c r="DRB363" s="1648">
        <v>210440.148116</v>
      </c>
      <c r="DRC363" s="1648">
        <v>330912.82974800002</v>
      </c>
      <c r="DRD363" s="1648">
        <v>321507.96580100001</v>
      </c>
      <c r="DRE363" s="1648">
        <v>310040.96500000003</v>
      </c>
      <c r="DRF363" s="1648">
        <v>306104.158</v>
      </c>
      <c r="DRG363" s="1648">
        <v>350079.51500000001</v>
      </c>
      <c r="DRH363" s="1648">
        <v>376736.01</v>
      </c>
      <c r="DRI363" s="1648">
        <v>382165.86499999999</v>
      </c>
      <c r="DRJ363" s="1648">
        <v>356897.57900000003</v>
      </c>
      <c r="DRK363" s="635">
        <v>3961904</v>
      </c>
      <c r="DRL363" s="633">
        <f>SUM(DQY363:DRJ363)</f>
        <v>3961903.5018060002</v>
      </c>
      <c r="DRM363" s="919" t="s">
        <v>1837</v>
      </c>
      <c r="DRN363" s="1643" t="s">
        <v>1838</v>
      </c>
      <c r="DRO363" s="1648">
        <v>344028.50012699998</v>
      </c>
      <c r="DRP363" s="1648">
        <v>335387.28629100003</v>
      </c>
      <c r="DRQ363" s="1648">
        <v>337602.67972299998</v>
      </c>
      <c r="DRR363" s="1648">
        <v>210440.148116</v>
      </c>
      <c r="DRS363" s="1648">
        <v>330912.82974800002</v>
      </c>
      <c r="DRT363" s="1648">
        <v>321507.96580100001</v>
      </c>
      <c r="DRU363" s="1648">
        <v>310040.96500000003</v>
      </c>
      <c r="DRV363" s="1648">
        <v>306104.158</v>
      </c>
      <c r="DRW363" s="1648">
        <v>350079.51500000001</v>
      </c>
      <c r="DRX363" s="1648">
        <v>376736.01</v>
      </c>
      <c r="DRY363" s="1648">
        <v>382165.86499999999</v>
      </c>
      <c r="DRZ363" s="1648">
        <v>356897.57900000003</v>
      </c>
      <c r="DSA363" s="635">
        <v>3961904</v>
      </c>
      <c r="DSB363" s="633">
        <f>SUM(DRO363:DRZ363)</f>
        <v>3961903.5018060002</v>
      </c>
      <c r="DSC363" s="919" t="s">
        <v>1837</v>
      </c>
      <c r="DSD363" s="1643" t="s">
        <v>1838</v>
      </c>
      <c r="DSE363" s="1648">
        <v>344028.50012699998</v>
      </c>
      <c r="DSF363" s="1648">
        <v>335387.28629100003</v>
      </c>
      <c r="DSG363" s="1648">
        <v>337602.67972299998</v>
      </c>
      <c r="DSH363" s="1648">
        <v>210440.148116</v>
      </c>
      <c r="DSI363" s="1648">
        <v>330912.82974800002</v>
      </c>
      <c r="DSJ363" s="1648">
        <v>321507.96580100001</v>
      </c>
      <c r="DSK363" s="1648">
        <v>310040.96500000003</v>
      </c>
      <c r="DSL363" s="1648">
        <v>306104.158</v>
      </c>
      <c r="DSM363" s="1648">
        <v>350079.51500000001</v>
      </c>
      <c r="DSN363" s="1648">
        <v>376736.01</v>
      </c>
      <c r="DSO363" s="1648">
        <v>382165.86499999999</v>
      </c>
      <c r="DSP363" s="1648">
        <v>356897.57900000003</v>
      </c>
      <c r="DSQ363" s="635">
        <v>3961904</v>
      </c>
      <c r="DSR363" s="633">
        <f>SUM(DSE363:DSP363)</f>
        <v>3961903.5018060002</v>
      </c>
      <c r="DSS363" s="919" t="s">
        <v>1837</v>
      </c>
      <c r="DST363" s="1643" t="s">
        <v>1838</v>
      </c>
      <c r="DSU363" s="1648">
        <v>344028.50012699998</v>
      </c>
      <c r="DSV363" s="1648">
        <v>335387.28629100003</v>
      </c>
      <c r="DSW363" s="1648">
        <v>337602.67972299998</v>
      </c>
      <c r="DSX363" s="1648">
        <v>210440.148116</v>
      </c>
      <c r="DSY363" s="1648">
        <v>330912.82974800002</v>
      </c>
      <c r="DSZ363" s="1648">
        <v>321507.96580100001</v>
      </c>
      <c r="DTA363" s="1648">
        <v>310040.96500000003</v>
      </c>
      <c r="DTB363" s="1648">
        <v>306104.158</v>
      </c>
      <c r="DTC363" s="1648">
        <v>350079.51500000001</v>
      </c>
      <c r="DTD363" s="1648">
        <v>376736.01</v>
      </c>
      <c r="DTE363" s="1648">
        <v>382165.86499999999</v>
      </c>
      <c r="DTF363" s="1648">
        <v>356897.57900000003</v>
      </c>
      <c r="DTG363" s="635">
        <v>3961904</v>
      </c>
      <c r="DTH363" s="633">
        <f>SUM(DSU363:DTF363)</f>
        <v>3961903.5018060002</v>
      </c>
      <c r="DTI363" s="919" t="s">
        <v>1837</v>
      </c>
      <c r="DTJ363" s="1643" t="s">
        <v>1838</v>
      </c>
      <c r="DTK363" s="1648">
        <v>344028.50012699998</v>
      </c>
      <c r="DTL363" s="1648">
        <v>335387.28629100003</v>
      </c>
      <c r="DTM363" s="1648">
        <v>337602.67972299998</v>
      </c>
      <c r="DTN363" s="1648">
        <v>210440.148116</v>
      </c>
      <c r="DTO363" s="1648">
        <v>330912.82974800002</v>
      </c>
      <c r="DTP363" s="1648">
        <v>321507.96580100001</v>
      </c>
      <c r="DTQ363" s="1648">
        <v>310040.96500000003</v>
      </c>
      <c r="DTR363" s="1648">
        <v>306104.158</v>
      </c>
      <c r="DTS363" s="1648">
        <v>350079.51500000001</v>
      </c>
      <c r="DTT363" s="1648">
        <v>376736.01</v>
      </c>
      <c r="DTU363" s="1648">
        <v>382165.86499999999</v>
      </c>
      <c r="DTV363" s="1648">
        <v>356897.57900000003</v>
      </c>
      <c r="DTW363" s="635">
        <v>3961904</v>
      </c>
      <c r="DTX363" s="633">
        <f>SUM(DTK363:DTV363)</f>
        <v>3961903.5018060002</v>
      </c>
      <c r="DTY363" s="919" t="s">
        <v>1837</v>
      </c>
      <c r="DTZ363" s="1643" t="s">
        <v>1838</v>
      </c>
      <c r="DUA363" s="1648">
        <v>344028.50012699998</v>
      </c>
      <c r="DUB363" s="1648">
        <v>335387.28629100003</v>
      </c>
      <c r="DUC363" s="1648">
        <v>337602.67972299998</v>
      </c>
      <c r="DUD363" s="1648">
        <v>210440.148116</v>
      </c>
      <c r="DUE363" s="1648">
        <v>330912.82974800002</v>
      </c>
      <c r="DUF363" s="1648">
        <v>321507.96580100001</v>
      </c>
      <c r="DUG363" s="1648">
        <v>310040.96500000003</v>
      </c>
      <c r="DUH363" s="1648">
        <v>306104.158</v>
      </c>
      <c r="DUI363" s="1648">
        <v>350079.51500000001</v>
      </c>
      <c r="DUJ363" s="1648">
        <v>376736.01</v>
      </c>
      <c r="DUK363" s="1648">
        <v>382165.86499999999</v>
      </c>
      <c r="DUL363" s="1648">
        <v>356897.57900000003</v>
      </c>
      <c r="DUM363" s="635">
        <v>3961904</v>
      </c>
      <c r="DUN363" s="633">
        <f>SUM(DUA363:DUL363)</f>
        <v>3961903.5018060002</v>
      </c>
      <c r="DUO363" s="919" t="s">
        <v>1837</v>
      </c>
      <c r="DUP363" s="1643" t="s">
        <v>1838</v>
      </c>
      <c r="DUQ363" s="1648">
        <v>344028.50012699998</v>
      </c>
      <c r="DUR363" s="1648">
        <v>335387.28629100003</v>
      </c>
      <c r="DUS363" s="1648">
        <v>337602.67972299998</v>
      </c>
      <c r="DUT363" s="1648">
        <v>210440.148116</v>
      </c>
      <c r="DUU363" s="1648">
        <v>330912.82974800002</v>
      </c>
      <c r="DUV363" s="1648">
        <v>321507.96580100001</v>
      </c>
      <c r="DUW363" s="1648">
        <v>310040.96500000003</v>
      </c>
      <c r="DUX363" s="1648">
        <v>306104.158</v>
      </c>
      <c r="DUY363" s="1648">
        <v>350079.51500000001</v>
      </c>
      <c r="DUZ363" s="1648">
        <v>376736.01</v>
      </c>
      <c r="DVA363" s="1648">
        <v>382165.86499999999</v>
      </c>
      <c r="DVB363" s="1648">
        <v>356897.57900000003</v>
      </c>
      <c r="DVC363" s="635">
        <v>3961904</v>
      </c>
      <c r="DVD363" s="633">
        <f>SUM(DUQ363:DVB363)</f>
        <v>3961903.5018060002</v>
      </c>
      <c r="DVE363" s="919" t="s">
        <v>1837</v>
      </c>
      <c r="DVF363" s="1643" t="s">
        <v>1838</v>
      </c>
      <c r="DVG363" s="1648">
        <v>344028.50012699998</v>
      </c>
      <c r="DVH363" s="1648">
        <v>335387.28629100003</v>
      </c>
      <c r="DVI363" s="1648">
        <v>337602.67972299998</v>
      </c>
      <c r="DVJ363" s="1648">
        <v>210440.148116</v>
      </c>
      <c r="DVK363" s="1648">
        <v>330912.82974800002</v>
      </c>
      <c r="DVL363" s="1648">
        <v>321507.96580100001</v>
      </c>
      <c r="DVM363" s="1648">
        <v>310040.96500000003</v>
      </c>
      <c r="DVN363" s="1648">
        <v>306104.158</v>
      </c>
      <c r="DVO363" s="1648">
        <v>350079.51500000001</v>
      </c>
      <c r="DVP363" s="1648">
        <v>376736.01</v>
      </c>
      <c r="DVQ363" s="1648">
        <v>382165.86499999999</v>
      </c>
      <c r="DVR363" s="1648">
        <v>356897.57900000003</v>
      </c>
      <c r="DVS363" s="635">
        <v>3961904</v>
      </c>
      <c r="DVT363" s="633">
        <f>SUM(DVG363:DVR363)</f>
        <v>3961903.5018060002</v>
      </c>
      <c r="DVU363" s="919" t="s">
        <v>1837</v>
      </c>
      <c r="DVV363" s="1643" t="s">
        <v>1838</v>
      </c>
      <c r="DVW363" s="1648">
        <v>344028.50012699998</v>
      </c>
      <c r="DVX363" s="1648">
        <v>335387.28629100003</v>
      </c>
      <c r="DVY363" s="1648">
        <v>337602.67972299998</v>
      </c>
      <c r="DVZ363" s="1648">
        <v>210440.148116</v>
      </c>
      <c r="DWA363" s="1648">
        <v>330912.82974800002</v>
      </c>
      <c r="DWB363" s="1648">
        <v>321507.96580100001</v>
      </c>
      <c r="DWC363" s="1648">
        <v>310040.96500000003</v>
      </c>
      <c r="DWD363" s="1648">
        <v>306104.158</v>
      </c>
      <c r="DWE363" s="1648">
        <v>350079.51500000001</v>
      </c>
      <c r="DWF363" s="1648">
        <v>376736.01</v>
      </c>
      <c r="DWG363" s="1648">
        <v>382165.86499999999</v>
      </c>
      <c r="DWH363" s="1648">
        <v>356897.57900000003</v>
      </c>
      <c r="DWI363" s="635">
        <v>3961904</v>
      </c>
      <c r="DWJ363" s="633">
        <f>SUM(DVW363:DWH363)</f>
        <v>3961903.5018060002</v>
      </c>
      <c r="DWK363" s="919" t="s">
        <v>1837</v>
      </c>
      <c r="DWL363" s="1643" t="s">
        <v>1838</v>
      </c>
      <c r="DWM363" s="1648">
        <v>344028.50012699998</v>
      </c>
      <c r="DWN363" s="1648">
        <v>335387.28629100003</v>
      </c>
      <c r="DWO363" s="1648">
        <v>337602.67972299998</v>
      </c>
      <c r="DWP363" s="1648">
        <v>210440.148116</v>
      </c>
      <c r="DWQ363" s="1648">
        <v>330912.82974800002</v>
      </c>
      <c r="DWR363" s="1648">
        <v>321507.96580100001</v>
      </c>
      <c r="DWS363" s="1648">
        <v>310040.96500000003</v>
      </c>
      <c r="DWT363" s="1648">
        <v>306104.158</v>
      </c>
      <c r="DWU363" s="1648">
        <v>350079.51500000001</v>
      </c>
      <c r="DWV363" s="1648">
        <v>376736.01</v>
      </c>
      <c r="DWW363" s="1648">
        <v>382165.86499999999</v>
      </c>
      <c r="DWX363" s="1648">
        <v>356897.57900000003</v>
      </c>
      <c r="DWY363" s="635">
        <v>3961904</v>
      </c>
      <c r="DWZ363" s="633">
        <f>SUM(DWM363:DWX363)</f>
        <v>3961903.5018060002</v>
      </c>
      <c r="DXA363" s="919" t="s">
        <v>1837</v>
      </c>
      <c r="DXB363" s="1643" t="s">
        <v>1838</v>
      </c>
      <c r="DXC363" s="1648">
        <v>344028.50012699998</v>
      </c>
      <c r="DXD363" s="1648">
        <v>335387.28629100003</v>
      </c>
      <c r="DXE363" s="1648">
        <v>337602.67972299998</v>
      </c>
      <c r="DXF363" s="1648">
        <v>210440.148116</v>
      </c>
      <c r="DXG363" s="1648">
        <v>330912.82974800002</v>
      </c>
      <c r="DXH363" s="1648">
        <v>321507.96580100001</v>
      </c>
      <c r="DXI363" s="1648">
        <v>310040.96500000003</v>
      </c>
      <c r="DXJ363" s="1648">
        <v>306104.158</v>
      </c>
      <c r="DXK363" s="1648">
        <v>350079.51500000001</v>
      </c>
      <c r="DXL363" s="1648">
        <v>376736.01</v>
      </c>
      <c r="DXM363" s="1648">
        <v>382165.86499999999</v>
      </c>
      <c r="DXN363" s="1648">
        <v>356897.57900000003</v>
      </c>
      <c r="DXO363" s="635">
        <v>3961904</v>
      </c>
      <c r="DXP363" s="633">
        <f>SUM(DXC363:DXN363)</f>
        <v>3961903.5018060002</v>
      </c>
      <c r="DXQ363" s="919" t="s">
        <v>1837</v>
      </c>
      <c r="DXR363" s="1643" t="s">
        <v>1838</v>
      </c>
      <c r="DXS363" s="1648">
        <v>344028.50012699998</v>
      </c>
      <c r="DXT363" s="1648">
        <v>335387.28629100003</v>
      </c>
      <c r="DXU363" s="1648">
        <v>337602.67972299998</v>
      </c>
      <c r="DXV363" s="1648">
        <v>210440.148116</v>
      </c>
      <c r="DXW363" s="1648">
        <v>330912.82974800002</v>
      </c>
      <c r="DXX363" s="1648">
        <v>321507.96580100001</v>
      </c>
      <c r="DXY363" s="1648">
        <v>310040.96500000003</v>
      </c>
      <c r="DXZ363" s="1648">
        <v>306104.158</v>
      </c>
      <c r="DYA363" s="1648">
        <v>350079.51500000001</v>
      </c>
      <c r="DYB363" s="1648">
        <v>376736.01</v>
      </c>
      <c r="DYC363" s="1648">
        <v>382165.86499999999</v>
      </c>
      <c r="DYD363" s="1648">
        <v>356897.57900000003</v>
      </c>
      <c r="DYE363" s="635">
        <v>3961904</v>
      </c>
      <c r="DYF363" s="633">
        <f>SUM(DXS363:DYD363)</f>
        <v>3961903.5018060002</v>
      </c>
      <c r="DYG363" s="919" t="s">
        <v>1837</v>
      </c>
      <c r="DYH363" s="1643" t="s">
        <v>1838</v>
      </c>
      <c r="DYI363" s="1648">
        <v>344028.50012699998</v>
      </c>
      <c r="DYJ363" s="1648">
        <v>335387.28629100003</v>
      </c>
      <c r="DYK363" s="1648">
        <v>337602.67972299998</v>
      </c>
      <c r="DYL363" s="1648">
        <v>210440.148116</v>
      </c>
      <c r="DYM363" s="1648">
        <v>330912.82974800002</v>
      </c>
      <c r="DYN363" s="1648">
        <v>321507.96580100001</v>
      </c>
      <c r="DYO363" s="1648">
        <v>310040.96500000003</v>
      </c>
      <c r="DYP363" s="1648">
        <v>306104.158</v>
      </c>
      <c r="DYQ363" s="1648">
        <v>350079.51500000001</v>
      </c>
      <c r="DYR363" s="1648">
        <v>376736.01</v>
      </c>
      <c r="DYS363" s="1648">
        <v>382165.86499999999</v>
      </c>
      <c r="DYT363" s="1648">
        <v>356897.57900000003</v>
      </c>
      <c r="DYU363" s="635">
        <v>3961904</v>
      </c>
      <c r="DYV363" s="633">
        <f>SUM(DYI363:DYT363)</f>
        <v>3961903.5018060002</v>
      </c>
      <c r="DYW363" s="919" t="s">
        <v>1837</v>
      </c>
      <c r="DYX363" s="1643" t="s">
        <v>1838</v>
      </c>
      <c r="DYY363" s="1648">
        <v>344028.50012699998</v>
      </c>
      <c r="DYZ363" s="1648">
        <v>335387.28629100003</v>
      </c>
      <c r="DZA363" s="1648">
        <v>337602.67972299998</v>
      </c>
      <c r="DZB363" s="1648">
        <v>210440.148116</v>
      </c>
      <c r="DZC363" s="1648">
        <v>330912.82974800002</v>
      </c>
      <c r="DZD363" s="1648">
        <v>321507.96580100001</v>
      </c>
      <c r="DZE363" s="1648">
        <v>310040.96500000003</v>
      </c>
      <c r="DZF363" s="1648">
        <v>306104.158</v>
      </c>
      <c r="DZG363" s="1648">
        <v>350079.51500000001</v>
      </c>
      <c r="DZH363" s="1648">
        <v>376736.01</v>
      </c>
      <c r="DZI363" s="1648">
        <v>382165.86499999999</v>
      </c>
      <c r="DZJ363" s="1648">
        <v>356897.57900000003</v>
      </c>
      <c r="DZK363" s="635">
        <v>3961904</v>
      </c>
      <c r="DZL363" s="633">
        <f>SUM(DYY363:DZJ363)</f>
        <v>3961903.5018060002</v>
      </c>
      <c r="DZM363" s="919" t="s">
        <v>1837</v>
      </c>
      <c r="DZN363" s="1643" t="s">
        <v>1838</v>
      </c>
      <c r="DZO363" s="1648">
        <v>344028.50012699998</v>
      </c>
      <c r="DZP363" s="1648">
        <v>335387.28629100003</v>
      </c>
      <c r="DZQ363" s="1648">
        <v>337602.67972299998</v>
      </c>
      <c r="DZR363" s="1648">
        <v>210440.148116</v>
      </c>
      <c r="DZS363" s="1648">
        <v>330912.82974800002</v>
      </c>
      <c r="DZT363" s="1648">
        <v>321507.96580100001</v>
      </c>
      <c r="DZU363" s="1648">
        <v>310040.96500000003</v>
      </c>
      <c r="DZV363" s="1648">
        <v>306104.158</v>
      </c>
      <c r="DZW363" s="1648">
        <v>350079.51500000001</v>
      </c>
      <c r="DZX363" s="1648">
        <v>376736.01</v>
      </c>
      <c r="DZY363" s="1648">
        <v>382165.86499999999</v>
      </c>
      <c r="DZZ363" s="1648">
        <v>356897.57900000003</v>
      </c>
      <c r="EAA363" s="635">
        <v>3961904</v>
      </c>
      <c r="EAB363" s="633">
        <f>SUM(DZO363:DZZ363)</f>
        <v>3961903.5018060002</v>
      </c>
      <c r="EAC363" s="919" t="s">
        <v>1837</v>
      </c>
      <c r="EAD363" s="1643" t="s">
        <v>1838</v>
      </c>
      <c r="EAE363" s="1648">
        <v>344028.50012699998</v>
      </c>
      <c r="EAF363" s="1648">
        <v>335387.28629100003</v>
      </c>
      <c r="EAG363" s="1648">
        <v>337602.67972299998</v>
      </c>
      <c r="EAH363" s="1648">
        <v>210440.148116</v>
      </c>
      <c r="EAI363" s="1648">
        <v>330912.82974800002</v>
      </c>
      <c r="EAJ363" s="1648">
        <v>321507.96580100001</v>
      </c>
      <c r="EAK363" s="1648">
        <v>310040.96500000003</v>
      </c>
      <c r="EAL363" s="1648">
        <v>306104.158</v>
      </c>
      <c r="EAM363" s="1648">
        <v>350079.51500000001</v>
      </c>
      <c r="EAN363" s="1648">
        <v>376736.01</v>
      </c>
      <c r="EAO363" s="1648">
        <v>382165.86499999999</v>
      </c>
      <c r="EAP363" s="1648">
        <v>356897.57900000003</v>
      </c>
      <c r="EAQ363" s="635">
        <v>3961904</v>
      </c>
      <c r="EAR363" s="633">
        <f>SUM(EAE363:EAP363)</f>
        <v>3961903.5018060002</v>
      </c>
      <c r="EAS363" s="919" t="s">
        <v>1837</v>
      </c>
      <c r="EAT363" s="1643" t="s">
        <v>1838</v>
      </c>
      <c r="EAU363" s="1648">
        <v>344028.50012699998</v>
      </c>
      <c r="EAV363" s="1648">
        <v>335387.28629100003</v>
      </c>
      <c r="EAW363" s="1648">
        <v>337602.67972299998</v>
      </c>
      <c r="EAX363" s="1648">
        <v>210440.148116</v>
      </c>
      <c r="EAY363" s="1648">
        <v>330912.82974800002</v>
      </c>
      <c r="EAZ363" s="1648">
        <v>321507.96580100001</v>
      </c>
      <c r="EBA363" s="1648">
        <v>310040.96500000003</v>
      </c>
      <c r="EBB363" s="1648">
        <v>306104.158</v>
      </c>
      <c r="EBC363" s="1648">
        <v>350079.51500000001</v>
      </c>
      <c r="EBD363" s="1648">
        <v>376736.01</v>
      </c>
      <c r="EBE363" s="1648">
        <v>382165.86499999999</v>
      </c>
      <c r="EBF363" s="1648">
        <v>356897.57900000003</v>
      </c>
      <c r="EBG363" s="635">
        <v>3961904</v>
      </c>
      <c r="EBH363" s="633">
        <f>SUM(EAU363:EBF363)</f>
        <v>3961903.5018060002</v>
      </c>
      <c r="EBI363" s="919" t="s">
        <v>1837</v>
      </c>
      <c r="EBJ363" s="1643" t="s">
        <v>1838</v>
      </c>
      <c r="EBK363" s="1648">
        <v>344028.50012699998</v>
      </c>
      <c r="EBL363" s="1648">
        <v>335387.28629100003</v>
      </c>
      <c r="EBM363" s="1648">
        <v>337602.67972299998</v>
      </c>
      <c r="EBN363" s="1648">
        <v>210440.148116</v>
      </c>
      <c r="EBO363" s="1648">
        <v>330912.82974800002</v>
      </c>
      <c r="EBP363" s="1648">
        <v>321507.96580100001</v>
      </c>
      <c r="EBQ363" s="1648">
        <v>310040.96500000003</v>
      </c>
      <c r="EBR363" s="1648">
        <v>306104.158</v>
      </c>
      <c r="EBS363" s="1648">
        <v>350079.51500000001</v>
      </c>
      <c r="EBT363" s="1648">
        <v>376736.01</v>
      </c>
      <c r="EBU363" s="1648">
        <v>382165.86499999999</v>
      </c>
      <c r="EBV363" s="1648">
        <v>356897.57900000003</v>
      </c>
      <c r="EBW363" s="635">
        <v>3961904</v>
      </c>
      <c r="EBX363" s="633">
        <f>SUM(EBK363:EBV363)</f>
        <v>3961903.5018060002</v>
      </c>
      <c r="EBY363" s="919" t="s">
        <v>1837</v>
      </c>
      <c r="EBZ363" s="1643" t="s">
        <v>1838</v>
      </c>
      <c r="ECA363" s="1648">
        <v>344028.50012699998</v>
      </c>
      <c r="ECB363" s="1648">
        <v>335387.28629100003</v>
      </c>
      <c r="ECC363" s="1648">
        <v>337602.67972299998</v>
      </c>
      <c r="ECD363" s="1648">
        <v>210440.148116</v>
      </c>
      <c r="ECE363" s="1648">
        <v>330912.82974800002</v>
      </c>
      <c r="ECF363" s="1648">
        <v>321507.96580100001</v>
      </c>
      <c r="ECG363" s="1648">
        <v>310040.96500000003</v>
      </c>
      <c r="ECH363" s="1648">
        <v>306104.158</v>
      </c>
      <c r="ECI363" s="1648">
        <v>350079.51500000001</v>
      </c>
      <c r="ECJ363" s="1648">
        <v>376736.01</v>
      </c>
      <c r="ECK363" s="1648">
        <v>382165.86499999999</v>
      </c>
      <c r="ECL363" s="1648">
        <v>356897.57900000003</v>
      </c>
      <c r="ECM363" s="635">
        <v>3961904</v>
      </c>
      <c r="ECN363" s="633">
        <f>SUM(ECA363:ECL363)</f>
        <v>3961903.5018060002</v>
      </c>
      <c r="ECO363" s="919" t="s">
        <v>1837</v>
      </c>
      <c r="ECP363" s="1643" t="s">
        <v>1838</v>
      </c>
      <c r="ECQ363" s="1648">
        <v>344028.50012699998</v>
      </c>
      <c r="ECR363" s="1648">
        <v>335387.28629100003</v>
      </c>
      <c r="ECS363" s="1648">
        <v>337602.67972299998</v>
      </c>
      <c r="ECT363" s="1648">
        <v>210440.148116</v>
      </c>
      <c r="ECU363" s="1648">
        <v>330912.82974800002</v>
      </c>
      <c r="ECV363" s="1648">
        <v>321507.96580100001</v>
      </c>
      <c r="ECW363" s="1648">
        <v>310040.96500000003</v>
      </c>
      <c r="ECX363" s="1648">
        <v>306104.158</v>
      </c>
      <c r="ECY363" s="1648">
        <v>350079.51500000001</v>
      </c>
      <c r="ECZ363" s="1648">
        <v>376736.01</v>
      </c>
      <c r="EDA363" s="1648">
        <v>382165.86499999999</v>
      </c>
      <c r="EDB363" s="1648">
        <v>356897.57900000003</v>
      </c>
      <c r="EDC363" s="635">
        <v>3961904</v>
      </c>
      <c r="EDD363" s="633">
        <f>SUM(ECQ363:EDB363)</f>
        <v>3961903.5018060002</v>
      </c>
      <c r="EDE363" s="919" t="s">
        <v>1837</v>
      </c>
      <c r="EDF363" s="1643" t="s">
        <v>1838</v>
      </c>
      <c r="EDG363" s="1648">
        <v>344028.50012699998</v>
      </c>
      <c r="EDH363" s="1648">
        <v>335387.28629100003</v>
      </c>
      <c r="EDI363" s="1648">
        <v>337602.67972299998</v>
      </c>
      <c r="EDJ363" s="1648">
        <v>210440.148116</v>
      </c>
      <c r="EDK363" s="1648">
        <v>330912.82974800002</v>
      </c>
      <c r="EDL363" s="1648">
        <v>321507.96580100001</v>
      </c>
      <c r="EDM363" s="1648">
        <v>310040.96500000003</v>
      </c>
      <c r="EDN363" s="1648">
        <v>306104.158</v>
      </c>
      <c r="EDO363" s="1648">
        <v>350079.51500000001</v>
      </c>
      <c r="EDP363" s="1648">
        <v>376736.01</v>
      </c>
      <c r="EDQ363" s="1648">
        <v>382165.86499999999</v>
      </c>
      <c r="EDR363" s="1648">
        <v>356897.57900000003</v>
      </c>
      <c r="EDS363" s="635">
        <v>3961904</v>
      </c>
      <c r="EDT363" s="633">
        <f>SUM(EDG363:EDR363)</f>
        <v>3961903.5018060002</v>
      </c>
      <c r="EDU363" s="919" t="s">
        <v>1837</v>
      </c>
      <c r="EDV363" s="1643" t="s">
        <v>1838</v>
      </c>
      <c r="EDW363" s="1648">
        <v>344028.50012699998</v>
      </c>
      <c r="EDX363" s="1648">
        <v>335387.28629100003</v>
      </c>
      <c r="EDY363" s="1648">
        <v>337602.67972299998</v>
      </c>
      <c r="EDZ363" s="1648">
        <v>210440.148116</v>
      </c>
      <c r="EEA363" s="1648">
        <v>330912.82974800002</v>
      </c>
      <c r="EEB363" s="1648">
        <v>321507.96580100001</v>
      </c>
      <c r="EEC363" s="1648">
        <v>310040.96500000003</v>
      </c>
      <c r="EED363" s="1648">
        <v>306104.158</v>
      </c>
      <c r="EEE363" s="1648">
        <v>350079.51500000001</v>
      </c>
      <c r="EEF363" s="1648">
        <v>376736.01</v>
      </c>
      <c r="EEG363" s="1648">
        <v>382165.86499999999</v>
      </c>
      <c r="EEH363" s="1648">
        <v>356897.57900000003</v>
      </c>
      <c r="EEI363" s="635">
        <v>3961904</v>
      </c>
      <c r="EEJ363" s="633">
        <f>SUM(EDW363:EEH363)</f>
        <v>3961903.5018060002</v>
      </c>
      <c r="EEK363" s="919" t="s">
        <v>1837</v>
      </c>
      <c r="EEL363" s="1643" t="s">
        <v>1838</v>
      </c>
      <c r="EEM363" s="1648">
        <v>344028.50012699998</v>
      </c>
      <c r="EEN363" s="1648">
        <v>335387.28629100003</v>
      </c>
      <c r="EEO363" s="1648">
        <v>337602.67972299998</v>
      </c>
      <c r="EEP363" s="1648">
        <v>210440.148116</v>
      </c>
      <c r="EEQ363" s="1648">
        <v>330912.82974800002</v>
      </c>
      <c r="EER363" s="1648">
        <v>321507.96580100001</v>
      </c>
      <c r="EES363" s="1648">
        <v>310040.96500000003</v>
      </c>
      <c r="EET363" s="1648">
        <v>306104.158</v>
      </c>
      <c r="EEU363" s="1648">
        <v>350079.51500000001</v>
      </c>
      <c r="EEV363" s="1648">
        <v>376736.01</v>
      </c>
      <c r="EEW363" s="1648">
        <v>382165.86499999999</v>
      </c>
      <c r="EEX363" s="1648">
        <v>356897.57900000003</v>
      </c>
      <c r="EEY363" s="635">
        <v>3961904</v>
      </c>
      <c r="EEZ363" s="633">
        <f>SUM(EEM363:EEX363)</f>
        <v>3961903.5018060002</v>
      </c>
      <c r="EFA363" s="919" t="s">
        <v>1837</v>
      </c>
      <c r="EFB363" s="1643" t="s">
        <v>1838</v>
      </c>
      <c r="EFC363" s="1648">
        <v>344028.50012699998</v>
      </c>
      <c r="EFD363" s="1648">
        <v>335387.28629100003</v>
      </c>
      <c r="EFE363" s="1648">
        <v>337602.67972299998</v>
      </c>
      <c r="EFF363" s="1648">
        <v>210440.148116</v>
      </c>
      <c r="EFG363" s="1648">
        <v>330912.82974800002</v>
      </c>
      <c r="EFH363" s="1648">
        <v>321507.96580100001</v>
      </c>
      <c r="EFI363" s="1648">
        <v>310040.96500000003</v>
      </c>
      <c r="EFJ363" s="1648">
        <v>306104.158</v>
      </c>
      <c r="EFK363" s="1648">
        <v>350079.51500000001</v>
      </c>
      <c r="EFL363" s="1648">
        <v>376736.01</v>
      </c>
      <c r="EFM363" s="1648">
        <v>382165.86499999999</v>
      </c>
      <c r="EFN363" s="1648">
        <v>356897.57900000003</v>
      </c>
      <c r="EFO363" s="635">
        <v>3961904</v>
      </c>
      <c r="EFP363" s="633">
        <f>SUM(EFC363:EFN363)</f>
        <v>3961903.5018060002</v>
      </c>
      <c r="EFQ363" s="919" t="s">
        <v>1837</v>
      </c>
      <c r="EFR363" s="1643" t="s">
        <v>1838</v>
      </c>
      <c r="EFS363" s="1648">
        <v>344028.50012699998</v>
      </c>
      <c r="EFT363" s="1648">
        <v>335387.28629100003</v>
      </c>
      <c r="EFU363" s="1648">
        <v>337602.67972299998</v>
      </c>
      <c r="EFV363" s="1648">
        <v>210440.148116</v>
      </c>
      <c r="EFW363" s="1648">
        <v>330912.82974800002</v>
      </c>
      <c r="EFX363" s="1648">
        <v>321507.96580100001</v>
      </c>
      <c r="EFY363" s="1648">
        <v>310040.96500000003</v>
      </c>
      <c r="EFZ363" s="1648">
        <v>306104.158</v>
      </c>
      <c r="EGA363" s="1648">
        <v>350079.51500000001</v>
      </c>
      <c r="EGB363" s="1648">
        <v>376736.01</v>
      </c>
      <c r="EGC363" s="1648">
        <v>382165.86499999999</v>
      </c>
      <c r="EGD363" s="1648">
        <v>356897.57900000003</v>
      </c>
      <c r="EGE363" s="635">
        <v>3961904</v>
      </c>
      <c r="EGF363" s="633">
        <f>SUM(EFS363:EGD363)</f>
        <v>3961903.5018060002</v>
      </c>
      <c r="EGG363" s="919" t="s">
        <v>1837</v>
      </c>
      <c r="EGH363" s="1643" t="s">
        <v>1838</v>
      </c>
      <c r="EGI363" s="1648">
        <v>344028.50012699998</v>
      </c>
      <c r="EGJ363" s="1648">
        <v>335387.28629100003</v>
      </c>
      <c r="EGK363" s="1648">
        <v>337602.67972299998</v>
      </c>
      <c r="EGL363" s="1648">
        <v>210440.148116</v>
      </c>
      <c r="EGM363" s="1648">
        <v>330912.82974800002</v>
      </c>
      <c r="EGN363" s="1648">
        <v>321507.96580100001</v>
      </c>
      <c r="EGO363" s="1648">
        <v>310040.96500000003</v>
      </c>
      <c r="EGP363" s="1648">
        <v>306104.158</v>
      </c>
      <c r="EGQ363" s="1648">
        <v>350079.51500000001</v>
      </c>
      <c r="EGR363" s="1648">
        <v>376736.01</v>
      </c>
      <c r="EGS363" s="1648">
        <v>382165.86499999999</v>
      </c>
      <c r="EGT363" s="1648">
        <v>356897.57900000003</v>
      </c>
      <c r="EGU363" s="635">
        <v>3961904</v>
      </c>
      <c r="EGV363" s="633">
        <f>SUM(EGI363:EGT363)</f>
        <v>3961903.5018060002</v>
      </c>
      <c r="EGW363" s="919" t="s">
        <v>1837</v>
      </c>
      <c r="EGX363" s="1643" t="s">
        <v>1838</v>
      </c>
      <c r="EGY363" s="1648">
        <v>344028.50012699998</v>
      </c>
      <c r="EGZ363" s="1648">
        <v>335387.28629100003</v>
      </c>
      <c r="EHA363" s="1648">
        <v>337602.67972299998</v>
      </c>
      <c r="EHB363" s="1648">
        <v>210440.148116</v>
      </c>
      <c r="EHC363" s="1648">
        <v>330912.82974800002</v>
      </c>
      <c r="EHD363" s="1648">
        <v>321507.96580100001</v>
      </c>
      <c r="EHE363" s="1648">
        <v>310040.96500000003</v>
      </c>
      <c r="EHF363" s="1648">
        <v>306104.158</v>
      </c>
      <c r="EHG363" s="1648">
        <v>350079.51500000001</v>
      </c>
      <c r="EHH363" s="1648">
        <v>376736.01</v>
      </c>
      <c r="EHI363" s="1648">
        <v>382165.86499999999</v>
      </c>
      <c r="EHJ363" s="1648">
        <v>356897.57900000003</v>
      </c>
      <c r="EHK363" s="635">
        <v>3961904</v>
      </c>
      <c r="EHL363" s="633">
        <f>SUM(EGY363:EHJ363)</f>
        <v>3961903.5018060002</v>
      </c>
      <c r="EHM363" s="919" t="s">
        <v>1837</v>
      </c>
      <c r="EHN363" s="1643" t="s">
        <v>1838</v>
      </c>
      <c r="EHO363" s="1648">
        <v>344028.50012699998</v>
      </c>
      <c r="EHP363" s="1648">
        <v>335387.28629100003</v>
      </c>
      <c r="EHQ363" s="1648">
        <v>337602.67972299998</v>
      </c>
      <c r="EHR363" s="1648">
        <v>210440.148116</v>
      </c>
      <c r="EHS363" s="1648">
        <v>330912.82974800002</v>
      </c>
      <c r="EHT363" s="1648">
        <v>321507.96580100001</v>
      </c>
      <c r="EHU363" s="1648">
        <v>310040.96500000003</v>
      </c>
      <c r="EHV363" s="1648">
        <v>306104.158</v>
      </c>
      <c r="EHW363" s="1648">
        <v>350079.51500000001</v>
      </c>
      <c r="EHX363" s="1648">
        <v>376736.01</v>
      </c>
      <c r="EHY363" s="1648">
        <v>382165.86499999999</v>
      </c>
      <c r="EHZ363" s="1648">
        <v>356897.57900000003</v>
      </c>
      <c r="EIA363" s="635">
        <v>3961904</v>
      </c>
      <c r="EIB363" s="633">
        <f>SUM(EHO363:EHZ363)</f>
        <v>3961903.5018060002</v>
      </c>
      <c r="EIC363" s="919" t="s">
        <v>1837</v>
      </c>
      <c r="EID363" s="1643" t="s">
        <v>1838</v>
      </c>
      <c r="EIE363" s="1648">
        <v>344028.50012699998</v>
      </c>
      <c r="EIF363" s="1648">
        <v>335387.28629100003</v>
      </c>
      <c r="EIG363" s="1648">
        <v>337602.67972299998</v>
      </c>
      <c r="EIH363" s="1648">
        <v>210440.148116</v>
      </c>
      <c r="EII363" s="1648">
        <v>330912.82974800002</v>
      </c>
      <c r="EIJ363" s="1648">
        <v>321507.96580100001</v>
      </c>
      <c r="EIK363" s="1648">
        <v>310040.96500000003</v>
      </c>
      <c r="EIL363" s="1648">
        <v>306104.158</v>
      </c>
      <c r="EIM363" s="1648">
        <v>350079.51500000001</v>
      </c>
      <c r="EIN363" s="1648">
        <v>376736.01</v>
      </c>
      <c r="EIO363" s="1648">
        <v>382165.86499999999</v>
      </c>
      <c r="EIP363" s="1648">
        <v>356897.57900000003</v>
      </c>
      <c r="EIQ363" s="635">
        <v>3961904</v>
      </c>
      <c r="EIR363" s="633">
        <f>SUM(EIE363:EIP363)</f>
        <v>3961903.5018060002</v>
      </c>
      <c r="EIS363" s="919" t="s">
        <v>1837</v>
      </c>
      <c r="EIT363" s="1643" t="s">
        <v>1838</v>
      </c>
      <c r="EIU363" s="1648">
        <v>344028.50012699998</v>
      </c>
      <c r="EIV363" s="1648">
        <v>335387.28629100003</v>
      </c>
      <c r="EIW363" s="1648">
        <v>337602.67972299998</v>
      </c>
      <c r="EIX363" s="1648">
        <v>210440.148116</v>
      </c>
      <c r="EIY363" s="1648">
        <v>330912.82974800002</v>
      </c>
      <c r="EIZ363" s="1648">
        <v>321507.96580100001</v>
      </c>
      <c r="EJA363" s="1648">
        <v>310040.96500000003</v>
      </c>
      <c r="EJB363" s="1648">
        <v>306104.158</v>
      </c>
      <c r="EJC363" s="1648">
        <v>350079.51500000001</v>
      </c>
      <c r="EJD363" s="1648">
        <v>376736.01</v>
      </c>
      <c r="EJE363" s="1648">
        <v>382165.86499999999</v>
      </c>
      <c r="EJF363" s="1648">
        <v>356897.57900000003</v>
      </c>
      <c r="EJG363" s="635">
        <v>3961904</v>
      </c>
      <c r="EJH363" s="633">
        <f>SUM(EIU363:EJF363)</f>
        <v>3961903.5018060002</v>
      </c>
      <c r="EJI363" s="919" t="s">
        <v>1837</v>
      </c>
      <c r="EJJ363" s="1643" t="s">
        <v>1838</v>
      </c>
      <c r="EJK363" s="1648">
        <v>344028.50012699998</v>
      </c>
      <c r="EJL363" s="1648">
        <v>335387.28629100003</v>
      </c>
      <c r="EJM363" s="1648">
        <v>337602.67972299998</v>
      </c>
      <c r="EJN363" s="1648">
        <v>210440.148116</v>
      </c>
      <c r="EJO363" s="1648">
        <v>330912.82974800002</v>
      </c>
      <c r="EJP363" s="1648">
        <v>321507.96580100001</v>
      </c>
      <c r="EJQ363" s="1648">
        <v>310040.96500000003</v>
      </c>
      <c r="EJR363" s="1648">
        <v>306104.158</v>
      </c>
      <c r="EJS363" s="1648">
        <v>350079.51500000001</v>
      </c>
      <c r="EJT363" s="1648">
        <v>376736.01</v>
      </c>
      <c r="EJU363" s="1648">
        <v>382165.86499999999</v>
      </c>
      <c r="EJV363" s="1648">
        <v>356897.57900000003</v>
      </c>
      <c r="EJW363" s="635">
        <v>3961904</v>
      </c>
      <c r="EJX363" s="633">
        <f>SUM(EJK363:EJV363)</f>
        <v>3961903.5018060002</v>
      </c>
      <c r="EJY363" s="919" t="s">
        <v>1837</v>
      </c>
      <c r="EJZ363" s="1643" t="s">
        <v>1838</v>
      </c>
      <c r="EKA363" s="1648">
        <v>344028.50012699998</v>
      </c>
      <c r="EKB363" s="1648">
        <v>335387.28629100003</v>
      </c>
      <c r="EKC363" s="1648">
        <v>337602.67972299998</v>
      </c>
      <c r="EKD363" s="1648">
        <v>210440.148116</v>
      </c>
      <c r="EKE363" s="1648">
        <v>330912.82974800002</v>
      </c>
      <c r="EKF363" s="1648">
        <v>321507.96580100001</v>
      </c>
      <c r="EKG363" s="1648">
        <v>310040.96500000003</v>
      </c>
      <c r="EKH363" s="1648">
        <v>306104.158</v>
      </c>
      <c r="EKI363" s="1648">
        <v>350079.51500000001</v>
      </c>
      <c r="EKJ363" s="1648">
        <v>376736.01</v>
      </c>
      <c r="EKK363" s="1648">
        <v>382165.86499999999</v>
      </c>
      <c r="EKL363" s="1648">
        <v>356897.57900000003</v>
      </c>
      <c r="EKM363" s="635">
        <v>3961904</v>
      </c>
      <c r="EKN363" s="633">
        <f>SUM(EKA363:EKL363)</f>
        <v>3961903.5018060002</v>
      </c>
      <c r="EKO363" s="919" t="s">
        <v>1837</v>
      </c>
      <c r="EKP363" s="1643" t="s">
        <v>1838</v>
      </c>
      <c r="EKQ363" s="1648">
        <v>344028.50012699998</v>
      </c>
      <c r="EKR363" s="1648">
        <v>335387.28629100003</v>
      </c>
      <c r="EKS363" s="1648">
        <v>337602.67972299998</v>
      </c>
      <c r="EKT363" s="1648">
        <v>210440.148116</v>
      </c>
      <c r="EKU363" s="1648">
        <v>330912.82974800002</v>
      </c>
      <c r="EKV363" s="1648">
        <v>321507.96580100001</v>
      </c>
      <c r="EKW363" s="1648">
        <v>310040.96500000003</v>
      </c>
      <c r="EKX363" s="1648">
        <v>306104.158</v>
      </c>
      <c r="EKY363" s="1648">
        <v>350079.51500000001</v>
      </c>
      <c r="EKZ363" s="1648">
        <v>376736.01</v>
      </c>
      <c r="ELA363" s="1648">
        <v>382165.86499999999</v>
      </c>
      <c r="ELB363" s="1648">
        <v>356897.57900000003</v>
      </c>
      <c r="ELC363" s="635">
        <v>3961904</v>
      </c>
      <c r="ELD363" s="633">
        <f>SUM(EKQ363:ELB363)</f>
        <v>3961903.5018060002</v>
      </c>
      <c r="ELE363" s="919" t="s">
        <v>1837</v>
      </c>
      <c r="ELF363" s="1643" t="s">
        <v>1838</v>
      </c>
      <c r="ELG363" s="1648">
        <v>344028.50012699998</v>
      </c>
      <c r="ELH363" s="1648">
        <v>335387.28629100003</v>
      </c>
      <c r="ELI363" s="1648">
        <v>337602.67972299998</v>
      </c>
      <c r="ELJ363" s="1648">
        <v>210440.148116</v>
      </c>
      <c r="ELK363" s="1648">
        <v>330912.82974800002</v>
      </c>
      <c r="ELL363" s="1648">
        <v>321507.96580100001</v>
      </c>
      <c r="ELM363" s="1648">
        <v>310040.96500000003</v>
      </c>
      <c r="ELN363" s="1648">
        <v>306104.158</v>
      </c>
      <c r="ELO363" s="1648">
        <v>350079.51500000001</v>
      </c>
      <c r="ELP363" s="1648">
        <v>376736.01</v>
      </c>
      <c r="ELQ363" s="1648">
        <v>382165.86499999999</v>
      </c>
      <c r="ELR363" s="1648">
        <v>356897.57900000003</v>
      </c>
      <c r="ELS363" s="635">
        <v>3961904</v>
      </c>
      <c r="ELT363" s="633">
        <f>SUM(ELG363:ELR363)</f>
        <v>3961903.5018060002</v>
      </c>
      <c r="ELU363" s="919" t="s">
        <v>1837</v>
      </c>
      <c r="ELV363" s="1643" t="s">
        <v>1838</v>
      </c>
      <c r="ELW363" s="1648">
        <v>344028.50012699998</v>
      </c>
      <c r="ELX363" s="1648">
        <v>335387.28629100003</v>
      </c>
      <c r="ELY363" s="1648">
        <v>337602.67972299998</v>
      </c>
      <c r="ELZ363" s="1648">
        <v>210440.148116</v>
      </c>
      <c r="EMA363" s="1648">
        <v>330912.82974800002</v>
      </c>
      <c r="EMB363" s="1648">
        <v>321507.96580100001</v>
      </c>
      <c r="EMC363" s="1648">
        <v>310040.96500000003</v>
      </c>
      <c r="EMD363" s="1648">
        <v>306104.158</v>
      </c>
      <c r="EME363" s="1648">
        <v>350079.51500000001</v>
      </c>
      <c r="EMF363" s="1648">
        <v>376736.01</v>
      </c>
      <c r="EMG363" s="1648">
        <v>382165.86499999999</v>
      </c>
      <c r="EMH363" s="1648">
        <v>356897.57900000003</v>
      </c>
      <c r="EMI363" s="635">
        <v>3961904</v>
      </c>
      <c r="EMJ363" s="633">
        <f>SUM(ELW363:EMH363)</f>
        <v>3961903.5018060002</v>
      </c>
      <c r="EMK363" s="919" t="s">
        <v>1837</v>
      </c>
      <c r="EML363" s="1643" t="s">
        <v>1838</v>
      </c>
      <c r="EMM363" s="1648">
        <v>344028.50012699998</v>
      </c>
      <c r="EMN363" s="1648">
        <v>335387.28629100003</v>
      </c>
      <c r="EMO363" s="1648">
        <v>337602.67972299998</v>
      </c>
      <c r="EMP363" s="1648">
        <v>210440.148116</v>
      </c>
      <c r="EMQ363" s="1648">
        <v>330912.82974800002</v>
      </c>
      <c r="EMR363" s="1648">
        <v>321507.96580100001</v>
      </c>
      <c r="EMS363" s="1648">
        <v>310040.96500000003</v>
      </c>
      <c r="EMT363" s="1648">
        <v>306104.158</v>
      </c>
      <c r="EMU363" s="1648">
        <v>350079.51500000001</v>
      </c>
      <c r="EMV363" s="1648">
        <v>376736.01</v>
      </c>
      <c r="EMW363" s="1648">
        <v>382165.86499999999</v>
      </c>
      <c r="EMX363" s="1648">
        <v>356897.57900000003</v>
      </c>
      <c r="EMY363" s="635">
        <v>3961904</v>
      </c>
      <c r="EMZ363" s="633">
        <f>SUM(EMM363:EMX363)</f>
        <v>3961903.5018060002</v>
      </c>
      <c r="ENA363" s="919" t="s">
        <v>1837</v>
      </c>
      <c r="ENB363" s="1643" t="s">
        <v>1838</v>
      </c>
      <c r="ENC363" s="1648">
        <v>344028.50012699998</v>
      </c>
      <c r="END363" s="1648">
        <v>335387.28629100003</v>
      </c>
      <c r="ENE363" s="1648">
        <v>337602.67972299998</v>
      </c>
      <c r="ENF363" s="1648">
        <v>210440.148116</v>
      </c>
      <c r="ENG363" s="1648">
        <v>330912.82974800002</v>
      </c>
      <c r="ENH363" s="1648">
        <v>321507.96580100001</v>
      </c>
      <c r="ENI363" s="1648">
        <v>310040.96500000003</v>
      </c>
      <c r="ENJ363" s="1648">
        <v>306104.158</v>
      </c>
      <c r="ENK363" s="1648">
        <v>350079.51500000001</v>
      </c>
      <c r="ENL363" s="1648">
        <v>376736.01</v>
      </c>
      <c r="ENM363" s="1648">
        <v>382165.86499999999</v>
      </c>
      <c r="ENN363" s="1648">
        <v>356897.57900000003</v>
      </c>
      <c r="ENO363" s="635">
        <v>3961904</v>
      </c>
      <c r="ENP363" s="633">
        <f>SUM(ENC363:ENN363)</f>
        <v>3961903.5018060002</v>
      </c>
      <c r="ENQ363" s="919" t="s">
        <v>1837</v>
      </c>
      <c r="ENR363" s="1643" t="s">
        <v>1838</v>
      </c>
      <c r="ENS363" s="1648">
        <v>344028.50012699998</v>
      </c>
      <c r="ENT363" s="1648">
        <v>335387.28629100003</v>
      </c>
      <c r="ENU363" s="1648">
        <v>337602.67972299998</v>
      </c>
      <c r="ENV363" s="1648">
        <v>210440.148116</v>
      </c>
      <c r="ENW363" s="1648">
        <v>330912.82974800002</v>
      </c>
      <c r="ENX363" s="1648">
        <v>321507.96580100001</v>
      </c>
      <c r="ENY363" s="1648">
        <v>310040.96500000003</v>
      </c>
      <c r="ENZ363" s="1648">
        <v>306104.158</v>
      </c>
      <c r="EOA363" s="1648">
        <v>350079.51500000001</v>
      </c>
      <c r="EOB363" s="1648">
        <v>376736.01</v>
      </c>
      <c r="EOC363" s="1648">
        <v>382165.86499999999</v>
      </c>
      <c r="EOD363" s="1648">
        <v>356897.57900000003</v>
      </c>
      <c r="EOE363" s="635">
        <v>3961904</v>
      </c>
      <c r="EOF363" s="633">
        <f>SUM(ENS363:EOD363)</f>
        <v>3961903.5018060002</v>
      </c>
      <c r="EOG363" s="919" t="s">
        <v>1837</v>
      </c>
      <c r="EOH363" s="1643" t="s">
        <v>1838</v>
      </c>
      <c r="EOI363" s="1648">
        <v>344028.50012699998</v>
      </c>
      <c r="EOJ363" s="1648">
        <v>335387.28629100003</v>
      </c>
      <c r="EOK363" s="1648">
        <v>337602.67972299998</v>
      </c>
      <c r="EOL363" s="1648">
        <v>210440.148116</v>
      </c>
      <c r="EOM363" s="1648">
        <v>330912.82974800002</v>
      </c>
      <c r="EON363" s="1648">
        <v>321507.96580100001</v>
      </c>
      <c r="EOO363" s="1648">
        <v>310040.96500000003</v>
      </c>
      <c r="EOP363" s="1648">
        <v>306104.158</v>
      </c>
      <c r="EOQ363" s="1648">
        <v>350079.51500000001</v>
      </c>
      <c r="EOR363" s="1648">
        <v>376736.01</v>
      </c>
      <c r="EOS363" s="1648">
        <v>382165.86499999999</v>
      </c>
      <c r="EOT363" s="1648">
        <v>356897.57900000003</v>
      </c>
      <c r="EOU363" s="635">
        <v>3961904</v>
      </c>
      <c r="EOV363" s="633">
        <f>SUM(EOI363:EOT363)</f>
        <v>3961903.5018060002</v>
      </c>
      <c r="EOW363" s="919" t="s">
        <v>1837</v>
      </c>
      <c r="EOX363" s="1643" t="s">
        <v>1838</v>
      </c>
      <c r="EOY363" s="1648">
        <v>344028.50012699998</v>
      </c>
      <c r="EOZ363" s="1648">
        <v>335387.28629100003</v>
      </c>
      <c r="EPA363" s="1648">
        <v>337602.67972299998</v>
      </c>
      <c r="EPB363" s="1648">
        <v>210440.148116</v>
      </c>
      <c r="EPC363" s="1648">
        <v>330912.82974800002</v>
      </c>
      <c r="EPD363" s="1648">
        <v>321507.96580100001</v>
      </c>
      <c r="EPE363" s="1648">
        <v>310040.96500000003</v>
      </c>
      <c r="EPF363" s="1648">
        <v>306104.158</v>
      </c>
      <c r="EPG363" s="1648">
        <v>350079.51500000001</v>
      </c>
      <c r="EPH363" s="1648">
        <v>376736.01</v>
      </c>
      <c r="EPI363" s="1648">
        <v>382165.86499999999</v>
      </c>
      <c r="EPJ363" s="1648">
        <v>356897.57900000003</v>
      </c>
      <c r="EPK363" s="635">
        <v>3961904</v>
      </c>
      <c r="EPL363" s="633">
        <f>SUM(EOY363:EPJ363)</f>
        <v>3961903.5018060002</v>
      </c>
      <c r="EPM363" s="919" t="s">
        <v>1837</v>
      </c>
      <c r="EPN363" s="1643" t="s">
        <v>1838</v>
      </c>
      <c r="EPO363" s="1648">
        <v>344028.50012699998</v>
      </c>
      <c r="EPP363" s="1648">
        <v>335387.28629100003</v>
      </c>
      <c r="EPQ363" s="1648">
        <v>337602.67972299998</v>
      </c>
      <c r="EPR363" s="1648">
        <v>210440.148116</v>
      </c>
      <c r="EPS363" s="1648">
        <v>330912.82974800002</v>
      </c>
      <c r="EPT363" s="1648">
        <v>321507.96580100001</v>
      </c>
      <c r="EPU363" s="1648">
        <v>310040.96500000003</v>
      </c>
      <c r="EPV363" s="1648">
        <v>306104.158</v>
      </c>
      <c r="EPW363" s="1648">
        <v>350079.51500000001</v>
      </c>
      <c r="EPX363" s="1648">
        <v>376736.01</v>
      </c>
      <c r="EPY363" s="1648">
        <v>382165.86499999999</v>
      </c>
      <c r="EPZ363" s="1648">
        <v>356897.57900000003</v>
      </c>
      <c r="EQA363" s="635">
        <v>3961904</v>
      </c>
      <c r="EQB363" s="633">
        <f>SUM(EPO363:EPZ363)</f>
        <v>3961903.5018060002</v>
      </c>
      <c r="EQC363" s="919" t="s">
        <v>1837</v>
      </c>
      <c r="EQD363" s="1643" t="s">
        <v>1838</v>
      </c>
      <c r="EQE363" s="1648">
        <v>344028.50012699998</v>
      </c>
      <c r="EQF363" s="1648">
        <v>335387.28629100003</v>
      </c>
      <c r="EQG363" s="1648">
        <v>337602.67972299998</v>
      </c>
      <c r="EQH363" s="1648">
        <v>210440.148116</v>
      </c>
      <c r="EQI363" s="1648">
        <v>330912.82974800002</v>
      </c>
      <c r="EQJ363" s="1648">
        <v>321507.96580100001</v>
      </c>
      <c r="EQK363" s="1648">
        <v>310040.96500000003</v>
      </c>
      <c r="EQL363" s="1648">
        <v>306104.158</v>
      </c>
      <c r="EQM363" s="1648">
        <v>350079.51500000001</v>
      </c>
      <c r="EQN363" s="1648">
        <v>376736.01</v>
      </c>
      <c r="EQO363" s="1648">
        <v>382165.86499999999</v>
      </c>
      <c r="EQP363" s="1648">
        <v>356897.57900000003</v>
      </c>
      <c r="EQQ363" s="635">
        <v>3961904</v>
      </c>
      <c r="EQR363" s="633">
        <f>SUM(EQE363:EQP363)</f>
        <v>3961903.5018060002</v>
      </c>
      <c r="EQS363" s="919" t="s">
        <v>1837</v>
      </c>
      <c r="EQT363" s="1643" t="s">
        <v>1838</v>
      </c>
      <c r="EQU363" s="1648">
        <v>344028.50012699998</v>
      </c>
      <c r="EQV363" s="1648">
        <v>335387.28629100003</v>
      </c>
      <c r="EQW363" s="1648">
        <v>337602.67972299998</v>
      </c>
      <c r="EQX363" s="1648">
        <v>210440.148116</v>
      </c>
      <c r="EQY363" s="1648">
        <v>330912.82974800002</v>
      </c>
      <c r="EQZ363" s="1648">
        <v>321507.96580100001</v>
      </c>
      <c r="ERA363" s="1648">
        <v>310040.96500000003</v>
      </c>
      <c r="ERB363" s="1648">
        <v>306104.158</v>
      </c>
      <c r="ERC363" s="1648">
        <v>350079.51500000001</v>
      </c>
      <c r="ERD363" s="1648">
        <v>376736.01</v>
      </c>
      <c r="ERE363" s="1648">
        <v>382165.86499999999</v>
      </c>
      <c r="ERF363" s="1648">
        <v>356897.57900000003</v>
      </c>
      <c r="ERG363" s="635">
        <v>3961904</v>
      </c>
      <c r="ERH363" s="633">
        <f>SUM(EQU363:ERF363)</f>
        <v>3961903.5018060002</v>
      </c>
      <c r="ERI363" s="919" t="s">
        <v>1837</v>
      </c>
      <c r="ERJ363" s="1643" t="s">
        <v>1838</v>
      </c>
      <c r="ERK363" s="1648">
        <v>344028.50012699998</v>
      </c>
      <c r="ERL363" s="1648">
        <v>335387.28629100003</v>
      </c>
      <c r="ERM363" s="1648">
        <v>337602.67972299998</v>
      </c>
      <c r="ERN363" s="1648">
        <v>210440.148116</v>
      </c>
      <c r="ERO363" s="1648">
        <v>330912.82974800002</v>
      </c>
      <c r="ERP363" s="1648">
        <v>321507.96580100001</v>
      </c>
      <c r="ERQ363" s="1648">
        <v>310040.96500000003</v>
      </c>
      <c r="ERR363" s="1648">
        <v>306104.158</v>
      </c>
      <c r="ERS363" s="1648">
        <v>350079.51500000001</v>
      </c>
      <c r="ERT363" s="1648">
        <v>376736.01</v>
      </c>
      <c r="ERU363" s="1648">
        <v>382165.86499999999</v>
      </c>
      <c r="ERV363" s="1648">
        <v>356897.57900000003</v>
      </c>
      <c r="ERW363" s="635">
        <v>3961904</v>
      </c>
      <c r="ERX363" s="633">
        <f>SUM(ERK363:ERV363)</f>
        <v>3961903.5018060002</v>
      </c>
      <c r="ERY363" s="919" t="s">
        <v>1837</v>
      </c>
      <c r="ERZ363" s="1643" t="s">
        <v>1838</v>
      </c>
      <c r="ESA363" s="1648">
        <v>344028.50012699998</v>
      </c>
      <c r="ESB363" s="1648">
        <v>335387.28629100003</v>
      </c>
      <c r="ESC363" s="1648">
        <v>337602.67972299998</v>
      </c>
      <c r="ESD363" s="1648">
        <v>210440.148116</v>
      </c>
      <c r="ESE363" s="1648">
        <v>330912.82974800002</v>
      </c>
      <c r="ESF363" s="1648">
        <v>321507.96580100001</v>
      </c>
      <c r="ESG363" s="1648">
        <v>310040.96500000003</v>
      </c>
      <c r="ESH363" s="1648">
        <v>306104.158</v>
      </c>
      <c r="ESI363" s="1648">
        <v>350079.51500000001</v>
      </c>
      <c r="ESJ363" s="1648">
        <v>376736.01</v>
      </c>
      <c r="ESK363" s="1648">
        <v>382165.86499999999</v>
      </c>
      <c r="ESL363" s="1648">
        <v>356897.57900000003</v>
      </c>
      <c r="ESM363" s="635">
        <v>3961904</v>
      </c>
      <c r="ESN363" s="633">
        <f>SUM(ESA363:ESL363)</f>
        <v>3961903.5018060002</v>
      </c>
      <c r="ESO363" s="919" t="s">
        <v>1837</v>
      </c>
      <c r="ESP363" s="1643" t="s">
        <v>1838</v>
      </c>
      <c r="ESQ363" s="1648">
        <v>344028.50012699998</v>
      </c>
      <c r="ESR363" s="1648">
        <v>335387.28629100003</v>
      </c>
      <c r="ESS363" s="1648">
        <v>337602.67972299998</v>
      </c>
      <c r="EST363" s="1648">
        <v>210440.148116</v>
      </c>
      <c r="ESU363" s="1648">
        <v>330912.82974800002</v>
      </c>
      <c r="ESV363" s="1648">
        <v>321507.96580100001</v>
      </c>
      <c r="ESW363" s="1648">
        <v>310040.96500000003</v>
      </c>
      <c r="ESX363" s="1648">
        <v>306104.158</v>
      </c>
      <c r="ESY363" s="1648">
        <v>350079.51500000001</v>
      </c>
      <c r="ESZ363" s="1648">
        <v>376736.01</v>
      </c>
      <c r="ETA363" s="1648">
        <v>382165.86499999999</v>
      </c>
      <c r="ETB363" s="1648">
        <v>356897.57900000003</v>
      </c>
      <c r="ETC363" s="635">
        <v>3961904</v>
      </c>
      <c r="ETD363" s="633">
        <f>SUM(ESQ363:ETB363)</f>
        <v>3961903.5018060002</v>
      </c>
      <c r="ETE363" s="919" t="s">
        <v>1837</v>
      </c>
      <c r="ETF363" s="1643" t="s">
        <v>1838</v>
      </c>
      <c r="ETG363" s="1648">
        <v>344028.50012699998</v>
      </c>
      <c r="ETH363" s="1648">
        <v>335387.28629100003</v>
      </c>
      <c r="ETI363" s="1648">
        <v>337602.67972299998</v>
      </c>
      <c r="ETJ363" s="1648">
        <v>210440.148116</v>
      </c>
      <c r="ETK363" s="1648">
        <v>330912.82974800002</v>
      </c>
      <c r="ETL363" s="1648">
        <v>321507.96580100001</v>
      </c>
      <c r="ETM363" s="1648">
        <v>310040.96500000003</v>
      </c>
      <c r="ETN363" s="1648">
        <v>306104.158</v>
      </c>
      <c r="ETO363" s="1648">
        <v>350079.51500000001</v>
      </c>
      <c r="ETP363" s="1648">
        <v>376736.01</v>
      </c>
      <c r="ETQ363" s="1648">
        <v>382165.86499999999</v>
      </c>
      <c r="ETR363" s="1648">
        <v>356897.57900000003</v>
      </c>
      <c r="ETS363" s="635">
        <v>3961904</v>
      </c>
      <c r="ETT363" s="633">
        <f>SUM(ETG363:ETR363)</f>
        <v>3961903.5018060002</v>
      </c>
      <c r="ETU363" s="919" t="s">
        <v>1837</v>
      </c>
      <c r="ETV363" s="1643" t="s">
        <v>1838</v>
      </c>
      <c r="ETW363" s="1648">
        <v>344028.50012699998</v>
      </c>
      <c r="ETX363" s="1648">
        <v>335387.28629100003</v>
      </c>
      <c r="ETY363" s="1648">
        <v>337602.67972299998</v>
      </c>
      <c r="ETZ363" s="1648">
        <v>210440.148116</v>
      </c>
      <c r="EUA363" s="1648">
        <v>330912.82974800002</v>
      </c>
      <c r="EUB363" s="1648">
        <v>321507.96580100001</v>
      </c>
      <c r="EUC363" s="1648">
        <v>310040.96500000003</v>
      </c>
      <c r="EUD363" s="1648">
        <v>306104.158</v>
      </c>
      <c r="EUE363" s="1648">
        <v>350079.51500000001</v>
      </c>
      <c r="EUF363" s="1648">
        <v>376736.01</v>
      </c>
      <c r="EUG363" s="1648">
        <v>382165.86499999999</v>
      </c>
      <c r="EUH363" s="1648">
        <v>356897.57900000003</v>
      </c>
      <c r="EUI363" s="635">
        <v>3961904</v>
      </c>
      <c r="EUJ363" s="633">
        <f>SUM(ETW363:EUH363)</f>
        <v>3961903.5018060002</v>
      </c>
      <c r="EUK363" s="919" t="s">
        <v>1837</v>
      </c>
      <c r="EUL363" s="1643" t="s">
        <v>1838</v>
      </c>
      <c r="EUM363" s="1648">
        <v>344028.50012699998</v>
      </c>
      <c r="EUN363" s="1648">
        <v>335387.28629100003</v>
      </c>
      <c r="EUO363" s="1648">
        <v>337602.67972299998</v>
      </c>
      <c r="EUP363" s="1648">
        <v>210440.148116</v>
      </c>
      <c r="EUQ363" s="1648">
        <v>330912.82974800002</v>
      </c>
      <c r="EUR363" s="1648">
        <v>321507.96580100001</v>
      </c>
      <c r="EUS363" s="1648">
        <v>310040.96500000003</v>
      </c>
      <c r="EUT363" s="1648">
        <v>306104.158</v>
      </c>
      <c r="EUU363" s="1648">
        <v>350079.51500000001</v>
      </c>
      <c r="EUV363" s="1648">
        <v>376736.01</v>
      </c>
      <c r="EUW363" s="1648">
        <v>382165.86499999999</v>
      </c>
      <c r="EUX363" s="1648">
        <v>356897.57900000003</v>
      </c>
      <c r="EUY363" s="635">
        <v>3961904</v>
      </c>
      <c r="EUZ363" s="633">
        <f>SUM(EUM363:EUX363)</f>
        <v>3961903.5018060002</v>
      </c>
      <c r="EVA363" s="919" t="s">
        <v>1837</v>
      </c>
      <c r="EVB363" s="1643" t="s">
        <v>1838</v>
      </c>
      <c r="EVC363" s="1648">
        <v>344028.50012699998</v>
      </c>
      <c r="EVD363" s="1648">
        <v>335387.28629100003</v>
      </c>
      <c r="EVE363" s="1648">
        <v>337602.67972299998</v>
      </c>
      <c r="EVF363" s="1648">
        <v>210440.148116</v>
      </c>
      <c r="EVG363" s="1648">
        <v>330912.82974800002</v>
      </c>
      <c r="EVH363" s="1648">
        <v>321507.96580100001</v>
      </c>
      <c r="EVI363" s="1648">
        <v>310040.96500000003</v>
      </c>
      <c r="EVJ363" s="1648">
        <v>306104.158</v>
      </c>
      <c r="EVK363" s="1648">
        <v>350079.51500000001</v>
      </c>
      <c r="EVL363" s="1648">
        <v>376736.01</v>
      </c>
      <c r="EVM363" s="1648">
        <v>382165.86499999999</v>
      </c>
      <c r="EVN363" s="1648">
        <v>356897.57900000003</v>
      </c>
      <c r="EVO363" s="635">
        <v>3961904</v>
      </c>
      <c r="EVP363" s="633">
        <f>SUM(EVC363:EVN363)</f>
        <v>3961903.5018060002</v>
      </c>
      <c r="EVQ363" s="919" t="s">
        <v>1837</v>
      </c>
      <c r="EVR363" s="1643" t="s">
        <v>1838</v>
      </c>
      <c r="EVS363" s="1648">
        <v>344028.50012699998</v>
      </c>
      <c r="EVT363" s="1648">
        <v>335387.28629100003</v>
      </c>
      <c r="EVU363" s="1648">
        <v>337602.67972299998</v>
      </c>
      <c r="EVV363" s="1648">
        <v>210440.148116</v>
      </c>
      <c r="EVW363" s="1648">
        <v>330912.82974800002</v>
      </c>
      <c r="EVX363" s="1648">
        <v>321507.96580100001</v>
      </c>
      <c r="EVY363" s="1648">
        <v>310040.96500000003</v>
      </c>
      <c r="EVZ363" s="1648">
        <v>306104.158</v>
      </c>
      <c r="EWA363" s="1648">
        <v>350079.51500000001</v>
      </c>
      <c r="EWB363" s="1648">
        <v>376736.01</v>
      </c>
      <c r="EWC363" s="1648">
        <v>382165.86499999999</v>
      </c>
      <c r="EWD363" s="1648">
        <v>356897.57900000003</v>
      </c>
      <c r="EWE363" s="635">
        <v>3961904</v>
      </c>
      <c r="EWF363" s="633">
        <f>SUM(EVS363:EWD363)</f>
        <v>3961903.5018060002</v>
      </c>
      <c r="EWG363" s="919" t="s">
        <v>1837</v>
      </c>
      <c r="EWH363" s="1643" t="s">
        <v>1838</v>
      </c>
      <c r="EWI363" s="1648">
        <v>344028.50012699998</v>
      </c>
      <c r="EWJ363" s="1648">
        <v>335387.28629100003</v>
      </c>
      <c r="EWK363" s="1648">
        <v>337602.67972299998</v>
      </c>
      <c r="EWL363" s="1648">
        <v>210440.148116</v>
      </c>
      <c r="EWM363" s="1648">
        <v>330912.82974800002</v>
      </c>
      <c r="EWN363" s="1648">
        <v>321507.96580100001</v>
      </c>
      <c r="EWO363" s="1648">
        <v>310040.96500000003</v>
      </c>
      <c r="EWP363" s="1648">
        <v>306104.158</v>
      </c>
      <c r="EWQ363" s="1648">
        <v>350079.51500000001</v>
      </c>
      <c r="EWR363" s="1648">
        <v>376736.01</v>
      </c>
      <c r="EWS363" s="1648">
        <v>382165.86499999999</v>
      </c>
      <c r="EWT363" s="1648">
        <v>356897.57900000003</v>
      </c>
      <c r="EWU363" s="635">
        <v>3961904</v>
      </c>
      <c r="EWV363" s="633">
        <f>SUM(EWI363:EWT363)</f>
        <v>3961903.5018060002</v>
      </c>
      <c r="EWW363" s="919" t="s">
        <v>1837</v>
      </c>
      <c r="EWX363" s="1643" t="s">
        <v>1838</v>
      </c>
      <c r="EWY363" s="1648">
        <v>344028.50012699998</v>
      </c>
      <c r="EWZ363" s="1648">
        <v>335387.28629100003</v>
      </c>
      <c r="EXA363" s="1648">
        <v>337602.67972299998</v>
      </c>
      <c r="EXB363" s="1648">
        <v>210440.148116</v>
      </c>
      <c r="EXC363" s="1648">
        <v>330912.82974800002</v>
      </c>
      <c r="EXD363" s="1648">
        <v>321507.96580100001</v>
      </c>
      <c r="EXE363" s="1648">
        <v>310040.96500000003</v>
      </c>
      <c r="EXF363" s="1648">
        <v>306104.158</v>
      </c>
      <c r="EXG363" s="1648">
        <v>350079.51500000001</v>
      </c>
      <c r="EXH363" s="1648">
        <v>376736.01</v>
      </c>
      <c r="EXI363" s="1648">
        <v>382165.86499999999</v>
      </c>
      <c r="EXJ363" s="1648">
        <v>356897.57900000003</v>
      </c>
      <c r="EXK363" s="635">
        <v>3961904</v>
      </c>
      <c r="EXL363" s="633">
        <f>SUM(EWY363:EXJ363)</f>
        <v>3961903.5018060002</v>
      </c>
      <c r="EXM363" s="919" t="s">
        <v>1837</v>
      </c>
      <c r="EXN363" s="1643" t="s">
        <v>1838</v>
      </c>
      <c r="EXO363" s="1648">
        <v>344028.50012699998</v>
      </c>
      <c r="EXP363" s="1648">
        <v>335387.28629100003</v>
      </c>
      <c r="EXQ363" s="1648">
        <v>337602.67972299998</v>
      </c>
      <c r="EXR363" s="1648">
        <v>210440.148116</v>
      </c>
      <c r="EXS363" s="1648">
        <v>330912.82974800002</v>
      </c>
      <c r="EXT363" s="1648">
        <v>321507.96580100001</v>
      </c>
      <c r="EXU363" s="1648">
        <v>310040.96500000003</v>
      </c>
      <c r="EXV363" s="1648">
        <v>306104.158</v>
      </c>
      <c r="EXW363" s="1648">
        <v>350079.51500000001</v>
      </c>
      <c r="EXX363" s="1648">
        <v>376736.01</v>
      </c>
      <c r="EXY363" s="1648">
        <v>382165.86499999999</v>
      </c>
      <c r="EXZ363" s="1648">
        <v>356897.57900000003</v>
      </c>
      <c r="EYA363" s="635">
        <v>3961904</v>
      </c>
      <c r="EYB363" s="633">
        <f>SUM(EXO363:EXZ363)</f>
        <v>3961903.5018060002</v>
      </c>
      <c r="EYC363" s="919" t="s">
        <v>1837</v>
      </c>
      <c r="EYD363" s="1643" t="s">
        <v>1838</v>
      </c>
      <c r="EYE363" s="1648">
        <v>344028.50012699998</v>
      </c>
      <c r="EYF363" s="1648">
        <v>335387.28629100003</v>
      </c>
      <c r="EYG363" s="1648">
        <v>337602.67972299998</v>
      </c>
      <c r="EYH363" s="1648">
        <v>210440.148116</v>
      </c>
      <c r="EYI363" s="1648">
        <v>330912.82974800002</v>
      </c>
      <c r="EYJ363" s="1648">
        <v>321507.96580100001</v>
      </c>
      <c r="EYK363" s="1648">
        <v>310040.96500000003</v>
      </c>
      <c r="EYL363" s="1648">
        <v>306104.158</v>
      </c>
      <c r="EYM363" s="1648">
        <v>350079.51500000001</v>
      </c>
      <c r="EYN363" s="1648">
        <v>376736.01</v>
      </c>
      <c r="EYO363" s="1648">
        <v>382165.86499999999</v>
      </c>
      <c r="EYP363" s="1648">
        <v>356897.57900000003</v>
      </c>
      <c r="EYQ363" s="635">
        <v>3961904</v>
      </c>
      <c r="EYR363" s="633">
        <f>SUM(EYE363:EYP363)</f>
        <v>3961903.5018060002</v>
      </c>
      <c r="EYS363" s="919" t="s">
        <v>1837</v>
      </c>
      <c r="EYT363" s="1643" t="s">
        <v>1838</v>
      </c>
      <c r="EYU363" s="1648">
        <v>344028.50012699998</v>
      </c>
      <c r="EYV363" s="1648">
        <v>335387.28629100003</v>
      </c>
      <c r="EYW363" s="1648">
        <v>337602.67972299998</v>
      </c>
      <c r="EYX363" s="1648">
        <v>210440.148116</v>
      </c>
      <c r="EYY363" s="1648">
        <v>330912.82974800002</v>
      </c>
      <c r="EYZ363" s="1648">
        <v>321507.96580100001</v>
      </c>
      <c r="EZA363" s="1648">
        <v>310040.96500000003</v>
      </c>
      <c r="EZB363" s="1648">
        <v>306104.158</v>
      </c>
      <c r="EZC363" s="1648">
        <v>350079.51500000001</v>
      </c>
      <c r="EZD363" s="1648">
        <v>376736.01</v>
      </c>
      <c r="EZE363" s="1648">
        <v>382165.86499999999</v>
      </c>
      <c r="EZF363" s="1648">
        <v>356897.57900000003</v>
      </c>
      <c r="EZG363" s="635">
        <v>3961904</v>
      </c>
      <c r="EZH363" s="633">
        <f>SUM(EYU363:EZF363)</f>
        <v>3961903.5018060002</v>
      </c>
      <c r="EZI363" s="919" t="s">
        <v>1837</v>
      </c>
      <c r="EZJ363" s="1643" t="s">
        <v>1838</v>
      </c>
      <c r="EZK363" s="1648">
        <v>344028.50012699998</v>
      </c>
      <c r="EZL363" s="1648">
        <v>335387.28629100003</v>
      </c>
      <c r="EZM363" s="1648">
        <v>337602.67972299998</v>
      </c>
      <c r="EZN363" s="1648">
        <v>210440.148116</v>
      </c>
      <c r="EZO363" s="1648">
        <v>330912.82974800002</v>
      </c>
      <c r="EZP363" s="1648">
        <v>321507.96580100001</v>
      </c>
      <c r="EZQ363" s="1648">
        <v>310040.96500000003</v>
      </c>
      <c r="EZR363" s="1648">
        <v>306104.158</v>
      </c>
      <c r="EZS363" s="1648">
        <v>350079.51500000001</v>
      </c>
      <c r="EZT363" s="1648">
        <v>376736.01</v>
      </c>
      <c r="EZU363" s="1648">
        <v>382165.86499999999</v>
      </c>
      <c r="EZV363" s="1648">
        <v>356897.57900000003</v>
      </c>
      <c r="EZW363" s="635">
        <v>3961904</v>
      </c>
      <c r="EZX363" s="633">
        <f>SUM(EZK363:EZV363)</f>
        <v>3961903.5018060002</v>
      </c>
      <c r="EZY363" s="919" t="s">
        <v>1837</v>
      </c>
      <c r="EZZ363" s="1643" t="s">
        <v>1838</v>
      </c>
      <c r="FAA363" s="1648">
        <v>344028.50012699998</v>
      </c>
      <c r="FAB363" s="1648">
        <v>335387.28629100003</v>
      </c>
      <c r="FAC363" s="1648">
        <v>337602.67972299998</v>
      </c>
      <c r="FAD363" s="1648">
        <v>210440.148116</v>
      </c>
      <c r="FAE363" s="1648">
        <v>330912.82974800002</v>
      </c>
      <c r="FAF363" s="1648">
        <v>321507.96580100001</v>
      </c>
      <c r="FAG363" s="1648">
        <v>310040.96500000003</v>
      </c>
      <c r="FAH363" s="1648">
        <v>306104.158</v>
      </c>
      <c r="FAI363" s="1648">
        <v>350079.51500000001</v>
      </c>
      <c r="FAJ363" s="1648">
        <v>376736.01</v>
      </c>
      <c r="FAK363" s="1648">
        <v>382165.86499999999</v>
      </c>
      <c r="FAL363" s="1648">
        <v>356897.57900000003</v>
      </c>
      <c r="FAM363" s="635">
        <v>3961904</v>
      </c>
      <c r="FAN363" s="633">
        <f>SUM(FAA363:FAL363)</f>
        <v>3961903.5018060002</v>
      </c>
      <c r="FAO363" s="919" t="s">
        <v>1837</v>
      </c>
      <c r="FAP363" s="1643" t="s">
        <v>1838</v>
      </c>
      <c r="FAQ363" s="1648">
        <v>344028.50012699998</v>
      </c>
      <c r="FAR363" s="1648">
        <v>335387.28629100003</v>
      </c>
      <c r="FAS363" s="1648">
        <v>337602.67972299998</v>
      </c>
      <c r="FAT363" s="1648">
        <v>210440.148116</v>
      </c>
      <c r="FAU363" s="1648">
        <v>330912.82974800002</v>
      </c>
      <c r="FAV363" s="1648">
        <v>321507.96580100001</v>
      </c>
      <c r="FAW363" s="1648">
        <v>310040.96500000003</v>
      </c>
      <c r="FAX363" s="1648">
        <v>306104.158</v>
      </c>
      <c r="FAY363" s="1648">
        <v>350079.51500000001</v>
      </c>
      <c r="FAZ363" s="1648">
        <v>376736.01</v>
      </c>
      <c r="FBA363" s="1648">
        <v>382165.86499999999</v>
      </c>
      <c r="FBB363" s="1648">
        <v>356897.57900000003</v>
      </c>
      <c r="FBC363" s="635">
        <v>3961904</v>
      </c>
      <c r="FBD363" s="633">
        <f>SUM(FAQ363:FBB363)</f>
        <v>3961903.5018060002</v>
      </c>
      <c r="FBE363" s="919" t="s">
        <v>1837</v>
      </c>
      <c r="FBF363" s="1643" t="s">
        <v>1838</v>
      </c>
      <c r="FBG363" s="1648">
        <v>344028.50012699998</v>
      </c>
      <c r="FBH363" s="1648">
        <v>335387.28629100003</v>
      </c>
      <c r="FBI363" s="1648">
        <v>337602.67972299998</v>
      </c>
      <c r="FBJ363" s="1648">
        <v>210440.148116</v>
      </c>
      <c r="FBK363" s="1648">
        <v>330912.82974800002</v>
      </c>
      <c r="FBL363" s="1648">
        <v>321507.96580100001</v>
      </c>
      <c r="FBM363" s="1648">
        <v>310040.96500000003</v>
      </c>
      <c r="FBN363" s="1648">
        <v>306104.158</v>
      </c>
      <c r="FBO363" s="1648">
        <v>350079.51500000001</v>
      </c>
      <c r="FBP363" s="1648">
        <v>376736.01</v>
      </c>
      <c r="FBQ363" s="1648">
        <v>382165.86499999999</v>
      </c>
      <c r="FBR363" s="1648">
        <v>356897.57900000003</v>
      </c>
      <c r="FBS363" s="635">
        <v>3961904</v>
      </c>
      <c r="FBT363" s="633">
        <f>SUM(FBG363:FBR363)</f>
        <v>3961903.5018060002</v>
      </c>
      <c r="FBU363" s="919" t="s">
        <v>1837</v>
      </c>
      <c r="FBV363" s="1643" t="s">
        <v>1838</v>
      </c>
      <c r="FBW363" s="1648">
        <v>344028.50012699998</v>
      </c>
      <c r="FBX363" s="1648">
        <v>335387.28629100003</v>
      </c>
      <c r="FBY363" s="1648">
        <v>337602.67972299998</v>
      </c>
      <c r="FBZ363" s="1648">
        <v>210440.148116</v>
      </c>
      <c r="FCA363" s="1648">
        <v>330912.82974800002</v>
      </c>
      <c r="FCB363" s="1648">
        <v>321507.96580100001</v>
      </c>
      <c r="FCC363" s="1648">
        <v>310040.96500000003</v>
      </c>
      <c r="FCD363" s="1648">
        <v>306104.158</v>
      </c>
      <c r="FCE363" s="1648">
        <v>350079.51500000001</v>
      </c>
      <c r="FCF363" s="1648">
        <v>376736.01</v>
      </c>
      <c r="FCG363" s="1648">
        <v>382165.86499999999</v>
      </c>
      <c r="FCH363" s="1648">
        <v>356897.57900000003</v>
      </c>
      <c r="FCI363" s="635">
        <v>3961904</v>
      </c>
      <c r="FCJ363" s="633">
        <f>SUM(FBW363:FCH363)</f>
        <v>3961903.5018060002</v>
      </c>
      <c r="FCK363" s="919" t="s">
        <v>1837</v>
      </c>
      <c r="FCL363" s="1643" t="s">
        <v>1838</v>
      </c>
      <c r="FCM363" s="1648">
        <v>344028.50012699998</v>
      </c>
      <c r="FCN363" s="1648">
        <v>335387.28629100003</v>
      </c>
      <c r="FCO363" s="1648">
        <v>337602.67972299998</v>
      </c>
      <c r="FCP363" s="1648">
        <v>210440.148116</v>
      </c>
      <c r="FCQ363" s="1648">
        <v>330912.82974800002</v>
      </c>
      <c r="FCR363" s="1648">
        <v>321507.96580100001</v>
      </c>
      <c r="FCS363" s="1648">
        <v>310040.96500000003</v>
      </c>
      <c r="FCT363" s="1648">
        <v>306104.158</v>
      </c>
      <c r="FCU363" s="1648">
        <v>350079.51500000001</v>
      </c>
      <c r="FCV363" s="1648">
        <v>376736.01</v>
      </c>
      <c r="FCW363" s="1648">
        <v>382165.86499999999</v>
      </c>
      <c r="FCX363" s="1648">
        <v>356897.57900000003</v>
      </c>
      <c r="FCY363" s="635">
        <v>3961904</v>
      </c>
      <c r="FCZ363" s="633">
        <f>SUM(FCM363:FCX363)</f>
        <v>3961903.5018060002</v>
      </c>
      <c r="FDA363" s="919" t="s">
        <v>1837</v>
      </c>
      <c r="FDB363" s="1643" t="s">
        <v>1838</v>
      </c>
      <c r="FDC363" s="1648">
        <v>344028.50012699998</v>
      </c>
      <c r="FDD363" s="1648">
        <v>335387.28629100003</v>
      </c>
      <c r="FDE363" s="1648">
        <v>337602.67972299998</v>
      </c>
      <c r="FDF363" s="1648">
        <v>210440.148116</v>
      </c>
      <c r="FDG363" s="1648">
        <v>330912.82974800002</v>
      </c>
      <c r="FDH363" s="1648">
        <v>321507.96580100001</v>
      </c>
      <c r="FDI363" s="1648">
        <v>310040.96500000003</v>
      </c>
      <c r="FDJ363" s="1648">
        <v>306104.158</v>
      </c>
      <c r="FDK363" s="1648">
        <v>350079.51500000001</v>
      </c>
      <c r="FDL363" s="1648">
        <v>376736.01</v>
      </c>
      <c r="FDM363" s="1648">
        <v>382165.86499999999</v>
      </c>
      <c r="FDN363" s="1648">
        <v>356897.57900000003</v>
      </c>
      <c r="FDO363" s="635">
        <v>3961904</v>
      </c>
      <c r="FDP363" s="633">
        <f>SUM(FDC363:FDN363)</f>
        <v>3961903.5018060002</v>
      </c>
      <c r="FDQ363" s="919" t="s">
        <v>1837</v>
      </c>
      <c r="FDR363" s="1643" t="s">
        <v>1838</v>
      </c>
      <c r="FDS363" s="1648">
        <v>344028.50012699998</v>
      </c>
      <c r="FDT363" s="1648">
        <v>335387.28629100003</v>
      </c>
      <c r="FDU363" s="1648">
        <v>337602.67972299998</v>
      </c>
      <c r="FDV363" s="1648">
        <v>210440.148116</v>
      </c>
      <c r="FDW363" s="1648">
        <v>330912.82974800002</v>
      </c>
      <c r="FDX363" s="1648">
        <v>321507.96580100001</v>
      </c>
      <c r="FDY363" s="1648">
        <v>310040.96500000003</v>
      </c>
      <c r="FDZ363" s="1648">
        <v>306104.158</v>
      </c>
      <c r="FEA363" s="1648">
        <v>350079.51500000001</v>
      </c>
      <c r="FEB363" s="1648">
        <v>376736.01</v>
      </c>
      <c r="FEC363" s="1648">
        <v>382165.86499999999</v>
      </c>
      <c r="FED363" s="1648">
        <v>356897.57900000003</v>
      </c>
      <c r="FEE363" s="635">
        <v>3961904</v>
      </c>
      <c r="FEF363" s="633">
        <f>SUM(FDS363:FED363)</f>
        <v>3961903.5018060002</v>
      </c>
      <c r="FEG363" s="919" t="s">
        <v>1837</v>
      </c>
      <c r="FEH363" s="1643" t="s">
        <v>1838</v>
      </c>
      <c r="FEI363" s="1648">
        <v>344028.50012699998</v>
      </c>
      <c r="FEJ363" s="1648">
        <v>335387.28629100003</v>
      </c>
      <c r="FEK363" s="1648">
        <v>337602.67972299998</v>
      </c>
      <c r="FEL363" s="1648">
        <v>210440.148116</v>
      </c>
      <c r="FEM363" s="1648">
        <v>330912.82974800002</v>
      </c>
      <c r="FEN363" s="1648">
        <v>321507.96580100001</v>
      </c>
      <c r="FEO363" s="1648">
        <v>310040.96500000003</v>
      </c>
      <c r="FEP363" s="1648">
        <v>306104.158</v>
      </c>
      <c r="FEQ363" s="1648">
        <v>350079.51500000001</v>
      </c>
      <c r="FER363" s="1648">
        <v>376736.01</v>
      </c>
      <c r="FES363" s="1648">
        <v>382165.86499999999</v>
      </c>
      <c r="FET363" s="1648">
        <v>356897.57900000003</v>
      </c>
      <c r="FEU363" s="635">
        <v>3961904</v>
      </c>
      <c r="FEV363" s="633">
        <f>SUM(FEI363:FET363)</f>
        <v>3961903.5018060002</v>
      </c>
      <c r="FEW363" s="919" t="s">
        <v>1837</v>
      </c>
      <c r="FEX363" s="1643" t="s">
        <v>1838</v>
      </c>
      <c r="FEY363" s="1648">
        <v>344028.50012699998</v>
      </c>
      <c r="FEZ363" s="1648">
        <v>335387.28629100003</v>
      </c>
      <c r="FFA363" s="1648">
        <v>337602.67972299998</v>
      </c>
      <c r="FFB363" s="1648">
        <v>210440.148116</v>
      </c>
      <c r="FFC363" s="1648">
        <v>330912.82974800002</v>
      </c>
      <c r="FFD363" s="1648">
        <v>321507.96580100001</v>
      </c>
      <c r="FFE363" s="1648">
        <v>310040.96500000003</v>
      </c>
      <c r="FFF363" s="1648">
        <v>306104.158</v>
      </c>
      <c r="FFG363" s="1648">
        <v>350079.51500000001</v>
      </c>
      <c r="FFH363" s="1648">
        <v>376736.01</v>
      </c>
      <c r="FFI363" s="1648">
        <v>382165.86499999999</v>
      </c>
      <c r="FFJ363" s="1648">
        <v>356897.57900000003</v>
      </c>
      <c r="FFK363" s="635">
        <v>3961904</v>
      </c>
      <c r="FFL363" s="633">
        <f>SUM(FEY363:FFJ363)</f>
        <v>3961903.5018060002</v>
      </c>
      <c r="FFM363" s="919" t="s">
        <v>1837</v>
      </c>
      <c r="FFN363" s="1643" t="s">
        <v>1838</v>
      </c>
      <c r="FFO363" s="1648">
        <v>344028.50012699998</v>
      </c>
      <c r="FFP363" s="1648">
        <v>335387.28629100003</v>
      </c>
      <c r="FFQ363" s="1648">
        <v>337602.67972299998</v>
      </c>
      <c r="FFR363" s="1648">
        <v>210440.148116</v>
      </c>
      <c r="FFS363" s="1648">
        <v>330912.82974800002</v>
      </c>
      <c r="FFT363" s="1648">
        <v>321507.96580100001</v>
      </c>
      <c r="FFU363" s="1648">
        <v>310040.96500000003</v>
      </c>
      <c r="FFV363" s="1648">
        <v>306104.158</v>
      </c>
      <c r="FFW363" s="1648">
        <v>350079.51500000001</v>
      </c>
      <c r="FFX363" s="1648">
        <v>376736.01</v>
      </c>
      <c r="FFY363" s="1648">
        <v>382165.86499999999</v>
      </c>
      <c r="FFZ363" s="1648">
        <v>356897.57900000003</v>
      </c>
      <c r="FGA363" s="635">
        <v>3961904</v>
      </c>
      <c r="FGB363" s="633">
        <f>SUM(FFO363:FFZ363)</f>
        <v>3961903.5018060002</v>
      </c>
      <c r="FGC363" s="919" t="s">
        <v>1837</v>
      </c>
      <c r="FGD363" s="1643" t="s">
        <v>1838</v>
      </c>
      <c r="FGE363" s="1648">
        <v>344028.50012699998</v>
      </c>
      <c r="FGF363" s="1648">
        <v>335387.28629100003</v>
      </c>
      <c r="FGG363" s="1648">
        <v>337602.67972299998</v>
      </c>
      <c r="FGH363" s="1648">
        <v>210440.148116</v>
      </c>
      <c r="FGI363" s="1648">
        <v>330912.82974800002</v>
      </c>
      <c r="FGJ363" s="1648">
        <v>321507.96580100001</v>
      </c>
      <c r="FGK363" s="1648">
        <v>310040.96500000003</v>
      </c>
      <c r="FGL363" s="1648">
        <v>306104.158</v>
      </c>
      <c r="FGM363" s="1648">
        <v>350079.51500000001</v>
      </c>
      <c r="FGN363" s="1648">
        <v>376736.01</v>
      </c>
      <c r="FGO363" s="1648">
        <v>382165.86499999999</v>
      </c>
      <c r="FGP363" s="1648">
        <v>356897.57900000003</v>
      </c>
      <c r="FGQ363" s="635">
        <v>3961904</v>
      </c>
      <c r="FGR363" s="633">
        <f>SUM(FGE363:FGP363)</f>
        <v>3961903.5018060002</v>
      </c>
      <c r="FGS363" s="919" t="s">
        <v>1837</v>
      </c>
      <c r="FGT363" s="1643" t="s">
        <v>1838</v>
      </c>
      <c r="FGU363" s="1648">
        <v>344028.50012699998</v>
      </c>
      <c r="FGV363" s="1648">
        <v>335387.28629100003</v>
      </c>
      <c r="FGW363" s="1648">
        <v>337602.67972299998</v>
      </c>
      <c r="FGX363" s="1648">
        <v>210440.148116</v>
      </c>
      <c r="FGY363" s="1648">
        <v>330912.82974800002</v>
      </c>
      <c r="FGZ363" s="1648">
        <v>321507.96580100001</v>
      </c>
      <c r="FHA363" s="1648">
        <v>310040.96500000003</v>
      </c>
      <c r="FHB363" s="1648">
        <v>306104.158</v>
      </c>
      <c r="FHC363" s="1648">
        <v>350079.51500000001</v>
      </c>
      <c r="FHD363" s="1648">
        <v>376736.01</v>
      </c>
      <c r="FHE363" s="1648">
        <v>382165.86499999999</v>
      </c>
      <c r="FHF363" s="1648">
        <v>356897.57900000003</v>
      </c>
      <c r="FHG363" s="635">
        <v>3961904</v>
      </c>
      <c r="FHH363" s="633">
        <f>SUM(FGU363:FHF363)</f>
        <v>3961903.5018060002</v>
      </c>
      <c r="FHI363" s="919" t="s">
        <v>1837</v>
      </c>
      <c r="FHJ363" s="1643" t="s">
        <v>1838</v>
      </c>
      <c r="FHK363" s="1648">
        <v>344028.50012699998</v>
      </c>
      <c r="FHL363" s="1648">
        <v>335387.28629100003</v>
      </c>
      <c r="FHM363" s="1648">
        <v>337602.67972299998</v>
      </c>
      <c r="FHN363" s="1648">
        <v>210440.148116</v>
      </c>
      <c r="FHO363" s="1648">
        <v>330912.82974800002</v>
      </c>
      <c r="FHP363" s="1648">
        <v>321507.96580100001</v>
      </c>
      <c r="FHQ363" s="1648">
        <v>310040.96500000003</v>
      </c>
      <c r="FHR363" s="1648">
        <v>306104.158</v>
      </c>
      <c r="FHS363" s="1648">
        <v>350079.51500000001</v>
      </c>
      <c r="FHT363" s="1648">
        <v>376736.01</v>
      </c>
      <c r="FHU363" s="1648">
        <v>382165.86499999999</v>
      </c>
      <c r="FHV363" s="1648">
        <v>356897.57900000003</v>
      </c>
      <c r="FHW363" s="635">
        <v>3961904</v>
      </c>
      <c r="FHX363" s="633">
        <f>SUM(FHK363:FHV363)</f>
        <v>3961903.5018060002</v>
      </c>
      <c r="FHY363" s="919" t="s">
        <v>1837</v>
      </c>
      <c r="FHZ363" s="1643" t="s">
        <v>1838</v>
      </c>
      <c r="FIA363" s="1648">
        <v>344028.50012699998</v>
      </c>
      <c r="FIB363" s="1648">
        <v>335387.28629100003</v>
      </c>
      <c r="FIC363" s="1648">
        <v>337602.67972299998</v>
      </c>
      <c r="FID363" s="1648">
        <v>210440.148116</v>
      </c>
      <c r="FIE363" s="1648">
        <v>330912.82974800002</v>
      </c>
      <c r="FIF363" s="1648">
        <v>321507.96580100001</v>
      </c>
      <c r="FIG363" s="1648">
        <v>310040.96500000003</v>
      </c>
      <c r="FIH363" s="1648">
        <v>306104.158</v>
      </c>
      <c r="FII363" s="1648">
        <v>350079.51500000001</v>
      </c>
      <c r="FIJ363" s="1648">
        <v>376736.01</v>
      </c>
      <c r="FIK363" s="1648">
        <v>382165.86499999999</v>
      </c>
      <c r="FIL363" s="1648">
        <v>356897.57900000003</v>
      </c>
      <c r="FIM363" s="635">
        <v>3961904</v>
      </c>
      <c r="FIN363" s="633">
        <f>SUM(FIA363:FIL363)</f>
        <v>3961903.5018060002</v>
      </c>
      <c r="FIO363" s="919" t="s">
        <v>1837</v>
      </c>
      <c r="FIP363" s="1643" t="s">
        <v>1838</v>
      </c>
      <c r="FIQ363" s="1648">
        <v>344028.50012699998</v>
      </c>
      <c r="FIR363" s="1648">
        <v>335387.28629100003</v>
      </c>
      <c r="FIS363" s="1648">
        <v>337602.67972299998</v>
      </c>
      <c r="FIT363" s="1648">
        <v>210440.148116</v>
      </c>
      <c r="FIU363" s="1648">
        <v>330912.82974800002</v>
      </c>
      <c r="FIV363" s="1648">
        <v>321507.96580100001</v>
      </c>
      <c r="FIW363" s="1648">
        <v>310040.96500000003</v>
      </c>
      <c r="FIX363" s="1648">
        <v>306104.158</v>
      </c>
      <c r="FIY363" s="1648">
        <v>350079.51500000001</v>
      </c>
      <c r="FIZ363" s="1648">
        <v>376736.01</v>
      </c>
      <c r="FJA363" s="1648">
        <v>382165.86499999999</v>
      </c>
      <c r="FJB363" s="1648">
        <v>356897.57900000003</v>
      </c>
      <c r="FJC363" s="635">
        <v>3961904</v>
      </c>
      <c r="FJD363" s="633">
        <f>SUM(FIQ363:FJB363)</f>
        <v>3961903.5018060002</v>
      </c>
      <c r="FJE363" s="919" t="s">
        <v>1837</v>
      </c>
      <c r="FJF363" s="1643" t="s">
        <v>1838</v>
      </c>
      <c r="FJG363" s="1648">
        <v>344028.50012699998</v>
      </c>
      <c r="FJH363" s="1648">
        <v>335387.28629100003</v>
      </c>
      <c r="FJI363" s="1648">
        <v>337602.67972299998</v>
      </c>
      <c r="FJJ363" s="1648">
        <v>210440.148116</v>
      </c>
      <c r="FJK363" s="1648">
        <v>330912.82974800002</v>
      </c>
      <c r="FJL363" s="1648">
        <v>321507.96580100001</v>
      </c>
      <c r="FJM363" s="1648">
        <v>310040.96500000003</v>
      </c>
      <c r="FJN363" s="1648">
        <v>306104.158</v>
      </c>
      <c r="FJO363" s="1648">
        <v>350079.51500000001</v>
      </c>
      <c r="FJP363" s="1648">
        <v>376736.01</v>
      </c>
      <c r="FJQ363" s="1648">
        <v>382165.86499999999</v>
      </c>
      <c r="FJR363" s="1648">
        <v>356897.57900000003</v>
      </c>
      <c r="FJS363" s="635">
        <v>3961904</v>
      </c>
      <c r="FJT363" s="633">
        <f>SUM(FJG363:FJR363)</f>
        <v>3961903.5018060002</v>
      </c>
      <c r="FJU363" s="919" t="s">
        <v>1837</v>
      </c>
      <c r="FJV363" s="1643" t="s">
        <v>1838</v>
      </c>
      <c r="FJW363" s="1648">
        <v>344028.50012699998</v>
      </c>
      <c r="FJX363" s="1648">
        <v>335387.28629100003</v>
      </c>
      <c r="FJY363" s="1648">
        <v>337602.67972299998</v>
      </c>
      <c r="FJZ363" s="1648">
        <v>210440.148116</v>
      </c>
      <c r="FKA363" s="1648">
        <v>330912.82974800002</v>
      </c>
      <c r="FKB363" s="1648">
        <v>321507.96580100001</v>
      </c>
      <c r="FKC363" s="1648">
        <v>310040.96500000003</v>
      </c>
      <c r="FKD363" s="1648">
        <v>306104.158</v>
      </c>
      <c r="FKE363" s="1648">
        <v>350079.51500000001</v>
      </c>
      <c r="FKF363" s="1648">
        <v>376736.01</v>
      </c>
      <c r="FKG363" s="1648">
        <v>382165.86499999999</v>
      </c>
      <c r="FKH363" s="1648">
        <v>356897.57900000003</v>
      </c>
      <c r="FKI363" s="635">
        <v>3961904</v>
      </c>
      <c r="FKJ363" s="633">
        <f>SUM(FJW363:FKH363)</f>
        <v>3961903.5018060002</v>
      </c>
      <c r="FKK363" s="919" t="s">
        <v>1837</v>
      </c>
      <c r="FKL363" s="1643" t="s">
        <v>1838</v>
      </c>
      <c r="FKM363" s="1648">
        <v>344028.50012699998</v>
      </c>
      <c r="FKN363" s="1648">
        <v>335387.28629100003</v>
      </c>
      <c r="FKO363" s="1648">
        <v>337602.67972299998</v>
      </c>
      <c r="FKP363" s="1648">
        <v>210440.148116</v>
      </c>
      <c r="FKQ363" s="1648">
        <v>330912.82974800002</v>
      </c>
      <c r="FKR363" s="1648">
        <v>321507.96580100001</v>
      </c>
      <c r="FKS363" s="1648">
        <v>310040.96500000003</v>
      </c>
      <c r="FKT363" s="1648">
        <v>306104.158</v>
      </c>
      <c r="FKU363" s="1648">
        <v>350079.51500000001</v>
      </c>
      <c r="FKV363" s="1648">
        <v>376736.01</v>
      </c>
      <c r="FKW363" s="1648">
        <v>382165.86499999999</v>
      </c>
      <c r="FKX363" s="1648">
        <v>356897.57900000003</v>
      </c>
      <c r="FKY363" s="635">
        <v>3961904</v>
      </c>
      <c r="FKZ363" s="633">
        <f>SUM(FKM363:FKX363)</f>
        <v>3961903.5018060002</v>
      </c>
      <c r="FLA363" s="919" t="s">
        <v>1837</v>
      </c>
      <c r="FLB363" s="1643" t="s">
        <v>1838</v>
      </c>
      <c r="FLC363" s="1648">
        <v>344028.50012699998</v>
      </c>
      <c r="FLD363" s="1648">
        <v>335387.28629100003</v>
      </c>
      <c r="FLE363" s="1648">
        <v>337602.67972299998</v>
      </c>
      <c r="FLF363" s="1648">
        <v>210440.148116</v>
      </c>
      <c r="FLG363" s="1648">
        <v>330912.82974800002</v>
      </c>
      <c r="FLH363" s="1648">
        <v>321507.96580100001</v>
      </c>
      <c r="FLI363" s="1648">
        <v>310040.96500000003</v>
      </c>
      <c r="FLJ363" s="1648">
        <v>306104.158</v>
      </c>
      <c r="FLK363" s="1648">
        <v>350079.51500000001</v>
      </c>
      <c r="FLL363" s="1648">
        <v>376736.01</v>
      </c>
      <c r="FLM363" s="1648">
        <v>382165.86499999999</v>
      </c>
      <c r="FLN363" s="1648">
        <v>356897.57900000003</v>
      </c>
      <c r="FLO363" s="635">
        <v>3961904</v>
      </c>
      <c r="FLP363" s="633">
        <f>SUM(FLC363:FLN363)</f>
        <v>3961903.5018060002</v>
      </c>
      <c r="FLQ363" s="919" t="s">
        <v>1837</v>
      </c>
      <c r="FLR363" s="1643" t="s">
        <v>1838</v>
      </c>
      <c r="FLS363" s="1648">
        <v>344028.50012699998</v>
      </c>
      <c r="FLT363" s="1648">
        <v>335387.28629100003</v>
      </c>
      <c r="FLU363" s="1648">
        <v>337602.67972299998</v>
      </c>
      <c r="FLV363" s="1648">
        <v>210440.148116</v>
      </c>
      <c r="FLW363" s="1648">
        <v>330912.82974800002</v>
      </c>
      <c r="FLX363" s="1648">
        <v>321507.96580100001</v>
      </c>
      <c r="FLY363" s="1648">
        <v>310040.96500000003</v>
      </c>
      <c r="FLZ363" s="1648">
        <v>306104.158</v>
      </c>
      <c r="FMA363" s="1648">
        <v>350079.51500000001</v>
      </c>
      <c r="FMB363" s="1648">
        <v>376736.01</v>
      </c>
      <c r="FMC363" s="1648">
        <v>382165.86499999999</v>
      </c>
      <c r="FMD363" s="1648">
        <v>356897.57900000003</v>
      </c>
      <c r="FME363" s="635">
        <v>3961904</v>
      </c>
      <c r="FMF363" s="633">
        <f>SUM(FLS363:FMD363)</f>
        <v>3961903.5018060002</v>
      </c>
      <c r="FMG363" s="919" t="s">
        <v>1837</v>
      </c>
      <c r="FMH363" s="1643" t="s">
        <v>1838</v>
      </c>
      <c r="FMI363" s="1648">
        <v>344028.50012699998</v>
      </c>
      <c r="FMJ363" s="1648">
        <v>335387.28629100003</v>
      </c>
      <c r="FMK363" s="1648">
        <v>337602.67972299998</v>
      </c>
      <c r="FML363" s="1648">
        <v>210440.148116</v>
      </c>
      <c r="FMM363" s="1648">
        <v>330912.82974800002</v>
      </c>
      <c r="FMN363" s="1648">
        <v>321507.96580100001</v>
      </c>
      <c r="FMO363" s="1648">
        <v>310040.96500000003</v>
      </c>
      <c r="FMP363" s="1648">
        <v>306104.158</v>
      </c>
      <c r="FMQ363" s="1648">
        <v>350079.51500000001</v>
      </c>
      <c r="FMR363" s="1648">
        <v>376736.01</v>
      </c>
      <c r="FMS363" s="1648">
        <v>382165.86499999999</v>
      </c>
      <c r="FMT363" s="1648">
        <v>356897.57900000003</v>
      </c>
      <c r="FMU363" s="635">
        <v>3961904</v>
      </c>
      <c r="FMV363" s="633">
        <f>SUM(FMI363:FMT363)</f>
        <v>3961903.5018060002</v>
      </c>
      <c r="FMW363" s="919" t="s">
        <v>1837</v>
      </c>
      <c r="FMX363" s="1643" t="s">
        <v>1838</v>
      </c>
      <c r="FMY363" s="1648">
        <v>344028.50012699998</v>
      </c>
      <c r="FMZ363" s="1648">
        <v>335387.28629100003</v>
      </c>
      <c r="FNA363" s="1648">
        <v>337602.67972299998</v>
      </c>
      <c r="FNB363" s="1648">
        <v>210440.148116</v>
      </c>
      <c r="FNC363" s="1648">
        <v>330912.82974800002</v>
      </c>
      <c r="FND363" s="1648">
        <v>321507.96580100001</v>
      </c>
      <c r="FNE363" s="1648">
        <v>310040.96500000003</v>
      </c>
      <c r="FNF363" s="1648">
        <v>306104.158</v>
      </c>
      <c r="FNG363" s="1648">
        <v>350079.51500000001</v>
      </c>
      <c r="FNH363" s="1648">
        <v>376736.01</v>
      </c>
      <c r="FNI363" s="1648">
        <v>382165.86499999999</v>
      </c>
      <c r="FNJ363" s="1648">
        <v>356897.57900000003</v>
      </c>
      <c r="FNK363" s="635">
        <v>3961904</v>
      </c>
      <c r="FNL363" s="633">
        <f>SUM(FMY363:FNJ363)</f>
        <v>3961903.5018060002</v>
      </c>
      <c r="FNM363" s="919" t="s">
        <v>1837</v>
      </c>
      <c r="FNN363" s="1643" t="s">
        <v>1838</v>
      </c>
      <c r="FNO363" s="1648">
        <v>344028.50012699998</v>
      </c>
      <c r="FNP363" s="1648">
        <v>335387.28629100003</v>
      </c>
      <c r="FNQ363" s="1648">
        <v>337602.67972299998</v>
      </c>
      <c r="FNR363" s="1648">
        <v>210440.148116</v>
      </c>
      <c r="FNS363" s="1648">
        <v>330912.82974800002</v>
      </c>
      <c r="FNT363" s="1648">
        <v>321507.96580100001</v>
      </c>
      <c r="FNU363" s="1648">
        <v>310040.96500000003</v>
      </c>
      <c r="FNV363" s="1648">
        <v>306104.158</v>
      </c>
      <c r="FNW363" s="1648">
        <v>350079.51500000001</v>
      </c>
      <c r="FNX363" s="1648">
        <v>376736.01</v>
      </c>
      <c r="FNY363" s="1648">
        <v>382165.86499999999</v>
      </c>
      <c r="FNZ363" s="1648">
        <v>356897.57900000003</v>
      </c>
      <c r="FOA363" s="635">
        <v>3961904</v>
      </c>
      <c r="FOB363" s="633">
        <f>SUM(FNO363:FNZ363)</f>
        <v>3961903.5018060002</v>
      </c>
      <c r="FOC363" s="919" t="s">
        <v>1837</v>
      </c>
      <c r="FOD363" s="1643" t="s">
        <v>1838</v>
      </c>
      <c r="FOE363" s="1648">
        <v>344028.50012699998</v>
      </c>
      <c r="FOF363" s="1648">
        <v>335387.28629100003</v>
      </c>
      <c r="FOG363" s="1648">
        <v>337602.67972299998</v>
      </c>
      <c r="FOH363" s="1648">
        <v>210440.148116</v>
      </c>
      <c r="FOI363" s="1648">
        <v>330912.82974800002</v>
      </c>
      <c r="FOJ363" s="1648">
        <v>321507.96580100001</v>
      </c>
      <c r="FOK363" s="1648">
        <v>310040.96500000003</v>
      </c>
      <c r="FOL363" s="1648">
        <v>306104.158</v>
      </c>
      <c r="FOM363" s="1648">
        <v>350079.51500000001</v>
      </c>
      <c r="FON363" s="1648">
        <v>376736.01</v>
      </c>
      <c r="FOO363" s="1648">
        <v>382165.86499999999</v>
      </c>
      <c r="FOP363" s="1648">
        <v>356897.57900000003</v>
      </c>
      <c r="FOQ363" s="635">
        <v>3961904</v>
      </c>
      <c r="FOR363" s="633">
        <f>SUM(FOE363:FOP363)</f>
        <v>3961903.5018060002</v>
      </c>
      <c r="FOS363" s="919" t="s">
        <v>1837</v>
      </c>
      <c r="FOT363" s="1643" t="s">
        <v>1838</v>
      </c>
      <c r="FOU363" s="1648">
        <v>344028.50012699998</v>
      </c>
      <c r="FOV363" s="1648">
        <v>335387.28629100003</v>
      </c>
      <c r="FOW363" s="1648">
        <v>337602.67972299998</v>
      </c>
      <c r="FOX363" s="1648">
        <v>210440.148116</v>
      </c>
      <c r="FOY363" s="1648">
        <v>330912.82974800002</v>
      </c>
      <c r="FOZ363" s="1648">
        <v>321507.96580100001</v>
      </c>
      <c r="FPA363" s="1648">
        <v>310040.96500000003</v>
      </c>
      <c r="FPB363" s="1648">
        <v>306104.158</v>
      </c>
      <c r="FPC363" s="1648">
        <v>350079.51500000001</v>
      </c>
      <c r="FPD363" s="1648">
        <v>376736.01</v>
      </c>
      <c r="FPE363" s="1648">
        <v>382165.86499999999</v>
      </c>
      <c r="FPF363" s="1648">
        <v>356897.57900000003</v>
      </c>
      <c r="FPG363" s="635">
        <v>3961904</v>
      </c>
      <c r="FPH363" s="633">
        <f>SUM(FOU363:FPF363)</f>
        <v>3961903.5018060002</v>
      </c>
      <c r="FPI363" s="919" t="s">
        <v>1837</v>
      </c>
      <c r="FPJ363" s="1643" t="s">
        <v>1838</v>
      </c>
      <c r="FPK363" s="1648">
        <v>344028.50012699998</v>
      </c>
      <c r="FPL363" s="1648">
        <v>335387.28629100003</v>
      </c>
      <c r="FPM363" s="1648">
        <v>337602.67972299998</v>
      </c>
      <c r="FPN363" s="1648">
        <v>210440.148116</v>
      </c>
      <c r="FPO363" s="1648">
        <v>330912.82974800002</v>
      </c>
      <c r="FPP363" s="1648">
        <v>321507.96580100001</v>
      </c>
      <c r="FPQ363" s="1648">
        <v>310040.96500000003</v>
      </c>
      <c r="FPR363" s="1648">
        <v>306104.158</v>
      </c>
      <c r="FPS363" s="1648">
        <v>350079.51500000001</v>
      </c>
      <c r="FPT363" s="1648">
        <v>376736.01</v>
      </c>
      <c r="FPU363" s="1648">
        <v>382165.86499999999</v>
      </c>
      <c r="FPV363" s="1648">
        <v>356897.57900000003</v>
      </c>
      <c r="FPW363" s="635">
        <v>3961904</v>
      </c>
      <c r="FPX363" s="633">
        <f>SUM(FPK363:FPV363)</f>
        <v>3961903.5018060002</v>
      </c>
      <c r="FPY363" s="919" t="s">
        <v>1837</v>
      </c>
      <c r="FPZ363" s="1643" t="s">
        <v>1838</v>
      </c>
      <c r="FQA363" s="1648">
        <v>344028.50012699998</v>
      </c>
      <c r="FQB363" s="1648">
        <v>335387.28629100003</v>
      </c>
      <c r="FQC363" s="1648">
        <v>337602.67972299998</v>
      </c>
      <c r="FQD363" s="1648">
        <v>210440.148116</v>
      </c>
      <c r="FQE363" s="1648">
        <v>330912.82974800002</v>
      </c>
      <c r="FQF363" s="1648">
        <v>321507.96580100001</v>
      </c>
      <c r="FQG363" s="1648">
        <v>310040.96500000003</v>
      </c>
      <c r="FQH363" s="1648">
        <v>306104.158</v>
      </c>
      <c r="FQI363" s="1648">
        <v>350079.51500000001</v>
      </c>
      <c r="FQJ363" s="1648">
        <v>376736.01</v>
      </c>
      <c r="FQK363" s="1648">
        <v>382165.86499999999</v>
      </c>
      <c r="FQL363" s="1648">
        <v>356897.57900000003</v>
      </c>
      <c r="FQM363" s="635">
        <v>3961904</v>
      </c>
      <c r="FQN363" s="633">
        <f>SUM(FQA363:FQL363)</f>
        <v>3961903.5018060002</v>
      </c>
      <c r="FQO363" s="919" t="s">
        <v>1837</v>
      </c>
      <c r="FQP363" s="1643" t="s">
        <v>1838</v>
      </c>
      <c r="FQQ363" s="1648">
        <v>344028.50012699998</v>
      </c>
      <c r="FQR363" s="1648">
        <v>335387.28629100003</v>
      </c>
      <c r="FQS363" s="1648">
        <v>337602.67972299998</v>
      </c>
      <c r="FQT363" s="1648">
        <v>210440.148116</v>
      </c>
      <c r="FQU363" s="1648">
        <v>330912.82974800002</v>
      </c>
      <c r="FQV363" s="1648">
        <v>321507.96580100001</v>
      </c>
      <c r="FQW363" s="1648">
        <v>310040.96500000003</v>
      </c>
      <c r="FQX363" s="1648">
        <v>306104.158</v>
      </c>
      <c r="FQY363" s="1648">
        <v>350079.51500000001</v>
      </c>
      <c r="FQZ363" s="1648">
        <v>376736.01</v>
      </c>
      <c r="FRA363" s="1648">
        <v>382165.86499999999</v>
      </c>
      <c r="FRB363" s="1648">
        <v>356897.57900000003</v>
      </c>
      <c r="FRC363" s="635">
        <v>3961904</v>
      </c>
      <c r="FRD363" s="633">
        <f>SUM(FQQ363:FRB363)</f>
        <v>3961903.5018060002</v>
      </c>
      <c r="FRE363" s="919" t="s">
        <v>1837</v>
      </c>
      <c r="FRF363" s="1643" t="s">
        <v>1838</v>
      </c>
      <c r="FRG363" s="1648">
        <v>344028.50012699998</v>
      </c>
      <c r="FRH363" s="1648">
        <v>335387.28629100003</v>
      </c>
      <c r="FRI363" s="1648">
        <v>337602.67972299998</v>
      </c>
      <c r="FRJ363" s="1648">
        <v>210440.148116</v>
      </c>
      <c r="FRK363" s="1648">
        <v>330912.82974800002</v>
      </c>
      <c r="FRL363" s="1648">
        <v>321507.96580100001</v>
      </c>
      <c r="FRM363" s="1648">
        <v>310040.96500000003</v>
      </c>
      <c r="FRN363" s="1648">
        <v>306104.158</v>
      </c>
      <c r="FRO363" s="1648">
        <v>350079.51500000001</v>
      </c>
      <c r="FRP363" s="1648">
        <v>376736.01</v>
      </c>
      <c r="FRQ363" s="1648">
        <v>382165.86499999999</v>
      </c>
      <c r="FRR363" s="1648">
        <v>356897.57900000003</v>
      </c>
      <c r="FRS363" s="635">
        <v>3961904</v>
      </c>
      <c r="FRT363" s="633">
        <f>SUM(FRG363:FRR363)</f>
        <v>3961903.5018060002</v>
      </c>
      <c r="FRU363" s="919" t="s">
        <v>1837</v>
      </c>
      <c r="FRV363" s="1643" t="s">
        <v>1838</v>
      </c>
      <c r="FRW363" s="1648">
        <v>344028.50012699998</v>
      </c>
      <c r="FRX363" s="1648">
        <v>335387.28629100003</v>
      </c>
      <c r="FRY363" s="1648">
        <v>337602.67972299998</v>
      </c>
      <c r="FRZ363" s="1648">
        <v>210440.148116</v>
      </c>
      <c r="FSA363" s="1648">
        <v>330912.82974800002</v>
      </c>
      <c r="FSB363" s="1648">
        <v>321507.96580100001</v>
      </c>
      <c r="FSC363" s="1648">
        <v>310040.96500000003</v>
      </c>
      <c r="FSD363" s="1648">
        <v>306104.158</v>
      </c>
      <c r="FSE363" s="1648">
        <v>350079.51500000001</v>
      </c>
      <c r="FSF363" s="1648">
        <v>376736.01</v>
      </c>
      <c r="FSG363" s="1648">
        <v>382165.86499999999</v>
      </c>
      <c r="FSH363" s="1648">
        <v>356897.57900000003</v>
      </c>
      <c r="FSI363" s="635">
        <v>3961904</v>
      </c>
      <c r="FSJ363" s="633">
        <f>SUM(FRW363:FSH363)</f>
        <v>3961903.5018060002</v>
      </c>
      <c r="FSK363" s="919" t="s">
        <v>1837</v>
      </c>
      <c r="FSL363" s="1643" t="s">
        <v>1838</v>
      </c>
      <c r="FSM363" s="1648">
        <v>344028.50012699998</v>
      </c>
      <c r="FSN363" s="1648">
        <v>335387.28629100003</v>
      </c>
      <c r="FSO363" s="1648">
        <v>337602.67972299998</v>
      </c>
      <c r="FSP363" s="1648">
        <v>210440.148116</v>
      </c>
      <c r="FSQ363" s="1648">
        <v>330912.82974800002</v>
      </c>
      <c r="FSR363" s="1648">
        <v>321507.96580100001</v>
      </c>
      <c r="FSS363" s="1648">
        <v>310040.96500000003</v>
      </c>
      <c r="FST363" s="1648">
        <v>306104.158</v>
      </c>
      <c r="FSU363" s="1648">
        <v>350079.51500000001</v>
      </c>
      <c r="FSV363" s="1648">
        <v>376736.01</v>
      </c>
      <c r="FSW363" s="1648">
        <v>382165.86499999999</v>
      </c>
      <c r="FSX363" s="1648">
        <v>356897.57900000003</v>
      </c>
      <c r="FSY363" s="635">
        <v>3961904</v>
      </c>
      <c r="FSZ363" s="633">
        <f>SUM(FSM363:FSX363)</f>
        <v>3961903.5018060002</v>
      </c>
      <c r="FTA363" s="919" t="s">
        <v>1837</v>
      </c>
      <c r="FTB363" s="1643" t="s">
        <v>1838</v>
      </c>
      <c r="FTC363" s="1648">
        <v>344028.50012699998</v>
      </c>
      <c r="FTD363" s="1648">
        <v>335387.28629100003</v>
      </c>
      <c r="FTE363" s="1648">
        <v>337602.67972299998</v>
      </c>
      <c r="FTF363" s="1648">
        <v>210440.148116</v>
      </c>
      <c r="FTG363" s="1648">
        <v>330912.82974800002</v>
      </c>
      <c r="FTH363" s="1648">
        <v>321507.96580100001</v>
      </c>
      <c r="FTI363" s="1648">
        <v>310040.96500000003</v>
      </c>
      <c r="FTJ363" s="1648">
        <v>306104.158</v>
      </c>
      <c r="FTK363" s="1648">
        <v>350079.51500000001</v>
      </c>
      <c r="FTL363" s="1648">
        <v>376736.01</v>
      </c>
      <c r="FTM363" s="1648">
        <v>382165.86499999999</v>
      </c>
      <c r="FTN363" s="1648">
        <v>356897.57900000003</v>
      </c>
      <c r="FTO363" s="635">
        <v>3961904</v>
      </c>
      <c r="FTP363" s="633">
        <f>SUM(FTC363:FTN363)</f>
        <v>3961903.5018060002</v>
      </c>
      <c r="FTQ363" s="919" t="s">
        <v>1837</v>
      </c>
      <c r="FTR363" s="1643" t="s">
        <v>1838</v>
      </c>
      <c r="FTS363" s="1648">
        <v>344028.50012699998</v>
      </c>
      <c r="FTT363" s="1648">
        <v>335387.28629100003</v>
      </c>
      <c r="FTU363" s="1648">
        <v>337602.67972299998</v>
      </c>
      <c r="FTV363" s="1648">
        <v>210440.148116</v>
      </c>
      <c r="FTW363" s="1648">
        <v>330912.82974800002</v>
      </c>
      <c r="FTX363" s="1648">
        <v>321507.96580100001</v>
      </c>
      <c r="FTY363" s="1648">
        <v>310040.96500000003</v>
      </c>
      <c r="FTZ363" s="1648">
        <v>306104.158</v>
      </c>
      <c r="FUA363" s="1648">
        <v>350079.51500000001</v>
      </c>
      <c r="FUB363" s="1648">
        <v>376736.01</v>
      </c>
      <c r="FUC363" s="1648">
        <v>382165.86499999999</v>
      </c>
      <c r="FUD363" s="1648">
        <v>356897.57900000003</v>
      </c>
      <c r="FUE363" s="635">
        <v>3961904</v>
      </c>
      <c r="FUF363" s="633">
        <f>SUM(FTS363:FUD363)</f>
        <v>3961903.5018060002</v>
      </c>
      <c r="FUG363" s="919" t="s">
        <v>1837</v>
      </c>
      <c r="FUH363" s="1643" t="s">
        <v>1838</v>
      </c>
      <c r="FUI363" s="1648">
        <v>344028.50012699998</v>
      </c>
      <c r="FUJ363" s="1648">
        <v>335387.28629100003</v>
      </c>
      <c r="FUK363" s="1648">
        <v>337602.67972299998</v>
      </c>
      <c r="FUL363" s="1648">
        <v>210440.148116</v>
      </c>
      <c r="FUM363" s="1648">
        <v>330912.82974800002</v>
      </c>
      <c r="FUN363" s="1648">
        <v>321507.96580100001</v>
      </c>
      <c r="FUO363" s="1648">
        <v>310040.96500000003</v>
      </c>
      <c r="FUP363" s="1648">
        <v>306104.158</v>
      </c>
      <c r="FUQ363" s="1648">
        <v>350079.51500000001</v>
      </c>
      <c r="FUR363" s="1648">
        <v>376736.01</v>
      </c>
      <c r="FUS363" s="1648">
        <v>382165.86499999999</v>
      </c>
      <c r="FUT363" s="1648">
        <v>356897.57900000003</v>
      </c>
      <c r="FUU363" s="635">
        <v>3961904</v>
      </c>
      <c r="FUV363" s="633">
        <f>SUM(FUI363:FUT363)</f>
        <v>3961903.5018060002</v>
      </c>
      <c r="FUW363" s="919" t="s">
        <v>1837</v>
      </c>
      <c r="FUX363" s="1643" t="s">
        <v>1838</v>
      </c>
      <c r="FUY363" s="1648">
        <v>344028.50012699998</v>
      </c>
      <c r="FUZ363" s="1648">
        <v>335387.28629100003</v>
      </c>
      <c r="FVA363" s="1648">
        <v>337602.67972299998</v>
      </c>
      <c r="FVB363" s="1648">
        <v>210440.148116</v>
      </c>
      <c r="FVC363" s="1648">
        <v>330912.82974800002</v>
      </c>
      <c r="FVD363" s="1648">
        <v>321507.96580100001</v>
      </c>
      <c r="FVE363" s="1648">
        <v>310040.96500000003</v>
      </c>
      <c r="FVF363" s="1648">
        <v>306104.158</v>
      </c>
      <c r="FVG363" s="1648">
        <v>350079.51500000001</v>
      </c>
      <c r="FVH363" s="1648">
        <v>376736.01</v>
      </c>
      <c r="FVI363" s="1648">
        <v>382165.86499999999</v>
      </c>
      <c r="FVJ363" s="1648">
        <v>356897.57900000003</v>
      </c>
      <c r="FVK363" s="635">
        <v>3961904</v>
      </c>
      <c r="FVL363" s="633">
        <f>SUM(FUY363:FVJ363)</f>
        <v>3961903.5018060002</v>
      </c>
      <c r="FVM363" s="919" t="s">
        <v>1837</v>
      </c>
      <c r="FVN363" s="1643" t="s">
        <v>1838</v>
      </c>
      <c r="FVO363" s="1648">
        <v>344028.50012699998</v>
      </c>
      <c r="FVP363" s="1648">
        <v>335387.28629100003</v>
      </c>
      <c r="FVQ363" s="1648">
        <v>337602.67972299998</v>
      </c>
      <c r="FVR363" s="1648">
        <v>210440.148116</v>
      </c>
      <c r="FVS363" s="1648">
        <v>330912.82974800002</v>
      </c>
      <c r="FVT363" s="1648">
        <v>321507.96580100001</v>
      </c>
      <c r="FVU363" s="1648">
        <v>310040.96500000003</v>
      </c>
      <c r="FVV363" s="1648">
        <v>306104.158</v>
      </c>
      <c r="FVW363" s="1648">
        <v>350079.51500000001</v>
      </c>
      <c r="FVX363" s="1648">
        <v>376736.01</v>
      </c>
      <c r="FVY363" s="1648">
        <v>382165.86499999999</v>
      </c>
      <c r="FVZ363" s="1648">
        <v>356897.57900000003</v>
      </c>
      <c r="FWA363" s="635">
        <v>3961904</v>
      </c>
      <c r="FWB363" s="633">
        <f>SUM(FVO363:FVZ363)</f>
        <v>3961903.5018060002</v>
      </c>
      <c r="FWC363" s="919" t="s">
        <v>1837</v>
      </c>
      <c r="FWD363" s="1643" t="s">
        <v>1838</v>
      </c>
      <c r="FWE363" s="1648">
        <v>344028.50012699998</v>
      </c>
      <c r="FWF363" s="1648">
        <v>335387.28629100003</v>
      </c>
      <c r="FWG363" s="1648">
        <v>337602.67972299998</v>
      </c>
      <c r="FWH363" s="1648">
        <v>210440.148116</v>
      </c>
      <c r="FWI363" s="1648">
        <v>330912.82974800002</v>
      </c>
      <c r="FWJ363" s="1648">
        <v>321507.96580100001</v>
      </c>
      <c r="FWK363" s="1648">
        <v>310040.96500000003</v>
      </c>
      <c r="FWL363" s="1648">
        <v>306104.158</v>
      </c>
      <c r="FWM363" s="1648">
        <v>350079.51500000001</v>
      </c>
      <c r="FWN363" s="1648">
        <v>376736.01</v>
      </c>
      <c r="FWO363" s="1648">
        <v>382165.86499999999</v>
      </c>
      <c r="FWP363" s="1648">
        <v>356897.57900000003</v>
      </c>
      <c r="FWQ363" s="635">
        <v>3961904</v>
      </c>
      <c r="FWR363" s="633">
        <f>SUM(FWE363:FWP363)</f>
        <v>3961903.5018060002</v>
      </c>
      <c r="FWS363" s="919" t="s">
        <v>1837</v>
      </c>
      <c r="FWT363" s="1643" t="s">
        <v>1838</v>
      </c>
      <c r="FWU363" s="1648">
        <v>344028.50012699998</v>
      </c>
      <c r="FWV363" s="1648">
        <v>335387.28629100003</v>
      </c>
      <c r="FWW363" s="1648">
        <v>337602.67972299998</v>
      </c>
      <c r="FWX363" s="1648">
        <v>210440.148116</v>
      </c>
      <c r="FWY363" s="1648">
        <v>330912.82974800002</v>
      </c>
      <c r="FWZ363" s="1648">
        <v>321507.96580100001</v>
      </c>
      <c r="FXA363" s="1648">
        <v>310040.96500000003</v>
      </c>
      <c r="FXB363" s="1648">
        <v>306104.158</v>
      </c>
      <c r="FXC363" s="1648">
        <v>350079.51500000001</v>
      </c>
      <c r="FXD363" s="1648">
        <v>376736.01</v>
      </c>
      <c r="FXE363" s="1648">
        <v>382165.86499999999</v>
      </c>
      <c r="FXF363" s="1648">
        <v>356897.57900000003</v>
      </c>
      <c r="FXG363" s="635">
        <v>3961904</v>
      </c>
      <c r="FXH363" s="633">
        <f>SUM(FWU363:FXF363)</f>
        <v>3961903.5018060002</v>
      </c>
      <c r="FXI363" s="919" t="s">
        <v>1837</v>
      </c>
      <c r="FXJ363" s="1643" t="s">
        <v>1838</v>
      </c>
      <c r="FXK363" s="1648">
        <v>344028.50012699998</v>
      </c>
      <c r="FXL363" s="1648">
        <v>335387.28629100003</v>
      </c>
      <c r="FXM363" s="1648">
        <v>337602.67972299998</v>
      </c>
      <c r="FXN363" s="1648">
        <v>210440.148116</v>
      </c>
      <c r="FXO363" s="1648">
        <v>330912.82974800002</v>
      </c>
      <c r="FXP363" s="1648">
        <v>321507.96580100001</v>
      </c>
      <c r="FXQ363" s="1648">
        <v>310040.96500000003</v>
      </c>
      <c r="FXR363" s="1648">
        <v>306104.158</v>
      </c>
      <c r="FXS363" s="1648">
        <v>350079.51500000001</v>
      </c>
      <c r="FXT363" s="1648">
        <v>376736.01</v>
      </c>
      <c r="FXU363" s="1648">
        <v>382165.86499999999</v>
      </c>
      <c r="FXV363" s="1648">
        <v>356897.57900000003</v>
      </c>
      <c r="FXW363" s="635">
        <v>3961904</v>
      </c>
      <c r="FXX363" s="633">
        <f>SUM(FXK363:FXV363)</f>
        <v>3961903.5018060002</v>
      </c>
      <c r="FXY363" s="919" t="s">
        <v>1837</v>
      </c>
      <c r="FXZ363" s="1643" t="s">
        <v>1838</v>
      </c>
      <c r="FYA363" s="1648">
        <v>344028.50012699998</v>
      </c>
      <c r="FYB363" s="1648">
        <v>335387.28629100003</v>
      </c>
      <c r="FYC363" s="1648">
        <v>337602.67972299998</v>
      </c>
      <c r="FYD363" s="1648">
        <v>210440.148116</v>
      </c>
      <c r="FYE363" s="1648">
        <v>330912.82974800002</v>
      </c>
      <c r="FYF363" s="1648">
        <v>321507.96580100001</v>
      </c>
      <c r="FYG363" s="1648">
        <v>310040.96500000003</v>
      </c>
      <c r="FYH363" s="1648">
        <v>306104.158</v>
      </c>
      <c r="FYI363" s="1648">
        <v>350079.51500000001</v>
      </c>
      <c r="FYJ363" s="1648">
        <v>376736.01</v>
      </c>
      <c r="FYK363" s="1648">
        <v>382165.86499999999</v>
      </c>
      <c r="FYL363" s="1648">
        <v>356897.57900000003</v>
      </c>
      <c r="FYM363" s="635">
        <v>3961904</v>
      </c>
      <c r="FYN363" s="633">
        <f>SUM(FYA363:FYL363)</f>
        <v>3961903.5018060002</v>
      </c>
      <c r="FYO363" s="919" t="s">
        <v>1837</v>
      </c>
      <c r="FYP363" s="1643" t="s">
        <v>1838</v>
      </c>
      <c r="FYQ363" s="1648">
        <v>344028.50012699998</v>
      </c>
      <c r="FYR363" s="1648">
        <v>335387.28629100003</v>
      </c>
      <c r="FYS363" s="1648">
        <v>337602.67972299998</v>
      </c>
      <c r="FYT363" s="1648">
        <v>210440.148116</v>
      </c>
      <c r="FYU363" s="1648">
        <v>330912.82974800002</v>
      </c>
      <c r="FYV363" s="1648">
        <v>321507.96580100001</v>
      </c>
      <c r="FYW363" s="1648">
        <v>310040.96500000003</v>
      </c>
      <c r="FYX363" s="1648">
        <v>306104.158</v>
      </c>
      <c r="FYY363" s="1648">
        <v>350079.51500000001</v>
      </c>
      <c r="FYZ363" s="1648">
        <v>376736.01</v>
      </c>
      <c r="FZA363" s="1648">
        <v>382165.86499999999</v>
      </c>
      <c r="FZB363" s="1648">
        <v>356897.57900000003</v>
      </c>
      <c r="FZC363" s="635">
        <v>3961904</v>
      </c>
      <c r="FZD363" s="633">
        <f>SUM(FYQ363:FZB363)</f>
        <v>3961903.5018060002</v>
      </c>
      <c r="FZE363" s="919" t="s">
        <v>1837</v>
      </c>
      <c r="FZF363" s="1643" t="s">
        <v>1838</v>
      </c>
      <c r="FZG363" s="1648">
        <v>344028.50012699998</v>
      </c>
      <c r="FZH363" s="1648">
        <v>335387.28629100003</v>
      </c>
      <c r="FZI363" s="1648">
        <v>337602.67972299998</v>
      </c>
      <c r="FZJ363" s="1648">
        <v>210440.148116</v>
      </c>
      <c r="FZK363" s="1648">
        <v>330912.82974800002</v>
      </c>
      <c r="FZL363" s="1648">
        <v>321507.96580100001</v>
      </c>
      <c r="FZM363" s="1648">
        <v>310040.96500000003</v>
      </c>
      <c r="FZN363" s="1648">
        <v>306104.158</v>
      </c>
      <c r="FZO363" s="1648">
        <v>350079.51500000001</v>
      </c>
      <c r="FZP363" s="1648">
        <v>376736.01</v>
      </c>
      <c r="FZQ363" s="1648">
        <v>382165.86499999999</v>
      </c>
      <c r="FZR363" s="1648">
        <v>356897.57900000003</v>
      </c>
      <c r="FZS363" s="635">
        <v>3961904</v>
      </c>
      <c r="FZT363" s="633">
        <f>SUM(FZG363:FZR363)</f>
        <v>3961903.5018060002</v>
      </c>
      <c r="FZU363" s="919" t="s">
        <v>1837</v>
      </c>
      <c r="FZV363" s="1643" t="s">
        <v>1838</v>
      </c>
      <c r="FZW363" s="1648">
        <v>344028.50012699998</v>
      </c>
      <c r="FZX363" s="1648">
        <v>335387.28629100003</v>
      </c>
      <c r="FZY363" s="1648">
        <v>337602.67972299998</v>
      </c>
      <c r="FZZ363" s="1648">
        <v>210440.148116</v>
      </c>
      <c r="GAA363" s="1648">
        <v>330912.82974800002</v>
      </c>
      <c r="GAB363" s="1648">
        <v>321507.96580100001</v>
      </c>
      <c r="GAC363" s="1648">
        <v>310040.96500000003</v>
      </c>
      <c r="GAD363" s="1648">
        <v>306104.158</v>
      </c>
      <c r="GAE363" s="1648">
        <v>350079.51500000001</v>
      </c>
      <c r="GAF363" s="1648">
        <v>376736.01</v>
      </c>
      <c r="GAG363" s="1648">
        <v>382165.86499999999</v>
      </c>
      <c r="GAH363" s="1648">
        <v>356897.57900000003</v>
      </c>
      <c r="GAI363" s="635">
        <v>3961904</v>
      </c>
      <c r="GAJ363" s="633">
        <f>SUM(FZW363:GAH363)</f>
        <v>3961903.5018060002</v>
      </c>
      <c r="GAK363" s="919" t="s">
        <v>1837</v>
      </c>
      <c r="GAL363" s="1643" t="s">
        <v>1838</v>
      </c>
      <c r="GAM363" s="1648">
        <v>344028.50012699998</v>
      </c>
      <c r="GAN363" s="1648">
        <v>335387.28629100003</v>
      </c>
      <c r="GAO363" s="1648">
        <v>337602.67972299998</v>
      </c>
      <c r="GAP363" s="1648">
        <v>210440.148116</v>
      </c>
      <c r="GAQ363" s="1648">
        <v>330912.82974800002</v>
      </c>
      <c r="GAR363" s="1648">
        <v>321507.96580100001</v>
      </c>
      <c r="GAS363" s="1648">
        <v>310040.96500000003</v>
      </c>
      <c r="GAT363" s="1648">
        <v>306104.158</v>
      </c>
      <c r="GAU363" s="1648">
        <v>350079.51500000001</v>
      </c>
      <c r="GAV363" s="1648">
        <v>376736.01</v>
      </c>
      <c r="GAW363" s="1648">
        <v>382165.86499999999</v>
      </c>
      <c r="GAX363" s="1648">
        <v>356897.57900000003</v>
      </c>
      <c r="GAY363" s="635">
        <v>3961904</v>
      </c>
      <c r="GAZ363" s="633">
        <f>SUM(GAM363:GAX363)</f>
        <v>3961903.5018060002</v>
      </c>
      <c r="GBA363" s="919" t="s">
        <v>1837</v>
      </c>
      <c r="GBB363" s="1643" t="s">
        <v>1838</v>
      </c>
      <c r="GBC363" s="1648">
        <v>344028.50012699998</v>
      </c>
      <c r="GBD363" s="1648">
        <v>335387.28629100003</v>
      </c>
      <c r="GBE363" s="1648">
        <v>337602.67972299998</v>
      </c>
      <c r="GBF363" s="1648">
        <v>210440.148116</v>
      </c>
      <c r="GBG363" s="1648">
        <v>330912.82974800002</v>
      </c>
      <c r="GBH363" s="1648">
        <v>321507.96580100001</v>
      </c>
      <c r="GBI363" s="1648">
        <v>310040.96500000003</v>
      </c>
      <c r="GBJ363" s="1648">
        <v>306104.158</v>
      </c>
      <c r="GBK363" s="1648">
        <v>350079.51500000001</v>
      </c>
      <c r="GBL363" s="1648">
        <v>376736.01</v>
      </c>
      <c r="GBM363" s="1648">
        <v>382165.86499999999</v>
      </c>
      <c r="GBN363" s="1648">
        <v>356897.57900000003</v>
      </c>
      <c r="GBO363" s="635">
        <v>3961904</v>
      </c>
      <c r="GBP363" s="633">
        <f>SUM(GBC363:GBN363)</f>
        <v>3961903.5018060002</v>
      </c>
      <c r="GBQ363" s="919" t="s">
        <v>1837</v>
      </c>
      <c r="GBR363" s="1643" t="s">
        <v>1838</v>
      </c>
      <c r="GBS363" s="1648">
        <v>344028.50012699998</v>
      </c>
      <c r="GBT363" s="1648">
        <v>335387.28629100003</v>
      </c>
      <c r="GBU363" s="1648">
        <v>337602.67972299998</v>
      </c>
      <c r="GBV363" s="1648">
        <v>210440.148116</v>
      </c>
      <c r="GBW363" s="1648">
        <v>330912.82974800002</v>
      </c>
      <c r="GBX363" s="1648">
        <v>321507.96580100001</v>
      </c>
      <c r="GBY363" s="1648">
        <v>310040.96500000003</v>
      </c>
      <c r="GBZ363" s="1648">
        <v>306104.158</v>
      </c>
      <c r="GCA363" s="1648">
        <v>350079.51500000001</v>
      </c>
      <c r="GCB363" s="1648">
        <v>376736.01</v>
      </c>
      <c r="GCC363" s="1648">
        <v>382165.86499999999</v>
      </c>
      <c r="GCD363" s="1648">
        <v>356897.57900000003</v>
      </c>
      <c r="GCE363" s="635">
        <v>3961904</v>
      </c>
      <c r="GCF363" s="633">
        <f>SUM(GBS363:GCD363)</f>
        <v>3961903.5018060002</v>
      </c>
      <c r="GCG363" s="919" t="s">
        <v>1837</v>
      </c>
      <c r="GCH363" s="1643" t="s">
        <v>1838</v>
      </c>
      <c r="GCI363" s="1648">
        <v>344028.50012699998</v>
      </c>
      <c r="GCJ363" s="1648">
        <v>335387.28629100003</v>
      </c>
      <c r="GCK363" s="1648">
        <v>337602.67972299998</v>
      </c>
      <c r="GCL363" s="1648">
        <v>210440.148116</v>
      </c>
      <c r="GCM363" s="1648">
        <v>330912.82974800002</v>
      </c>
      <c r="GCN363" s="1648">
        <v>321507.96580100001</v>
      </c>
      <c r="GCO363" s="1648">
        <v>310040.96500000003</v>
      </c>
      <c r="GCP363" s="1648">
        <v>306104.158</v>
      </c>
      <c r="GCQ363" s="1648">
        <v>350079.51500000001</v>
      </c>
      <c r="GCR363" s="1648">
        <v>376736.01</v>
      </c>
      <c r="GCS363" s="1648">
        <v>382165.86499999999</v>
      </c>
      <c r="GCT363" s="1648">
        <v>356897.57900000003</v>
      </c>
      <c r="GCU363" s="635">
        <v>3961904</v>
      </c>
      <c r="GCV363" s="633">
        <f>SUM(GCI363:GCT363)</f>
        <v>3961903.5018060002</v>
      </c>
      <c r="GCW363" s="919" t="s">
        <v>1837</v>
      </c>
      <c r="GCX363" s="1643" t="s">
        <v>1838</v>
      </c>
      <c r="GCY363" s="1648">
        <v>344028.50012699998</v>
      </c>
      <c r="GCZ363" s="1648">
        <v>335387.28629100003</v>
      </c>
      <c r="GDA363" s="1648">
        <v>337602.67972299998</v>
      </c>
      <c r="GDB363" s="1648">
        <v>210440.148116</v>
      </c>
      <c r="GDC363" s="1648">
        <v>330912.82974800002</v>
      </c>
      <c r="GDD363" s="1648">
        <v>321507.96580100001</v>
      </c>
      <c r="GDE363" s="1648">
        <v>310040.96500000003</v>
      </c>
      <c r="GDF363" s="1648">
        <v>306104.158</v>
      </c>
      <c r="GDG363" s="1648">
        <v>350079.51500000001</v>
      </c>
      <c r="GDH363" s="1648">
        <v>376736.01</v>
      </c>
      <c r="GDI363" s="1648">
        <v>382165.86499999999</v>
      </c>
      <c r="GDJ363" s="1648">
        <v>356897.57900000003</v>
      </c>
      <c r="GDK363" s="635">
        <v>3961904</v>
      </c>
      <c r="GDL363" s="633">
        <f>SUM(GCY363:GDJ363)</f>
        <v>3961903.5018060002</v>
      </c>
      <c r="GDM363" s="919" t="s">
        <v>1837</v>
      </c>
      <c r="GDN363" s="1643" t="s">
        <v>1838</v>
      </c>
      <c r="GDO363" s="1648">
        <v>344028.50012699998</v>
      </c>
      <c r="GDP363" s="1648">
        <v>335387.28629100003</v>
      </c>
      <c r="GDQ363" s="1648">
        <v>337602.67972299998</v>
      </c>
      <c r="GDR363" s="1648">
        <v>210440.148116</v>
      </c>
      <c r="GDS363" s="1648">
        <v>330912.82974800002</v>
      </c>
      <c r="GDT363" s="1648">
        <v>321507.96580100001</v>
      </c>
      <c r="GDU363" s="1648">
        <v>310040.96500000003</v>
      </c>
      <c r="GDV363" s="1648">
        <v>306104.158</v>
      </c>
      <c r="GDW363" s="1648">
        <v>350079.51500000001</v>
      </c>
      <c r="GDX363" s="1648">
        <v>376736.01</v>
      </c>
      <c r="GDY363" s="1648">
        <v>382165.86499999999</v>
      </c>
      <c r="GDZ363" s="1648">
        <v>356897.57900000003</v>
      </c>
      <c r="GEA363" s="635">
        <v>3961904</v>
      </c>
      <c r="GEB363" s="633">
        <f>SUM(GDO363:GDZ363)</f>
        <v>3961903.5018060002</v>
      </c>
      <c r="GEC363" s="919" t="s">
        <v>1837</v>
      </c>
      <c r="GED363" s="1643" t="s">
        <v>1838</v>
      </c>
      <c r="GEE363" s="1648">
        <v>344028.50012699998</v>
      </c>
      <c r="GEF363" s="1648">
        <v>335387.28629100003</v>
      </c>
      <c r="GEG363" s="1648">
        <v>337602.67972299998</v>
      </c>
      <c r="GEH363" s="1648">
        <v>210440.148116</v>
      </c>
      <c r="GEI363" s="1648">
        <v>330912.82974800002</v>
      </c>
      <c r="GEJ363" s="1648">
        <v>321507.96580100001</v>
      </c>
      <c r="GEK363" s="1648">
        <v>310040.96500000003</v>
      </c>
      <c r="GEL363" s="1648">
        <v>306104.158</v>
      </c>
      <c r="GEM363" s="1648">
        <v>350079.51500000001</v>
      </c>
      <c r="GEN363" s="1648">
        <v>376736.01</v>
      </c>
      <c r="GEO363" s="1648">
        <v>382165.86499999999</v>
      </c>
      <c r="GEP363" s="1648">
        <v>356897.57900000003</v>
      </c>
      <c r="GEQ363" s="635">
        <v>3961904</v>
      </c>
      <c r="GER363" s="633">
        <f>SUM(GEE363:GEP363)</f>
        <v>3961903.5018060002</v>
      </c>
      <c r="GES363" s="919" t="s">
        <v>1837</v>
      </c>
      <c r="GET363" s="1643" t="s">
        <v>1838</v>
      </c>
      <c r="GEU363" s="1648">
        <v>344028.50012699998</v>
      </c>
      <c r="GEV363" s="1648">
        <v>335387.28629100003</v>
      </c>
      <c r="GEW363" s="1648">
        <v>337602.67972299998</v>
      </c>
      <c r="GEX363" s="1648">
        <v>210440.148116</v>
      </c>
      <c r="GEY363" s="1648">
        <v>330912.82974800002</v>
      </c>
      <c r="GEZ363" s="1648">
        <v>321507.96580100001</v>
      </c>
      <c r="GFA363" s="1648">
        <v>310040.96500000003</v>
      </c>
      <c r="GFB363" s="1648">
        <v>306104.158</v>
      </c>
      <c r="GFC363" s="1648">
        <v>350079.51500000001</v>
      </c>
      <c r="GFD363" s="1648">
        <v>376736.01</v>
      </c>
      <c r="GFE363" s="1648">
        <v>382165.86499999999</v>
      </c>
      <c r="GFF363" s="1648">
        <v>356897.57900000003</v>
      </c>
      <c r="GFG363" s="635">
        <v>3961904</v>
      </c>
      <c r="GFH363" s="633">
        <f>SUM(GEU363:GFF363)</f>
        <v>3961903.5018060002</v>
      </c>
      <c r="GFI363" s="919" t="s">
        <v>1837</v>
      </c>
      <c r="GFJ363" s="1643" t="s">
        <v>1838</v>
      </c>
      <c r="GFK363" s="1648">
        <v>344028.50012699998</v>
      </c>
      <c r="GFL363" s="1648">
        <v>335387.28629100003</v>
      </c>
      <c r="GFM363" s="1648">
        <v>337602.67972299998</v>
      </c>
      <c r="GFN363" s="1648">
        <v>210440.148116</v>
      </c>
      <c r="GFO363" s="1648">
        <v>330912.82974800002</v>
      </c>
      <c r="GFP363" s="1648">
        <v>321507.96580100001</v>
      </c>
      <c r="GFQ363" s="1648">
        <v>310040.96500000003</v>
      </c>
      <c r="GFR363" s="1648">
        <v>306104.158</v>
      </c>
      <c r="GFS363" s="1648">
        <v>350079.51500000001</v>
      </c>
      <c r="GFT363" s="1648">
        <v>376736.01</v>
      </c>
      <c r="GFU363" s="1648">
        <v>382165.86499999999</v>
      </c>
      <c r="GFV363" s="1648">
        <v>356897.57900000003</v>
      </c>
      <c r="GFW363" s="635">
        <v>3961904</v>
      </c>
      <c r="GFX363" s="633">
        <f>SUM(GFK363:GFV363)</f>
        <v>3961903.5018060002</v>
      </c>
      <c r="GFY363" s="919" t="s">
        <v>1837</v>
      </c>
      <c r="GFZ363" s="1643" t="s">
        <v>1838</v>
      </c>
      <c r="GGA363" s="1648">
        <v>344028.50012699998</v>
      </c>
      <c r="GGB363" s="1648">
        <v>335387.28629100003</v>
      </c>
      <c r="GGC363" s="1648">
        <v>337602.67972299998</v>
      </c>
      <c r="GGD363" s="1648">
        <v>210440.148116</v>
      </c>
      <c r="GGE363" s="1648">
        <v>330912.82974800002</v>
      </c>
      <c r="GGF363" s="1648">
        <v>321507.96580100001</v>
      </c>
      <c r="GGG363" s="1648">
        <v>310040.96500000003</v>
      </c>
      <c r="GGH363" s="1648">
        <v>306104.158</v>
      </c>
      <c r="GGI363" s="1648">
        <v>350079.51500000001</v>
      </c>
      <c r="GGJ363" s="1648">
        <v>376736.01</v>
      </c>
      <c r="GGK363" s="1648">
        <v>382165.86499999999</v>
      </c>
      <c r="GGL363" s="1648">
        <v>356897.57900000003</v>
      </c>
      <c r="GGM363" s="635">
        <v>3961904</v>
      </c>
      <c r="GGN363" s="633">
        <f>SUM(GGA363:GGL363)</f>
        <v>3961903.5018060002</v>
      </c>
      <c r="GGO363" s="919" t="s">
        <v>1837</v>
      </c>
      <c r="GGP363" s="1643" t="s">
        <v>1838</v>
      </c>
      <c r="GGQ363" s="1648">
        <v>344028.50012699998</v>
      </c>
      <c r="GGR363" s="1648">
        <v>335387.28629100003</v>
      </c>
      <c r="GGS363" s="1648">
        <v>337602.67972299998</v>
      </c>
      <c r="GGT363" s="1648">
        <v>210440.148116</v>
      </c>
      <c r="GGU363" s="1648">
        <v>330912.82974800002</v>
      </c>
      <c r="GGV363" s="1648">
        <v>321507.96580100001</v>
      </c>
      <c r="GGW363" s="1648">
        <v>310040.96500000003</v>
      </c>
      <c r="GGX363" s="1648">
        <v>306104.158</v>
      </c>
      <c r="GGY363" s="1648">
        <v>350079.51500000001</v>
      </c>
      <c r="GGZ363" s="1648">
        <v>376736.01</v>
      </c>
      <c r="GHA363" s="1648">
        <v>382165.86499999999</v>
      </c>
      <c r="GHB363" s="1648">
        <v>356897.57900000003</v>
      </c>
      <c r="GHC363" s="635">
        <v>3961904</v>
      </c>
      <c r="GHD363" s="633">
        <f>SUM(GGQ363:GHB363)</f>
        <v>3961903.5018060002</v>
      </c>
      <c r="GHE363" s="919" t="s">
        <v>1837</v>
      </c>
      <c r="GHF363" s="1643" t="s">
        <v>1838</v>
      </c>
      <c r="GHG363" s="1648">
        <v>344028.50012699998</v>
      </c>
      <c r="GHH363" s="1648">
        <v>335387.28629100003</v>
      </c>
      <c r="GHI363" s="1648">
        <v>337602.67972299998</v>
      </c>
      <c r="GHJ363" s="1648">
        <v>210440.148116</v>
      </c>
      <c r="GHK363" s="1648">
        <v>330912.82974800002</v>
      </c>
      <c r="GHL363" s="1648">
        <v>321507.96580100001</v>
      </c>
      <c r="GHM363" s="1648">
        <v>310040.96500000003</v>
      </c>
      <c r="GHN363" s="1648">
        <v>306104.158</v>
      </c>
      <c r="GHO363" s="1648">
        <v>350079.51500000001</v>
      </c>
      <c r="GHP363" s="1648">
        <v>376736.01</v>
      </c>
      <c r="GHQ363" s="1648">
        <v>382165.86499999999</v>
      </c>
      <c r="GHR363" s="1648">
        <v>356897.57900000003</v>
      </c>
      <c r="GHS363" s="635">
        <v>3961904</v>
      </c>
      <c r="GHT363" s="633">
        <f>SUM(GHG363:GHR363)</f>
        <v>3961903.5018060002</v>
      </c>
      <c r="GHU363" s="919" t="s">
        <v>1837</v>
      </c>
      <c r="GHV363" s="1643" t="s">
        <v>1838</v>
      </c>
      <c r="GHW363" s="1648">
        <v>344028.50012699998</v>
      </c>
      <c r="GHX363" s="1648">
        <v>335387.28629100003</v>
      </c>
      <c r="GHY363" s="1648">
        <v>337602.67972299998</v>
      </c>
      <c r="GHZ363" s="1648">
        <v>210440.148116</v>
      </c>
      <c r="GIA363" s="1648">
        <v>330912.82974800002</v>
      </c>
      <c r="GIB363" s="1648">
        <v>321507.96580100001</v>
      </c>
      <c r="GIC363" s="1648">
        <v>310040.96500000003</v>
      </c>
      <c r="GID363" s="1648">
        <v>306104.158</v>
      </c>
      <c r="GIE363" s="1648">
        <v>350079.51500000001</v>
      </c>
      <c r="GIF363" s="1648">
        <v>376736.01</v>
      </c>
      <c r="GIG363" s="1648">
        <v>382165.86499999999</v>
      </c>
      <c r="GIH363" s="1648">
        <v>356897.57900000003</v>
      </c>
      <c r="GII363" s="635">
        <v>3961904</v>
      </c>
      <c r="GIJ363" s="633">
        <f>SUM(GHW363:GIH363)</f>
        <v>3961903.5018060002</v>
      </c>
      <c r="GIK363" s="919" t="s">
        <v>1837</v>
      </c>
      <c r="GIL363" s="1643" t="s">
        <v>1838</v>
      </c>
      <c r="GIM363" s="1648">
        <v>344028.50012699998</v>
      </c>
      <c r="GIN363" s="1648">
        <v>335387.28629100003</v>
      </c>
      <c r="GIO363" s="1648">
        <v>337602.67972299998</v>
      </c>
      <c r="GIP363" s="1648">
        <v>210440.148116</v>
      </c>
      <c r="GIQ363" s="1648">
        <v>330912.82974800002</v>
      </c>
      <c r="GIR363" s="1648">
        <v>321507.96580100001</v>
      </c>
      <c r="GIS363" s="1648">
        <v>310040.96500000003</v>
      </c>
      <c r="GIT363" s="1648">
        <v>306104.158</v>
      </c>
      <c r="GIU363" s="1648">
        <v>350079.51500000001</v>
      </c>
      <c r="GIV363" s="1648">
        <v>376736.01</v>
      </c>
      <c r="GIW363" s="1648">
        <v>382165.86499999999</v>
      </c>
      <c r="GIX363" s="1648">
        <v>356897.57900000003</v>
      </c>
      <c r="GIY363" s="635">
        <v>3961904</v>
      </c>
      <c r="GIZ363" s="633">
        <f>SUM(GIM363:GIX363)</f>
        <v>3961903.5018060002</v>
      </c>
      <c r="GJA363" s="919" t="s">
        <v>1837</v>
      </c>
      <c r="GJB363" s="1643" t="s">
        <v>1838</v>
      </c>
      <c r="GJC363" s="1648">
        <v>344028.50012699998</v>
      </c>
      <c r="GJD363" s="1648">
        <v>335387.28629100003</v>
      </c>
      <c r="GJE363" s="1648">
        <v>337602.67972299998</v>
      </c>
      <c r="GJF363" s="1648">
        <v>210440.148116</v>
      </c>
      <c r="GJG363" s="1648">
        <v>330912.82974800002</v>
      </c>
      <c r="GJH363" s="1648">
        <v>321507.96580100001</v>
      </c>
      <c r="GJI363" s="1648">
        <v>310040.96500000003</v>
      </c>
      <c r="GJJ363" s="1648">
        <v>306104.158</v>
      </c>
      <c r="GJK363" s="1648">
        <v>350079.51500000001</v>
      </c>
      <c r="GJL363" s="1648">
        <v>376736.01</v>
      </c>
      <c r="GJM363" s="1648">
        <v>382165.86499999999</v>
      </c>
      <c r="GJN363" s="1648">
        <v>356897.57900000003</v>
      </c>
      <c r="GJO363" s="635">
        <v>3961904</v>
      </c>
      <c r="GJP363" s="633">
        <f>SUM(GJC363:GJN363)</f>
        <v>3961903.5018060002</v>
      </c>
      <c r="GJQ363" s="919" t="s">
        <v>1837</v>
      </c>
      <c r="GJR363" s="1643" t="s">
        <v>1838</v>
      </c>
      <c r="GJS363" s="1648">
        <v>344028.50012699998</v>
      </c>
      <c r="GJT363" s="1648">
        <v>335387.28629100003</v>
      </c>
      <c r="GJU363" s="1648">
        <v>337602.67972299998</v>
      </c>
      <c r="GJV363" s="1648">
        <v>210440.148116</v>
      </c>
      <c r="GJW363" s="1648">
        <v>330912.82974800002</v>
      </c>
      <c r="GJX363" s="1648">
        <v>321507.96580100001</v>
      </c>
      <c r="GJY363" s="1648">
        <v>310040.96500000003</v>
      </c>
      <c r="GJZ363" s="1648">
        <v>306104.158</v>
      </c>
      <c r="GKA363" s="1648">
        <v>350079.51500000001</v>
      </c>
      <c r="GKB363" s="1648">
        <v>376736.01</v>
      </c>
      <c r="GKC363" s="1648">
        <v>382165.86499999999</v>
      </c>
      <c r="GKD363" s="1648">
        <v>356897.57900000003</v>
      </c>
      <c r="GKE363" s="635">
        <v>3961904</v>
      </c>
      <c r="GKF363" s="633">
        <f>SUM(GJS363:GKD363)</f>
        <v>3961903.5018060002</v>
      </c>
      <c r="GKG363" s="919" t="s">
        <v>1837</v>
      </c>
      <c r="GKH363" s="1643" t="s">
        <v>1838</v>
      </c>
      <c r="GKI363" s="1648">
        <v>344028.50012699998</v>
      </c>
      <c r="GKJ363" s="1648">
        <v>335387.28629100003</v>
      </c>
      <c r="GKK363" s="1648">
        <v>337602.67972299998</v>
      </c>
      <c r="GKL363" s="1648">
        <v>210440.148116</v>
      </c>
      <c r="GKM363" s="1648">
        <v>330912.82974800002</v>
      </c>
      <c r="GKN363" s="1648">
        <v>321507.96580100001</v>
      </c>
      <c r="GKO363" s="1648">
        <v>310040.96500000003</v>
      </c>
      <c r="GKP363" s="1648">
        <v>306104.158</v>
      </c>
      <c r="GKQ363" s="1648">
        <v>350079.51500000001</v>
      </c>
      <c r="GKR363" s="1648">
        <v>376736.01</v>
      </c>
      <c r="GKS363" s="1648">
        <v>382165.86499999999</v>
      </c>
      <c r="GKT363" s="1648">
        <v>356897.57900000003</v>
      </c>
      <c r="GKU363" s="635">
        <v>3961904</v>
      </c>
      <c r="GKV363" s="633">
        <f>SUM(GKI363:GKT363)</f>
        <v>3961903.5018060002</v>
      </c>
      <c r="GKW363" s="919" t="s">
        <v>1837</v>
      </c>
      <c r="GKX363" s="1643" t="s">
        <v>1838</v>
      </c>
      <c r="GKY363" s="1648">
        <v>344028.50012699998</v>
      </c>
      <c r="GKZ363" s="1648">
        <v>335387.28629100003</v>
      </c>
      <c r="GLA363" s="1648">
        <v>337602.67972299998</v>
      </c>
      <c r="GLB363" s="1648">
        <v>210440.148116</v>
      </c>
      <c r="GLC363" s="1648">
        <v>330912.82974800002</v>
      </c>
      <c r="GLD363" s="1648">
        <v>321507.96580100001</v>
      </c>
      <c r="GLE363" s="1648">
        <v>310040.96500000003</v>
      </c>
      <c r="GLF363" s="1648">
        <v>306104.158</v>
      </c>
      <c r="GLG363" s="1648">
        <v>350079.51500000001</v>
      </c>
      <c r="GLH363" s="1648">
        <v>376736.01</v>
      </c>
      <c r="GLI363" s="1648">
        <v>382165.86499999999</v>
      </c>
      <c r="GLJ363" s="1648">
        <v>356897.57900000003</v>
      </c>
      <c r="GLK363" s="635">
        <v>3961904</v>
      </c>
      <c r="GLL363" s="633">
        <f>SUM(GKY363:GLJ363)</f>
        <v>3961903.5018060002</v>
      </c>
      <c r="GLM363" s="919" t="s">
        <v>1837</v>
      </c>
      <c r="GLN363" s="1643" t="s">
        <v>1838</v>
      </c>
      <c r="GLO363" s="1648">
        <v>344028.50012699998</v>
      </c>
      <c r="GLP363" s="1648">
        <v>335387.28629100003</v>
      </c>
      <c r="GLQ363" s="1648">
        <v>337602.67972299998</v>
      </c>
      <c r="GLR363" s="1648">
        <v>210440.148116</v>
      </c>
      <c r="GLS363" s="1648">
        <v>330912.82974800002</v>
      </c>
      <c r="GLT363" s="1648">
        <v>321507.96580100001</v>
      </c>
      <c r="GLU363" s="1648">
        <v>310040.96500000003</v>
      </c>
      <c r="GLV363" s="1648">
        <v>306104.158</v>
      </c>
      <c r="GLW363" s="1648">
        <v>350079.51500000001</v>
      </c>
      <c r="GLX363" s="1648">
        <v>376736.01</v>
      </c>
      <c r="GLY363" s="1648">
        <v>382165.86499999999</v>
      </c>
      <c r="GLZ363" s="1648">
        <v>356897.57900000003</v>
      </c>
      <c r="GMA363" s="635">
        <v>3961904</v>
      </c>
      <c r="GMB363" s="633">
        <f>SUM(GLO363:GLZ363)</f>
        <v>3961903.5018060002</v>
      </c>
      <c r="GMC363" s="919" t="s">
        <v>1837</v>
      </c>
      <c r="GMD363" s="1643" t="s">
        <v>1838</v>
      </c>
      <c r="GME363" s="1648">
        <v>344028.50012699998</v>
      </c>
      <c r="GMF363" s="1648">
        <v>335387.28629100003</v>
      </c>
      <c r="GMG363" s="1648">
        <v>337602.67972299998</v>
      </c>
      <c r="GMH363" s="1648">
        <v>210440.148116</v>
      </c>
      <c r="GMI363" s="1648">
        <v>330912.82974800002</v>
      </c>
      <c r="GMJ363" s="1648">
        <v>321507.96580100001</v>
      </c>
      <c r="GMK363" s="1648">
        <v>310040.96500000003</v>
      </c>
      <c r="GML363" s="1648">
        <v>306104.158</v>
      </c>
      <c r="GMM363" s="1648">
        <v>350079.51500000001</v>
      </c>
      <c r="GMN363" s="1648">
        <v>376736.01</v>
      </c>
      <c r="GMO363" s="1648">
        <v>382165.86499999999</v>
      </c>
      <c r="GMP363" s="1648">
        <v>356897.57900000003</v>
      </c>
      <c r="GMQ363" s="635">
        <v>3961904</v>
      </c>
      <c r="GMR363" s="633">
        <f>SUM(GME363:GMP363)</f>
        <v>3961903.5018060002</v>
      </c>
      <c r="GMS363" s="919" t="s">
        <v>1837</v>
      </c>
      <c r="GMT363" s="1643" t="s">
        <v>1838</v>
      </c>
      <c r="GMU363" s="1648">
        <v>344028.50012699998</v>
      </c>
      <c r="GMV363" s="1648">
        <v>335387.28629100003</v>
      </c>
      <c r="GMW363" s="1648">
        <v>337602.67972299998</v>
      </c>
      <c r="GMX363" s="1648">
        <v>210440.148116</v>
      </c>
      <c r="GMY363" s="1648">
        <v>330912.82974800002</v>
      </c>
      <c r="GMZ363" s="1648">
        <v>321507.96580100001</v>
      </c>
      <c r="GNA363" s="1648">
        <v>310040.96500000003</v>
      </c>
      <c r="GNB363" s="1648">
        <v>306104.158</v>
      </c>
      <c r="GNC363" s="1648">
        <v>350079.51500000001</v>
      </c>
      <c r="GND363" s="1648">
        <v>376736.01</v>
      </c>
      <c r="GNE363" s="1648">
        <v>382165.86499999999</v>
      </c>
      <c r="GNF363" s="1648">
        <v>356897.57900000003</v>
      </c>
      <c r="GNG363" s="635">
        <v>3961904</v>
      </c>
      <c r="GNH363" s="633">
        <f>SUM(GMU363:GNF363)</f>
        <v>3961903.5018060002</v>
      </c>
      <c r="GNI363" s="919" t="s">
        <v>1837</v>
      </c>
      <c r="GNJ363" s="1643" t="s">
        <v>1838</v>
      </c>
      <c r="GNK363" s="1648">
        <v>344028.50012699998</v>
      </c>
      <c r="GNL363" s="1648">
        <v>335387.28629100003</v>
      </c>
      <c r="GNM363" s="1648">
        <v>337602.67972299998</v>
      </c>
      <c r="GNN363" s="1648">
        <v>210440.148116</v>
      </c>
      <c r="GNO363" s="1648">
        <v>330912.82974800002</v>
      </c>
      <c r="GNP363" s="1648">
        <v>321507.96580100001</v>
      </c>
      <c r="GNQ363" s="1648">
        <v>310040.96500000003</v>
      </c>
      <c r="GNR363" s="1648">
        <v>306104.158</v>
      </c>
      <c r="GNS363" s="1648">
        <v>350079.51500000001</v>
      </c>
      <c r="GNT363" s="1648">
        <v>376736.01</v>
      </c>
      <c r="GNU363" s="1648">
        <v>382165.86499999999</v>
      </c>
      <c r="GNV363" s="1648">
        <v>356897.57900000003</v>
      </c>
      <c r="GNW363" s="635">
        <v>3961904</v>
      </c>
      <c r="GNX363" s="633">
        <f>SUM(GNK363:GNV363)</f>
        <v>3961903.5018060002</v>
      </c>
      <c r="GNY363" s="919" t="s">
        <v>1837</v>
      </c>
      <c r="GNZ363" s="1643" t="s">
        <v>1838</v>
      </c>
      <c r="GOA363" s="1648">
        <v>344028.50012699998</v>
      </c>
      <c r="GOB363" s="1648">
        <v>335387.28629100003</v>
      </c>
      <c r="GOC363" s="1648">
        <v>337602.67972299998</v>
      </c>
      <c r="GOD363" s="1648">
        <v>210440.148116</v>
      </c>
      <c r="GOE363" s="1648">
        <v>330912.82974800002</v>
      </c>
      <c r="GOF363" s="1648">
        <v>321507.96580100001</v>
      </c>
      <c r="GOG363" s="1648">
        <v>310040.96500000003</v>
      </c>
      <c r="GOH363" s="1648">
        <v>306104.158</v>
      </c>
      <c r="GOI363" s="1648">
        <v>350079.51500000001</v>
      </c>
      <c r="GOJ363" s="1648">
        <v>376736.01</v>
      </c>
      <c r="GOK363" s="1648">
        <v>382165.86499999999</v>
      </c>
      <c r="GOL363" s="1648">
        <v>356897.57900000003</v>
      </c>
      <c r="GOM363" s="635">
        <v>3961904</v>
      </c>
      <c r="GON363" s="633">
        <f>SUM(GOA363:GOL363)</f>
        <v>3961903.5018060002</v>
      </c>
      <c r="GOO363" s="919" t="s">
        <v>1837</v>
      </c>
      <c r="GOP363" s="1643" t="s">
        <v>1838</v>
      </c>
      <c r="GOQ363" s="1648">
        <v>344028.50012699998</v>
      </c>
      <c r="GOR363" s="1648">
        <v>335387.28629100003</v>
      </c>
      <c r="GOS363" s="1648">
        <v>337602.67972299998</v>
      </c>
      <c r="GOT363" s="1648">
        <v>210440.148116</v>
      </c>
      <c r="GOU363" s="1648">
        <v>330912.82974800002</v>
      </c>
      <c r="GOV363" s="1648">
        <v>321507.96580100001</v>
      </c>
      <c r="GOW363" s="1648">
        <v>310040.96500000003</v>
      </c>
      <c r="GOX363" s="1648">
        <v>306104.158</v>
      </c>
      <c r="GOY363" s="1648">
        <v>350079.51500000001</v>
      </c>
      <c r="GOZ363" s="1648">
        <v>376736.01</v>
      </c>
      <c r="GPA363" s="1648">
        <v>382165.86499999999</v>
      </c>
      <c r="GPB363" s="1648">
        <v>356897.57900000003</v>
      </c>
      <c r="GPC363" s="635">
        <v>3961904</v>
      </c>
      <c r="GPD363" s="633">
        <f>SUM(GOQ363:GPB363)</f>
        <v>3961903.5018060002</v>
      </c>
      <c r="GPE363" s="919" t="s">
        <v>1837</v>
      </c>
      <c r="GPF363" s="1643" t="s">
        <v>1838</v>
      </c>
      <c r="GPG363" s="1648">
        <v>344028.50012699998</v>
      </c>
      <c r="GPH363" s="1648">
        <v>335387.28629100003</v>
      </c>
      <c r="GPI363" s="1648">
        <v>337602.67972299998</v>
      </c>
      <c r="GPJ363" s="1648">
        <v>210440.148116</v>
      </c>
      <c r="GPK363" s="1648">
        <v>330912.82974800002</v>
      </c>
      <c r="GPL363" s="1648">
        <v>321507.96580100001</v>
      </c>
      <c r="GPM363" s="1648">
        <v>310040.96500000003</v>
      </c>
      <c r="GPN363" s="1648">
        <v>306104.158</v>
      </c>
      <c r="GPO363" s="1648">
        <v>350079.51500000001</v>
      </c>
      <c r="GPP363" s="1648">
        <v>376736.01</v>
      </c>
      <c r="GPQ363" s="1648">
        <v>382165.86499999999</v>
      </c>
      <c r="GPR363" s="1648">
        <v>356897.57900000003</v>
      </c>
      <c r="GPS363" s="635">
        <v>3961904</v>
      </c>
      <c r="GPT363" s="633">
        <f>SUM(GPG363:GPR363)</f>
        <v>3961903.5018060002</v>
      </c>
      <c r="GPU363" s="919" t="s">
        <v>1837</v>
      </c>
      <c r="GPV363" s="1643" t="s">
        <v>1838</v>
      </c>
      <c r="GPW363" s="1648">
        <v>344028.50012699998</v>
      </c>
      <c r="GPX363" s="1648">
        <v>335387.28629100003</v>
      </c>
      <c r="GPY363" s="1648">
        <v>337602.67972299998</v>
      </c>
      <c r="GPZ363" s="1648">
        <v>210440.148116</v>
      </c>
      <c r="GQA363" s="1648">
        <v>330912.82974800002</v>
      </c>
      <c r="GQB363" s="1648">
        <v>321507.96580100001</v>
      </c>
      <c r="GQC363" s="1648">
        <v>310040.96500000003</v>
      </c>
      <c r="GQD363" s="1648">
        <v>306104.158</v>
      </c>
      <c r="GQE363" s="1648">
        <v>350079.51500000001</v>
      </c>
      <c r="GQF363" s="1648">
        <v>376736.01</v>
      </c>
      <c r="GQG363" s="1648">
        <v>382165.86499999999</v>
      </c>
      <c r="GQH363" s="1648">
        <v>356897.57900000003</v>
      </c>
      <c r="GQI363" s="635">
        <v>3961904</v>
      </c>
      <c r="GQJ363" s="633">
        <f>SUM(GPW363:GQH363)</f>
        <v>3961903.5018060002</v>
      </c>
      <c r="GQK363" s="919" t="s">
        <v>1837</v>
      </c>
      <c r="GQL363" s="1643" t="s">
        <v>1838</v>
      </c>
      <c r="GQM363" s="1648">
        <v>344028.50012699998</v>
      </c>
      <c r="GQN363" s="1648">
        <v>335387.28629100003</v>
      </c>
      <c r="GQO363" s="1648">
        <v>337602.67972299998</v>
      </c>
      <c r="GQP363" s="1648">
        <v>210440.148116</v>
      </c>
      <c r="GQQ363" s="1648">
        <v>330912.82974800002</v>
      </c>
      <c r="GQR363" s="1648">
        <v>321507.96580100001</v>
      </c>
      <c r="GQS363" s="1648">
        <v>310040.96500000003</v>
      </c>
      <c r="GQT363" s="1648">
        <v>306104.158</v>
      </c>
      <c r="GQU363" s="1648">
        <v>350079.51500000001</v>
      </c>
      <c r="GQV363" s="1648">
        <v>376736.01</v>
      </c>
      <c r="GQW363" s="1648">
        <v>382165.86499999999</v>
      </c>
      <c r="GQX363" s="1648">
        <v>356897.57900000003</v>
      </c>
      <c r="GQY363" s="635">
        <v>3961904</v>
      </c>
      <c r="GQZ363" s="633">
        <f>SUM(GQM363:GQX363)</f>
        <v>3961903.5018060002</v>
      </c>
      <c r="GRA363" s="919" t="s">
        <v>1837</v>
      </c>
      <c r="GRB363" s="1643" t="s">
        <v>1838</v>
      </c>
      <c r="GRC363" s="1648">
        <v>344028.50012699998</v>
      </c>
      <c r="GRD363" s="1648">
        <v>335387.28629100003</v>
      </c>
      <c r="GRE363" s="1648">
        <v>337602.67972299998</v>
      </c>
      <c r="GRF363" s="1648">
        <v>210440.148116</v>
      </c>
      <c r="GRG363" s="1648">
        <v>330912.82974800002</v>
      </c>
      <c r="GRH363" s="1648">
        <v>321507.96580100001</v>
      </c>
      <c r="GRI363" s="1648">
        <v>310040.96500000003</v>
      </c>
      <c r="GRJ363" s="1648">
        <v>306104.158</v>
      </c>
      <c r="GRK363" s="1648">
        <v>350079.51500000001</v>
      </c>
      <c r="GRL363" s="1648">
        <v>376736.01</v>
      </c>
      <c r="GRM363" s="1648">
        <v>382165.86499999999</v>
      </c>
      <c r="GRN363" s="1648">
        <v>356897.57900000003</v>
      </c>
      <c r="GRO363" s="635">
        <v>3961904</v>
      </c>
      <c r="GRP363" s="633">
        <f>SUM(GRC363:GRN363)</f>
        <v>3961903.5018060002</v>
      </c>
      <c r="GRQ363" s="919" t="s">
        <v>1837</v>
      </c>
      <c r="GRR363" s="1643" t="s">
        <v>1838</v>
      </c>
      <c r="GRS363" s="1648">
        <v>344028.50012699998</v>
      </c>
      <c r="GRT363" s="1648">
        <v>335387.28629100003</v>
      </c>
      <c r="GRU363" s="1648">
        <v>337602.67972299998</v>
      </c>
      <c r="GRV363" s="1648">
        <v>210440.148116</v>
      </c>
      <c r="GRW363" s="1648">
        <v>330912.82974800002</v>
      </c>
      <c r="GRX363" s="1648">
        <v>321507.96580100001</v>
      </c>
      <c r="GRY363" s="1648">
        <v>310040.96500000003</v>
      </c>
      <c r="GRZ363" s="1648">
        <v>306104.158</v>
      </c>
      <c r="GSA363" s="1648">
        <v>350079.51500000001</v>
      </c>
      <c r="GSB363" s="1648">
        <v>376736.01</v>
      </c>
      <c r="GSC363" s="1648">
        <v>382165.86499999999</v>
      </c>
      <c r="GSD363" s="1648">
        <v>356897.57900000003</v>
      </c>
      <c r="GSE363" s="635">
        <v>3961904</v>
      </c>
      <c r="GSF363" s="633">
        <f>SUM(GRS363:GSD363)</f>
        <v>3961903.5018060002</v>
      </c>
      <c r="GSG363" s="919" t="s">
        <v>1837</v>
      </c>
      <c r="GSH363" s="1643" t="s">
        <v>1838</v>
      </c>
      <c r="GSI363" s="1648">
        <v>344028.50012699998</v>
      </c>
      <c r="GSJ363" s="1648">
        <v>335387.28629100003</v>
      </c>
      <c r="GSK363" s="1648">
        <v>337602.67972299998</v>
      </c>
      <c r="GSL363" s="1648">
        <v>210440.148116</v>
      </c>
      <c r="GSM363" s="1648">
        <v>330912.82974800002</v>
      </c>
      <c r="GSN363" s="1648">
        <v>321507.96580100001</v>
      </c>
      <c r="GSO363" s="1648">
        <v>310040.96500000003</v>
      </c>
      <c r="GSP363" s="1648">
        <v>306104.158</v>
      </c>
      <c r="GSQ363" s="1648">
        <v>350079.51500000001</v>
      </c>
      <c r="GSR363" s="1648">
        <v>376736.01</v>
      </c>
      <c r="GSS363" s="1648">
        <v>382165.86499999999</v>
      </c>
      <c r="GST363" s="1648">
        <v>356897.57900000003</v>
      </c>
      <c r="GSU363" s="635">
        <v>3961904</v>
      </c>
      <c r="GSV363" s="633">
        <f>SUM(GSI363:GST363)</f>
        <v>3961903.5018060002</v>
      </c>
      <c r="GSW363" s="919" t="s">
        <v>1837</v>
      </c>
      <c r="GSX363" s="1643" t="s">
        <v>1838</v>
      </c>
      <c r="GSY363" s="1648">
        <v>344028.50012699998</v>
      </c>
      <c r="GSZ363" s="1648">
        <v>335387.28629100003</v>
      </c>
      <c r="GTA363" s="1648">
        <v>337602.67972299998</v>
      </c>
      <c r="GTB363" s="1648">
        <v>210440.148116</v>
      </c>
      <c r="GTC363" s="1648">
        <v>330912.82974800002</v>
      </c>
      <c r="GTD363" s="1648">
        <v>321507.96580100001</v>
      </c>
      <c r="GTE363" s="1648">
        <v>310040.96500000003</v>
      </c>
      <c r="GTF363" s="1648">
        <v>306104.158</v>
      </c>
      <c r="GTG363" s="1648">
        <v>350079.51500000001</v>
      </c>
      <c r="GTH363" s="1648">
        <v>376736.01</v>
      </c>
      <c r="GTI363" s="1648">
        <v>382165.86499999999</v>
      </c>
      <c r="GTJ363" s="1648">
        <v>356897.57900000003</v>
      </c>
      <c r="GTK363" s="635">
        <v>3961904</v>
      </c>
      <c r="GTL363" s="633">
        <f>SUM(GSY363:GTJ363)</f>
        <v>3961903.5018060002</v>
      </c>
      <c r="GTM363" s="919" t="s">
        <v>1837</v>
      </c>
      <c r="GTN363" s="1643" t="s">
        <v>1838</v>
      </c>
      <c r="GTO363" s="1648">
        <v>344028.50012699998</v>
      </c>
      <c r="GTP363" s="1648">
        <v>335387.28629100003</v>
      </c>
      <c r="GTQ363" s="1648">
        <v>337602.67972299998</v>
      </c>
      <c r="GTR363" s="1648">
        <v>210440.148116</v>
      </c>
      <c r="GTS363" s="1648">
        <v>330912.82974800002</v>
      </c>
      <c r="GTT363" s="1648">
        <v>321507.96580100001</v>
      </c>
      <c r="GTU363" s="1648">
        <v>310040.96500000003</v>
      </c>
      <c r="GTV363" s="1648">
        <v>306104.158</v>
      </c>
      <c r="GTW363" s="1648">
        <v>350079.51500000001</v>
      </c>
      <c r="GTX363" s="1648">
        <v>376736.01</v>
      </c>
      <c r="GTY363" s="1648">
        <v>382165.86499999999</v>
      </c>
      <c r="GTZ363" s="1648">
        <v>356897.57900000003</v>
      </c>
      <c r="GUA363" s="635">
        <v>3961904</v>
      </c>
      <c r="GUB363" s="633">
        <f>SUM(GTO363:GTZ363)</f>
        <v>3961903.5018060002</v>
      </c>
      <c r="GUC363" s="919" t="s">
        <v>1837</v>
      </c>
      <c r="GUD363" s="1643" t="s">
        <v>1838</v>
      </c>
      <c r="GUE363" s="1648">
        <v>344028.50012699998</v>
      </c>
      <c r="GUF363" s="1648">
        <v>335387.28629100003</v>
      </c>
      <c r="GUG363" s="1648">
        <v>337602.67972299998</v>
      </c>
      <c r="GUH363" s="1648">
        <v>210440.148116</v>
      </c>
      <c r="GUI363" s="1648">
        <v>330912.82974800002</v>
      </c>
      <c r="GUJ363" s="1648">
        <v>321507.96580100001</v>
      </c>
      <c r="GUK363" s="1648">
        <v>310040.96500000003</v>
      </c>
      <c r="GUL363" s="1648">
        <v>306104.158</v>
      </c>
      <c r="GUM363" s="1648">
        <v>350079.51500000001</v>
      </c>
      <c r="GUN363" s="1648">
        <v>376736.01</v>
      </c>
      <c r="GUO363" s="1648">
        <v>382165.86499999999</v>
      </c>
      <c r="GUP363" s="1648">
        <v>356897.57900000003</v>
      </c>
      <c r="GUQ363" s="635">
        <v>3961904</v>
      </c>
      <c r="GUR363" s="633">
        <f>SUM(GUE363:GUP363)</f>
        <v>3961903.5018060002</v>
      </c>
      <c r="GUS363" s="919" t="s">
        <v>1837</v>
      </c>
      <c r="GUT363" s="1643" t="s">
        <v>1838</v>
      </c>
      <c r="GUU363" s="1648">
        <v>344028.50012699998</v>
      </c>
      <c r="GUV363" s="1648">
        <v>335387.28629100003</v>
      </c>
      <c r="GUW363" s="1648">
        <v>337602.67972299998</v>
      </c>
      <c r="GUX363" s="1648">
        <v>210440.148116</v>
      </c>
      <c r="GUY363" s="1648">
        <v>330912.82974800002</v>
      </c>
      <c r="GUZ363" s="1648">
        <v>321507.96580100001</v>
      </c>
      <c r="GVA363" s="1648">
        <v>310040.96500000003</v>
      </c>
      <c r="GVB363" s="1648">
        <v>306104.158</v>
      </c>
      <c r="GVC363" s="1648">
        <v>350079.51500000001</v>
      </c>
      <c r="GVD363" s="1648">
        <v>376736.01</v>
      </c>
      <c r="GVE363" s="1648">
        <v>382165.86499999999</v>
      </c>
      <c r="GVF363" s="1648">
        <v>356897.57900000003</v>
      </c>
      <c r="GVG363" s="635">
        <v>3961904</v>
      </c>
      <c r="GVH363" s="633">
        <f>SUM(GUU363:GVF363)</f>
        <v>3961903.5018060002</v>
      </c>
      <c r="GVI363" s="919" t="s">
        <v>1837</v>
      </c>
      <c r="GVJ363" s="1643" t="s">
        <v>1838</v>
      </c>
      <c r="GVK363" s="1648">
        <v>344028.50012699998</v>
      </c>
      <c r="GVL363" s="1648">
        <v>335387.28629100003</v>
      </c>
      <c r="GVM363" s="1648">
        <v>337602.67972299998</v>
      </c>
      <c r="GVN363" s="1648">
        <v>210440.148116</v>
      </c>
      <c r="GVO363" s="1648">
        <v>330912.82974800002</v>
      </c>
      <c r="GVP363" s="1648">
        <v>321507.96580100001</v>
      </c>
      <c r="GVQ363" s="1648">
        <v>310040.96500000003</v>
      </c>
      <c r="GVR363" s="1648">
        <v>306104.158</v>
      </c>
      <c r="GVS363" s="1648">
        <v>350079.51500000001</v>
      </c>
      <c r="GVT363" s="1648">
        <v>376736.01</v>
      </c>
      <c r="GVU363" s="1648">
        <v>382165.86499999999</v>
      </c>
      <c r="GVV363" s="1648">
        <v>356897.57900000003</v>
      </c>
      <c r="GVW363" s="635">
        <v>3961904</v>
      </c>
      <c r="GVX363" s="633">
        <f>SUM(GVK363:GVV363)</f>
        <v>3961903.5018060002</v>
      </c>
      <c r="GVY363" s="919" t="s">
        <v>1837</v>
      </c>
      <c r="GVZ363" s="1643" t="s">
        <v>1838</v>
      </c>
      <c r="GWA363" s="1648">
        <v>344028.50012699998</v>
      </c>
      <c r="GWB363" s="1648">
        <v>335387.28629100003</v>
      </c>
      <c r="GWC363" s="1648">
        <v>337602.67972299998</v>
      </c>
      <c r="GWD363" s="1648">
        <v>210440.148116</v>
      </c>
      <c r="GWE363" s="1648">
        <v>330912.82974800002</v>
      </c>
      <c r="GWF363" s="1648">
        <v>321507.96580100001</v>
      </c>
      <c r="GWG363" s="1648">
        <v>310040.96500000003</v>
      </c>
      <c r="GWH363" s="1648">
        <v>306104.158</v>
      </c>
      <c r="GWI363" s="1648">
        <v>350079.51500000001</v>
      </c>
      <c r="GWJ363" s="1648">
        <v>376736.01</v>
      </c>
      <c r="GWK363" s="1648">
        <v>382165.86499999999</v>
      </c>
      <c r="GWL363" s="1648">
        <v>356897.57900000003</v>
      </c>
      <c r="GWM363" s="635">
        <v>3961904</v>
      </c>
      <c r="GWN363" s="633">
        <f>SUM(GWA363:GWL363)</f>
        <v>3961903.5018060002</v>
      </c>
      <c r="GWO363" s="919" t="s">
        <v>1837</v>
      </c>
      <c r="GWP363" s="1643" t="s">
        <v>1838</v>
      </c>
      <c r="GWQ363" s="1648">
        <v>344028.50012699998</v>
      </c>
      <c r="GWR363" s="1648">
        <v>335387.28629100003</v>
      </c>
      <c r="GWS363" s="1648">
        <v>337602.67972299998</v>
      </c>
      <c r="GWT363" s="1648">
        <v>210440.148116</v>
      </c>
      <c r="GWU363" s="1648">
        <v>330912.82974800002</v>
      </c>
      <c r="GWV363" s="1648">
        <v>321507.96580100001</v>
      </c>
      <c r="GWW363" s="1648">
        <v>310040.96500000003</v>
      </c>
      <c r="GWX363" s="1648">
        <v>306104.158</v>
      </c>
      <c r="GWY363" s="1648">
        <v>350079.51500000001</v>
      </c>
      <c r="GWZ363" s="1648">
        <v>376736.01</v>
      </c>
      <c r="GXA363" s="1648">
        <v>382165.86499999999</v>
      </c>
      <c r="GXB363" s="1648">
        <v>356897.57900000003</v>
      </c>
      <c r="GXC363" s="635">
        <v>3961904</v>
      </c>
      <c r="GXD363" s="633">
        <f>SUM(GWQ363:GXB363)</f>
        <v>3961903.5018060002</v>
      </c>
      <c r="GXE363" s="919" t="s">
        <v>1837</v>
      </c>
      <c r="GXF363" s="1643" t="s">
        <v>1838</v>
      </c>
      <c r="GXG363" s="1648">
        <v>344028.50012699998</v>
      </c>
      <c r="GXH363" s="1648">
        <v>335387.28629100003</v>
      </c>
      <c r="GXI363" s="1648">
        <v>337602.67972299998</v>
      </c>
      <c r="GXJ363" s="1648">
        <v>210440.148116</v>
      </c>
      <c r="GXK363" s="1648">
        <v>330912.82974800002</v>
      </c>
      <c r="GXL363" s="1648">
        <v>321507.96580100001</v>
      </c>
      <c r="GXM363" s="1648">
        <v>310040.96500000003</v>
      </c>
      <c r="GXN363" s="1648">
        <v>306104.158</v>
      </c>
      <c r="GXO363" s="1648">
        <v>350079.51500000001</v>
      </c>
      <c r="GXP363" s="1648">
        <v>376736.01</v>
      </c>
      <c r="GXQ363" s="1648">
        <v>382165.86499999999</v>
      </c>
      <c r="GXR363" s="1648">
        <v>356897.57900000003</v>
      </c>
      <c r="GXS363" s="635">
        <v>3961904</v>
      </c>
      <c r="GXT363" s="633">
        <f>SUM(GXG363:GXR363)</f>
        <v>3961903.5018060002</v>
      </c>
      <c r="GXU363" s="919" t="s">
        <v>1837</v>
      </c>
      <c r="GXV363" s="1643" t="s">
        <v>1838</v>
      </c>
      <c r="GXW363" s="1648">
        <v>344028.50012699998</v>
      </c>
      <c r="GXX363" s="1648">
        <v>335387.28629100003</v>
      </c>
      <c r="GXY363" s="1648">
        <v>337602.67972299998</v>
      </c>
      <c r="GXZ363" s="1648">
        <v>210440.148116</v>
      </c>
      <c r="GYA363" s="1648">
        <v>330912.82974800002</v>
      </c>
      <c r="GYB363" s="1648">
        <v>321507.96580100001</v>
      </c>
      <c r="GYC363" s="1648">
        <v>310040.96500000003</v>
      </c>
      <c r="GYD363" s="1648">
        <v>306104.158</v>
      </c>
      <c r="GYE363" s="1648">
        <v>350079.51500000001</v>
      </c>
      <c r="GYF363" s="1648">
        <v>376736.01</v>
      </c>
      <c r="GYG363" s="1648">
        <v>382165.86499999999</v>
      </c>
      <c r="GYH363" s="1648">
        <v>356897.57900000003</v>
      </c>
      <c r="GYI363" s="635">
        <v>3961904</v>
      </c>
      <c r="GYJ363" s="633">
        <f>SUM(GXW363:GYH363)</f>
        <v>3961903.5018060002</v>
      </c>
      <c r="GYK363" s="919" t="s">
        <v>1837</v>
      </c>
      <c r="GYL363" s="1643" t="s">
        <v>1838</v>
      </c>
      <c r="GYM363" s="1648">
        <v>344028.50012699998</v>
      </c>
      <c r="GYN363" s="1648">
        <v>335387.28629100003</v>
      </c>
      <c r="GYO363" s="1648">
        <v>337602.67972299998</v>
      </c>
      <c r="GYP363" s="1648">
        <v>210440.148116</v>
      </c>
      <c r="GYQ363" s="1648">
        <v>330912.82974800002</v>
      </c>
      <c r="GYR363" s="1648">
        <v>321507.96580100001</v>
      </c>
      <c r="GYS363" s="1648">
        <v>310040.96500000003</v>
      </c>
      <c r="GYT363" s="1648">
        <v>306104.158</v>
      </c>
      <c r="GYU363" s="1648">
        <v>350079.51500000001</v>
      </c>
      <c r="GYV363" s="1648">
        <v>376736.01</v>
      </c>
      <c r="GYW363" s="1648">
        <v>382165.86499999999</v>
      </c>
      <c r="GYX363" s="1648">
        <v>356897.57900000003</v>
      </c>
      <c r="GYY363" s="635">
        <v>3961904</v>
      </c>
      <c r="GYZ363" s="633">
        <f>SUM(GYM363:GYX363)</f>
        <v>3961903.5018060002</v>
      </c>
      <c r="GZA363" s="919" t="s">
        <v>1837</v>
      </c>
      <c r="GZB363" s="1643" t="s">
        <v>1838</v>
      </c>
      <c r="GZC363" s="1648">
        <v>344028.50012699998</v>
      </c>
      <c r="GZD363" s="1648">
        <v>335387.28629100003</v>
      </c>
      <c r="GZE363" s="1648">
        <v>337602.67972299998</v>
      </c>
      <c r="GZF363" s="1648">
        <v>210440.148116</v>
      </c>
      <c r="GZG363" s="1648">
        <v>330912.82974800002</v>
      </c>
      <c r="GZH363" s="1648">
        <v>321507.96580100001</v>
      </c>
      <c r="GZI363" s="1648">
        <v>310040.96500000003</v>
      </c>
      <c r="GZJ363" s="1648">
        <v>306104.158</v>
      </c>
      <c r="GZK363" s="1648">
        <v>350079.51500000001</v>
      </c>
      <c r="GZL363" s="1648">
        <v>376736.01</v>
      </c>
      <c r="GZM363" s="1648">
        <v>382165.86499999999</v>
      </c>
      <c r="GZN363" s="1648">
        <v>356897.57900000003</v>
      </c>
      <c r="GZO363" s="635">
        <v>3961904</v>
      </c>
      <c r="GZP363" s="633">
        <f>SUM(GZC363:GZN363)</f>
        <v>3961903.5018060002</v>
      </c>
      <c r="GZQ363" s="919" t="s">
        <v>1837</v>
      </c>
      <c r="GZR363" s="1643" t="s">
        <v>1838</v>
      </c>
      <c r="GZS363" s="1648">
        <v>344028.50012699998</v>
      </c>
      <c r="GZT363" s="1648">
        <v>335387.28629100003</v>
      </c>
      <c r="GZU363" s="1648">
        <v>337602.67972299998</v>
      </c>
      <c r="GZV363" s="1648">
        <v>210440.148116</v>
      </c>
      <c r="GZW363" s="1648">
        <v>330912.82974800002</v>
      </c>
      <c r="GZX363" s="1648">
        <v>321507.96580100001</v>
      </c>
      <c r="GZY363" s="1648">
        <v>310040.96500000003</v>
      </c>
      <c r="GZZ363" s="1648">
        <v>306104.158</v>
      </c>
      <c r="HAA363" s="1648">
        <v>350079.51500000001</v>
      </c>
      <c r="HAB363" s="1648">
        <v>376736.01</v>
      </c>
      <c r="HAC363" s="1648">
        <v>382165.86499999999</v>
      </c>
      <c r="HAD363" s="1648">
        <v>356897.57900000003</v>
      </c>
      <c r="HAE363" s="635">
        <v>3961904</v>
      </c>
      <c r="HAF363" s="633">
        <f>SUM(GZS363:HAD363)</f>
        <v>3961903.5018060002</v>
      </c>
      <c r="HAG363" s="919" t="s">
        <v>1837</v>
      </c>
      <c r="HAH363" s="1643" t="s">
        <v>1838</v>
      </c>
      <c r="HAI363" s="1648">
        <v>344028.50012699998</v>
      </c>
      <c r="HAJ363" s="1648">
        <v>335387.28629100003</v>
      </c>
      <c r="HAK363" s="1648">
        <v>337602.67972299998</v>
      </c>
      <c r="HAL363" s="1648">
        <v>210440.148116</v>
      </c>
      <c r="HAM363" s="1648">
        <v>330912.82974800002</v>
      </c>
      <c r="HAN363" s="1648">
        <v>321507.96580100001</v>
      </c>
      <c r="HAO363" s="1648">
        <v>310040.96500000003</v>
      </c>
      <c r="HAP363" s="1648">
        <v>306104.158</v>
      </c>
      <c r="HAQ363" s="1648">
        <v>350079.51500000001</v>
      </c>
      <c r="HAR363" s="1648">
        <v>376736.01</v>
      </c>
      <c r="HAS363" s="1648">
        <v>382165.86499999999</v>
      </c>
      <c r="HAT363" s="1648">
        <v>356897.57900000003</v>
      </c>
      <c r="HAU363" s="635">
        <v>3961904</v>
      </c>
      <c r="HAV363" s="633">
        <f>SUM(HAI363:HAT363)</f>
        <v>3961903.5018060002</v>
      </c>
      <c r="HAW363" s="919" t="s">
        <v>1837</v>
      </c>
      <c r="HAX363" s="1643" t="s">
        <v>1838</v>
      </c>
      <c r="HAY363" s="1648">
        <v>344028.50012699998</v>
      </c>
      <c r="HAZ363" s="1648">
        <v>335387.28629100003</v>
      </c>
      <c r="HBA363" s="1648">
        <v>337602.67972299998</v>
      </c>
      <c r="HBB363" s="1648">
        <v>210440.148116</v>
      </c>
      <c r="HBC363" s="1648">
        <v>330912.82974800002</v>
      </c>
      <c r="HBD363" s="1648">
        <v>321507.96580100001</v>
      </c>
      <c r="HBE363" s="1648">
        <v>310040.96500000003</v>
      </c>
      <c r="HBF363" s="1648">
        <v>306104.158</v>
      </c>
      <c r="HBG363" s="1648">
        <v>350079.51500000001</v>
      </c>
      <c r="HBH363" s="1648">
        <v>376736.01</v>
      </c>
      <c r="HBI363" s="1648">
        <v>382165.86499999999</v>
      </c>
      <c r="HBJ363" s="1648">
        <v>356897.57900000003</v>
      </c>
      <c r="HBK363" s="635">
        <v>3961904</v>
      </c>
      <c r="HBL363" s="633">
        <f>SUM(HAY363:HBJ363)</f>
        <v>3961903.5018060002</v>
      </c>
      <c r="HBM363" s="919" t="s">
        <v>1837</v>
      </c>
      <c r="HBN363" s="1643" t="s">
        <v>1838</v>
      </c>
      <c r="HBO363" s="1648">
        <v>344028.50012699998</v>
      </c>
      <c r="HBP363" s="1648">
        <v>335387.28629100003</v>
      </c>
      <c r="HBQ363" s="1648">
        <v>337602.67972299998</v>
      </c>
      <c r="HBR363" s="1648">
        <v>210440.148116</v>
      </c>
      <c r="HBS363" s="1648">
        <v>330912.82974800002</v>
      </c>
      <c r="HBT363" s="1648">
        <v>321507.96580100001</v>
      </c>
      <c r="HBU363" s="1648">
        <v>310040.96500000003</v>
      </c>
      <c r="HBV363" s="1648">
        <v>306104.158</v>
      </c>
      <c r="HBW363" s="1648">
        <v>350079.51500000001</v>
      </c>
      <c r="HBX363" s="1648">
        <v>376736.01</v>
      </c>
      <c r="HBY363" s="1648">
        <v>382165.86499999999</v>
      </c>
      <c r="HBZ363" s="1648">
        <v>356897.57900000003</v>
      </c>
      <c r="HCA363" s="635">
        <v>3961904</v>
      </c>
      <c r="HCB363" s="633">
        <f>SUM(HBO363:HBZ363)</f>
        <v>3961903.5018060002</v>
      </c>
      <c r="HCC363" s="919" t="s">
        <v>1837</v>
      </c>
      <c r="HCD363" s="1643" t="s">
        <v>1838</v>
      </c>
      <c r="HCE363" s="1648">
        <v>344028.50012699998</v>
      </c>
      <c r="HCF363" s="1648">
        <v>335387.28629100003</v>
      </c>
      <c r="HCG363" s="1648">
        <v>337602.67972299998</v>
      </c>
      <c r="HCH363" s="1648">
        <v>210440.148116</v>
      </c>
      <c r="HCI363" s="1648">
        <v>330912.82974800002</v>
      </c>
      <c r="HCJ363" s="1648">
        <v>321507.96580100001</v>
      </c>
      <c r="HCK363" s="1648">
        <v>310040.96500000003</v>
      </c>
      <c r="HCL363" s="1648">
        <v>306104.158</v>
      </c>
      <c r="HCM363" s="1648">
        <v>350079.51500000001</v>
      </c>
      <c r="HCN363" s="1648">
        <v>376736.01</v>
      </c>
      <c r="HCO363" s="1648">
        <v>382165.86499999999</v>
      </c>
      <c r="HCP363" s="1648">
        <v>356897.57900000003</v>
      </c>
      <c r="HCQ363" s="635">
        <v>3961904</v>
      </c>
      <c r="HCR363" s="633">
        <f>SUM(HCE363:HCP363)</f>
        <v>3961903.5018060002</v>
      </c>
      <c r="HCS363" s="919" t="s">
        <v>1837</v>
      </c>
      <c r="HCT363" s="1643" t="s">
        <v>1838</v>
      </c>
      <c r="HCU363" s="1648">
        <v>344028.50012699998</v>
      </c>
      <c r="HCV363" s="1648">
        <v>335387.28629100003</v>
      </c>
      <c r="HCW363" s="1648">
        <v>337602.67972299998</v>
      </c>
      <c r="HCX363" s="1648">
        <v>210440.148116</v>
      </c>
      <c r="HCY363" s="1648">
        <v>330912.82974800002</v>
      </c>
      <c r="HCZ363" s="1648">
        <v>321507.96580100001</v>
      </c>
      <c r="HDA363" s="1648">
        <v>310040.96500000003</v>
      </c>
      <c r="HDB363" s="1648">
        <v>306104.158</v>
      </c>
      <c r="HDC363" s="1648">
        <v>350079.51500000001</v>
      </c>
      <c r="HDD363" s="1648">
        <v>376736.01</v>
      </c>
      <c r="HDE363" s="1648">
        <v>382165.86499999999</v>
      </c>
      <c r="HDF363" s="1648">
        <v>356897.57900000003</v>
      </c>
      <c r="HDG363" s="635">
        <v>3961904</v>
      </c>
      <c r="HDH363" s="633">
        <f>SUM(HCU363:HDF363)</f>
        <v>3961903.5018060002</v>
      </c>
      <c r="HDI363" s="919" t="s">
        <v>1837</v>
      </c>
      <c r="HDJ363" s="1643" t="s">
        <v>1838</v>
      </c>
      <c r="HDK363" s="1648">
        <v>344028.50012699998</v>
      </c>
      <c r="HDL363" s="1648">
        <v>335387.28629100003</v>
      </c>
      <c r="HDM363" s="1648">
        <v>337602.67972299998</v>
      </c>
      <c r="HDN363" s="1648">
        <v>210440.148116</v>
      </c>
      <c r="HDO363" s="1648">
        <v>330912.82974800002</v>
      </c>
      <c r="HDP363" s="1648">
        <v>321507.96580100001</v>
      </c>
      <c r="HDQ363" s="1648">
        <v>310040.96500000003</v>
      </c>
      <c r="HDR363" s="1648">
        <v>306104.158</v>
      </c>
      <c r="HDS363" s="1648">
        <v>350079.51500000001</v>
      </c>
      <c r="HDT363" s="1648">
        <v>376736.01</v>
      </c>
      <c r="HDU363" s="1648">
        <v>382165.86499999999</v>
      </c>
      <c r="HDV363" s="1648">
        <v>356897.57900000003</v>
      </c>
      <c r="HDW363" s="635">
        <v>3961904</v>
      </c>
      <c r="HDX363" s="633">
        <f>SUM(HDK363:HDV363)</f>
        <v>3961903.5018060002</v>
      </c>
      <c r="HDY363" s="919" t="s">
        <v>1837</v>
      </c>
      <c r="HDZ363" s="1643" t="s">
        <v>1838</v>
      </c>
      <c r="HEA363" s="1648">
        <v>344028.50012699998</v>
      </c>
      <c r="HEB363" s="1648">
        <v>335387.28629100003</v>
      </c>
      <c r="HEC363" s="1648">
        <v>337602.67972299998</v>
      </c>
      <c r="HED363" s="1648">
        <v>210440.148116</v>
      </c>
      <c r="HEE363" s="1648">
        <v>330912.82974800002</v>
      </c>
      <c r="HEF363" s="1648">
        <v>321507.96580100001</v>
      </c>
      <c r="HEG363" s="1648">
        <v>310040.96500000003</v>
      </c>
      <c r="HEH363" s="1648">
        <v>306104.158</v>
      </c>
      <c r="HEI363" s="1648">
        <v>350079.51500000001</v>
      </c>
      <c r="HEJ363" s="1648">
        <v>376736.01</v>
      </c>
      <c r="HEK363" s="1648">
        <v>382165.86499999999</v>
      </c>
      <c r="HEL363" s="1648">
        <v>356897.57900000003</v>
      </c>
      <c r="HEM363" s="635">
        <v>3961904</v>
      </c>
      <c r="HEN363" s="633">
        <f>SUM(HEA363:HEL363)</f>
        <v>3961903.5018060002</v>
      </c>
      <c r="HEO363" s="919" t="s">
        <v>1837</v>
      </c>
      <c r="HEP363" s="1643" t="s">
        <v>1838</v>
      </c>
      <c r="HEQ363" s="1648">
        <v>344028.50012699998</v>
      </c>
      <c r="HER363" s="1648">
        <v>335387.28629100003</v>
      </c>
      <c r="HES363" s="1648">
        <v>337602.67972299998</v>
      </c>
      <c r="HET363" s="1648">
        <v>210440.148116</v>
      </c>
      <c r="HEU363" s="1648">
        <v>330912.82974800002</v>
      </c>
      <c r="HEV363" s="1648">
        <v>321507.96580100001</v>
      </c>
      <c r="HEW363" s="1648">
        <v>310040.96500000003</v>
      </c>
      <c r="HEX363" s="1648">
        <v>306104.158</v>
      </c>
      <c r="HEY363" s="1648">
        <v>350079.51500000001</v>
      </c>
      <c r="HEZ363" s="1648">
        <v>376736.01</v>
      </c>
      <c r="HFA363" s="1648">
        <v>382165.86499999999</v>
      </c>
      <c r="HFB363" s="1648">
        <v>356897.57900000003</v>
      </c>
      <c r="HFC363" s="635">
        <v>3961904</v>
      </c>
      <c r="HFD363" s="633">
        <f>SUM(HEQ363:HFB363)</f>
        <v>3961903.5018060002</v>
      </c>
      <c r="HFE363" s="919" t="s">
        <v>1837</v>
      </c>
      <c r="HFF363" s="1643" t="s">
        <v>1838</v>
      </c>
      <c r="HFG363" s="1648">
        <v>344028.50012699998</v>
      </c>
      <c r="HFH363" s="1648">
        <v>335387.28629100003</v>
      </c>
      <c r="HFI363" s="1648">
        <v>337602.67972299998</v>
      </c>
      <c r="HFJ363" s="1648">
        <v>210440.148116</v>
      </c>
      <c r="HFK363" s="1648">
        <v>330912.82974800002</v>
      </c>
      <c r="HFL363" s="1648">
        <v>321507.96580100001</v>
      </c>
      <c r="HFM363" s="1648">
        <v>310040.96500000003</v>
      </c>
      <c r="HFN363" s="1648">
        <v>306104.158</v>
      </c>
      <c r="HFO363" s="1648">
        <v>350079.51500000001</v>
      </c>
      <c r="HFP363" s="1648">
        <v>376736.01</v>
      </c>
      <c r="HFQ363" s="1648">
        <v>382165.86499999999</v>
      </c>
      <c r="HFR363" s="1648">
        <v>356897.57900000003</v>
      </c>
      <c r="HFS363" s="635">
        <v>3961904</v>
      </c>
      <c r="HFT363" s="633">
        <f>SUM(HFG363:HFR363)</f>
        <v>3961903.5018060002</v>
      </c>
      <c r="HFU363" s="919" t="s">
        <v>1837</v>
      </c>
      <c r="HFV363" s="1643" t="s">
        <v>1838</v>
      </c>
      <c r="HFW363" s="1648">
        <v>344028.50012699998</v>
      </c>
      <c r="HFX363" s="1648">
        <v>335387.28629100003</v>
      </c>
      <c r="HFY363" s="1648">
        <v>337602.67972299998</v>
      </c>
      <c r="HFZ363" s="1648">
        <v>210440.148116</v>
      </c>
      <c r="HGA363" s="1648">
        <v>330912.82974800002</v>
      </c>
      <c r="HGB363" s="1648">
        <v>321507.96580100001</v>
      </c>
      <c r="HGC363" s="1648">
        <v>310040.96500000003</v>
      </c>
      <c r="HGD363" s="1648">
        <v>306104.158</v>
      </c>
      <c r="HGE363" s="1648">
        <v>350079.51500000001</v>
      </c>
      <c r="HGF363" s="1648">
        <v>376736.01</v>
      </c>
      <c r="HGG363" s="1648">
        <v>382165.86499999999</v>
      </c>
      <c r="HGH363" s="1648">
        <v>356897.57900000003</v>
      </c>
      <c r="HGI363" s="635">
        <v>3961904</v>
      </c>
      <c r="HGJ363" s="633">
        <f>SUM(HFW363:HGH363)</f>
        <v>3961903.5018060002</v>
      </c>
      <c r="HGK363" s="919" t="s">
        <v>1837</v>
      </c>
      <c r="HGL363" s="1643" t="s">
        <v>1838</v>
      </c>
      <c r="HGM363" s="1648">
        <v>344028.50012699998</v>
      </c>
      <c r="HGN363" s="1648">
        <v>335387.28629100003</v>
      </c>
      <c r="HGO363" s="1648">
        <v>337602.67972299998</v>
      </c>
      <c r="HGP363" s="1648">
        <v>210440.148116</v>
      </c>
      <c r="HGQ363" s="1648">
        <v>330912.82974800002</v>
      </c>
      <c r="HGR363" s="1648">
        <v>321507.96580100001</v>
      </c>
      <c r="HGS363" s="1648">
        <v>310040.96500000003</v>
      </c>
      <c r="HGT363" s="1648">
        <v>306104.158</v>
      </c>
      <c r="HGU363" s="1648">
        <v>350079.51500000001</v>
      </c>
      <c r="HGV363" s="1648">
        <v>376736.01</v>
      </c>
      <c r="HGW363" s="1648">
        <v>382165.86499999999</v>
      </c>
      <c r="HGX363" s="1648">
        <v>356897.57900000003</v>
      </c>
      <c r="HGY363" s="635">
        <v>3961904</v>
      </c>
      <c r="HGZ363" s="633">
        <f>SUM(HGM363:HGX363)</f>
        <v>3961903.5018060002</v>
      </c>
      <c r="HHA363" s="919" t="s">
        <v>1837</v>
      </c>
      <c r="HHB363" s="1643" t="s">
        <v>1838</v>
      </c>
      <c r="HHC363" s="1648">
        <v>344028.50012699998</v>
      </c>
      <c r="HHD363" s="1648">
        <v>335387.28629100003</v>
      </c>
      <c r="HHE363" s="1648">
        <v>337602.67972299998</v>
      </c>
      <c r="HHF363" s="1648">
        <v>210440.148116</v>
      </c>
      <c r="HHG363" s="1648">
        <v>330912.82974800002</v>
      </c>
      <c r="HHH363" s="1648">
        <v>321507.96580100001</v>
      </c>
      <c r="HHI363" s="1648">
        <v>310040.96500000003</v>
      </c>
      <c r="HHJ363" s="1648">
        <v>306104.158</v>
      </c>
      <c r="HHK363" s="1648">
        <v>350079.51500000001</v>
      </c>
      <c r="HHL363" s="1648">
        <v>376736.01</v>
      </c>
      <c r="HHM363" s="1648">
        <v>382165.86499999999</v>
      </c>
      <c r="HHN363" s="1648">
        <v>356897.57900000003</v>
      </c>
      <c r="HHO363" s="635">
        <v>3961904</v>
      </c>
      <c r="HHP363" s="633">
        <f>SUM(HHC363:HHN363)</f>
        <v>3961903.5018060002</v>
      </c>
      <c r="HHQ363" s="919" t="s">
        <v>1837</v>
      </c>
      <c r="HHR363" s="1643" t="s">
        <v>1838</v>
      </c>
      <c r="HHS363" s="1648">
        <v>344028.50012699998</v>
      </c>
      <c r="HHT363" s="1648">
        <v>335387.28629100003</v>
      </c>
      <c r="HHU363" s="1648">
        <v>337602.67972299998</v>
      </c>
      <c r="HHV363" s="1648">
        <v>210440.148116</v>
      </c>
      <c r="HHW363" s="1648">
        <v>330912.82974800002</v>
      </c>
      <c r="HHX363" s="1648">
        <v>321507.96580100001</v>
      </c>
      <c r="HHY363" s="1648">
        <v>310040.96500000003</v>
      </c>
      <c r="HHZ363" s="1648">
        <v>306104.158</v>
      </c>
      <c r="HIA363" s="1648">
        <v>350079.51500000001</v>
      </c>
      <c r="HIB363" s="1648">
        <v>376736.01</v>
      </c>
      <c r="HIC363" s="1648">
        <v>382165.86499999999</v>
      </c>
      <c r="HID363" s="1648">
        <v>356897.57900000003</v>
      </c>
      <c r="HIE363" s="635">
        <v>3961904</v>
      </c>
      <c r="HIF363" s="633">
        <f>SUM(HHS363:HID363)</f>
        <v>3961903.5018060002</v>
      </c>
      <c r="HIG363" s="919" t="s">
        <v>1837</v>
      </c>
      <c r="HIH363" s="1643" t="s">
        <v>1838</v>
      </c>
      <c r="HII363" s="1648">
        <v>344028.50012699998</v>
      </c>
      <c r="HIJ363" s="1648">
        <v>335387.28629100003</v>
      </c>
      <c r="HIK363" s="1648">
        <v>337602.67972299998</v>
      </c>
      <c r="HIL363" s="1648">
        <v>210440.148116</v>
      </c>
      <c r="HIM363" s="1648">
        <v>330912.82974800002</v>
      </c>
      <c r="HIN363" s="1648">
        <v>321507.96580100001</v>
      </c>
      <c r="HIO363" s="1648">
        <v>310040.96500000003</v>
      </c>
      <c r="HIP363" s="1648">
        <v>306104.158</v>
      </c>
      <c r="HIQ363" s="1648">
        <v>350079.51500000001</v>
      </c>
      <c r="HIR363" s="1648">
        <v>376736.01</v>
      </c>
      <c r="HIS363" s="1648">
        <v>382165.86499999999</v>
      </c>
      <c r="HIT363" s="1648">
        <v>356897.57900000003</v>
      </c>
      <c r="HIU363" s="635">
        <v>3961904</v>
      </c>
      <c r="HIV363" s="633">
        <f>SUM(HII363:HIT363)</f>
        <v>3961903.5018060002</v>
      </c>
      <c r="HIW363" s="919" t="s">
        <v>1837</v>
      </c>
      <c r="HIX363" s="1643" t="s">
        <v>1838</v>
      </c>
      <c r="HIY363" s="1648">
        <v>344028.50012699998</v>
      </c>
      <c r="HIZ363" s="1648">
        <v>335387.28629100003</v>
      </c>
      <c r="HJA363" s="1648">
        <v>337602.67972299998</v>
      </c>
      <c r="HJB363" s="1648">
        <v>210440.148116</v>
      </c>
      <c r="HJC363" s="1648">
        <v>330912.82974800002</v>
      </c>
      <c r="HJD363" s="1648">
        <v>321507.96580100001</v>
      </c>
      <c r="HJE363" s="1648">
        <v>310040.96500000003</v>
      </c>
      <c r="HJF363" s="1648">
        <v>306104.158</v>
      </c>
      <c r="HJG363" s="1648">
        <v>350079.51500000001</v>
      </c>
      <c r="HJH363" s="1648">
        <v>376736.01</v>
      </c>
      <c r="HJI363" s="1648">
        <v>382165.86499999999</v>
      </c>
      <c r="HJJ363" s="1648">
        <v>356897.57900000003</v>
      </c>
      <c r="HJK363" s="635">
        <v>3961904</v>
      </c>
      <c r="HJL363" s="633">
        <f>SUM(HIY363:HJJ363)</f>
        <v>3961903.5018060002</v>
      </c>
      <c r="HJM363" s="919" t="s">
        <v>1837</v>
      </c>
      <c r="HJN363" s="1643" t="s">
        <v>1838</v>
      </c>
      <c r="HJO363" s="1648">
        <v>344028.50012699998</v>
      </c>
      <c r="HJP363" s="1648">
        <v>335387.28629100003</v>
      </c>
      <c r="HJQ363" s="1648">
        <v>337602.67972299998</v>
      </c>
      <c r="HJR363" s="1648">
        <v>210440.148116</v>
      </c>
      <c r="HJS363" s="1648">
        <v>330912.82974800002</v>
      </c>
      <c r="HJT363" s="1648">
        <v>321507.96580100001</v>
      </c>
      <c r="HJU363" s="1648">
        <v>310040.96500000003</v>
      </c>
      <c r="HJV363" s="1648">
        <v>306104.158</v>
      </c>
      <c r="HJW363" s="1648">
        <v>350079.51500000001</v>
      </c>
      <c r="HJX363" s="1648">
        <v>376736.01</v>
      </c>
      <c r="HJY363" s="1648">
        <v>382165.86499999999</v>
      </c>
      <c r="HJZ363" s="1648">
        <v>356897.57900000003</v>
      </c>
      <c r="HKA363" s="635">
        <v>3961904</v>
      </c>
      <c r="HKB363" s="633">
        <f>SUM(HJO363:HJZ363)</f>
        <v>3961903.5018060002</v>
      </c>
      <c r="HKC363" s="919" t="s">
        <v>1837</v>
      </c>
      <c r="HKD363" s="1643" t="s">
        <v>1838</v>
      </c>
      <c r="HKE363" s="1648">
        <v>344028.50012699998</v>
      </c>
      <c r="HKF363" s="1648">
        <v>335387.28629100003</v>
      </c>
      <c r="HKG363" s="1648">
        <v>337602.67972299998</v>
      </c>
      <c r="HKH363" s="1648">
        <v>210440.148116</v>
      </c>
      <c r="HKI363" s="1648">
        <v>330912.82974800002</v>
      </c>
      <c r="HKJ363" s="1648">
        <v>321507.96580100001</v>
      </c>
      <c r="HKK363" s="1648">
        <v>310040.96500000003</v>
      </c>
      <c r="HKL363" s="1648">
        <v>306104.158</v>
      </c>
      <c r="HKM363" s="1648">
        <v>350079.51500000001</v>
      </c>
      <c r="HKN363" s="1648">
        <v>376736.01</v>
      </c>
      <c r="HKO363" s="1648">
        <v>382165.86499999999</v>
      </c>
      <c r="HKP363" s="1648">
        <v>356897.57900000003</v>
      </c>
      <c r="HKQ363" s="635">
        <v>3961904</v>
      </c>
      <c r="HKR363" s="633">
        <f>SUM(HKE363:HKP363)</f>
        <v>3961903.5018060002</v>
      </c>
      <c r="HKS363" s="919" t="s">
        <v>1837</v>
      </c>
      <c r="HKT363" s="1643" t="s">
        <v>1838</v>
      </c>
      <c r="HKU363" s="1648">
        <v>344028.50012699998</v>
      </c>
      <c r="HKV363" s="1648">
        <v>335387.28629100003</v>
      </c>
      <c r="HKW363" s="1648">
        <v>337602.67972299998</v>
      </c>
      <c r="HKX363" s="1648">
        <v>210440.148116</v>
      </c>
      <c r="HKY363" s="1648">
        <v>330912.82974800002</v>
      </c>
      <c r="HKZ363" s="1648">
        <v>321507.96580100001</v>
      </c>
      <c r="HLA363" s="1648">
        <v>310040.96500000003</v>
      </c>
      <c r="HLB363" s="1648">
        <v>306104.158</v>
      </c>
      <c r="HLC363" s="1648">
        <v>350079.51500000001</v>
      </c>
      <c r="HLD363" s="1648">
        <v>376736.01</v>
      </c>
      <c r="HLE363" s="1648">
        <v>382165.86499999999</v>
      </c>
      <c r="HLF363" s="1648">
        <v>356897.57900000003</v>
      </c>
      <c r="HLG363" s="635">
        <v>3961904</v>
      </c>
      <c r="HLH363" s="633">
        <f>SUM(HKU363:HLF363)</f>
        <v>3961903.5018060002</v>
      </c>
      <c r="HLI363" s="919" t="s">
        <v>1837</v>
      </c>
      <c r="HLJ363" s="1643" t="s">
        <v>1838</v>
      </c>
      <c r="HLK363" s="1648">
        <v>344028.50012699998</v>
      </c>
      <c r="HLL363" s="1648">
        <v>335387.28629100003</v>
      </c>
      <c r="HLM363" s="1648">
        <v>337602.67972299998</v>
      </c>
      <c r="HLN363" s="1648">
        <v>210440.148116</v>
      </c>
      <c r="HLO363" s="1648">
        <v>330912.82974800002</v>
      </c>
      <c r="HLP363" s="1648">
        <v>321507.96580100001</v>
      </c>
      <c r="HLQ363" s="1648">
        <v>310040.96500000003</v>
      </c>
      <c r="HLR363" s="1648">
        <v>306104.158</v>
      </c>
      <c r="HLS363" s="1648">
        <v>350079.51500000001</v>
      </c>
      <c r="HLT363" s="1648">
        <v>376736.01</v>
      </c>
      <c r="HLU363" s="1648">
        <v>382165.86499999999</v>
      </c>
      <c r="HLV363" s="1648">
        <v>356897.57900000003</v>
      </c>
      <c r="HLW363" s="635">
        <v>3961904</v>
      </c>
      <c r="HLX363" s="633">
        <f>SUM(HLK363:HLV363)</f>
        <v>3961903.5018060002</v>
      </c>
      <c r="HLY363" s="919" t="s">
        <v>1837</v>
      </c>
      <c r="HLZ363" s="1643" t="s">
        <v>1838</v>
      </c>
      <c r="HMA363" s="1648">
        <v>344028.50012699998</v>
      </c>
      <c r="HMB363" s="1648">
        <v>335387.28629100003</v>
      </c>
      <c r="HMC363" s="1648">
        <v>337602.67972299998</v>
      </c>
      <c r="HMD363" s="1648">
        <v>210440.148116</v>
      </c>
      <c r="HME363" s="1648">
        <v>330912.82974800002</v>
      </c>
      <c r="HMF363" s="1648">
        <v>321507.96580100001</v>
      </c>
      <c r="HMG363" s="1648">
        <v>310040.96500000003</v>
      </c>
      <c r="HMH363" s="1648">
        <v>306104.158</v>
      </c>
      <c r="HMI363" s="1648">
        <v>350079.51500000001</v>
      </c>
      <c r="HMJ363" s="1648">
        <v>376736.01</v>
      </c>
      <c r="HMK363" s="1648">
        <v>382165.86499999999</v>
      </c>
      <c r="HML363" s="1648">
        <v>356897.57900000003</v>
      </c>
      <c r="HMM363" s="635">
        <v>3961904</v>
      </c>
      <c r="HMN363" s="633">
        <f>SUM(HMA363:HML363)</f>
        <v>3961903.5018060002</v>
      </c>
      <c r="HMO363" s="919" t="s">
        <v>1837</v>
      </c>
      <c r="HMP363" s="1643" t="s">
        <v>1838</v>
      </c>
      <c r="HMQ363" s="1648">
        <v>344028.50012699998</v>
      </c>
      <c r="HMR363" s="1648">
        <v>335387.28629100003</v>
      </c>
      <c r="HMS363" s="1648">
        <v>337602.67972299998</v>
      </c>
      <c r="HMT363" s="1648">
        <v>210440.148116</v>
      </c>
      <c r="HMU363" s="1648">
        <v>330912.82974800002</v>
      </c>
      <c r="HMV363" s="1648">
        <v>321507.96580100001</v>
      </c>
      <c r="HMW363" s="1648">
        <v>310040.96500000003</v>
      </c>
      <c r="HMX363" s="1648">
        <v>306104.158</v>
      </c>
      <c r="HMY363" s="1648">
        <v>350079.51500000001</v>
      </c>
      <c r="HMZ363" s="1648">
        <v>376736.01</v>
      </c>
      <c r="HNA363" s="1648">
        <v>382165.86499999999</v>
      </c>
      <c r="HNB363" s="1648">
        <v>356897.57900000003</v>
      </c>
      <c r="HNC363" s="635">
        <v>3961904</v>
      </c>
      <c r="HND363" s="633">
        <f>SUM(HMQ363:HNB363)</f>
        <v>3961903.5018060002</v>
      </c>
      <c r="HNE363" s="919" t="s">
        <v>1837</v>
      </c>
      <c r="HNF363" s="1643" t="s">
        <v>1838</v>
      </c>
      <c r="HNG363" s="1648">
        <v>344028.50012699998</v>
      </c>
      <c r="HNH363" s="1648">
        <v>335387.28629100003</v>
      </c>
      <c r="HNI363" s="1648">
        <v>337602.67972299998</v>
      </c>
      <c r="HNJ363" s="1648">
        <v>210440.148116</v>
      </c>
      <c r="HNK363" s="1648">
        <v>330912.82974800002</v>
      </c>
      <c r="HNL363" s="1648">
        <v>321507.96580100001</v>
      </c>
      <c r="HNM363" s="1648">
        <v>310040.96500000003</v>
      </c>
      <c r="HNN363" s="1648">
        <v>306104.158</v>
      </c>
      <c r="HNO363" s="1648">
        <v>350079.51500000001</v>
      </c>
      <c r="HNP363" s="1648">
        <v>376736.01</v>
      </c>
      <c r="HNQ363" s="1648">
        <v>382165.86499999999</v>
      </c>
      <c r="HNR363" s="1648">
        <v>356897.57900000003</v>
      </c>
      <c r="HNS363" s="635">
        <v>3961904</v>
      </c>
      <c r="HNT363" s="633">
        <f>SUM(HNG363:HNR363)</f>
        <v>3961903.5018060002</v>
      </c>
      <c r="HNU363" s="919" t="s">
        <v>1837</v>
      </c>
      <c r="HNV363" s="1643" t="s">
        <v>1838</v>
      </c>
      <c r="HNW363" s="1648">
        <v>344028.50012699998</v>
      </c>
      <c r="HNX363" s="1648">
        <v>335387.28629100003</v>
      </c>
      <c r="HNY363" s="1648">
        <v>337602.67972299998</v>
      </c>
      <c r="HNZ363" s="1648">
        <v>210440.148116</v>
      </c>
      <c r="HOA363" s="1648">
        <v>330912.82974800002</v>
      </c>
      <c r="HOB363" s="1648">
        <v>321507.96580100001</v>
      </c>
      <c r="HOC363" s="1648">
        <v>310040.96500000003</v>
      </c>
      <c r="HOD363" s="1648">
        <v>306104.158</v>
      </c>
      <c r="HOE363" s="1648">
        <v>350079.51500000001</v>
      </c>
      <c r="HOF363" s="1648">
        <v>376736.01</v>
      </c>
      <c r="HOG363" s="1648">
        <v>382165.86499999999</v>
      </c>
      <c r="HOH363" s="1648">
        <v>356897.57900000003</v>
      </c>
      <c r="HOI363" s="635">
        <v>3961904</v>
      </c>
      <c r="HOJ363" s="633">
        <f>SUM(HNW363:HOH363)</f>
        <v>3961903.5018060002</v>
      </c>
      <c r="HOK363" s="919" t="s">
        <v>1837</v>
      </c>
      <c r="HOL363" s="1643" t="s">
        <v>1838</v>
      </c>
      <c r="HOM363" s="1648">
        <v>344028.50012699998</v>
      </c>
      <c r="HON363" s="1648">
        <v>335387.28629100003</v>
      </c>
      <c r="HOO363" s="1648">
        <v>337602.67972299998</v>
      </c>
      <c r="HOP363" s="1648">
        <v>210440.148116</v>
      </c>
      <c r="HOQ363" s="1648">
        <v>330912.82974800002</v>
      </c>
      <c r="HOR363" s="1648">
        <v>321507.96580100001</v>
      </c>
      <c r="HOS363" s="1648">
        <v>310040.96500000003</v>
      </c>
      <c r="HOT363" s="1648">
        <v>306104.158</v>
      </c>
      <c r="HOU363" s="1648">
        <v>350079.51500000001</v>
      </c>
      <c r="HOV363" s="1648">
        <v>376736.01</v>
      </c>
      <c r="HOW363" s="1648">
        <v>382165.86499999999</v>
      </c>
      <c r="HOX363" s="1648">
        <v>356897.57900000003</v>
      </c>
      <c r="HOY363" s="635">
        <v>3961904</v>
      </c>
      <c r="HOZ363" s="633">
        <f>SUM(HOM363:HOX363)</f>
        <v>3961903.5018060002</v>
      </c>
      <c r="HPA363" s="919" t="s">
        <v>1837</v>
      </c>
      <c r="HPB363" s="1643" t="s">
        <v>1838</v>
      </c>
      <c r="HPC363" s="1648">
        <v>344028.50012699998</v>
      </c>
      <c r="HPD363" s="1648">
        <v>335387.28629100003</v>
      </c>
      <c r="HPE363" s="1648">
        <v>337602.67972299998</v>
      </c>
      <c r="HPF363" s="1648">
        <v>210440.148116</v>
      </c>
      <c r="HPG363" s="1648">
        <v>330912.82974800002</v>
      </c>
      <c r="HPH363" s="1648">
        <v>321507.96580100001</v>
      </c>
      <c r="HPI363" s="1648">
        <v>310040.96500000003</v>
      </c>
      <c r="HPJ363" s="1648">
        <v>306104.158</v>
      </c>
      <c r="HPK363" s="1648">
        <v>350079.51500000001</v>
      </c>
      <c r="HPL363" s="1648">
        <v>376736.01</v>
      </c>
      <c r="HPM363" s="1648">
        <v>382165.86499999999</v>
      </c>
      <c r="HPN363" s="1648">
        <v>356897.57900000003</v>
      </c>
      <c r="HPO363" s="635">
        <v>3961904</v>
      </c>
      <c r="HPP363" s="633">
        <f>SUM(HPC363:HPN363)</f>
        <v>3961903.5018060002</v>
      </c>
      <c r="HPQ363" s="919" t="s">
        <v>1837</v>
      </c>
      <c r="HPR363" s="1643" t="s">
        <v>1838</v>
      </c>
      <c r="HPS363" s="1648">
        <v>344028.50012699998</v>
      </c>
      <c r="HPT363" s="1648">
        <v>335387.28629100003</v>
      </c>
      <c r="HPU363" s="1648">
        <v>337602.67972299998</v>
      </c>
      <c r="HPV363" s="1648">
        <v>210440.148116</v>
      </c>
      <c r="HPW363" s="1648">
        <v>330912.82974800002</v>
      </c>
      <c r="HPX363" s="1648">
        <v>321507.96580100001</v>
      </c>
      <c r="HPY363" s="1648">
        <v>310040.96500000003</v>
      </c>
      <c r="HPZ363" s="1648">
        <v>306104.158</v>
      </c>
      <c r="HQA363" s="1648">
        <v>350079.51500000001</v>
      </c>
      <c r="HQB363" s="1648">
        <v>376736.01</v>
      </c>
      <c r="HQC363" s="1648">
        <v>382165.86499999999</v>
      </c>
      <c r="HQD363" s="1648">
        <v>356897.57900000003</v>
      </c>
      <c r="HQE363" s="635">
        <v>3961904</v>
      </c>
      <c r="HQF363" s="633">
        <f>SUM(HPS363:HQD363)</f>
        <v>3961903.5018060002</v>
      </c>
      <c r="HQG363" s="919" t="s">
        <v>1837</v>
      </c>
      <c r="HQH363" s="1643" t="s">
        <v>1838</v>
      </c>
      <c r="HQI363" s="1648">
        <v>344028.50012699998</v>
      </c>
      <c r="HQJ363" s="1648">
        <v>335387.28629100003</v>
      </c>
      <c r="HQK363" s="1648">
        <v>337602.67972299998</v>
      </c>
      <c r="HQL363" s="1648">
        <v>210440.148116</v>
      </c>
      <c r="HQM363" s="1648">
        <v>330912.82974800002</v>
      </c>
      <c r="HQN363" s="1648">
        <v>321507.96580100001</v>
      </c>
      <c r="HQO363" s="1648">
        <v>310040.96500000003</v>
      </c>
      <c r="HQP363" s="1648">
        <v>306104.158</v>
      </c>
      <c r="HQQ363" s="1648">
        <v>350079.51500000001</v>
      </c>
      <c r="HQR363" s="1648">
        <v>376736.01</v>
      </c>
      <c r="HQS363" s="1648">
        <v>382165.86499999999</v>
      </c>
      <c r="HQT363" s="1648">
        <v>356897.57900000003</v>
      </c>
      <c r="HQU363" s="635">
        <v>3961904</v>
      </c>
      <c r="HQV363" s="633">
        <f>SUM(HQI363:HQT363)</f>
        <v>3961903.5018060002</v>
      </c>
      <c r="HQW363" s="919" t="s">
        <v>1837</v>
      </c>
      <c r="HQX363" s="1643" t="s">
        <v>1838</v>
      </c>
      <c r="HQY363" s="1648">
        <v>344028.50012699998</v>
      </c>
      <c r="HQZ363" s="1648">
        <v>335387.28629100003</v>
      </c>
      <c r="HRA363" s="1648">
        <v>337602.67972299998</v>
      </c>
      <c r="HRB363" s="1648">
        <v>210440.148116</v>
      </c>
      <c r="HRC363" s="1648">
        <v>330912.82974800002</v>
      </c>
      <c r="HRD363" s="1648">
        <v>321507.96580100001</v>
      </c>
      <c r="HRE363" s="1648">
        <v>310040.96500000003</v>
      </c>
      <c r="HRF363" s="1648">
        <v>306104.158</v>
      </c>
      <c r="HRG363" s="1648">
        <v>350079.51500000001</v>
      </c>
      <c r="HRH363" s="1648">
        <v>376736.01</v>
      </c>
      <c r="HRI363" s="1648">
        <v>382165.86499999999</v>
      </c>
      <c r="HRJ363" s="1648">
        <v>356897.57900000003</v>
      </c>
      <c r="HRK363" s="635">
        <v>3961904</v>
      </c>
      <c r="HRL363" s="633">
        <f>SUM(HQY363:HRJ363)</f>
        <v>3961903.5018060002</v>
      </c>
      <c r="HRM363" s="919" t="s">
        <v>1837</v>
      </c>
      <c r="HRN363" s="1643" t="s">
        <v>1838</v>
      </c>
      <c r="HRO363" s="1648">
        <v>344028.50012699998</v>
      </c>
      <c r="HRP363" s="1648">
        <v>335387.28629100003</v>
      </c>
      <c r="HRQ363" s="1648">
        <v>337602.67972299998</v>
      </c>
      <c r="HRR363" s="1648">
        <v>210440.148116</v>
      </c>
      <c r="HRS363" s="1648">
        <v>330912.82974800002</v>
      </c>
      <c r="HRT363" s="1648">
        <v>321507.96580100001</v>
      </c>
      <c r="HRU363" s="1648">
        <v>310040.96500000003</v>
      </c>
      <c r="HRV363" s="1648">
        <v>306104.158</v>
      </c>
      <c r="HRW363" s="1648">
        <v>350079.51500000001</v>
      </c>
      <c r="HRX363" s="1648">
        <v>376736.01</v>
      </c>
      <c r="HRY363" s="1648">
        <v>382165.86499999999</v>
      </c>
      <c r="HRZ363" s="1648">
        <v>356897.57900000003</v>
      </c>
      <c r="HSA363" s="635">
        <v>3961904</v>
      </c>
      <c r="HSB363" s="633">
        <f>SUM(HRO363:HRZ363)</f>
        <v>3961903.5018060002</v>
      </c>
      <c r="HSC363" s="919" t="s">
        <v>1837</v>
      </c>
      <c r="HSD363" s="1643" t="s">
        <v>1838</v>
      </c>
      <c r="HSE363" s="1648">
        <v>344028.50012699998</v>
      </c>
      <c r="HSF363" s="1648">
        <v>335387.28629100003</v>
      </c>
      <c r="HSG363" s="1648">
        <v>337602.67972299998</v>
      </c>
      <c r="HSH363" s="1648">
        <v>210440.148116</v>
      </c>
      <c r="HSI363" s="1648">
        <v>330912.82974800002</v>
      </c>
      <c r="HSJ363" s="1648">
        <v>321507.96580100001</v>
      </c>
      <c r="HSK363" s="1648">
        <v>310040.96500000003</v>
      </c>
      <c r="HSL363" s="1648">
        <v>306104.158</v>
      </c>
      <c r="HSM363" s="1648">
        <v>350079.51500000001</v>
      </c>
      <c r="HSN363" s="1648">
        <v>376736.01</v>
      </c>
      <c r="HSO363" s="1648">
        <v>382165.86499999999</v>
      </c>
      <c r="HSP363" s="1648">
        <v>356897.57900000003</v>
      </c>
      <c r="HSQ363" s="635">
        <v>3961904</v>
      </c>
      <c r="HSR363" s="633">
        <f>SUM(HSE363:HSP363)</f>
        <v>3961903.5018060002</v>
      </c>
      <c r="HSS363" s="919" t="s">
        <v>1837</v>
      </c>
      <c r="HST363" s="1643" t="s">
        <v>1838</v>
      </c>
      <c r="HSU363" s="1648">
        <v>344028.50012699998</v>
      </c>
      <c r="HSV363" s="1648">
        <v>335387.28629100003</v>
      </c>
      <c r="HSW363" s="1648">
        <v>337602.67972299998</v>
      </c>
      <c r="HSX363" s="1648">
        <v>210440.148116</v>
      </c>
      <c r="HSY363" s="1648">
        <v>330912.82974800002</v>
      </c>
      <c r="HSZ363" s="1648">
        <v>321507.96580100001</v>
      </c>
      <c r="HTA363" s="1648">
        <v>310040.96500000003</v>
      </c>
      <c r="HTB363" s="1648">
        <v>306104.158</v>
      </c>
      <c r="HTC363" s="1648">
        <v>350079.51500000001</v>
      </c>
      <c r="HTD363" s="1648">
        <v>376736.01</v>
      </c>
      <c r="HTE363" s="1648">
        <v>382165.86499999999</v>
      </c>
      <c r="HTF363" s="1648">
        <v>356897.57900000003</v>
      </c>
      <c r="HTG363" s="635">
        <v>3961904</v>
      </c>
      <c r="HTH363" s="633">
        <f>SUM(HSU363:HTF363)</f>
        <v>3961903.5018060002</v>
      </c>
      <c r="HTI363" s="919" t="s">
        <v>1837</v>
      </c>
      <c r="HTJ363" s="1643" t="s">
        <v>1838</v>
      </c>
      <c r="HTK363" s="1648">
        <v>344028.50012699998</v>
      </c>
      <c r="HTL363" s="1648">
        <v>335387.28629100003</v>
      </c>
      <c r="HTM363" s="1648">
        <v>337602.67972299998</v>
      </c>
      <c r="HTN363" s="1648">
        <v>210440.148116</v>
      </c>
      <c r="HTO363" s="1648">
        <v>330912.82974800002</v>
      </c>
      <c r="HTP363" s="1648">
        <v>321507.96580100001</v>
      </c>
      <c r="HTQ363" s="1648">
        <v>310040.96500000003</v>
      </c>
      <c r="HTR363" s="1648">
        <v>306104.158</v>
      </c>
      <c r="HTS363" s="1648">
        <v>350079.51500000001</v>
      </c>
      <c r="HTT363" s="1648">
        <v>376736.01</v>
      </c>
      <c r="HTU363" s="1648">
        <v>382165.86499999999</v>
      </c>
      <c r="HTV363" s="1648">
        <v>356897.57900000003</v>
      </c>
      <c r="HTW363" s="635">
        <v>3961904</v>
      </c>
      <c r="HTX363" s="633">
        <f>SUM(HTK363:HTV363)</f>
        <v>3961903.5018060002</v>
      </c>
      <c r="HTY363" s="919" t="s">
        <v>1837</v>
      </c>
      <c r="HTZ363" s="1643" t="s">
        <v>1838</v>
      </c>
      <c r="HUA363" s="1648">
        <v>344028.50012699998</v>
      </c>
      <c r="HUB363" s="1648">
        <v>335387.28629100003</v>
      </c>
      <c r="HUC363" s="1648">
        <v>337602.67972299998</v>
      </c>
      <c r="HUD363" s="1648">
        <v>210440.148116</v>
      </c>
      <c r="HUE363" s="1648">
        <v>330912.82974800002</v>
      </c>
      <c r="HUF363" s="1648">
        <v>321507.96580100001</v>
      </c>
      <c r="HUG363" s="1648">
        <v>310040.96500000003</v>
      </c>
      <c r="HUH363" s="1648">
        <v>306104.158</v>
      </c>
      <c r="HUI363" s="1648">
        <v>350079.51500000001</v>
      </c>
      <c r="HUJ363" s="1648">
        <v>376736.01</v>
      </c>
      <c r="HUK363" s="1648">
        <v>382165.86499999999</v>
      </c>
      <c r="HUL363" s="1648">
        <v>356897.57900000003</v>
      </c>
      <c r="HUM363" s="635">
        <v>3961904</v>
      </c>
      <c r="HUN363" s="633">
        <f>SUM(HUA363:HUL363)</f>
        <v>3961903.5018060002</v>
      </c>
      <c r="HUO363" s="919" t="s">
        <v>1837</v>
      </c>
      <c r="HUP363" s="1643" t="s">
        <v>1838</v>
      </c>
      <c r="HUQ363" s="1648">
        <v>344028.50012699998</v>
      </c>
      <c r="HUR363" s="1648">
        <v>335387.28629100003</v>
      </c>
      <c r="HUS363" s="1648">
        <v>337602.67972299998</v>
      </c>
      <c r="HUT363" s="1648">
        <v>210440.148116</v>
      </c>
      <c r="HUU363" s="1648">
        <v>330912.82974800002</v>
      </c>
      <c r="HUV363" s="1648">
        <v>321507.96580100001</v>
      </c>
      <c r="HUW363" s="1648">
        <v>310040.96500000003</v>
      </c>
      <c r="HUX363" s="1648">
        <v>306104.158</v>
      </c>
      <c r="HUY363" s="1648">
        <v>350079.51500000001</v>
      </c>
      <c r="HUZ363" s="1648">
        <v>376736.01</v>
      </c>
      <c r="HVA363" s="1648">
        <v>382165.86499999999</v>
      </c>
      <c r="HVB363" s="1648">
        <v>356897.57900000003</v>
      </c>
      <c r="HVC363" s="635">
        <v>3961904</v>
      </c>
      <c r="HVD363" s="633">
        <f>SUM(HUQ363:HVB363)</f>
        <v>3961903.5018060002</v>
      </c>
      <c r="HVE363" s="919" t="s">
        <v>1837</v>
      </c>
      <c r="HVF363" s="1643" t="s">
        <v>1838</v>
      </c>
      <c r="HVG363" s="1648">
        <v>344028.50012699998</v>
      </c>
      <c r="HVH363" s="1648">
        <v>335387.28629100003</v>
      </c>
      <c r="HVI363" s="1648">
        <v>337602.67972299998</v>
      </c>
      <c r="HVJ363" s="1648">
        <v>210440.148116</v>
      </c>
      <c r="HVK363" s="1648">
        <v>330912.82974800002</v>
      </c>
      <c r="HVL363" s="1648">
        <v>321507.96580100001</v>
      </c>
      <c r="HVM363" s="1648">
        <v>310040.96500000003</v>
      </c>
      <c r="HVN363" s="1648">
        <v>306104.158</v>
      </c>
      <c r="HVO363" s="1648">
        <v>350079.51500000001</v>
      </c>
      <c r="HVP363" s="1648">
        <v>376736.01</v>
      </c>
      <c r="HVQ363" s="1648">
        <v>382165.86499999999</v>
      </c>
      <c r="HVR363" s="1648">
        <v>356897.57900000003</v>
      </c>
      <c r="HVS363" s="635">
        <v>3961904</v>
      </c>
      <c r="HVT363" s="633">
        <f>SUM(HVG363:HVR363)</f>
        <v>3961903.5018060002</v>
      </c>
      <c r="HVU363" s="919" t="s">
        <v>1837</v>
      </c>
      <c r="HVV363" s="1643" t="s">
        <v>1838</v>
      </c>
      <c r="HVW363" s="1648">
        <v>344028.50012699998</v>
      </c>
      <c r="HVX363" s="1648">
        <v>335387.28629100003</v>
      </c>
      <c r="HVY363" s="1648">
        <v>337602.67972299998</v>
      </c>
      <c r="HVZ363" s="1648">
        <v>210440.148116</v>
      </c>
      <c r="HWA363" s="1648">
        <v>330912.82974800002</v>
      </c>
      <c r="HWB363" s="1648">
        <v>321507.96580100001</v>
      </c>
      <c r="HWC363" s="1648">
        <v>310040.96500000003</v>
      </c>
      <c r="HWD363" s="1648">
        <v>306104.158</v>
      </c>
      <c r="HWE363" s="1648">
        <v>350079.51500000001</v>
      </c>
      <c r="HWF363" s="1648">
        <v>376736.01</v>
      </c>
      <c r="HWG363" s="1648">
        <v>382165.86499999999</v>
      </c>
      <c r="HWH363" s="1648">
        <v>356897.57900000003</v>
      </c>
      <c r="HWI363" s="635">
        <v>3961904</v>
      </c>
      <c r="HWJ363" s="633">
        <f>SUM(HVW363:HWH363)</f>
        <v>3961903.5018060002</v>
      </c>
      <c r="HWK363" s="919" t="s">
        <v>1837</v>
      </c>
      <c r="HWL363" s="1643" t="s">
        <v>1838</v>
      </c>
      <c r="HWM363" s="1648">
        <v>344028.50012699998</v>
      </c>
      <c r="HWN363" s="1648">
        <v>335387.28629100003</v>
      </c>
      <c r="HWO363" s="1648">
        <v>337602.67972299998</v>
      </c>
      <c r="HWP363" s="1648">
        <v>210440.148116</v>
      </c>
      <c r="HWQ363" s="1648">
        <v>330912.82974800002</v>
      </c>
      <c r="HWR363" s="1648">
        <v>321507.96580100001</v>
      </c>
      <c r="HWS363" s="1648">
        <v>310040.96500000003</v>
      </c>
      <c r="HWT363" s="1648">
        <v>306104.158</v>
      </c>
      <c r="HWU363" s="1648">
        <v>350079.51500000001</v>
      </c>
      <c r="HWV363" s="1648">
        <v>376736.01</v>
      </c>
      <c r="HWW363" s="1648">
        <v>382165.86499999999</v>
      </c>
      <c r="HWX363" s="1648">
        <v>356897.57900000003</v>
      </c>
      <c r="HWY363" s="635">
        <v>3961904</v>
      </c>
      <c r="HWZ363" s="633">
        <f>SUM(HWM363:HWX363)</f>
        <v>3961903.5018060002</v>
      </c>
      <c r="HXA363" s="919" t="s">
        <v>1837</v>
      </c>
      <c r="HXB363" s="1643" t="s">
        <v>1838</v>
      </c>
      <c r="HXC363" s="1648">
        <v>344028.50012699998</v>
      </c>
      <c r="HXD363" s="1648">
        <v>335387.28629100003</v>
      </c>
      <c r="HXE363" s="1648">
        <v>337602.67972299998</v>
      </c>
      <c r="HXF363" s="1648">
        <v>210440.148116</v>
      </c>
      <c r="HXG363" s="1648">
        <v>330912.82974800002</v>
      </c>
      <c r="HXH363" s="1648">
        <v>321507.96580100001</v>
      </c>
      <c r="HXI363" s="1648">
        <v>310040.96500000003</v>
      </c>
      <c r="HXJ363" s="1648">
        <v>306104.158</v>
      </c>
      <c r="HXK363" s="1648">
        <v>350079.51500000001</v>
      </c>
      <c r="HXL363" s="1648">
        <v>376736.01</v>
      </c>
      <c r="HXM363" s="1648">
        <v>382165.86499999999</v>
      </c>
      <c r="HXN363" s="1648">
        <v>356897.57900000003</v>
      </c>
      <c r="HXO363" s="635">
        <v>3961904</v>
      </c>
      <c r="HXP363" s="633">
        <f>SUM(HXC363:HXN363)</f>
        <v>3961903.5018060002</v>
      </c>
      <c r="HXQ363" s="919" t="s">
        <v>1837</v>
      </c>
      <c r="HXR363" s="1643" t="s">
        <v>1838</v>
      </c>
      <c r="HXS363" s="1648">
        <v>344028.50012699998</v>
      </c>
      <c r="HXT363" s="1648">
        <v>335387.28629100003</v>
      </c>
      <c r="HXU363" s="1648">
        <v>337602.67972299998</v>
      </c>
      <c r="HXV363" s="1648">
        <v>210440.148116</v>
      </c>
      <c r="HXW363" s="1648">
        <v>330912.82974800002</v>
      </c>
      <c r="HXX363" s="1648">
        <v>321507.96580100001</v>
      </c>
      <c r="HXY363" s="1648">
        <v>310040.96500000003</v>
      </c>
      <c r="HXZ363" s="1648">
        <v>306104.158</v>
      </c>
      <c r="HYA363" s="1648">
        <v>350079.51500000001</v>
      </c>
      <c r="HYB363" s="1648">
        <v>376736.01</v>
      </c>
      <c r="HYC363" s="1648">
        <v>382165.86499999999</v>
      </c>
      <c r="HYD363" s="1648">
        <v>356897.57900000003</v>
      </c>
      <c r="HYE363" s="635">
        <v>3961904</v>
      </c>
      <c r="HYF363" s="633">
        <f>SUM(HXS363:HYD363)</f>
        <v>3961903.5018060002</v>
      </c>
      <c r="HYG363" s="919" t="s">
        <v>1837</v>
      </c>
      <c r="HYH363" s="1643" t="s">
        <v>1838</v>
      </c>
      <c r="HYI363" s="1648">
        <v>344028.50012699998</v>
      </c>
      <c r="HYJ363" s="1648">
        <v>335387.28629100003</v>
      </c>
      <c r="HYK363" s="1648">
        <v>337602.67972299998</v>
      </c>
      <c r="HYL363" s="1648">
        <v>210440.148116</v>
      </c>
      <c r="HYM363" s="1648">
        <v>330912.82974800002</v>
      </c>
      <c r="HYN363" s="1648">
        <v>321507.96580100001</v>
      </c>
      <c r="HYO363" s="1648">
        <v>310040.96500000003</v>
      </c>
      <c r="HYP363" s="1648">
        <v>306104.158</v>
      </c>
      <c r="HYQ363" s="1648">
        <v>350079.51500000001</v>
      </c>
      <c r="HYR363" s="1648">
        <v>376736.01</v>
      </c>
      <c r="HYS363" s="1648">
        <v>382165.86499999999</v>
      </c>
      <c r="HYT363" s="1648">
        <v>356897.57900000003</v>
      </c>
      <c r="HYU363" s="635">
        <v>3961904</v>
      </c>
      <c r="HYV363" s="633">
        <f>SUM(HYI363:HYT363)</f>
        <v>3961903.5018060002</v>
      </c>
      <c r="HYW363" s="919" t="s">
        <v>1837</v>
      </c>
      <c r="HYX363" s="1643" t="s">
        <v>1838</v>
      </c>
      <c r="HYY363" s="1648">
        <v>344028.50012699998</v>
      </c>
      <c r="HYZ363" s="1648">
        <v>335387.28629100003</v>
      </c>
      <c r="HZA363" s="1648">
        <v>337602.67972299998</v>
      </c>
      <c r="HZB363" s="1648">
        <v>210440.148116</v>
      </c>
      <c r="HZC363" s="1648">
        <v>330912.82974800002</v>
      </c>
      <c r="HZD363" s="1648">
        <v>321507.96580100001</v>
      </c>
      <c r="HZE363" s="1648">
        <v>310040.96500000003</v>
      </c>
      <c r="HZF363" s="1648">
        <v>306104.158</v>
      </c>
      <c r="HZG363" s="1648">
        <v>350079.51500000001</v>
      </c>
      <c r="HZH363" s="1648">
        <v>376736.01</v>
      </c>
      <c r="HZI363" s="1648">
        <v>382165.86499999999</v>
      </c>
      <c r="HZJ363" s="1648">
        <v>356897.57900000003</v>
      </c>
      <c r="HZK363" s="635">
        <v>3961904</v>
      </c>
      <c r="HZL363" s="633">
        <f>SUM(HYY363:HZJ363)</f>
        <v>3961903.5018060002</v>
      </c>
      <c r="HZM363" s="919" t="s">
        <v>1837</v>
      </c>
      <c r="HZN363" s="1643" t="s">
        <v>1838</v>
      </c>
      <c r="HZO363" s="1648">
        <v>344028.50012699998</v>
      </c>
      <c r="HZP363" s="1648">
        <v>335387.28629100003</v>
      </c>
      <c r="HZQ363" s="1648">
        <v>337602.67972299998</v>
      </c>
      <c r="HZR363" s="1648">
        <v>210440.148116</v>
      </c>
      <c r="HZS363" s="1648">
        <v>330912.82974800002</v>
      </c>
      <c r="HZT363" s="1648">
        <v>321507.96580100001</v>
      </c>
      <c r="HZU363" s="1648">
        <v>310040.96500000003</v>
      </c>
      <c r="HZV363" s="1648">
        <v>306104.158</v>
      </c>
      <c r="HZW363" s="1648">
        <v>350079.51500000001</v>
      </c>
      <c r="HZX363" s="1648">
        <v>376736.01</v>
      </c>
      <c r="HZY363" s="1648">
        <v>382165.86499999999</v>
      </c>
      <c r="HZZ363" s="1648">
        <v>356897.57900000003</v>
      </c>
      <c r="IAA363" s="635">
        <v>3961904</v>
      </c>
      <c r="IAB363" s="633">
        <f>SUM(HZO363:HZZ363)</f>
        <v>3961903.5018060002</v>
      </c>
      <c r="IAC363" s="919" t="s">
        <v>1837</v>
      </c>
      <c r="IAD363" s="1643" t="s">
        <v>1838</v>
      </c>
      <c r="IAE363" s="1648">
        <v>344028.50012699998</v>
      </c>
      <c r="IAF363" s="1648">
        <v>335387.28629100003</v>
      </c>
      <c r="IAG363" s="1648">
        <v>337602.67972299998</v>
      </c>
      <c r="IAH363" s="1648">
        <v>210440.148116</v>
      </c>
      <c r="IAI363" s="1648">
        <v>330912.82974800002</v>
      </c>
      <c r="IAJ363" s="1648">
        <v>321507.96580100001</v>
      </c>
      <c r="IAK363" s="1648">
        <v>310040.96500000003</v>
      </c>
      <c r="IAL363" s="1648">
        <v>306104.158</v>
      </c>
      <c r="IAM363" s="1648">
        <v>350079.51500000001</v>
      </c>
      <c r="IAN363" s="1648">
        <v>376736.01</v>
      </c>
      <c r="IAO363" s="1648">
        <v>382165.86499999999</v>
      </c>
      <c r="IAP363" s="1648">
        <v>356897.57900000003</v>
      </c>
      <c r="IAQ363" s="635">
        <v>3961904</v>
      </c>
      <c r="IAR363" s="633">
        <f>SUM(IAE363:IAP363)</f>
        <v>3961903.5018060002</v>
      </c>
      <c r="IAS363" s="919" t="s">
        <v>1837</v>
      </c>
      <c r="IAT363" s="1643" t="s">
        <v>1838</v>
      </c>
      <c r="IAU363" s="1648">
        <v>344028.50012699998</v>
      </c>
      <c r="IAV363" s="1648">
        <v>335387.28629100003</v>
      </c>
      <c r="IAW363" s="1648">
        <v>337602.67972299998</v>
      </c>
      <c r="IAX363" s="1648">
        <v>210440.148116</v>
      </c>
      <c r="IAY363" s="1648">
        <v>330912.82974800002</v>
      </c>
      <c r="IAZ363" s="1648">
        <v>321507.96580100001</v>
      </c>
      <c r="IBA363" s="1648">
        <v>310040.96500000003</v>
      </c>
      <c r="IBB363" s="1648">
        <v>306104.158</v>
      </c>
      <c r="IBC363" s="1648">
        <v>350079.51500000001</v>
      </c>
      <c r="IBD363" s="1648">
        <v>376736.01</v>
      </c>
      <c r="IBE363" s="1648">
        <v>382165.86499999999</v>
      </c>
      <c r="IBF363" s="1648">
        <v>356897.57900000003</v>
      </c>
      <c r="IBG363" s="635">
        <v>3961904</v>
      </c>
      <c r="IBH363" s="633">
        <f>SUM(IAU363:IBF363)</f>
        <v>3961903.5018060002</v>
      </c>
      <c r="IBI363" s="919" t="s">
        <v>1837</v>
      </c>
      <c r="IBJ363" s="1643" t="s">
        <v>1838</v>
      </c>
      <c r="IBK363" s="1648">
        <v>344028.50012699998</v>
      </c>
      <c r="IBL363" s="1648">
        <v>335387.28629100003</v>
      </c>
      <c r="IBM363" s="1648">
        <v>337602.67972299998</v>
      </c>
      <c r="IBN363" s="1648">
        <v>210440.148116</v>
      </c>
      <c r="IBO363" s="1648">
        <v>330912.82974800002</v>
      </c>
      <c r="IBP363" s="1648">
        <v>321507.96580100001</v>
      </c>
      <c r="IBQ363" s="1648">
        <v>310040.96500000003</v>
      </c>
      <c r="IBR363" s="1648">
        <v>306104.158</v>
      </c>
      <c r="IBS363" s="1648">
        <v>350079.51500000001</v>
      </c>
      <c r="IBT363" s="1648">
        <v>376736.01</v>
      </c>
      <c r="IBU363" s="1648">
        <v>382165.86499999999</v>
      </c>
      <c r="IBV363" s="1648">
        <v>356897.57900000003</v>
      </c>
      <c r="IBW363" s="635">
        <v>3961904</v>
      </c>
      <c r="IBX363" s="633">
        <f>SUM(IBK363:IBV363)</f>
        <v>3961903.5018060002</v>
      </c>
      <c r="IBY363" s="919" t="s">
        <v>1837</v>
      </c>
      <c r="IBZ363" s="1643" t="s">
        <v>1838</v>
      </c>
      <c r="ICA363" s="1648">
        <v>344028.50012699998</v>
      </c>
      <c r="ICB363" s="1648">
        <v>335387.28629100003</v>
      </c>
      <c r="ICC363" s="1648">
        <v>337602.67972299998</v>
      </c>
      <c r="ICD363" s="1648">
        <v>210440.148116</v>
      </c>
      <c r="ICE363" s="1648">
        <v>330912.82974800002</v>
      </c>
      <c r="ICF363" s="1648">
        <v>321507.96580100001</v>
      </c>
      <c r="ICG363" s="1648">
        <v>310040.96500000003</v>
      </c>
      <c r="ICH363" s="1648">
        <v>306104.158</v>
      </c>
      <c r="ICI363" s="1648">
        <v>350079.51500000001</v>
      </c>
      <c r="ICJ363" s="1648">
        <v>376736.01</v>
      </c>
      <c r="ICK363" s="1648">
        <v>382165.86499999999</v>
      </c>
      <c r="ICL363" s="1648">
        <v>356897.57900000003</v>
      </c>
      <c r="ICM363" s="635">
        <v>3961904</v>
      </c>
      <c r="ICN363" s="633">
        <f>SUM(ICA363:ICL363)</f>
        <v>3961903.5018060002</v>
      </c>
      <c r="ICO363" s="919" t="s">
        <v>1837</v>
      </c>
      <c r="ICP363" s="1643" t="s">
        <v>1838</v>
      </c>
      <c r="ICQ363" s="1648">
        <v>344028.50012699998</v>
      </c>
      <c r="ICR363" s="1648">
        <v>335387.28629100003</v>
      </c>
      <c r="ICS363" s="1648">
        <v>337602.67972299998</v>
      </c>
      <c r="ICT363" s="1648">
        <v>210440.148116</v>
      </c>
      <c r="ICU363" s="1648">
        <v>330912.82974800002</v>
      </c>
      <c r="ICV363" s="1648">
        <v>321507.96580100001</v>
      </c>
      <c r="ICW363" s="1648">
        <v>310040.96500000003</v>
      </c>
      <c r="ICX363" s="1648">
        <v>306104.158</v>
      </c>
      <c r="ICY363" s="1648">
        <v>350079.51500000001</v>
      </c>
      <c r="ICZ363" s="1648">
        <v>376736.01</v>
      </c>
      <c r="IDA363" s="1648">
        <v>382165.86499999999</v>
      </c>
      <c r="IDB363" s="1648">
        <v>356897.57900000003</v>
      </c>
      <c r="IDC363" s="635">
        <v>3961904</v>
      </c>
      <c r="IDD363" s="633">
        <f>SUM(ICQ363:IDB363)</f>
        <v>3961903.5018060002</v>
      </c>
      <c r="IDE363" s="919" t="s">
        <v>1837</v>
      </c>
      <c r="IDF363" s="1643" t="s">
        <v>1838</v>
      </c>
      <c r="IDG363" s="1648">
        <v>344028.50012699998</v>
      </c>
      <c r="IDH363" s="1648">
        <v>335387.28629100003</v>
      </c>
      <c r="IDI363" s="1648">
        <v>337602.67972299998</v>
      </c>
      <c r="IDJ363" s="1648">
        <v>210440.148116</v>
      </c>
      <c r="IDK363" s="1648">
        <v>330912.82974800002</v>
      </c>
      <c r="IDL363" s="1648">
        <v>321507.96580100001</v>
      </c>
      <c r="IDM363" s="1648">
        <v>310040.96500000003</v>
      </c>
      <c r="IDN363" s="1648">
        <v>306104.158</v>
      </c>
      <c r="IDO363" s="1648">
        <v>350079.51500000001</v>
      </c>
      <c r="IDP363" s="1648">
        <v>376736.01</v>
      </c>
      <c r="IDQ363" s="1648">
        <v>382165.86499999999</v>
      </c>
      <c r="IDR363" s="1648">
        <v>356897.57900000003</v>
      </c>
      <c r="IDS363" s="635">
        <v>3961904</v>
      </c>
      <c r="IDT363" s="633">
        <f>SUM(IDG363:IDR363)</f>
        <v>3961903.5018060002</v>
      </c>
      <c r="IDU363" s="919" t="s">
        <v>1837</v>
      </c>
      <c r="IDV363" s="1643" t="s">
        <v>1838</v>
      </c>
      <c r="IDW363" s="1648">
        <v>344028.50012699998</v>
      </c>
      <c r="IDX363" s="1648">
        <v>335387.28629100003</v>
      </c>
      <c r="IDY363" s="1648">
        <v>337602.67972299998</v>
      </c>
      <c r="IDZ363" s="1648">
        <v>210440.148116</v>
      </c>
      <c r="IEA363" s="1648">
        <v>330912.82974800002</v>
      </c>
      <c r="IEB363" s="1648">
        <v>321507.96580100001</v>
      </c>
      <c r="IEC363" s="1648">
        <v>310040.96500000003</v>
      </c>
      <c r="IED363" s="1648">
        <v>306104.158</v>
      </c>
      <c r="IEE363" s="1648">
        <v>350079.51500000001</v>
      </c>
      <c r="IEF363" s="1648">
        <v>376736.01</v>
      </c>
      <c r="IEG363" s="1648">
        <v>382165.86499999999</v>
      </c>
      <c r="IEH363" s="1648">
        <v>356897.57900000003</v>
      </c>
      <c r="IEI363" s="635">
        <v>3961904</v>
      </c>
      <c r="IEJ363" s="633">
        <f>SUM(IDW363:IEH363)</f>
        <v>3961903.5018060002</v>
      </c>
      <c r="IEK363" s="919" t="s">
        <v>1837</v>
      </c>
      <c r="IEL363" s="1643" t="s">
        <v>1838</v>
      </c>
      <c r="IEM363" s="1648">
        <v>344028.50012699998</v>
      </c>
      <c r="IEN363" s="1648">
        <v>335387.28629100003</v>
      </c>
      <c r="IEO363" s="1648">
        <v>337602.67972299998</v>
      </c>
      <c r="IEP363" s="1648">
        <v>210440.148116</v>
      </c>
      <c r="IEQ363" s="1648">
        <v>330912.82974800002</v>
      </c>
      <c r="IER363" s="1648">
        <v>321507.96580100001</v>
      </c>
      <c r="IES363" s="1648">
        <v>310040.96500000003</v>
      </c>
      <c r="IET363" s="1648">
        <v>306104.158</v>
      </c>
      <c r="IEU363" s="1648">
        <v>350079.51500000001</v>
      </c>
      <c r="IEV363" s="1648">
        <v>376736.01</v>
      </c>
      <c r="IEW363" s="1648">
        <v>382165.86499999999</v>
      </c>
      <c r="IEX363" s="1648">
        <v>356897.57900000003</v>
      </c>
      <c r="IEY363" s="635">
        <v>3961904</v>
      </c>
      <c r="IEZ363" s="633">
        <f>SUM(IEM363:IEX363)</f>
        <v>3961903.5018060002</v>
      </c>
      <c r="IFA363" s="919" t="s">
        <v>1837</v>
      </c>
      <c r="IFB363" s="1643" t="s">
        <v>1838</v>
      </c>
      <c r="IFC363" s="1648">
        <v>344028.50012699998</v>
      </c>
      <c r="IFD363" s="1648">
        <v>335387.28629100003</v>
      </c>
      <c r="IFE363" s="1648">
        <v>337602.67972299998</v>
      </c>
      <c r="IFF363" s="1648">
        <v>210440.148116</v>
      </c>
      <c r="IFG363" s="1648">
        <v>330912.82974800002</v>
      </c>
      <c r="IFH363" s="1648">
        <v>321507.96580100001</v>
      </c>
      <c r="IFI363" s="1648">
        <v>310040.96500000003</v>
      </c>
      <c r="IFJ363" s="1648">
        <v>306104.158</v>
      </c>
      <c r="IFK363" s="1648">
        <v>350079.51500000001</v>
      </c>
      <c r="IFL363" s="1648">
        <v>376736.01</v>
      </c>
      <c r="IFM363" s="1648">
        <v>382165.86499999999</v>
      </c>
      <c r="IFN363" s="1648">
        <v>356897.57900000003</v>
      </c>
      <c r="IFO363" s="635">
        <v>3961904</v>
      </c>
      <c r="IFP363" s="633">
        <f>SUM(IFC363:IFN363)</f>
        <v>3961903.5018060002</v>
      </c>
      <c r="IFQ363" s="919" t="s">
        <v>1837</v>
      </c>
      <c r="IFR363" s="1643" t="s">
        <v>1838</v>
      </c>
      <c r="IFS363" s="1648">
        <v>344028.50012699998</v>
      </c>
      <c r="IFT363" s="1648">
        <v>335387.28629100003</v>
      </c>
      <c r="IFU363" s="1648">
        <v>337602.67972299998</v>
      </c>
      <c r="IFV363" s="1648">
        <v>210440.148116</v>
      </c>
      <c r="IFW363" s="1648">
        <v>330912.82974800002</v>
      </c>
      <c r="IFX363" s="1648">
        <v>321507.96580100001</v>
      </c>
      <c r="IFY363" s="1648">
        <v>310040.96500000003</v>
      </c>
      <c r="IFZ363" s="1648">
        <v>306104.158</v>
      </c>
      <c r="IGA363" s="1648">
        <v>350079.51500000001</v>
      </c>
      <c r="IGB363" s="1648">
        <v>376736.01</v>
      </c>
      <c r="IGC363" s="1648">
        <v>382165.86499999999</v>
      </c>
      <c r="IGD363" s="1648">
        <v>356897.57900000003</v>
      </c>
      <c r="IGE363" s="635">
        <v>3961904</v>
      </c>
      <c r="IGF363" s="633">
        <f>SUM(IFS363:IGD363)</f>
        <v>3961903.5018060002</v>
      </c>
      <c r="IGG363" s="919" t="s">
        <v>1837</v>
      </c>
      <c r="IGH363" s="1643" t="s">
        <v>1838</v>
      </c>
      <c r="IGI363" s="1648">
        <v>344028.50012699998</v>
      </c>
      <c r="IGJ363" s="1648">
        <v>335387.28629100003</v>
      </c>
      <c r="IGK363" s="1648">
        <v>337602.67972299998</v>
      </c>
      <c r="IGL363" s="1648">
        <v>210440.148116</v>
      </c>
      <c r="IGM363" s="1648">
        <v>330912.82974800002</v>
      </c>
      <c r="IGN363" s="1648">
        <v>321507.96580100001</v>
      </c>
      <c r="IGO363" s="1648">
        <v>310040.96500000003</v>
      </c>
      <c r="IGP363" s="1648">
        <v>306104.158</v>
      </c>
      <c r="IGQ363" s="1648">
        <v>350079.51500000001</v>
      </c>
      <c r="IGR363" s="1648">
        <v>376736.01</v>
      </c>
      <c r="IGS363" s="1648">
        <v>382165.86499999999</v>
      </c>
      <c r="IGT363" s="1648">
        <v>356897.57900000003</v>
      </c>
      <c r="IGU363" s="635">
        <v>3961904</v>
      </c>
      <c r="IGV363" s="633">
        <f>SUM(IGI363:IGT363)</f>
        <v>3961903.5018060002</v>
      </c>
      <c r="IGW363" s="919" t="s">
        <v>1837</v>
      </c>
      <c r="IGX363" s="1643" t="s">
        <v>1838</v>
      </c>
      <c r="IGY363" s="1648">
        <v>344028.50012699998</v>
      </c>
      <c r="IGZ363" s="1648">
        <v>335387.28629100003</v>
      </c>
      <c r="IHA363" s="1648">
        <v>337602.67972299998</v>
      </c>
      <c r="IHB363" s="1648">
        <v>210440.148116</v>
      </c>
      <c r="IHC363" s="1648">
        <v>330912.82974800002</v>
      </c>
      <c r="IHD363" s="1648">
        <v>321507.96580100001</v>
      </c>
      <c r="IHE363" s="1648">
        <v>310040.96500000003</v>
      </c>
      <c r="IHF363" s="1648">
        <v>306104.158</v>
      </c>
      <c r="IHG363" s="1648">
        <v>350079.51500000001</v>
      </c>
      <c r="IHH363" s="1648">
        <v>376736.01</v>
      </c>
      <c r="IHI363" s="1648">
        <v>382165.86499999999</v>
      </c>
      <c r="IHJ363" s="1648">
        <v>356897.57900000003</v>
      </c>
      <c r="IHK363" s="635">
        <v>3961904</v>
      </c>
      <c r="IHL363" s="633">
        <f>SUM(IGY363:IHJ363)</f>
        <v>3961903.5018060002</v>
      </c>
      <c r="IHM363" s="919" t="s">
        <v>1837</v>
      </c>
      <c r="IHN363" s="1643" t="s">
        <v>1838</v>
      </c>
      <c r="IHO363" s="1648">
        <v>344028.50012699998</v>
      </c>
      <c r="IHP363" s="1648">
        <v>335387.28629100003</v>
      </c>
      <c r="IHQ363" s="1648">
        <v>337602.67972299998</v>
      </c>
      <c r="IHR363" s="1648">
        <v>210440.148116</v>
      </c>
      <c r="IHS363" s="1648">
        <v>330912.82974800002</v>
      </c>
      <c r="IHT363" s="1648">
        <v>321507.96580100001</v>
      </c>
      <c r="IHU363" s="1648">
        <v>310040.96500000003</v>
      </c>
      <c r="IHV363" s="1648">
        <v>306104.158</v>
      </c>
      <c r="IHW363" s="1648">
        <v>350079.51500000001</v>
      </c>
      <c r="IHX363" s="1648">
        <v>376736.01</v>
      </c>
      <c r="IHY363" s="1648">
        <v>382165.86499999999</v>
      </c>
      <c r="IHZ363" s="1648">
        <v>356897.57900000003</v>
      </c>
      <c r="IIA363" s="635">
        <v>3961904</v>
      </c>
      <c r="IIB363" s="633">
        <f>SUM(IHO363:IHZ363)</f>
        <v>3961903.5018060002</v>
      </c>
      <c r="IIC363" s="919" t="s">
        <v>1837</v>
      </c>
      <c r="IID363" s="1643" t="s">
        <v>1838</v>
      </c>
      <c r="IIE363" s="1648">
        <v>344028.50012699998</v>
      </c>
      <c r="IIF363" s="1648">
        <v>335387.28629100003</v>
      </c>
      <c r="IIG363" s="1648">
        <v>337602.67972299998</v>
      </c>
      <c r="IIH363" s="1648">
        <v>210440.148116</v>
      </c>
      <c r="III363" s="1648">
        <v>330912.82974800002</v>
      </c>
      <c r="IIJ363" s="1648">
        <v>321507.96580100001</v>
      </c>
      <c r="IIK363" s="1648">
        <v>310040.96500000003</v>
      </c>
      <c r="IIL363" s="1648">
        <v>306104.158</v>
      </c>
      <c r="IIM363" s="1648">
        <v>350079.51500000001</v>
      </c>
      <c r="IIN363" s="1648">
        <v>376736.01</v>
      </c>
      <c r="IIO363" s="1648">
        <v>382165.86499999999</v>
      </c>
      <c r="IIP363" s="1648">
        <v>356897.57900000003</v>
      </c>
      <c r="IIQ363" s="635">
        <v>3961904</v>
      </c>
      <c r="IIR363" s="633">
        <f>SUM(IIE363:IIP363)</f>
        <v>3961903.5018060002</v>
      </c>
      <c r="IIS363" s="919" t="s">
        <v>1837</v>
      </c>
      <c r="IIT363" s="1643" t="s">
        <v>1838</v>
      </c>
      <c r="IIU363" s="1648">
        <v>344028.50012699998</v>
      </c>
      <c r="IIV363" s="1648">
        <v>335387.28629100003</v>
      </c>
      <c r="IIW363" s="1648">
        <v>337602.67972299998</v>
      </c>
      <c r="IIX363" s="1648">
        <v>210440.148116</v>
      </c>
      <c r="IIY363" s="1648">
        <v>330912.82974800002</v>
      </c>
      <c r="IIZ363" s="1648">
        <v>321507.96580100001</v>
      </c>
      <c r="IJA363" s="1648">
        <v>310040.96500000003</v>
      </c>
      <c r="IJB363" s="1648">
        <v>306104.158</v>
      </c>
      <c r="IJC363" s="1648">
        <v>350079.51500000001</v>
      </c>
      <c r="IJD363" s="1648">
        <v>376736.01</v>
      </c>
      <c r="IJE363" s="1648">
        <v>382165.86499999999</v>
      </c>
      <c r="IJF363" s="1648">
        <v>356897.57900000003</v>
      </c>
      <c r="IJG363" s="635">
        <v>3961904</v>
      </c>
      <c r="IJH363" s="633">
        <f>SUM(IIU363:IJF363)</f>
        <v>3961903.5018060002</v>
      </c>
      <c r="IJI363" s="919" t="s">
        <v>1837</v>
      </c>
      <c r="IJJ363" s="1643" t="s">
        <v>1838</v>
      </c>
      <c r="IJK363" s="1648">
        <v>344028.50012699998</v>
      </c>
      <c r="IJL363" s="1648">
        <v>335387.28629100003</v>
      </c>
      <c r="IJM363" s="1648">
        <v>337602.67972299998</v>
      </c>
      <c r="IJN363" s="1648">
        <v>210440.148116</v>
      </c>
      <c r="IJO363" s="1648">
        <v>330912.82974800002</v>
      </c>
      <c r="IJP363" s="1648">
        <v>321507.96580100001</v>
      </c>
      <c r="IJQ363" s="1648">
        <v>310040.96500000003</v>
      </c>
      <c r="IJR363" s="1648">
        <v>306104.158</v>
      </c>
      <c r="IJS363" s="1648">
        <v>350079.51500000001</v>
      </c>
      <c r="IJT363" s="1648">
        <v>376736.01</v>
      </c>
      <c r="IJU363" s="1648">
        <v>382165.86499999999</v>
      </c>
      <c r="IJV363" s="1648">
        <v>356897.57900000003</v>
      </c>
      <c r="IJW363" s="635">
        <v>3961904</v>
      </c>
      <c r="IJX363" s="633">
        <f>SUM(IJK363:IJV363)</f>
        <v>3961903.5018060002</v>
      </c>
      <c r="IJY363" s="919" t="s">
        <v>1837</v>
      </c>
      <c r="IJZ363" s="1643" t="s">
        <v>1838</v>
      </c>
      <c r="IKA363" s="1648">
        <v>344028.50012699998</v>
      </c>
      <c r="IKB363" s="1648">
        <v>335387.28629100003</v>
      </c>
      <c r="IKC363" s="1648">
        <v>337602.67972299998</v>
      </c>
      <c r="IKD363" s="1648">
        <v>210440.148116</v>
      </c>
      <c r="IKE363" s="1648">
        <v>330912.82974800002</v>
      </c>
      <c r="IKF363" s="1648">
        <v>321507.96580100001</v>
      </c>
      <c r="IKG363" s="1648">
        <v>310040.96500000003</v>
      </c>
      <c r="IKH363" s="1648">
        <v>306104.158</v>
      </c>
      <c r="IKI363" s="1648">
        <v>350079.51500000001</v>
      </c>
      <c r="IKJ363" s="1648">
        <v>376736.01</v>
      </c>
      <c r="IKK363" s="1648">
        <v>382165.86499999999</v>
      </c>
      <c r="IKL363" s="1648">
        <v>356897.57900000003</v>
      </c>
      <c r="IKM363" s="635">
        <v>3961904</v>
      </c>
      <c r="IKN363" s="633">
        <f>SUM(IKA363:IKL363)</f>
        <v>3961903.5018060002</v>
      </c>
      <c r="IKO363" s="919" t="s">
        <v>1837</v>
      </c>
      <c r="IKP363" s="1643" t="s">
        <v>1838</v>
      </c>
      <c r="IKQ363" s="1648">
        <v>344028.50012699998</v>
      </c>
      <c r="IKR363" s="1648">
        <v>335387.28629100003</v>
      </c>
      <c r="IKS363" s="1648">
        <v>337602.67972299998</v>
      </c>
      <c r="IKT363" s="1648">
        <v>210440.148116</v>
      </c>
      <c r="IKU363" s="1648">
        <v>330912.82974800002</v>
      </c>
      <c r="IKV363" s="1648">
        <v>321507.96580100001</v>
      </c>
      <c r="IKW363" s="1648">
        <v>310040.96500000003</v>
      </c>
      <c r="IKX363" s="1648">
        <v>306104.158</v>
      </c>
      <c r="IKY363" s="1648">
        <v>350079.51500000001</v>
      </c>
      <c r="IKZ363" s="1648">
        <v>376736.01</v>
      </c>
      <c r="ILA363" s="1648">
        <v>382165.86499999999</v>
      </c>
      <c r="ILB363" s="1648">
        <v>356897.57900000003</v>
      </c>
      <c r="ILC363" s="635">
        <v>3961904</v>
      </c>
      <c r="ILD363" s="633">
        <f>SUM(IKQ363:ILB363)</f>
        <v>3961903.5018060002</v>
      </c>
      <c r="ILE363" s="919" t="s">
        <v>1837</v>
      </c>
      <c r="ILF363" s="1643" t="s">
        <v>1838</v>
      </c>
      <c r="ILG363" s="1648">
        <v>344028.50012699998</v>
      </c>
      <c r="ILH363" s="1648">
        <v>335387.28629100003</v>
      </c>
      <c r="ILI363" s="1648">
        <v>337602.67972299998</v>
      </c>
      <c r="ILJ363" s="1648">
        <v>210440.148116</v>
      </c>
      <c r="ILK363" s="1648">
        <v>330912.82974800002</v>
      </c>
      <c r="ILL363" s="1648">
        <v>321507.96580100001</v>
      </c>
      <c r="ILM363" s="1648">
        <v>310040.96500000003</v>
      </c>
      <c r="ILN363" s="1648">
        <v>306104.158</v>
      </c>
      <c r="ILO363" s="1648">
        <v>350079.51500000001</v>
      </c>
      <c r="ILP363" s="1648">
        <v>376736.01</v>
      </c>
      <c r="ILQ363" s="1648">
        <v>382165.86499999999</v>
      </c>
      <c r="ILR363" s="1648">
        <v>356897.57900000003</v>
      </c>
      <c r="ILS363" s="635">
        <v>3961904</v>
      </c>
      <c r="ILT363" s="633">
        <f>SUM(ILG363:ILR363)</f>
        <v>3961903.5018060002</v>
      </c>
      <c r="ILU363" s="919" t="s">
        <v>1837</v>
      </c>
      <c r="ILV363" s="1643" t="s">
        <v>1838</v>
      </c>
      <c r="ILW363" s="1648">
        <v>344028.50012699998</v>
      </c>
      <c r="ILX363" s="1648">
        <v>335387.28629100003</v>
      </c>
      <c r="ILY363" s="1648">
        <v>337602.67972299998</v>
      </c>
      <c r="ILZ363" s="1648">
        <v>210440.148116</v>
      </c>
      <c r="IMA363" s="1648">
        <v>330912.82974800002</v>
      </c>
      <c r="IMB363" s="1648">
        <v>321507.96580100001</v>
      </c>
      <c r="IMC363" s="1648">
        <v>310040.96500000003</v>
      </c>
      <c r="IMD363" s="1648">
        <v>306104.158</v>
      </c>
      <c r="IME363" s="1648">
        <v>350079.51500000001</v>
      </c>
      <c r="IMF363" s="1648">
        <v>376736.01</v>
      </c>
      <c r="IMG363" s="1648">
        <v>382165.86499999999</v>
      </c>
      <c r="IMH363" s="1648">
        <v>356897.57900000003</v>
      </c>
      <c r="IMI363" s="635">
        <v>3961904</v>
      </c>
      <c r="IMJ363" s="633">
        <f>SUM(ILW363:IMH363)</f>
        <v>3961903.5018060002</v>
      </c>
      <c r="IMK363" s="919" t="s">
        <v>1837</v>
      </c>
      <c r="IML363" s="1643" t="s">
        <v>1838</v>
      </c>
      <c r="IMM363" s="1648">
        <v>344028.50012699998</v>
      </c>
      <c r="IMN363" s="1648">
        <v>335387.28629100003</v>
      </c>
      <c r="IMO363" s="1648">
        <v>337602.67972299998</v>
      </c>
      <c r="IMP363" s="1648">
        <v>210440.148116</v>
      </c>
      <c r="IMQ363" s="1648">
        <v>330912.82974800002</v>
      </c>
      <c r="IMR363" s="1648">
        <v>321507.96580100001</v>
      </c>
      <c r="IMS363" s="1648">
        <v>310040.96500000003</v>
      </c>
      <c r="IMT363" s="1648">
        <v>306104.158</v>
      </c>
      <c r="IMU363" s="1648">
        <v>350079.51500000001</v>
      </c>
      <c r="IMV363" s="1648">
        <v>376736.01</v>
      </c>
      <c r="IMW363" s="1648">
        <v>382165.86499999999</v>
      </c>
      <c r="IMX363" s="1648">
        <v>356897.57900000003</v>
      </c>
      <c r="IMY363" s="635">
        <v>3961904</v>
      </c>
      <c r="IMZ363" s="633">
        <f>SUM(IMM363:IMX363)</f>
        <v>3961903.5018060002</v>
      </c>
      <c r="INA363" s="919" t="s">
        <v>1837</v>
      </c>
      <c r="INB363" s="1643" t="s">
        <v>1838</v>
      </c>
      <c r="INC363" s="1648">
        <v>344028.50012699998</v>
      </c>
      <c r="IND363" s="1648">
        <v>335387.28629100003</v>
      </c>
      <c r="INE363" s="1648">
        <v>337602.67972299998</v>
      </c>
      <c r="INF363" s="1648">
        <v>210440.148116</v>
      </c>
      <c r="ING363" s="1648">
        <v>330912.82974800002</v>
      </c>
      <c r="INH363" s="1648">
        <v>321507.96580100001</v>
      </c>
      <c r="INI363" s="1648">
        <v>310040.96500000003</v>
      </c>
      <c r="INJ363" s="1648">
        <v>306104.158</v>
      </c>
      <c r="INK363" s="1648">
        <v>350079.51500000001</v>
      </c>
      <c r="INL363" s="1648">
        <v>376736.01</v>
      </c>
      <c r="INM363" s="1648">
        <v>382165.86499999999</v>
      </c>
      <c r="INN363" s="1648">
        <v>356897.57900000003</v>
      </c>
      <c r="INO363" s="635">
        <v>3961904</v>
      </c>
      <c r="INP363" s="633">
        <f>SUM(INC363:INN363)</f>
        <v>3961903.5018060002</v>
      </c>
      <c r="INQ363" s="919" t="s">
        <v>1837</v>
      </c>
      <c r="INR363" s="1643" t="s">
        <v>1838</v>
      </c>
      <c r="INS363" s="1648">
        <v>344028.50012699998</v>
      </c>
      <c r="INT363" s="1648">
        <v>335387.28629100003</v>
      </c>
      <c r="INU363" s="1648">
        <v>337602.67972299998</v>
      </c>
      <c r="INV363" s="1648">
        <v>210440.148116</v>
      </c>
      <c r="INW363" s="1648">
        <v>330912.82974800002</v>
      </c>
      <c r="INX363" s="1648">
        <v>321507.96580100001</v>
      </c>
      <c r="INY363" s="1648">
        <v>310040.96500000003</v>
      </c>
      <c r="INZ363" s="1648">
        <v>306104.158</v>
      </c>
      <c r="IOA363" s="1648">
        <v>350079.51500000001</v>
      </c>
      <c r="IOB363" s="1648">
        <v>376736.01</v>
      </c>
      <c r="IOC363" s="1648">
        <v>382165.86499999999</v>
      </c>
      <c r="IOD363" s="1648">
        <v>356897.57900000003</v>
      </c>
      <c r="IOE363" s="635">
        <v>3961904</v>
      </c>
      <c r="IOF363" s="633">
        <f>SUM(INS363:IOD363)</f>
        <v>3961903.5018060002</v>
      </c>
      <c r="IOG363" s="919" t="s">
        <v>1837</v>
      </c>
      <c r="IOH363" s="1643" t="s">
        <v>1838</v>
      </c>
      <c r="IOI363" s="1648">
        <v>344028.50012699998</v>
      </c>
      <c r="IOJ363" s="1648">
        <v>335387.28629100003</v>
      </c>
      <c r="IOK363" s="1648">
        <v>337602.67972299998</v>
      </c>
      <c r="IOL363" s="1648">
        <v>210440.148116</v>
      </c>
      <c r="IOM363" s="1648">
        <v>330912.82974800002</v>
      </c>
      <c r="ION363" s="1648">
        <v>321507.96580100001</v>
      </c>
      <c r="IOO363" s="1648">
        <v>310040.96500000003</v>
      </c>
      <c r="IOP363" s="1648">
        <v>306104.158</v>
      </c>
      <c r="IOQ363" s="1648">
        <v>350079.51500000001</v>
      </c>
      <c r="IOR363" s="1648">
        <v>376736.01</v>
      </c>
      <c r="IOS363" s="1648">
        <v>382165.86499999999</v>
      </c>
      <c r="IOT363" s="1648">
        <v>356897.57900000003</v>
      </c>
      <c r="IOU363" s="635">
        <v>3961904</v>
      </c>
      <c r="IOV363" s="633">
        <f>SUM(IOI363:IOT363)</f>
        <v>3961903.5018060002</v>
      </c>
      <c r="IOW363" s="919" t="s">
        <v>1837</v>
      </c>
      <c r="IOX363" s="1643" t="s">
        <v>1838</v>
      </c>
      <c r="IOY363" s="1648">
        <v>344028.50012699998</v>
      </c>
      <c r="IOZ363" s="1648">
        <v>335387.28629100003</v>
      </c>
      <c r="IPA363" s="1648">
        <v>337602.67972299998</v>
      </c>
      <c r="IPB363" s="1648">
        <v>210440.148116</v>
      </c>
      <c r="IPC363" s="1648">
        <v>330912.82974800002</v>
      </c>
      <c r="IPD363" s="1648">
        <v>321507.96580100001</v>
      </c>
      <c r="IPE363" s="1648">
        <v>310040.96500000003</v>
      </c>
      <c r="IPF363" s="1648">
        <v>306104.158</v>
      </c>
      <c r="IPG363" s="1648">
        <v>350079.51500000001</v>
      </c>
      <c r="IPH363" s="1648">
        <v>376736.01</v>
      </c>
      <c r="IPI363" s="1648">
        <v>382165.86499999999</v>
      </c>
      <c r="IPJ363" s="1648">
        <v>356897.57900000003</v>
      </c>
      <c r="IPK363" s="635">
        <v>3961904</v>
      </c>
      <c r="IPL363" s="633">
        <f>SUM(IOY363:IPJ363)</f>
        <v>3961903.5018060002</v>
      </c>
      <c r="IPM363" s="919" t="s">
        <v>1837</v>
      </c>
      <c r="IPN363" s="1643" t="s">
        <v>1838</v>
      </c>
      <c r="IPO363" s="1648">
        <v>344028.50012699998</v>
      </c>
      <c r="IPP363" s="1648">
        <v>335387.28629100003</v>
      </c>
      <c r="IPQ363" s="1648">
        <v>337602.67972299998</v>
      </c>
      <c r="IPR363" s="1648">
        <v>210440.148116</v>
      </c>
      <c r="IPS363" s="1648">
        <v>330912.82974800002</v>
      </c>
      <c r="IPT363" s="1648">
        <v>321507.96580100001</v>
      </c>
      <c r="IPU363" s="1648">
        <v>310040.96500000003</v>
      </c>
      <c r="IPV363" s="1648">
        <v>306104.158</v>
      </c>
      <c r="IPW363" s="1648">
        <v>350079.51500000001</v>
      </c>
      <c r="IPX363" s="1648">
        <v>376736.01</v>
      </c>
      <c r="IPY363" s="1648">
        <v>382165.86499999999</v>
      </c>
      <c r="IPZ363" s="1648">
        <v>356897.57900000003</v>
      </c>
      <c r="IQA363" s="635">
        <v>3961904</v>
      </c>
      <c r="IQB363" s="633">
        <f>SUM(IPO363:IPZ363)</f>
        <v>3961903.5018060002</v>
      </c>
      <c r="IQC363" s="919" t="s">
        <v>1837</v>
      </c>
      <c r="IQD363" s="1643" t="s">
        <v>1838</v>
      </c>
      <c r="IQE363" s="1648">
        <v>344028.50012699998</v>
      </c>
      <c r="IQF363" s="1648">
        <v>335387.28629100003</v>
      </c>
      <c r="IQG363" s="1648">
        <v>337602.67972299998</v>
      </c>
      <c r="IQH363" s="1648">
        <v>210440.148116</v>
      </c>
      <c r="IQI363" s="1648">
        <v>330912.82974800002</v>
      </c>
      <c r="IQJ363" s="1648">
        <v>321507.96580100001</v>
      </c>
      <c r="IQK363" s="1648">
        <v>310040.96500000003</v>
      </c>
      <c r="IQL363" s="1648">
        <v>306104.158</v>
      </c>
      <c r="IQM363" s="1648">
        <v>350079.51500000001</v>
      </c>
      <c r="IQN363" s="1648">
        <v>376736.01</v>
      </c>
      <c r="IQO363" s="1648">
        <v>382165.86499999999</v>
      </c>
      <c r="IQP363" s="1648">
        <v>356897.57900000003</v>
      </c>
      <c r="IQQ363" s="635">
        <v>3961904</v>
      </c>
      <c r="IQR363" s="633">
        <f>SUM(IQE363:IQP363)</f>
        <v>3961903.5018060002</v>
      </c>
      <c r="IQS363" s="919" t="s">
        <v>1837</v>
      </c>
      <c r="IQT363" s="1643" t="s">
        <v>1838</v>
      </c>
      <c r="IQU363" s="1648">
        <v>344028.50012699998</v>
      </c>
      <c r="IQV363" s="1648">
        <v>335387.28629100003</v>
      </c>
      <c r="IQW363" s="1648">
        <v>337602.67972299998</v>
      </c>
      <c r="IQX363" s="1648">
        <v>210440.148116</v>
      </c>
      <c r="IQY363" s="1648">
        <v>330912.82974800002</v>
      </c>
      <c r="IQZ363" s="1648">
        <v>321507.96580100001</v>
      </c>
      <c r="IRA363" s="1648">
        <v>310040.96500000003</v>
      </c>
      <c r="IRB363" s="1648">
        <v>306104.158</v>
      </c>
      <c r="IRC363" s="1648">
        <v>350079.51500000001</v>
      </c>
      <c r="IRD363" s="1648">
        <v>376736.01</v>
      </c>
      <c r="IRE363" s="1648">
        <v>382165.86499999999</v>
      </c>
      <c r="IRF363" s="1648">
        <v>356897.57900000003</v>
      </c>
      <c r="IRG363" s="635">
        <v>3961904</v>
      </c>
      <c r="IRH363" s="633">
        <f>SUM(IQU363:IRF363)</f>
        <v>3961903.5018060002</v>
      </c>
      <c r="IRI363" s="919" t="s">
        <v>1837</v>
      </c>
      <c r="IRJ363" s="1643" t="s">
        <v>1838</v>
      </c>
      <c r="IRK363" s="1648">
        <v>344028.50012699998</v>
      </c>
      <c r="IRL363" s="1648">
        <v>335387.28629100003</v>
      </c>
      <c r="IRM363" s="1648">
        <v>337602.67972299998</v>
      </c>
      <c r="IRN363" s="1648">
        <v>210440.148116</v>
      </c>
      <c r="IRO363" s="1648">
        <v>330912.82974800002</v>
      </c>
      <c r="IRP363" s="1648">
        <v>321507.96580100001</v>
      </c>
      <c r="IRQ363" s="1648">
        <v>310040.96500000003</v>
      </c>
      <c r="IRR363" s="1648">
        <v>306104.158</v>
      </c>
      <c r="IRS363" s="1648">
        <v>350079.51500000001</v>
      </c>
      <c r="IRT363" s="1648">
        <v>376736.01</v>
      </c>
      <c r="IRU363" s="1648">
        <v>382165.86499999999</v>
      </c>
      <c r="IRV363" s="1648">
        <v>356897.57900000003</v>
      </c>
      <c r="IRW363" s="635">
        <v>3961904</v>
      </c>
      <c r="IRX363" s="633">
        <f>SUM(IRK363:IRV363)</f>
        <v>3961903.5018060002</v>
      </c>
      <c r="IRY363" s="919" t="s">
        <v>1837</v>
      </c>
      <c r="IRZ363" s="1643" t="s">
        <v>1838</v>
      </c>
      <c r="ISA363" s="1648">
        <v>344028.50012699998</v>
      </c>
      <c r="ISB363" s="1648">
        <v>335387.28629100003</v>
      </c>
      <c r="ISC363" s="1648">
        <v>337602.67972299998</v>
      </c>
      <c r="ISD363" s="1648">
        <v>210440.148116</v>
      </c>
      <c r="ISE363" s="1648">
        <v>330912.82974800002</v>
      </c>
      <c r="ISF363" s="1648">
        <v>321507.96580100001</v>
      </c>
      <c r="ISG363" s="1648">
        <v>310040.96500000003</v>
      </c>
      <c r="ISH363" s="1648">
        <v>306104.158</v>
      </c>
      <c r="ISI363" s="1648">
        <v>350079.51500000001</v>
      </c>
      <c r="ISJ363" s="1648">
        <v>376736.01</v>
      </c>
      <c r="ISK363" s="1648">
        <v>382165.86499999999</v>
      </c>
      <c r="ISL363" s="1648">
        <v>356897.57900000003</v>
      </c>
      <c r="ISM363" s="635">
        <v>3961904</v>
      </c>
      <c r="ISN363" s="633">
        <f>SUM(ISA363:ISL363)</f>
        <v>3961903.5018060002</v>
      </c>
      <c r="ISO363" s="919" t="s">
        <v>1837</v>
      </c>
      <c r="ISP363" s="1643" t="s">
        <v>1838</v>
      </c>
      <c r="ISQ363" s="1648">
        <v>344028.50012699998</v>
      </c>
      <c r="ISR363" s="1648">
        <v>335387.28629100003</v>
      </c>
      <c r="ISS363" s="1648">
        <v>337602.67972299998</v>
      </c>
      <c r="IST363" s="1648">
        <v>210440.148116</v>
      </c>
      <c r="ISU363" s="1648">
        <v>330912.82974800002</v>
      </c>
      <c r="ISV363" s="1648">
        <v>321507.96580100001</v>
      </c>
      <c r="ISW363" s="1648">
        <v>310040.96500000003</v>
      </c>
      <c r="ISX363" s="1648">
        <v>306104.158</v>
      </c>
      <c r="ISY363" s="1648">
        <v>350079.51500000001</v>
      </c>
      <c r="ISZ363" s="1648">
        <v>376736.01</v>
      </c>
      <c r="ITA363" s="1648">
        <v>382165.86499999999</v>
      </c>
      <c r="ITB363" s="1648">
        <v>356897.57900000003</v>
      </c>
      <c r="ITC363" s="635">
        <v>3961904</v>
      </c>
      <c r="ITD363" s="633">
        <f>SUM(ISQ363:ITB363)</f>
        <v>3961903.5018060002</v>
      </c>
      <c r="ITE363" s="919" t="s">
        <v>1837</v>
      </c>
      <c r="ITF363" s="1643" t="s">
        <v>1838</v>
      </c>
      <c r="ITG363" s="1648">
        <v>344028.50012699998</v>
      </c>
      <c r="ITH363" s="1648">
        <v>335387.28629100003</v>
      </c>
      <c r="ITI363" s="1648">
        <v>337602.67972299998</v>
      </c>
      <c r="ITJ363" s="1648">
        <v>210440.148116</v>
      </c>
      <c r="ITK363" s="1648">
        <v>330912.82974800002</v>
      </c>
      <c r="ITL363" s="1648">
        <v>321507.96580100001</v>
      </c>
      <c r="ITM363" s="1648">
        <v>310040.96500000003</v>
      </c>
      <c r="ITN363" s="1648">
        <v>306104.158</v>
      </c>
      <c r="ITO363" s="1648">
        <v>350079.51500000001</v>
      </c>
      <c r="ITP363" s="1648">
        <v>376736.01</v>
      </c>
      <c r="ITQ363" s="1648">
        <v>382165.86499999999</v>
      </c>
      <c r="ITR363" s="1648">
        <v>356897.57900000003</v>
      </c>
      <c r="ITS363" s="635">
        <v>3961904</v>
      </c>
      <c r="ITT363" s="633">
        <f>SUM(ITG363:ITR363)</f>
        <v>3961903.5018060002</v>
      </c>
      <c r="ITU363" s="919" t="s">
        <v>1837</v>
      </c>
      <c r="ITV363" s="1643" t="s">
        <v>1838</v>
      </c>
      <c r="ITW363" s="1648">
        <v>344028.50012699998</v>
      </c>
      <c r="ITX363" s="1648">
        <v>335387.28629100003</v>
      </c>
      <c r="ITY363" s="1648">
        <v>337602.67972299998</v>
      </c>
      <c r="ITZ363" s="1648">
        <v>210440.148116</v>
      </c>
      <c r="IUA363" s="1648">
        <v>330912.82974800002</v>
      </c>
      <c r="IUB363" s="1648">
        <v>321507.96580100001</v>
      </c>
      <c r="IUC363" s="1648">
        <v>310040.96500000003</v>
      </c>
      <c r="IUD363" s="1648">
        <v>306104.158</v>
      </c>
      <c r="IUE363" s="1648">
        <v>350079.51500000001</v>
      </c>
      <c r="IUF363" s="1648">
        <v>376736.01</v>
      </c>
      <c r="IUG363" s="1648">
        <v>382165.86499999999</v>
      </c>
      <c r="IUH363" s="1648">
        <v>356897.57900000003</v>
      </c>
      <c r="IUI363" s="635">
        <v>3961904</v>
      </c>
      <c r="IUJ363" s="633">
        <f>SUM(ITW363:IUH363)</f>
        <v>3961903.5018060002</v>
      </c>
      <c r="IUK363" s="919" t="s">
        <v>1837</v>
      </c>
      <c r="IUL363" s="1643" t="s">
        <v>1838</v>
      </c>
      <c r="IUM363" s="1648">
        <v>344028.50012699998</v>
      </c>
      <c r="IUN363" s="1648">
        <v>335387.28629100003</v>
      </c>
      <c r="IUO363" s="1648">
        <v>337602.67972299998</v>
      </c>
      <c r="IUP363" s="1648">
        <v>210440.148116</v>
      </c>
      <c r="IUQ363" s="1648">
        <v>330912.82974800002</v>
      </c>
      <c r="IUR363" s="1648">
        <v>321507.96580100001</v>
      </c>
      <c r="IUS363" s="1648">
        <v>310040.96500000003</v>
      </c>
      <c r="IUT363" s="1648">
        <v>306104.158</v>
      </c>
      <c r="IUU363" s="1648">
        <v>350079.51500000001</v>
      </c>
      <c r="IUV363" s="1648">
        <v>376736.01</v>
      </c>
      <c r="IUW363" s="1648">
        <v>382165.86499999999</v>
      </c>
      <c r="IUX363" s="1648">
        <v>356897.57900000003</v>
      </c>
      <c r="IUY363" s="635">
        <v>3961904</v>
      </c>
      <c r="IUZ363" s="633">
        <f>SUM(IUM363:IUX363)</f>
        <v>3961903.5018060002</v>
      </c>
      <c r="IVA363" s="919" t="s">
        <v>1837</v>
      </c>
      <c r="IVB363" s="1643" t="s">
        <v>1838</v>
      </c>
      <c r="IVC363" s="1648">
        <v>344028.50012699998</v>
      </c>
      <c r="IVD363" s="1648">
        <v>335387.28629100003</v>
      </c>
      <c r="IVE363" s="1648">
        <v>337602.67972299998</v>
      </c>
      <c r="IVF363" s="1648">
        <v>210440.148116</v>
      </c>
      <c r="IVG363" s="1648">
        <v>330912.82974800002</v>
      </c>
      <c r="IVH363" s="1648">
        <v>321507.96580100001</v>
      </c>
      <c r="IVI363" s="1648">
        <v>310040.96500000003</v>
      </c>
      <c r="IVJ363" s="1648">
        <v>306104.158</v>
      </c>
      <c r="IVK363" s="1648">
        <v>350079.51500000001</v>
      </c>
      <c r="IVL363" s="1648">
        <v>376736.01</v>
      </c>
      <c r="IVM363" s="1648">
        <v>382165.86499999999</v>
      </c>
      <c r="IVN363" s="1648">
        <v>356897.57900000003</v>
      </c>
      <c r="IVO363" s="635">
        <v>3961904</v>
      </c>
      <c r="IVP363" s="633">
        <f>SUM(IVC363:IVN363)</f>
        <v>3961903.5018060002</v>
      </c>
      <c r="IVQ363" s="919" t="s">
        <v>1837</v>
      </c>
      <c r="IVR363" s="1643" t="s">
        <v>1838</v>
      </c>
      <c r="IVS363" s="1648">
        <v>344028.50012699998</v>
      </c>
      <c r="IVT363" s="1648">
        <v>335387.28629100003</v>
      </c>
      <c r="IVU363" s="1648">
        <v>337602.67972299998</v>
      </c>
      <c r="IVV363" s="1648">
        <v>210440.148116</v>
      </c>
      <c r="IVW363" s="1648">
        <v>330912.82974800002</v>
      </c>
      <c r="IVX363" s="1648">
        <v>321507.96580100001</v>
      </c>
      <c r="IVY363" s="1648">
        <v>310040.96500000003</v>
      </c>
      <c r="IVZ363" s="1648">
        <v>306104.158</v>
      </c>
      <c r="IWA363" s="1648">
        <v>350079.51500000001</v>
      </c>
      <c r="IWB363" s="1648">
        <v>376736.01</v>
      </c>
      <c r="IWC363" s="1648">
        <v>382165.86499999999</v>
      </c>
      <c r="IWD363" s="1648">
        <v>356897.57900000003</v>
      </c>
      <c r="IWE363" s="635">
        <v>3961904</v>
      </c>
      <c r="IWF363" s="633">
        <f>SUM(IVS363:IWD363)</f>
        <v>3961903.5018060002</v>
      </c>
      <c r="IWG363" s="919" t="s">
        <v>1837</v>
      </c>
      <c r="IWH363" s="1643" t="s">
        <v>1838</v>
      </c>
      <c r="IWI363" s="1648">
        <v>344028.50012699998</v>
      </c>
      <c r="IWJ363" s="1648">
        <v>335387.28629100003</v>
      </c>
      <c r="IWK363" s="1648">
        <v>337602.67972299998</v>
      </c>
      <c r="IWL363" s="1648">
        <v>210440.148116</v>
      </c>
      <c r="IWM363" s="1648">
        <v>330912.82974800002</v>
      </c>
      <c r="IWN363" s="1648">
        <v>321507.96580100001</v>
      </c>
      <c r="IWO363" s="1648">
        <v>310040.96500000003</v>
      </c>
      <c r="IWP363" s="1648">
        <v>306104.158</v>
      </c>
      <c r="IWQ363" s="1648">
        <v>350079.51500000001</v>
      </c>
      <c r="IWR363" s="1648">
        <v>376736.01</v>
      </c>
      <c r="IWS363" s="1648">
        <v>382165.86499999999</v>
      </c>
      <c r="IWT363" s="1648">
        <v>356897.57900000003</v>
      </c>
      <c r="IWU363" s="635">
        <v>3961904</v>
      </c>
      <c r="IWV363" s="633">
        <f>SUM(IWI363:IWT363)</f>
        <v>3961903.5018060002</v>
      </c>
      <c r="IWW363" s="919" t="s">
        <v>1837</v>
      </c>
      <c r="IWX363" s="1643" t="s">
        <v>1838</v>
      </c>
      <c r="IWY363" s="1648">
        <v>344028.50012699998</v>
      </c>
      <c r="IWZ363" s="1648">
        <v>335387.28629100003</v>
      </c>
      <c r="IXA363" s="1648">
        <v>337602.67972299998</v>
      </c>
      <c r="IXB363" s="1648">
        <v>210440.148116</v>
      </c>
      <c r="IXC363" s="1648">
        <v>330912.82974800002</v>
      </c>
      <c r="IXD363" s="1648">
        <v>321507.96580100001</v>
      </c>
      <c r="IXE363" s="1648">
        <v>310040.96500000003</v>
      </c>
      <c r="IXF363" s="1648">
        <v>306104.158</v>
      </c>
      <c r="IXG363" s="1648">
        <v>350079.51500000001</v>
      </c>
      <c r="IXH363" s="1648">
        <v>376736.01</v>
      </c>
      <c r="IXI363" s="1648">
        <v>382165.86499999999</v>
      </c>
      <c r="IXJ363" s="1648">
        <v>356897.57900000003</v>
      </c>
      <c r="IXK363" s="635">
        <v>3961904</v>
      </c>
      <c r="IXL363" s="633">
        <f>SUM(IWY363:IXJ363)</f>
        <v>3961903.5018060002</v>
      </c>
      <c r="IXM363" s="919" t="s">
        <v>1837</v>
      </c>
      <c r="IXN363" s="1643" t="s">
        <v>1838</v>
      </c>
      <c r="IXO363" s="1648">
        <v>344028.50012699998</v>
      </c>
      <c r="IXP363" s="1648">
        <v>335387.28629100003</v>
      </c>
      <c r="IXQ363" s="1648">
        <v>337602.67972299998</v>
      </c>
      <c r="IXR363" s="1648">
        <v>210440.148116</v>
      </c>
      <c r="IXS363" s="1648">
        <v>330912.82974800002</v>
      </c>
      <c r="IXT363" s="1648">
        <v>321507.96580100001</v>
      </c>
      <c r="IXU363" s="1648">
        <v>310040.96500000003</v>
      </c>
      <c r="IXV363" s="1648">
        <v>306104.158</v>
      </c>
      <c r="IXW363" s="1648">
        <v>350079.51500000001</v>
      </c>
      <c r="IXX363" s="1648">
        <v>376736.01</v>
      </c>
      <c r="IXY363" s="1648">
        <v>382165.86499999999</v>
      </c>
      <c r="IXZ363" s="1648">
        <v>356897.57900000003</v>
      </c>
      <c r="IYA363" s="635">
        <v>3961904</v>
      </c>
      <c r="IYB363" s="633">
        <f>SUM(IXO363:IXZ363)</f>
        <v>3961903.5018060002</v>
      </c>
      <c r="IYC363" s="919" t="s">
        <v>1837</v>
      </c>
      <c r="IYD363" s="1643" t="s">
        <v>1838</v>
      </c>
      <c r="IYE363" s="1648">
        <v>344028.50012699998</v>
      </c>
      <c r="IYF363" s="1648">
        <v>335387.28629100003</v>
      </c>
      <c r="IYG363" s="1648">
        <v>337602.67972299998</v>
      </c>
      <c r="IYH363" s="1648">
        <v>210440.148116</v>
      </c>
      <c r="IYI363" s="1648">
        <v>330912.82974800002</v>
      </c>
      <c r="IYJ363" s="1648">
        <v>321507.96580100001</v>
      </c>
      <c r="IYK363" s="1648">
        <v>310040.96500000003</v>
      </c>
      <c r="IYL363" s="1648">
        <v>306104.158</v>
      </c>
      <c r="IYM363" s="1648">
        <v>350079.51500000001</v>
      </c>
      <c r="IYN363" s="1648">
        <v>376736.01</v>
      </c>
      <c r="IYO363" s="1648">
        <v>382165.86499999999</v>
      </c>
      <c r="IYP363" s="1648">
        <v>356897.57900000003</v>
      </c>
      <c r="IYQ363" s="635">
        <v>3961904</v>
      </c>
      <c r="IYR363" s="633">
        <f>SUM(IYE363:IYP363)</f>
        <v>3961903.5018060002</v>
      </c>
      <c r="IYS363" s="919" t="s">
        <v>1837</v>
      </c>
      <c r="IYT363" s="1643" t="s">
        <v>1838</v>
      </c>
      <c r="IYU363" s="1648">
        <v>344028.50012699998</v>
      </c>
      <c r="IYV363" s="1648">
        <v>335387.28629100003</v>
      </c>
      <c r="IYW363" s="1648">
        <v>337602.67972299998</v>
      </c>
      <c r="IYX363" s="1648">
        <v>210440.148116</v>
      </c>
      <c r="IYY363" s="1648">
        <v>330912.82974800002</v>
      </c>
      <c r="IYZ363" s="1648">
        <v>321507.96580100001</v>
      </c>
      <c r="IZA363" s="1648">
        <v>310040.96500000003</v>
      </c>
      <c r="IZB363" s="1648">
        <v>306104.158</v>
      </c>
      <c r="IZC363" s="1648">
        <v>350079.51500000001</v>
      </c>
      <c r="IZD363" s="1648">
        <v>376736.01</v>
      </c>
      <c r="IZE363" s="1648">
        <v>382165.86499999999</v>
      </c>
      <c r="IZF363" s="1648">
        <v>356897.57900000003</v>
      </c>
      <c r="IZG363" s="635">
        <v>3961904</v>
      </c>
      <c r="IZH363" s="633">
        <f>SUM(IYU363:IZF363)</f>
        <v>3961903.5018060002</v>
      </c>
      <c r="IZI363" s="919" t="s">
        <v>1837</v>
      </c>
      <c r="IZJ363" s="1643" t="s">
        <v>1838</v>
      </c>
      <c r="IZK363" s="1648">
        <v>344028.50012699998</v>
      </c>
      <c r="IZL363" s="1648">
        <v>335387.28629100003</v>
      </c>
      <c r="IZM363" s="1648">
        <v>337602.67972299998</v>
      </c>
      <c r="IZN363" s="1648">
        <v>210440.148116</v>
      </c>
      <c r="IZO363" s="1648">
        <v>330912.82974800002</v>
      </c>
      <c r="IZP363" s="1648">
        <v>321507.96580100001</v>
      </c>
      <c r="IZQ363" s="1648">
        <v>310040.96500000003</v>
      </c>
      <c r="IZR363" s="1648">
        <v>306104.158</v>
      </c>
      <c r="IZS363" s="1648">
        <v>350079.51500000001</v>
      </c>
      <c r="IZT363" s="1648">
        <v>376736.01</v>
      </c>
      <c r="IZU363" s="1648">
        <v>382165.86499999999</v>
      </c>
      <c r="IZV363" s="1648">
        <v>356897.57900000003</v>
      </c>
      <c r="IZW363" s="635">
        <v>3961904</v>
      </c>
      <c r="IZX363" s="633">
        <f>SUM(IZK363:IZV363)</f>
        <v>3961903.5018060002</v>
      </c>
      <c r="IZY363" s="919" t="s">
        <v>1837</v>
      </c>
      <c r="IZZ363" s="1643" t="s">
        <v>1838</v>
      </c>
      <c r="JAA363" s="1648">
        <v>344028.50012699998</v>
      </c>
      <c r="JAB363" s="1648">
        <v>335387.28629100003</v>
      </c>
      <c r="JAC363" s="1648">
        <v>337602.67972299998</v>
      </c>
      <c r="JAD363" s="1648">
        <v>210440.148116</v>
      </c>
      <c r="JAE363" s="1648">
        <v>330912.82974800002</v>
      </c>
      <c r="JAF363" s="1648">
        <v>321507.96580100001</v>
      </c>
      <c r="JAG363" s="1648">
        <v>310040.96500000003</v>
      </c>
      <c r="JAH363" s="1648">
        <v>306104.158</v>
      </c>
      <c r="JAI363" s="1648">
        <v>350079.51500000001</v>
      </c>
      <c r="JAJ363" s="1648">
        <v>376736.01</v>
      </c>
      <c r="JAK363" s="1648">
        <v>382165.86499999999</v>
      </c>
      <c r="JAL363" s="1648">
        <v>356897.57900000003</v>
      </c>
      <c r="JAM363" s="635">
        <v>3961904</v>
      </c>
      <c r="JAN363" s="633">
        <f>SUM(JAA363:JAL363)</f>
        <v>3961903.5018060002</v>
      </c>
      <c r="JAO363" s="919" t="s">
        <v>1837</v>
      </c>
      <c r="JAP363" s="1643" t="s">
        <v>1838</v>
      </c>
      <c r="JAQ363" s="1648">
        <v>344028.50012699998</v>
      </c>
      <c r="JAR363" s="1648">
        <v>335387.28629100003</v>
      </c>
      <c r="JAS363" s="1648">
        <v>337602.67972299998</v>
      </c>
      <c r="JAT363" s="1648">
        <v>210440.148116</v>
      </c>
      <c r="JAU363" s="1648">
        <v>330912.82974800002</v>
      </c>
      <c r="JAV363" s="1648">
        <v>321507.96580100001</v>
      </c>
      <c r="JAW363" s="1648">
        <v>310040.96500000003</v>
      </c>
      <c r="JAX363" s="1648">
        <v>306104.158</v>
      </c>
      <c r="JAY363" s="1648">
        <v>350079.51500000001</v>
      </c>
      <c r="JAZ363" s="1648">
        <v>376736.01</v>
      </c>
      <c r="JBA363" s="1648">
        <v>382165.86499999999</v>
      </c>
      <c r="JBB363" s="1648">
        <v>356897.57900000003</v>
      </c>
      <c r="JBC363" s="635">
        <v>3961904</v>
      </c>
      <c r="JBD363" s="633">
        <f>SUM(JAQ363:JBB363)</f>
        <v>3961903.5018060002</v>
      </c>
      <c r="JBE363" s="919" t="s">
        <v>1837</v>
      </c>
      <c r="JBF363" s="1643" t="s">
        <v>1838</v>
      </c>
      <c r="JBG363" s="1648">
        <v>344028.50012699998</v>
      </c>
      <c r="JBH363" s="1648">
        <v>335387.28629100003</v>
      </c>
      <c r="JBI363" s="1648">
        <v>337602.67972299998</v>
      </c>
      <c r="JBJ363" s="1648">
        <v>210440.148116</v>
      </c>
      <c r="JBK363" s="1648">
        <v>330912.82974800002</v>
      </c>
      <c r="JBL363" s="1648">
        <v>321507.96580100001</v>
      </c>
      <c r="JBM363" s="1648">
        <v>310040.96500000003</v>
      </c>
      <c r="JBN363" s="1648">
        <v>306104.158</v>
      </c>
      <c r="JBO363" s="1648">
        <v>350079.51500000001</v>
      </c>
      <c r="JBP363" s="1648">
        <v>376736.01</v>
      </c>
      <c r="JBQ363" s="1648">
        <v>382165.86499999999</v>
      </c>
      <c r="JBR363" s="1648">
        <v>356897.57900000003</v>
      </c>
      <c r="JBS363" s="635">
        <v>3961904</v>
      </c>
      <c r="JBT363" s="633">
        <f>SUM(JBG363:JBR363)</f>
        <v>3961903.5018060002</v>
      </c>
      <c r="JBU363" s="919" t="s">
        <v>1837</v>
      </c>
      <c r="JBV363" s="1643" t="s">
        <v>1838</v>
      </c>
      <c r="JBW363" s="1648">
        <v>344028.50012699998</v>
      </c>
      <c r="JBX363" s="1648">
        <v>335387.28629100003</v>
      </c>
      <c r="JBY363" s="1648">
        <v>337602.67972299998</v>
      </c>
      <c r="JBZ363" s="1648">
        <v>210440.148116</v>
      </c>
      <c r="JCA363" s="1648">
        <v>330912.82974800002</v>
      </c>
      <c r="JCB363" s="1648">
        <v>321507.96580100001</v>
      </c>
      <c r="JCC363" s="1648">
        <v>310040.96500000003</v>
      </c>
      <c r="JCD363" s="1648">
        <v>306104.158</v>
      </c>
      <c r="JCE363" s="1648">
        <v>350079.51500000001</v>
      </c>
      <c r="JCF363" s="1648">
        <v>376736.01</v>
      </c>
      <c r="JCG363" s="1648">
        <v>382165.86499999999</v>
      </c>
      <c r="JCH363" s="1648">
        <v>356897.57900000003</v>
      </c>
      <c r="JCI363" s="635">
        <v>3961904</v>
      </c>
      <c r="JCJ363" s="633">
        <f>SUM(JBW363:JCH363)</f>
        <v>3961903.5018060002</v>
      </c>
      <c r="JCK363" s="919" t="s">
        <v>1837</v>
      </c>
      <c r="JCL363" s="1643" t="s">
        <v>1838</v>
      </c>
      <c r="JCM363" s="1648">
        <v>344028.50012699998</v>
      </c>
      <c r="JCN363" s="1648">
        <v>335387.28629100003</v>
      </c>
      <c r="JCO363" s="1648">
        <v>337602.67972299998</v>
      </c>
      <c r="JCP363" s="1648">
        <v>210440.148116</v>
      </c>
      <c r="JCQ363" s="1648">
        <v>330912.82974800002</v>
      </c>
      <c r="JCR363" s="1648">
        <v>321507.96580100001</v>
      </c>
      <c r="JCS363" s="1648">
        <v>310040.96500000003</v>
      </c>
      <c r="JCT363" s="1648">
        <v>306104.158</v>
      </c>
      <c r="JCU363" s="1648">
        <v>350079.51500000001</v>
      </c>
      <c r="JCV363" s="1648">
        <v>376736.01</v>
      </c>
      <c r="JCW363" s="1648">
        <v>382165.86499999999</v>
      </c>
      <c r="JCX363" s="1648">
        <v>356897.57900000003</v>
      </c>
      <c r="JCY363" s="635">
        <v>3961904</v>
      </c>
      <c r="JCZ363" s="633">
        <f>SUM(JCM363:JCX363)</f>
        <v>3961903.5018060002</v>
      </c>
      <c r="JDA363" s="919" t="s">
        <v>1837</v>
      </c>
      <c r="JDB363" s="1643" t="s">
        <v>1838</v>
      </c>
      <c r="JDC363" s="1648">
        <v>344028.50012699998</v>
      </c>
      <c r="JDD363" s="1648">
        <v>335387.28629100003</v>
      </c>
      <c r="JDE363" s="1648">
        <v>337602.67972299998</v>
      </c>
      <c r="JDF363" s="1648">
        <v>210440.148116</v>
      </c>
      <c r="JDG363" s="1648">
        <v>330912.82974800002</v>
      </c>
      <c r="JDH363" s="1648">
        <v>321507.96580100001</v>
      </c>
      <c r="JDI363" s="1648">
        <v>310040.96500000003</v>
      </c>
      <c r="JDJ363" s="1648">
        <v>306104.158</v>
      </c>
      <c r="JDK363" s="1648">
        <v>350079.51500000001</v>
      </c>
      <c r="JDL363" s="1648">
        <v>376736.01</v>
      </c>
      <c r="JDM363" s="1648">
        <v>382165.86499999999</v>
      </c>
      <c r="JDN363" s="1648">
        <v>356897.57900000003</v>
      </c>
      <c r="JDO363" s="635">
        <v>3961904</v>
      </c>
      <c r="JDP363" s="633">
        <f>SUM(JDC363:JDN363)</f>
        <v>3961903.5018060002</v>
      </c>
      <c r="JDQ363" s="919" t="s">
        <v>1837</v>
      </c>
      <c r="JDR363" s="1643" t="s">
        <v>1838</v>
      </c>
      <c r="JDS363" s="1648">
        <v>344028.50012699998</v>
      </c>
      <c r="JDT363" s="1648">
        <v>335387.28629100003</v>
      </c>
      <c r="JDU363" s="1648">
        <v>337602.67972299998</v>
      </c>
      <c r="JDV363" s="1648">
        <v>210440.148116</v>
      </c>
      <c r="JDW363" s="1648">
        <v>330912.82974800002</v>
      </c>
      <c r="JDX363" s="1648">
        <v>321507.96580100001</v>
      </c>
      <c r="JDY363" s="1648">
        <v>310040.96500000003</v>
      </c>
      <c r="JDZ363" s="1648">
        <v>306104.158</v>
      </c>
      <c r="JEA363" s="1648">
        <v>350079.51500000001</v>
      </c>
      <c r="JEB363" s="1648">
        <v>376736.01</v>
      </c>
      <c r="JEC363" s="1648">
        <v>382165.86499999999</v>
      </c>
      <c r="JED363" s="1648">
        <v>356897.57900000003</v>
      </c>
      <c r="JEE363" s="635">
        <v>3961904</v>
      </c>
      <c r="JEF363" s="633">
        <f>SUM(JDS363:JED363)</f>
        <v>3961903.5018060002</v>
      </c>
      <c r="JEG363" s="919" t="s">
        <v>1837</v>
      </c>
      <c r="JEH363" s="1643" t="s">
        <v>1838</v>
      </c>
      <c r="JEI363" s="1648">
        <v>344028.50012699998</v>
      </c>
      <c r="JEJ363" s="1648">
        <v>335387.28629100003</v>
      </c>
      <c r="JEK363" s="1648">
        <v>337602.67972299998</v>
      </c>
      <c r="JEL363" s="1648">
        <v>210440.148116</v>
      </c>
      <c r="JEM363" s="1648">
        <v>330912.82974800002</v>
      </c>
      <c r="JEN363" s="1648">
        <v>321507.96580100001</v>
      </c>
      <c r="JEO363" s="1648">
        <v>310040.96500000003</v>
      </c>
      <c r="JEP363" s="1648">
        <v>306104.158</v>
      </c>
      <c r="JEQ363" s="1648">
        <v>350079.51500000001</v>
      </c>
      <c r="JER363" s="1648">
        <v>376736.01</v>
      </c>
      <c r="JES363" s="1648">
        <v>382165.86499999999</v>
      </c>
      <c r="JET363" s="1648">
        <v>356897.57900000003</v>
      </c>
      <c r="JEU363" s="635">
        <v>3961904</v>
      </c>
      <c r="JEV363" s="633">
        <f>SUM(JEI363:JET363)</f>
        <v>3961903.5018060002</v>
      </c>
      <c r="JEW363" s="919" t="s">
        <v>1837</v>
      </c>
      <c r="JEX363" s="1643" t="s">
        <v>1838</v>
      </c>
      <c r="JEY363" s="1648">
        <v>344028.50012699998</v>
      </c>
      <c r="JEZ363" s="1648">
        <v>335387.28629100003</v>
      </c>
      <c r="JFA363" s="1648">
        <v>337602.67972299998</v>
      </c>
      <c r="JFB363" s="1648">
        <v>210440.148116</v>
      </c>
      <c r="JFC363" s="1648">
        <v>330912.82974800002</v>
      </c>
      <c r="JFD363" s="1648">
        <v>321507.96580100001</v>
      </c>
      <c r="JFE363" s="1648">
        <v>310040.96500000003</v>
      </c>
      <c r="JFF363" s="1648">
        <v>306104.158</v>
      </c>
      <c r="JFG363" s="1648">
        <v>350079.51500000001</v>
      </c>
      <c r="JFH363" s="1648">
        <v>376736.01</v>
      </c>
      <c r="JFI363" s="1648">
        <v>382165.86499999999</v>
      </c>
      <c r="JFJ363" s="1648">
        <v>356897.57900000003</v>
      </c>
      <c r="JFK363" s="635">
        <v>3961904</v>
      </c>
      <c r="JFL363" s="633">
        <f>SUM(JEY363:JFJ363)</f>
        <v>3961903.5018060002</v>
      </c>
      <c r="JFM363" s="919" t="s">
        <v>1837</v>
      </c>
      <c r="JFN363" s="1643" t="s">
        <v>1838</v>
      </c>
      <c r="JFO363" s="1648">
        <v>344028.50012699998</v>
      </c>
      <c r="JFP363" s="1648">
        <v>335387.28629100003</v>
      </c>
      <c r="JFQ363" s="1648">
        <v>337602.67972299998</v>
      </c>
      <c r="JFR363" s="1648">
        <v>210440.148116</v>
      </c>
      <c r="JFS363" s="1648">
        <v>330912.82974800002</v>
      </c>
      <c r="JFT363" s="1648">
        <v>321507.96580100001</v>
      </c>
      <c r="JFU363" s="1648">
        <v>310040.96500000003</v>
      </c>
      <c r="JFV363" s="1648">
        <v>306104.158</v>
      </c>
      <c r="JFW363" s="1648">
        <v>350079.51500000001</v>
      </c>
      <c r="JFX363" s="1648">
        <v>376736.01</v>
      </c>
      <c r="JFY363" s="1648">
        <v>382165.86499999999</v>
      </c>
      <c r="JFZ363" s="1648">
        <v>356897.57900000003</v>
      </c>
      <c r="JGA363" s="635">
        <v>3961904</v>
      </c>
      <c r="JGB363" s="633">
        <f>SUM(JFO363:JFZ363)</f>
        <v>3961903.5018060002</v>
      </c>
      <c r="JGC363" s="919" t="s">
        <v>1837</v>
      </c>
      <c r="JGD363" s="1643" t="s">
        <v>1838</v>
      </c>
      <c r="JGE363" s="1648">
        <v>344028.50012699998</v>
      </c>
      <c r="JGF363" s="1648">
        <v>335387.28629100003</v>
      </c>
      <c r="JGG363" s="1648">
        <v>337602.67972299998</v>
      </c>
      <c r="JGH363" s="1648">
        <v>210440.148116</v>
      </c>
      <c r="JGI363" s="1648">
        <v>330912.82974800002</v>
      </c>
      <c r="JGJ363" s="1648">
        <v>321507.96580100001</v>
      </c>
      <c r="JGK363" s="1648">
        <v>310040.96500000003</v>
      </c>
      <c r="JGL363" s="1648">
        <v>306104.158</v>
      </c>
      <c r="JGM363" s="1648">
        <v>350079.51500000001</v>
      </c>
      <c r="JGN363" s="1648">
        <v>376736.01</v>
      </c>
      <c r="JGO363" s="1648">
        <v>382165.86499999999</v>
      </c>
      <c r="JGP363" s="1648">
        <v>356897.57900000003</v>
      </c>
      <c r="JGQ363" s="635">
        <v>3961904</v>
      </c>
      <c r="JGR363" s="633">
        <f>SUM(JGE363:JGP363)</f>
        <v>3961903.5018060002</v>
      </c>
      <c r="JGS363" s="919" t="s">
        <v>1837</v>
      </c>
      <c r="JGT363" s="1643" t="s">
        <v>1838</v>
      </c>
      <c r="JGU363" s="1648">
        <v>344028.50012699998</v>
      </c>
      <c r="JGV363" s="1648">
        <v>335387.28629100003</v>
      </c>
      <c r="JGW363" s="1648">
        <v>337602.67972299998</v>
      </c>
      <c r="JGX363" s="1648">
        <v>210440.148116</v>
      </c>
      <c r="JGY363" s="1648">
        <v>330912.82974800002</v>
      </c>
      <c r="JGZ363" s="1648">
        <v>321507.96580100001</v>
      </c>
      <c r="JHA363" s="1648">
        <v>310040.96500000003</v>
      </c>
      <c r="JHB363" s="1648">
        <v>306104.158</v>
      </c>
      <c r="JHC363" s="1648">
        <v>350079.51500000001</v>
      </c>
      <c r="JHD363" s="1648">
        <v>376736.01</v>
      </c>
      <c r="JHE363" s="1648">
        <v>382165.86499999999</v>
      </c>
      <c r="JHF363" s="1648">
        <v>356897.57900000003</v>
      </c>
      <c r="JHG363" s="635">
        <v>3961904</v>
      </c>
      <c r="JHH363" s="633">
        <f>SUM(JGU363:JHF363)</f>
        <v>3961903.5018060002</v>
      </c>
      <c r="JHI363" s="919" t="s">
        <v>1837</v>
      </c>
      <c r="JHJ363" s="1643" t="s">
        <v>1838</v>
      </c>
      <c r="JHK363" s="1648">
        <v>344028.50012699998</v>
      </c>
      <c r="JHL363" s="1648">
        <v>335387.28629100003</v>
      </c>
      <c r="JHM363" s="1648">
        <v>337602.67972299998</v>
      </c>
      <c r="JHN363" s="1648">
        <v>210440.148116</v>
      </c>
      <c r="JHO363" s="1648">
        <v>330912.82974800002</v>
      </c>
      <c r="JHP363" s="1648">
        <v>321507.96580100001</v>
      </c>
      <c r="JHQ363" s="1648">
        <v>310040.96500000003</v>
      </c>
      <c r="JHR363" s="1648">
        <v>306104.158</v>
      </c>
      <c r="JHS363" s="1648">
        <v>350079.51500000001</v>
      </c>
      <c r="JHT363" s="1648">
        <v>376736.01</v>
      </c>
      <c r="JHU363" s="1648">
        <v>382165.86499999999</v>
      </c>
      <c r="JHV363" s="1648">
        <v>356897.57900000003</v>
      </c>
      <c r="JHW363" s="635">
        <v>3961904</v>
      </c>
      <c r="JHX363" s="633">
        <f>SUM(JHK363:JHV363)</f>
        <v>3961903.5018060002</v>
      </c>
      <c r="JHY363" s="919" t="s">
        <v>1837</v>
      </c>
      <c r="JHZ363" s="1643" t="s">
        <v>1838</v>
      </c>
      <c r="JIA363" s="1648">
        <v>344028.50012699998</v>
      </c>
      <c r="JIB363" s="1648">
        <v>335387.28629100003</v>
      </c>
      <c r="JIC363" s="1648">
        <v>337602.67972299998</v>
      </c>
      <c r="JID363" s="1648">
        <v>210440.148116</v>
      </c>
      <c r="JIE363" s="1648">
        <v>330912.82974800002</v>
      </c>
      <c r="JIF363" s="1648">
        <v>321507.96580100001</v>
      </c>
      <c r="JIG363" s="1648">
        <v>310040.96500000003</v>
      </c>
      <c r="JIH363" s="1648">
        <v>306104.158</v>
      </c>
      <c r="JII363" s="1648">
        <v>350079.51500000001</v>
      </c>
      <c r="JIJ363" s="1648">
        <v>376736.01</v>
      </c>
      <c r="JIK363" s="1648">
        <v>382165.86499999999</v>
      </c>
      <c r="JIL363" s="1648">
        <v>356897.57900000003</v>
      </c>
      <c r="JIM363" s="635">
        <v>3961904</v>
      </c>
      <c r="JIN363" s="633">
        <f>SUM(JIA363:JIL363)</f>
        <v>3961903.5018060002</v>
      </c>
      <c r="JIO363" s="919" t="s">
        <v>1837</v>
      </c>
      <c r="JIP363" s="1643" t="s">
        <v>1838</v>
      </c>
      <c r="JIQ363" s="1648">
        <v>344028.50012699998</v>
      </c>
      <c r="JIR363" s="1648">
        <v>335387.28629100003</v>
      </c>
      <c r="JIS363" s="1648">
        <v>337602.67972299998</v>
      </c>
      <c r="JIT363" s="1648">
        <v>210440.148116</v>
      </c>
      <c r="JIU363" s="1648">
        <v>330912.82974800002</v>
      </c>
      <c r="JIV363" s="1648">
        <v>321507.96580100001</v>
      </c>
      <c r="JIW363" s="1648">
        <v>310040.96500000003</v>
      </c>
      <c r="JIX363" s="1648">
        <v>306104.158</v>
      </c>
      <c r="JIY363" s="1648">
        <v>350079.51500000001</v>
      </c>
      <c r="JIZ363" s="1648">
        <v>376736.01</v>
      </c>
      <c r="JJA363" s="1648">
        <v>382165.86499999999</v>
      </c>
      <c r="JJB363" s="1648">
        <v>356897.57900000003</v>
      </c>
      <c r="JJC363" s="635">
        <v>3961904</v>
      </c>
      <c r="JJD363" s="633">
        <f>SUM(JIQ363:JJB363)</f>
        <v>3961903.5018060002</v>
      </c>
      <c r="JJE363" s="919" t="s">
        <v>1837</v>
      </c>
      <c r="JJF363" s="1643" t="s">
        <v>1838</v>
      </c>
      <c r="JJG363" s="1648">
        <v>344028.50012699998</v>
      </c>
      <c r="JJH363" s="1648">
        <v>335387.28629100003</v>
      </c>
      <c r="JJI363" s="1648">
        <v>337602.67972299998</v>
      </c>
      <c r="JJJ363" s="1648">
        <v>210440.148116</v>
      </c>
      <c r="JJK363" s="1648">
        <v>330912.82974800002</v>
      </c>
      <c r="JJL363" s="1648">
        <v>321507.96580100001</v>
      </c>
      <c r="JJM363" s="1648">
        <v>310040.96500000003</v>
      </c>
      <c r="JJN363" s="1648">
        <v>306104.158</v>
      </c>
      <c r="JJO363" s="1648">
        <v>350079.51500000001</v>
      </c>
      <c r="JJP363" s="1648">
        <v>376736.01</v>
      </c>
      <c r="JJQ363" s="1648">
        <v>382165.86499999999</v>
      </c>
      <c r="JJR363" s="1648">
        <v>356897.57900000003</v>
      </c>
      <c r="JJS363" s="635">
        <v>3961904</v>
      </c>
      <c r="JJT363" s="633">
        <f>SUM(JJG363:JJR363)</f>
        <v>3961903.5018060002</v>
      </c>
      <c r="JJU363" s="919" t="s">
        <v>1837</v>
      </c>
      <c r="JJV363" s="1643" t="s">
        <v>1838</v>
      </c>
      <c r="JJW363" s="1648">
        <v>344028.50012699998</v>
      </c>
      <c r="JJX363" s="1648">
        <v>335387.28629100003</v>
      </c>
      <c r="JJY363" s="1648">
        <v>337602.67972299998</v>
      </c>
      <c r="JJZ363" s="1648">
        <v>210440.148116</v>
      </c>
      <c r="JKA363" s="1648">
        <v>330912.82974800002</v>
      </c>
      <c r="JKB363" s="1648">
        <v>321507.96580100001</v>
      </c>
      <c r="JKC363" s="1648">
        <v>310040.96500000003</v>
      </c>
      <c r="JKD363" s="1648">
        <v>306104.158</v>
      </c>
      <c r="JKE363" s="1648">
        <v>350079.51500000001</v>
      </c>
      <c r="JKF363" s="1648">
        <v>376736.01</v>
      </c>
      <c r="JKG363" s="1648">
        <v>382165.86499999999</v>
      </c>
      <c r="JKH363" s="1648">
        <v>356897.57900000003</v>
      </c>
      <c r="JKI363" s="635">
        <v>3961904</v>
      </c>
      <c r="JKJ363" s="633">
        <f>SUM(JJW363:JKH363)</f>
        <v>3961903.5018060002</v>
      </c>
      <c r="JKK363" s="919" t="s">
        <v>1837</v>
      </c>
      <c r="JKL363" s="1643" t="s">
        <v>1838</v>
      </c>
      <c r="JKM363" s="1648">
        <v>344028.50012699998</v>
      </c>
      <c r="JKN363" s="1648">
        <v>335387.28629100003</v>
      </c>
      <c r="JKO363" s="1648">
        <v>337602.67972299998</v>
      </c>
      <c r="JKP363" s="1648">
        <v>210440.148116</v>
      </c>
      <c r="JKQ363" s="1648">
        <v>330912.82974800002</v>
      </c>
      <c r="JKR363" s="1648">
        <v>321507.96580100001</v>
      </c>
      <c r="JKS363" s="1648">
        <v>310040.96500000003</v>
      </c>
      <c r="JKT363" s="1648">
        <v>306104.158</v>
      </c>
      <c r="JKU363" s="1648">
        <v>350079.51500000001</v>
      </c>
      <c r="JKV363" s="1648">
        <v>376736.01</v>
      </c>
      <c r="JKW363" s="1648">
        <v>382165.86499999999</v>
      </c>
      <c r="JKX363" s="1648">
        <v>356897.57900000003</v>
      </c>
      <c r="JKY363" s="635">
        <v>3961904</v>
      </c>
      <c r="JKZ363" s="633">
        <f>SUM(JKM363:JKX363)</f>
        <v>3961903.5018060002</v>
      </c>
      <c r="JLA363" s="919" t="s">
        <v>1837</v>
      </c>
      <c r="JLB363" s="1643" t="s">
        <v>1838</v>
      </c>
      <c r="JLC363" s="1648">
        <v>344028.50012699998</v>
      </c>
      <c r="JLD363" s="1648">
        <v>335387.28629100003</v>
      </c>
      <c r="JLE363" s="1648">
        <v>337602.67972299998</v>
      </c>
      <c r="JLF363" s="1648">
        <v>210440.148116</v>
      </c>
      <c r="JLG363" s="1648">
        <v>330912.82974800002</v>
      </c>
      <c r="JLH363" s="1648">
        <v>321507.96580100001</v>
      </c>
      <c r="JLI363" s="1648">
        <v>310040.96500000003</v>
      </c>
      <c r="JLJ363" s="1648">
        <v>306104.158</v>
      </c>
      <c r="JLK363" s="1648">
        <v>350079.51500000001</v>
      </c>
      <c r="JLL363" s="1648">
        <v>376736.01</v>
      </c>
      <c r="JLM363" s="1648">
        <v>382165.86499999999</v>
      </c>
      <c r="JLN363" s="1648">
        <v>356897.57900000003</v>
      </c>
      <c r="JLO363" s="635">
        <v>3961904</v>
      </c>
      <c r="JLP363" s="633">
        <f>SUM(JLC363:JLN363)</f>
        <v>3961903.5018060002</v>
      </c>
      <c r="JLQ363" s="919" t="s">
        <v>1837</v>
      </c>
      <c r="JLR363" s="1643" t="s">
        <v>1838</v>
      </c>
      <c r="JLS363" s="1648">
        <v>344028.50012699998</v>
      </c>
      <c r="JLT363" s="1648">
        <v>335387.28629100003</v>
      </c>
      <c r="JLU363" s="1648">
        <v>337602.67972299998</v>
      </c>
      <c r="JLV363" s="1648">
        <v>210440.148116</v>
      </c>
      <c r="JLW363" s="1648">
        <v>330912.82974800002</v>
      </c>
      <c r="JLX363" s="1648">
        <v>321507.96580100001</v>
      </c>
      <c r="JLY363" s="1648">
        <v>310040.96500000003</v>
      </c>
      <c r="JLZ363" s="1648">
        <v>306104.158</v>
      </c>
      <c r="JMA363" s="1648">
        <v>350079.51500000001</v>
      </c>
      <c r="JMB363" s="1648">
        <v>376736.01</v>
      </c>
      <c r="JMC363" s="1648">
        <v>382165.86499999999</v>
      </c>
      <c r="JMD363" s="1648">
        <v>356897.57900000003</v>
      </c>
      <c r="JME363" s="635">
        <v>3961904</v>
      </c>
      <c r="JMF363" s="633">
        <f>SUM(JLS363:JMD363)</f>
        <v>3961903.5018060002</v>
      </c>
      <c r="JMG363" s="919" t="s">
        <v>1837</v>
      </c>
      <c r="JMH363" s="1643" t="s">
        <v>1838</v>
      </c>
      <c r="JMI363" s="1648">
        <v>344028.50012699998</v>
      </c>
      <c r="JMJ363" s="1648">
        <v>335387.28629100003</v>
      </c>
      <c r="JMK363" s="1648">
        <v>337602.67972299998</v>
      </c>
      <c r="JML363" s="1648">
        <v>210440.148116</v>
      </c>
      <c r="JMM363" s="1648">
        <v>330912.82974800002</v>
      </c>
      <c r="JMN363" s="1648">
        <v>321507.96580100001</v>
      </c>
      <c r="JMO363" s="1648">
        <v>310040.96500000003</v>
      </c>
      <c r="JMP363" s="1648">
        <v>306104.158</v>
      </c>
      <c r="JMQ363" s="1648">
        <v>350079.51500000001</v>
      </c>
      <c r="JMR363" s="1648">
        <v>376736.01</v>
      </c>
      <c r="JMS363" s="1648">
        <v>382165.86499999999</v>
      </c>
      <c r="JMT363" s="1648">
        <v>356897.57900000003</v>
      </c>
      <c r="JMU363" s="635">
        <v>3961904</v>
      </c>
      <c r="JMV363" s="633">
        <f>SUM(JMI363:JMT363)</f>
        <v>3961903.5018060002</v>
      </c>
      <c r="JMW363" s="919" t="s">
        <v>1837</v>
      </c>
      <c r="JMX363" s="1643" t="s">
        <v>1838</v>
      </c>
      <c r="JMY363" s="1648">
        <v>344028.50012699998</v>
      </c>
      <c r="JMZ363" s="1648">
        <v>335387.28629100003</v>
      </c>
      <c r="JNA363" s="1648">
        <v>337602.67972299998</v>
      </c>
      <c r="JNB363" s="1648">
        <v>210440.148116</v>
      </c>
      <c r="JNC363" s="1648">
        <v>330912.82974800002</v>
      </c>
      <c r="JND363" s="1648">
        <v>321507.96580100001</v>
      </c>
      <c r="JNE363" s="1648">
        <v>310040.96500000003</v>
      </c>
      <c r="JNF363" s="1648">
        <v>306104.158</v>
      </c>
      <c r="JNG363" s="1648">
        <v>350079.51500000001</v>
      </c>
      <c r="JNH363" s="1648">
        <v>376736.01</v>
      </c>
      <c r="JNI363" s="1648">
        <v>382165.86499999999</v>
      </c>
      <c r="JNJ363" s="1648">
        <v>356897.57900000003</v>
      </c>
      <c r="JNK363" s="635">
        <v>3961904</v>
      </c>
      <c r="JNL363" s="633">
        <f>SUM(JMY363:JNJ363)</f>
        <v>3961903.5018060002</v>
      </c>
      <c r="JNM363" s="919" t="s">
        <v>1837</v>
      </c>
      <c r="JNN363" s="1643" t="s">
        <v>1838</v>
      </c>
      <c r="JNO363" s="1648">
        <v>344028.50012699998</v>
      </c>
      <c r="JNP363" s="1648">
        <v>335387.28629100003</v>
      </c>
      <c r="JNQ363" s="1648">
        <v>337602.67972299998</v>
      </c>
      <c r="JNR363" s="1648">
        <v>210440.148116</v>
      </c>
      <c r="JNS363" s="1648">
        <v>330912.82974800002</v>
      </c>
      <c r="JNT363" s="1648">
        <v>321507.96580100001</v>
      </c>
      <c r="JNU363" s="1648">
        <v>310040.96500000003</v>
      </c>
      <c r="JNV363" s="1648">
        <v>306104.158</v>
      </c>
      <c r="JNW363" s="1648">
        <v>350079.51500000001</v>
      </c>
      <c r="JNX363" s="1648">
        <v>376736.01</v>
      </c>
      <c r="JNY363" s="1648">
        <v>382165.86499999999</v>
      </c>
      <c r="JNZ363" s="1648">
        <v>356897.57900000003</v>
      </c>
      <c r="JOA363" s="635">
        <v>3961904</v>
      </c>
      <c r="JOB363" s="633">
        <f>SUM(JNO363:JNZ363)</f>
        <v>3961903.5018060002</v>
      </c>
      <c r="JOC363" s="919" t="s">
        <v>1837</v>
      </c>
      <c r="JOD363" s="1643" t="s">
        <v>1838</v>
      </c>
      <c r="JOE363" s="1648">
        <v>344028.50012699998</v>
      </c>
      <c r="JOF363" s="1648">
        <v>335387.28629100003</v>
      </c>
      <c r="JOG363" s="1648">
        <v>337602.67972299998</v>
      </c>
      <c r="JOH363" s="1648">
        <v>210440.148116</v>
      </c>
      <c r="JOI363" s="1648">
        <v>330912.82974800002</v>
      </c>
      <c r="JOJ363" s="1648">
        <v>321507.96580100001</v>
      </c>
      <c r="JOK363" s="1648">
        <v>310040.96500000003</v>
      </c>
      <c r="JOL363" s="1648">
        <v>306104.158</v>
      </c>
      <c r="JOM363" s="1648">
        <v>350079.51500000001</v>
      </c>
      <c r="JON363" s="1648">
        <v>376736.01</v>
      </c>
      <c r="JOO363" s="1648">
        <v>382165.86499999999</v>
      </c>
      <c r="JOP363" s="1648">
        <v>356897.57900000003</v>
      </c>
      <c r="JOQ363" s="635">
        <v>3961904</v>
      </c>
      <c r="JOR363" s="633">
        <f>SUM(JOE363:JOP363)</f>
        <v>3961903.5018060002</v>
      </c>
      <c r="JOS363" s="919" t="s">
        <v>1837</v>
      </c>
      <c r="JOT363" s="1643" t="s">
        <v>1838</v>
      </c>
      <c r="JOU363" s="1648">
        <v>344028.50012699998</v>
      </c>
      <c r="JOV363" s="1648">
        <v>335387.28629100003</v>
      </c>
      <c r="JOW363" s="1648">
        <v>337602.67972299998</v>
      </c>
      <c r="JOX363" s="1648">
        <v>210440.148116</v>
      </c>
      <c r="JOY363" s="1648">
        <v>330912.82974800002</v>
      </c>
      <c r="JOZ363" s="1648">
        <v>321507.96580100001</v>
      </c>
      <c r="JPA363" s="1648">
        <v>310040.96500000003</v>
      </c>
      <c r="JPB363" s="1648">
        <v>306104.158</v>
      </c>
      <c r="JPC363" s="1648">
        <v>350079.51500000001</v>
      </c>
      <c r="JPD363" s="1648">
        <v>376736.01</v>
      </c>
      <c r="JPE363" s="1648">
        <v>382165.86499999999</v>
      </c>
      <c r="JPF363" s="1648">
        <v>356897.57900000003</v>
      </c>
      <c r="JPG363" s="635">
        <v>3961904</v>
      </c>
      <c r="JPH363" s="633">
        <f>SUM(JOU363:JPF363)</f>
        <v>3961903.5018060002</v>
      </c>
      <c r="JPI363" s="919" t="s">
        <v>1837</v>
      </c>
      <c r="JPJ363" s="1643" t="s">
        <v>1838</v>
      </c>
      <c r="JPK363" s="1648">
        <v>344028.50012699998</v>
      </c>
      <c r="JPL363" s="1648">
        <v>335387.28629100003</v>
      </c>
      <c r="JPM363" s="1648">
        <v>337602.67972299998</v>
      </c>
      <c r="JPN363" s="1648">
        <v>210440.148116</v>
      </c>
      <c r="JPO363" s="1648">
        <v>330912.82974800002</v>
      </c>
      <c r="JPP363" s="1648">
        <v>321507.96580100001</v>
      </c>
      <c r="JPQ363" s="1648">
        <v>310040.96500000003</v>
      </c>
      <c r="JPR363" s="1648">
        <v>306104.158</v>
      </c>
      <c r="JPS363" s="1648">
        <v>350079.51500000001</v>
      </c>
      <c r="JPT363" s="1648">
        <v>376736.01</v>
      </c>
      <c r="JPU363" s="1648">
        <v>382165.86499999999</v>
      </c>
      <c r="JPV363" s="1648">
        <v>356897.57900000003</v>
      </c>
      <c r="JPW363" s="635">
        <v>3961904</v>
      </c>
      <c r="JPX363" s="633">
        <f>SUM(JPK363:JPV363)</f>
        <v>3961903.5018060002</v>
      </c>
      <c r="JPY363" s="919" t="s">
        <v>1837</v>
      </c>
      <c r="JPZ363" s="1643" t="s">
        <v>1838</v>
      </c>
      <c r="JQA363" s="1648">
        <v>344028.50012699998</v>
      </c>
      <c r="JQB363" s="1648">
        <v>335387.28629100003</v>
      </c>
      <c r="JQC363" s="1648">
        <v>337602.67972299998</v>
      </c>
      <c r="JQD363" s="1648">
        <v>210440.148116</v>
      </c>
      <c r="JQE363" s="1648">
        <v>330912.82974800002</v>
      </c>
      <c r="JQF363" s="1648">
        <v>321507.96580100001</v>
      </c>
      <c r="JQG363" s="1648">
        <v>310040.96500000003</v>
      </c>
      <c r="JQH363" s="1648">
        <v>306104.158</v>
      </c>
      <c r="JQI363" s="1648">
        <v>350079.51500000001</v>
      </c>
      <c r="JQJ363" s="1648">
        <v>376736.01</v>
      </c>
      <c r="JQK363" s="1648">
        <v>382165.86499999999</v>
      </c>
      <c r="JQL363" s="1648">
        <v>356897.57900000003</v>
      </c>
      <c r="JQM363" s="635">
        <v>3961904</v>
      </c>
      <c r="JQN363" s="633">
        <f>SUM(JQA363:JQL363)</f>
        <v>3961903.5018060002</v>
      </c>
      <c r="JQO363" s="919" t="s">
        <v>1837</v>
      </c>
      <c r="JQP363" s="1643" t="s">
        <v>1838</v>
      </c>
      <c r="JQQ363" s="1648">
        <v>344028.50012699998</v>
      </c>
      <c r="JQR363" s="1648">
        <v>335387.28629100003</v>
      </c>
      <c r="JQS363" s="1648">
        <v>337602.67972299998</v>
      </c>
      <c r="JQT363" s="1648">
        <v>210440.148116</v>
      </c>
      <c r="JQU363" s="1648">
        <v>330912.82974800002</v>
      </c>
      <c r="JQV363" s="1648">
        <v>321507.96580100001</v>
      </c>
      <c r="JQW363" s="1648">
        <v>310040.96500000003</v>
      </c>
      <c r="JQX363" s="1648">
        <v>306104.158</v>
      </c>
      <c r="JQY363" s="1648">
        <v>350079.51500000001</v>
      </c>
      <c r="JQZ363" s="1648">
        <v>376736.01</v>
      </c>
      <c r="JRA363" s="1648">
        <v>382165.86499999999</v>
      </c>
      <c r="JRB363" s="1648">
        <v>356897.57900000003</v>
      </c>
      <c r="JRC363" s="635">
        <v>3961904</v>
      </c>
      <c r="JRD363" s="633">
        <f>SUM(JQQ363:JRB363)</f>
        <v>3961903.5018060002</v>
      </c>
      <c r="JRE363" s="919" t="s">
        <v>1837</v>
      </c>
      <c r="JRF363" s="1643" t="s">
        <v>1838</v>
      </c>
      <c r="JRG363" s="1648">
        <v>344028.50012699998</v>
      </c>
      <c r="JRH363" s="1648">
        <v>335387.28629100003</v>
      </c>
      <c r="JRI363" s="1648">
        <v>337602.67972299998</v>
      </c>
      <c r="JRJ363" s="1648">
        <v>210440.148116</v>
      </c>
      <c r="JRK363" s="1648">
        <v>330912.82974800002</v>
      </c>
      <c r="JRL363" s="1648">
        <v>321507.96580100001</v>
      </c>
      <c r="JRM363" s="1648">
        <v>310040.96500000003</v>
      </c>
      <c r="JRN363" s="1648">
        <v>306104.158</v>
      </c>
      <c r="JRO363" s="1648">
        <v>350079.51500000001</v>
      </c>
      <c r="JRP363" s="1648">
        <v>376736.01</v>
      </c>
      <c r="JRQ363" s="1648">
        <v>382165.86499999999</v>
      </c>
      <c r="JRR363" s="1648">
        <v>356897.57900000003</v>
      </c>
      <c r="JRS363" s="635">
        <v>3961904</v>
      </c>
      <c r="JRT363" s="633">
        <f>SUM(JRG363:JRR363)</f>
        <v>3961903.5018060002</v>
      </c>
      <c r="JRU363" s="919" t="s">
        <v>1837</v>
      </c>
      <c r="JRV363" s="1643" t="s">
        <v>1838</v>
      </c>
      <c r="JRW363" s="1648">
        <v>344028.50012699998</v>
      </c>
      <c r="JRX363" s="1648">
        <v>335387.28629100003</v>
      </c>
      <c r="JRY363" s="1648">
        <v>337602.67972299998</v>
      </c>
      <c r="JRZ363" s="1648">
        <v>210440.148116</v>
      </c>
      <c r="JSA363" s="1648">
        <v>330912.82974800002</v>
      </c>
      <c r="JSB363" s="1648">
        <v>321507.96580100001</v>
      </c>
      <c r="JSC363" s="1648">
        <v>310040.96500000003</v>
      </c>
      <c r="JSD363" s="1648">
        <v>306104.158</v>
      </c>
      <c r="JSE363" s="1648">
        <v>350079.51500000001</v>
      </c>
      <c r="JSF363" s="1648">
        <v>376736.01</v>
      </c>
      <c r="JSG363" s="1648">
        <v>382165.86499999999</v>
      </c>
      <c r="JSH363" s="1648">
        <v>356897.57900000003</v>
      </c>
      <c r="JSI363" s="635">
        <v>3961904</v>
      </c>
      <c r="JSJ363" s="633">
        <f>SUM(JRW363:JSH363)</f>
        <v>3961903.5018060002</v>
      </c>
      <c r="JSK363" s="919" t="s">
        <v>1837</v>
      </c>
      <c r="JSL363" s="1643" t="s">
        <v>1838</v>
      </c>
      <c r="JSM363" s="1648">
        <v>344028.50012699998</v>
      </c>
      <c r="JSN363" s="1648">
        <v>335387.28629100003</v>
      </c>
      <c r="JSO363" s="1648">
        <v>337602.67972299998</v>
      </c>
      <c r="JSP363" s="1648">
        <v>210440.148116</v>
      </c>
      <c r="JSQ363" s="1648">
        <v>330912.82974800002</v>
      </c>
      <c r="JSR363" s="1648">
        <v>321507.96580100001</v>
      </c>
      <c r="JSS363" s="1648">
        <v>310040.96500000003</v>
      </c>
      <c r="JST363" s="1648">
        <v>306104.158</v>
      </c>
      <c r="JSU363" s="1648">
        <v>350079.51500000001</v>
      </c>
      <c r="JSV363" s="1648">
        <v>376736.01</v>
      </c>
      <c r="JSW363" s="1648">
        <v>382165.86499999999</v>
      </c>
      <c r="JSX363" s="1648">
        <v>356897.57900000003</v>
      </c>
      <c r="JSY363" s="635">
        <v>3961904</v>
      </c>
      <c r="JSZ363" s="633">
        <f>SUM(JSM363:JSX363)</f>
        <v>3961903.5018060002</v>
      </c>
      <c r="JTA363" s="919" t="s">
        <v>1837</v>
      </c>
      <c r="JTB363" s="1643" t="s">
        <v>1838</v>
      </c>
      <c r="JTC363" s="1648">
        <v>344028.50012699998</v>
      </c>
      <c r="JTD363" s="1648">
        <v>335387.28629100003</v>
      </c>
      <c r="JTE363" s="1648">
        <v>337602.67972299998</v>
      </c>
      <c r="JTF363" s="1648">
        <v>210440.148116</v>
      </c>
      <c r="JTG363" s="1648">
        <v>330912.82974800002</v>
      </c>
      <c r="JTH363" s="1648">
        <v>321507.96580100001</v>
      </c>
      <c r="JTI363" s="1648">
        <v>310040.96500000003</v>
      </c>
      <c r="JTJ363" s="1648">
        <v>306104.158</v>
      </c>
      <c r="JTK363" s="1648">
        <v>350079.51500000001</v>
      </c>
      <c r="JTL363" s="1648">
        <v>376736.01</v>
      </c>
      <c r="JTM363" s="1648">
        <v>382165.86499999999</v>
      </c>
      <c r="JTN363" s="1648">
        <v>356897.57900000003</v>
      </c>
      <c r="JTO363" s="635">
        <v>3961904</v>
      </c>
      <c r="JTP363" s="633">
        <f>SUM(JTC363:JTN363)</f>
        <v>3961903.5018060002</v>
      </c>
      <c r="JTQ363" s="919" t="s">
        <v>1837</v>
      </c>
      <c r="JTR363" s="1643" t="s">
        <v>1838</v>
      </c>
      <c r="JTS363" s="1648">
        <v>344028.50012699998</v>
      </c>
      <c r="JTT363" s="1648">
        <v>335387.28629100003</v>
      </c>
      <c r="JTU363" s="1648">
        <v>337602.67972299998</v>
      </c>
      <c r="JTV363" s="1648">
        <v>210440.148116</v>
      </c>
      <c r="JTW363" s="1648">
        <v>330912.82974800002</v>
      </c>
      <c r="JTX363" s="1648">
        <v>321507.96580100001</v>
      </c>
      <c r="JTY363" s="1648">
        <v>310040.96500000003</v>
      </c>
      <c r="JTZ363" s="1648">
        <v>306104.158</v>
      </c>
      <c r="JUA363" s="1648">
        <v>350079.51500000001</v>
      </c>
      <c r="JUB363" s="1648">
        <v>376736.01</v>
      </c>
      <c r="JUC363" s="1648">
        <v>382165.86499999999</v>
      </c>
      <c r="JUD363" s="1648">
        <v>356897.57900000003</v>
      </c>
      <c r="JUE363" s="635">
        <v>3961904</v>
      </c>
      <c r="JUF363" s="633">
        <f>SUM(JTS363:JUD363)</f>
        <v>3961903.5018060002</v>
      </c>
      <c r="JUG363" s="919" t="s">
        <v>1837</v>
      </c>
      <c r="JUH363" s="1643" t="s">
        <v>1838</v>
      </c>
      <c r="JUI363" s="1648">
        <v>344028.50012699998</v>
      </c>
      <c r="JUJ363" s="1648">
        <v>335387.28629100003</v>
      </c>
      <c r="JUK363" s="1648">
        <v>337602.67972299998</v>
      </c>
      <c r="JUL363" s="1648">
        <v>210440.148116</v>
      </c>
      <c r="JUM363" s="1648">
        <v>330912.82974800002</v>
      </c>
      <c r="JUN363" s="1648">
        <v>321507.96580100001</v>
      </c>
      <c r="JUO363" s="1648">
        <v>310040.96500000003</v>
      </c>
      <c r="JUP363" s="1648">
        <v>306104.158</v>
      </c>
      <c r="JUQ363" s="1648">
        <v>350079.51500000001</v>
      </c>
      <c r="JUR363" s="1648">
        <v>376736.01</v>
      </c>
      <c r="JUS363" s="1648">
        <v>382165.86499999999</v>
      </c>
      <c r="JUT363" s="1648">
        <v>356897.57900000003</v>
      </c>
      <c r="JUU363" s="635">
        <v>3961904</v>
      </c>
      <c r="JUV363" s="633">
        <f>SUM(JUI363:JUT363)</f>
        <v>3961903.5018060002</v>
      </c>
      <c r="JUW363" s="919" t="s">
        <v>1837</v>
      </c>
      <c r="JUX363" s="1643" t="s">
        <v>1838</v>
      </c>
      <c r="JUY363" s="1648">
        <v>344028.50012699998</v>
      </c>
      <c r="JUZ363" s="1648">
        <v>335387.28629100003</v>
      </c>
      <c r="JVA363" s="1648">
        <v>337602.67972299998</v>
      </c>
      <c r="JVB363" s="1648">
        <v>210440.148116</v>
      </c>
      <c r="JVC363" s="1648">
        <v>330912.82974800002</v>
      </c>
      <c r="JVD363" s="1648">
        <v>321507.96580100001</v>
      </c>
      <c r="JVE363" s="1648">
        <v>310040.96500000003</v>
      </c>
      <c r="JVF363" s="1648">
        <v>306104.158</v>
      </c>
      <c r="JVG363" s="1648">
        <v>350079.51500000001</v>
      </c>
      <c r="JVH363" s="1648">
        <v>376736.01</v>
      </c>
      <c r="JVI363" s="1648">
        <v>382165.86499999999</v>
      </c>
      <c r="JVJ363" s="1648">
        <v>356897.57900000003</v>
      </c>
      <c r="JVK363" s="635">
        <v>3961904</v>
      </c>
      <c r="JVL363" s="633">
        <f>SUM(JUY363:JVJ363)</f>
        <v>3961903.5018060002</v>
      </c>
      <c r="JVM363" s="919" t="s">
        <v>1837</v>
      </c>
      <c r="JVN363" s="1643" t="s">
        <v>1838</v>
      </c>
      <c r="JVO363" s="1648">
        <v>344028.50012699998</v>
      </c>
      <c r="JVP363" s="1648">
        <v>335387.28629100003</v>
      </c>
      <c r="JVQ363" s="1648">
        <v>337602.67972299998</v>
      </c>
      <c r="JVR363" s="1648">
        <v>210440.148116</v>
      </c>
      <c r="JVS363" s="1648">
        <v>330912.82974800002</v>
      </c>
      <c r="JVT363" s="1648">
        <v>321507.96580100001</v>
      </c>
      <c r="JVU363" s="1648">
        <v>310040.96500000003</v>
      </c>
      <c r="JVV363" s="1648">
        <v>306104.158</v>
      </c>
      <c r="JVW363" s="1648">
        <v>350079.51500000001</v>
      </c>
      <c r="JVX363" s="1648">
        <v>376736.01</v>
      </c>
      <c r="JVY363" s="1648">
        <v>382165.86499999999</v>
      </c>
      <c r="JVZ363" s="1648">
        <v>356897.57900000003</v>
      </c>
      <c r="JWA363" s="635">
        <v>3961904</v>
      </c>
      <c r="JWB363" s="633">
        <f>SUM(JVO363:JVZ363)</f>
        <v>3961903.5018060002</v>
      </c>
      <c r="JWC363" s="919" t="s">
        <v>1837</v>
      </c>
      <c r="JWD363" s="1643" t="s">
        <v>1838</v>
      </c>
      <c r="JWE363" s="1648">
        <v>344028.50012699998</v>
      </c>
      <c r="JWF363" s="1648">
        <v>335387.28629100003</v>
      </c>
      <c r="JWG363" s="1648">
        <v>337602.67972299998</v>
      </c>
      <c r="JWH363" s="1648">
        <v>210440.148116</v>
      </c>
      <c r="JWI363" s="1648">
        <v>330912.82974800002</v>
      </c>
      <c r="JWJ363" s="1648">
        <v>321507.96580100001</v>
      </c>
      <c r="JWK363" s="1648">
        <v>310040.96500000003</v>
      </c>
      <c r="JWL363" s="1648">
        <v>306104.158</v>
      </c>
      <c r="JWM363" s="1648">
        <v>350079.51500000001</v>
      </c>
      <c r="JWN363" s="1648">
        <v>376736.01</v>
      </c>
      <c r="JWO363" s="1648">
        <v>382165.86499999999</v>
      </c>
      <c r="JWP363" s="1648">
        <v>356897.57900000003</v>
      </c>
      <c r="JWQ363" s="635">
        <v>3961904</v>
      </c>
      <c r="JWR363" s="633">
        <f>SUM(JWE363:JWP363)</f>
        <v>3961903.5018060002</v>
      </c>
      <c r="JWS363" s="919" t="s">
        <v>1837</v>
      </c>
      <c r="JWT363" s="1643" t="s">
        <v>1838</v>
      </c>
      <c r="JWU363" s="1648">
        <v>344028.50012699998</v>
      </c>
      <c r="JWV363" s="1648">
        <v>335387.28629100003</v>
      </c>
      <c r="JWW363" s="1648">
        <v>337602.67972299998</v>
      </c>
      <c r="JWX363" s="1648">
        <v>210440.148116</v>
      </c>
      <c r="JWY363" s="1648">
        <v>330912.82974800002</v>
      </c>
      <c r="JWZ363" s="1648">
        <v>321507.96580100001</v>
      </c>
      <c r="JXA363" s="1648">
        <v>310040.96500000003</v>
      </c>
      <c r="JXB363" s="1648">
        <v>306104.158</v>
      </c>
      <c r="JXC363" s="1648">
        <v>350079.51500000001</v>
      </c>
      <c r="JXD363" s="1648">
        <v>376736.01</v>
      </c>
      <c r="JXE363" s="1648">
        <v>382165.86499999999</v>
      </c>
      <c r="JXF363" s="1648">
        <v>356897.57900000003</v>
      </c>
      <c r="JXG363" s="635">
        <v>3961904</v>
      </c>
      <c r="JXH363" s="633">
        <f>SUM(JWU363:JXF363)</f>
        <v>3961903.5018060002</v>
      </c>
      <c r="JXI363" s="919" t="s">
        <v>1837</v>
      </c>
      <c r="JXJ363" s="1643" t="s">
        <v>1838</v>
      </c>
      <c r="JXK363" s="1648">
        <v>344028.50012699998</v>
      </c>
      <c r="JXL363" s="1648">
        <v>335387.28629100003</v>
      </c>
      <c r="JXM363" s="1648">
        <v>337602.67972299998</v>
      </c>
      <c r="JXN363" s="1648">
        <v>210440.148116</v>
      </c>
      <c r="JXO363" s="1648">
        <v>330912.82974800002</v>
      </c>
      <c r="JXP363" s="1648">
        <v>321507.96580100001</v>
      </c>
      <c r="JXQ363" s="1648">
        <v>310040.96500000003</v>
      </c>
      <c r="JXR363" s="1648">
        <v>306104.158</v>
      </c>
      <c r="JXS363" s="1648">
        <v>350079.51500000001</v>
      </c>
      <c r="JXT363" s="1648">
        <v>376736.01</v>
      </c>
      <c r="JXU363" s="1648">
        <v>382165.86499999999</v>
      </c>
      <c r="JXV363" s="1648">
        <v>356897.57900000003</v>
      </c>
      <c r="JXW363" s="635">
        <v>3961904</v>
      </c>
      <c r="JXX363" s="633">
        <f>SUM(JXK363:JXV363)</f>
        <v>3961903.5018060002</v>
      </c>
      <c r="JXY363" s="919" t="s">
        <v>1837</v>
      </c>
      <c r="JXZ363" s="1643" t="s">
        <v>1838</v>
      </c>
      <c r="JYA363" s="1648">
        <v>344028.50012699998</v>
      </c>
      <c r="JYB363" s="1648">
        <v>335387.28629100003</v>
      </c>
      <c r="JYC363" s="1648">
        <v>337602.67972299998</v>
      </c>
      <c r="JYD363" s="1648">
        <v>210440.148116</v>
      </c>
      <c r="JYE363" s="1648">
        <v>330912.82974800002</v>
      </c>
      <c r="JYF363" s="1648">
        <v>321507.96580100001</v>
      </c>
      <c r="JYG363" s="1648">
        <v>310040.96500000003</v>
      </c>
      <c r="JYH363" s="1648">
        <v>306104.158</v>
      </c>
      <c r="JYI363" s="1648">
        <v>350079.51500000001</v>
      </c>
      <c r="JYJ363" s="1648">
        <v>376736.01</v>
      </c>
      <c r="JYK363" s="1648">
        <v>382165.86499999999</v>
      </c>
      <c r="JYL363" s="1648">
        <v>356897.57900000003</v>
      </c>
      <c r="JYM363" s="635">
        <v>3961904</v>
      </c>
      <c r="JYN363" s="633">
        <f>SUM(JYA363:JYL363)</f>
        <v>3961903.5018060002</v>
      </c>
      <c r="JYO363" s="919" t="s">
        <v>1837</v>
      </c>
      <c r="JYP363" s="1643" t="s">
        <v>1838</v>
      </c>
      <c r="JYQ363" s="1648">
        <v>344028.50012699998</v>
      </c>
      <c r="JYR363" s="1648">
        <v>335387.28629100003</v>
      </c>
      <c r="JYS363" s="1648">
        <v>337602.67972299998</v>
      </c>
      <c r="JYT363" s="1648">
        <v>210440.148116</v>
      </c>
      <c r="JYU363" s="1648">
        <v>330912.82974800002</v>
      </c>
      <c r="JYV363" s="1648">
        <v>321507.96580100001</v>
      </c>
      <c r="JYW363" s="1648">
        <v>310040.96500000003</v>
      </c>
      <c r="JYX363" s="1648">
        <v>306104.158</v>
      </c>
      <c r="JYY363" s="1648">
        <v>350079.51500000001</v>
      </c>
      <c r="JYZ363" s="1648">
        <v>376736.01</v>
      </c>
      <c r="JZA363" s="1648">
        <v>382165.86499999999</v>
      </c>
      <c r="JZB363" s="1648">
        <v>356897.57900000003</v>
      </c>
      <c r="JZC363" s="635">
        <v>3961904</v>
      </c>
      <c r="JZD363" s="633">
        <f>SUM(JYQ363:JZB363)</f>
        <v>3961903.5018060002</v>
      </c>
      <c r="JZE363" s="919" t="s">
        <v>1837</v>
      </c>
      <c r="JZF363" s="1643" t="s">
        <v>1838</v>
      </c>
      <c r="JZG363" s="1648">
        <v>344028.50012699998</v>
      </c>
      <c r="JZH363" s="1648">
        <v>335387.28629100003</v>
      </c>
      <c r="JZI363" s="1648">
        <v>337602.67972299998</v>
      </c>
      <c r="JZJ363" s="1648">
        <v>210440.148116</v>
      </c>
      <c r="JZK363" s="1648">
        <v>330912.82974800002</v>
      </c>
      <c r="JZL363" s="1648">
        <v>321507.96580100001</v>
      </c>
      <c r="JZM363" s="1648">
        <v>310040.96500000003</v>
      </c>
      <c r="JZN363" s="1648">
        <v>306104.158</v>
      </c>
      <c r="JZO363" s="1648">
        <v>350079.51500000001</v>
      </c>
      <c r="JZP363" s="1648">
        <v>376736.01</v>
      </c>
      <c r="JZQ363" s="1648">
        <v>382165.86499999999</v>
      </c>
      <c r="JZR363" s="1648">
        <v>356897.57900000003</v>
      </c>
      <c r="JZS363" s="635">
        <v>3961904</v>
      </c>
      <c r="JZT363" s="633">
        <f>SUM(JZG363:JZR363)</f>
        <v>3961903.5018060002</v>
      </c>
      <c r="JZU363" s="919" t="s">
        <v>1837</v>
      </c>
      <c r="JZV363" s="1643" t="s">
        <v>1838</v>
      </c>
      <c r="JZW363" s="1648">
        <v>344028.50012699998</v>
      </c>
      <c r="JZX363" s="1648">
        <v>335387.28629100003</v>
      </c>
      <c r="JZY363" s="1648">
        <v>337602.67972299998</v>
      </c>
      <c r="JZZ363" s="1648">
        <v>210440.148116</v>
      </c>
      <c r="KAA363" s="1648">
        <v>330912.82974800002</v>
      </c>
      <c r="KAB363" s="1648">
        <v>321507.96580100001</v>
      </c>
      <c r="KAC363" s="1648">
        <v>310040.96500000003</v>
      </c>
      <c r="KAD363" s="1648">
        <v>306104.158</v>
      </c>
      <c r="KAE363" s="1648">
        <v>350079.51500000001</v>
      </c>
      <c r="KAF363" s="1648">
        <v>376736.01</v>
      </c>
      <c r="KAG363" s="1648">
        <v>382165.86499999999</v>
      </c>
      <c r="KAH363" s="1648">
        <v>356897.57900000003</v>
      </c>
      <c r="KAI363" s="635">
        <v>3961904</v>
      </c>
      <c r="KAJ363" s="633">
        <f>SUM(JZW363:KAH363)</f>
        <v>3961903.5018060002</v>
      </c>
      <c r="KAK363" s="919" t="s">
        <v>1837</v>
      </c>
      <c r="KAL363" s="1643" t="s">
        <v>1838</v>
      </c>
      <c r="KAM363" s="1648">
        <v>344028.50012699998</v>
      </c>
      <c r="KAN363" s="1648">
        <v>335387.28629100003</v>
      </c>
      <c r="KAO363" s="1648">
        <v>337602.67972299998</v>
      </c>
      <c r="KAP363" s="1648">
        <v>210440.148116</v>
      </c>
      <c r="KAQ363" s="1648">
        <v>330912.82974800002</v>
      </c>
      <c r="KAR363" s="1648">
        <v>321507.96580100001</v>
      </c>
      <c r="KAS363" s="1648">
        <v>310040.96500000003</v>
      </c>
      <c r="KAT363" s="1648">
        <v>306104.158</v>
      </c>
      <c r="KAU363" s="1648">
        <v>350079.51500000001</v>
      </c>
      <c r="KAV363" s="1648">
        <v>376736.01</v>
      </c>
      <c r="KAW363" s="1648">
        <v>382165.86499999999</v>
      </c>
      <c r="KAX363" s="1648">
        <v>356897.57900000003</v>
      </c>
      <c r="KAY363" s="635">
        <v>3961904</v>
      </c>
      <c r="KAZ363" s="633">
        <f>SUM(KAM363:KAX363)</f>
        <v>3961903.5018060002</v>
      </c>
      <c r="KBA363" s="919" t="s">
        <v>1837</v>
      </c>
      <c r="KBB363" s="1643" t="s">
        <v>1838</v>
      </c>
      <c r="KBC363" s="1648">
        <v>344028.50012699998</v>
      </c>
      <c r="KBD363" s="1648">
        <v>335387.28629100003</v>
      </c>
      <c r="KBE363" s="1648">
        <v>337602.67972299998</v>
      </c>
      <c r="KBF363" s="1648">
        <v>210440.148116</v>
      </c>
      <c r="KBG363" s="1648">
        <v>330912.82974800002</v>
      </c>
      <c r="KBH363" s="1648">
        <v>321507.96580100001</v>
      </c>
      <c r="KBI363" s="1648">
        <v>310040.96500000003</v>
      </c>
      <c r="KBJ363" s="1648">
        <v>306104.158</v>
      </c>
      <c r="KBK363" s="1648">
        <v>350079.51500000001</v>
      </c>
      <c r="KBL363" s="1648">
        <v>376736.01</v>
      </c>
      <c r="KBM363" s="1648">
        <v>382165.86499999999</v>
      </c>
      <c r="KBN363" s="1648">
        <v>356897.57900000003</v>
      </c>
      <c r="KBO363" s="635">
        <v>3961904</v>
      </c>
      <c r="KBP363" s="633">
        <f>SUM(KBC363:KBN363)</f>
        <v>3961903.5018060002</v>
      </c>
      <c r="KBQ363" s="919" t="s">
        <v>1837</v>
      </c>
      <c r="KBR363" s="1643" t="s">
        <v>1838</v>
      </c>
      <c r="KBS363" s="1648">
        <v>344028.50012699998</v>
      </c>
      <c r="KBT363" s="1648">
        <v>335387.28629100003</v>
      </c>
      <c r="KBU363" s="1648">
        <v>337602.67972299998</v>
      </c>
      <c r="KBV363" s="1648">
        <v>210440.148116</v>
      </c>
      <c r="KBW363" s="1648">
        <v>330912.82974800002</v>
      </c>
      <c r="KBX363" s="1648">
        <v>321507.96580100001</v>
      </c>
      <c r="KBY363" s="1648">
        <v>310040.96500000003</v>
      </c>
      <c r="KBZ363" s="1648">
        <v>306104.158</v>
      </c>
      <c r="KCA363" s="1648">
        <v>350079.51500000001</v>
      </c>
      <c r="KCB363" s="1648">
        <v>376736.01</v>
      </c>
      <c r="KCC363" s="1648">
        <v>382165.86499999999</v>
      </c>
      <c r="KCD363" s="1648">
        <v>356897.57900000003</v>
      </c>
      <c r="KCE363" s="635">
        <v>3961904</v>
      </c>
      <c r="KCF363" s="633">
        <f>SUM(KBS363:KCD363)</f>
        <v>3961903.5018060002</v>
      </c>
      <c r="KCG363" s="919" t="s">
        <v>1837</v>
      </c>
      <c r="KCH363" s="1643" t="s">
        <v>1838</v>
      </c>
      <c r="KCI363" s="1648">
        <v>344028.50012699998</v>
      </c>
      <c r="KCJ363" s="1648">
        <v>335387.28629100003</v>
      </c>
      <c r="KCK363" s="1648">
        <v>337602.67972299998</v>
      </c>
      <c r="KCL363" s="1648">
        <v>210440.148116</v>
      </c>
      <c r="KCM363" s="1648">
        <v>330912.82974800002</v>
      </c>
      <c r="KCN363" s="1648">
        <v>321507.96580100001</v>
      </c>
      <c r="KCO363" s="1648">
        <v>310040.96500000003</v>
      </c>
      <c r="KCP363" s="1648">
        <v>306104.158</v>
      </c>
      <c r="KCQ363" s="1648">
        <v>350079.51500000001</v>
      </c>
      <c r="KCR363" s="1648">
        <v>376736.01</v>
      </c>
      <c r="KCS363" s="1648">
        <v>382165.86499999999</v>
      </c>
      <c r="KCT363" s="1648">
        <v>356897.57900000003</v>
      </c>
      <c r="KCU363" s="635">
        <v>3961904</v>
      </c>
      <c r="KCV363" s="633">
        <f>SUM(KCI363:KCT363)</f>
        <v>3961903.5018060002</v>
      </c>
      <c r="KCW363" s="919" t="s">
        <v>1837</v>
      </c>
      <c r="KCX363" s="1643" t="s">
        <v>1838</v>
      </c>
      <c r="KCY363" s="1648">
        <v>344028.50012699998</v>
      </c>
      <c r="KCZ363" s="1648">
        <v>335387.28629100003</v>
      </c>
      <c r="KDA363" s="1648">
        <v>337602.67972299998</v>
      </c>
      <c r="KDB363" s="1648">
        <v>210440.148116</v>
      </c>
      <c r="KDC363" s="1648">
        <v>330912.82974800002</v>
      </c>
      <c r="KDD363" s="1648">
        <v>321507.96580100001</v>
      </c>
      <c r="KDE363" s="1648">
        <v>310040.96500000003</v>
      </c>
      <c r="KDF363" s="1648">
        <v>306104.158</v>
      </c>
      <c r="KDG363" s="1648">
        <v>350079.51500000001</v>
      </c>
      <c r="KDH363" s="1648">
        <v>376736.01</v>
      </c>
      <c r="KDI363" s="1648">
        <v>382165.86499999999</v>
      </c>
      <c r="KDJ363" s="1648">
        <v>356897.57900000003</v>
      </c>
      <c r="KDK363" s="635">
        <v>3961904</v>
      </c>
      <c r="KDL363" s="633">
        <f>SUM(KCY363:KDJ363)</f>
        <v>3961903.5018060002</v>
      </c>
      <c r="KDM363" s="919" t="s">
        <v>1837</v>
      </c>
      <c r="KDN363" s="1643" t="s">
        <v>1838</v>
      </c>
      <c r="KDO363" s="1648">
        <v>344028.50012699998</v>
      </c>
      <c r="KDP363" s="1648">
        <v>335387.28629100003</v>
      </c>
      <c r="KDQ363" s="1648">
        <v>337602.67972299998</v>
      </c>
      <c r="KDR363" s="1648">
        <v>210440.148116</v>
      </c>
      <c r="KDS363" s="1648">
        <v>330912.82974800002</v>
      </c>
      <c r="KDT363" s="1648">
        <v>321507.96580100001</v>
      </c>
      <c r="KDU363" s="1648">
        <v>310040.96500000003</v>
      </c>
      <c r="KDV363" s="1648">
        <v>306104.158</v>
      </c>
      <c r="KDW363" s="1648">
        <v>350079.51500000001</v>
      </c>
      <c r="KDX363" s="1648">
        <v>376736.01</v>
      </c>
      <c r="KDY363" s="1648">
        <v>382165.86499999999</v>
      </c>
      <c r="KDZ363" s="1648">
        <v>356897.57900000003</v>
      </c>
      <c r="KEA363" s="635">
        <v>3961904</v>
      </c>
      <c r="KEB363" s="633">
        <f>SUM(KDO363:KDZ363)</f>
        <v>3961903.5018060002</v>
      </c>
      <c r="KEC363" s="919" t="s">
        <v>1837</v>
      </c>
      <c r="KED363" s="1643" t="s">
        <v>1838</v>
      </c>
      <c r="KEE363" s="1648">
        <v>344028.50012699998</v>
      </c>
      <c r="KEF363" s="1648">
        <v>335387.28629100003</v>
      </c>
      <c r="KEG363" s="1648">
        <v>337602.67972299998</v>
      </c>
      <c r="KEH363" s="1648">
        <v>210440.148116</v>
      </c>
      <c r="KEI363" s="1648">
        <v>330912.82974800002</v>
      </c>
      <c r="KEJ363" s="1648">
        <v>321507.96580100001</v>
      </c>
      <c r="KEK363" s="1648">
        <v>310040.96500000003</v>
      </c>
      <c r="KEL363" s="1648">
        <v>306104.158</v>
      </c>
      <c r="KEM363" s="1648">
        <v>350079.51500000001</v>
      </c>
      <c r="KEN363" s="1648">
        <v>376736.01</v>
      </c>
      <c r="KEO363" s="1648">
        <v>382165.86499999999</v>
      </c>
      <c r="KEP363" s="1648">
        <v>356897.57900000003</v>
      </c>
      <c r="KEQ363" s="635">
        <v>3961904</v>
      </c>
      <c r="KER363" s="633">
        <f>SUM(KEE363:KEP363)</f>
        <v>3961903.5018060002</v>
      </c>
      <c r="KES363" s="919" t="s">
        <v>1837</v>
      </c>
      <c r="KET363" s="1643" t="s">
        <v>1838</v>
      </c>
      <c r="KEU363" s="1648">
        <v>344028.50012699998</v>
      </c>
      <c r="KEV363" s="1648">
        <v>335387.28629100003</v>
      </c>
      <c r="KEW363" s="1648">
        <v>337602.67972299998</v>
      </c>
      <c r="KEX363" s="1648">
        <v>210440.148116</v>
      </c>
      <c r="KEY363" s="1648">
        <v>330912.82974800002</v>
      </c>
      <c r="KEZ363" s="1648">
        <v>321507.96580100001</v>
      </c>
      <c r="KFA363" s="1648">
        <v>310040.96500000003</v>
      </c>
      <c r="KFB363" s="1648">
        <v>306104.158</v>
      </c>
      <c r="KFC363" s="1648">
        <v>350079.51500000001</v>
      </c>
      <c r="KFD363" s="1648">
        <v>376736.01</v>
      </c>
      <c r="KFE363" s="1648">
        <v>382165.86499999999</v>
      </c>
      <c r="KFF363" s="1648">
        <v>356897.57900000003</v>
      </c>
      <c r="KFG363" s="635">
        <v>3961904</v>
      </c>
      <c r="KFH363" s="633">
        <f>SUM(KEU363:KFF363)</f>
        <v>3961903.5018060002</v>
      </c>
      <c r="KFI363" s="919" t="s">
        <v>1837</v>
      </c>
      <c r="KFJ363" s="1643" t="s">
        <v>1838</v>
      </c>
      <c r="KFK363" s="1648">
        <v>344028.50012699998</v>
      </c>
      <c r="KFL363" s="1648">
        <v>335387.28629100003</v>
      </c>
      <c r="KFM363" s="1648">
        <v>337602.67972299998</v>
      </c>
      <c r="KFN363" s="1648">
        <v>210440.148116</v>
      </c>
      <c r="KFO363" s="1648">
        <v>330912.82974800002</v>
      </c>
      <c r="KFP363" s="1648">
        <v>321507.96580100001</v>
      </c>
      <c r="KFQ363" s="1648">
        <v>310040.96500000003</v>
      </c>
      <c r="KFR363" s="1648">
        <v>306104.158</v>
      </c>
      <c r="KFS363" s="1648">
        <v>350079.51500000001</v>
      </c>
      <c r="KFT363" s="1648">
        <v>376736.01</v>
      </c>
      <c r="KFU363" s="1648">
        <v>382165.86499999999</v>
      </c>
      <c r="KFV363" s="1648">
        <v>356897.57900000003</v>
      </c>
      <c r="KFW363" s="635">
        <v>3961904</v>
      </c>
      <c r="KFX363" s="633">
        <f>SUM(KFK363:KFV363)</f>
        <v>3961903.5018060002</v>
      </c>
      <c r="KFY363" s="919" t="s">
        <v>1837</v>
      </c>
      <c r="KFZ363" s="1643" t="s">
        <v>1838</v>
      </c>
      <c r="KGA363" s="1648">
        <v>344028.50012699998</v>
      </c>
      <c r="KGB363" s="1648">
        <v>335387.28629100003</v>
      </c>
      <c r="KGC363" s="1648">
        <v>337602.67972299998</v>
      </c>
      <c r="KGD363" s="1648">
        <v>210440.148116</v>
      </c>
      <c r="KGE363" s="1648">
        <v>330912.82974800002</v>
      </c>
      <c r="KGF363" s="1648">
        <v>321507.96580100001</v>
      </c>
      <c r="KGG363" s="1648">
        <v>310040.96500000003</v>
      </c>
      <c r="KGH363" s="1648">
        <v>306104.158</v>
      </c>
      <c r="KGI363" s="1648">
        <v>350079.51500000001</v>
      </c>
      <c r="KGJ363" s="1648">
        <v>376736.01</v>
      </c>
      <c r="KGK363" s="1648">
        <v>382165.86499999999</v>
      </c>
      <c r="KGL363" s="1648">
        <v>356897.57900000003</v>
      </c>
      <c r="KGM363" s="635">
        <v>3961904</v>
      </c>
      <c r="KGN363" s="633">
        <f>SUM(KGA363:KGL363)</f>
        <v>3961903.5018060002</v>
      </c>
      <c r="KGO363" s="919" t="s">
        <v>1837</v>
      </c>
      <c r="KGP363" s="1643" t="s">
        <v>1838</v>
      </c>
      <c r="KGQ363" s="1648">
        <v>344028.50012699998</v>
      </c>
      <c r="KGR363" s="1648">
        <v>335387.28629100003</v>
      </c>
      <c r="KGS363" s="1648">
        <v>337602.67972299998</v>
      </c>
      <c r="KGT363" s="1648">
        <v>210440.148116</v>
      </c>
      <c r="KGU363" s="1648">
        <v>330912.82974800002</v>
      </c>
      <c r="KGV363" s="1648">
        <v>321507.96580100001</v>
      </c>
      <c r="KGW363" s="1648">
        <v>310040.96500000003</v>
      </c>
      <c r="KGX363" s="1648">
        <v>306104.158</v>
      </c>
      <c r="KGY363" s="1648">
        <v>350079.51500000001</v>
      </c>
      <c r="KGZ363" s="1648">
        <v>376736.01</v>
      </c>
      <c r="KHA363" s="1648">
        <v>382165.86499999999</v>
      </c>
      <c r="KHB363" s="1648">
        <v>356897.57900000003</v>
      </c>
      <c r="KHC363" s="635">
        <v>3961904</v>
      </c>
      <c r="KHD363" s="633">
        <f>SUM(KGQ363:KHB363)</f>
        <v>3961903.5018060002</v>
      </c>
      <c r="KHE363" s="919" t="s">
        <v>1837</v>
      </c>
      <c r="KHF363" s="1643" t="s">
        <v>1838</v>
      </c>
      <c r="KHG363" s="1648">
        <v>344028.50012699998</v>
      </c>
      <c r="KHH363" s="1648">
        <v>335387.28629100003</v>
      </c>
      <c r="KHI363" s="1648">
        <v>337602.67972299998</v>
      </c>
      <c r="KHJ363" s="1648">
        <v>210440.148116</v>
      </c>
      <c r="KHK363" s="1648">
        <v>330912.82974800002</v>
      </c>
      <c r="KHL363" s="1648">
        <v>321507.96580100001</v>
      </c>
      <c r="KHM363" s="1648">
        <v>310040.96500000003</v>
      </c>
      <c r="KHN363" s="1648">
        <v>306104.158</v>
      </c>
      <c r="KHO363" s="1648">
        <v>350079.51500000001</v>
      </c>
      <c r="KHP363" s="1648">
        <v>376736.01</v>
      </c>
      <c r="KHQ363" s="1648">
        <v>382165.86499999999</v>
      </c>
      <c r="KHR363" s="1648">
        <v>356897.57900000003</v>
      </c>
      <c r="KHS363" s="635">
        <v>3961904</v>
      </c>
      <c r="KHT363" s="633">
        <f>SUM(KHG363:KHR363)</f>
        <v>3961903.5018060002</v>
      </c>
      <c r="KHU363" s="919" t="s">
        <v>1837</v>
      </c>
      <c r="KHV363" s="1643" t="s">
        <v>1838</v>
      </c>
      <c r="KHW363" s="1648">
        <v>344028.50012699998</v>
      </c>
      <c r="KHX363" s="1648">
        <v>335387.28629100003</v>
      </c>
      <c r="KHY363" s="1648">
        <v>337602.67972299998</v>
      </c>
      <c r="KHZ363" s="1648">
        <v>210440.148116</v>
      </c>
      <c r="KIA363" s="1648">
        <v>330912.82974800002</v>
      </c>
      <c r="KIB363" s="1648">
        <v>321507.96580100001</v>
      </c>
      <c r="KIC363" s="1648">
        <v>310040.96500000003</v>
      </c>
      <c r="KID363" s="1648">
        <v>306104.158</v>
      </c>
      <c r="KIE363" s="1648">
        <v>350079.51500000001</v>
      </c>
      <c r="KIF363" s="1648">
        <v>376736.01</v>
      </c>
      <c r="KIG363" s="1648">
        <v>382165.86499999999</v>
      </c>
      <c r="KIH363" s="1648">
        <v>356897.57900000003</v>
      </c>
      <c r="KII363" s="635">
        <v>3961904</v>
      </c>
      <c r="KIJ363" s="633">
        <f>SUM(KHW363:KIH363)</f>
        <v>3961903.5018060002</v>
      </c>
      <c r="KIK363" s="919" t="s">
        <v>1837</v>
      </c>
      <c r="KIL363" s="1643" t="s">
        <v>1838</v>
      </c>
      <c r="KIM363" s="1648">
        <v>344028.50012699998</v>
      </c>
      <c r="KIN363" s="1648">
        <v>335387.28629100003</v>
      </c>
      <c r="KIO363" s="1648">
        <v>337602.67972299998</v>
      </c>
      <c r="KIP363" s="1648">
        <v>210440.148116</v>
      </c>
      <c r="KIQ363" s="1648">
        <v>330912.82974800002</v>
      </c>
      <c r="KIR363" s="1648">
        <v>321507.96580100001</v>
      </c>
      <c r="KIS363" s="1648">
        <v>310040.96500000003</v>
      </c>
      <c r="KIT363" s="1648">
        <v>306104.158</v>
      </c>
      <c r="KIU363" s="1648">
        <v>350079.51500000001</v>
      </c>
      <c r="KIV363" s="1648">
        <v>376736.01</v>
      </c>
      <c r="KIW363" s="1648">
        <v>382165.86499999999</v>
      </c>
      <c r="KIX363" s="1648">
        <v>356897.57900000003</v>
      </c>
      <c r="KIY363" s="635">
        <v>3961904</v>
      </c>
      <c r="KIZ363" s="633">
        <f>SUM(KIM363:KIX363)</f>
        <v>3961903.5018060002</v>
      </c>
      <c r="KJA363" s="919" t="s">
        <v>1837</v>
      </c>
      <c r="KJB363" s="1643" t="s">
        <v>1838</v>
      </c>
      <c r="KJC363" s="1648">
        <v>344028.50012699998</v>
      </c>
      <c r="KJD363" s="1648">
        <v>335387.28629100003</v>
      </c>
      <c r="KJE363" s="1648">
        <v>337602.67972299998</v>
      </c>
      <c r="KJF363" s="1648">
        <v>210440.148116</v>
      </c>
      <c r="KJG363" s="1648">
        <v>330912.82974800002</v>
      </c>
      <c r="KJH363" s="1648">
        <v>321507.96580100001</v>
      </c>
      <c r="KJI363" s="1648">
        <v>310040.96500000003</v>
      </c>
      <c r="KJJ363" s="1648">
        <v>306104.158</v>
      </c>
      <c r="KJK363" s="1648">
        <v>350079.51500000001</v>
      </c>
      <c r="KJL363" s="1648">
        <v>376736.01</v>
      </c>
      <c r="KJM363" s="1648">
        <v>382165.86499999999</v>
      </c>
      <c r="KJN363" s="1648">
        <v>356897.57900000003</v>
      </c>
      <c r="KJO363" s="635">
        <v>3961904</v>
      </c>
      <c r="KJP363" s="633">
        <f>SUM(KJC363:KJN363)</f>
        <v>3961903.5018060002</v>
      </c>
      <c r="KJQ363" s="919" t="s">
        <v>1837</v>
      </c>
      <c r="KJR363" s="1643" t="s">
        <v>1838</v>
      </c>
      <c r="KJS363" s="1648">
        <v>344028.50012699998</v>
      </c>
      <c r="KJT363" s="1648">
        <v>335387.28629100003</v>
      </c>
      <c r="KJU363" s="1648">
        <v>337602.67972299998</v>
      </c>
      <c r="KJV363" s="1648">
        <v>210440.148116</v>
      </c>
      <c r="KJW363" s="1648">
        <v>330912.82974800002</v>
      </c>
      <c r="KJX363" s="1648">
        <v>321507.96580100001</v>
      </c>
      <c r="KJY363" s="1648">
        <v>310040.96500000003</v>
      </c>
      <c r="KJZ363" s="1648">
        <v>306104.158</v>
      </c>
      <c r="KKA363" s="1648">
        <v>350079.51500000001</v>
      </c>
      <c r="KKB363" s="1648">
        <v>376736.01</v>
      </c>
      <c r="KKC363" s="1648">
        <v>382165.86499999999</v>
      </c>
      <c r="KKD363" s="1648">
        <v>356897.57900000003</v>
      </c>
      <c r="KKE363" s="635">
        <v>3961904</v>
      </c>
      <c r="KKF363" s="633">
        <f>SUM(KJS363:KKD363)</f>
        <v>3961903.5018060002</v>
      </c>
      <c r="KKG363" s="919" t="s">
        <v>1837</v>
      </c>
      <c r="KKH363" s="1643" t="s">
        <v>1838</v>
      </c>
      <c r="KKI363" s="1648">
        <v>344028.50012699998</v>
      </c>
      <c r="KKJ363" s="1648">
        <v>335387.28629100003</v>
      </c>
      <c r="KKK363" s="1648">
        <v>337602.67972299998</v>
      </c>
      <c r="KKL363" s="1648">
        <v>210440.148116</v>
      </c>
      <c r="KKM363" s="1648">
        <v>330912.82974800002</v>
      </c>
      <c r="KKN363" s="1648">
        <v>321507.96580100001</v>
      </c>
      <c r="KKO363" s="1648">
        <v>310040.96500000003</v>
      </c>
      <c r="KKP363" s="1648">
        <v>306104.158</v>
      </c>
      <c r="KKQ363" s="1648">
        <v>350079.51500000001</v>
      </c>
      <c r="KKR363" s="1648">
        <v>376736.01</v>
      </c>
      <c r="KKS363" s="1648">
        <v>382165.86499999999</v>
      </c>
      <c r="KKT363" s="1648">
        <v>356897.57900000003</v>
      </c>
      <c r="KKU363" s="635">
        <v>3961904</v>
      </c>
      <c r="KKV363" s="633">
        <f>SUM(KKI363:KKT363)</f>
        <v>3961903.5018060002</v>
      </c>
      <c r="KKW363" s="919" t="s">
        <v>1837</v>
      </c>
      <c r="KKX363" s="1643" t="s">
        <v>1838</v>
      </c>
      <c r="KKY363" s="1648">
        <v>344028.50012699998</v>
      </c>
      <c r="KKZ363" s="1648">
        <v>335387.28629100003</v>
      </c>
      <c r="KLA363" s="1648">
        <v>337602.67972299998</v>
      </c>
      <c r="KLB363" s="1648">
        <v>210440.148116</v>
      </c>
      <c r="KLC363" s="1648">
        <v>330912.82974800002</v>
      </c>
      <c r="KLD363" s="1648">
        <v>321507.96580100001</v>
      </c>
      <c r="KLE363" s="1648">
        <v>310040.96500000003</v>
      </c>
      <c r="KLF363" s="1648">
        <v>306104.158</v>
      </c>
      <c r="KLG363" s="1648">
        <v>350079.51500000001</v>
      </c>
      <c r="KLH363" s="1648">
        <v>376736.01</v>
      </c>
      <c r="KLI363" s="1648">
        <v>382165.86499999999</v>
      </c>
      <c r="KLJ363" s="1648">
        <v>356897.57900000003</v>
      </c>
      <c r="KLK363" s="635">
        <v>3961904</v>
      </c>
      <c r="KLL363" s="633">
        <f>SUM(KKY363:KLJ363)</f>
        <v>3961903.5018060002</v>
      </c>
      <c r="KLM363" s="919" t="s">
        <v>1837</v>
      </c>
      <c r="KLN363" s="1643" t="s">
        <v>1838</v>
      </c>
      <c r="KLO363" s="1648">
        <v>344028.50012699998</v>
      </c>
      <c r="KLP363" s="1648">
        <v>335387.28629100003</v>
      </c>
      <c r="KLQ363" s="1648">
        <v>337602.67972299998</v>
      </c>
      <c r="KLR363" s="1648">
        <v>210440.148116</v>
      </c>
      <c r="KLS363" s="1648">
        <v>330912.82974800002</v>
      </c>
      <c r="KLT363" s="1648">
        <v>321507.96580100001</v>
      </c>
      <c r="KLU363" s="1648">
        <v>310040.96500000003</v>
      </c>
      <c r="KLV363" s="1648">
        <v>306104.158</v>
      </c>
      <c r="KLW363" s="1648">
        <v>350079.51500000001</v>
      </c>
      <c r="KLX363" s="1648">
        <v>376736.01</v>
      </c>
      <c r="KLY363" s="1648">
        <v>382165.86499999999</v>
      </c>
      <c r="KLZ363" s="1648">
        <v>356897.57900000003</v>
      </c>
      <c r="KMA363" s="635">
        <v>3961904</v>
      </c>
      <c r="KMB363" s="633">
        <f>SUM(KLO363:KLZ363)</f>
        <v>3961903.5018060002</v>
      </c>
      <c r="KMC363" s="919" t="s">
        <v>1837</v>
      </c>
      <c r="KMD363" s="1643" t="s">
        <v>1838</v>
      </c>
      <c r="KME363" s="1648">
        <v>344028.50012699998</v>
      </c>
      <c r="KMF363" s="1648">
        <v>335387.28629100003</v>
      </c>
      <c r="KMG363" s="1648">
        <v>337602.67972299998</v>
      </c>
      <c r="KMH363" s="1648">
        <v>210440.148116</v>
      </c>
      <c r="KMI363" s="1648">
        <v>330912.82974800002</v>
      </c>
      <c r="KMJ363" s="1648">
        <v>321507.96580100001</v>
      </c>
      <c r="KMK363" s="1648">
        <v>310040.96500000003</v>
      </c>
      <c r="KML363" s="1648">
        <v>306104.158</v>
      </c>
      <c r="KMM363" s="1648">
        <v>350079.51500000001</v>
      </c>
      <c r="KMN363" s="1648">
        <v>376736.01</v>
      </c>
      <c r="KMO363" s="1648">
        <v>382165.86499999999</v>
      </c>
      <c r="KMP363" s="1648">
        <v>356897.57900000003</v>
      </c>
      <c r="KMQ363" s="635">
        <v>3961904</v>
      </c>
      <c r="KMR363" s="633">
        <f>SUM(KME363:KMP363)</f>
        <v>3961903.5018060002</v>
      </c>
      <c r="KMS363" s="919" t="s">
        <v>1837</v>
      </c>
      <c r="KMT363" s="1643" t="s">
        <v>1838</v>
      </c>
      <c r="KMU363" s="1648">
        <v>344028.50012699998</v>
      </c>
      <c r="KMV363" s="1648">
        <v>335387.28629100003</v>
      </c>
      <c r="KMW363" s="1648">
        <v>337602.67972299998</v>
      </c>
      <c r="KMX363" s="1648">
        <v>210440.148116</v>
      </c>
      <c r="KMY363" s="1648">
        <v>330912.82974800002</v>
      </c>
      <c r="KMZ363" s="1648">
        <v>321507.96580100001</v>
      </c>
      <c r="KNA363" s="1648">
        <v>310040.96500000003</v>
      </c>
      <c r="KNB363" s="1648">
        <v>306104.158</v>
      </c>
      <c r="KNC363" s="1648">
        <v>350079.51500000001</v>
      </c>
      <c r="KND363" s="1648">
        <v>376736.01</v>
      </c>
      <c r="KNE363" s="1648">
        <v>382165.86499999999</v>
      </c>
      <c r="KNF363" s="1648">
        <v>356897.57900000003</v>
      </c>
      <c r="KNG363" s="635">
        <v>3961904</v>
      </c>
      <c r="KNH363" s="633">
        <f>SUM(KMU363:KNF363)</f>
        <v>3961903.5018060002</v>
      </c>
      <c r="KNI363" s="919" t="s">
        <v>1837</v>
      </c>
      <c r="KNJ363" s="1643" t="s">
        <v>1838</v>
      </c>
      <c r="KNK363" s="1648">
        <v>344028.50012699998</v>
      </c>
      <c r="KNL363" s="1648">
        <v>335387.28629100003</v>
      </c>
      <c r="KNM363" s="1648">
        <v>337602.67972299998</v>
      </c>
      <c r="KNN363" s="1648">
        <v>210440.148116</v>
      </c>
      <c r="KNO363" s="1648">
        <v>330912.82974800002</v>
      </c>
      <c r="KNP363" s="1648">
        <v>321507.96580100001</v>
      </c>
      <c r="KNQ363" s="1648">
        <v>310040.96500000003</v>
      </c>
      <c r="KNR363" s="1648">
        <v>306104.158</v>
      </c>
      <c r="KNS363" s="1648">
        <v>350079.51500000001</v>
      </c>
      <c r="KNT363" s="1648">
        <v>376736.01</v>
      </c>
      <c r="KNU363" s="1648">
        <v>382165.86499999999</v>
      </c>
      <c r="KNV363" s="1648">
        <v>356897.57900000003</v>
      </c>
      <c r="KNW363" s="635">
        <v>3961904</v>
      </c>
      <c r="KNX363" s="633">
        <f>SUM(KNK363:KNV363)</f>
        <v>3961903.5018060002</v>
      </c>
      <c r="KNY363" s="919" t="s">
        <v>1837</v>
      </c>
      <c r="KNZ363" s="1643" t="s">
        <v>1838</v>
      </c>
      <c r="KOA363" s="1648">
        <v>344028.50012699998</v>
      </c>
      <c r="KOB363" s="1648">
        <v>335387.28629100003</v>
      </c>
      <c r="KOC363" s="1648">
        <v>337602.67972299998</v>
      </c>
      <c r="KOD363" s="1648">
        <v>210440.148116</v>
      </c>
      <c r="KOE363" s="1648">
        <v>330912.82974800002</v>
      </c>
      <c r="KOF363" s="1648">
        <v>321507.96580100001</v>
      </c>
      <c r="KOG363" s="1648">
        <v>310040.96500000003</v>
      </c>
      <c r="KOH363" s="1648">
        <v>306104.158</v>
      </c>
      <c r="KOI363" s="1648">
        <v>350079.51500000001</v>
      </c>
      <c r="KOJ363" s="1648">
        <v>376736.01</v>
      </c>
      <c r="KOK363" s="1648">
        <v>382165.86499999999</v>
      </c>
      <c r="KOL363" s="1648">
        <v>356897.57900000003</v>
      </c>
      <c r="KOM363" s="635">
        <v>3961904</v>
      </c>
      <c r="KON363" s="633">
        <f>SUM(KOA363:KOL363)</f>
        <v>3961903.5018060002</v>
      </c>
      <c r="KOO363" s="919" t="s">
        <v>1837</v>
      </c>
      <c r="KOP363" s="1643" t="s">
        <v>1838</v>
      </c>
      <c r="KOQ363" s="1648">
        <v>344028.50012699998</v>
      </c>
      <c r="KOR363" s="1648">
        <v>335387.28629100003</v>
      </c>
      <c r="KOS363" s="1648">
        <v>337602.67972299998</v>
      </c>
      <c r="KOT363" s="1648">
        <v>210440.148116</v>
      </c>
      <c r="KOU363" s="1648">
        <v>330912.82974800002</v>
      </c>
      <c r="KOV363" s="1648">
        <v>321507.96580100001</v>
      </c>
      <c r="KOW363" s="1648">
        <v>310040.96500000003</v>
      </c>
      <c r="KOX363" s="1648">
        <v>306104.158</v>
      </c>
      <c r="KOY363" s="1648">
        <v>350079.51500000001</v>
      </c>
      <c r="KOZ363" s="1648">
        <v>376736.01</v>
      </c>
      <c r="KPA363" s="1648">
        <v>382165.86499999999</v>
      </c>
      <c r="KPB363" s="1648">
        <v>356897.57900000003</v>
      </c>
      <c r="KPC363" s="635">
        <v>3961904</v>
      </c>
      <c r="KPD363" s="633">
        <f>SUM(KOQ363:KPB363)</f>
        <v>3961903.5018060002</v>
      </c>
      <c r="KPE363" s="919" t="s">
        <v>1837</v>
      </c>
      <c r="KPF363" s="1643" t="s">
        <v>1838</v>
      </c>
      <c r="KPG363" s="1648">
        <v>344028.50012699998</v>
      </c>
      <c r="KPH363" s="1648">
        <v>335387.28629100003</v>
      </c>
      <c r="KPI363" s="1648">
        <v>337602.67972299998</v>
      </c>
      <c r="KPJ363" s="1648">
        <v>210440.148116</v>
      </c>
      <c r="KPK363" s="1648">
        <v>330912.82974800002</v>
      </c>
      <c r="KPL363" s="1648">
        <v>321507.96580100001</v>
      </c>
      <c r="KPM363" s="1648">
        <v>310040.96500000003</v>
      </c>
      <c r="KPN363" s="1648">
        <v>306104.158</v>
      </c>
      <c r="KPO363" s="1648">
        <v>350079.51500000001</v>
      </c>
      <c r="KPP363" s="1648">
        <v>376736.01</v>
      </c>
      <c r="KPQ363" s="1648">
        <v>382165.86499999999</v>
      </c>
      <c r="KPR363" s="1648">
        <v>356897.57900000003</v>
      </c>
      <c r="KPS363" s="635">
        <v>3961904</v>
      </c>
      <c r="KPT363" s="633">
        <f>SUM(KPG363:KPR363)</f>
        <v>3961903.5018060002</v>
      </c>
      <c r="KPU363" s="919" t="s">
        <v>1837</v>
      </c>
      <c r="KPV363" s="1643" t="s">
        <v>1838</v>
      </c>
      <c r="KPW363" s="1648">
        <v>344028.50012699998</v>
      </c>
      <c r="KPX363" s="1648">
        <v>335387.28629100003</v>
      </c>
      <c r="KPY363" s="1648">
        <v>337602.67972299998</v>
      </c>
      <c r="KPZ363" s="1648">
        <v>210440.148116</v>
      </c>
      <c r="KQA363" s="1648">
        <v>330912.82974800002</v>
      </c>
      <c r="KQB363" s="1648">
        <v>321507.96580100001</v>
      </c>
      <c r="KQC363" s="1648">
        <v>310040.96500000003</v>
      </c>
      <c r="KQD363" s="1648">
        <v>306104.158</v>
      </c>
      <c r="KQE363" s="1648">
        <v>350079.51500000001</v>
      </c>
      <c r="KQF363" s="1648">
        <v>376736.01</v>
      </c>
      <c r="KQG363" s="1648">
        <v>382165.86499999999</v>
      </c>
      <c r="KQH363" s="1648">
        <v>356897.57900000003</v>
      </c>
      <c r="KQI363" s="635">
        <v>3961904</v>
      </c>
      <c r="KQJ363" s="633">
        <f>SUM(KPW363:KQH363)</f>
        <v>3961903.5018060002</v>
      </c>
      <c r="KQK363" s="919" t="s">
        <v>1837</v>
      </c>
      <c r="KQL363" s="1643" t="s">
        <v>1838</v>
      </c>
      <c r="KQM363" s="1648">
        <v>344028.50012699998</v>
      </c>
      <c r="KQN363" s="1648">
        <v>335387.28629100003</v>
      </c>
      <c r="KQO363" s="1648">
        <v>337602.67972299998</v>
      </c>
      <c r="KQP363" s="1648">
        <v>210440.148116</v>
      </c>
      <c r="KQQ363" s="1648">
        <v>330912.82974800002</v>
      </c>
      <c r="KQR363" s="1648">
        <v>321507.96580100001</v>
      </c>
      <c r="KQS363" s="1648">
        <v>310040.96500000003</v>
      </c>
      <c r="KQT363" s="1648">
        <v>306104.158</v>
      </c>
      <c r="KQU363" s="1648">
        <v>350079.51500000001</v>
      </c>
      <c r="KQV363" s="1648">
        <v>376736.01</v>
      </c>
      <c r="KQW363" s="1648">
        <v>382165.86499999999</v>
      </c>
      <c r="KQX363" s="1648">
        <v>356897.57900000003</v>
      </c>
      <c r="KQY363" s="635">
        <v>3961904</v>
      </c>
      <c r="KQZ363" s="633">
        <f>SUM(KQM363:KQX363)</f>
        <v>3961903.5018060002</v>
      </c>
      <c r="KRA363" s="919" t="s">
        <v>1837</v>
      </c>
      <c r="KRB363" s="1643" t="s">
        <v>1838</v>
      </c>
      <c r="KRC363" s="1648">
        <v>344028.50012699998</v>
      </c>
      <c r="KRD363" s="1648">
        <v>335387.28629100003</v>
      </c>
      <c r="KRE363" s="1648">
        <v>337602.67972299998</v>
      </c>
      <c r="KRF363" s="1648">
        <v>210440.148116</v>
      </c>
      <c r="KRG363" s="1648">
        <v>330912.82974800002</v>
      </c>
      <c r="KRH363" s="1648">
        <v>321507.96580100001</v>
      </c>
      <c r="KRI363" s="1648">
        <v>310040.96500000003</v>
      </c>
      <c r="KRJ363" s="1648">
        <v>306104.158</v>
      </c>
      <c r="KRK363" s="1648">
        <v>350079.51500000001</v>
      </c>
      <c r="KRL363" s="1648">
        <v>376736.01</v>
      </c>
      <c r="KRM363" s="1648">
        <v>382165.86499999999</v>
      </c>
      <c r="KRN363" s="1648">
        <v>356897.57900000003</v>
      </c>
      <c r="KRO363" s="635">
        <v>3961904</v>
      </c>
      <c r="KRP363" s="633">
        <f>SUM(KRC363:KRN363)</f>
        <v>3961903.5018060002</v>
      </c>
      <c r="KRQ363" s="919" t="s">
        <v>1837</v>
      </c>
      <c r="KRR363" s="1643" t="s">
        <v>1838</v>
      </c>
      <c r="KRS363" s="1648">
        <v>344028.50012699998</v>
      </c>
      <c r="KRT363" s="1648">
        <v>335387.28629100003</v>
      </c>
      <c r="KRU363" s="1648">
        <v>337602.67972299998</v>
      </c>
      <c r="KRV363" s="1648">
        <v>210440.148116</v>
      </c>
      <c r="KRW363" s="1648">
        <v>330912.82974800002</v>
      </c>
      <c r="KRX363" s="1648">
        <v>321507.96580100001</v>
      </c>
      <c r="KRY363" s="1648">
        <v>310040.96500000003</v>
      </c>
      <c r="KRZ363" s="1648">
        <v>306104.158</v>
      </c>
      <c r="KSA363" s="1648">
        <v>350079.51500000001</v>
      </c>
      <c r="KSB363" s="1648">
        <v>376736.01</v>
      </c>
      <c r="KSC363" s="1648">
        <v>382165.86499999999</v>
      </c>
      <c r="KSD363" s="1648">
        <v>356897.57900000003</v>
      </c>
      <c r="KSE363" s="635">
        <v>3961904</v>
      </c>
      <c r="KSF363" s="633">
        <f>SUM(KRS363:KSD363)</f>
        <v>3961903.5018060002</v>
      </c>
      <c r="KSG363" s="919" t="s">
        <v>1837</v>
      </c>
      <c r="KSH363" s="1643" t="s">
        <v>1838</v>
      </c>
      <c r="KSI363" s="1648">
        <v>344028.50012699998</v>
      </c>
      <c r="KSJ363" s="1648">
        <v>335387.28629100003</v>
      </c>
      <c r="KSK363" s="1648">
        <v>337602.67972299998</v>
      </c>
      <c r="KSL363" s="1648">
        <v>210440.148116</v>
      </c>
      <c r="KSM363" s="1648">
        <v>330912.82974800002</v>
      </c>
      <c r="KSN363" s="1648">
        <v>321507.96580100001</v>
      </c>
      <c r="KSO363" s="1648">
        <v>310040.96500000003</v>
      </c>
      <c r="KSP363" s="1648">
        <v>306104.158</v>
      </c>
      <c r="KSQ363" s="1648">
        <v>350079.51500000001</v>
      </c>
      <c r="KSR363" s="1648">
        <v>376736.01</v>
      </c>
      <c r="KSS363" s="1648">
        <v>382165.86499999999</v>
      </c>
      <c r="KST363" s="1648">
        <v>356897.57900000003</v>
      </c>
      <c r="KSU363" s="635">
        <v>3961904</v>
      </c>
      <c r="KSV363" s="633">
        <f>SUM(KSI363:KST363)</f>
        <v>3961903.5018060002</v>
      </c>
      <c r="KSW363" s="919" t="s">
        <v>1837</v>
      </c>
      <c r="KSX363" s="1643" t="s">
        <v>1838</v>
      </c>
      <c r="KSY363" s="1648">
        <v>344028.50012699998</v>
      </c>
      <c r="KSZ363" s="1648">
        <v>335387.28629100003</v>
      </c>
      <c r="KTA363" s="1648">
        <v>337602.67972299998</v>
      </c>
      <c r="KTB363" s="1648">
        <v>210440.148116</v>
      </c>
      <c r="KTC363" s="1648">
        <v>330912.82974800002</v>
      </c>
      <c r="KTD363" s="1648">
        <v>321507.96580100001</v>
      </c>
      <c r="KTE363" s="1648">
        <v>310040.96500000003</v>
      </c>
      <c r="KTF363" s="1648">
        <v>306104.158</v>
      </c>
      <c r="KTG363" s="1648">
        <v>350079.51500000001</v>
      </c>
      <c r="KTH363" s="1648">
        <v>376736.01</v>
      </c>
      <c r="KTI363" s="1648">
        <v>382165.86499999999</v>
      </c>
      <c r="KTJ363" s="1648">
        <v>356897.57900000003</v>
      </c>
      <c r="KTK363" s="635">
        <v>3961904</v>
      </c>
      <c r="KTL363" s="633">
        <f>SUM(KSY363:KTJ363)</f>
        <v>3961903.5018060002</v>
      </c>
      <c r="KTM363" s="919" t="s">
        <v>1837</v>
      </c>
      <c r="KTN363" s="1643" t="s">
        <v>1838</v>
      </c>
      <c r="KTO363" s="1648">
        <v>344028.50012699998</v>
      </c>
      <c r="KTP363" s="1648">
        <v>335387.28629100003</v>
      </c>
      <c r="KTQ363" s="1648">
        <v>337602.67972299998</v>
      </c>
      <c r="KTR363" s="1648">
        <v>210440.148116</v>
      </c>
      <c r="KTS363" s="1648">
        <v>330912.82974800002</v>
      </c>
      <c r="KTT363" s="1648">
        <v>321507.96580100001</v>
      </c>
      <c r="KTU363" s="1648">
        <v>310040.96500000003</v>
      </c>
      <c r="KTV363" s="1648">
        <v>306104.158</v>
      </c>
      <c r="KTW363" s="1648">
        <v>350079.51500000001</v>
      </c>
      <c r="KTX363" s="1648">
        <v>376736.01</v>
      </c>
      <c r="KTY363" s="1648">
        <v>382165.86499999999</v>
      </c>
      <c r="KTZ363" s="1648">
        <v>356897.57900000003</v>
      </c>
      <c r="KUA363" s="635">
        <v>3961904</v>
      </c>
      <c r="KUB363" s="633">
        <f>SUM(KTO363:KTZ363)</f>
        <v>3961903.5018060002</v>
      </c>
      <c r="KUC363" s="919" t="s">
        <v>1837</v>
      </c>
      <c r="KUD363" s="1643" t="s">
        <v>1838</v>
      </c>
      <c r="KUE363" s="1648">
        <v>344028.50012699998</v>
      </c>
      <c r="KUF363" s="1648">
        <v>335387.28629100003</v>
      </c>
      <c r="KUG363" s="1648">
        <v>337602.67972299998</v>
      </c>
      <c r="KUH363" s="1648">
        <v>210440.148116</v>
      </c>
      <c r="KUI363" s="1648">
        <v>330912.82974800002</v>
      </c>
      <c r="KUJ363" s="1648">
        <v>321507.96580100001</v>
      </c>
      <c r="KUK363" s="1648">
        <v>310040.96500000003</v>
      </c>
      <c r="KUL363" s="1648">
        <v>306104.158</v>
      </c>
      <c r="KUM363" s="1648">
        <v>350079.51500000001</v>
      </c>
      <c r="KUN363" s="1648">
        <v>376736.01</v>
      </c>
      <c r="KUO363" s="1648">
        <v>382165.86499999999</v>
      </c>
      <c r="KUP363" s="1648">
        <v>356897.57900000003</v>
      </c>
      <c r="KUQ363" s="635">
        <v>3961904</v>
      </c>
      <c r="KUR363" s="633">
        <f>SUM(KUE363:KUP363)</f>
        <v>3961903.5018060002</v>
      </c>
      <c r="KUS363" s="919" t="s">
        <v>1837</v>
      </c>
      <c r="KUT363" s="1643" t="s">
        <v>1838</v>
      </c>
      <c r="KUU363" s="1648">
        <v>344028.50012699998</v>
      </c>
      <c r="KUV363" s="1648">
        <v>335387.28629100003</v>
      </c>
      <c r="KUW363" s="1648">
        <v>337602.67972299998</v>
      </c>
      <c r="KUX363" s="1648">
        <v>210440.148116</v>
      </c>
      <c r="KUY363" s="1648">
        <v>330912.82974800002</v>
      </c>
      <c r="KUZ363" s="1648">
        <v>321507.96580100001</v>
      </c>
      <c r="KVA363" s="1648">
        <v>310040.96500000003</v>
      </c>
      <c r="KVB363" s="1648">
        <v>306104.158</v>
      </c>
      <c r="KVC363" s="1648">
        <v>350079.51500000001</v>
      </c>
      <c r="KVD363" s="1648">
        <v>376736.01</v>
      </c>
      <c r="KVE363" s="1648">
        <v>382165.86499999999</v>
      </c>
      <c r="KVF363" s="1648">
        <v>356897.57900000003</v>
      </c>
      <c r="KVG363" s="635">
        <v>3961904</v>
      </c>
      <c r="KVH363" s="633">
        <f>SUM(KUU363:KVF363)</f>
        <v>3961903.5018060002</v>
      </c>
      <c r="KVI363" s="919" t="s">
        <v>1837</v>
      </c>
      <c r="KVJ363" s="1643" t="s">
        <v>1838</v>
      </c>
      <c r="KVK363" s="1648">
        <v>344028.50012699998</v>
      </c>
      <c r="KVL363" s="1648">
        <v>335387.28629100003</v>
      </c>
      <c r="KVM363" s="1648">
        <v>337602.67972299998</v>
      </c>
      <c r="KVN363" s="1648">
        <v>210440.148116</v>
      </c>
      <c r="KVO363" s="1648">
        <v>330912.82974800002</v>
      </c>
      <c r="KVP363" s="1648">
        <v>321507.96580100001</v>
      </c>
      <c r="KVQ363" s="1648">
        <v>310040.96500000003</v>
      </c>
      <c r="KVR363" s="1648">
        <v>306104.158</v>
      </c>
      <c r="KVS363" s="1648">
        <v>350079.51500000001</v>
      </c>
      <c r="KVT363" s="1648">
        <v>376736.01</v>
      </c>
      <c r="KVU363" s="1648">
        <v>382165.86499999999</v>
      </c>
      <c r="KVV363" s="1648">
        <v>356897.57900000003</v>
      </c>
      <c r="KVW363" s="635">
        <v>3961904</v>
      </c>
      <c r="KVX363" s="633">
        <f>SUM(KVK363:KVV363)</f>
        <v>3961903.5018060002</v>
      </c>
      <c r="KVY363" s="919" t="s">
        <v>1837</v>
      </c>
      <c r="KVZ363" s="1643" t="s">
        <v>1838</v>
      </c>
      <c r="KWA363" s="1648">
        <v>344028.50012699998</v>
      </c>
      <c r="KWB363" s="1648">
        <v>335387.28629100003</v>
      </c>
      <c r="KWC363" s="1648">
        <v>337602.67972299998</v>
      </c>
      <c r="KWD363" s="1648">
        <v>210440.148116</v>
      </c>
      <c r="KWE363" s="1648">
        <v>330912.82974800002</v>
      </c>
      <c r="KWF363" s="1648">
        <v>321507.96580100001</v>
      </c>
      <c r="KWG363" s="1648">
        <v>310040.96500000003</v>
      </c>
      <c r="KWH363" s="1648">
        <v>306104.158</v>
      </c>
      <c r="KWI363" s="1648">
        <v>350079.51500000001</v>
      </c>
      <c r="KWJ363" s="1648">
        <v>376736.01</v>
      </c>
      <c r="KWK363" s="1648">
        <v>382165.86499999999</v>
      </c>
      <c r="KWL363" s="1648">
        <v>356897.57900000003</v>
      </c>
      <c r="KWM363" s="635">
        <v>3961904</v>
      </c>
      <c r="KWN363" s="633">
        <f>SUM(KWA363:KWL363)</f>
        <v>3961903.5018060002</v>
      </c>
      <c r="KWO363" s="919" t="s">
        <v>1837</v>
      </c>
      <c r="KWP363" s="1643" t="s">
        <v>1838</v>
      </c>
      <c r="KWQ363" s="1648">
        <v>344028.50012699998</v>
      </c>
      <c r="KWR363" s="1648">
        <v>335387.28629100003</v>
      </c>
      <c r="KWS363" s="1648">
        <v>337602.67972299998</v>
      </c>
      <c r="KWT363" s="1648">
        <v>210440.148116</v>
      </c>
      <c r="KWU363" s="1648">
        <v>330912.82974800002</v>
      </c>
      <c r="KWV363" s="1648">
        <v>321507.96580100001</v>
      </c>
      <c r="KWW363" s="1648">
        <v>310040.96500000003</v>
      </c>
      <c r="KWX363" s="1648">
        <v>306104.158</v>
      </c>
      <c r="KWY363" s="1648">
        <v>350079.51500000001</v>
      </c>
      <c r="KWZ363" s="1648">
        <v>376736.01</v>
      </c>
      <c r="KXA363" s="1648">
        <v>382165.86499999999</v>
      </c>
      <c r="KXB363" s="1648">
        <v>356897.57900000003</v>
      </c>
      <c r="KXC363" s="635">
        <v>3961904</v>
      </c>
      <c r="KXD363" s="633">
        <f>SUM(KWQ363:KXB363)</f>
        <v>3961903.5018060002</v>
      </c>
      <c r="KXE363" s="919" t="s">
        <v>1837</v>
      </c>
      <c r="KXF363" s="1643" t="s">
        <v>1838</v>
      </c>
      <c r="KXG363" s="1648">
        <v>344028.50012699998</v>
      </c>
      <c r="KXH363" s="1648">
        <v>335387.28629100003</v>
      </c>
      <c r="KXI363" s="1648">
        <v>337602.67972299998</v>
      </c>
      <c r="KXJ363" s="1648">
        <v>210440.148116</v>
      </c>
      <c r="KXK363" s="1648">
        <v>330912.82974800002</v>
      </c>
      <c r="KXL363" s="1648">
        <v>321507.96580100001</v>
      </c>
      <c r="KXM363" s="1648">
        <v>310040.96500000003</v>
      </c>
      <c r="KXN363" s="1648">
        <v>306104.158</v>
      </c>
      <c r="KXO363" s="1648">
        <v>350079.51500000001</v>
      </c>
      <c r="KXP363" s="1648">
        <v>376736.01</v>
      </c>
      <c r="KXQ363" s="1648">
        <v>382165.86499999999</v>
      </c>
      <c r="KXR363" s="1648">
        <v>356897.57900000003</v>
      </c>
      <c r="KXS363" s="635">
        <v>3961904</v>
      </c>
      <c r="KXT363" s="633">
        <f>SUM(KXG363:KXR363)</f>
        <v>3961903.5018060002</v>
      </c>
      <c r="KXU363" s="919" t="s">
        <v>1837</v>
      </c>
      <c r="KXV363" s="1643" t="s">
        <v>1838</v>
      </c>
      <c r="KXW363" s="1648">
        <v>344028.50012699998</v>
      </c>
      <c r="KXX363" s="1648">
        <v>335387.28629100003</v>
      </c>
      <c r="KXY363" s="1648">
        <v>337602.67972299998</v>
      </c>
      <c r="KXZ363" s="1648">
        <v>210440.148116</v>
      </c>
      <c r="KYA363" s="1648">
        <v>330912.82974800002</v>
      </c>
      <c r="KYB363" s="1648">
        <v>321507.96580100001</v>
      </c>
      <c r="KYC363" s="1648">
        <v>310040.96500000003</v>
      </c>
      <c r="KYD363" s="1648">
        <v>306104.158</v>
      </c>
      <c r="KYE363" s="1648">
        <v>350079.51500000001</v>
      </c>
      <c r="KYF363" s="1648">
        <v>376736.01</v>
      </c>
      <c r="KYG363" s="1648">
        <v>382165.86499999999</v>
      </c>
      <c r="KYH363" s="1648">
        <v>356897.57900000003</v>
      </c>
      <c r="KYI363" s="635">
        <v>3961904</v>
      </c>
      <c r="KYJ363" s="633">
        <f>SUM(KXW363:KYH363)</f>
        <v>3961903.5018060002</v>
      </c>
      <c r="KYK363" s="919" t="s">
        <v>1837</v>
      </c>
      <c r="KYL363" s="1643" t="s">
        <v>1838</v>
      </c>
      <c r="KYM363" s="1648">
        <v>344028.50012699998</v>
      </c>
      <c r="KYN363" s="1648">
        <v>335387.28629100003</v>
      </c>
      <c r="KYO363" s="1648">
        <v>337602.67972299998</v>
      </c>
      <c r="KYP363" s="1648">
        <v>210440.148116</v>
      </c>
      <c r="KYQ363" s="1648">
        <v>330912.82974800002</v>
      </c>
      <c r="KYR363" s="1648">
        <v>321507.96580100001</v>
      </c>
      <c r="KYS363" s="1648">
        <v>310040.96500000003</v>
      </c>
      <c r="KYT363" s="1648">
        <v>306104.158</v>
      </c>
      <c r="KYU363" s="1648">
        <v>350079.51500000001</v>
      </c>
      <c r="KYV363" s="1648">
        <v>376736.01</v>
      </c>
      <c r="KYW363" s="1648">
        <v>382165.86499999999</v>
      </c>
      <c r="KYX363" s="1648">
        <v>356897.57900000003</v>
      </c>
      <c r="KYY363" s="635">
        <v>3961904</v>
      </c>
      <c r="KYZ363" s="633">
        <f>SUM(KYM363:KYX363)</f>
        <v>3961903.5018060002</v>
      </c>
      <c r="KZA363" s="919" t="s">
        <v>1837</v>
      </c>
      <c r="KZB363" s="1643" t="s">
        <v>1838</v>
      </c>
      <c r="KZC363" s="1648">
        <v>344028.50012699998</v>
      </c>
      <c r="KZD363" s="1648">
        <v>335387.28629100003</v>
      </c>
      <c r="KZE363" s="1648">
        <v>337602.67972299998</v>
      </c>
      <c r="KZF363" s="1648">
        <v>210440.148116</v>
      </c>
      <c r="KZG363" s="1648">
        <v>330912.82974800002</v>
      </c>
      <c r="KZH363" s="1648">
        <v>321507.96580100001</v>
      </c>
      <c r="KZI363" s="1648">
        <v>310040.96500000003</v>
      </c>
      <c r="KZJ363" s="1648">
        <v>306104.158</v>
      </c>
      <c r="KZK363" s="1648">
        <v>350079.51500000001</v>
      </c>
      <c r="KZL363" s="1648">
        <v>376736.01</v>
      </c>
      <c r="KZM363" s="1648">
        <v>382165.86499999999</v>
      </c>
      <c r="KZN363" s="1648">
        <v>356897.57900000003</v>
      </c>
      <c r="KZO363" s="635">
        <v>3961904</v>
      </c>
      <c r="KZP363" s="633">
        <f>SUM(KZC363:KZN363)</f>
        <v>3961903.5018060002</v>
      </c>
      <c r="KZQ363" s="919" t="s">
        <v>1837</v>
      </c>
      <c r="KZR363" s="1643" t="s">
        <v>1838</v>
      </c>
      <c r="KZS363" s="1648">
        <v>344028.50012699998</v>
      </c>
      <c r="KZT363" s="1648">
        <v>335387.28629100003</v>
      </c>
      <c r="KZU363" s="1648">
        <v>337602.67972299998</v>
      </c>
      <c r="KZV363" s="1648">
        <v>210440.148116</v>
      </c>
      <c r="KZW363" s="1648">
        <v>330912.82974800002</v>
      </c>
      <c r="KZX363" s="1648">
        <v>321507.96580100001</v>
      </c>
      <c r="KZY363" s="1648">
        <v>310040.96500000003</v>
      </c>
      <c r="KZZ363" s="1648">
        <v>306104.158</v>
      </c>
      <c r="LAA363" s="1648">
        <v>350079.51500000001</v>
      </c>
      <c r="LAB363" s="1648">
        <v>376736.01</v>
      </c>
      <c r="LAC363" s="1648">
        <v>382165.86499999999</v>
      </c>
      <c r="LAD363" s="1648">
        <v>356897.57900000003</v>
      </c>
      <c r="LAE363" s="635">
        <v>3961904</v>
      </c>
      <c r="LAF363" s="633">
        <f>SUM(KZS363:LAD363)</f>
        <v>3961903.5018060002</v>
      </c>
      <c r="LAG363" s="919" t="s">
        <v>1837</v>
      </c>
      <c r="LAH363" s="1643" t="s">
        <v>1838</v>
      </c>
      <c r="LAI363" s="1648">
        <v>344028.50012699998</v>
      </c>
      <c r="LAJ363" s="1648">
        <v>335387.28629100003</v>
      </c>
      <c r="LAK363" s="1648">
        <v>337602.67972299998</v>
      </c>
      <c r="LAL363" s="1648">
        <v>210440.148116</v>
      </c>
      <c r="LAM363" s="1648">
        <v>330912.82974800002</v>
      </c>
      <c r="LAN363" s="1648">
        <v>321507.96580100001</v>
      </c>
      <c r="LAO363" s="1648">
        <v>310040.96500000003</v>
      </c>
      <c r="LAP363" s="1648">
        <v>306104.158</v>
      </c>
      <c r="LAQ363" s="1648">
        <v>350079.51500000001</v>
      </c>
      <c r="LAR363" s="1648">
        <v>376736.01</v>
      </c>
      <c r="LAS363" s="1648">
        <v>382165.86499999999</v>
      </c>
      <c r="LAT363" s="1648">
        <v>356897.57900000003</v>
      </c>
      <c r="LAU363" s="635">
        <v>3961904</v>
      </c>
      <c r="LAV363" s="633">
        <f>SUM(LAI363:LAT363)</f>
        <v>3961903.5018060002</v>
      </c>
      <c r="LAW363" s="919" t="s">
        <v>1837</v>
      </c>
      <c r="LAX363" s="1643" t="s">
        <v>1838</v>
      </c>
      <c r="LAY363" s="1648">
        <v>344028.50012699998</v>
      </c>
      <c r="LAZ363" s="1648">
        <v>335387.28629100003</v>
      </c>
      <c r="LBA363" s="1648">
        <v>337602.67972299998</v>
      </c>
      <c r="LBB363" s="1648">
        <v>210440.148116</v>
      </c>
      <c r="LBC363" s="1648">
        <v>330912.82974800002</v>
      </c>
      <c r="LBD363" s="1648">
        <v>321507.96580100001</v>
      </c>
      <c r="LBE363" s="1648">
        <v>310040.96500000003</v>
      </c>
      <c r="LBF363" s="1648">
        <v>306104.158</v>
      </c>
      <c r="LBG363" s="1648">
        <v>350079.51500000001</v>
      </c>
      <c r="LBH363" s="1648">
        <v>376736.01</v>
      </c>
      <c r="LBI363" s="1648">
        <v>382165.86499999999</v>
      </c>
      <c r="LBJ363" s="1648">
        <v>356897.57900000003</v>
      </c>
      <c r="LBK363" s="635">
        <v>3961904</v>
      </c>
      <c r="LBL363" s="633">
        <f>SUM(LAY363:LBJ363)</f>
        <v>3961903.5018060002</v>
      </c>
      <c r="LBM363" s="919" t="s">
        <v>1837</v>
      </c>
      <c r="LBN363" s="1643" t="s">
        <v>1838</v>
      </c>
      <c r="LBO363" s="1648">
        <v>344028.50012699998</v>
      </c>
      <c r="LBP363" s="1648">
        <v>335387.28629100003</v>
      </c>
      <c r="LBQ363" s="1648">
        <v>337602.67972299998</v>
      </c>
      <c r="LBR363" s="1648">
        <v>210440.148116</v>
      </c>
      <c r="LBS363" s="1648">
        <v>330912.82974800002</v>
      </c>
      <c r="LBT363" s="1648">
        <v>321507.96580100001</v>
      </c>
      <c r="LBU363" s="1648">
        <v>310040.96500000003</v>
      </c>
      <c r="LBV363" s="1648">
        <v>306104.158</v>
      </c>
      <c r="LBW363" s="1648">
        <v>350079.51500000001</v>
      </c>
      <c r="LBX363" s="1648">
        <v>376736.01</v>
      </c>
      <c r="LBY363" s="1648">
        <v>382165.86499999999</v>
      </c>
      <c r="LBZ363" s="1648">
        <v>356897.57900000003</v>
      </c>
      <c r="LCA363" s="635">
        <v>3961904</v>
      </c>
      <c r="LCB363" s="633">
        <f>SUM(LBO363:LBZ363)</f>
        <v>3961903.5018060002</v>
      </c>
      <c r="LCC363" s="919" t="s">
        <v>1837</v>
      </c>
      <c r="LCD363" s="1643" t="s">
        <v>1838</v>
      </c>
      <c r="LCE363" s="1648">
        <v>344028.50012699998</v>
      </c>
      <c r="LCF363" s="1648">
        <v>335387.28629100003</v>
      </c>
      <c r="LCG363" s="1648">
        <v>337602.67972299998</v>
      </c>
      <c r="LCH363" s="1648">
        <v>210440.148116</v>
      </c>
      <c r="LCI363" s="1648">
        <v>330912.82974800002</v>
      </c>
      <c r="LCJ363" s="1648">
        <v>321507.96580100001</v>
      </c>
      <c r="LCK363" s="1648">
        <v>310040.96500000003</v>
      </c>
      <c r="LCL363" s="1648">
        <v>306104.158</v>
      </c>
      <c r="LCM363" s="1648">
        <v>350079.51500000001</v>
      </c>
      <c r="LCN363" s="1648">
        <v>376736.01</v>
      </c>
      <c r="LCO363" s="1648">
        <v>382165.86499999999</v>
      </c>
      <c r="LCP363" s="1648">
        <v>356897.57900000003</v>
      </c>
      <c r="LCQ363" s="635">
        <v>3961904</v>
      </c>
      <c r="LCR363" s="633">
        <f>SUM(LCE363:LCP363)</f>
        <v>3961903.5018060002</v>
      </c>
      <c r="LCS363" s="919" t="s">
        <v>1837</v>
      </c>
      <c r="LCT363" s="1643" t="s">
        <v>1838</v>
      </c>
      <c r="LCU363" s="1648">
        <v>344028.50012699998</v>
      </c>
      <c r="LCV363" s="1648">
        <v>335387.28629100003</v>
      </c>
      <c r="LCW363" s="1648">
        <v>337602.67972299998</v>
      </c>
      <c r="LCX363" s="1648">
        <v>210440.148116</v>
      </c>
      <c r="LCY363" s="1648">
        <v>330912.82974800002</v>
      </c>
      <c r="LCZ363" s="1648">
        <v>321507.96580100001</v>
      </c>
      <c r="LDA363" s="1648">
        <v>310040.96500000003</v>
      </c>
      <c r="LDB363" s="1648">
        <v>306104.158</v>
      </c>
      <c r="LDC363" s="1648">
        <v>350079.51500000001</v>
      </c>
      <c r="LDD363" s="1648">
        <v>376736.01</v>
      </c>
      <c r="LDE363" s="1648">
        <v>382165.86499999999</v>
      </c>
      <c r="LDF363" s="1648">
        <v>356897.57900000003</v>
      </c>
      <c r="LDG363" s="635">
        <v>3961904</v>
      </c>
      <c r="LDH363" s="633">
        <f>SUM(LCU363:LDF363)</f>
        <v>3961903.5018060002</v>
      </c>
      <c r="LDI363" s="919" t="s">
        <v>1837</v>
      </c>
      <c r="LDJ363" s="1643" t="s">
        <v>1838</v>
      </c>
      <c r="LDK363" s="1648">
        <v>344028.50012699998</v>
      </c>
      <c r="LDL363" s="1648">
        <v>335387.28629100003</v>
      </c>
      <c r="LDM363" s="1648">
        <v>337602.67972299998</v>
      </c>
      <c r="LDN363" s="1648">
        <v>210440.148116</v>
      </c>
      <c r="LDO363" s="1648">
        <v>330912.82974800002</v>
      </c>
      <c r="LDP363" s="1648">
        <v>321507.96580100001</v>
      </c>
      <c r="LDQ363" s="1648">
        <v>310040.96500000003</v>
      </c>
      <c r="LDR363" s="1648">
        <v>306104.158</v>
      </c>
      <c r="LDS363" s="1648">
        <v>350079.51500000001</v>
      </c>
      <c r="LDT363" s="1648">
        <v>376736.01</v>
      </c>
      <c r="LDU363" s="1648">
        <v>382165.86499999999</v>
      </c>
      <c r="LDV363" s="1648">
        <v>356897.57900000003</v>
      </c>
      <c r="LDW363" s="635">
        <v>3961904</v>
      </c>
      <c r="LDX363" s="633">
        <f>SUM(LDK363:LDV363)</f>
        <v>3961903.5018060002</v>
      </c>
      <c r="LDY363" s="919" t="s">
        <v>1837</v>
      </c>
      <c r="LDZ363" s="1643" t="s">
        <v>1838</v>
      </c>
      <c r="LEA363" s="1648">
        <v>344028.50012699998</v>
      </c>
      <c r="LEB363" s="1648">
        <v>335387.28629100003</v>
      </c>
      <c r="LEC363" s="1648">
        <v>337602.67972299998</v>
      </c>
      <c r="LED363" s="1648">
        <v>210440.148116</v>
      </c>
      <c r="LEE363" s="1648">
        <v>330912.82974800002</v>
      </c>
      <c r="LEF363" s="1648">
        <v>321507.96580100001</v>
      </c>
      <c r="LEG363" s="1648">
        <v>310040.96500000003</v>
      </c>
      <c r="LEH363" s="1648">
        <v>306104.158</v>
      </c>
      <c r="LEI363" s="1648">
        <v>350079.51500000001</v>
      </c>
      <c r="LEJ363" s="1648">
        <v>376736.01</v>
      </c>
      <c r="LEK363" s="1648">
        <v>382165.86499999999</v>
      </c>
      <c r="LEL363" s="1648">
        <v>356897.57900000003</v>
      </c>
      <c r="LEM363" s="635">
        <v>3961904</v>
      </c>
      <c r="LEN363" s="633">
        <f>SUM(LEA363:LEL363)</f>
        <v>3961903.5018060002</v>
      </c>
      <c r="LEO363" s="919" t="s">
        <v>1837</v>
      </c>
      <c r="LEP363" s="1643" t="s">
        <v>1838</v>
      </c>
      <c r="LEQ363" s="1648">
        <v>344028.50012699998</v>
      </c>
      <c r="LER363" s="1648">
        <v>335387.28629100003</v>
      </c>
      <c r="LES363" s="1648">
        <v>337602.67972299998</v>
      </c>
      <c r="LET363" s="1648">
        <v>210440.148116</v>
      </c>
      <c r="LEU363" s="1648">
        <v>330912.82974800002</v>
      </c>
      <c r="LEV363" s="1648">
        <v>321507.96580100001</v>
      </c>
      <c r="LEW363" s="1648">
        <v>310040.96500000003</v>
      </c>
      <c r="LEX363" s="1648">
        <v>306104.158</v>
      </c>
      <c r="LEY363" s="1648">
        <v>350079.51500000001</v>
      </c>
      <c r="LEZ363" s="1648">
        <v>376736.01</v>
      </c>
      <c r="LFA363" s="1648">
        <v>382165.86499999999</v>
      </c>
      <c r="LFB363" s="1648">
        <v>356897.57900000003</v>
      </c>
      <c r="LFC363" s="635">
        <v>3961904</v>
      </c>
      <c r="LFD363" s="633">
        <f>SUM(LEQ363:LFB363)</f>
        <v>3961903.5018060002</v>
      </c>
      <c r="LFE363" s="919" t="s">
        <v>1837</v>
      </c>
      <c r="LFF363" s="1643" t="s">
        <v>1838</v>
      </c>
      <c r="LFG363" s="1648">
        <v>344028.50012699998</v>
      </c>
      <c r="LFH363" s="1648">
        <v>335387.28629100003</v>
      </c>
      <c r="LFI363" s="1648">
        <v>337602.67972299998</v>
      </c>
      <c r="LFJ363" s="1648">
        <v>210440.148116</v>
      </c>
      <c r="LFK363" s="1648">
        <v>330912.82974800002</v>
      </c>
      <c r="LFL363" s="1648">
        <v>321507.96580100001</v>
      </c>
      <c r="LFM363" s="1648">
        <v>310040.96500000003</v>
      </c>
      <c r="LFN363" s="1648">
        <v>306104.158</v>
      </c>
      <c r="LFO363" s="1648">
        <v>350079.51500000001</v>
      </c>
      <c r="LFP363" s="1648">
        <v>376736.01</v>
      </c>
      <c r="LFQ363" s="1648">
        <v>382165.86499999999</v>
      </c>
      <c r="LFR363" s="1648">
        <v>356897.57900000003</v>
      </c>
      <c r="LFS363" s="635">
        <v>3961904</v>
      </c>
      <c r="LFT363" s="633">
        <f>SUM(LFG363:LFR363)</f>
        <v>3961903.5018060002</v>
      </c>
      <c r="LFU363" s="919" t="s">
        <v>1837</v>
      </c>
      <c r="LFV363" s="1643" t="s">
        <v>1838</v>
      </c>
      <c r="LFW363" s="1648">
        <v>344028.50012699998</v>
      </c>
      <c r="LFX363" s="1648">
        <v>335387.28629100003</v>
      </c>
      <c r="LFY363" s="1648">
        <v>337602.67972299998</v>
      </c>
      <c r="LFZ363" s="1648">
        <v>210440.148116</v>
      </c>
      <c r="LGA363" s="1648">
        <v>330912.82974800002</v>
      </c>
      <c r="LGB363" s="1648">
        <v>321507.96580100001</v>
      </c>
      <c r="LGC363" s="1648">
        <v>310040.96500000003</v>
      </c>
      <c r="LGD363" s="1648">
        <v>306104.158</v>
      </c>
      <c r="LGE363" s="1648">
        <v>350079.51500000001</v>
      </c>
      <c r="LGF363" s="1648">
        <v>376736.01</v>
      </c>
      <c r="LGG363" s="1648">
        <v>382165.86499999999</v>
      </c>
      <c r="LGH363" s="1648">
        <v>356897.57900000003</v>
      </c>
      <c r="LGI363" s="635">
        <v>3961904</v>
      </c>
      <c r="LGJ363" s="633">
        <f>SUM(LFW363:LGH363)</f>
        <v>3961903.5018060002</v>
      </c>
      <c r="LGK363" s="919" t="s">
        <v>1837</v>
      </c>
      <c r="LGL363" s="1643" t="s">
        <v>1838</v>
      </c>
      <c r="LGM363" s="1648">
        <v>344028.50012699998</v>
      </c>
      <c r="LGN363" s="1648">
        <v>335387.28629100003</v>
      </c>
      <c r="LGO363" s="1648">
        <v>337602.67972299998</v>
      </c>
      <c r="LGP363" s="1648">
        <v>210440.148116</v>
      </c>
      <c r="LGQ363" s="1648">
        <v>330912.82974800002</v>
      </c>
      <c r="LGR363" s="1648">
        <v>321507.96580100001</v>
      </c>
      <c r="LGS363" s="1648">
        <v>310040.96500000003</v>
      </c>
      <c r="LGT363" s="1648">
        <v>306104.158</v>
      </c>
      <c r="LGU363" s="1648">
        <v>350079.51500000001</v>
      </c>
      <c r="LGV363" s="1648">
        <v>376736.01</v>
      </c>
      <c r="LGW363" s="1648">
        <v>382165.86499999999</v>
      </c>
      <c r="LGX363" s="1648">
        <v>356897.57900000003</v>
      </c>
      <c r="LGY363" s="635">
        <v>3961904</v>
      </c>
      <c r="LGZ363" s="633">
        <f>SUM(LGM363:LGX363)</f>
        <v>3961903.5018060002</v>
      </c>
      <c r="LHA363" s="919" t="s">
        <v>1837</v>
      </c>
      <c r="LHB363" s="1643" t="s">
        <v>1838</v>
      </c>
      <c r="LHC363" s="1648">
        <v>344028.50012699998</v>
      </c>
      <c r="LHD363" s="1648">
        <v>335387.28629100003</v>
      </c>
      <c r="LHE363" s="1648">
        <v>337602.67972299998</v>
      </c>
      <c r="LHF363" s="1648">
        <v>210440.148116</v>
      </c>
      <c r="LHG363" s="1648">
        <v>330912.82974800002</v>
      </c>
      <c r="LHH363" s="1648">
        <v>321507.96580100001</v>
      </c>
      <c r="LHI363" s="1648">
        <v>310040.96500000003</v>
      </c>
      <c r="LHJ363" s="1648">
        <v>306104.158</v>
      </c>
      <c r="LHK363" s="1648">
        <v>350079.51500000001</v>
      </c>
      <c r="LHL363" s="1648">
        <v>376736.01</v>
      </c>
      <c r="LHM363" s="1648">
        <v>382165.86499999999</v>
      </c>
      <c r="LHN363" s="1648">
        <v>356897.57900000003</v>
      </c>
      <c r="LHO363" s="635">
        <v>3961904</v>
      </c>
      <c r="LHP363" s="633">
        <f>SUM(LHC363:LHN363)</f>
        <v>3961903.5018060002</v>
      </c>
      <c r="LHQ363" s="919" t="s">
        <v>1837</v>
      </c>
      <c r="LHR363" s="1643" t="s">
        <v>1838</v>
      </c>
      <c r="LHS363" s="1648">
        <v>344028.50012699998</v>
      </c>
      <c r="LHT363" s="1648">
        <v>335387.28629100003</v>
      </c>
      <c r="LHU363" s="1648">
        <v>337602.67972299998</v>
      </c>
      <c r="LHV363" s="1648">
        <v>210440.148116</v>
      </c>
      <c r="LHW363" s="1648">
        <v>330912.82974800002</v>
      </c>
      <c r="LHX363" s="1648">
        <v>321507.96580100001</v>
      </c>
      <c r="LHY363" s="1648">
        <v>310040.96500000003</v>
      </c>
      <c r="LHZ363" s="1648">
        <v>306104.158</v>
      </c>
      <c r="LIA363" s="1648">
        <v>350079.51500000001</v>
      </c>
      <c r="LIB363" s="1648">
        <v>376736.01</v>
      </c>
      <c r="LIC363" s="1648">
        <v>382165.86499999999</v>
      </c>
      <c r="LID363" s="1648">
        <v>356897.57900000003</v>
      </c>
      <c r="LIE363" s="635">
        <v>3961904</v>
      </c>
      <c r="LIF363" s="633">
        <f>SUM(LHS363:LID363)</f>
        <v>3961903.5018060002</v>
      </c>
      <c r="LIG363" s="919" t="s">
        <v>1837</v>
      </c>
      <c r="LIH363" s="1643" t="s">
        <v>1838</v>
      </c>
      <c r="LII363" s="1648">
        <v>344028.50012699998</v>
      </c>
      <c r="LIJ363" s="1648">
        <v>335387.28629100003</v>
      </c>
      <c r="LIK363" s="1648">
        <v>337602.67972299998</v>
      </c>
      <c r="LIL363" s="1648">
        <v>210440.148116</v>
      </c>
      <c r="LIM363" s="1648">
        <v>330912.82974800002</v>
      </c>
      <c r="LIN363" s="1648">
        <v>321507.96580100001</v>
      </c>
      <c r="LIO363" s="1648">
        <v>310040.96500000003</v>
      </c>
      <c r="LIP363" s="1648">
        <v>306104.158</v>
      </c>
      <c r="LIQ363" s="1648">
        <v>350079.51500000001</v>
      </c>
      <c r="LIR363" s="1648">
        <v>376736.01</v>
      </c>
      <c r="LIS363" s="1648">
        <v>382165.86499999999</v>
      </c>
      <c r="LIT363" s="1648">
        <v>356897.57900000003</v>
      </c>
      <c r="LIU363" s="635">
        <v>3961904</v>
      </c>
      <c r="LIV363" s="633">
        <f>SUM(LII363:LIT363)</f>
        <v>3961903.5018060002</v>
      </c>
      <c r="LIW363" s="919" t="s">
        <v>1837</v>
      </c>
      <c r="LIX363" s="1643" t="s">
        <v>1838</v>
      </c>
      <c r="LIY363" s="1648">
        <v>344028.50012699998</v>
      </c>
      <c r="LIZ363" s="1648">
        <v>335387.28629100003</v>
      </c>
      <c r="LJA363" s="1648">
        <v>337602.67972299998</v>
      </c>
      <c r="LJB363" s="1648">
        <v>210440.148116</v>
      </c>
      <c r="LJC363" s="1648">
        <v>330912.82974800002</v>
      </c>
      <c r="LJD363" s="1648">
        <v>321507.96580100001</v>
      </c>
      <c r="LJE363" s="1648">
        <v>310040.96500000003</v>
      </c>
      <c r="LJF363" s="1648">
        <v>306104.158</v>
      </c>
      <c r="LJG363" s="1648">
        <v>350079.51500000001</v>
      </c>
      <c r="LJH363" s="1648">
        <v>376736.01</v>
      </c>
      <c r="LJI363" s="1648">
        <v>382165.86499999999</v>
      </c>
      <c r="LJJ363" s="1648">
        <v>356897.57900000003</v>
      </c>
      <c r="LJK363" s="635">
        <v>3961904</v>
      </c>
      <c r="LJL363" s="633">
        <f>SUM(LIY363:LJJ363)</f>
        <v>3961903.5018060002</v>
      </c>
      <c r="LJM363" s="919" t="s">
        <v>1837</v>
      </c>
      <c r="LJN363" s="1643" t="s">
        <v>1838</v>
      </c>
      <c r="LJO363" s="1648">
        <v>344028.50012699998</v>
      </c>
      <c r="LJP363" s="1648">
        <v>335387.28629100003</v>
      </c>
      <c r="LJQ363" s="1648">
        <v>337602.67972299998</v>
      </c>
      <c r="LJR363" s="1648">
        <v>210440.148116</v>
      </c>
      <c r="LJS363" s="1648">
        <v>330912.82974800002</v>
      </c>
      <c r="LJT363" s="1648">
        <v>321507.96580100001</v>
      </c>
      <c r="LJU363" s="1648">
        <v>310040.96500000003</v>
      </c>
      <c r="LJV363" s="1648">
        <v>306104.158</v>
      </c>
      <c r="LJW363" s="1648">
        <v>350079.51500000001</v>
      </c>
      <c r="LJX363" s="1648">
        <v>376736.01</v>
      </c>
      <c r="LJY363" s="1648">
        <v>382165.86499999999</v>
      </c>
      <c r="LJZ363" s="1648">
        <v>356897.57900000003</v>
      </c>
      <c r="LKA363" s="635">
        <v>3961904</v>
      </c>
      <c r="LKB363" s="633">
        <f>SUM(LJO363:LJZ363)</f>
        <v>3961903.5018060002</v>
      </c>
      <c r="LKC363" s="919" t="s">
        <v>1837</v>
      </c>
      <c r="LKD363" s="1643" t="s">
        <v>1838</v>
      </c>
      <c r="LKE363" s="1648">
        <v>344028.50012699998</v>
      </c>
      <c r="LKF363" s="1648">
        <v>335387.28629100003</v>
      </c>
      <c r="LKG363" s="1648">
        <v>337602.67972299998</v>
      </c>
      <c r="LKH363" s="1648">
        <v>210440.148116</v>
      </c>
      <c r="LKI363" s="1648">
        <v>330912.82974800002</v>
      </c>
      <c r="LKJ363" s="1648">
        <v>321507.96580100001</v>
      </c>
      <c r="LKK363" s="1648">
        <v>310040.96500000003</v>
      </c>
      <c r="LKL363" s="1648">
        <v>306104.158</v>
      </c>
      <c r="LKM363" s="1648">
        <v>350079.51500000001</v>
      </c>
      <c r="LKN363" s="1648">
        <v>376736.01</v>
      </c>
      <c r="LKO363" s="1648">
        <v>382165.86499999999</v>
      </c>
      <c r="LKP363" s="1648">
        <v>356897.57900000003</v>
      </c>
      <c r="LKQ363" s="635">
        <v>3961904</v>
      </c>
      <c r="LKR363" s="633">
        <f>SUM(LKE363:LKP363)</f>
        <v>3961903.5018060002</v>
      </c>
      <c r="LKS363" s="919" t="s">
        <v>1837</v>
      </c>
      <c r="LKT363" s="1643" t="s">
        <v>1838</v>
      </c>
      <c r="LKU363" s="1648">
        <v>344028.50012699998</v>
      </c>
      <c r="LKV363" s="1648">
        <v>335387.28629100003</v>
      </c>
      <c r="LKW363" s="1648">
        <v>337602.67972299998</v>
      </c>
      <c r="LKX363" s="1648">
        <v>210440.148116</v>
      </c>
      <c r="LKY363" s="1648">
        <v>330912.82974800002</v>
      </c>
      <c r="LKZ363" s="1648">
        <v>321507.96580100001</v>
      </c>
      <c r="LLA363" s="1648">
        <v>310040.96500000003</v>
      </c>
      <c r="LLB363" s="1648">
        <v>306104.158</v>
      </c>
      <c r="LLC363" s="1648">
        <v>350079.51500000001</v>
      </c>
      <c r="LLD363" s="1648">
        <v>376736.01</v>
      </c>
      <c r="LLE363" s="1648">
        <v>382165.86499999999</v>
      </c>
      <c r="LLF363" s="1648">
        <v>356897.57900000003</v>
      </c>
      <c r="LLG363" s="635">
        <v>3961904</v>
      </c>
      <c r="LLH363" s="633">
        <f>SUM(LKU363:LLF363)</f>
        <v>3961903.5018060002</v>
      </c>
      <c r="LLI363" s="919" t="s">
        <v>1837</v>
      </c>
      <c r="LLJ363" s="1643" t="s">
        <v>1838</v>
      </c>
      <c r="LLK363" s="1648">
        <v>344028.50012699998</v>
      </c>
      <c r="LLL363" s="1648">
        <v>335387.28629100003</v>
      </c>
      <c r="LLM363" s="1648">
        <v>337602.67972299998</v>
      </c>
      <c r="LLN363" s="1648">
        <v>210440.148116</v>
      </c>
      <c r="LLO363" s="1648">
        <v>330912.82974800002</v>
      </c>
      <c r="LLP363" s="1648">
        <v>321507.96580100001</v>
      </c>
      <c r="LLQ363" s="1648">
        <v>310040.96500000003</v>
      </c>
      <c r="LLR363" s="1648">
        <v>306104.158</v>
      </c>
      <c r="LLS363" s="1648">
        <v>350079.51500000001</v>
      </c>
      <c r="LLT363" s="1648">
        <v>376736.01</v>
      </c>
      <c r="LLU363" s="1648">
        <v>382165.86499999999</v>
      </c>
      <c r="LLV363" s="1648">
        <v>356897.57900000003</v>
      </c>
      <c r="LLW363" s="635">
        <v>3961904</v>
      </c>
      <c r="LLX363" s="633">
        <f>SUM(LLK363:LLV363)</f>
        <v>3961903.5018060002</v>
      </c>
      <c r="LLY363" s="919" t="s">
        <v>1837</v>
      </c>
      <c r="LLZ363" s="1643" t="s">
        <v>1838</v>
      </c>
      <c r="LMA363" s="1648">
        <v>344028.50012699998</v>
      </c>
      <c r="LMB363" s="1648">
        <v>335387.28629100003</v>
      </c>
      <c r="LMC363" s="1648">
        <v>337602.67972299998</v>
      </c>
      <c r="LMD363" s="1648">
        <v>210440.148116</v>
      </c>
      <c r="LME363" s="1648">
        <v>330912.82974800002</v>
      </c>
      <c r="LMF363" s="1648">
        <v>321507.96580100001</v>
      </c>
      <c r="LMG363" s="1648">
        <v>310040.96500000003</v>
      </c>
      <c r="LMH363" s="1648">
        <v>306104.158</v>
      </c>
      <c r="LMI363" s="1648">
        <v>350079.51500000001</v>
      </c>
      <c r="LMJ363" s="1648">
        <v>376736.01</v>
      </c>
      <c r="LMK363" s="1648">
        <v>382165.86499999999</v>
      </c>
      <c r="LML363" s="1648">
        <v>356897.57900000003</v>
      </c>
      <c r="LMM363" s="635">
        <v>3961904</v>
      </c>
      <c r="LMN363" s="633">
        <f>SUM(LMA363:LML363)</f>
        <v>3961903.5018060002</v>
      </c>
      <c r="LMO363" s="919" t="s">
        <v>1837</v>
      </c>
      <c r="LMP363" s="1643" t="s">
        <v>1838</v>
      </c>
      <c r="LMQ363" s="1648">
        <v>344028.50012699998</v>
      </c>
      <c r="LMR363" s="1648">
        <v>335387.28629100003</v>
      </c>
      <c r="LMS363" s="1648">
        <v>337602.67972299998</v>
      </c>
      <c r="LMT363" s="1648">
        <v>210440.148116</v>
      </c>
      <c r="LMU363" s="1648">
        <v>330912.82974800002</v>
      </c>
      <c r="LMV363" s="1648">
        <v>321507.96580100001</v>
      </c>
      <c r="LMW363" s="1648">
        <v>310040.96500000003</v>
      </c>
      <c r="LMX363" s="1648">
        <v>306104.158</v>
      </c>
      <c r="LMY363" s="1648">
        <v>350079.51500000001</v>
      </c>
      <c r="LMZ363" s="1648">
        <v>376736.01</v>
      </c>
      <c r="LNA363" s="1648">
        <v>382165.86499999999</v>
      </c>
      <c r="LNB363" s="1648">
        <v>356897.57900000003</v>
      </c>
      <c r="LNC363" s="635">
        <v>3961904</v>
      </c>
      <c r="LND363" s="633">
        <f>SUM(LMQ363:LNB363)</f>
        <v>3961903.5018060002</v>
      </c>
      <c r="LNE363" s="919" t="s">
        <v>1837</v>
      </c>
      <c r="LNF363" s="1643" t="s">
        <v>1838</v>
      </c>
      <c r="LNG363" s="1648">
        <v>344028.50012699998</v>
      </c>
      <c r="LNH363" s="1648">
        <v>335387.28629100003</v>
      </c>
      <c r="LNI363" s="1648">
        <v>337602.67972299998</v>
      </c>
      <c r="LNJ363" s="1648">
        <v>210440.148116</v>
      </c>
      <c r="LNK363" s="1648">
        <v>330912.82974800002</v>
      </c>
      <c r="LNL363" s="1648">
        <v>321507.96580100001</v>
      </c>
      <c r="LNM363" s="1648">
        <v>310040.96500000003</v>
      </c>
      <c r="LNN363" s="1648">
        <v>306104.158</v>
      </c>
      <c r="LNO363" s="1648">
        <v>350079.51500000001</v>
      </c>
      <c r="LNP363" s="1648">
        <v>376736.01</v>
      </c>
      <c r="LNQ363" s="1648">
        <v>382165.86499999999</v>
      </c>
      <c r="LNR363" s="1648">
        <v>356897.57900000003</v>
      </c>
      <c r="LNS363" s="635">
        <v>3961904</v>
      </c>
      <c r="LNT363" s="633">
        <f>SUM(LNG363:LNR363)</f>
        <v>3961903.5018060002</v>
      </c>
      <c r="LNU363" s="919" t="s">
        <v>1837</v>
      </c>
      <c r="LNV363" s="1643" t="s">
        <v>1838</v>
      </c>
      <c r="LNW363" s="1648">
        <v>344028.50012699998</v>
      </c>
      <c r="LNX363" s="1648">
        <v>335387.28629100003</v>
      </c>
      <c r="LNY363" s="1648">
        <v>337602.67972299998</v>
      </c>
      <c r="LNZ363" s="1648">
        <v>210440.148116</v>
      </c>
      <c r="LOA363" s="1648">
        <v>330912.82974800002</v>
      </c>
      <c r="LOB363" s="1648">
        <v>321507.96580100001</v>
      </c>
      <c r="LOC363" s="1648">
        <v>310040.96500000003</v>
      </c>
      <c r="LOD363" s="1648">
        <v>306104.158</v>
      </c>
      <c r="LOE363" s="1648">
        <v>350079.51500000001</v>
      </c>
      <c r="LOF363" s="1648">
        <v>376736.01</v>
      </c>
      <c r="LOG363" s="1648">
        <v>382165.86499999999</v>
      </c>
      <c r="LOH363" s="1648">
        <v>356897.57900000003</v>
      </c>
      <c r="LOI363" s="635">
        <v>3961904</v>
      </c>
      <c r="LOJ363" s="633">
        <f>SUM(LNW363:LOH363)</f>
        <v>3961903.5018060002</v>
      </c>
      <c r="LOK363" s="919" t="s">
        <v>1837</v>
      </c>
      <c r="LOL363" s="1643" t="s">
        <v>1838</v>
      </c>
      <c r="LOM363" s="1648">
        <v>344028.50012699998</v>
      </c>
      <c r="LON363" s="1648">
        <v>335387.28629100003</v>
      </c>
      <c r="LOO363" s="1648">
        <v>337602.67972299998</v>
      </c>
      <c r="LOP363" s="1648">
        <v>210440.148116</v>
      </c>
      <c r="LOQ363" s="1648">
        <v>330912.82974800002</v>
      </c>
      <c r="LOR363" s="1648">
        <v>321507.96580100001</v>
      </c>
      <c r="LOS363" s="1648">
        <v>310040.96500000003</v>
      </c>
      <c r="LOT363" s="1648">
        <v>306104.158</v>
      </c>
      <c r="LOU363" s="1648">
        <v>350079.51500000001</v>
      </c>
      <c r="LOV363" s="1648">
        <v>376736.01</v>
      </c>
      <c r="LOW363" s="1648">
        <v>382165.86499999999</v>
      </c>
      <c r="LOX363" s="1648">
        <v>356897.57900000003</v>
      </c>
      <c r="LOY363" s="635">
        <v>3961904</v>
      </c>
      <c r="LOZ363" s="633">
        <f>SUM(LOM363:LOX363)</f>
        <v>3961903.5018060002</v>
      </c>
      <c r="LPA363" s="919" t="s">
        <v>1837</v>
      </c>
      <c r="LPB363" s="1643" t="s">
        <v>1838</v>
      </c>
      <c r="LPC363" s="1648">
        <v>344028.50012699998</v>
      </c>
      <c r="LPD363" s="1648">
        <v>335387.28629100003</v>
      </c>
      <c r="LPE363" s="1648">
        <v>337602.67972299998</v>
      </c>
      <c r="LPF363" s="1648">
        <v>210440.148116</v>
      </c>
      <c r="LPG363" s="1648">
        <v>330912.82974800002</v>
      </c>
      <c r="LPH363" s="1648">
        <v>321507.96580100001</v>
      </c>
      <c r="LPI363" s="1648">
        <v>310040.96500000003</v>
      </c>
      <c r="LPJ363" s="1648">
        <v>306104.158</v>
      </c>
      <c r="LPK363" s="1648">
        <v>350079.51500000001</v>
      </c>
      <c r="LPL363" s="1648">
        <v>376736.01</v>
      </c>
      <c r="LPM363" s="1648">
        <v>382165.86499999999</v>
      </c>
      <c r="LPN363" s="1648">
        <v>356897.57900000003</v>
      </c>
      <c r="LPO363" s="635">
        <v>3961904</v>
      </c>
      <c r="LPP363" s="633">
        <f>SUM(LPC363:LPN363)</f>
        <v>3961903.5018060002</v>
      </c>
      <c r="LPQ363" s="919" t="s">
        <v>1837</v>
      </c>
      <c r="LPR363" s="1643" t="s">
        <v>1838</v>
      </c>
      <c r="LPS363" s="1648">
        <v>344028.50012699998</v>
      </c>
      <c r="LPT363" s="1648">
        <v>335387.28629100003</v>
      </c>
      <c r="LPU363" s="1648">
        <v>337602.67972299998</v>
      </c>
      <c r="LPV363" s="1648">
        <v>210440.148116</v>
      </c>
      <c r="LPW363" s="1648">
        <v>330912.82974800002</v>
      </c>
      <c r="LPX363" s="1648">
        <v>321507.96580100001</v>
      </c>
      <c r="LPY363" s="1648">
        <v>310040.96500000003</v>
      </c>
      <c r="LPZ363" s="1648">
        <v>306104.158</v>
      </c>
      <c r="LQA363" s="1648">
        <v>350079.51500000001</v>
      </c>
      <c r="LQB363" s="1648">
        <v>376736.01</v>
      </c>
      <c r="LQC363" s="1648">
        <v>382165.86499999999</v>
      </c>
      <c r="LQD363" s="1648">
        <v>356897.57900000003</v>
      </c>
      <c r="LQE363" s="635">
        <v>3961904</v>
      </c>
      <c r="LQF363" s="633">
        <f>SUM(LPS363:LQD363)</f>
        <v>3961903.5018060002</v>
      </c>
      <c r="LQG363" s="919" t="s">
        <v>1837</v>
      </c>
      <c r="LQH363" s="1643" t="s">
        <v>1838</v>
      </c>
      <c r="LQI363" s="1648">
        <v>344028.50012699998</v>
      </c>
      <c r="LQJ363" s="1648">
        <v>335387.28629100003</v>
      </c>
      <c r="LQK363" s="1648">
        <v>337602.67972299998</v>
      </c>
      <c r="LQL363" s="1648">
        <v>210440.148116</v>
      </c>
      <c r="LQM363" s="1648">
        <v>330912.82974800002</v>
      </c>
      <c r="LQN363" s="1648">
        <v>321507.96580100001</v>
      </c>
      <c r="LQO363" s="1648">
        <v>310040.96500000003</v>
      </c>
      <c r="LQP363" s="1648">
        <v>306104.158</v>
      </c>
      <c r="LQQ363" s="1648">
        <v>350079.51500000001</v>
      </c>
      <c r="LQR363" s="1648">
        <v>376736.01</v>
      </c>
      <c r="LQS363" s="1648">
        <v>382165.86499999999</v>
      </c>
      <c r="LQT363" s="1648">
        <v>356897.57900000003</v>
      </c>
      <c r="LQU363" s="635">
        <v>3961904</v>
      </c>
      <c r="LQV363" s="633">
        <f>SUM(LQI363:LQT363)</f>
        <v>3961903.5018060002</v>
      </c>
      <c r="LQW363" s="919" t="s">
        <v>1837</v>
      </c>
      <c r="LQX363" s="1643" t="s">
        <v>1838</v>
      </c>
      <c r="LQY363" s="1648">
        <v>344028.50012699998</v>
      </c>
      <c r="LQZ363" s="1648">
        <v>335387.28629100003</v>
      </c>
      <c r="LRA363" s="1648">
        <v>337602.67972299998</v>
      </c>
      <c r="LRB363" s="1648">
        <v>210440.148116</v>
      </c>
      <c r="LRC363" s="1648">
        <v>330912.82974800002</v>
      </c>
      <c r="LRD363" s="1648">
        <v>321507.96580100001</v>
      </c>
      <c r="LRE363" s="1648">
        <v>310040.96500000003</v>
      </c>
      <c r="LRF363" s="1648">
        <v>306104.158</v>
      </c>
      <c r="LRG363" s="1648">
        <v>350079.51500000001</v>
      </c>
      <c r="LRH363" s="1648">
        <v>376736.01</v>
      </c>
      <c r="LRI363" s="1648">
        <v>382165.86499999999</v>
      </c>
      <c r="LRJ363" s="1648">
        <v>356897.57900000003</v>
      </c>
      <c r="LRK363" s="635">
        <v>3961904</v>
      </c>
      <c r="LRL363" s="633">
        <f>SUM(LQY363:LRJ363)</f>
        <v>3961903.5018060002</v>
      </c>
      <c r="LRM363" s="919" t="s">
        <v>1837</v>
      </c>
      <c r="LRN363" s="1643" t="s">
        <v>1838</v>
      </c>
      <c r="LRO363" s="1648">
        <v>344028.50012699998</v>
      </c>
      <c r="LRP363" s="1648">
        <v>335387.28629100003</v>
      </c>
      <c r="LRQ363" s="1648">
        <v>337602.67972299998</v>
      </c>
      <c r="LRR363" s="1648">
        <v>210440.148116</v>
      </c>
      <c r="LRS363" s="1648">
        <v>330912.82974800002</v>
      </c>
      <c r="LRT363" s="1648">
        <v>321507.96580100001</v>
      </c>
      <c r="LRU363" s="1648">
        <v>310040.96500000003</v>
      </c>
      <c r="LRV363" s="1648">
        <v>306104.158</v>
      </c>
      <c r="LRW363" s="1648">
        <v>350079.51500000001</v>
      </c>
      <c r="LRX363" s="1648">
        <v>376736.01</v>
      </c>
      <c r="LRY363" s="1648">
        <v>382165.86499999999</v>
      </c>
      <c r="LRZ363" s="1648">
        <v>356897.57900000003</v>
      </c>
      <c r="LSA363" s="635">
        <v>3961904</v>
      </c>
      <c r="LSB363" s="633">
        <f>SUM(LRO363:LRZ363)</f>
        <v>3961903.5018060002</v>
      </c>
      <c r="LSC363" s="919" t="s">
        <v>1837</v>
      </c>
      <c r="LSD363" s="1643" t="s">
        <v>1838</v>
      </c>
      <c r="LSE363" s="1648">
        <v>344028.50012699998</v>
      </c>
      <c r="LSF363" s="1648">
        <v>335387.28629100003</v>
      </c>
      <c r="LSG363" s="1648">
        <v>337602.67972299998</v>
      </c>
      <c r="LSH363" s="1648">
        <v>210440.148116</v>
      </c>
      <c r="LSI363" s="1648">
        <v>330912.82974800002</v>
      </c>
      <c r="LSJ363" s="1648">
        <v>321507.96580100001</v>
      </c>
      <c r="LSK363" s="1648">
        <v>310040.96500000003</v>
      </c>
      <c r="LSL363" s="1648">
        <v>306104.158</v>
      </c>
      <c r="LSM363" s="1648">
        <v>350079.51500000001</v>
      </c>
      <c r="LSN363" s="1648">
        <v>376736.01</v>
      </c>
      <c r="LSO363" s="1648">
        <v>382165.86499999999</v>
      </c>
      <c r="LSP363" s="1648">
        <v>356897.57900000003</v>
      </c>
      <c r="LSQ363" s="635">
        <v>3961904</v>
      </c>
      <c r="LSR363" s="633">
        <f>SUM(LSE363:LSP363)</f>
        <v>3961903.5018060002</v>
      </c>
      <c r="LSS363" s="919" t="s">
        <v>1837</v>
      </c>
      <c r="LST363" s="1643" t="s">
        <v>1838</v>
      </c>
      <c r="LSU363" s="1648">
        <v>344028.50012699998</v>
      </c>
      <c r="LSV363" s="1648">
        <v>335387.28629100003</v>
      </c>
      <c r="LSW363" s="1648">
        <v>337602.67972299998</v>
      </c>
      <c r="LSX363" s="1648">
        <v>210440.148116</v>
      </c>
      <c r="LSY363" s="1648">
        <v>330912.82974800002</v>
      </c>
      <c r="LSZ363" s="1648">
        <v>321507.96580100001</v>
      </c>
      <c r="LTA363" s="1648">
        <v>310040.96500000003</v>
      </c>
      <c r="LTB363" s="1648">
        <v>306104.158</v>
      </c>
      <c r="LTC363" s="1648">
        <v>350079.51500000001</v>
      </c>
      <c r="LTD363" s="1648">
        <v>376736.01</v>
      </c>
      <c r="LTE363" s="1648">
        <v>382165.86499999999</v>
      </c>
      <c r="LTF363" s="1648">
        <v>356897.57900000003</v>
      </c>
      <c r="LTG363" s="635">
        <v>3961904</v>
      </c>
      <c r="LTH363" s="633">
        <f>SUM(LSU363:LTF363)</f>
        <v>3961903.5018060002</v>
      </c>
      <c r="LTI363" s="919" t="s">
        <v>1837</v>
      </c>
      <c r="LTJ363" s="1643" t="s">
        <v>1838</v>
      </c>
      <c r="LTK363" s="1648">
        <v>344028.50012699998</v>
      </c>
      <c r="LTL363" s="1648">
        <v>335387.28629100003</v>
      </c>
      <c r="LTM363" s="1648">
        <v>337602.67972299998</v>
      </c>
      <c r="LTN363" s="1648">
        <v>210440.148116</v>
      </c>
      <c r="LTO363" s="1648">
        <v>330912.82974800002</v>
      </c>
      <c r="LTP363" s="1648">
        <v>321507.96580100001</v>
      </c>
      <c r="LTQ363" s="1648">
        <v>310040.96500000003</v>
      </c>
      <c r="LTR363" s="1648">
        <v>306104.158</v>
      </c>
      <c r="LTS363" s="1648">
        <v>350079.51500000001</v>
      </c>
      <c r="LTT363" s="1648">
        <v>376736.01</v>
      </c>
      <c r="LTU363" s="1648">
        <v>382165.86499999999</v>
      </c>
      <c r="LTV363" s="1648">
        <v>356897.57900000003</v>
      </c>
      <c r="LTW363" s="635">
        <v>3961904</v>
      </c>
      <c r="LTX363" s="633">
        <f>SUM(LTK363:LTV363)</f>
        <v>3961903.5018060002</v>
      </c>
      <c r="LTY363" s="919" t="s">
        <v>1837</v>
      </c>
      <c r="LTZ363" s="1643" t="s">
        <v>1838</v>
      </c>
      <c r="LUA363" s="1648">
        <v>344028.50012699998</v>
      </c>
      <c r="LUB363" s="1648">
        <v>335387.28629100003</v>
      </c>
      <c r="LUC363" s="1648">
        <v>337602.67972299998</v>
      </c>
      <c r="LUD363" s="1648">
        <v>210440.148116</v>
      </c>
      <c r="LUE363" s="1648">
        <v>330912.82974800002</v>
      </c>
      <c r="LUF363" s="1648">
        <v>321507.96580100001</v>
      </c>
      <c r="LUG363" s="1648">
        <v>310040.96500000003</v>
      </c>
      <c r="LUH363" s="1648">
        <v>306104.158</v>
      </c>
      <c r="LUI363" s="1648">
        <v>350079.51500000001</v>
      </c>
      <c r="LUJ363" s="1648">
        <v>376736.01</v>
      </c>
      <c r="LUK363" s="1648">
        <v>382165.86499999999</v>
      </c>
      <c r="LUL363" s="1648">
        <v>356897.57900000003</v>
      </c>
      <c r="LUM363" s="635">
        <v>3961904</v>
      </c>
      <c r="LUN363" s="633">
        <f>SUM(LUA363:LUL363)</f>
        <v>3961903.5018060002</v>
      </c>
      <c r="LUO363" s="919" t="s">
        <v>1837</v>
      </c>
      <c r="LUP363" s="1643" t="s">
        <v>1838</v>
      </c>
      <c r="LUQ363" s="1648">
        <v>344028.50012699998</v>
      </c>
      <c r="LUR363" s="1648">
        <v>335387.28629100003</v>
      </c>
      <c r="LUS363" s="1648">
        <v>337602.67972299998</v>
      </c>
      <c r="LUT363" s="1648">
        <v>210440.148116</v>
      </c>
      <c r="LUU363" s="1648">
        <v>330912.82974800002</v>
      </c>
      <c r="LUV363" s="1648">
        <v>321507.96580100001</v>
      </c>
      <c r="LUW363" s="1648">
        <v>310040.96500000003</v>
      </c>
      <c r="LUX363" s="1648">
        <v>306104.158</v>
      </c>
      <c r="LUY363" s="1648">
        <v>350079.51500000001</v>
      </c>
      <c r="LUZ363" s="1648">
        <v>376736.01</v>
      </c>
      <c r="LVA363" s="1648">
        <v>382165.86499999999</v>
      </c>
      <c r="LVB363" s="1648">
        <v>356897.57900000003</v>
      </c>
      <c r="LVC363" s="635">
        <v>3961904</v>
      </c>
      <c r="LVD363" s="633">
        <f>SUM(LUQ363:LVB363)</f>
        <v>3961903.5018060002</v>
      </c>
      <c r="LVE363" s="919" t="s">
        <v>1837</v>
      </c>
      <c r="LVF363" s="1643" t="s">
        <v>1838</v>
      </c>
      <c r="LVG363" s="1648">
        <v>344028.50012699998</v>
      </c>
      <c r="LVH363" s="1648">
        <v>335387.28629100003</v>
      </c>
      <c r="LVI363" s="1648">
        <v>337602.67972299998</v>
      </c>
      <c r="LVJ363" s="1648">
        <v>210440.148116</v>
      </c>
      <c r="LVK363" s="1648">
        <v>330912.82974800002</v>
      </c>
      <c r="LVL363" s="1648">
        <v>321507.96580100001</v>
      </c>
      <c r="LVM363" s="1648">
        <v>310040.96500000003</v>
      </c>
      <c r="LVN363" s="1648">
        <v>306104.158</v>
      </c>
      <c r="LVO363" s="1648">
        <v>350079.51500000001</v>
      </c>
      <c r="LVP363" s="1648">
        <v>376736.01</v>
      </c>
      <c r="LVQ363" s="1648">
        <v>382165.86499999999</v>
      </c>
      <c r="LVR363" s="1648">
        <v>356897.57900000003</v>
      </c>
      <c r="LVS363" s="635">
        <v>3961904</v>
      </c>
      <c r="LVT363" s="633">
        <f>SUM(LVG363:LVR363)</f>
        <v>3961903.5018060002</v>
      </c>
      <c r="LVU363" s="919" t="s">
        <v>1837</v>
      </c>
      <c r="LVV363" s="1643" t="s">
        <v>1838</v>
      </c>
      <c r="LVW363" s="1648">
        <v>344028.50012699998</v>
      </c>
      <c r="LVX363" s="1648">
        <v>335387.28629100003</v>
      </c>
      <c r="LVY363" s="1648">
        <v>337602.67972299998</v>
      </c>
      <c r="LVZ363" s="1648">
        <v>210440.148116</v>
      </c>
      <c r="LWA363" s="1648">
        <v>330912.82974800002</v>
      </c>
      <c r="LWB363" s="1648">
        <v>321507.96580100001</v>
      </c>
      <c r="LWC363" s="1648">
        <v>310040.96500000003</v>
      </c>
      <c r="LWD363" s="1648">
        <v>306104.158</v>
      </c>
      <c r="LWE363" s="1648">
        <v>350079.51500000001</v>
      </c>
      <c r="LWF363" s="1648">
        <v>376736.01</v>
      </c>
      <c r="LWG363" s="1648">
        <v>382165.86499999999</v>
      </c>
      <c r="LWH363" s="1648">
        <v>356897.57900000003</v>
      </c>
      <c r="LWI363" s="635">
        <v>3961904</v>
      </c>
      <c r="LWJ363" s="633">
        <f>SUM(LVW363:LWH363)</f>
        <v>3961903.5018060002</v>
      </c>
      <c r="LWK363" s="919" t="s">
        <v>1837</v>
      </c>
      <c r="LWL363" s="1643" t="s">
        <v>1838</v>
      </c>
      <c r="LWM363" s="1648">
        <v>344028.50012699998</v>
      </c>
      <c r="LWN363" s="1648">
        <v>335387.28629100003</v>
      </c>
      <c r="LWO363" s="1648">
        <v>337602.67972299998</v>
      </c>
      <c r="LWP363" s="1648">
        <v>210440.148116</v>
      </c>
      <c r="LWQ363" s="1648">
        <v>330912.82974800002</v>
      </c>
      <c r="LWR363" s="1648">
        <v>321507.96580100001</v>
      </c>
      <c r="LWS363" s="1648">
        <v>310040.96500000003</v>
      </c>
      <c r="LWT363" s="1648">
        <v>306104.158</v>
      </c>
      <c r="LWU363" s="1648">
        <v>350079.51500000001</v>
      </c>
      <c r="LWV363" s="1648">
        <v>376736.01</v>
      </c>
      <c r="LWW363" s="1648">
        <v>382165.86499999999</v>
      </c>
      <c r="LWX363" s="1648">
        <v>356897.57900000003</v>
      </c>
      <c r="LWY363" s="635">
        <v>3961904</v>
      </c>
      <c r="LWZ363" s="633">
        <f>SUM(LWM363:LWX363)</f>
        <v>3961903.5018060002</v>
      </c>
      <c r="LXA363" s="919" t="s">
        <v>1837</v>
      </c>
      <c r="LXB363" s="1643" t="s">
        <v>1838</v>
      </c>
      <c r="LXC363" s="1648">
        <v>344028.50012699998</v>
      </c>
      <c r="LXD363" s="1648">
        <v>335387.28629100003</v>
      </c>
      <c r="LXE363" s="1648">
        <v>337602.67972299998</v>
      </c>
      <c r="LXF363" s="1648">
        <v>210440.148116</v>
      </c>
      <c r="LXG363" s="1648">
        <v>330912.82974800002</v>
      </c>
      <c r="LXH363" s="1648">
        <v>321507.96580100001</v>
      </c>
      <c r="LXI363" s="1648">
        <v>310040.96500000003</v>
      </c>
      <c r="LXJ363" s="1648">
        <v>306104.158</v>
      </c>
      <c r="LXK363" s="1648">
        <v>350079.51500000001</v>
      </c>
      <c r="LXL363" s="1648">
        <v>376736.01</v>
      </c>
      <c r="LXM363" s="1648">
        <v>382165.86499999999</v>
      </c>
      <c r="LXN363" s="1648">
        <v>356897.57900000003</v>
      </c>
      <c r="LXO363" s="635">
        <v>3961904</v>
      </c>
      <c r="LXP363" s="633">
        <f>SUM(LXC363:LXN363)</f>
        <v>3961903.5018060002</v>
      </c>
      <c r="LXQ363" s="919" t="s">
        <v>1837</v>
      </c>
      <c r="LXR363" s="1643" t="s">
        <v>1838</v>
      </c>
      <c r="LXS363" s="1648">
        <v>344028.50012699998</v>
      </c>
      <c r="LXT363" s="1648">
        <v>335387.28629100003</v>
      </c>
      <c r="LXU363" s="1648">
        <v>337602.67972299998</v>
      </c>
      <c r="LXV363" s="1648">
        <v>210440.148116</v>
      </c>
      <c r="LXW363" s="1648">
        <v>330912.82974800002</v>
      </c>
      <c r="LXX363" s="1648">
        <v>321507.96580100001</v>
      </c>
      <c r="LXY363" s="1648">
        <v>310040.96500000003</v>
      </c>
      <c r="LXZ363" s="1648">
        <v>306104.158</v>
      </c>
      <c r="LYA363" s="1648">
        <v>350079.51500000001</v>
      </c>
      <c r="LYB363" s="1648">
        <v>376736.01</v>
      </c>
      <c r="LYC363" s="1648">
        <v>382165.86499999999</v>
      </c>
      <c r="LYD363" s="1648">
        <v>356897.57900000003</v>
      </c>
      <c r="LYE363" s="635">
        <v>3961904</v>
      </c>
      <c r="LYF363" s="633">
        <f>SUM(LXS363:LYD363)</f>
        <v>3961903.5018060002</v>
      </c>
      <c r="LYG363" s="919" t="s">
        <v>1837</v>
      </c>
      <c r="LYH363" s="1643" t="s">
        <v>1838</v>
      </c>
      <c r="LYI363" s="1648">
        <v>344028.50012699998</v>
      </c>
      <c r="LYJ363" s="1648">
        <v>335387.28629100003</v>
      </c>
      <c r="LYK363" s="1648">
        <v>337602.67972299998</v>
      </c>
      <c r="LYL363" s="1648">
        <v>210440.148116</v>
      </c>
      <c r="LYM363" s="1648">
        <v>330912.82974800002</v>
      </c>
      <c r="LYN363" s="1648">
        <v>321507.96580100001</v>
      </c>
      <c r="LYO363" s="1648">
        <v>310040.96500000003</v>
      </c>
      <c r="LYP363" s="1648">
        <v>306104.158</v>
      </c>
      <c r="LYQ363" s="1648">
        <v>350079.51500000001</v>
      </c>
      <c r="LYR363" s="1648">
        <v>376736.01</v>
      </c>
      <c r="LYS363" s="1648">
        <v>382165.86499999999</v>
      </c>
      <c r="LYT363" s="1648">
        <v>356897.57900000003</v>
      </c>
      <c r="LYU363" s="635">
        <v>3961904</v>
      </c>
      <c r="LYV363" s="633">
        <f>SUM(LYI363:LYT363)</f>
        <v>3961903.5018060002</v>
      </c>
      <c r="LYW363" s="919" t="s">
        <v>1837</v>
      </c>
      <c r="LYX363" s="1643" t="s">
        <v>1838</v>
      </c>
      <c r="LYY363" s="1648">
        <v>344028.50012699998</v>
      </c>
      <c r="LYZ363" s="1648">
        <v>335387.28629100003</v>
      </c>
      <c r="LZA363" s="1648">
        <v>337602.67972299998</v>
      </c>
      <c r="LZB363" s="1648">
        <v>210440.148116</v>
      </c>
      <c r="LZC363" s="1648">
        <v>330912.82974800002</v>
      </c>
      <c r="LZD363" s="1648">
        <v>321507.96580100001</v>
      </c>
      <c r="LZE363" s="1648">
        <v>310040.96500000003</v>
      </c>
      <c r="LZF363" s="1648">
        <v>306104.158</v>
      </c>
      <c r="LZG363" s="1648">
        <v>350079.51500000001</v>
      </c>
      <c r="LZH363" s="1648">
        <v>376736.01</v>
      </c>
      <c r="LZI363" s="1648">
        <v>382165.86499999999</v>
      </c>
      <c r="LZJ363" s="1648">
        <v>356897.57900000003</v>
      </c>
      <c r="LZK363" s="635">
        <v>3961904</v>
      </c>
      <c r="LZL363" s="633">
        <f>SUM(LYY363:LZJ363)</f>
        <v>3961903.5018060002</v>
      </c>
      <c r="LZM363" s="919" t="s">
        <v>1837</v>
      </c>
      <c r="LZN363" s="1643" t="s">
        <v>1838</v>
      </c>
      <c r="LZO363" s="1648">
        <v>344028.50012699998</v>
      </c>
      <c r="LZP363" s="1648">
        <v>335387.28629100003</v>
      </c>
      <c r="LZQ363" s="1648">
        <v>337602.67972299998</v>
      </c>
      <c r="LZR363" s="1648">
        <v>210440.148116</v>
      </c>
      <c r="LZS363" s="1648">
        <v>330912.82974800002</v>
      </c>
      <c r="LZT363" s="1648">
        <v>321507.96580100001</v>
      </c>
      <c r="LZU363" s="1648">
        <v>310040.96500000003</v>
      </c>
      <c r="LZV363" s="1648">
        <v>306104.158</v>
      </c>
      <c r="LZW363" s="1648">
        <v>350079.51500000001</v>
      </c>
      <c r="LZX363" s="1648">
        <v>376736.01</v>
      </c>
      <c r="LZY363" s="1648">
        <v>382165.86499999999</v>
      </c>
      <c r="LZZ363" s="1648">
        <v>356897.57900000003</v>
      </c>
      <c r="MAA363" s="635">
        <v>3961904</v>
      </c>
      <c r="MAB363" s="633">
        <f>SUM(LZO363:LZZ363)</f>
        <v>3961903.5018060002</v>
      </c>
      <c r="MAC363" s="919" t="s">
        <v>1837</v>
      </c>
      <c r="MAD363" s="1643" t="s">
        <v>1838</v>
      </c>
      <c r="MAE363" s="1648">
        <v>344028.50012699998</v>
      </c>
      <c r="MAF363" s="1648">
        <v>335387.28629100003</v>
      </c>
      <c r="MAG363" s="1648">
        <v>337602.67972299998</v>
      </c>
      <c r="MAH363" s="1648">
        <v>210440.148116</v>
      </c>
      <c r="MAI363" s="1648">
        <v>330912.82974800002</v>
      </c>
      <c r="MAJ363" s="1648">
        <v>321507.96580100001</v>
      </c>
      <c r="MAK363" s="1648">
        <v>310040.96500000003</v>
      </c>
      <c r="MAL363" s="1648">
        <v>306104.158</v>
      </c>
      <c r="MAM363" s="1648">
        <v>350079.51500000001</v>
      </c>
      <c r="MAN363" s="1648">
        <v>376736.01</v>
      </c>
      <c r="MAO363" s="1648">
        <v>382165.86499999999</v>
      </c>
      <c r="MAP363" s="1648">
        <v>356897.57900000003</v>
      </c>
      <c r="MAQ363" s="635">
        <v>3961904</v>
      </c>
      <c r="MAR363" s="633">
        <f>SUM(MAE363:MAP363)</f>
        <v>3961903.5018060002</v>
      </c>
      <c r="MAS363" s="919" t="s">
        <v>1837</v>
      </c>
      <c r="MAT363" s="1643" t="s">
        <v>1838</v>
      </c>
      <c r="MAU363" s="1648">
        <v>344028.50012699998</v>
      </c>
      <c r="MAV363" s="1648">
        <v>335387.28629100003</v>
      </c>
      <c r="MAW363" s="1648">
        <v>337602.67972299998</v>
      </c>
      <c r="MAX363" s="1648">
        <v>210440.148116</v>
      </c>
      <c r="MAY363" s="1648">
        <v>330912.82974800002</v>
      </c>
      <c r="MAZ363" s="1648">
        <v>321507.96580100001</v>
      </c>
      <c r="MBA363" s="1648">
        <v>310040.96500000003</v>
      </c>
      <c r="MBB363" s="1648">
        <v>306104.158</v>
      </c>
      <c r="MBC363" s="1648">
        <v>350079.51500000001</v>
      </c>
      <c r="MBD363" s="1648">
        <v>376736.01</v>
      </c>
      <c r="MBE363" s="1648">
        <v>382165.86499999999</v>
      </c>
      <c r="MBF363" s="1648">
        <v>356897.57900000003</v>
      </c>
      <c r="MBG363" s="635">
        <v>3961904</v>
      </c>
      <c r="MBH363" s="633">
        <f>SUM(MAU363:MBF363)</f>
        <v>3961903.5018060002</v>
      </c>
      <c r="MBI363" s="919" t="s">
        <v>1837</v>
      </c>
      <c r="MBJ363" s="1643" t="s">
        <v>1838</v>
      </c>
      <c r="MBK363" s="1648">
        <v>344028.50012699998</v>
      </c>
      <c r="MBL363" s="1648">
        <v>335387.28629100003</v>
      </c>
      <c r="MBM363" s="1648">
        <v>337602.67972299998</v>
      </c>
      <c r="MBN363" s="1648">
        <v>210440.148116</v>
      </c>
      <c r="MBO363" s="1648">
        <v>330912.82974800002</v>
      </c>
      <c r="MBP363" s="1648">
        <v>321507.96580100001</v>
      </c>
      <c r="MBQ363" s="1648">
        <v>310040.96500000003</v>
      </c>
      <c r="MBR363" s="1648">
        <v>306104.158</v>
      </c>
      <c r="MBS363" s="1648">
        <v>350079.51500000001</v>
      </c>
      <c r="MBT363" s="1648">
        <v>376736.01</v>
      </c>
      <c r="MBU363" s="1648">
        <v>382165.86499999999</v>
      </c>
      <c r="MBV363" s="1648">
        <v>356897.57900000003</v>
      </c>
      <c r="MBW363" s="635">
        <v>3961904</v>
      </c>
      <c r="MBX363" s="633">
        <f>SUM(MBK363:MBV363)</f>
        <v>3961903.5018060002</v>
      </c>
      <c r="MBY363" s="919" t="s">
        <v>1837</v>
      </c>
      <c r="MBZ363" s="1643" t="s">
        <v>1838</v>
      </c>
      <c r="MCA363" s="1648">
        <v>344028.50012699998</v>
      </c>
      <c r="MCB363" s="1648">
        <v>335387.28629100003</v>
      </c>
      <c r="MCC363" s="1648">
        <v>337602.67972299998</v>
      </c>
      <c r="MCD363" s="1648">
        <v>210440.148116</v>
      </c>
      <c r="MCE363" s="1648">
        <v>330912.82974800002</v>
      </c>
      <c r="MCF363" s="1648">
        <v>321507.96580100001</v>
      </c>
      <c r="MCG363" s="1648">
        <v>310040.96500000003</v>
      </c>
      <c r="MCH363" s="1648">
        <v>306104.158</v>
      </c>
      <c r="MCI363" s="1648">
        <v>350079.51500000001</v>
      </c>
      <c r="MCJ363" s="1648">
        <v>376736.01</v>
      </c>
      <c r="MCK363" s="1648">
        <v>382165.86499999999</v>
      </c>
      <c r="MCL363" s="1648">
        <v>356897.57900000003</v>
      </c>
      <c r="MCM363" s="635">
        <v>3961904</v>
      </c>
      <c r="MCN363" s="633">
        <f>SUM(MCA363:MCL363)</f>
        <v>3961903.5018060002</v>
      </c>
      <c r="MCO363" s="919" t="s">
        <v>1837</v>
      </c>
      <c r="MCP363" s="1643" t="s">
        <v>1838</v>
      </c>
      <c r="MCQ363" s="1648">
        <v>344028.50012699998</v>
      </c>
      <c r="MCR363" s="1648">
        <v>335387.28629100003</v>
      </c>
      <c r="MCS363" s="1648">
        <v>337602.67972299998</v>
      </c>
      <c r="MCT363" s="1648">
        <v>210440.148116</v>
      </c>
      <c r="MCU363" s="1648">
        <v>330912.82974800002</v>
      </c>
      <c r="MCV363" s="1648">
        <v>321507.96580100001</v>
      </c>
      <c r="MCW363" s="1648">
        <v>310040.96500000003</v>
      </c>
      <c r="MCX363" s="1648">
        <v>306104.158</v>
      </c>
      <c r="MCY363" s="1648">
        <v>350079.51500000001</v>
      </c>
      <c r="MCZ363" s="1648">
        <v>376736.01</v>
      </c>
      <c r="MDA363" s="1648">
        <v>382165.86499999999</v>
      </c>
      <c r="MDB363" s="1648">
        <v>356897.57900000003</v>
      </c>
      <c r="MDC363" s="635">
        <v>3961904</v>
      </c>
      <c r="MDD363" s="633">
        <f>SUM(MCQ363:MDB363)</f>
        <v>3961903.5018060002</v>
      </c>
      <c r="MDE363" s="919" t="s">
        <v>1837</v>
      </c>
      <c r="MDF363" s="1643" t="s">
        <v>1838</v>
      </c>
      <c r="MDG363" s="1648">
        <v>344028.50012699998</v>
      </c>
      <c r="MDH363" s="1648">
        <v>335387.28629100003</v>
      </c>
      <c r="MDI363" s="1648">
        <v>337602.67972299998</v>
      </c>
      <c r="MDJ363" s="1648">
        <v>210440.148116</v>
      </c>
      <c r="MDK363" s="1648">
        <v>330912.82974800002</v>
      </c>
      <c r="MDL363" s="1648">
        <v>321507.96580100001</v>
      </c>
      <c r="MDM363" s="1648">
        <v>310040.96500000003</v>
      </c>
      <c r="MDN363" s="1648">
        <v>306104.158</v>
      </c>
      <c r="MDO363" s="1648">
        <v>350079.51500000001</v>
      </c>
      <c r="MDP363" s="1648">
        <v>376736.01</v>
      </c>
      <c r="MDQ363" s="1648">
        <v>382165.86499999999</v>
      </c>
      <c r="MDR363" s="1648">
        <v>356897.57900000003</v>
      </c>
      <c r="MDS363" s="635">
        <v>3961904</v>
      </c>
      <c r="MDT363" s="633">
        <f>SUM(MDG363:MDR363)</f>
        <v>3961903.5018060002</v>
      </c>
      <c r="MDU363" s="919" t="s">
        <v>1837</v>
      </c>
      <c r="MDV363" s="1643" t="s">
        <v>1838</v>
      </c>
      <c r="MDW363" s="1648">
        <v>344028.50012699998</v>
      </c>
      <c r="MDX363" s="1648">
        <v>335387.28629100003</v>
      </c>
      <c r="MDY363" s="1648">
        <v>337602.67972299998</v>
      </c>
      <c r="MDZ363" s="1648">
        <v>210440.148116</v>
      </c>
      <c r="MEA363" s="1648">
        <v>330912.82974800002</v>
      </c>
      <c r="MEB363" s="1648">
        <v>321507.96580100001</v>
      </c>
      <c r="MEC363" s="1648">
        <v>310040.96500000003</v>
      </c>
      <c r="MED363" s="1648">
        <v>306104.158</v>
      </c>
      <c r="MEE363" s="1648">
        <v>350079.51500000001</v>
      </c>
      <c r="MEF363" s="1648">
        <v>376736.01</v>
      </c>
      <c r="MEG363" s="1648">
        <v>382165.86499999999</v>
      </c>
      <c r="MEH363" s="1648">
        <v>356897.57900000003</v>
      </c>
      <c r="MEI363" s="635">
        <v>3961904</v>
      </c>
      <c r="MEJ363" s="633">
        <f>SUM(MDW363:MEH363)</f>
        <v>3961903.5018060002</v>
      </c>
      <c r="MEK363" s="919" t="s">
        <v>1837</v>
      </c>
      <c r="MEL363" s="1643" t="s">
        <v>1838</v>
      </c>
      <c r="MEM363" s="1648">
        <v>344028.50012699998</v>
      </c>
      <c r="MEN363" s="1648">
        <v>335387.28629100003</v>
      </c>
      <c r="MEO363" s="1648">
        <v>337602.67972299998</v>
      </c>
      <c r="MEP363" s="1648">
        <v>210440.148116</v>
      </c>
      <c r="MEQ363" s="1648">
        <v>330912.82974800002</v>
      </c>
      <c r="MER363" s="1648">
        <v>321507.96580100001</v>
      </c>
      <c r="MES363" s="1648">
        <v>310040.96500000003</v>
      </c>
      <c r="MET363" s="1648">
        <v>306104.158</v>
      </c>
      <c r="MEU363" s="1648">
        <v>350079.51500000001</v>
      </c>
      <c r="MEV363" s="1648">
        <v>376736.01</v>
      </c>
      <c r="MEW363" s="1648">
        <v>382165.86499999999</v>
      </c>
      <c r="MEX363" s="1648">
        <v>356897.57900000003</v>
      </c>
      <c r="MEY363" s="635">
        <v>3961904</v>
      </c>
      <c r="MEZ363" s="633">
        <f>SUM(MEM363:MEX363)</f>
        <v>3961903.5018060002</v>
      </c>
      <c r="MFA363" s="919" t="s">
        <v>1837</v>
      </c>
      <c r="MFB363" s="1643" t="s">
        <v>1838</v>
      </c>
      <c r="MFC363" s="1648">
        <v>344028.50012699998</v>
      </c>
      <c r="MFD363" s="1648">
        <v>335387.28629100003</v>
      </c>
      <c r="MFE363" s="1648">
        <v>337602.67972299998</v>
      </c>
      <c r="MFF363" s="1648">
        <v>210440.148116</v>
      </c>
      <c r="MFG363" s="1648">
        <v>330912.82974800002</v>
      </c>
      <c r="MFH363" s="1648">
        <v>321507.96580100001</v>
      </c>
      <c r="MFI363" s="1648">
        <v>310040.96500000003</v>
      </c>
      <c r="MFJ363" s="1648">
        <v>306104.158</v>
      </c>
      <c r="MFK363" s="1648">
        <v>350079.51500000001</v>
      </c>
      <c r="MFL363" s="1648">
        <v>376736.01</v>
      </c>
      <c r="MFM363" s="1648">
        <v>382165.86499999999</v>
      </c>
      <c r="MFN363" s="1648">
        <v>356897.57900000003</v>
      </c>
      <c r="MFO363" s="635">
        <v>3961904</v>
      </c>
      <c r="MFP363" s="633">
        <f>SUM(MFC363:MFN363)</f>
        <v>3961903.5018060002</v>
      </c>
      <c r="MFQ363" s="919" t="s">
        <v>1837</v>
      </c>
      <c r="MFR363" s="1643" t="s">
        <v>1838</v>
      </c>
      <c r="MFS363" s="1648">
        <v>344028.50012699998</v>
      </c>
      <c r="MFT363" s="1648">
        <v>335387.28629100003</v>
      </c>
      <c r="MFU363" s="1648">
        <v>337602.67972299998</v>
      </c>
      <c r="MFV363" s="1648">
        <v>210440.148116</v>
      </c>
      <c r="MFW363" s="1648">
        <v>330912.82974800002</v>
      </c>
      <c r="MFX363" s="1648">
        <v>321507.96580100001</v>
      </c>
      <c r="MFY363" s="1648">
        <v>310040.96500000003</v>
      </c>
      <c r="MFZ363" s="1648">
        <v>306104.158</v>
      </c>
      <c r="MGA363" s="1648">
        <v>350079.51500000001</v>
      </c>
      <c r="MGB363" s="1648">
        <v>376736.01</v>
      </c>
      <c r="MGC363" s="1648">
        <v>382165.86499999999</v>
      </c>
      <c r="MGD363" s="1648">
        <v>356897.57900000003</v>
      </c>
      <c r="MGE363" s="635">
        <v>3961904</v>
      </c>
      <c r="MGF363" s="633">
        <f>SUM(MFS363:MGD363)</f>
        <v>3961903.5018060002</v>
      </c>
      <c r="MGG363" s="919" t="s">
        <v>1837</v>
      </c>
      <c r="MGH363" s="1643" t="s">
        <v>1838</v>
      </c>
      <c r="MGI363" s="1648">
        <v>344028.50012699998</v>
      </c>
      <c r="MGJ363" s="1648">
        <v>335387.28629100003</v>
      </c>
      <c r="MGK363" s="1648">
        <v>337602.67972299998</v>
      </c>
      <c r="MGL363" s="1648">
        <v>210440.148116</v>
      </c>
      <c r="MGM363" s="1648">
        <v>330912.82974800002</v>
      </c>
      <c r="MGN363" s="1648">
        <v>321507.96580100001</v>
      </c>
      <c r="MGO363" s="1648">
        <v>310040.96500000003</v>
      </c>
      <c r="MGP363" s="1648">
        <v>306104.158</v>
      </c>
      <c r="MGQ363" s="1648">
        <v>350079.51500000001</v>
      </c>
      <c r="MGR363" s="1648">
        <v>376736.01</v>
      </c>
      <c r="MGS363" s="1648">
        <v>382165.86499999999</v>
      </c>
      <c r="MGT363" s="1648">
        <v>356897.57900000003</v>
      </c>
      <c r="MGU363" s="635">
        <v>3961904</v>
      </c>
      <c r="MGV363" s="633">
        <f>SUM(MGI363:MGT363)</f>
        <v>3961903.5018060002</v>
      </c>
      <c r="MGW363" s="919" t="s">
        <v>1837</v>
      </c>
      <c r="MGX363" s="1643" t="s">
        <v>1838</v>
      </c>
      <c r="MGY363" s="1648">
        <v>344028.50012699998</v>
      </c>
      <c r="MGZ363" s="1648">
        <v>335387.28629100003</v>
      </c>
      <c r="MHA363" s="1648">
        <v>337602.67972299998</v>
      </c>
      <c r="MHB363" s="1648">
        <v>210440.148116</v>
      </c>
      <c r="MHC363" s="1648">
        <v>330912.82974800002</v>
      </c>
      <c r="MHD363" s="1648">
        <v>321507.96580100001</v>
      </c>
      <c r="MHE363" s="1648">
        <v>310040.96500000003</v>
      </c>
      <c r="MHF363" s="1648">
        <v>306104.158</v>
      </c>
      <c r="MHG363" s="1648">
        <v>350079.51500000001</v>
      </c>
      <c r="MHH363" s="1648">
        <v>376736.01</v>
      </c>
      <c r="MHI363" s="1648">
        <v>382165.86499999999</v>
      </c>
      <c r="MHJ363" s="1648">
        <v>356897.57900000003</v>
      </c>
      <c r="MHK363" s="635">
        <v>3961904</v>
      </c>
      <c r="MHL363" s="633">
        <f>SUM(MGY363:MHJ363)</f>
        <v>3961903.5018060002</v>
      </c>
      <c r="MHM363" s="919" t="s">
        <v>1837</v>
      </c>
      <c r="MHN363" s="1643" t="s">
        <v>1838</v>
      </c>
      <c r="MHO363" s="1648">
        <v>344028.50012699998</v>
      </c>
      <c r="MHP363" s="1648">
        <v>335387.28629100003</v>
      </c>
      <c r="MHQ363" s="1648">
        <v>337602.67972299998</v>
      </c>
      <c r="MHR363" s="1648">
        <v>210440.148116</v>
      </c>
      <c r="MHS363" s="1648">
        <v>330912.82974800002</v>
      </c>
      <c r="MHT363" s="1648">
        <v>321507.96580100001</v>
      </c>
      <c r="MHU363" s="1648">
        <v>310040.96500000003</v>
      </c>
      <c r="MHV363" s="1648">
        <v>306104.158</v>
      </c>
      <c r="MHW363" s="1648">
        <v>350079.51500000001</v>
      </c>
      <c r="MHX363" s="1648">
        <v>376736.01</v>
      </c>
      <c r="MHY363" s="1648">
        <v>382165.86499999999</v>
      </c>
      <c r="MHZ363" s="1648">
        <v>356897.57900000003</v>
      </c>
      <c r="MIA363" s="635">
        <v>3961904</v>
      </c>
      <c r="MIB363" s="633">
        <f>SUM(MHO363:MHZ363)</f>
        <v>3961903.5018060002</v>
      </c>
      <c r="MIC363" s="919" t="s">
        <v>1837</v>
      </c>
      <c r="MID363" s="1643" t="s">
        <v>1838</v>
      </c>
      <c r="MIE363" s="1648">
        <v>344028.50012699998</v>
      </c>
      <c r="MIF363" s="1648">
        <v>335387.28629100003</v>
      </c>
      <c r="MIG363" s="1648">
        <v>337602.67972299998</v>
      </c>
      <c r="MIH363" s="1648">
        <v>210440.148116</v>
      </c>
      <c r="MII363" s="1648">
        <v>330912.82974800002</v>
      </c>
      <c r="MIJ363" s="1648">
        <v>321507.96580100001</v>
      </c>
      <c r="MIK363" s="1648">
        <v>310040.96500000003</v>
      </c>
      <c r="MIL363" s="1648">
        <v>306104.158</v>
      </c>
      <c r="MIM363" s="1648">
        <v>350079.51500000001</v>
      </c>
      <c r="MIN363" s="1648">
        <v>376736.01</v>
      </c>
      <c r="MIO363" s="1648">
        <v>382165.86499999999</v>
      </c>
      <c r="MIP363" s="1648">
        <v>356897.57900000003</v>
      </c>
      <c r="MIQ363" s="635">
        <v>3961904</v>
      </c>
      <c r="MIR363" s="633">
        <f>SUM(MIE363:MIP363)</f>
        <v>3961903.5018060002</v>
      </c>
      <c r="MIS363" s="919" t="s">
        <v>1837</v>
      </c>
      <c r="MIT363" s="1643" t="s">
        <v>1838</v>
      </c>
      <c r="MIU363" s="1648">
        <v>344028.50012699998</v>
      </c>
      <c r="MIV363" s="1648">
        <v>335387.28629100003</v>
      </c>
      <c r="MIW363" s="1648">
        <v>337602.67972299998</v>
      </c>
      <c r="MIX363" s="1648">
        <v>210440.148116</v>
      </c>
      <c r="MIY363" s="1648">
        <v>330912.82974800002</v>
      </c>
      <c r="MIZ363" s="1648">
        <v>321507.96580100001</v>
      </c>
      <c r="MJA363" s="1648">
        <v>310040.96500000003</v>
      </c>
      <c r="MJB363" s="1648">
        <v>306104.158</v>
      </c>
      <c r="MJC363" s="1648">
        <v>350079.51500000001</v>
      </c>
      <c r="MJD363" s="1648">
        <v>376736.01</v>
      </c>
      <c r="MJE363" s="1648">
        <v>382165.86499999999</v>
      </c>
      <c r="MJF363" s="1648">
        <v>356897.57900000003</v>
      </c>
      <c r="MJG363" s="635">
        <v>3961904</v>
      </c>
      <c r="MJH363" s="633">
        <f>SUM(MIU363:MJF363)</f>
        <v>3961903.5018060002</v>
      </c>
      <c r="MJI363" s="919" t="s">
        <v>1837</v>
      </c>
      <c r="MJJ363" s="1643" t="s">
        <v>1838</v>
      </c>
      <c r="MJK363" s="1648">
        <v>344028.50012699998</v>
      </c>
      <c r="MJL363" s="1648">
        <v>335387.28629100003</v>
      </c>
      <c r="MJM363" s="1648">
        <v>337602.67972299998</v>
      </c>
      <c r="MJN363" s="1648">
        <v>210440.148116</v>
      </c>
      <c r="MJO363" s="1648">
        <v>330912.82974800002</v>
      </c>
      <c r="MJP363" s="1648">
        <v>321507.96580100001</v>
      </c>
      <c r="MJQ363" s="1648">
        <v>310040.96500000003</v>
      </c>
      <c r="MJR363" s="1648">
        <v>306104.158</v>
      </c>
      <c r="MJS363" s="1648">
        <v>350079.51500000001</v>
      </c>
      <c r="MJT363" s="1648">
        <v>376736.01</v>
      </c>
      <c r="MJU363" s="1648">
        <v>382165.86499999999</v>
      </c>
      <c r="MJV363" s="1648">
        <v>356897.57900000003</v>
      </c>
      <c r="MJW363" s="635">
        <v>3961904</v>
      </c>
      <c r="MJX363" s="633">
        <f>SUM(MJK363:MJV363)</f>
        <v>3961903.5018060002</v>
      </c>
      <c r="MJY363" s="919" t="s">
        <v>1837</v>
      </c>
      <c r="MJZ363" s="1643" t="s">
        <v>1838</v>
      </c>
      <c r="MKA363" s="1648">
        <v>344028.50012699998</v>
      </c>
      <c r="MKB363" s="1648">
        <v>335387.28629100003</v>
      </c>
      <c r="MKC363" s="1648">
        <v>337602.67972299998</v>
      </c>
      <c r="MKD363" s="1648">
        <v>210440.148116</v>
      </c>
      <c r="MKE363" s="1648">
        <v>330912.82974800002</v>
      </c>
      <c r="MKF363" s="1648">
        <v>321507.96580100001</v>
      </c>
      <c r="MKG363" s="1648">
        <v>310040.96500000003</v>
      </c>
      <c r="MKH363" s="1648">
        <v>306104.158</v>
      </c>
      <c r="MKI363" s="1648">
        <v>350079.51500000001</v>
      </c>
      <c r="MKJ363" s="1648">
        <v>376736.01</v>
      </c>
      <c r="MKK363" s="1648">
        <v>382165.86499999999</v>
      </c>
      <c r="MKL363" s="1648">
        <v>356897.57900000003</v>
      </c>
      <c r="MKM363" s="635">
        <v>3961904</v>
      </c>
      <c r="MKN363" s="633">
        <f>SUM(MKA363:MKL363)</f>
        <v>3961903.5018060002</v>
      </c>
      <c r="MKO363" s="919" t="s">
        <v>1837</v>
      </c>
      <c r="MKP363" s="1643" t="s">
        <v>1838</v>
      </c>
      <c r="MKQ363" s="1648">
        <v>344028.50012699998</v>
      </c>
      <c r="MKR363" s="1648">
        <v>335387.28629100003</v>
      </c>
      <c r="MKS363" s="1648">
        <v>337602.67972299998</v>
      </c>
      <c r="MKT363" s="1648">
        <v>210440.148116</v>
      </c>
      <c r="MKU363" s="1648">
        <v>330912.82974800002</v>
      </c>
      <c r="MKV363" s="1648">
        <v>321507.96580100001</v>
      </c>
      <c r="MKW363" s="1648">
        <v>310040.96500000003</v>
      </c>
      <c r="MKX363" s="1648">
        <v>306104.158</v>
      </c>
      <c r="MKY363" s="1648">
        <v>350079.51500000001</v>
      </c>
      <c r="MKZ363" s="1648">
        <v>376736.01</v>
      </c>
      <c r="MLA363" s="1648">
        <v>382165.86499999999</v>
      </c>
      <c r="MLB363" s="1648">
        <v>356897.57900000003</v>
      </c>
      <c r="MLC363" s="635">
        <v>3961904</v>
      </c>
      <c r="MLD363" s="633">
        <f>SUM(MKQ363:MLB363)</f>
        <v>3961903.5018060002</v>
      </c>
      <c r="MLE363" s="919" t="s">
        <v>1837</v>
      </c>
      <c r="MLF363" s="1643" t="s">
        <v>1838</v>
      </c>
      <c r="MLG363" s="1648">
        <v>344028.50012699998</v>
      </c>
      <c r="MLH363" s="1648">
        <v>335387.28629100003</v>
      </c>
      <c r="MLI363" s="1648">
        <v>337602.67972299998</v>
      </c>
      <c r="MLJ363" s="1648">
        <v>210440.148116</v>
      </c>
      <c r="MLK363" s="1648">
        <v>330912.82974800002</v>
      </c>
      <c r="MLL363" s="1648">
        <v>321507.96580100001</v>
      </c>
      <c r="MLM363" s="1648">
        <v>310040.96500000003</v>
      </c>
      <c r="MLN363" s="1648">
        <v>306104.158</v>
      </c>
      <c r="MLO363" s="1648">
        <v>350079.51500000001</v>
      </c>
      <c r="MLP363" s="1648">
        <v>376736.01</v>
      </c>
      <c r="MLQ363" s="1648">
        <v>382165.86499999999</v>
      </c>
      <c r="MLR363" s="1648">
        <v>356897.57900000003</v>
      </c>
      <c r="MLS363" s="635">
        <v>3961904</v>
      </c>
      <c r="MLT363" s="633">
        <f>SUM(MLG363:MLR363)</f>
        <v>3961903.5018060002</v>
      </c>
      <c r="MLU363" s="919" t="s">
        <v>1837</v>
      </c>
      <c r="MLV363" s="1643" t="s">
        <v>1838</v>
      </c>
      <c r="MLW363" s="1648">
        <v>344028.50012699998</v>
      </c>
      <c r="MLX363" s="1648">
        <v>335387.28629100003</v>
      </c>
      <c r="MLY363" s="1648">
        <v>337602.67972299998</v>
      </c>
      <c r="MLZ363" s="1648">
        <v>210440.148116</v>
      </c>
      <c r="MMA363" s="1648">
        <v>330912.82974800002</v>
      </c>
      <c r="MMB363" s="1648">
        <v>321507.96580100001</v>
      </c>
      <c r="MMC363" s="1648">
        <v>310040.96500000003</v>
      </c>
      <c r="MMD363" s="1648">
        <v>306104.158</v>
      </c>
      <c r="MME363" s="1648">
        <v>350079.51500000001</v>
      </c>
      <c r="MMF363" s="1648">
        <v>376736.01</v>
      </c>
      <c r="MMG363" s="1648">
        <v>382165.86499999999</v>
      </c>
      <c r="MMH363" s="1648">
        <v>356897.57900000003</v>
      </c>
      <c r="MMI363" s="635">
        <v>3961904</v>
      </c>
      <c r="MMJ363" s="633">
        <f>SUM(MLW363:MMH363)</f>
        <v>3961903.5018060002</v>
      </c>
      <c r="MMK363" s="919" t="s">
        <v>1837</v>
      </c>
      <c r="MML363" s="1643" t="s">
        <v>1838</v>
      </c>
      <c r="MMM363" s="1648">
        <v>344028.50012699998</v>
      </c>
      <c r="MMN363" s="1648">
        <v>335387.28629100003</v>
      </c>
      <c r="MMO363" s="1648">
        <v>337602.67972299998</v>
      </c>
      <c r="MMP363" s="1648">
        <v>210440.148116</v>
      </c>
      <c r="MMQ363" s="1648">
        <v>330912.82974800002</v>
      </c>
      <c r="MMR363" s="1648">
        <v>321507.96580100001</v>
      </c>
      <c r="MMS363" s="1648">
        <v>310040.96500000003</v>
      </c>
      <c r="MMT363" s="1648">
        <v>306104.158</v>
      </c>
      <c r="MMU363" s="1648">
        <v>350079.51500000001</v>
      </c>
      <c r="MMV363" s="1648">
        <v>376736.01</v>
      </c>
      <c r="MMW363" s="1648">
        <v>382165.86499999999</v>
      </c>
      <c r="MMX363" s="1648">
        <v>356897.57900000003</v>
      </c>
      <c r="MMY363" s="635">
        <v>3961904</v>
      </c>
      <c r="MMZ363" s="633">
        <f>SUM(MMM363:MMX363)</f>
        <v>3961903.5018060002</v>
      </c>
      <c r="MNA363" s="919" t="s">
        <v>1837</v>
      </c>
      <c r="MNB363" s="1643" t="s">
        <v>1838</v>
      </c>
      <c r="MNC363" s="1648">
        <v>344028.50012699998</v>
      </c>
      <c r="MND363" s="1648">
        <v>335387.28629100003</v>
      </c>
      <c r="MNE363" s="1648">
        <v>337602.67972299998</v>
      </c>
      <c r="MNF363" s="1648">
        <v>210440.148116</v>
      </c>
      <c r="MNG363" s="1648">
        <v>330912.82974800002</v>
      </c>
      <c r="MNH363" s="1648">
        <v>321507.96580100001</v>
      </c>
      <c r="MNI363" s="1648">
        <v>310040.96500000003</v>
      </c>
      <c r="MNJ363" s="1648">
        <v>306104.158</v>
      </c>
      <c r="MNK363" s="1648">
        <v>350079.51500000001</v>
      </c>
      <c r="MNL363" s="1648">
        <v>376736.01</v>
      </c>
      <c r="MNM363" s="1648">
        <v>382165.86499999999</v>
      </c>
      <c r="MNN363" s="1648">
        <v>356897.57900000003</v>
      </c>
      <c r="MNO363" s="635">
        <v>3961904</v>
      </c>
      <c r="MNP363" s="633">
        <f>SUM(MNC363:MNN363)</f>
        <v>3961903.5018060002</v>
      </c>
      <c r="MNQ363" s="919" t="s">
        <v>1837</v>
      </c>
      <c r="MNR363" s="1643" t="s">
        <v>1838</v>
      </c>
      <c r="MNS363" s="1648">
        <v>344028.50012699998</v>
      </c>
      <c r="MNT363" s="1648">
        <v>335387.28629100003</v>
      </c>
      <c r="MNU363" s="1648">
        <v>337602.67972299998</v>
      </c>
      <c r="MNV363" s="1648">
        <v>210440.148116</v>
      </c>
      <c r="MNW363" s="1648">
        <v>330912.82974800002</v>
      </c>
      <c r="MNX363" s="1648">
        <v>321507.96580100001</v>
      </c>
      <c r="MNY363" s="1648">
        <v>310040.96500000003</v>
      </c>
      <c r="MNZ363" s="1648">
        <v>306104.158</v>
      </c>
      <c r="MOA363" s="1648">
        <v>350079.51500000001</v>
      </c>
      <c r="MOB363" s="1648">
        <v>376736.01</v>
      </c>
      <c r="MOC363" s="1648">
        <v>382165.86499999999</v>
      </c>
      <c r="MOD363" s="1648">
        <v>356897.57900000003</v>
      </c>
      <c r="MOE363" s="635">
        <v>3961904</v>
      </c>
      <c r="MOF363" s="633">
        <f>SUM(MNS363:MOD363)</f>
        <v>3961903.5018060002</v>
      </c>
      <c r="MOG363" s="919" t="s">
        <v>1837</v>
      </c>
      <c r="MOH363" s="1643" t="s">
        <v>1838</v>
      </c>
      <c r="MOI363" s="1648">
        <v>344028.50012699998</v>
      </c>
      <c r="MOJ363" s="1648">
        <v>335387.28629100003</v>
      </c>
      <c r="MOK363" s="1648">
        <v>337602.67972299998</v>
      </c>
      <c r="MOL363" s="1648">
        <v>210440.148116</v>
      </c>
      <c r="MOM363" s="1648">
        <v>330912.82974800002</v>
      </c>
      <c r="MON363" s="1648">
        <v>321507.96580100001</v>
      </c>
      <c r="MOO363" s="1648">
        <v>310040.96500000003</v>
      </c>
      <c r="MOP363" s="1648">
        <v>306104.158</v>
      </c>
      <c r="MOQ363" s="1648">
        <v>350079.51500000001</v>
      </c>
      <c r="MOR363" s="1648">
        <v>376736.01</v>
      </c>
      <c r="MOS363" s="1648">
        <v>382165.86499999999</v>
      </c>
      <c r="MOT363" s="1648">
        <v>356897.57900000003</v>
      </c>
      <c r="MOU363" s="635">
        <v>3961904</v>
      </c>
      <c r="MOV363" s="633">
        <f>SUM(MOI363:MOT363)</f>
        <v>3961903.5018060002</v>
      </c>
      <c r="MOW363" s="919" t="s">
        <v>1837</v>
      </c>
      <c r="MOX363" s="1643" t="s">
        <v>1838</v>
      </c>
      <c r="MOY363" s="1648">
        <v>344028.50012699998</v>
      </c>
      <c r="MOZ363" s="1648">
        <v>335387.28629100003</v>
      </c>
      <c r="MPA363" s="1648">
        <v>337602.67972299998</v>
      </c>
      <c r="MPB363" s="1648">
        <v>210440.148116</v>
      </c>
      <c r="MPC363" s="1648">
        <v>330912.82974800002</v>
      </c>
      <c r="MPD363" s="1648">
        <v>321507.96580100001</v>
      </c>
      <c r="MPE363" s="1648">
        <v>310040.96500000003</v>
      </c>
      <c r="MPF363" s="1648">
        <v>306104.158</v>
      </c>
      <c r="MPG363" s="1648">
        <v>350079.51500000001</v>
      </c>
      <c r="MPH363" s="1648">
        <v>376736.01</v>
      </c>
      <c r="MPI363" s="1648">
        <v>382165.86499999999</v>
      </c>
      <c r="MPJ363" s="1648">
        <v>356897.57900000003</v>
      </c>
      <c r="MPK363" s="635">
        <v>3961904</v>
      </c>
      <c r="MPL363" s="633">
        <f>SUM(MOY363:MPJ363)</f>
        <v>3961903.5018060002</v>
      </c>
      <c r="MPM363" s="919" t="s">
        <v>1837</v>
      </c>
      <c r="MPN363" s="1643" t="s">
        <v>1838</v>
      </c>
      <c r="MPO363" s="1648">
        <v>344028.50012699998</v>
      </c>
      <c r="MPP363" s="1648">
        <v>335387.28629100003</v>
      </c>
      <c r="MPQ363" s="1648">
        <v>337602.67972299998</v>
      </c>
      <c r="MPR363" s="1648">
        <v>210440.148116</v>
      </c>
      <c r="MPS363" s="1648">
        <v>330912.82974800002</v>
      </c>
      <c r="MPT363" s="1648">
        <v>321507.96580100001</v>
      </c>
      <c r="MPU363" s="1648">
        <v>310040.96500000003</v>
      </c>
      <c r="MPV363" s="1648">
        <v>306104.158</v>
      </c>
      <c r="MPW363" s="1648">
        <v>350079.51500000001</v>
      </c>
      <c r="MPX363" s="1648">
        <v>376736.01</v>
      </c>
      <c r="MPY363" s="1648">
        <v>382165.86499999999</v>
      </c>
      <c r="MPZ363" s="1648">
        <v>356897.57900000003</v>
      </c>
      <c r="MQA363" s="635">
        <v>3961904</v>
      </c>
      <c r="MQB363" s="633">
        <f>SUM(MPO363:MPZ363)</f>
        <v>3961903.5018060002</v>
      </c>
      <c r="MQC363" s="919" t="s">
        <v>1837</v>
      </c>
      <c r="MQD363" s="1643" t="s">
        <v>1838</v>
      </c>
      <c r="MQE363" s="1648">
        <v>344028.50012699998</v>
      </c>
      <c r="MQF363" s="1648">
        <v>335387.28629100003</v>
      </c>
      <c r="MQG363" s="1648">
        <v>337602.67972299998</v>
      </c>
      <c r="MQH363" s="1648">
        <v>210440.148116</v>
      </c>
      <c r="MQI363" s="1648">
        <v>330912.82974800002</v>
      </c>
      <c r="MQJ363" s="1648">
        <v>321507.96580100001</v>
      </c>
      <c r="MQK363" s="1648">
        <v>310040.96500000003</v>
      </c>
      <c r="MQL363" s="1648">
        <v>306104.158</v>
      </c>
      <c r="MQM363" s="1648">
        <v>350079.51500000001</v>
      </c>
      <c r="MQN363" s="1648">
        <v>376736.01</v>
      </c>
      <c r="MQO363" s="1648">
        <v>382165.86499999999</v>
      </c>
      <c r="MQP363" s="1648">
        <v>356897.57900000003</v>
      </c>
      <c r="MQQ363" s="635">
        <v>3961904</v>
      </c>
      <c r="MQR363" s="633">
        <f>SUM(MQE363:MQP363)</f>
        <v>3961903.5018060002</v>
      </c>
      <c r="MQS363" s="919" t="s">
        <v>1837</v>
      </c>
      <c r="MQT363" s="1643" t="s">
        <v>1838</v>
      </c>
      <c r="MQU363" s="1648">
        <v>344028.50012699998</v>
      </c>
      <c r="MQV363" s="1648">
        <v>335387.28629100003</v>
      </c>
      <c r="MQW363" s="1648">
        <v>337602.67972299998</v>
      </c>
      <c r="MQX363" s="1648">
        <v>210440.148116</v>
      </c>
      <c r="MQY363" s="1648">
        <v>330912.82974800002</v>
      </c>
      <c r="MQZ363" s="1648">
        <v>321507.96580100001</v>
      </c>
      <c r="MRA363" s="1648">
        <v>310040.96500000003</v>
      </c>
      <c r="MRB363" s="1648">
        <v>306104.158</v>
      </c>
      <c r="MRC363" s="1648">
        <v>350079.51500000001</v>
      </c>
      <c r="MRD363" s="1648">
        <v>376736.01</v>
      </c>
      <c r="MRE363" s="1648">
        <v>382165.86499999999</v>
      </c>
      <c r="MRF363" s="1648">
        <v>356897.57900000003</v>
      </c>
      <c r="MRG363" s="635">
        <v>3961904</v>
      </c>
      <c r="MRH363" s="633">
        <f>SUM(MQU363:MRF363)</f>
        <v>3961903.5018060002</v>
      </c>
      <c r="MRI363" s="919" t="s">
        <v>1837</v>
      </c>
      <c r="MRJ363" s="1643" t="s">
        <v>1838</v>
      </c>
      <c r="MRK363" s="1648">
        <v>344028.50012699998</v>
      </c>
      <c r="MRL363" s="1648">
        <v>335387.28629100003</v>
      </c>
      <c r="MRM363" s="1648">
        <v>337602.67972299998</v>
      </c>
      <c r="MRN363" s="1648">
        <v>210440.148116</v>
      </c>
      <c r="MRO363" s="1648">
        <v>330912.82974800002</v>
      </c>
      <c r="MRP363" s="1648">
        <v>321507.96580100001</v>
      </c>
      <c r="MRQ363" s="1648">
        <v>310040.96500000003</v>
      </c>
      <c r="MRR363" s="1648">
        <v>306104.158</v>
      </c>
      <c r="MRS363" s="1648">
        <v>350079.51500000001</v>
      </c>
      <c r="MRT363" s="1648">
        <v>376736.01</v>
      </c>
      <c r="MRU363" s="1648">
        <v>382165.86499999999</v>
      </c>
      <c r="MRV363" s="1648">
        <v>356897.57900000003</v>
      </c>
      <c r="MRW363" s="635">
        <v>3961904</v>
      </c>
      <c r="MRX363" s="633">
        <f>SUM(MRK363:MRV363)</f>
        <v>3961903.5018060002</v>
      </c>
      <c r="MRY363" s="919" t="s">
        <v>1837</v>
      </c>
      <c r="MRZ363" s="1643" t="s">
        <v>1838</v>
      </c>
      <c r="MSA363" s="1648">
        <v>344028.50012699998</v>
      </c>
      <c r="MSB363" s="1648">
        <v>335387.28629100003</v>
      </c>
      <c r="MSC363" s="1648">
        <v>337602.67972299998</v>
      </c>
      <c r="MSD363" s="1648">
        <v>210440.148116</v>
      </c>
      <c r="MSE363" s="1648">
        <v>330912.82974800002</v>
      </c>
      <c r="MSF363" s="1648">
        <v>321507.96580100001</v>
      </c>
      <c r="MSG363" s="1648">
        <v>310040.96500000003</v>
      </c>
      <c r="MSH363" s="1648">
        <v>306104.158</v>
      </c>
      <c r="MSI363" s="1648">
        <v>350079.51500000001</v>
      </c>
      <c r="MSJ363" s="1648">
        <v>376736.01</v>
      </c>
      <c r="MSK363" s="1648">
        <v>382165.86499999999</v>
      </c>
      <c r="MSL363" s="1648">
        <v>356897.57900000003</v>
      </c>
      <c r="MSM363" s="635">
        <v>3961904</v>
      </c>
      <c r="MSN363" s="633">
        <f>SUM(MSA363:MSL363)</f>
        <v>3961903.5018060002</v>
      </c>
      <c r="MSO363" s="919" t="s">
        <v>1837</v>
      </c>
      <c r="MSP363" s="1643" t="s">
        <v>1838</v>
      </c>
      <c r="MSQ363" s="1648">
        <v>344028.50012699998</v>
      </c>
      <c r="MSR363" s="1648">
        <v>335387.28629100003</v>
      </c>
      <c r="MSS363" s="1648">
        <v>337602.67972299998</v>
      </c>
      <c r="MST363" s="1648">
        <v>210440.148116</v>
      </c>
      <c r="MSU363" s="1648">
        <v>330912.82974800002</v>
      </c>
      <c r="MSV363" s="1648">
        <v>321507.96580100001</v>
      </c>
      <c r="MSW363" s="1648">
        <v>310040.96500000003</v>
      </c>
      <c r="MSX363" s="1648">
        <v>306104.158</v>
      </c>
      <c r="MSY363" s="1648">
        <v>350079.51500000001</v>
      </c>
      <c r="MSZ363" s="1648">
        <v>376736.01</v>
      </c>
      <c r="MTA363" s="1648">
        <v>382165.86499999999</v>
      </c>
      <c r="MTB363" s="1648">
        <v>356897.57900000003</v>
      </c>
      <c r="MTC363" s="635">
        <v>3961904</v>
      </c>
      <c r="MTD363" s="633">
        <f>SUM(MSQ363:MTB363)</f>
        <v>3961903.5018060002</v>
      </c>
      <c r="MTE363" s="919" t="s">
        <v>1837</v>
      </c>
      <c r="MTF363" s="1643" t="s">
        <v>1838</v>
      </c>
      <c r="MTG363" s="1648">
        <v>344028.50012699998</v>
      </c>
      <c r="MTH363" s="1648">
        <v>335387.28629100003</v>
      </c>
      <c r="MTI363" s="1648">
        <v>337602.67972299998</v>
      </c>
      <c r="MTJ363" s="1648">
        <v>210440.148116</v>
      </c>
      <c r="MTK363" s="1648">
        <v>330912.82974800002</v>
      </c>
      <c r="MTL363" s="1648">
        <v>321507.96580100001</v>
      </c>
      <c r="MTM363" s="1648">
        <v>310040.96500000003</v>
      </c>
      <c r="MTN363" s="1648">
        <v>306104.158</v>
      </c>
      <c r="MTO363" s="1648">
        <v>350079.51500000001</v>
      </c>
      <c r="MTP363" s="1648">
        <v>376736.01</v>
      </c>
      <c r="MTQ363" s="1648">
        <v>382165.86499999999</v>
      </c>
      <c r="MTR363" s="1648">
        <v>356897.57900000003</v>
      </c>
      <c r="MTS363" s="635">
        <v>3961904</v>
      </c>
      <c r="MTT363" s="633">
        <f>SUM(MTG363:MTR363)</f>
        <v>3961903.5018060002</v>
      </c>
      <c r="MTU363" s="919" t="s">
        <v>1837</v>
      </c>
      <c r="MTV363" s="1643" t="s">
        <v>1838</v>
      </c>
      <c r="MTW363" s="1648">
        <v>344028.50012699998</v>
      </c>
      <c r="MTX363" s="1648">
        <v>335387.28629100003</v>
      </c>
      <c r="MTY363" s="1648">
        <v>337602.67972299998</v>
      </c>
      <c r="MTZ363" s="1648">
        <v>210440.148116</v>
      </c>
      <c r="MUA363" s="1648">
        <v>330912.82974800002</v>
      </c>
      <c r="MUB363" s="1648">
        <v>321507.96580100001</v>
      </c>
      <c r="MUC363" s="1648">
        <v>310040.96500000003</v>
      </c>
      <c r="MUD363" s="1648">
        <v>306104.158</v>
      </c>
      <c r="MUE363" s="1648">
        <v>350079.51500000001</v>
      </c>
      <c r="MUF363" s="1648">
        <v>376736.01</v>
      </c>
      <c r="MUG363" s="1648">
        <v>382165.86499999999</v>
      </c>
      <c r="MUH363" s="1648">
        <v>356897.57900000003</v>
      </c>
      <c r="MUI363" s="635">
        <v>3961904</v>
      </c>
      <c r="MUJ363" s="633">
        <f>SUM(MTW363:MUH363)</f>
        <v>3961903.5018060002</v>
      </c>
      <c r="MUK363" s="919" t="s">
        <v>1837</v>
      </c>
      <c r="MUL363" s="1643" t="s">
        <v>1838</v>
      </c>
      <c r="MUM363" s="1648">
        <v>344028.50012699998</v>
      </c>
      <c r="MUN363" s="1648">
        <v>335387.28629100003</v>
      </c>
      <c r="MUO363" s="1648">
        <v>337602.67972299998</v>
      </c>
      <c r="MUP363" s="1648">
        <v>210440.148116</v>
      </c>
      <c r="MUQ363" s="1648">
        <v>330912.82974800002</v>
      </c>
      <c r="MUR363" s="1648">
        <v>321507.96580100001</v>
      </c>
      <c r="MUS363" s="1648">
        <v>310040.96500000003</v>
      </c>
      <c r="MUT363" s="1648">
        <v>306104.158</v>
      </c>
      <c r="MUU363" s="1648">
        <v>350079.51500000001</v>
      </c>
      <c r="MUV363" s="1648">
        <v>376736.01</v>
      </c>
      <c r="MUW363" s="1648">
        <v>382165.86499999999</v>
      </c>
      <c r="MUX363" s="1648">
        <v>356897.57900000003</v>
      </c>
      <c r="MUY363" s="635">
        <v>3961904</v>
      </c>
      <c r="MUZ363" s="633">
        <f>SUM(MUM363:MUX363)</f>
        <v>3961903.5018060002</v>
      </c>
      <c r="MVA363" s="919" t="s">
        <v>1837</v>
      </c>
      <c r="MVB363" s="1643" t="s">
        <v>1838</v>
      </c>
      <c r="MVC363" s="1648">
        <v>344028.50012699998</v>
      </c>
      <c r="MVD363" s="1648">
        <v>335387.28629100003</v>
      </c>
      <c r="MVE363" s="1648">
        <v>337602.67972299998</v>
      </c>
      <c r="MVF363" s="1648">
        <v>210440.148116</v>
      </c>
      <c r="MVG363" s="1648">
        <v>330912.82974800002</v>
      </c>
      <c r="MVH363" s="1648">
        <v>321507.96580100001</v>
      </c>
      <c r="MVI363" s="1648">
        <v>310040.96500000003</v>
      </c>
      <c r="MVJ363" s="1648">
        <v>306104.158</v>
      </c>
      <c r="MVK363" s="1648">
        <v>350079.51500000001</v>
      </c>
      <c r="MVL363" s="1648">
        <v>376736.01</v>
      </c>
      <c r="MVM363" s="1648">
        <v>382165.86499999999</v>
      </c>
      <c r="MVN363" s="1648">
        <v>356897.57900000003</v>
      </c>
      <c r="MVO363" s="635">
        <v>3961904</v>
      </c>
      <c r="MVP363" s="633">
        <f>SUM(MVC363:MVN363)</f>
        <v>3961903.5018060002</v>
      </c>
      <c r="MVQ363" s="919" t="s">
        <v>1837</v>
      </c>
      <c r="MVR363" s="1643" t="s">
        <v>1838</v>
      </c>
      <c r="MVS363" s="1648">
        <v>344028.50012699998</v>
      </c>
      <c r="MVT363" s="1648">
        <v>335387.28629100003</v>
      </c>
      <c r="MVU363" s="1648">
        <v>337602.67972299998</v>
      </c>
      <c r="MVV363" s="1648">
        <v>210440.148116</v>
      </c>
      <c r="MVW363" s="1648">
        <v>330912.82974800002</v>
      </c>
      <c r="MVX363" s="1648">
        <v>321507.96580100001</v>
      </c>
      <c r="MVY363" s="1648">
        <v>310040.96500000003</v>
      </c>
      <c r="MVZ363" s="1648">
        <v>306104.158</v>
      </c>
      <c r="MWA363" s="1648">
        <v>350079.51500000001</v>
      </c>
      <c r="MWB363" s="1648">
        <v>376736.01</v>
      </c>
      <c r="MWC363" s="1648">
        <v>382165.86499999999</v>
      </c>
      <c r="MWD363" s="1648">
        <v>356897.57900000003</v>
      </c>
      <c r="MWE363" s="635">
        <v>3961904</v>
      </c>
      <c r="MWF363" s="633">
        <f>SUM(MVS363:MWD363)</f>
        <v>3961903.5018060002</v>
      </c>
      <c r="MWG363" s="919" t="s">
        <v>1837</v>
      </c>
      <c r="MWH363" s="1643" t="s">
        <v>1838</v>
      </c>
      <c r="MWI363" s="1648">
        <v>344028.50012699998</v>
      </c>
      <c r="MWJ363" s="1648">
        <v>335387.28629100003</v>
      </c>
      <c r="MWK363" s="1648">
        <v>337602.67972299998</v>
      </c>
      <c r="MWL363" s="1648">
        <v>210440.148116</v>
      </c>
      <c r="MWM363" s="1648">
        <v>330912.82974800002</v>
      </c>
      <c r="MWN363" s="1648">
        <v>321507.96580100001</v>
      </c>
      <c r="MWO363" s="1648">
        <v>310040.96500000003</v>
      </c>
      <c r="MWP363" s="1648">
        <v>306104.158</v>
      </c>
      <c r="MWQ363" s="1648">
        <v>350079.51500000001</v>
      </c>
      <c r="MWR363" s="1648">
        <v>376736.01</v>
      </c>
      <c r="MWS363" s="1648">
        <v>382165.86499999999</v>
      </c>
      <c r="MWT363" s="1648">
        <v>356897.57900000003</v>
      </c>
      <c r="MWU363" s="635">
        <v>3961904</v>
      </c>
      <c r="MWV363" s="633">
        <f>SUM(MWI363:MWT363)</f>
        <v>3961903.5018060002</v>
      </c>
      <c r="MWW363" s="919" t="s">
        <v>1837</v>
      </c>
      <c r="MWX363" s="1643" t="s">
        <v>1838</v>
      </c>
      <c r="MWY363" s="1648">
        <v>344028.50012699998</v>
      </c>
      <c r="MWZ363" s="1648">
        <v>335387.28629100003</v>
      </c>
      <c r="MXA363" s="1648">
        <v>337602.67972299998</v>
      </c>
      <c r="MXB363" s="1648">
        <v>210440.148116</v>
      </c>
      <c r="MXC363" s="1648">
        <v>330912.82974800002</v>
      </c>
      <c r="MXD363" s="1648">
        <v>321507.96580100001</v>
      </c>
      <c r="MXE363" s="1648">
        <v>310040.96500000003</v>
      </c>
      <c r="MXF363" s="1648">
        <v>306104.158</v>
      </c>
      <c r="MXG363" s="1648">
        <v>350079.51500000001</v>
      </c>
      <c r="MXH363" s="1648">
        <v>376736.01</v>
      </c>
      <c r="MXI363" s="1648">
        <v>382165.86499999999</v>
      </c>
      <c r="MXJ363" s="1648">
        <v>356897.57900000003</v>
      </c>
      <c r="MXK363" s="635">
        <v>3961904</v>
      </c>
      <c r="MXL363" s="633">
        <f>SUM(MWY363:MXJ363)</f>
        <v>3961903.5018060002</v>
      </c>
      <c r="MXM363" s="919" t="s">
        <v>1837</v>
      </c>
      <c r="MXN363" s="1643" t="s">
        <v>1838</v>
      </c>
      <c r="MXO363" s="1648">
        <v>344028.50012699998</v>
      </c>
      <c r="MXP363" s="1648">
        <v>335387.28629100003</v>
      </c>
      <c r="MXQ363" s="1648">
        <v>337602.67972299998</v>
      </c>
      <c r="MXR363" s="1648">
        <v>210440.148116</v>
      </c>
      <c r="MXS363" s="1648">
        <v>330912.82974800002</v>
      </c>
      <c r="MXT363" s="1648">
        <v>321507.96580100001</v>
      </c>
      <c r="MXU363" s="1648">
        <v>310040.96500000003</v>
      </c>
      <c r="MXV363" s="1648">
        <v>306104.158</v>
      </c>
      <c r="MXW363" s="1648">
        <v>350079.51500000001</v>
      </c>
      <c r="MXX363" s="1648">
        <v>376736.01</v>
      </c>
      <c r="MXY363" s="1648">
        <v>382165.86499999999</v>
      </c>
      <c r="MXZ363" s="1648">
        <v>356897.57900000003</v>
      </c>
      <c r="MYA363" s="635">
        <v>3961904</v>
      </c>
      <c r="MYB363" s="633">
        <f>SUM(MXO363:MXZ363)</f>
        <v>3961903.5018060002</v>
      </c>
      <c r="MYC363" s="919" t="s">
        <v>1837</v>
      </c>
      <c r="MYD363" s="1643" t="s">
        <v>1838</v>
      </c>
      <c r="MYE363" s="1648">
        <v>344028.50012699998</v>
      </c>
      <c r="MYF363" s="1648">
        <v>335387.28629100003</v>
      </c>
      <c r="MYG363" s="1648">
        <v>337602.67972299998</v>
      </c>
      <c r="MYH363" s="1648">
        <v>210440.148116</v>
      </c>
      <c r="MYI363" s="1648">
        <v>330912.82974800002</v>
      </c>
      <c r="MYJ363" s="1648">
        <v>321507.96580100001</v>
      </c>
      <c r="MYK363" s="1648">
        <v>310040.96500000003</v>
      </c>
      <c r="MYL363" s="1648">
        <v>306104.158</v>
      </c>
      <c r="MYM363" s="1648">
        <v>350079.51500000001</v>
      </c>
      <c r="MYN363" s="1648">
        <v>376736.01</v>
      </c>
      <c r="MYO363" s="1648">
        <v>382165.86499999999</v>
      </c>
      <c r="MYP363" s="1648">
        <v>356897.57900000003</v>
      </c>
      <c r="MYQ363" s="635">
        <v>3961904</v>
      </c>
      <c r="MYR363" s="633">
        <f>SUM(MYE363:MYP363)</f>
        <v>3961903.5018060002</v>
      </c>
      <c r="MYS363" s="919" t="s">
        <v>1837</v>
      </c>
      <c r="MYT363" s="1643" t="s">
        <v>1838</v>
      </c>
      <c r="MYU363" s="1648">
        <v>344028.50012699998</v>
      </c>
      <c r="MYV363" s="1648">
        <v>335387.28629100003</v>
      </c>
      <c r="MYW363" s="1648">
        <v>337602.67972299998</v>
      </c>
      <c r="MYX363" s="1648">
        <v>210440.148116</v>
      </c>
      <c r="MYY363" s="1648">
        <v>330912.82974800002</v>
      </c>
      <c r="MYZ363" s="1648">
        <v>321507.96580100001</v>
      </c>
      <c r="MZA363" s="1648">
        <v>310040.96500000003</v>
      </c>
      <c r="MZB363" s="1648">
        <v>306104.158</v>
      </c>
      <c r="MZC363" s="1648">
        <v>350079.51500000001</v>
      </c>
      <c r="MZD363" s="1648">
        <v>376736.01</v>
      </c>
      <c r="MZE363" s="1648">
        <v>382165.86499999999</v>
      </c>
      <c r="MZF363" s="1648">
        <v>356897.57900000003</v>
      </c>
      <c r="MZG363" s="635">
        <v>3961904</v>
      </c>
      <c r="MZH363" s="633">
        <f>SUM(MYU363:MZF363)</f>
        <v>3961903.5018060002</v>
      </c>
      <c r="MZI363" s="919" t="s">
        <v>1837</v>
      </c>
      <c r="MZJ363" s="1643" t="s">
        <v>1838</v>
      </c>
      <c r="MZK363" s="1648">
        <v>344028.50012699998</v>
      </c>
      <c r="MZL363" s="1648">
        <v>335387.28629100003</v>
      </c>
      <c r="MZM363" s="1648">
        <v>337602.67972299998</v>
      </c>
      <c r="MZN363" s="1648">
        <v>210440.148116</v>
      </c>
      <c r="MZO363" s="1648">
        <v>330912.82974800002</v>
      </c>
      <c r="MZP363" s="1648">
        <v>321507.96580100001</v>
      </c>
      <c r="MZQ363" s="1648">
        <v>310040.96500000003</v>
      </c>
      <c r="MZR363" s="1648">
        <v>306104.158</v>
      </c>
      <c r="MZS363" s="1648">
        <v>350079.51500000001</v>
      </c>
      <c r="MZT363" s="1648">
        <v>376736.01</v>
      </c>
      <c r="MZU363" s="1648">
        <v>382165.86499999999</v>
      </c>
      <c r="MZV363" s="1648">
        <v>356897.57900000003</v>
      </c>
      <c r="MZW363" s="635">
        <v>3961904</v>
      </c>
      <c r="MZX363" s="633">
        <f>SUM(MZK363:MZV363)</f>
        <v>3961903.5018060002</v>
      </c>
      <c r="MZY363" s="919" t="s">
        <v>1837</v>
      </c>
      <c r="MZZ363" s="1643" t="s">
        <v>1838</v>
      </c>
      <c r="NAA363" s="1648">
        <v>344028.50012699998</v>
      </c>
      <c r="NAB363" s="1648">
        <v>335387.28629100003</v>
      </c>
      <c r="NAC363" s="1648">
        <v>337602.67972299998</v>
      </c>
      <c r="NAD363" s="1648">
        <v>210440.148116</v>
      </c>
      <c r="NAE363" s="1648">
        <v>330912.82974800002</v>
      </c>
      <c r="NAF363" s="1648">
        <v>321507.96580100001</v>
      </c>
      <c r="NAG363" s="1648">
        <v>310040.96500000003</v>
      </c>
      <c r="NAH363" s="1648">
        <v>306104.158</v>
      </c>
      <c r="NAI363" s="1648">
        <v>350079.51500000001</v>
      </c>
      <c r="NAJ363" s="1648">
        <v>376736.01</v>
      </c>
      <c r="NAK363" s="1648">
        <v>382165.86499999999</v>
      </c>
      <c r="NAL363" s="1648">
        <v>356897.57900000003</v>
      </c>
      <c r="NAM363" s="635">
        <v>3961904</v>
      </c>
      <c r="NAN363" s="633">
        <f>SUM(NAA363:NAL363)</f>
        <v>3961903.5018060002</v>
      </c>
      <c r="NAO363" s="919" t="s">
        <v>1837</v>
      </c>
      <c r="NAP363" s="1643" t="s">
        <v>1838</v>
      </c>
      <c r="NAQ363" s="1648">
        <v>344028.50012699998</v>
      </c>
      <c r="NAR363" s="1648">
        <v>335387.28629100003</v>
      </c>
      <c r="NAS363" s="1648">
        <v>337602.67972299998</v>
      </c>
      <c r="NAT363" s="1648">
        <v>210440.148116</v>
      </c>
      <c r="NAU363" s="1648">
        <v>330912.82974800002</v>
      </c>
      <c r="NAV363" s="1648">
        <v>321507.96580100001</v>
      </c>
      <c r="NAW363" s="1648">
        <v>310040.96500000003</v>
      </c>
      <c r="NAX363" s="1648">
        <v>306104.158</v>
      </c>
      <c r="NAY363" s="1648">
        <v>350079.51500000001</v>
      </c>
      <c r="NAZ363" s="1648">
        <v>376736.01</v>
      </c>
      <c r="NBA363" s="1648">
        <v>382165.86499999999</v>
      </c>
      <c r="NBB363" s="1648">
        <v>356897.57900000003</v>
      </c>
      <c r="NBC363" s="635">
        <v>3961904</v>
      </c>
      <c r="NBD363" s="633">
        <f>SUM(NAQ363:NBB363)</f>
        <v>3961903.5018060002</v>
      </c>
      <c r="NBE363" s="919" t="s">
        <v>1837</v>
      </c>
      <c r="NBF363" s="1643" t="s">
        <v>1838</v>
      </c>
      <c r="NBG363" s="1648">
        <v>344028.50012699998</v>
      </c>
      <c r="NBH363" s="1648">
        <v>335387.28629100003</v>
      </c>
      <c r="NBI363" s="1648">
        <v>337602.67972299998</v>
      </c>
      <c r="NBJ363" s="1648">
        <v>210440.148116</v>
      </c>
      <c r="NBK363" s="1648">
        <v>330912.82974800002</v>
      </c>
      <c r="NBL363" s="1648">
        <v>321507.96580100001</v>
      </c>
      <c r="NBM363" s="1648">
        <v>310040.96500000003</v>
      </c>
      <c r="NBN363" s="1648">
        <v>306104.158</v>
      </c>
      <c r="NBO363" s="1648">
        <v>350079.51500000001</v>
      </c>
      <c r="NBP363" s="1648">
        <v>376736.01</v>
      </c>
      <c r="NBQ363" s="1648">
        <v>382165.86499999999</v>
      </c>
      <c r="NBR363" s="1648">
        <v>356897.57900000003</v>
      </c>
      <c r="NBS363" s="635">
        <v>3961904</v>
      </c>
      <c r="NBT363" s="633">
        <f>SUM(NBG363:NBR363)</f>
        <v>3961903.5018060002</v>
      </c>
      <c r="NBU363" s="919" t="s">
        <v>1837</v>
      </c>
      <c r="NBV363" s="1643" t="s">
        <v>1838</v>
      </c>
      <c r="NBW363" s="1648">
        <v>344028.50012699998</v>
      </c>
      <c r="NBX363" s="1648">
        <v>335387.28629100003</v>
      </c>
      <c r="NBY363" s="1648">
        <v>337602.67972299998</v>
      </c>
      <c r="NBZ363" s="1648">
        <v>210440.148116</v>
      </c>
      <c r="NCA363" s="1648">
        <v>330912.82974800002</v>
      </c>
      <c r="NCB363" s="1648">
        <v>321507.96580100001</v>
      </c>
      <c r="NCC363" s="1648">
        <v>310040.96500000003</v>
      </c>
      <c r="NCD363" s="1648">
        <v>306104.158</v>
      </c>
      <c r="NCE363" s="1648">
        <v>350079.51500000001</v>
      </c>
      <c r="NCF363" s="1648">
        <v>376736.01</v>
      </c>
      <c r="NCG363" s="1648">
        <v>382165.86499999999</v>
      </c>
      <c r="NCH363" s="1648">
        <v>356897.57900000003</v>
      </c>
      <c r="NCI363" s="635">
        <v>3961904</v>
      </c>
      <c r="NCJ363" s="633">
        <f>SUM(NBW363:NCH363)</f>
        <v>3961903.5018060002</v>
      </c>
      <c r="NCK363" s="919" t="s">
        <v>1837</v>
      </c>
      <c r="NCL363" s="1643" t="s">
        <v>1838</v>
      </c>
      <c r="NCM363" s="1648">
        <v>344028.50012699998</v>
      </c>
      <c r="NCN363" s="1648">
        <v>335387.28629100003</v>
      </c>
      <c r="NCO363" s="1648">
        <v>337602.67972299998</v>
      </c>
      <c r="NCP363" s="1648">
        <v>210440.148116</v>
      </c>
      <c r="NCQ363" s="1648">
        <v>330912.82974800002</v>
      </c>
      <c r="NCR363" s="1648">
        <v>321507.96580100001</v>
      </c>
      <c r="NCS363" s="1648">
        <v>310040.96500000003</v>
      </c>
      <c r="NCT363" s="1648">
        <v>306104.158</v>
      </c>
      <c r="NCU363" s="1648">
        <v>350079.51500000001</v>
      </c>
      <c r="NCV363" s="1648">
        <v>376736.01</v>
      </c>
      <c r="NCW363" s="1648">
        <v>382165.86499999999</v>
      </c>
      <c r="NCX363" s="1648">
        <v>356897.57900000003</v>
      </c>
      <c r="NCY363" s="635">
        <v>3961904</v>
      </c>
      <c r="NCZ363" s="633">
        <f>SUM(NCM363:NCX363)</f>
        <v>3961903.5018060002</v>
      </c>
      <c r="NDA363" s="919" t="s">
        <v>1837</v>
      </c>
      <c r="NDB363" s="1643" t="s">
        <v>1838</v>
      </c>
      <c r="NDC363" s="1648">
        <v>344028.50012699998</v>
      </c>
      <c r="NDD363" s="1648">
        <v>335387.28629100003</v>
      </c>
      <c r="NDE363" s="1648">
        <v>337602.67972299998</v>
      </c>
      <c r="NDF363" s="1648">
        <v>210440.148116</v>
      </c>
      <c r="NDG363" s="1648">
        <v>330912.82974800002</v>
      </c>
      <c r="NDH363" s="1648">
        <v>321507.96580100001</v>
      </c>
      <c r="NDI363" s="1648">
        <v>310040.96500000003</v>
      </c>
      <c r="NDJ363" s="1648">
        <v>306104.158</v>
      </c>
      <c r="NDK363" s="1648">
        <v>350079.51500000001</v>
      </c>
      <c r="NDL363" s="1648">
        <v>376736.01</v>
      </c>
      <c r="NDM363" s="1648">
        <v>382165.86499999999</v>
      </c>
      <c r="NDN363" s="1648">
        <v>356897.57900000003</v>
      </c>
      <c r="NDO363" s="635">
        <v>3961904</v>
      </c>
      <c r="NDP363" s="633">
        <f>SUM(NDC363:NDN363)</f>
        <v>3961903.5018060002</v>
      </c>
      <c r="NDQ363" s="919" t="s">
        <v>1837</v>
      </c>
      <c r="NDR363" s="1643" t="s">
        <v>1838</v>
      </c>
      <c r="NDS363" s="1648">
        <v>344028.50012699998</v>
      </c>
      <c r="NDT363" s="1648">
        <v>335387.28629100003</v>
      </c>
      <c r="NDU363" s="1648">
        <v>337602.67972299998</v>
      </c>
      <c r="NDV363" s="1648">
        <v>210440.148116</v>
      </c>
      <c r="NDW363" s="1648">
        <v>330912.82974800002</v>
      </c>
      <c r="NDX363" s="1648">
        <v>321507.96580100001</v>
      </c>
      <c r="NDY363" s="1648">
        <v>310040.96500000003</v>
      </c>
      <c r="NDZ363" s="1648">
        <v>306104.158</v>
      </c>
      <c r="NEA363" s="1648">
        <v>350079.51500000001</v>
      </c>
      <c r="NEB363" s="1648">
        <v>376736.01</v>
      </c>
      <c r="NEC363" s="1648">
        <v>382165.86499999999</v>
      </c>
      <c r="NED363" s="1648">
        <v>356897.57900000003</v>
      </c>
      <c r="NEE363" s="635">
        <v>3961904</v>
      </c>
      <c r="NEF363" s="633">
        <f>SUM(NDS363:NED363)</f>
        <v>3961903.5018060002</v>
      </c>
      <c r="NEG363" s="919" t="s">
        <v>1837</v>
      </c>
      <c r="NEH363" s="1643" t="s">
        <v>1838</v>
      </c>
      <c r="NEI363" s="1648">
        <v>344028.50012699998</v>
      </c>
      <c r="NEJ363" s="1648">
        <v>335387.28629100003</v>
      </c>
      <c r="NEK363" s="1648">
        <v>337602.67972299998</v>
      </c>
      <c r="NEL363" s="1648">
        <v>210440.148116</v>
      </c>
      <c r="NEM363" s="1648">
        <v>330912.82974800002</v>
      </c>
      <c r="NEN363" s="1648">
        <v>321507.96580100001</v>
      </c>
      <c r="NEO363" s="1648">
        <v>310040.96500000003</v>
      </c>
      <c r="NEP363" s="1648">
        <v>306104.158</v>
      </c>
      <c r="NEQ363" s="1648">
        <v>350079.51500000001</v>
      </c>
      <c r="NER363" s="1648">
        <v>376736.01</v>
      </c>
      <c r="NES363" s="1648">
        <v>382165.86499999999</v>
      </c>
      <c r="NET363" s="1648">
        <v>356897.57900000003</v>
      </c>
      <c r="NEU363" s="635">
        <v>3961904</v>
      </c>
      <c r="NEV363" s="633">
        <f>SUM(NEI363:NET363)</f>
        <v>3961903.5018060002</v>
      </c>
      <c r="NEW363" s="919" t="s">
        <v>1837</v>
      </c>
      <c r="NEX363" s="1643" t="s">
        <v>1838</v>
      </c>
      <c r="NEY363" s="1648">
        <v>344028.50012699998</v>
      </c>
      <c r="NEZ363" s="1648">
        <v>335387.28629100003</v>
      </c>
      <c r="NFA363" s="1648">
        <v>337602.67972299998</v>
      </c>
      <c r="NFB363" s="1648">
        <v>210440.148116</v>
      </c>
      <c r="NFC363" s="1648">
        <v>330912.82974800002</v>
      </c>
      <c r="NFD363" s="1648">
        <v>321507.96580100001</v>
      </c>
      <c r="NFE363" s="1648">
        <v>310040.96500000003</v>
      </c>
      <c r="NFF363" s="1648">
        <v>306104.158</v>
      </c>
      <c r="NFG363" s="1648">
        <v>350079.51500000001</v>
      </c>
      <c r="NFH363" s="1648">
        <v>376736.01</v>
      </c>
      <c r="NFI363" s="1648">
        <v>382165.86499999999</v>
      </c>
      <c r="NFJ363" s="1648">
        <v>356897.57900000003</v>
      </c>
      <c r="NFK363" s="635">
        <v>3961904</v>
      </c>
      <c r="NFL363" s="633">
        <f>SUM(NEY363:NFJ363)</f>
        <v>3961903.5018060002</v>
      </c>
      <c r="NFM363" s="919" t="s">
        <v>1837</v>
      </c>
      <c r="NFN363" s="1643" t="s">
        <v>1838</v>
      </c>
      <c r="NFO363" s="1648">
        <v>344028.50012699998</v>
      </c>
      <c r="NFP363" s="1648">
        <v>335387.28629100003</v>
      </c>
      <c r="NFQ363" s="1648">
        <v>337602.67972299998</v>
      </c>
      <c r="NFR363" s="1648">
        <v>210440.148116</v>
      </c>
      <c r="NFS363" s="1648">
        <v>330912.82974800002</v>
      </c>
      <c r="NFT363" s="1648">
        <v>321507.96580100001</v>
      </c>
      <c r="NFU363" s="1648">
        <v>310040.96500000003</v>
      </c>
      <c r="NFV363" s="1648">
        <v>306104.158</v>
      </c>
      <c r="NFW363" s="1648">
        <v>350079.51500000001</v>
      </c>
      <c r="NFX363" s="1648">
        <v>376736.01</v>
      </c>
      <c r="NFY363" s="1648">
        <v>382165.86499999999</v>
      </c>
      <c r="NFZ363" s="1648">
        <v>356897.57900000003</v>
      </c>
      <c r="NGA363" s="635">
        <v>3961904</v>
      </c>
      <c r="NGB363" s="633">
        <f>SUM(NFO363:NFZ363)</f>
        <v>3961903.5018060002</v>
      </c>
      <c r="NGC363" s="919" t="s">
        <v>1837</v>
      </c>
      <c r="NGD363" s="1643" t="s">
        <v>1838</v>
      </c>
      <c r="NGE363" s="1648">
        <v>344028.50012699998</v>
      </c>
      <c r="NGF363" s="1648">
        <v>335387.28629100003</v>
      </c>
      <c r="NGG363" s="1648">
        <v>337602.67972299998</v>
      </c>
      <c r="NGH363" s="1648">
        <v>210440.148116</v>
      </c>
      <c r="NGI363" s="1648">
        <v>330912.82974800002</v>
      </c>
      <c r="NGJ363" s="1648">
        <v>321507.96580100001</v>
      </c>
      <c r="NGK363" s="1648">
        <v>310040.96500000003</v>
      </c>
      <c r="NGL363" s="1648">
        <v>306104.158</v>
      </c>
      <c r="NGM363" s="1648">
        <v>350079.51500000001</v>
      </c>
      <c r="NGN363" s="1648">
        <v>376736.01</v>
      </c>
      <c r="NGO363" s="1648">
        <v>382165.86499999999</v>
      </c>
      <c r="NGP363" s="1648">
        <v>356897.57900000003</v>
      </c>
      <c r="NGQ363" s="635">
        <v>3961904</v>
      </c>
      <c r="NGR363" s="633">
        <f>SUM(NGE363:NGP363)</f>
        <v>3961903.5018060002</v>
      </c>
      <c r="NGS363" s="919" t="s">
        <v>1837</v>
      </c>
      <c r="NGT363" s="1643" t="s">
        <v>1838</v>
      </c>
      <c r="NGU363" s="1648">
        <v>344028.50012699998</v>
      </c>
      <c r="NGV363" s="1648">
        <v>335387.28629100003</v>
      </c>
      <c r="NGW363" s="1648">
        <v>337602.67972299998</v>
      </c>
      <c r="NGX363" s="1648">
        <v>210440.148116</v>
      </c>
      <c r="NGY363" s="1648">
        <v>330912.82974800002</v>
      </c>
      <c r="NGZ363" s="1648">
        <v>321507.96580100001</v>
      </c>
      <c r="NHA363" s="1648">
        <v>310040.96500000003</v>
      </c>
      <c r="NHB363" s="1648">
        <v>306104.158</v>
      </c>
      <c r="NHC363" s="1648">
        <v>350079.51500000001</v>
      </c>
      <c r="NHD363" s="1648">
        <v>376736.01</v>
      </c>
      <c r="NHE363" s="1648">
        <v>382165.86499999999</v>
      </c>
      <c r="NHF363" s="1648">
        <v>356897.57900000003</v>
      </c>
      <c r="NHG363" s="635">
        <v>3961904</v>
      </c>
      <c r="NHH363" s="633">
        <f>SUM(NGU363:NHF363)</f>
        <v>3961903.5018060002</v>
      </c>
      <c r="NHI363" s="919" t="s">
        <v>1837</v>
      </c>
      <c r="NHJ363" s="1643" t="s">
        <v>1838</v>
      </c>
      <c r="NHK363" s="1648">
        <v>344028.50012699998</v>
      </c>
      <c r="NHL363" s="1648">
        <v>335387.28629100003</v>
      </c>
      <c r="NHM363" s="1648">
        <v>337602.67972299998</v>
      </c>
      <c r="NHN363" s="1648">
        <v>210440.148116</v>
      </c>
      <c r="NHO363" s="1648">
        <v>330912.82974800002</v>
      </c>
      <c r="NHP363" s="1648">
        <v>321507.96580100001</v>
      </c>
      <c r="NHQ363" s="1648">
        <v>310040.96500000003</v>
      </c>
      <c r="NHR363" s="1648">
        <v>306104.158</v>
      </c>
      <c r="NHS363" s="1648">
        <v>350079.51500000001</v>
      </c>
      <c r="NHT363" s="1648">
        <v>376736.01</v>
      </c>
      <c r="NHU363" s="1648">
        <v>382165.86499999999</v>
      </c>
      <c r="NHV363" s="1648">
        <v>356897.57900000003</v>
      </c>
      <c r="NHW363" s="635">
        <v>3961904</v>
      </c>
      <c r="NHX363" s="633">
        <f>SUM(NHK363:NHV363)</f>
        <v>3961903.5018060002</v>
      </c>
      <c r="NHY363" s="919" t="s">
        <v>1837</v>
      </c>
      <c r="NHZ363" s="1643" t="s">
        <v>1838</v>
      </c>
      <c r="NIA363" s="1648">
        <v>344028.50012699998</v>
      </c>
      <c r="NIB363" s="1648">
        <v>335387.28629100003</v>
      </c>
      <c r="NIC363" s="1648">
        <v>337602.67972299998</v>
      </c>
      <c r="NID363" s="1648">
        <v>210440.148116</v>
      </c>
      <c r="NIE363" s="1648">
        <v>330912.82974800002</v>
      </c>
      <c r="NIF363" s="1648">
        <v>321507.96580100001</v>
      </c>
      <c r="NIG363" s="1648">
        <v>310040.96500000003</v>
      </c>
      <c r="NIH363" s="1648">
        <v>306104.158</v>
      </c>
      <c r="NII363" s="1648">
        <v>350079.51500000001</v>
      </c>
      <c r="NIJ363" s="1648">
        <v>376736.01</v>
      </c>
      <c r="NIK363" s="1648">
        <v>382165.86499999999</v>
      </c>
      <c r="NIL363" s="1648">
        <v>356897.57900000003</v>
      </c>
      <c r="NIM363" s="635">
        <v>3961904</v>
      </c>
      <c r="NIN363" s="633">
        <f>SUM(NIA363:NIL363)</f>
        <v>3961903.5018060002</v>
      </c>
      <c r="NIO363" s="919" t="s">
        <v>1837</v>
      </c>
      <c r="NIP363" s="1643" t="s">
        <v>1838</v>
      </c>
      <c r="NIQ363" s="1648">
        <v>344028.50012699998</v>
      </c>
      <c r="NIR363" s="1648">
        <v>335387.28629100003</v>
      </c>
      <c r="NIS363" s="1648">
        <v>337602.67972299998</v>
      </c>
      <c r="NIT363" s="1648">
        <v>210440.148116</v>
      </c>
      <c r="NIU363" s="1648">
        <v>330912.82974800002</v>
      </c>
      <c r="NIV363" s="1648">
        <v>321507.96580100001</v>
      </c>
      <c r="NIW363" s="1648">
        <v>310040.96500000003</v>
      </c>
      <c r="NIX363" s="1648">
        <v>306104.158</v>
      </c>
      <c r="NIY363" s="1648">
        <v>350079.51500000001</v>
      </c>
      <c r="NIZ363" s="1648">
        <v>376736.01</v>
      </c>
      <c r="NJA363" s="1648">
        <v>382165.86499999999</v>
      </c>
      <c r="NJB363" s="1648">
        <v>356897.57900000003</v>
      </c>
      <c r="NJC363" s="635">
        <v>3961904</v>
      </c>
      <c r="NJD363" s="633">
        <f>SUM(NIQ363:NJB363)</f>
        <v>3961903.5018060002</v>
      </c>
      <c r="NJE363" s="919" t="s">
        <v>1837</v>
      </c>
      <c r="NJF363" s="1643" t="s">
        <v>1838</v>
      </c>
      <c r="NJG363" s="1648">
        <v>344028.50012699998</v>
      </c>
      <c r="NJH363" s="1648">
        <v>335387.28629100003</v>
      </c>
      <c r="NJI363" s="1648">
        <v>337602.67972299998</v>
      </c>
      <c r="NJJ363" s="1648">
        <v>210440.148116</v>
      </c>
      <c r="NJK363" s="1648">
        <v>330912.82974800002</v>
      </c>
      <c r="NJL363" s="1648">
        <v>321507.96580100001</v>
      </c>
      <c r="NJM363" s="1648">
        <v>310040.96500000003</v>
      </c>
      <c r="NJN363" s="1648">
        <v>306104.158</v>
      </c>
      <c r="NJO363" s="1648">
        <v>350079.51500000001</v>
      </c>
      <c r="NJP363" s="1648">
        <v>376736.01</v>
      </c>
      <c r="NJQ363" s="1648">
        <v>382165.86499999999</v>
      </c>
      <c r="NJR363" s="1648">
        <v>356897.57900000003</v>
      </c>
      <c r="NJS363" s="635">
        <v>3961904</v>
      </c>
      <c r="NJT363" s="633">
        <f>SUM(NJG363:NJR363)</f>
        <v>3961903.5018060002</v>
      </c>
      <c r="NJU363" s="919" t="s">
        <v>1837</v>
      </c>
      <c r="NJV363" s="1643" t="s">
        <v>1838</v>
      </c>
      <c r="NJW363" s="1648">
        <v>344028.50012699998</v>
      </c>
      <c r="NJX363" s="1648">
        <v>335387.28629100003</v>
      </c>
      <c r="NJY363" s="1648">
        <v>337602.67972299998</v>
      </c>
      <c r="NJZ363" s="1648">
        <v>210440.148116</v>
      </c>
      <c r="NKA363" s="1648">
        <v>330912.82974800002</v>
      </c>
      <c r="NKB363" s="1648">
        <v>321507.96580100001</v>
      </c>
      <c r="NKC363" s="1648">
        <v>310040.96500000003</v>
      </c>
      <c r="NKD363" s="1648">
        <v>306104.158</v>
      </c>
      <c r="NKE363" s="1648">
        <v>350079.51500000001</v>
      </c>
      <c r="NKF363" s="1648">
        <v>376736.01</v>
      </c>
      <c r="NKG363" s="1648">
        <v>382165.86499999999</v>
      </c>
      <c r="NKH363" s="1648">
        <v>356897.57900000003</v>
      </c>
      <c r="NKI363" s="635">
        <v>3961904</v>
      </c>
      <c r="NKJ363" s="633">
        <f>SUM(NJW363:NKH363)</f>
        <v>3961903.5018060002</v>
      </c>
      <c r="NKK363" s="919" t="s">
        <v>1837</v>
      </c>
      <c r="NKL363" s="1643" t="s">
        <v>1838</v>
      </c>
      <c r="NKM363" s="1648">
        <v>344028.50012699998</v>
      </c>
      <c r="NKN363" s="1648">
        <v>335387.28629100003</v>
      </c>
      <c r="NKO363" s="1648">
        <v>337602.67972299998</v>
      </c>
      <c r="NKP363" s="1648">
        <v>210440.148116</v>
      </c>
      <c r="NKQ363" s="1648">
        <v>330912.82974800002</v>
      </c>
      <c r="NKR363" s="1648">
        <v>321507.96580100001</v>
      </c>
      <c r="NKS363" s="1648">
        <v>310040.96500000003</v>
      </c>
      <c r="NKT363" s="1648">
        <v>306104.158</v>
      </c>
      <c r="NKU363" s="1648">
        <v>350079.51500000001</v>
      </c>
      <c r="NKV363" s="1648">
        <v>376736.01</v>
      </c>
      <c r="NKW363" s="1648">
        <v>382165.86499999999</v>
      </c>
      <c r="NKX363" s="1648">
        <v>356897.57900000003</v>
      </c>
      <c r="NKY363" s="635">
        <v>3961904</v>
      </c>
      <c r="NKZ363" s="633">
        <f>SUM(NKM363:NKX363)</f>
        <v>3961903.5018060002</v>
      </c>
      <c r="NLA363" s="919" t="s">
        <v>1837</v>
      </c>
      <c r="NLB363" s="1643" t="s">
        <v>1838</v>
      </c>
      <c r="NLC363" s="1648">
        <v>344028.50012699998</v>
      </c>
      <c r="NLD363" s="1648">
        <v>335387.28629100003</v>
      </c>
      <c r="NLE363" s="1648">
        <v>337602.67972299998</v>
      </c>
      <c r="NLF363" s="1648">
        <v>210440.148116</v>
      </c>
      <c r="NLG363" s="1648">
        <v>330912.82974800002</v>
      </c>
      <c r="NLH363" s="1648">
        <v>321507.96580100001</v>
      </c>
      <c r="NLI363" s="1648">
        <v>310040.96500000003</v>
      </c>
      <c r="NLJ363" s="1648">
        <v>306104.158</v>
      </c>
      <c r="NLK363" s="1648">
        <v>350079.51500000001</v>
      </c>
      <c r="NLL363" s="1648">
        <v>376736.01</v>
      </c>
      <c r="NLM363" s="1648">
        <v>382165.86499999999</v>
      </c>
      <c r="NLN363" s="1648">
        <v>356897.57900000003</v>
      </c>
      <c r="NLO363" s="635">
        <v>3961904</v>
      </c>
      <c r="NLP363" s="633">
        <f>SUM(NLC363:NLN363)</f>
        <v>3961903.5018060002</v>
      </c>
      <c r="NLQ363" s="919" t="s">
        <v>1837</v>
      </c>
      <c r="NLR363" s="1643" t="s">
        <v>1838</v>
      </c>
      <c r="NLS363" s="1648">
        <v>344028.50012699998</v>
      </c>
      <c r="NLT363" s="1648">
        <v>335387.28629100003</v>
      </c>
      <c r="NLU363" s="1648">
        <v>337602.67972299998</v>
      </c>
      <c r="NLV363" s="1648">
        <v>210440.148116</v>
      </c>
      <c r="NLW363" s="1648">
        <v>330912.82974800002</v>
      </c>
      <c r="NLX363" s="1648">
        <v>321507.96580100001</v>
      </c>
      <c r="NLY363" s="1648">
        <v>310040.96500000003</v>
      </c>
      <c r="NLZ363" s="1648">
        <v>306104.158</v>
      </c>
      <c r="NMA363" s="1648">
        <v>350079.51500000001</v>
      </c>
      <c r="NMB363" s="1648">
        <v>376736.01</v>
      </c>
      <c r="NMC363" s="1648">
        <v>382165.86499999999</v>
      </c>
      <c r="NMD363" s="1648">
        <v>356897.57900000003</v>
      </c>
      <c r="NME363" s="635">
        <v>3961904</v>
      </c>
      <c r="NMF363" s="633">
        <f>SUM(NLS363:NMD363)</f>
        <v>3961903.5018060002</v>
      </c>
      <c r="NMG363" s="919" t="s">
        <v>1837</v>
      </c>
      <c r="NMH363" s="1643" t="s">
        <v>1838</v>
      </c>
      <c r="NMI363" s="1648">
        <v>344028.50012699998</v>
      </c>
      <c r="NMJ363" s="1648">
        <v>335387.28629100003</v>
      </c>
      <c r="NMK363" s="1648">
        <v>337602.67972299998</v>
      </c>
      <c r="NML363" s="1648">
        <v>210440.148116</v>
      </c>
      <c r="NMM363" s="1648">
        <v>330912.82974800002</v>
      </c>
      <c r="NMN363" s="1648">
        <v>321507.96580100001</v>
      </c>
      <c r="NMO363" s="1648">
        <v>310040.96500000003</v>
      </c>
      <c r="NMP363" s="1648">
        <v>306104.158</v>
      </c>
      <c r="NMQ363" s="1648">
        <v>350079.51500000001</v>
      </c>
      <c r="NMR363" s="1648">
        <v>376736.01</v>
      </c>
      <c r="NMS363" s="1648">
        <v>382165.86499999999</v>
      </c>
      <c r="NMT363" s="1648">
        <v>356897.57900000003</v>
      </c>
      <c r="NMU363" s="635">
        <v>3961904</v>
      </c>
      <c r="NMV363" s="633">
        <f>SUM(NMI363:NMT363)</f>
        <v>3961903.5018060002</v>
      </c>
      <c r="NMW363" s="919" t="s">
        <v>1837</v>
      </c>
      <c r="NMX363" s="1643" t="s">
        <v>1838</v>
      </c>
      <c r="NMY363" s="1648">
        <v>344028.50012699998</v>
      </c>
      <c r="NMZ363" s="1648">
        <v>335387.28629100003</v>
      </c>
      <c r="NNA363" s="1648">
        <v>337602.67972299998</v>
      </c>
      <c r="NNB363" s="1648">
        <v>210440.148116</v>
      </c>
      <c r="NNC363" s="1648">
        <v>330912.82974800002</v>
      </c>
      <c r="NND363" s="1648">
        <v>321507.96580100001</v>
      </c>
      <c r="NNE363" s="1648">
        <v>310040.96500000003</v>
      </c>
      <c r="NNF363" s="1648">
        <v>306104.158</v>
      </c>
      <c r="NNG363" s="1648">
        <v>350079.51500000001</v>
      </c>
      <c r="NNH363" s="1648">
        <v>376736.01</v>
      </c>
      <c r="NNI363" s="1648">
        <v>382165.86499999999</v>
      </c>
      <c r="NNJ363" s="1648">
        <v>356897.57900000003</v>
      </c>
      <c r="NNK363" s="635">
        <v>3961904</v>
      </c>
      <c r="NNL363" s="633">
        <f>SUM(NMY363:NNJ363)</f>
        <v>3961903.5018060002</v>
      </c>
      <c r="NNM363" s="919" t="s">
        <v>1837</v>
      </c>
      <c r="NNN363" s="1643" t="s">
        <v>1838</v>
      </c>
      <c r="NNO363" s="1648">
        <v>344028.50012699998</v>
      </c>
      <c r="NNP363" s="1648">
        <v>335387.28629100003</v>
      </c>
      <c r="NNQ363" s="1648">
        <v>337602.67972299998</v>
      </c>
      <c r="NNR363" s="1648">
        <v>210440.148116</v>
      </c>
      <c r="NNS363" s="1648">
        <v>330912.82974800002</v>
      </c>
      <c r="NNT363" s="1648">
        <v>321507.96580100001</v>
      </c>
      <c r="NNU363" s="1648">
        <v>310040.96500000003</v>
      </c>
      <c r="NNV363" s="1648">
        <v>306104.158</v>
      </c>
      <c r="NNW363" s="1648">
        <v>350079.51500000001</v>
      </c>
      <c r="NNX363" s="1648">
        <v>376736.01</v>
      </c>
      <c r="NNY363" s="1648">
        <v>382165.86499999999</v>
      </c>
      <c r="NNZ363" s="1648">
        <v>356897.57900000003</v>
      </c>
      <c r="NOA363" s="635">
        <v>3961904</v>
      </c>
      <c r="NOB363" s="633">
        <f>SUM(NNO363:NNZ363)</f>
        <v>3961903.5018060002</v>
      </c>
      <c r="NOC363" s="919" t="s">
        <v>1837</v>
      </c>
      <c r="NOD363" s="1643" t="s">
        <v>1838</v>
      </c>
      <c r="NOE363" s="1648">
        <v>344028.50012699998</v>
      </c>
      <c r="NOF363" s="1648">
        <v>335387.28629100003</v>
      </c>
      <c r="NOG363" s="1648">
        <v>337602.67972299998</v>
      </c>
      <c r="NOH363" s="1648">
        <v>210440.148116</v>
      </c>
      <c r="NOI363" s="1648">
        <v>330912.82974800002</v>
      </c>
      <c r="NOJ363" s="1648">
        <v>321507.96580100001</v>
      </c>
      <c r="NOK363" s="1648">
        <v>310040.96500000003</v>
      </c>
      <c r="NOL363" s="1648">
        <v>306104.158</v>
      </c>
      <c r="NOM363" s="1648">
        <v>350079.51500000001</v>
      </c>
      <c r="NON363" s="1648">
        <v>376736.01</v>
      </c>
      <c r="NOO363" s="1648">
        <v>382165.86499999999</v>
      </c>
      <c r="NOP363" s="1648">
        <v>356897.57900000003</v>
      </c>
      <c r="NOQ363" s="635">
        <v>3961904</v>
      </c>
      <c r="NOR363" s="633">
        <f>SUM(NOE363:NOP363)</f>
        <v>3961903.5018060002</v>
      </c>
      <c r="NOS363" s="919" t="s">
        <v>1837</v>
      </c>
      <c r="NOT363" s="1643" t="s">
        <v>1838</v>
      </c>
      <c r="NOU363" s="1648">
        <v>344028.50012699998</v>
      </c>
      <c r="NOV363" s="1648">
        <v>335387.28629100003</v>
      </c>
      <c r="NOW363" s="1648">
        <v>337602.67972299998</v>
      </c>
      <c r="NOX363" s="1648">
        <v>210440.148116</v>
      </c>
      <c r="NOY363" s="1648">
        <v>330912.82974800002</v>
      </c>
      <c r="NOZ363" s="1648">
        <v>321507.96580100001</v>
      </c>
      <c r="NPA363" s="1648">
        <v>310040.96500000003</v>
      </c>
      <c r="NPB363" s="1648">
        <v>306104.158</v>
      </c>
      <c r="NPC363" s="1648">
        <v>350079.51500000001</v>
      </c>
      <c r="NPD363" s="1648">
        <v>376736.01</v>
      </c>
      <c r="NPE363" s="1648">
        <v>382165.86499999999</v>
      </c>
      <c r="NPF363" s="1648">
        <v>356897.57900000003</v>
      </c>
      <c r="NPG363" s="635">
        <v>3961904</v>
      </c>
      <c r="NPH363" s="633">
        <f>SUM(NOU363:NPF363)</f>
        <v>3961903.5018060002</v>
      </c>
      <c r="NPI363" s="919" t="s">
        <v>1837</v>
      </c>
      <c r="NPJ363" s="1643" t="s">
        <v>1838</v>
      </c>
      <c r="NPK363" s="1648">
        <v>344028.50012699998</v>
      </c>
      <c r="NPL363" s="1648">
        <v>335387.28629100003</v>
      </c>
      <c r="NPM363" s="1648">
        <v>337602.67972299998</v>
      </c>
      <c r="NPN363" s="1648">
        <v>210440.148116</v>
      </c>
      <c r="NPO363" s="1648">
        <v>330912.82974800002</v>
      </c>
      <c r="NPP363" s="1648">
        <v>321507.96580100001</v>
      </c>
      <c r="NPQ363" s="1648">
        <v>310040.96500000003</v>
      </c>
      <c r="NPR363" s="1648">
        <v>306104.158</v>
      </c>
      <c r="NPS363" s="1648">
        <v>350079.51500000001</v>
      </c>
      <c r="NPT363" s="1648">
        <v>376736.01</v>
      </c>
      <c r="NPU363" s="1648">
        <v>382165.86499999999</v>
      </c>
      <c r="NPV363" s="1648">
        <v>356897.57900000003</v>
      </c>
      <c r="NPW363" s="635">
        <v>3961904</v>
      </c>
      <c r="NPX363" s="633">
        <f>SUM(NPK363:NPV363)</f>
        <v>3961903.5018060002</v>
      </c>
      <c r="NPY363" s="919" t="s">
        <v>1837</v>
      </c>
      <c r="NPZ363" s="1643" t="s">
        <v>1838</v>
      </c>
      <c r="NQA363" s="1648">
        <v>344028.50012699998</v>
      </c>
      <c r="NQB363" s="1648">
        <v>335387.28629100003</v>
      </c>
      <c r="NQC363" s="1648">
        <v>337602.67972299998</v>
      </c>
      <c r="NQD363" s="1648">
        <v>210440.148116</v>
      </c>
      <c r="NQE363" s="1648">
        <v>330912.82974800002</v>
      </c>
      <c r="NQF363" s="1648">
        <v>321507.96580100001</v>
      </c>
      <c r="NQG363" s="1648">
        <v>310040.96500000003</v>
      </c>
      <c r="NQH363" s="1648">
        <v>306104.158</v>
      </c>
      <c r="NQI363" s="1648">
        <v>350079.51500000001</v>
      </c>
      <c r="NQJ363" s="1648">
        <v>376736.01</v>
      </c>
      <c r="NQK363" s="1648">
        <v>382165.86499999999</v>
      </c>
      <c r="NQL363" s="1648">
        <v>356897.57900000003</v>
      </c>
      <c r="NQM363" s="635">
        <v>3961904</v>
      </c>
      <c r="NQN363" s="633">
        <f>SUM(NQA363:NQL363)</f>
        <v>3961903.5018060002</v>
      </c>
      <c r="NQO363" s="919" t="s">
        <v>1837</v>
      </c>
      <c r="NQP363" s="1643" t="s">
        <v>1838</v>
      </c>
      <c r="NQQ363" s="1648">
        <v>344028.50012699998</v>
      </c>
      <c r="NQR363" s="1648">
        <v>335387.28629100003</v>
      </c>
      <c r="NQS363" s="1648">
        <v>337602.67972299998</v>
      </c>
      <c r="NQT363" s="1648">
        <v>210440.148116</v>
      </c>
      <c r="NQU363" s="1648">
        <v>330912.82974800002</v>
      </c>
      <c r="NQV363" s="1648">
        <v>321507.96580100001</v>
      </c>
      <c r="NQW363" s="1648">
        <v>310040.96500000003</v>
      </c>
      <c r="NQX363" s="1648">
        <v>306104.158</v>
      </c>
      <c r="NQY363" s="1648">
        <v>350079.51500000001</v>
      </c>
      <c r="NQZ363" s="1648">
        <v>376736.01</v>
      </c>
      <c r="NRA363" s="1648">
        <v>382165.86499999999</v>
      </c>
      <c r="NRB363" s="1648">
        <v>356897.57900000003</v>
      </c>
      <c r="NRC363" s="635">
        <v>3961904</v>
      </c>
      <c r="NRD363" s="633">
        <f>SUM(NQQ363:NRB363)</f>
        <v>3961903.5018060002</v>
      </c>
      <c r="NRE363" s="919" t="s">
        <v>1837</v>
      </c>
      <c r="NRF363" s="1643" t="s">
        <v>1838</v>
      </c>
      <c r="NRG363" s="1648">
        <v>344028.50012699998</v>
      </c>
      <c r="NRH363" s="1648">
        <v>335387.28629100003</v>
      </c>
      <c r="NRI363" s="1648">
        <v>337602.67972299998</v>
      </c>
      <c r="NRJ363" s="1648">
        <v>210440.148116</v>
      </c>
      <c r="NRK363" s="1648">
        <v>330912.82974800002</v>
      </c>
      <c r="NRL363" s="1648">
        <v>321507.96580100001</v>
      </c>
      <c r="NRM363" s="1648">
        <v>310040.96500000003</v>
      </c>
      <c r="NRN363" s="1648">
        <v>306104.158</v>
      </c>
      <c r="NRO363" s="1648">
        <v>350079.51500000001</v>
      </c>
      <c r="NRP363" s="1648">
        <v>376736.01</v>
      </c>
      <c r="NRQ363" s="1648">
        <v>382165.86499999999</v>
      </c>
      <c r="NRR363" s="1648">
        <v>356897.57900000003</v>
      </c>
      <c r="NRS363" s="635">
        <v>3961904</v>
      </c>
      <c r="NRT363" s="633">
        <f>SUM(NRG363:NRR363)</f>
        <v>3961903.5018060002</v>
      </c>
      <c r="NRU363" s="919" t="s">
        <v>1837</v>
      </c>
      <c r="NRV363" s="1643" t="s">
        <v>1838</v>
      </c>
      <c r="NRW363" s="1648">
        <v>344028.50012699998</v>
      </c>
      <c r="NRX363" s="1648">
        <v>335387.28629100003</v>
      </c>
      <c r="NRY363" s="1648">
        <v>337602.67972299998</v>
      </c>
      <c r="NRZ363" s="1648">
        <v>210440.148116</v>
      </c>
      <c r="NSA363" s="1648">
        <v>330912.82974800002</v>
      </c>
      <c r="NSB363" s="1648">
        <v>321507.96580100001</v>
      </c>
      <c r="NSC363" s="1648">
        <v>310040.96500000003</v>
      </c>
      <c r="NSD363" s="1648">
        <v>306104.158</v>
      </c>
      <c r="NSE363" s="1648">
        <v>350079.51500000001</v>
      </c>
      <c r="NSF363" s="1648">
        <v>376736.01</v>
      </c>
      <c r="NSG363" s="1648">
        <v>382165.86499999999</v>
      </c>
      <c r="NSH363" s="1648">
        <v>356897.57900000003</v>
      </c>
      <c r="NSI363" s="635">
        <v>3961904</v>
      </c>
      <c r="NSJ363" s="633">
        <f>SUM(NRW363:NSH363)</f>
        <v>3961903.5018060002</v>
      </c>
      <c r="NSK363" s="919" t="s">
        <v>1837</v>
      </c>
      <c r="NSL363" s="1643" t="s">
        <v>1838</v>
      </c>
      <c r="NSM363" s="1648">
        <v>344028.50012699998</v>
      </c>
      <c r="NSN363" s="1648">
        <v>335387.28629100003</v>
      </c>
      <c r="NSO363" s="1648">
        <v>337602.67972299998</v>
      </c>
      <c r="NSP363" s="1648">
        <v>210440.148116</v>
      </c>
      <c r="NSQ363" s="1648">
        <v>330912.82974800002</v>
      </c>
      <c r="NSR363" s="1648">
        <v>321507.96580100001</v>
      </c>
      <c r="NSS363" s="1648">
        <v>310040.96500000003</v>
      </c>
      <c r="NST363" s="1648">
        <v>306104.158</v>
      </c>
      <c r="NSU363" s="1648">
        <v>350079.51500000001</v>
      </c>
      <c r="NSV363" s="1648">
        <v>376736.01</v>
      </c>
      <c r="NSW363" s="1648">
        <v>382165.86499999999</v>
      </c>
      <c r="NSX363" s="1648">
        <v>356897.57900000003</v>
      </c>
      <c r="NSY363" s="635">
        <v>3961904</v>
      </c>
      <c r="NSZ363" s="633">
        <f>SUM(NSM363:NSX363)</f>
        <v>3961903.5018060002</v>
      </c>
      <c r="NTA363" s="919" t="s">
        <v>1837</v>
      </c>
      <c r="NTB363" s="1643" t="s">
        <v>1838</v>
      </c>
      <c r="NTC363" s="1648">
        <v>344028.50012699998</v>
      </c>
      <c r="NTD363" s="1648">
        <v>335387.28629100003</v>
      </c>
      <c r="NTE363" s="1648">
        <v>337602.67972299998</v>
      </c>
      <c r="NTF363" s="1648">
        <v>210440.148116</v>
      </c>
      <c r="NTG363" s="1648">
        <v>330912.82974800002</v>
      </c>
      <c r="NTH363" s="1648">
        <v>321507.96580100001</v>
      </c>
      <c r="NTI363" s="1648">
        <v>310040.96500000003</v>
      </c>
      <c r="NTJ363" s="1648">
        <v>306104.158</v>
      </c>
      <c r="NTK363" s="1648">
        <v>350079.51500000001</v>
      </c>
      <c r="NTL363" s="1648">
        <v>376736.01</v>
      </c>
      <c r="NTM363" s="1648">
        <v>382165.86499999999</v>
      </c>
      <c r="NTN363" s="1648">
        <v>356897.57900000003</v>
      </c>
      <c r="NTO363" s="635">
        <v>3961904</v>
      </c>
      <c r="NTP363" s="633">
        <f>SUM(NTC363:NTN363)</f>
        <v>3961903.5018060002</v>
      </c>
      <c r="NTQ363" s="919" t="s">
        <v>1837</v>
      </c>
      <c r="NTR363" s="1643" t="s">
        <v>1838</v>
      </c>
      <c r="NTS363" s="1648">
        <v>344028.50012699998</v>
      </c>
      <c r="NTT363" s="1648">
        <v>335387.28629100003</v>
      </c>
      <c r="NTU363" s="1648">
        <v>337602.67972299998</v>
      </c>
      <c r="NTV363" s="1648">
        <v>210440.148116</v>
      </c>
      <c r="NTW363" s="1648">
        <v>330912.82974800002</v>
      </c>
      <c r="NTX363" s="1648">
        <v>321507.96580100001</v>
      </c>
      <c r="NTY363" s="1648">
        <v>310040.96500000003</v>
      </c>
      <c r="NTZ363" s="1648">
        <v>306104.158</v>
      </c>
      <c r="NUA363" s="1648">
        <v>350079.51500000001</v>
      </c>
      <c r="NUB363" s="1648">
        <v>376736.01</v>
      </c>
      <c r="NUC363" s="1648">
        <v>382165.86499999999</v>
      </c>
      <c r="NUD363" s="1648">
        <v>356897.57900000003</v>
      </c>
      <c r="NUE363" s="635">
        <v>3961904</v>
      </c>
      <c r="NUF363" s="633">
        <f>SUM(NTS363:NUD363)</f>
        <v>3961903.5018060002</v>
      </c>
      <c r="NUG363" s="919" t="s">
        <v>1837</v>
      </c>
      <c r="NUH363" s="1643" t="s">
        <v>1838</v>
      </c>
      <c r="NUI363" s="1648">
        <v>344028.50012699998</v>
      </c>
      <c r="NUJ363" s="1648">
        <v>335387.28629100003</v>
      </c>
      <c r="NUK363" s="1648">
        <v>337602.67972299998</v>
      </c>
      <c r="NUL363" s="1648">
        <v>210440.148116</v>
      </c>
      <c r="NUM363" s="1648">
        <v>330912.82974800002</v>
      </c>
      <c r="NUN363" s="1648">
        <v>321507.96580100001</v>
      </c>
      <c r="NUO363" s="1648">
        <v>310040.96500000003</v>
      </c>
      <c r="NUP363" s="1648">
        <v>306104.158</v>
      </c>
      <c r="NUQ363" s="1648">
        <v>350079.51500000001</v>
      </c>
      <c r="NUR363" s="1648">
        <v>376736.01</v>
      </c>
      <c r="NUS363" s="1648">
        <v>382165.86499999999</v>
      </c>
      <c r="NUT363" s="1648">
        <v>356897.57900000003</v>
      </c>
      <c r="NUU363" s="635">
        <v>3961904</v>
      </c>
      <c r="NUV363" s="633">
        <f>SUM(NUI363:NUT363)</f>
        <v>3961903.5018060002</v>
      </c>
      <c r="NUW363" s="919" t="s">
        <v>1837</v>
      </c>
      <c r="NUX363" s="1643" t="s">
        <v>1838</v>
      </c>
      <c r="NUY363" s="1648">
        <v>344028.50012699998</v>
      </c>
      <c r="NUZ363" s="1648">
        <v>335387.28629100003</v>
      </c>
      <c r="NVA363" s="1648">
        <v>337602.67972299998</v>
      </c>
      <c r="NVB363" s="1648">
        <v>210440.148116</v>
      </c>
      <c r="NVC363" s="1648">
        <v>330912.82974800002</v>
      </c>
      <c r="NVD363" s="1648">
        <v>321507.96580100001</v>
      </c>
      <c r="NVE363" s="1648">
        <v>310040.96500000003</v>
      </c>
      <c r="NVF363" s="1648">
        <v>306104.158</v>
      </c>
      <c r="NVG363" s="1648">
        <v>350079.51500000001</v>
      </c>
      <c r="NVH363" s="1648">
        <v>376736.01</v>
      </c>
      <c r="NVI363" s="1648">
        <v>382165.86499999999</v>
      </c>
      <c r="NVJ363" s="1648">
        <v>356897.57900000003</v>
      </c>
      <c r="NVK363" s="635">
        <v>3961904</v>
      </c>
      <c r="NVL363" s="633">
        <f>SUM(NUY363:NVJ363)</f>
        <v>3961903.5018060002</v>
      </c>
      <c r="NVM363" s="919" t="s">
        <v>1837</v>
      </c>
      <c r="NVN363" s="1643" t="s">
        <v>1838</v>
      </c>
      <c r="NVO363" s="1648">
        <v>344028.50012699998</v>
      </c>
      <c r="NVP363" s="1648">
        <v>335387.28629100003</v>
      </c>
      <c r="NVQ363" s="1648">
        <v>337602.67972299998</v>
      </c>
      <c r="NVR363" s="1648">
        <v>210440.148116</v>
      </c>
      <c r="NVS363" s="1648">
        <v>330912.82974800002</v>
      </c>
      <c r="NVT363" s="1648">
        <v>321507.96580100001</v>
      </c>
      <c r="NVU363" s="1648">
        <v>310040.96500000003</v>
      </c>
      <c r="NVV363" s="1648">
        <v>306104.158</v>
      </c>
      <c r="NVW363" s="1648">
        <v>350079.51500000001</v>
      </c>
      <c r="NVX363" s="1648">
        <v>376736.01</v>
      </c>
      <c r="NVY363" s="1648">
        <v>382165.86499999999</v>
      </c>
      <c r="NVZ363" s="1648">
        <v>356897.57900000003</v>
      </c>
      <c r="NWA363" s="635">
        <v>3961904</v>
      </c>
      <c r="NWB363" s="633">
        <f>SUM(NVO363:NVZ363)</f>
        <v>3961903.5018060002</v>
      </c>
      <c r="NWC363" s="919" t="s">
        <v>1837</v>
      </c>
      <c r="NWD363" s="1643" t="s">
        <v>1838</v>
      </c>
      <c r="NWE363" s="1648">
        <v>344028.50012699998</v>
      </c>
      <c r="NWF363" s="1648">
        <v>335387.28629100003</v>
      </c>
      <c r="NWG363" s="1648">
        <v>337602.67972299998</v>
      </c>
      <c r="NWH363" s="1648">
        <v>210440.148116</v>
      </c>
      <c r="NWI363" s="1648">
        <v>330912.82974800002</v>
      </c>
      <c r="NWJ363" s="1648">
        <v>321507.96580100001</v>
      </c>
      <c r="NWK363" s="1648">
        <v>310040.96500000003</v>
      </c>
      <c r="NWL363" s="1648">
        <v>306104.158</v>
      </c>
      <c r="NWM363" s="1648">
        <v>350079.51500000001</v>
      </c>
      <c r="NWN363" s="1648">
        <v>376736.01</v>
      </c>
      <c r="NWO363" s="1648">
        <v>382165.86499999999</v>
      </c>
      <c r="NWP363" s="1648">
        <v>356897.57900000003</v>
      </c>
      <c r="NWQ363" s="635">
        <v>3961904</v>
      </c>
      <c r="NWR363" s="633">
        <f>SUM(NWE363:NWP363)</f>
        <v>3961903.5018060002</v>
      </c>
      <c r="NWS363" s="919" t="s">
        <v>1837</v>
      </c>
      <c r="NWT363" s="1643" t="s">
        <v>1838</v>
      </c>
      <c r="NWU363" s="1648">
        <v>344028.50012699998</v>
      </c>
      <c r="NWV363" s="1648">
        <v>335387.28629100003</v>
      </c>
      <c r="NWW363" s="1648">
        <v>337602.67972299998</v>
      </c>
      <c r="NWX363" s="1648">
        <v>210440.148116</v>
      </c>
      <c r="NWY363" s="1648">
        <v>330912.82974800002</v>
      </c>
      <c r="NWZ363" s="1648">
        <v>321507.96580100001</v>
      </c>
      <c r="NXA363" s="1648">
        <v>310040.96500000003</v>
      </c>
      <c r="NXB363" s="1648">
        <v>306104.158</v>
      </c>
      <c r="NXC363" s="1648">
        <v>350079.51500000001</v>
      </c>
      <c r="NXD363" s="1648">
        <v>376736.01</v>
      </c>
      <c r="NXE363" s="1648">
        <v>382165.86499999999</v>
      </c>
      <c r="NXF363" s="1648">
        <v>356897.57900000003</v>
      </c>
      <c r="NXG363" s="635">
        <v>3961904</v>
      </c>
      <c r="NXH363" s="633">
        <f>SUM(NWU363:NXF363)</f>
        <v>3961903.5018060002</v>
      </c>
      <c r="NXI363" s="919" t="s">
        <v>1837</v>
      </c>
      <c r="NXJ363" s="1643" t="s">
        <v>1838</v>
      </c>
      <c r="NXK363" s="1648">
        <v>344028.50012699998</v>
      </c>
      <c r="NXL363" s="1648">
        <v>335387.28629100003</v>
      </c>
      <c r="NXM363" s="1648">
        <v>337602.67972299998</v>
      </c>
      <c r="NXN363" s="1648">
        <v>210440.148116</v>
      </c>
      <c r="NXO363" s="1648">
        <v>330912.82974800002</v>
      </c>
      <c r="NXP363" s="1648">
        <v>321507.96580100001</v>
      </c>
      <c r="NXQ363" s="1648">
        <v>310040.96500000003</v>
      </c>
      <c r="NXR363" s="1648">
        <v>306104.158</v>
      </c>
      <c r="NXS363" s="1648">
        <v>350079.51500000001</v>
      </c>
      <c r="NXT363" s="1648">
        <v>376736.01</v>
      </c>
      <c r="NXU363" s="1648">
        <v>382165.86499999999</v>
      </c>
      <c r="NXV363" s="1648">
        <v>356897.57900000003</v>
      </c>
      <c r="NXW363" s="635">
        <v>3961904</v>
      </c>
      <c r="NXX363" s="633">
        <f>SUM(NXK363:NXV363)</f>
        <v>3961903.5018060002</v>
      </c>
      <c r="NXY363" s="919" t="s">
        <v>1837</v>
      </c>
      <c r="NXZ363" s="1643" t="s">
        <v>1838</v>
      </c>
      <c r="NYA363" s="1648">
        <v>344028.50012699998</v>
      </c>
      <c r="NYB363" s="1648">
        <v>335387.28629100003</v>
      </c>
      <c r="NYC363" s="1648">
        <v>337602.67972299998</v>
      </c>
      <c r="NYD363" s="1648">
        <v>210440.148116</v>
      </c>
      <c r="NYE363" s="1648">
        <v>330912.82974800002</v>
      </c>
      <c r="NYF363" s="1648">
        <v>321507.96580100001</v>
      </c>
      <c r="NYG363" s="1648">
        <v>310040.96500000003</v>
      </c>
      <c r="NYH363" s="1648">
        <v>306104.158</v>
      </c>
      <c r="NYI363" s="1648">
        <v>350079.51500000001</v>
      </c>
      <c r="NYJ363" s="1648">
        <v>376736.01</v>
      </c>
      <c r="NYK363" s="1648">
        <v>382165.86499999999</v>
      </c>
      <c r="NYL363" s="1648">
        <v>356897.57900000003</v>
      </c>
      <c r="NYM363" s="635">
        <v>3961904</v>
      </c>
      <c r="NYN363" s="633">
        <f>SUM(NYA363:NYL363)</f>
        <v>3961903.5018060002</v>
      </c>
      <c r="NYO363" s="919" t="s">
        <v>1837</v>
      </c>
      <c r="NYP363" s="1643" t="s">
        <v>1838</v>
      </c>
      <c r="NYQ363" s="1648">
        <v>344028.50012699998</v>
      </c>
      <c r="NYR363" s="1648">
        <v>335387.28629100003</v>
      </c>
      <c r="NYS363" s="1648">
        <v>337602.67972299998</v>
      </c>
      <c r="NYT363" s="1648">
        <v>210440.148116</v>
      </c>
      <c r="NYU363" s="1648">
        <v>330912.82974800002</v>
      </c>
      <c r="NYV363" s="1648">
        <v>321507.96580100001</v>
      </c>
      <c r="NYW363" s="1648">
        <v>310040.96500000003</v>
      </c>
      <c r="NYX363" s="1648">
        <v>306104.158</v>
      </c>
      <c r="NYY363" s="1648">
        <v>350079.51500000001</v>
      </c>
      <c r="NYZ363" s="1648">
        <v>376736.01</v>
      </c>
      <c r="NZA363" s="1648">
        <v>382165.86499999999</v>
      </c>
      <c r="NZB363" s="1648">
        <v>356897.57900000003</v>
      </c>
      <c r="NZC363" s="635">
        <v>3961904</v>
      </c>
      <c r="NZD363" s="633">
        <f>SUM(NYQ363:NZB363)</f>
        <v>3961903.5018060002</v>
      </c>
      <c r="NZE363" s="919" t="s">
        <v>1837</v>
      </c>
      <c r="NZF363" s="1643" t="s">
        <v>1838</v>
      </c>
      <c r="NZG363" s="1648">
        <v>344028.50012699998</v>
      </c>
      <c r="NZH363" s="1648">
        <v>335387.28629100003</v>
      </c>
      <c r="NZI363" s="1648">
        <v>337602.67972299998</v>
      </c>
      <c r="NZJ363" s="1648">
        <v>210440.148116</v>
      </c>
      <c r="NZK363" s="1648">
        <v>330912.82974800002</v>
      </c>
      <c r="NZL363" s="1648">
        <v>321507.96580100001</v>
      </c>
      <c r="NZM363" s="1648">
        <v>310040.96500000003</v>
      </c>
      <c r="NZN363" s="1648">
        <v>306104.158</v>
      </c>
      <c r="NZO363" s="1648">
        <v>350079.51500000001</v>
      </c>
      <c r="NZP363" s="1648">
        <v>376736.01</v>
      </c>
      <c r="NZQ363" s="1648">
        <v>382165.86499999999</v>
      </c>
      <c r="NZR363" s="1648">
        <v>356897.57900000003</v>
      </c>
      <c r="NZS363" s="635">
        <v>3961904</v>
      </c>
      <c r="NZT363" s="633">
        <f>SUM(NZG363:NZR363)</f>
        <v>3961903.5018060002</v>
      </c>
      <c r="NZU363" s="919" t="s">
        <v>1837</v>
      </c>
      <c r="NZV363" s="1643" t="s">
        <v>1838</v>
      </c>
      <c r="NZW363" s="1648">
        <v>344028.50012699998</v>
      </c>
      <c r="NZX363" s="1648">
        <v>335387.28629100003</v>
      </c>
      <c r="NZY363" s="1648">
        <v>337602.67972299998</v>
      </c>
      <c r="NZZ363" s="1648">
        <v>210440.148116</v>
      </c>
      <c r="OAA363" s="1648">
        <v>330912.82974800002</v>
      </c>
      <c r="OAB363" s="1648">
        <v>321507.96580100001</v>
      </c>
      <c r="OAC363" s="1648">
        <v>310040.96500000003</v>
      </c>
      <c r="OAD363" s="1648">
        <v>306104.158</v>
      </c>
      <c r="OAE363" s="1648">
        <v>350079.51500000001</v>
      </c>
      <c r="OAF363" s="1648">
        <v>376736.01</v>
      </c>
      <c r="OAG363" s="1648">
        <v>382165.86499999999</v>
      </c>
      <c r="OAH363" s="1648">
        <v>356897.57900000003</v>
      </c>
      <c r="OAI363" s="635">
        <v>3961904</v>
      </c>
      <c r="OAJ363" s="633">
        <f>SUM(NZW363:OAH363)</f>
        <v>3961903.5018060002</v>
      </c>
      <c r="OAK363" s="919" t="s">
        <v>1837</v>
      </c>
      <c r="OAL363" s="1643" t="s">
        <v>1838</v>
      </c>
      <c r="OAM363" s="1648">
        <v>344028.50012699998</v>
      </c>
      <c r="OAN363" s="1648">
        <v>335387.28629100003</v>
      </c>
      <c r="OAO363" s="1648">
        <v>337602.67972299998</v>
      </c>
      <c r="OAP363" s="1648">
        <v>210440.148116</v>
      </c>
      <c r="OAQ363" s="1648">
        <v>330912.82974800002</v>
      </c>
      <c r="OAR363" s="1648">
        <v>321507.96580100001</v>
      </c>
      <c r="OAS363" s="1648">
        <v>310040.96500000003</v>
      </c>
      <c r="OAT363" s="1648">
        <v>306104.158</v>
      </c>
      <c r="OAU363" s="1648">
        <v>350079.51500000001</v>
      </c>
      <c r="OAV363" s="1648">
        <v>376736.01</v>
      </c>
      <c r="OAW363" s="1648">
        <v>382165.86499999999</v>
      </c>
      <c r="OAX363" s="1648">
        <v>356897.57900000003</v>
      </c>
      <c r="OAY363" s="635">
        <v>3961904</v>
      </c>
      <c r="OAZ363" s="633">
        <f>SUM(OAM363:OAX363)</f>
        <v>3961903.5018060002</v>
      </c>
      <c r="OBA363" s="919" t="s">
        <v>1837</v>
      </c>
      <c r="OBB363" s="1643" t="s">
        <v>1838</v>
      </c>
      <c r="OBC363" s="1648">
        <v>344028.50012699998</v>
      </c>
      <c r="OBD363" s="1648">
        <v>335387.28629100003</v>
      </c>
      <c r="OBE363" s="1648">
        <v>337602.67972299998</v>
      </c>
      <c r="OBF363" s="1648">
        <v>210440.148116</v>
      </c>
      <c r="OBG363" s="1648">
        <v>330912.82974800002</v>
      </c>
      <c r="OBH363" s="1648">
        <v>321507.96580100001</v>
      </c>
      <c r="OBI363" s="1648">
        <v>310040.96500000003</v>
      </c>
      <c r="OBJ363" s="1648">
        <v>306104.158</v>
      </c>
      <c r="OBK363" s="1648">
        <v>350079.51500000001</v>
      </c>
      <c r="OBL363" s="1648">
        <v>376736.01</v>
      </c>
      <c r="OBM363" s="1648">
        <v>382165.86499999999</v>
      </c>
      <c r="OBN363" s="1648">
        <v>356897.57900000003</v>
      </c>
      <c r="OBO363" s="635">
        <v>3961904</v>
      </c>
      <c r="OBP363" s="633">
        <f>SUM(OBC363:OBN363)</f>
        <v>3961903.5018060002</v>
      </c>
      <c r="OBQ363" s="919" t="s">
        <v>1837</v>
      </c>
      <c r="OBR363" s="1643" t="s">
        <v>1838</v>
      </c>
      <c r="OBS363" s="1648">
        <v>344028.50012699998</v>
      </c>
      <c r="OBT363" s="1648">
        <v>335387.28629100003</v>
      </c>
      <c r="OBU363" s="1648">
        <v>337602.67972299998</v>
      </c>
      <c r="OBV363" s="1648">
        <v>210440.148116</v>
      </c>
      <c r="OBW363" s="1648">
        <v>330912.82974800002</v>
      </c>
      <c r="OBX363" s="1648">
        <v>321507.96580100001</v>
      </c>
      <c r="OBY363" s="1648">
        <v>310040.96500000003</v>
      </c>
      <c r="OBZ363" s="1648">
        <v>306104.158</v>
      </c>
      <c r="OCA363" s="1648">
        <v>350079.51500000001</v>
      </c>
      <c r="OCB363" s="1648">
        <v>376736.01</v>
      </c>
      <c r="OCC363" s="1648">
        <v>382165.86499999999</v>
      </c>
      <c r="OCD363" s="1648">
        <v>356897.57900000003</v>
      </c>
      <c r="OCE363" s="635">
        <v>3961904</v>
      </c>
      <c r="OCF363" s="633">
        <f>SUM(OBS363:OCD363)</f>
        <v>3961903.5018060002</v>
      </c>
      <c r="OCG363" s="919" t="s">
        <v>1837</v>
      </c>
      <c r="OCH363" s="1643" t="s">
        <v>1838</v>
      </c>
      <c r="OCI363" s="1648">
        <v>344028.50012699998</v>
      </c>
      <c r="OCJ363" s="1648">
        <v>335387.28629100003</v>
      </c>
      <c r="OCK363" s="1648">
        <v>337602.67972299998</v>
      </c>
      <c r="OCL363" s="1648">
        <v>210440.148116</v>
      </c>
      <c r="OCM363" s="1648">
        <v>330912.82974800002</v>
      </c>
      <c r="OCN363" s="1648">
        <v>321507.96580100001</v>
      </c>
      <c r="OCO363" s="1648">
        <v>310040.96500000003</v>
      </c>
      <c r="OCP363" s="1648">
        <v>306104.158</v>
      </c>
      <c r="OCQ363" s="1648">
        <v>350079.51500000001</v>
      </c>
      <c r="OCR363" s="1648">
        <v>376736.01</v>
      </c>
      <c r="OCS363" s="1648">
        <v>382165.86499999999</v>
      </c>
      <c r="OCT363" s="1648">
        <v>356897.57900000003</v>
      </c>
      <c r="OCU363" s="635">
        <v>3961904</v>
      </c>
      <c r="OCV363" s="633">
        <f>SUM(OCI363:OCT363)</f>
        <v>3961903.5018060002</v>
      </c>
      <c r="OCW363" s="919" t="s">
        <v>1837</v>
      </c>
      <c r="OCX363" s="1643" t="s">
        <v>1838</v>
      </c>
      <c r="OCY363" s="1648">
        <v>344028.50012699998</v>
      </c>
      <c r="OCZ363" s="1648">
        <v>335387.28629100003</v>
      </c>
      <c r="ODA363" s="1648">
        <v>337602.67972299998</v>
      </c>
      <c r="ODB363" s="1648">
        <v>210440.148116</v>
      </c>
      <c r="ODC363" s="1648">
        <v>330912.82974800002</v>
      </c>
      <c r="ODD363" s="1648">
        <v>321507.96580100001</v>
      </c>
      <c r="ODE363" s="1648">
        <v>310040.96500000003</v>
      </c>
      <c r="ODF363" s="1648">
        <v>306104.158</v>
      </c>
      <c r="ODG363" s="1648">
        <v>350079.51500000001</v>
      </c>
      <c r="ODH363" s="1648">
        <v>376736.01</v>
      </c>
      <c r="ODI363" s="1648">
        <v>382165.86499999999</v>
      </c>
      <c r="ODJ363" s="1648">
        <v>356897.57900000003</v>
      </c>
      <c r="ODK363" s="635">
        <v>3961904</v>
      </c>
      <c r="ODL363" s="633">
        <f>SUM(OCY363:ODJ363)</f>
        <v>3961903.5018060002</v>
      </c>
      <c r="ODM363" s="919" t="s">
        <v>1837</v>
      </c>
      <c r="ODN363" s="1643" t="s">
        <v>1838</v>
      </c>
      <c r="ODO363" s="1648">
        <v>344028.50012699998</v>
      </c>
      <c r="ODP363" s="1648">
        <v>335387.28629100003</v>
      </c>
      <c r="ODQ363" s="1648">
        <v>337602.67972299998</v>
      </c>
      <c r="ODR363" s="1648">
        <v>210440.148116</v>
      </c>
      <c r="ODS363" s="1648">
        <v>330912.82974800002</v>
      </c>
      <c r="ODT363" s="1648">
        <v>321507.96580100001</v>
      </c>
      <c r="ODU363" s="1648">
        <v>310040.96500000003</v>
      </c>
      <c r="ODV363" s="1648">
        <v>306104.158</v>
      </c>
      <c r="ODW363" s="1648">
        <v>350079.51500000001</v>
      </c>
      <c r="ODX363" s="1648">
        <v>376736.01</v>
      </c>
      <c r="ODY363" s="1648">
        <v>382165.86499999999</v>
      </c>
      <c r="ODZ363" s="1648">
        <v>356897.57900000003</v>
      </c>
      <c r="OEA363" s="635">
        <v>3961904</v>
      </c>
      <c r="OEB363" s="633">
        <f>SUM(ODO363:ODZ363)</f>
        <v>3961903.5018060002</v>
      </c>
      <c r="OEC363" s="919" t="s">
        <v>1837</v>
      </c>
      <c r="OED363" s="1643" t="s">
        <v>1838</v>
      </c>
      <c r="OEE363" s="1648">
        <v>344028.50012699998</v>
      </c>
      <c r="OEF363" s="1648">
        <v>335387.28629100003</v>
      </c>
      <c r="OEG363" s="1648">
        <v>337602.67972299998</v>
      </c>
      <c r="OEH363" s="1648">
        <v>210440.148116</v>
      </c>
      <c r="OEI363" s="1648">
        <v>330912.82974800002</v>
      </c>
      <c r="OEJ363" s="1648">
        <v>321507.96580100001</v>
      </c>
      <c r="OEK363" s="1648">
        <v>310040.96500000003</v>
      </c>
      <c r="OEL363" s="1648">
        <v>306104.158</v>
      </c>
      <c r="OEM363" s="1648">
        <v>350079.51500000001</v>
      </c>
      <c r="OEN363" s="1648">
        <v>376736.01</v>
      </c>
      <c r="OEO363" s="1648">
        <v>382165.86499999999</v>
      </c>
      <c r="OEP363" s="1648">
        <v>356897.57900000003</v>
      </c>
      <c r="OEQ363" s="635">
        <v>3961904</v>
      </c>
      <c r="OER363" s="633">
        <f>SUM(OEE363:OEP363)</f>
        <v>3961903.5018060002</v>
      </c>
      <c r="OES363" s="919" t="s">
        <v>1837</v>
      </c>
      <c r="OET363" s="1643" t="s">
        <v>1838</v>
      </c>
      <c r="OEU363" s="1648">
        <v>344028.50012699998</v>
      </c>
      <c r="OEV363" s="1648">
        <v>335387.28629100003</v>
      </c>
      <c r="OEW363" s="1648">
        <v>337602.67972299998</v>
      </c>
      <c r="OEX363" s="1648">
        <v>210440.148116</v>
      </c>
      <c r="OEY363" s="1648">
        <v>330912.82974800002</v>
      </c>
      <c r="OEZ363" s="1648">
        <v>321507.96580100001</v>
      </c>
      <c r="OFA363" s="1648">
        <v>310040.96500000003</v>
      </c>
      <c r="OFB363" s="1648">
        <v>306104.158</v>
      </c>
      <c r="OFC363" s="1648">
        <v>350079.51500000001</v>
      </c>
      <c r="OFD363" s="1648">
        <v>376736.01</v>
      </c>
      <c r="OFE363" s="1648">
        <v>382165.86499999999</v>
      </c>
      <c r="OFF363" s="1648">
        <v>356897.57900000003</v>
      </c>
      <c r="OFG363" s="635">
        <v>3961904</v>
      </c>
      <c r="OFH363" s="633">
        <f>SUM(OEU363:OFF363)</f>
        <v>3961903.5018060002</v>
      </c>
      <c r="OFI363" s="919" t="s">
        <v>1837</v>
      </c>
      <c r="OFJ363" s="1643" t="s">
        <v>1838</v>
      </c>
      <c r="OFK363" s="1648">
        <v>344028.50012699998</v>
      </c>
      <c r="OFL363" s="1648">
        <v>335387.28629100003</v>
      </c>
      <c r="OFM363" s="1648">
        <v>337602.67972299998</v>
      </c>
      <c r="OFN363" s="1648">
        <v>210440.148116</v>
      </c>
      <c r="OFO363" s="1648">
        <v>330912.82974800002</v>
      </c>
      <c r="OFP363" s="1648">
        <v>321507.96580100001</v>
      </c>
      <c r="OFQ363" s="1648">
        <v>310040.96500000003</v>
      </c>
      <c r="OFR363" s="1648">
        <v>306104.158</v>
      </c>
      <c r="OFS363" s="1648">
        <v>350079.51500000001</v>
      </c>
      <c r="OFT363" s="1648">
        <v>376736.01</v>
      </c>
      <c r="OFU363" s="1648">
        <v>382165.86499999999</v>
      </c>
      <c r="OFV363" s="1648">
        <v>356897.57900000003</v>
      </c>
      <c r="OFW363" s="635">
        <v>3961904</v>
      </c>
      <c r="OFX363" s="633">
        <f>SUM(OFK363:OFV363)</f>
        <v>3961903.5018060002</v>
      </c>
      <c r="OFY363" s="919" t="s">
        <v>1837</v>
      </c>
      <c r="OFZ363" s="1643" t="s">
        <v>1838</v>
      </c>
      <c r="OGA363" s="1648">
        <v>344028.50012699998</v>
      </c>
      <c r="OGB363" s="1648">
        <v>335387.28629100003</v>
      </c>
      <c r="OGC363" s="1648">
        <v>337602.67972299998</v>
      </c>
      <c r="OGD363" s="1648">
        <v>210440.148116</v>
      </c>
      <c r="OGE363" s="1648">
        <v>330912.82974800002</v>
      </c>
      <c r="OGF363" s="1648">
        <v>321507.96580100001</v>
      </c>
      <c r="OGG363" s="1648">
        <v>310040.96500000003</v>
      </c>
      <c r="OGH363" s="1648">
        <v>306104.158</v>
      </c>
      <c r="OGI363" s="1648">
        <v>350079.51500000001</v>
      </c>
      <c r="OGJ363" s="1648">
        <v>376736.01</v>
      </c>
      <c r="OGK363" s="1648">
        <v>382165.86499999999</v>
      </c>
      <c r="OGL363" s="1648">
        <v>356897.57900000003</v>
      </c>
      <c r="OGM363" s="635">
        <v>3961904</v>
      </c>
      <c r="OGN363" s="633">
        <f>SUM(OGA363:OGL363)</f>
        <v>3961903.5018060002</v>
      </c>
      <c r="OGO363" s="919" t="s">
        <v>1837</v>
      </c>
      <c r="OGP363" s="1643" t="s">
        <v>1838</v>
      </c>
      <c r="OGQ363" s="1648">
        <v>344028.50012699998</v>
      </c>
      <c r="OGR363" s="1648">
        <v>335387.28629100003</v>
      </c>
      <c r="OGS363" s="1648">
        <v>337602.67972299998</v>
      </c>
      <c r="OGT363" s="1648">
        <v>210440.148116</v>
      </c>
      <c r="OGU363" s="1648">
        <v>330912.82974800002</v>
      </c>
      <c r="OGV363" s="1648">
        <v>321507.96580100001</v>
      </c>
      <c r="OGW363" s="1648">
        <v>310040.96500000003</v>
      </c>
      <c r="OGX363" s="1648">
        <v>306104.158</v>
      </c>
      <c r="OGY363" s="1648">
        <v>350079.51500000001</v>
      </c>
      <c r="OGZ363" s="1648">
        <v>376736.01</v>
      </c>
      <c r="OHA363" s="1648">
        <v>382165.86499999999</v>
      </c>
      <c r="OHB363" s="1648">
        <v>356897.57900000003</v>
      </c>
      <c r="OHC363" s="635">
        <v>3961904</v>
      </c>
      <c r="OHD363" s="633">
        <f>SUM(OGQ363:OHB363)</f>
        <v>3961903.5018060002</v>
      </c>
      <c r="OHE363" s="919" t="s">
        <v>1837</v>
      </c>
      <c r="OHF363" s="1643" t="s">
        <v>1838</v>
      </c>
      <c r="OHG363" s="1648">
        <v>344028.50012699998</v>
      </c>
      <c r="OHH363" s="1648">
        <v>335387.28629100003</v>
      </c>
      <c r="OHI363" s="1648">
        <v>337602.67972299998</v>
      </c>
      <c r="OHJ363" s="1648">
        <v>210440.148116</v>
      </c>
      <c r="OHK363" s="1648">
        <v>330912.82974800002</v>
      </c>
      <c r="OHL363" s="1648">
        <v>321507.96580100001</v>
      </c>
      <c r="OHM363" s="1648">
        <v>310040.96500000003</v>
      </c>
      <c r="OHN363" s="1648">
        <v>306104.158</v>
      </c>
      <c r="OHO363" s="1648">
        <v>350079.51500000001</v>
      </c>
      <c r="OHP363" s="1648">
        <v>376736.01</v>
      </c>
      <c r="OHQ363" s="1648">
        <v>382165.86499999999</v>
      </c>
      <c r="OHR363" s="1648">
        <v>356897.57900000003</v>
      </c>
      <c r="OHS363" s="635">
        <v>3961904</v>
      </c>
      <c r="OHT363" s="633">
        <f>SUM(OHG363:OHR363)</f>
        <v>3961903.5018060002</v>
      </c>
      <c r="OHU363" s="919" t="s">
        <v>1837</v>
      </c>
      <c r="OHV363" s="1643" t="s">
        <v>1838</v>
      </c>
      <c r="OHW363" s="1648">
        <v>344028.50012699998</v>
      </c>
      <c r="OHX363" s="1648">
        <v>335387.28629100003</v>
      </c>
      <c r="OHY363" s="1648">
        <v>337602.67972299998</v>
      </c>
      <c r="OHZ363" s="1648">
        <v>210440.148116</v>
      </c>
      <c r="OIA363" s="1648">
        <v>330912.82974800002</v>
      </c>
      <c r="OIB363" s="1648">
        <v>321507.96580100001</v>
      </c>
      <c r="OIC363" s="1648">
        <v>310040.96500000003</v>
      </c>
      <c r="OID363" s="1648">
        <v>306104.158</v>
      </c>
      <c r="OIE363" s="1648">
        <v>350079.51500000001</v>
      </c>
      <c r="OIF363" s="1648">
        <v>376736.01</v>
      </c>
      <c r="OIG363" s="1648">
        <v>382165.86499999999</v>
      </c>
      <c r="OIH363" s="1648">
        <v>356897.57900000003</v>
      </c>
      <c r="OII363" s="635">
        <v>3961904</v>
      </c>
      <c r="OIJ363" s="633">
        <f>SUM(OHW363:OIH363)</f>
        <v>3961903.5018060002</v>
      </c>
      <c r="OIK363" s="919" t="s">
        <v>1837</v>
      </c>
      <c r="OIL363" s="1643" t="s">
        <v>1838</v>
      </c>
      <c r="OIM363" s="1648">
        <v>344028.50012699998</v>
      </c>
      <c r="OIN363" s="1648">
        <v>335387.28629100003</v>
      </c>
      <c r="OIO363" s="1648">
        <v>337602.67972299998</v>
      </c>
      <c r="OIP363" s="1648">
        <v>210440.148116</v>
      </c>
      <c r="OIQ363" s="1648">
        <v>330912.82974800002</v>
      </c>
      <c r="OIR363" s="1648">
        <v>321507.96580100001</v>
      </c>
      <c r="OIS363" s="1648">
        <v>310040.96500000003</v>
      </c>
      <c r="OIT363" s="1648">
        <v>306104.158</v>
      </c>
      <c r="OIU363" s="1648">
        <v>350079.51500000001</v>
      </c>
      <c r="OIV363" s="1648">
        <v>376736.01</v>
      </c>
      <c r="OIW363" s="1648">
        <v>382165.86499999999</v>
      </c>
      <c r="OIX363" s="1648">
        <v>356897.57900000003</v>
      </c>
      <c r="OIY363" s="635">
        <v>3961904</v>
      </c>
      <c r="OIZ363" s="633">
        <f>SUM(OIM363:OIX363)</f>
        <v>3961903.5018060002</v>
      </c>
      <c r="OJA363" s="919" t="s">
        <v>1837</v>
      </c>
      <c r="OJB363" s="1643" t="s">
        <v>1838</v>
      </c>
      <c r="OJC363" s="1648">
        <v>344028.50012699998</v>
      </c>
      <c r="OJD363" s="1648">
        <v>335387.28629100003</v>
      </c>
      <c r="OJE363" s="1648">
        <v>337602.67972299998</v>
      </c>
      <c r="OJF363" s="1648">
        <v>210440.148116</v>
      </c>
      <c r="OJG363" s="1648">
        <v>330912.82974800002</v>
      </c>
      <c r="OJH363" s="1648">
        <v>321507.96580100001</v>
      </c>
      <c r="OJI363" s="1648">
        <v>310040.96500000003</v>
      </c>
      <c r="OJJ363" s="1648">
        <v>306104.158</v>
      </c>
      <c r="OJK363" s="1648">
        <v>350079.51500000001</v>
      </c>
      <c r="OJL363" s="1648">
        <v>376736.01</v>
      </c>
      <c r="OJM363" s="1648">
        <v>382165.86499999999</v>
      </c>
      <c r="OJN363" s="1648">
        <v>356897.57900000003</v>
      </c>
      <c r="OJO363" s="635">
        <v>3961904</v>
      </c>
      <c r="OJP363" s="633">
        <f>SUM(OJC363:OJN363)</f>
        <v>3961903.5018060002</v>
      </c>
      <c r="OJQ363" s="919" t="s">
        <v>1837</v>
      </c>
      <c r="OJR363" s="1643" t="s">
        <v>1838</v>
      </c>
      <c r="OJS363" s="1648">
        <v>344028.50012699998</v>
      </c>
      <c r="OJT363" s="1648">
        <v>335387.28629100003</v>
      </c>
      <c r="OJU363" s="1648">
        <v>337602.67972299998</v>
      </c>
      <c r="OJV363" s="1648">
        <v>210440.148116</v>
      </c>
      <c r="OJW363" s="1648">
        <v>330912.82974800002</v>
      </c>
      <c r="OJX363" s="1648">
        <v>321507.96580100001</v>
      </c>
      <c r="OJY363" s="1648">
        <v>310040.96500000003</v>
      </c>
      <c r="OJZ363" s="1648">
        <v>306104.158</v>
      </c>
      <c r="OKA363" s="1648">
        <v>350079.51500000001</v>
      </c>
      <c r="OKB363" s="1648">
        <v>376736.01</v>
      </c>
      <c r="OKC363" s="1648">
        <v>382165.86499999999</v>
      </c>
      <c r="OKD363" s="1648">
        <v>356897.57900000003</v>
      </c>
      <c r="OKE363" s="635">
        <v>3961904</v>
      </c>
      <c r="OKF363" s="633">
        <f>SUM(OJS363:OKD363)</f>
        <v>3961903.5018060002</v>
      </c>
      <c r="OKG363" s="919" t="s">
        <v>1837</v>
      </c>
      <c r="OKH363" s="1643" t="s">
        <v>1838</v>
      </c>
      <c r="OKI363" s="1648">
        <v>344028.50012699998</v>
      </c>
      <c r="OKJ363" s="1648">
        <v>335387.28629100003</v>
      </c>
      <c r="OKK363" s="1648">
        <v>337602.67972299998</v>
      </c>
      <c r="OKL363" s="1648">
        <v>210440.148116</v>
      </c>
      <c r="OKM363" s="1648">
        <v>330912.82974800002</v>
      </c>
      <c r="OKN363" s="1648">
        <v>321507.96580100001</v>
      </c>
      <c r="OKO363" s="1648">
        <v>310040.96500000003</v>
      </c>
      <c r="OKP363" s="1648">
        <v>306104.158</v>
      </c>
      <c r="OKQ363" s="1648">
        <v>350079.51500000001</v>
      </c>
      <c r="OKR363" s="1648">
        <v>376736.01</v>
      </c>
      <c r="OKS363" s="1648">
        <v>382165.86499999999</v>
      </c>
      <c r="OKT363" s="1648">
        <v>356897.57900000003</v>
      </c>
      <c r="OKU363" s="635">
        <v>3961904</v>
      </c>
      <c r="OKV363" s="633">
        <f>SUM(OKI363:OKT363)</f>
        <v>3961903.5018060002</v>
      </c>
      <c r="OKW363" s="919" t="s">
        <v>1837</v>
      </c>
      <c r="OKX363" s="1643" t="s">
        <v>1838</v>
      </c>
      <c r="OKY363" s="1648">
        <v>344028.50012699998</v>
      </c>
      <c r="OKZ363" s="1648">
        <v>335387.28629100003</v>
      </c>
      <c r="OLA363" s="1648">
        <v>337602.67972299998</v>
      </c>
      <c r="OLB363" s="1648">
        <v>210440.148116</v>
      </c>
      <c r="OLC363" s="1648">
        <v>330912.82974800002</v>
      </c>
      <c r="OLD363" s="1648">
        <v>321507.96580100001</v>
      </c>
      <c r="OLE363" s="1648">
        <v>310040.96500000003</v>
      </c>
      <c r="OLF363" s="1648">
        <v>306104.158</v>
      </c>
      <c r="OLG363" s="1648">
        <v>350079.51500000001</v>
      </c>
      <c r="OLH363" s="1648">
        <v>376736.01</v>
      </c>
      <c r="OLI363" s="1648">
        <v>382165.86499999999</v>
      </c>
      <c r="OLJ363" s="1648">
        <v>356897.57900000003</v>
      </c>
      <c r="OLK363" s="635">
        <v>3961904</v>
      </c>
      <c r="OLL363" s="633">
        <f>SUM(OKY363:OLJ363)</f>
        <v>3961903.5018060002</v>
      </c>
      <c r="OLM363" s="919" t="s">
        <v>1837</v>
      </c>
      <c r="OLN363" s="1643" t="s">
        <v>1838</v>
      </c>
      <c r="OLO363" s="1648">
        <v>344028.50012699998</v>
      </c>
      <c r="OLP363" s="1648">
        <v>335387.28629100003</v>
      </c>
      <c r="OLQ363" s="1648">
        <v>337602.67972299998</v>
      </c>
      <c r="OLR363" s="1648">
        <v>210440.148116</v>
      </c>
      <c r="OLS363" s="1648">
        <v>330912.82974800002</v>
      </c>
      <c r="OLT363" s="1648">
        <v>321507.96580100001</v>
      </c>
      <c r="OLU363" s="1648">
        <v>310040.96500000003</v>
      </c>
      <c r="OLV363" s="1648">
        <v>306104.158</v>
      </c>
      <c r="OLW363" s="1648">
        <v>350079.51500000001</v>
      </c>
      <c r="OLX363" s="1648">
        <v>376736.01</v>
      </c>
      <c r="OLY363" s="1648">
        <v>382165.86499999999</v>
      </c>
      <c r="OLZ363" s="1648">
        <v>356897.57900000003</v>
      </c>
      <c r="OMA363" s="635">
        <v>3961904</v>
      </c>
      <c r="OMB363" s="633">
        <f>SUM(OLO363:OLZ363)</f>
        <v>3961903.5018060002</v>
      </c>
      <c r="OMC363" s="919" t="s">
        <v>1837</v>
      </c>
      <c r="OMD363" s="1643" t="s">
        <v>1838</v>
      </c>
      <c r="OME363" s="1648">
        <v>344028.50012699998</v>
      </c>
      <c r="OMF363" s="1648">
        <v>335387.28629100003</v>
      </c>
      <c r="OMG363" s="1648">
        <v>337602.67972299998</v>
      </c>
      <c r="OMH363" s="1648">
        <v>210440.148116</v>
      </c>
      <c r="OMI363" s="1648">
        <v>330912.82974800002</v>
      </c>
      <c r="OMJ363" s="1648">
        <v>321507.96580100001</v>
      </c>
      <c r="OMK363" s="1648">
        <v>310040.96500000003</v>
      </c>
      <c r="OML363" s="1648">
        <v>306104.158</v>
      </c>
      <c r="OMM363" s="1648">
        <v>350079.51500000001</v>
      </c>
      <c r="OMN363" s="1648">
        <v>376736.01</v>
      </c>
      <c r="OMO363" s="1648">
        <v>382165.86499999999</v>
      </c>
      <c r="OMP363" s="1648">
        <v>356897.57900000003</v>
      </c>
      <c r="OMQ363" s="635">
        <v>3961904</v>
      </c>
      <c r="OMR363" s="633">
        <f>SUM(OME363:OMP363)</f>
        <v>3961903.5018060002</v>
      </c>
      <c r="OMS363" s="919" t="s">
        <v>1837</v>
      </c>
      <c r="OMT363" s="1643" t="s">
        <v>1838</v>
      </c>
      <c r="OMU363" s="1648">
        <v>344028.50012699998</v>
      </c>
      <c r="OMV363" s="1648">
        <v>335387.28629100003</v>
      </c>
      <c r="OMW363" s="1648">
        <v>337602.67972299998</v>
      </c>
      <c r="OMX363" s="1648">
        <v>210440.148116</v>
      </c>
      <c r="OMY363" s="1648">
        <v>330912.82974800002</v>
      </c>
      <c r="OMZ363" s="1648">
        <v>321507.96580100001</v>
      </c>
      <c r="ONA363" s="1648">
        <v>310040.96500000003</v>
      </c>
      <c r="ONB363" s="1648">
        <v>306104.158</v>
      </c>
      <c r="ONC363" s="1648">
        <v>350079.51500000001</v>
      </c>
      <c r="OND363" s="1648">
        <v>376736.01</v>
      </c>
      <c r="ONE363" s="1648">
        <v>382165.86499999999</v>
      </c>
      <c r="ONF363" s="1648">
        <v>356897.57900000003</v>
      </c>
      <c r="ONG363" s="635">
        <v>3961904</v>
      </c>
      <c r="ONH363" s="633">
        <f>SUM(OMU363:ONF363)</f>
        <v>3961903.5018060002</v>
      </c>
      <c r="ONI363" s="919" t="s">
        <v>1837</v>
      </c>
      <c r="ONJ363" s="1643" t="s">
        <v>1838</v>
      </c>
      <c r="ONK363" s="1648">
        <v>344028.50012699998</v>
      </c>
      <c r="ONL363" s="1648">
        <v>335387.28629100003</v>
      </c>
      <c r="ONM363" s="1648">
        <v>337602.67972299998</v>
      </c>
      <c r="ONN363" s="1648">
        <v>210440.148116</v>
      </c>
      <c r="ONO363" s="1648">
        <v>330912.82974800002</v>
      </c>
      <c r="ONP363" s="1648">
        <v>321507.96580100001</v>
      </c>
      <c r="ONQ363" s="1648">
        <v>310040.96500000003</v>
      </c>
      <c r="ONR363" s="1648">
        <v>306104.158</v>
      </c>
      <c r="ONS363" s="1648">
        <v>350079.51500000001</v>
      </c>
      <c r="ONT363" s="1648">
        <v>376736.01</v>
      </c>
      <c r="ONU363" s="1648">
        <v>382165.86499999999</v>
      </c>
      <c r="ONV363" s="1648">
        <v>356897.57900000003</v>
      </c>
      <c r="ONW363" s="635">
        <v>3961904</v>
      </c>
      <c r="ONX363" s="633">
        <f>SUM(ONK363:ONV363)</f>
        <v>3961903.5018060002</v>
      </c>
      <c r="ONY363" s="919" t="s">
        <v>1837</v>
      </c>
      <c r="ONZ363" s="1643" t="s">
        <v>1838</v>
      </c>
      <c r="OOA363" s="1648">
        <v>344028.50012699998</v>
      </c>
      <c r="OOB363" s="1648">
        <v>335387.28629100003</v>
      </c>
      <c r="OOC363" s="1648">
        <v>337602.67972299998</v>
      </c>
      <c r="OOD363" s="1648">
        <v>210440.148116</v>
      </c>
      <c r="OOE363" s="1648">
        <v>330912.82974800002</v>
      </c>
      <c r="OOF363" s="1648">
        <v>321507.96580100001</v>
      </c>
      <c r="OOG363" s="1648">
        <v>310040.96500000003</v>
      </c>
      <c r="OOH363" s="1648">
        <v>306104.158</v>
      </c>
      <c r="OOI363" s="1648">
        <v>350079.51500000001</v>
      </c>
      <c r="OOJ363" s="1648">
        <v>376736.01</v>
      </c>
      <c r="OOK363" s="1648">
        <v>382165.86499999999</v>
      </c>
      <c r="OOL363" s="1648">
        <v>356897.57900000003</v>
      </c>
      <c r="OOM363" s="635">
        <v>3961904</v>
      </c>
      <c r="OON363" s="633">
        <f>SUM(OOA363:OOL363)</f>
        <v>3961903.5018060002</v>
      </c>
      <c r="OOO363" s="919" t="s">
        <v>1837</v>
      </c>
      <c r="OOP363" s="1643" t="s">
        <v>1838</v>
      </c>
      <c r="OOQ363" s="1648">
        <v>344028.50012699998</v>
      </c>
      <c r="OOR363" s="1648">
        <v>335387.28629100003</v>
      </c>
      <c r="OOS363" s="1648">
        <v>337602.67972299998</v>
      </c>
      <c r="OOT363" s="1648">
        <v>210440.148116</v>
      </c>
      <c r="OOU363" s="1648">
        <v>330912.82974800002</v>
      </c>
      <c r="OOV363" s="1648">
        <v>321507.96580100001</v>
      </c>
      <c r="OOW363" s="1648">
        <v>310040.96500000003</v>
      </c>
      <c r="OOX363" s="1648">
        <v>306104.158</v>
      </c>
      <c r="OOY363" s="1648">
        <v>350079.51500000001</v>
      </c>
      <c r="OOZ363" s="1648">
        <v>376736.01</v>
      </c>
      <c r="OPA363" s="1648">
        <v>382165.86499999999</v>
      </c>
      <c r="OPB363" s="1648">
        <v>356897.57900000003</v>
      </c>
      <c r="OPC363" s="635">
        <v>3961904</v>
      </c>
      <c r="OPD363" s="633">
        <f>SUM(OOQ363:OPB363)</f>
        <v>3961903.5018060002</v>
      </c>
      <c r="OPE363" s="919" t="s">
        <v>1837</v>
      </c>
      <c r="OPF363" s="1643" t="s">
        <v>1838</v>
      </c>
      <c r="OPG363" s="1648">
        <v>344028.50012699998</v>
      </c>
      <c r="OPH363" s="1648">
        <v>335387.28629100003</v>
      </c>
      <c r="OPI363" s="1648">
        <v>337602.67972299998</v>
      </c>
      <c r="OPJ363" s="1648">
        <v>210440.148116</v>
      </c>
      <c r="OPK363" s="1648">
        <v>330912.82974800002</v>
      </c>
      <c r="OPL363" s="1648">
        <v>321507.96580100001</v>
      </c>
      <c r="OPM363" s="1648">
        <v>310040.96500000003</v>
      </c>
      <c r="OPN363" s="1648">
        <v>306104.158</v>
      </c>
      <c r="OPO363" s="1648">
        <v>350079.51500000001</v>
      </c>
      <c r="OPP363" s="1648">
        <v>376736.01</v>
      </c>
      <c r="OPQ363" s="1648">
        <v>382165.86499999999</v>
      </c>
      <c r="OPR363" s="1648">
        <v>356897.57900000003</v>
      </c>
      <c r="OPS363" s="635">
        <v>3961904</v>
      </c>
      <c r="OPT363" s="633">
        <f>SUM(OPG363:OPR363)</f>
        <v>3961903.5018060002</v>
      </c>
      <c r="OPU363" s="919" t="s">
        <v>1837</v>
      </c>
      <c r="OPV363" s="1643" t="s">
        <v>1838</v>
      </c>
      <c r="OPW363" s="1648">
        <v>344028.50012699998</v>
      </c>
      <c r="OPX363" s="1648">
        <v>335387.28629100003</v>
      </c>
      <c r="OPY363" s="1648">
        <v>337602.67972299998</v>
      </c>
      <c r="OPZ363" s="1648">
        <v>210440.148116</v>
      </c>
      <c r="OQA363" s="1648">
        <v>330912.82974800002</v>
      </c>
      <c r="OQB363" s="1648">
        <v>321507.96580100001</v>
      </c>
      <c r="OQC363" s="1648">
        <v>310040.96500000003</v>
      </c>
      <c r="OQD363" s="1648">
        <v>306104.158</v>
      </c>
      <c r="OQE363" s="1648">
        <v>350079.51500000001</v>
      </c>
      <c r="OQF363" s="1648">
        <v>376736.01</v>
      </c>
      <c r="OQG363" s="1648">
        <v>382165.86499999999</v>
      </c>
      <c r="OQH363" s="1648">
        <v>356897.57900000003</v>
      </c>
      <c r="OQI363" s="635">
        <v>3961904</v>
      </c>
      <c r="OQJ363" s="633">
        <f>SUM(OPW363:OQH363)</f>
        <v>3961903.5018060002</v>
      </c>
      <c r="OQK363" s="919" t="s">
        <v>1837</v>
      </c>
      <c r="OQL363" s="1643" t="s">
        <v>1838</v>
      </c>
      <c r="OQM363" s="1648">
        <v>344028.50012699998</v>
      </c>
      <c r="OQN363" s="1648">
        <v>335387.28629100003</v>
      </c>
      <c r="OQO363" s="1648">
        <v>337602.67972299998</v>
      </c>
      <c r="OQP363" s="1648">
        <v>210440.148116</v>
      </c>
      <c r="OQQ363" s="1648">
        <v>330912.82974800002</v>
      </c>
      <c r="OQR363" s="1648">
        <v>321507.96580100001</v>
      </c>
      <c r="OQS363" s="1648">
        <v>310040.96500000003</v>
      </c>
      <c r="OQT363" s="1648">
        <v>306104.158</v>
      </c>
      <c r="OQU363" s="1648">
        <v>350079.51500000001</v>
      </c>
      <c r="OQV363" s="1648">
        <v>376736.01</v>
      </c>
      <c r="OQW363" s="1648">
        <v>382165.86499999999</v>
      </c>
      <c r="OQX363" s="1648">
        <v>356897.57900000003</v>
      </c>
      <c r="OQY363" s="635">
        <v>3961904</v>
      </c>
      <c r="OQZ363" s="633">
        <f>SUM(OQM363:OQX363)</f>
        <v>3961903.5018060002</v>
      </c>
      <c r="ORA363" s="919" t="s">
        <v>1837</v>
      </c>
      <c r="ORB363" s="1643" t="s">
        <v>1838</v>
      </c>
      <c r="ORC363" s="1648">
        <v>344028.50012699998</v>
      </c>
      <c r="ORD363" s="1648">
        <v>335387.28629100003</v>
      </c>
      <c r="ORE363" s="1648">
        <v>337602.67972299998</v>
      </c>
      <c r="ORF363" s="1648">
        <v>210440.148116</v>
      </c>
      <c r="ORG363" s="1648">
        <v>330912.82974800002</v>
      </c>
      <c r="ORH363" s="1648">
        <v>321507.96580100001</v>
      </c>
      <c r="ORI363" s="1648">
        <v>310040.96500000003</v>
      </c>
      <c r="ORJ363" s="1648">
        <v>306104.158</v>
      </c>
      <c r="ORK363" s="1648">
        <v>350079.51500000001</v>
      </c>
      <c r="ORL363" s="1648">
        <v>376736.01</v>
      </c>
      <c r="ORM363" s="1648">
        <v>382165.86499999999</v>
      </c>
      <c r="ORN363" s="1648">
        <v>356897.57900000003</v>
      </c>
      <c r="ORO363" s="635">
        <v>3961904</v>
      </c>
      <c r="ORP363" s="633">
        <f>SUM(ORC363:ORN363)</f>
        <v>3961903.5018060002</v>
      </c>
      <c r="ORQ363" s="919" t="s">
        <v>1837</v>
      </c>
      <c r="ORR363" s="1643" t="s">
        <v>1838</v>
      </c>
      <c r="ORS363" s="1648">
        <v>344028.50012699998</v>
      </c>
      <c r="ORT363" s="1648">
        <v>335387.28629100003</v>
      </c>
      <c r="ORU363" s="1648">
        <v>337602.67972299998</v>
      </c>
      <c r="ORV363" s="1648">
        <v>210440.148116</v>
      </c>
      <c r="ORW363" s="1648">
        <v>330912.82974800002</v>
      </c>
      <c r="ORX363" s="1648">
        <v>321507.96580100001</v>
      </c>
      <c r="ORY363" s="1648">
        <v>310040.96500000003</v>
      </c>
      <c r="ORZ363" s="1648">
        <v>306104.158</v>
      </c>
      <c r="OSA363" s="1648">
        <v>350079.51500000001</v>
      </c>
      <c r="OSB363" s="1648">
        <v>376736.01</v>
      </c>
      <c r="OSC363" s="1648">
        <v>382165.86499999999</v>
      </c>
      <c r="OSD363" s="1648">
        <v>356897.57900000003</v>
      </c>
      <c r="OSE363" s="635">
        <v>3961904</v>
      </c>
      <c r="OSF363" s="633">
        <f>SUM(ORS363:OSD363)</f>
        <v>3961903.5018060002</v>
      </c>
      <c r="OSG363" s="919" t="s">
        <v>1837</v>
      </c>
      <c r="OSH363" s="1643" t="s">
        <v>1838</v>
      </c>
      <c r="OSI363" s="1648">
        <v>344028.50012699998</v>
      </c>
      <c r="OSJ363" s="1648">
        <v>335387.28629100003</v>
      </c>
      <c r="OSK363" s="1648">
        <v>337602.67972299998</v>
      </c>
      <c r="OSL363" s="1648">
        <v>210440.148116</v>
      </c>
      <c r="OSM363" s="1648">
        <v>330912.82974800002</v>
      </c>
      <c r="OSN363" s="1648">
        <v>321507.96580100001</v>
      </c>
      <c r="OSO363" s="1648">
        <v>310040.96500000003</v>
      </c>
      <c r="OSP363" s="1648">
        <v>306104.158</v>
      </c>
      <c r="OSQ363" s="1648">
        <v>350079.51500000001</v>
      </c>
      <c r="OSR363" s="1648">
        <v>376736.01</v>
      </c>
      <c r="OSS363" s="1648">
        <v>382165.86499999999</v>
      </c>
      <c r="OST363" s="1648">
        <v>356897.57900000003</v>
      </c>
      <c r="OSU363" s="635">
        <v>3961904</v>
      </c>
      <c r="OSV363" s="633">
        <f>SUM(OSI363:OST363)</f>
        <v>3961903.5018060002</v>
      </c>
      <c r="OSW363" s="919" t="s">
        <v>1837</v>
      </c>
      <c r="OSX363" s="1643" t="s">
        <v>1838</v>
      </c>
      <c r="OSY363" s="1648">
        <v>344028.50012699998</v>
      </c>
      <c r="OSZ363" s="1648">
        <v>335387.28629100003</v>
      </c>
      <c r="OTA363" s="1648">
        <v>337602.67972299998</v>
      </c>
      <c r="OTB363" s="1648">
        <v>210440.148116</v>
      </c>
      <c r="OTC363" s="1648">
        <v>330912.82974800002</v>
      </c>
      <c r="OTD363" s="1648">
        <v>321507.96580100001</v>
      </c>
      <c r="OTE363" s="1648">
        <v>310040.96500000003</v>
      </c>
      <c r="OTF363" s="1648">
        <v>306104.158</v>
      </c>
      <c r="OTG363" s="1648">
        <v>350079.51500000001</v>
      </c>
      <c r="OTH363" s="1648">
        <v>376736.01</v>
      </c>
      <c r="OTI363" s="1648">
        <v>382165.86499999999</v>
      </c>
      <c r="OTJ363" s="1648">
        <v>356897.57900000003</v>
      </c>
      <c r="OTK363" s="635">
        <v>3961904</v>
      </c>
      <c r="OTL363" s="633">
        <f>SUM(OSY363:OTJ363)</f>
        <v>3961903.5018060002</v>
      </c>
      <c r="OTM363" s="919" t="s">
        <v>1837</v>
      </c>
      <c r="OTN363" s="1643" t="s">
        <v>1838</v>
      </c>
      <c r="OTO363" s="1648">
        <v>344028.50012699998</v>
      </c>
      <c r="OTP363" s="1648">
        <v>335387.28629100003</v>
      </c>
      <c r="OTQ363" s="1648">
        <v>337602.67972299998</v>
      </c>
      <c r="OTR363" s="1648">
        <v>210440.148116</v>
      </c>
      <c r="OTS363" s="1648">
        <v>330912.82974800002</v>
      </c>
      <c r="OTT363" s="1648">
        <v>321507.96580100001</v>
      </c>
      <c r="OTU363" s="1648">
        <v>310040.96500000003</v>
      </c>
      <c r="OTV363" s="1648">
        <v>306104.158</v>
      </c>
      <c r="OTW363" s="1648">
        <v>350079.51500000001</v>
      </c>
      <c r="OTX363" s="1648">
        <v>376736.01</v>
      </c>
      <c r="OTY363" s="1648">
        <v>382165.86499999999</v>
      </c>
      <c r="OTZ363" s="1648">
        <v>356897.57900000003</v>
      </c>
      <c r="OUA363" s="635">
        <v>3961904</v>
      </c>
      <c r="OUB363" s="633">
        <f>SUM(OTO363:OTZ363)</f>
        <v>3961903.5018060002</v>
      </c>
      <c r="OUC363" s="919" t="s">
        <v>1837</v>
      </c>
      <c r="OUD363" s="1643" t="s">
        <v>1838</v>
      </c>
      <c r="OUE363" s="1648">
        <v>344028.50012699998</v>
      </c>
      <c r="OUF363" s="1648">
        <v>335387.28629100003</v>
      </c>
      <c r="OUG363" s="1648">
        <v>337602.67972299998</v>
      </c>
      <c r="OUH363" s="1648">
        <v>210440.148116</v>
      </c>
      <c r="OUI363" s="1648">
        <v>330912.82974800002</v>
      </c>
      <c r="OUJ363" s="1648">
        <v>321507.96580100001</v>
      </c>
      <c r="OUK363" s="1648">
        <v>310040.96500000003</v>
      </c>
      <c r="OUL363" s="1648">
        <v>306104.158</v>
      </c>
      <c r="OUM363" s="1648">
        <v>350079.51500000001</v>
      </c>
      <c r="OUN363" s="1648">
        <v>376736.01</v>
      </c>
      <c r="OUO363" s="1648">
        <v>382165.86499999999</v>
      </c>
      <c r="OUP363" s="1648">
        <v>356897.57900000003</v>
      </c>
      <c r="OUQ363" s="635">
        <v>3961904</v>
      </c>
      <c r="OUR363" s="633">
        <f>SUM(OUE363:OUP363)</f>
        <v>3961903.5018060002</v>
      </c>
      <c r="OUS363" s="919" t="s">
        <v>1837</v>
      </c>
      <c r="OUT363" s="1643" t="s">
        <v>1838</v>
      </c>
      <c r="OUU363" s="1648">
        <v>344028.50012699998</v>
      </c>
      <c r="OUV363" s="1648">
        <v>335387.28629100003</v>
      </c>
      <c r="OUW363" s="1648">
        <v>337602.67972299998</v>
      </c>
      <c r="OUX363" s="1648">
        <v>210440.148116</v>
      </c>
      <c r="OUY363" s="1648">
        <v>330912.82974800002</v>
      </c>
      <c r="OUZ363" s="1648">
        <v>321507.96580100001</v>
      </c>
      <c r="OVA363" s="1648">
        <v>310040.96500000003</v>
      </c>
      <c r="OVB363" s="1648">
        <v>306104.158</v>
      </c>
      <c r="OVC363" s="1648">
        <v>350079.51500000001</v>
      </c>
      <c r="OVD363" s="1648">
        <v>376736.01</v>
      </c>
      <c r="OVE363" s="1648">
        <v>382165.86499999999</v>
      </c>
      <c r="OVF363" s="1648">
        <v>356897.57900000003</v>
      </c>
      <c r="OVG363" s="635">
        <v>3961904</v>
      </c>
      <c r="OVH363" s="633">
        <f>SUM(OUU363:OVF363)</f>
        <v>3961903.5018060002</v>
      </c>
      <c r="OVI363" s="919" t="s">
        <v>1837</v>
      </c>
      <c r="OVJ363" s="1643" t="s">
        <v>1838</v>
      </c>
      <c r="OVK363" s="1648">
        <v>344028.50012699998</v>
      </c>
      <c r="OVL363" s="1648">
        <v>335387.28629100003</v>
      </c>
      <c r="OVM363" s="1648">
        <v>337602.67972299998</v>
      </c>
      <c r="OVN363" s="1648">
        <v>210440.148116</v>
      </c>
      <c r="OVO363" s="1648">
        <v>330912.82974800002</v>
      </c>
      <c r="OVP363" s="1648">
        <v>321507.96580100001</v>
      </c>
      <c r="OVQ363" s="1648">
        <v>310040.96500000003</v>
      </c>
      <c r="OVR363" s="1648">
        <v>306104.158</v>
      </c>
      <c r="OVS363" s="1648">
        <v>350079.51500000001</v>
      </c>
      <c r="OVT363" s="1648">
        <v>376736.01</v>
      </c>
      <c r="OVU363" s="1648">
        <v>382165.86499999999</v>
      </c>
      <c r="OVV363" s="1648">
        <v>356897.57900000003</v>
      </c>
      <c r="OVW363" s="635">
        <v>3961904</v>
      </c>
      <c r="OVX363" s="633">
        <f>SUM(OVK363:OVV363)</f>
        <v>3961903.5018060002</v>
      </c>
      <c r="OVY363" s="919" t="s">
        <v>1837</v>
      </c>
      <c r="OVZ363" s="1643" t="s">
        <v>1838</v>
      </c>
      <c r="OWA363" s="1648">
        <v>344028.50012699998</v>
      </c>
      <c r="OWB363" s="1648">
        <v>335387.28629100003</v>
      </c>
      <c r="OWC363" s="1648">
        <v>337602.67972299998</v>
      </c>
      <c r="OWD363" s="1648">
        <v>210440.148116</v>
      </c>
      <c r="OWE363" s="1648">
        <v>330912.82974800002</v>
      </c>
      <c r="OWF363" s="1648">
        <v>321507.96580100001</v>
      </c>
      <c r="OWG363" s="1648">
        <v>310040.96500000003</v>
      </c>
      <c r="OWH363" s="1648">
        <v>306104.158</v>
      </c>
      <c r="OWI363" s="1648">
        <v>350079.51500000001</v>
      </c>
      <c r="OWJ363" s="1648">
        <v>376736.01</v>
      </c>
      <c r="OWK363" s="1648">
        <v>382165.86499999999</v>
      </c>
      <c r="OWL363" s="1648">
        <v>356897.57900000003</v>
      </c>
      <c r="OWM363" s="635">
        <v>3961904</v>
      </c>
      <c r="OWN363" s="633">
        <f>SUM(OWA363:OWL363)</f>
        <v>3961903.5018060002</v>
      </c>
      <c r="OWO363" s="919" t="s">
        <v>1837</v>
      </c>
      <c r="OWP363" s="1643" t="s">
        <v>1838</v>
      </c>
      <c r="OWQ363" s="1648">
        <v>344028.50012699998</v>
      </c>
      <c r="OWR363" s="1648">
        <v>335387.28629100003</v>
      </c>
      <c r="OWS363" s="1648">
        <v>337602.67972299998</v>
      </c>
      <c r="OWT363" s="1648">
        <v>210440.148116</v>
      </c>
      <c r="OWU363" s="1648">
        <v>330912.82974800002</v>
      </c>
      <c r="OWV363" s="1648">
        <v>321507.96580100001</v>
      </c>
      <c r="OWW363" s="1648">
        <v>310040.96500000003</v>
      </c>
      <c r="OWX363" s="1648">
        <v>306104.158</v>
      </c>
      <c r="OWY363" s="1648">
        <v>350079.51500000001</v>
      </c>
      <c r="OWZ363" s="1648">
        <v>376736.01</v>
      </c>
      <c r="OXA363" s="1648">
        <v>382165.86499999999</v>
      </c>
      <c r="OXB363" s="1648">
        <v>356897.57900000003</v>
      </c>
      <c r="OXC363" s="635">
        <v>3961904</v>
      </c>
      <c r="OXD363" s="633">
        <f>SUM(OWQ363:OXB363)</f>
        <v>3961903.5018060002</v>
      </c>
      <c r="OXE363" s="919" t="s">
        <v>1837</v>
      </c>
      <c r="OXF363" s="1643" t="s">
        <v>1838</v>
      </c>
      <c r="OXG363" s="1648">
        <v>344028.50012699998</v>
      </c>
      <c r="OXH363" s="1648">
        <v>335387.28629100003</v>
      </c>
      <c r="OXI363" s="1648">
        <v>337602.67972299998</v>
      </c>
      <c r="OXJ363" s="1648">
        <v>210440.148116</v>
      </c>
      <c r="OXK363" s="1648">
        <v>330912.82974800002</v>
      </c>
      <c r="OXL363" s="1648">
        <v>321507.96580100001</v>
      </c>
      <c r="OXM363" s="1648">
        <v>310040.96500000003</v>
      </c>
      <c r="OXN363" s="1648">
        <v>306104.158</v>
      </c>
      <c r="OXO363" s="1648">
        <v>350079.51500000001</v>
      </c>
      <c r="OXP363" s="1648">
        <v>376736.01</v>
      </c>
      <c r="OXQ363" s="1648">
        <v>382165.86499999999</v>
      </c>
      <c r="OXR363" s="1648">
        <v>356897.57900000003</v>
      </c>
      <c r="OXS363" s="635">
        <v>3961904</v>
      </c>
      <c r="OXT363" s="633">
        <f>SUM(OXG363:OXR363)</f>
        <v>3961903.5018060002</v>
      </c>
      <c r="OXU363" s="919" t="s">
        <v>1837</v>
      </c>
      <c r="OXV363" s="1643" t="s">
        <v>1838</v>
      </c>
      <c r="OXW363" s="1648">
        <v>344028.50012699998</v>
      </c>
      <c r="OXX363" s="1648">
        <v>335387.28629100003</v>
      </c>
      <c r="OXY363" s="1648">
        <v>337602.67972299998</v>
      </c>
      <c r="OXZ363" s="1648">
        <v>210440.148116</v>
      </c>
      <c r="OYA363" s="1648">
        <v>330912.82974800002</v>
      </c>
      <c r="OYB363" s="1648">
        <v>321507.96580100001</v>
      </c>
      <c r="OYC363" s="1648">
        <v>310040.96500000003</v>
      </c>
      <c r="OYD363" s="1648">
        <v>306104.158</v>
      </c>
      <c r="OYE363" s="1648">
        <v>350079.51500000001</v>
      </c>
      <c r="OYF363" s="1648">
        <v>376736.01</v>
      </c>
      <c r="OYG363" s="1648">
        <v>382165.86499999999</v>
      </c>
      <c r="OYH363" s="1648">
        <v>356897.57900000003</v>
      </c>
      <c r="OYI363" s="635">
        <v>3961904</v>
      </c>
      <c r="OYJ363" s="633">
        <f>SUM(OXW363:OYH363)</f>
        <v>3961903.5018060002</v>
      </c>
      <c r="OYK363" s="919" t="s">
        <v>1837</v>
      </c>
      <c r="OYL363" s="1643" t="s">
        <v>1838</v>
      </c>
      <c r="OYM363" s="1648">
        <v>344028.50012699998</v>
      </c>
      <c r="OYN363" s="1648">
        <v>335387.28629100003</v>
      </c>
      <c r="OYO363" s="1648">
        <v>337602.67972299998</v>
      </c>
      <c r="OYP363" s="1648">
        <v>210440.148116</v>
      </c>
      <c r="OYQ363" s="1648">
        <v>330912.82974800002</v>
      </c>
      <c r="OYR363" s="1648">
        <v>321507.96580100001</v>
      </c>
      <c r="OYS363" s="1648">
        <v>310040.96500000003</v>
      </c>
      <c r="OYT363" s="1648">
        <v>306104.158</v>
      </c>
      <c r="OYU363" s="1648">
        <v>350079.51500000001</v>
      </c>
      <c r="OYV363" s="1648">
        <v>376736.01</v>
      </c>
      <c r="OYW363" s="1648">
        <v>382165.86499999999</v>
      </c>
      <c r="OYX363" s="1648">
        <v>356897.57900000003</v>
      </c>
      <c r="OYY363" s="635">
        <v>3961904</v>
      </c>
      <c r="OYZ363" s="633">
        <f>SUM(OYM363:OYX363)</f>
        <v>3961903.5018060002</v>
      </c>
      <c r="OZA363" s="919" t="s">
        <v>1837</v>
      </c>
      <c r="OZB363" s="1643" t="s">
        <v>1838</v>
      </c>
      <c r="OZC363" s="1648">
        <v>344028.50012699998</v>
      </c>
      <c r="OZD363" s="1648">
        <v>335387.28629100003</v>
      </c>
      <c r="OZE363" s="1648">
        <v>337602.67972299998</v>
      </c>
      <c r="OZF363" s="1648">
        <v>210440.148116</v>
      </c>
      <c r="OZG363" s="1648">
        <v>330912.82974800002</v>
      </c>
      <c r="OZH363" s="1648">
        <v>321507.96580100001</v>
      </c>
      <c r="OZI363" s="1648">
        <v>310040.96500000003</v>
      </c>
      <c r="OZJ363" s="1648">
        <v>306104.158</v>
      </c>
      <c r="OZK363" s="1648">
        <v>350079.51500000001</v>
      </c>
      <c r="OZL363" s="1648">
        <v>376736.01</v>
      </c>
      <c r="OZM363" s="1648">
        <v>382165.86499999999</v>
      </c>
      <c r="OZN363" s="1648">
        <v>356897.57900000003</v>
      </c>
      <c r="OZO363" s="635">
        <v>3961904</v>
      </c>
      <c r="OZP363" s="633">
        <f>SUM(OZC363:OZN363)</f>
        <v>3961903.5018060002</v>
      </c>
      <c r="OZQ363" s="919" t="s">
        <v>1837</v>
      </c>
      <c r="OZR363" s="1643" t="s">
        <v>1838</v>
      </c>
      <c r="OZS363" s="1648">
        <v>344028.50012699998</v>
      </c>
      <c r="OZT363" s="1648">
        <v>335387.28629100003</v>
      </c>
      <c r="OZU363" s="1648">
        <v>337602.67972299998</v>
      </c>
      <c r="OZV363" s="1648">
        <v>210440.148116</v>
      </c>
      <c r="OZW363" s="1648">
        <v>330912.82974800002</v>
      </c>
      <c r="OZX363" s="1648">
        <v>321507.96580100001</v>
      </c>
      <c r="OZY363" s="1648">
        <v>310040.96500000003</v>
      </c>
      <c r="OZZ363" s="1648">
        <v>306104.158</v>
      </c>
      <c r="PAA363" s="1648">
        <v>350079.51500000001</v>
      </c>
      <c r="PAB363" s="1648">
        <v>376736.01</v>
      </c>
      <c r="PAC363" s="1648">
        <v>382165.86499999999</v>
      </c>
      <c r="PAD363" s="1648">
        <v>356897.57900000003</v>
      </c>
      <c r="PAE363" s="635">
        <v>3961904</v>
      </c>
      <c r="PAF363" s="633">
        <f>SUM(OZS363:PAD363)</f>
        <v>3961903.5018060002</v>
      </c>
      <c r="PAG363" s="919" t="s">
        <v>1837</v>
      </c>
      <c r="PAH363" s="1643" t="s">
        <v>1838</v>
      </c>
      <c r="PAI363" s="1648">
        <v>344028.50012699998</v>
      </c>
      <c r="PAJ363" s="1648">
        <v>335387.28629100003</v>
      </c>
      <c r="PAK363" s="1648">
        <v>337602.67972299998</v>
      </c>
      <c r="PAL363" s="1648">
        <v>210440.148116</v>
      </c>
      <c r="PAM363" s="1648">
        <v>330912.82974800002</v>
      </c>
      <c r="PAN363" s="1648">
        <v>321507.96580100001</v>
      </c>
      <c r="PAO363" s="1648">
        <v>310040.96500000003</v>
      </c>
      <c r="PAP363" s="1648">
        <v>306104.158</v>
      </c>
      <c r="PAQ363" s="1648">
        <v>350079.51500000001</v>
      </c>
      <c r="PAR363" s="1648">
        <v>376736.01</v>
      </c>
      <c r="PAS363" s="1648">
        <v>382165.86499999999</v>
      </c>
      <c r="PAT363" s="1648">
        <v>356897.57900000003</v>
      </c>
      <c r="PAU363" s="635">
        <v>3961904</v>
      </c>
      <c r="PAV363" s="633">
        <f>SUM(PAI363:PAT363)</f>
        <v>3961903.5018060002</v>
      </c>
      <c r="PAW363" s="919" t="s">
        <v>1837</v>
      </c>
      <c r="PAX363" s="1643" t="s">
        <v>1838</v>
      </c>
      <c r="PAY363" s="1648">
        <v>344028.50012699998</v>
      </c>
      <c r="PAZ363" s="1648">
        <v>335387.28629100003</v>
      </c>
      <c r="PBA363" s="1648">
        <v>337602.67972299998</v>
      </c>
      <c r="PBB363" s="1648">
        <v>210440.148116</v>
      </c>
      <c r="PBC363" s="1648">
        <v>330912.82974800002</v>
      </c>
      <c r="PBD363" s="1648">
        <v>321507.96580100001</v>
      </c>
      <c r="PBE363" s="1648">
        <v>310040.96500000003</v>
      </c>
      <c r="PBF363" s="1648">
        <v>306104.158</v>
      </c>
      <c r="PBG363" s="1648">
        <v>350079.51500000001</v>
      </c>
      <c r="PBH363" s="1648">
        <v>376736.01</v>
      </c>
      <c r="PBI363" s="1648">
        <v>382165.86499999999</v>
      </c>
      <c r="PBJ363" s="1648">
        <v>356897.57900000003</v>
      </c>
      <c r="PBK363" s="635">
        <v>3961904</v>
      </c>
      <c r="PBL363" s="633">
        <f>SUM(PAY363:PBJ363)</f>
        <v>3961903.5018060002</v>
      </c>
      <c r="PBM363" s="919" t="s">
        <v>1837</v>
      </c>
      <c r="PBN363" s="1643" t="s">
        <v>1838</v>
      </c>
      <c r="PBO363" s="1648">
        <v>344028.50012699998</v>
      </c>
      <c r="PBP363" s="1648">
        <v>335387.28629100003</v>
      </c>
      <c r="PBQ363" s="1648">
        <v>337602.67972299998</v>
      </c>
      <c r="PBR363" s="1648">
        <v>210440.148116</v>
      </c>
      <c r="PBS363" s="1648">
        <v>330912.82974800002</v>
      </c>
      <c r="PBT363" s="1648">
        <v>321507.96580100001</v>
      </c>
      <c r="PBU363" s="1648">
        <v>310040.96500000003</v>
      </c>
      <c r="PBV363" s="1648">
        <v>306104.158</v>
      </c>
      <c r="PBW363" s="1648">
        <v>350079.51500000001</v>
      </c>
      <c r="PBX363" s="1648">
        <v>376736.01</v>
      </c>
      <c r="PBY363" s="1648">
        <v>382165.86499999999</v>
      </c>
      <c r="PBZ363" s="1648">
        <v>356897.57900000003</v>
      </c>
      <c r="PCA363" s="635">
        <v>3961904</v>
      </c>
      <c r="PCB363" s="633">
        <f>SUM(PBO363:PBZ363)</f>
        <v>3961903.5018060002</v>
      </c>
      <c r="PCC363" s="919" t="s">
        <v>1837</v>
      </c>
      <c r="PCD363" s="1643" t="s">
        <v>1838</v>
      </c>
      <c r="PCE363" s="1648">
        <v>344028.50012699998</v>
      </c>
      <c r="PCF363" s="1648">
        <v>335387.28629100003</v>
      </c>
      <c r="PCG363" s="1648">
        <v>337602.67972299998</v>
      </c>
      <c r="PCH363" s="1648">
        <v>210440.148116</v>
      </c>
      <c r="PCI363" s="1648">
        <v>330912.82974800002</v>
      </c>
      <c r="PCJ363" s="1648">
        <v>321507.96580100001</v>
      </c>
      <c r="PCK363" s="1648">
        <v>310040.96500000003</v>
      </c>
      <c r="PCL363" s="1648">
        <v>306104.158</v>
      </c>
      <c r="PCM363" s="1648">
        <v>350079.51500000001</v>
      </c>
      <c r="PCN363" s="1648">
        <v>376736.01</v>
      </c>
      <c r="PCO363" s="1648">
        <v>382165.86499999999</v>
      </c>
      <c r="PCP363" s="1648">
        <v>356897.57900000003</v>
      </c>
      <c r="PCQ363" s="635">
        <v>3961904</v>
      </c>
      <c r="PCR363" s="633">
        <f>SUM(PCE363:PCP363)</f>
        <v>3961903.5018060002</v>
      </c>
      <c r="PCS363" s="919" t="s">
        <v>1837</v>
      </c>
      <c r="PCT363" s="1643" t="s">
        <v>1838</v>
      </c>
      <c r="PCU363" s="1648">
        <v>344028.50012699998</v>
      </c>
      <c r="PCV363" s="1648">
        <v>335387.28629100003</v>
      </c>
      <c r="PCW363" s="1648">
        <v>337602.67972299998</v>
      </c>
      <c r="PCX363" s="1648">
        <v>210440.148116</v>
      </c>
      <c r="PCY363" s="1648">
        <v>330912.82974800002</v>
      </c>
      <c r="PCZ363" s="1648">
        <v>321507.96580100001</v>
      </c>
      <c r="PDA363" s="1648">
        <v>310040.96500000003</v>
      </c>
      <c r="PDB363" s="1648">
        <v>306104.158</v>
      </c>
      <c r="PDC363" s="1648">
        <v>350079.51500000001</v>
      </c>
      <c r="PDD363" s="1648">
        <v>376736.01</v>
      </c>
      <c r="PDE363" s="1648">
        <v>382165.86499999999</v>
      </c>
      <c r="PDF363" s="1648">
        <v>356897.57900000003</v>
      </c>
      <c r="PDG363" s="635">
        <v>3961904</v>
      </c>
      <c r="PDH363" s="633">
        <f>SUM(PCU363:PDF363)</f>
        <v>3961903.5018060002</v>
      </c>
      <c r="PDI363" s="919" t="s">
        <v>1837</v>
      </c>
      <c r="PDJ363" s="1643" t="s">
        <v>1838</v>
      </c>
      <c r="PDK363" s="1648">
        <v>344028.50012699998</v>
      </c>
      <c r="PDL363" s="1648">
        <v>335387.28629100003</v>
      </c>
      <c r="PDM363" s="1648">
        <v>337602.67972299998</v>
      </c>
      <c r="PDN363" s="1648">
        <v>210440.148116</v>
      </c>
      <c r="PDO363" s="1648">
        <v>330912.82974800002</v>
      </c>
      <c r="PDP363" s="1648">
        <v>321507.96580100001</v>
      </c>
      <c r="PDQ363" s="1648">
        <v>310040.96500000003</v>
      </c>
      <c r="PDR363" s="1648">
        <v>306104.158</v>
      </c>
      <c r="PDS363" s="1648">
        <v>350079.51500000001</v>
      </c>
      <c r="PDT363" s="1648">
        <v>376736.01</v>
      </c>
      <c r="PDU363" s="1648">
        <v>382165.86499999999</v>
      </c>
      <c r="PDV363" s="1648">
        <v>356897.57900000003</v>
      </c>
      <c r="PDW363" s="635">
        <v>3961904</v>
      </c>
      <c r="PDX363" s="633">
        <f>SUM(PDK363:PDV363)</f>
        <v>3961903.5018060002</v>
      </c>
      <c r="PDY363" s="919" t="s">
        <v>1837</v>
      </c>
      <c r="PDZ363" s="1643" t="s">
        <v>1838</v>
      </c>
      <c r="PEA363" s="1648">
        <v>344028.50012699998</v>
      </c>
      <c r="PEB363" s="1648">
        <v>335387.28629100003</v>
      </c>
      <c r="PEC363" s="1648">
        <v>337602.67972299998</v>
      </c>
      <c r="PED363" s="1648">
        <v>210440.148116</v>
      </c>
      <c r="PEE363" s="1648">
        <v>330912.82974800002</v>
      </c>
      <c r="PEF363" s="1648">
        <v>321507.96580100001</v>
      </c>
      <c r="PEG363" s="1648">
        <v>310040.96500000003</v>
      </c>
      <c r="PEH363" s="1648">
        <v>306104.158</v>
      </c>
      <c r="PEI363" s="1648">
        <v>350079.51500000001</v>
      </c>
      <c r="PEJ363" s="1648">
        <v>376736.01</v>
      </c>
      <c r="PEK363" s="1648">
        <v>382165.86499999999</v>
      </c>
      <c r="PEL363" s="1648">
        <v>356897.57900000003</v>
      </c>
      <c r="PEM363" s="635">
        <v>3961904</v>
      </c>
      <c r="PEN363" s="633">
        <f>SUM(PEA363:PEL363)</f>
        <v>3961903.5018060002</v>
      </c>
      <c r="PEO363" s="919" t="s">
        <v>1837</v>
      </c>
      <c r="PEP363" s="1643" t="s">
        <v>1838</v>
      </c>
      <c r="PEQ363" s="1648">
        <v>344028.50012699998</v>
      </c>
      <c r="PER363" s="1648">
        <v>335387.28629100003</v>
      </c>
      <c r="PES363" s="1648">
        <v>337602.67972299998</v>
      </c>
      <c r="PET363" s="1648">
        <v>210440.148116</v>
      </c>
      <c r="PEU363" s="1648">
        <v>330912.82974800002</v>
      </c>
      <c r="PEV363" s="1648">
        <v>321507.96580100001</v>
      </c>
      <c r="PEW363" s="1648">
        <v>310040.96500000003</v>
      </c>
      <c r="PEX363" s="1648">
        <v>306104.158</v>
      </c>
      <c r="PEY363" s="1648">
        <v>350079.51500000001</v>
      </c>
      <c r="PEZ363" s="1648">
        <v>376736.01</v>
      </c>
      <c r="PFA363" s="1648">
        <v>382165.86499999999</v>
      </c>
      <c r="PFB363" s="1648">
        <v>356897.57900000003</v>
      </c>
      <c r="PFC363" s="635">
        <v>3961904</v>
      </c>
      <c r="PFD363" s="633">
        <f>SUM(PEQ363:PFB363)</f>
        <v>3961903.5018060002</v>
      </c>
      <c r="PFE363" s="919" t="s">
        <v>1837</v>
      </c>
      <c r="PFF363" s="1643" t="s">
        <v>1838</v>
      </c>
      <c r="PFG363" s="1648">
        <v>344028.50012699998</v>
      </c>
      <c r="PFH363" s="1648">
        <v>335387.28629100003</v>
      </c>
      <c r="PFI363" s="1648">
        <v>337602.67972299998</v>
      </c>
      <c r="PFJ363" s="1648">
        <v>210440.148116</v>
      </c>
      <c r="PFK363" s="1648">
        <v>330912.82974800002</v>
      </c>
      <c r="PFL363" s="1648">
        <v>321507.96580100001</v>
      </c>
      <c r="PFM363" s="1648">
        <v>310040.96500000003</v>
      </c>
      <c r="PFN363" s="1648">
        <v>306104.158</v>
      </c>
      <c r="PFO363" s="1648">
        <v>350079.51500000001</v>
      </c>
      <c r="PFP363" s="1648">
        <v>376736.01</v>
      </c>
      <c r="PFQ363" s="1648">
        <v>382165.86499999999</v>
      </c>
      <c r="PFR363" s="1648">
        <v>356897.57900000003</v>
      </c>
      <c r="PFS363" s="635">
        <v>3961904</v>
      </c>
      <c r="PFT363" s="633">
        <f>SUM(PFG363:PFR363)</f>
        <v>3961903.5018060002</v>
      </c>
      <c r="PFU363" s="919" t="s">
        <v>1837</v>
      </c>
      <c r="PFV363" s="1643" t="s">
        <v>1838</v>
      </c>
      <c r="PFW363" s="1648">
        <v>344028.50012699998</v>
      </c>
      <c r="PFX363" s="1648">
        <v>335387.28629100003</v>
      </c>
      <c r="PFY363" s="1648">
        <v>337602.67972299998</v>
      </c>
      <c r="PFZ363" s="1648">
        <v>210440.148116</v>
      </c>
      <c r="PGA363" s="1648">
        <v>330912.82974800002</v>
      </c>
      <c r="PGB363" s="1648">
        <v>321507.96580100001</v>
      </c>
      <c r="PGC363" s="1648">
        <v>310040.96500000003</v>
      </c>
      <c r="PGD363" s="1648">
        <v>306104.158</v>
      </c>
      <c r="PGE363" s="1648">
        <v>350079.51500000001</v>
      </c>
      <c r="PGF363" s="1648">
        <v>376736.01</v>
      </c>
      <c r="PGG363" s="1648">
        <v>382165.86499999999</v>
      </c>
      <c r="PGH363" s="1648">
        <v>356897.57900000003</v>
      </c>
      <c r="PGI363" s="635">
        <v>3961904</v>
      </c>
      <c r="PGJ363" s="633">
        <f>SUM(PFW363:PGH363)</f>
        <v>3961903.5018060002</v>
      </c>
      <c r="PGK363" s="919" t="s">
        <v>1837</v>
      </c>
      <c r="PGL363" s="1643" t="s">
        <v>1838</v>
      </c>
      <c r="PGM363" s="1648">
        <v>344028.50012699998</v>
      </c>
      <c r="PGN363" s="1648">
        <v>335387.28629100003</v>
      </c>
      <c r="PGO363" s="1648">
        <v>337602.67972299998</v>
      </c>
      <c r="PGP363" s="1648">
        <v>210440.148116</v>
      </c>
      <c r="PGQ363" s="1648">
        <v>330912.82974800002</v>
      </c>
      <c r="PGR363" s="1648">
        <v>321507.96580100001</v>
      </c>
      <c r="PGS363" s="1648">
        <v>310040.96500000003</v>
      </c>
      <c r="PGT363" s="1648">
        <v>306104.158</v>
      </c>
      <c r="PGU363" s="1648">
        <v>350079.51500000001</v>
      </c>
      <c r="PGV363" s="1648">
        <v>376736.01</v>
      </c>
      <c r="PGW363" s="1648">
        <v>382165.86499999999</v>
      </c>
      <c r="PGX363" s="1648">
        <v>356897.57900000003</v>
      </c>
      <c r="PGY363" s="635">
        <v>3961904</v>
      </c>
      <c r="PGZ363" s="633">
        <f>SUM(PGM363:PGX363)</f>
        <v>3961903.5018060002</v>
      </c>
      <c r="PHA363" s="919" t="s">
        <v>1837</v>
      </c>
      <c r="PHB363" s="1643" t="s">
        <v>1838</v>
      </c>
      <c r="PHC363" s="1648">
        <v>344028.50012699998</v>
      </c>
      <c r="PHD363" s="1648">
        <v>335387.28629100003</v>
      </c>
      <c r="PHE363" s="1648">
        <v>337602.67972299998</v>
      </c>
      <c r="PHF363" s="1648">
        <v>210440.148116</v>
      </c>
      <c r="PHG363" s="1648">
        <v>330912.82974800002</v>
      </c>
      <c r="PHH363" s="1648">
        <v>321507.96580100001</v>
      </c>
      <c r="PHI363" s="1648">
        <v>310040.96500000003</v>
      </c>
      <c r="PHJ363" s="1648">
        <v>306104.158</v>
      </c>
      <c r="PHK363" s="1648">
        <v>350079.51500000001</v>
      </c>
      <c r="PHL363" s="1648">
        <v>376736.01</v>
      </c>
      <c r="PHM363" s="1648">
        <v>382165.86499999999</v>
      </c>
      <c r="PHN363" s="1648">
        <v>356897.57900000003</v>
      </c>
      <c r="PHO363" s="635">
        <v>3961904</v>
      </c>
      <c r="PHP363" s="633">
        <f>SUM(PHC363:PHN363)</f>
        <v>3961903.5018060002</v>
      </c>
      <c r="PHQ363" s="919" t="s">
        <v>1837</v>
      </c>
      <c r="PHR363" s="1643" t="s">
        <v>1838</v>
      </c>
      <c r="PHS363" s="1648">
        <v>344028.50012699998</v>
      </c>
      <c r="PHT363" s="1648">
        <v>335387.28629100003</v>
      </c>
      <c r="PHU363" s="1648">
        <v>337602.67972299998</v>
      </c>
      <c r="PHV363" s="1648">
        <v>210440.148116</v>
      </c>
      <c r="PHW363" s="1648">
        <v>330912.82974800002</v>
      </c>
      <c r="PHX363" s="1648">
        <v>321507.96580100001</v>
      </c>
      <c r="PHY363" s="1648">
        <v>310040.96500000003</v>
      </c>
      <c r="PHZ363" s="1648">
        <v>306104.158</v>
      </c>
      <c r="PIA363" s="1648">
        <v>350079.51500000001</v>
      </c>
      <c r="PIB363" s="1648">
        <v>376736.01</v>
      </c>
      <c r="PIC363" s="1648">
        <v>382165.86499999999</v>
      </c>
      <c r="PID363" s="1648">
        <v>356897.57900000003</v>
      </c>
      <c r="PIE363" s="635">
        <v>3961904</v>
      </c>
      <c r="PIF363" s="633">
        <f>SUM(PHS363:PID363)</f>
        <v>3961903.5018060002</v>
      </c>
      <c r="PIG363" s="919" t="s">
        <v>1837</v>
      </c>
      <c r="PIH363" s="1643" t="s">
        <v>1838</v>
      </c>
      <c r="PII363" s="1648">
        <v>344028.50012699998</v>
      </c>
      <c r="PIJ363" s="1648">
        <v>335387.28629100003</v>
      </c>
      <c r="PIK363" s="1648">
        <v>337602.67972299998</v>
      </c>
      <c r="PIL363" s="1648">
        <v>210440.148116</v>
      </c>
      <c r="PIM363" s="1648">
        <v>330912.82974800002</v>
      </c>
      <c r="PIN363" s="1648">
        <v>321507.96580100001</v>
      </c>
      <c r="PIO363" s="1648">
        <v>310040.96500000003</v>
      </c>
      <c r="PIP363" s="1648">
        <v>306104.158</v>
      </c>
      <c r="PIQ363" s="1648">
        <v>350079.51500000001</v>
      </c>
      <c r="PIR363" s="1648">
        <v>376736.01</v>
      </c>
      <c r="PIS363" s="1648">
        <v>382165.86499999999</v>
      </c>
      <c r="PIT363" s="1648">
        <v>356897.57900000003</v>
      </c>
      <c r="PIU363" s="635">
        <v>3961904</v>
      </c>
      <c r="PIV363" s="633">
        <f>SUM(PII363:PIT363)</f>
        <v>3961903.5018060002</v>
      </c>
      <c r="PIW363" s="919" t="s">
        <v>1837</v>
      </c>
      <c r="PIX363" s="1643" t="s">
        <v>1838</v>
      </c>
      <c r="PIY363" s="1648">
        <v>344028.50012699998</v>
      </c>
      <c r="PIZ363" s="1648">
        <v>335387.28629100003</v>
      </c>
      <c r="PJA363" s="1648">
        <v>337602.67972299998</v>
      </c>
      <c r="PJB363" s="1648">
        <v>210440.148116</v>
      </c>
      <c r="PJC363" s="1648">
        <v>330912.82974800002</v>
      </c>
      <c r="PJD363" s="1648">
        <v>321507.96580100001</v>
      </c>
      <c r="PJE363" s="1648">
        <v>310040.96500000003</v>
      </c>
      <c r="PJF363" s="1648">
        <v>306104.158</v>
      </c>
      <c r="PJG363" s="1648">
        <v>350079.51500000001</v>
      </c>
      <c r="PJH363" s="1648">
        <v>376736.01</v>
      </c>
      <c r="PJI363" s="1648">
        <v>382165.86499999999</v>
      </c>
      <c r="PJJ363" s="1648">
        <v>356897.57900000003</v>
      </c>
      <c r="PJK363" s="635">
        <v>3961904</v>
      </c>
      <c r="PJL363" s="633">
        <f>SUM(PIY363:PJJ363)</f>
        <v>3961903.5018060002</v>
      </c>
      <c r="PJM363" s="919" t="s">
        <v>1837</v>
      </c>
      <c r="PJN363" s="1643" t="s">
        <v>1838</v>
      </c>
      <c r="PJO363" s="1648">
        <v>344028.50012699998</v>
      </c>
      <c r="PJP363" s="1648">
        <v>335387.28629100003</v>
      </c>
      <c r="PJQ363" s="1648">
        <v>337602.67972299998</v>
      </c>
      <c r="PJR363" s="1648">
        <v>210440.148116</v>
      </c>
      <c r="PJS363" s="1648">
        <v>330912.82974800002</v>
      </c>
      <c r="PJT363" s="1648">
        <v>321507.96580100001</v>
      </c>
      <c r="PJU363" s="1648">
        <v>310040.96500000003</v>
      </c>
      <c r="PJV363" s="1648">
        <v>306104.158</v>
      </c>
      <c r="PJW363" s="1648">
        <v>350079.51500000001</v>
      </c>
      <c r="PJX363" s="1648">
        <v>376736.01</v>
      </c>
      <c r="PJY363" s="1648">
        <v>382165.86499999999</v>
      </c>
      <c r="PJZ363" s="1648">
        <v>356897.57900000003</v>
      </c>
      <c r="PKA363" s="635">
        <v>3961904</v>
      </c>
      <c r="PKB363" s="633">
        <f>SUM(PJO363:PJZ363)</f>
        <v>3961903.5018060002</v>
      </c>
      <c r="PKC363" s="919" t="s">
        <v>1837</v>
      </c>
      <c r="PKD363" s="1643" t="s">
        <v>1838</v>
      </c>
      <c r="PKE363" s="1648">
        <v>344028.50012699998</v>
      </c>
      <c r="PKF363" s="1648">
        <v>335387.28629100003</v>
      </c>
      <c r="PKG363" s="1648">
        <v>337602.67972299998</v>
      </c>
      <c r="PKH363" s="1648">
        <v>210440.148116</v>
      </c>
      <c r="PKI363" s="1648">
        <v>330912.82974800002</v>
      </c>
      <c r="PKJ363" s="1648">
        <v>321507.96580100001</v>
      </c>
      <c r="PKK363" s="1648">
        <v>310040.96500000003</v>
      </c>
      <c r="PKL363" s="1648">
        <v>306104.158</v>
      </c>
      <c r="PKM363" s="1648">
        <v>350079.51500000001</v>
      </c>
      <c r="PKN363" s="1648">
        <v>376736.01</v>
      </c>
      <c r="PKO363" s="1648">
        <v>382165.86499999999</v>
      </c>
      <c r="PKP363" s="1648">
        <v>356897.57900000003</v>
      </c>
      <c r="PKQ363" s="635">
        <v>3961904</v>
      </c>
      <c r="PKR363" s="633">
        <f>SUM(PKE363:PKP363)</f>
        <v>3961903.5018060002</v>
      </c>
      <c r="PKS363" s="919" t="s">
        <v>1837</v>
      </c>
      <c r="PKT363" s="1643" t="s">
        <v>1838</v>
      </c>
      <c r="PKU363" s="1648">
        <v>344028.50012699998</v>
      </c>
      <c r="PKV363" s="1648">
        <v>335387.28629100003</v>
      </c>
      <c r="PKW363" s="1648">
        <v>337602.67972299998</v>
      </c>
      <c r="PKX363" s="1648">
        <v>210440.148116</v>
      </c>
      <c r="PKY363" s="1648">
        <v>330912.82974800002</v>
      </c>
      <c r="PKZ363" s="1648">
        <v>321507.96580100001</v>
      </c>
      <c r="PLA363" s="1648">
        <v>310040.96500000003</v>
      </c>
      <c r="PLB363" s="1648">
        <v>306104.158</v>
      </c>
      <c r="PLC363" s="1648">
        <v>350079.51500000001</v>
      </c>
      <c r="PLD363" s="1648">
        <v>376736.01</v>
      </c>
      <c r="PLE363" s="1648">
        <v>382165.86499999999</v>
      </c>
      <c r="PLF363" s="1648">
        <v>356897.57900000003</v>
      </c>
      <c r="PLG363" s="635">
        <v>3961904</v>
      </c>
      <c r="PLH363" s="633">
        <f>SUM(PKU363:PLF363)</f>
        <v>3961903.5018060002</v>
      </c>
      <c r="PLI363" s="919" t="s">
        <v>1837</v>
      </c>
      <c r="PLJ363" s="1643" t="s">
        <v>1838</v>
      </c>
      <c r="PLK363" s="1648">
        <v>344028.50012699998</v>
      </c>
      <c r="PLL363" s="1648">
        <v>335387.28629100003</v>
      </c>
      <c r="PLM363" s="1648">
        <v>337602.67972299998</v>
      </c>
      <c r="PLN363" s="1648">
        <v>210440.148116</v>
      </c>
      <c r="PLO363" s="1648">
        <v>330912.82974800002</v>
      </c>
      <c r="PLP363" s="1648">
        <v>321507.96580100001</v>
      </c>
      <c r="PLQ363" s="1648">
        <v>310040.96500000003</v>
      </c>
      <c r="PLR363" s="1648">
        <v>306104.158</v>
      </c>
      <c r="PLS363" s="1648">
        <v>350079.51500000001</v>
      </c>
      <c r="PLT363" s="1648">
        <v>376736.01</v>
      </c>
      <c r="PLU363" s="1648">
        <v>382165.86499999999</v>
      </c>
      <c r="PLV363" s="1648">
        <v>356897.57900000003</v>
      </c>
      <c r="PLW363" s="635">
        <v>3961904</v>
      </c>
      <c r="PLX363" s="633">
        <f>SUM(PLK363:PLV363)</f>
        <v>3961903.5018060002</v>
      </c>
      <c r="PLY363" s="919" t="s">
        <v>1837</v>
      </c>
      <c r="PLZ363" s="1643" t="s">
        <v>1838</v>
      </c>
      <c r="PMA363" s="1648">
        <v>344028.50012699998</v>
      </c>
      <c r="PMB363" s="1648">
        <v>335387.28629100003</v>
      </c>
      <c r="PMC363" s="1648">
        <v>337602.67972299998</v>
      </c>
      <c r="PMD363" s="1648">
        <v>210440.148116</v>
      </c>
      <c r="PME363" s="1648">
        <v>330912.82974800002</v>
      </c>
      <c r="PMF363" s="1648">
        <v>321507.96580100001</v>
      </c>
      <c r="PMG363" s="1648">
        <v>310040.96500000003</v>
      </c>
      <c r="PMH363" s="1648">
        <v>306104.158</v>
      </c>
      <c r="PMI363" s="1648">
        <v>350079.51500000001</v>
      </c>
      <c r="PMJ363" s="1648">
        <v>376736.01</v>
      </c>
      <c r="PMK363" s="1648">
        <v>382165.86499999999</v>
      </c>
      <c r="PML363" s="1648">
        <v>356897.57900000003</v>
      </c>
      <c r="PMM363" s="635">
        <v>3961904</v>
      </c>
      <c r="PMN363" s="633">
        <f>SUM(PMA363:PML363)</f>
        <v>3961903.5018060002</v>
      </c>
      <c r="PMO363" s="919" t="s">
        <v>1837</v>
      </c>
      <c r="PMP363" s="1643" t="s">
        <v>1838</v>
      </c>
      <c r="PMQ363" s="1648">
        <v>344028.50012699998</v>
      </c>
      <c r="PMR363" s="1648">
        <v>335387.28629100003</v>
      </c>
      <c r="PMS363" s="1648">
        <v>337602.67972299998</v>
      </c>
      <c r="PMT363" s="1648">
        <v>210440.148116</v>
      </c>
      <c r="PMU363" s="1648">
        <v>330912.82974800002</v>
      </c>
      <c r="PMV363" s="1648">
        <v>321507.96580100001</v>
      </c>
      <c r="PMW363" s="1648">
        <v>310040.96500000003</v>
      </c>
      <c r="PMX363" s="1648">
        <v>306104.158</v>
      </c>
      <c r="PMY363" s="1648">
        <v>350079.51500000001</v>
      </c>
      <c r="PMZ363" s="1648">
        <v>376736.01</v>
      </c>
      <c r="PNA363" s="1648">
        <v>382165.86499999999</v>
      </c>
      <c r="PNB363" s="1648">
        <v>356897.57900000003</v>
      </c>
      <c r="PNC363" s="635">
        <v>3961904</v>
      </c>
      <c r="PND363" s="633">
        <f>SUM(PMQ363:PNB363)</f>
        <v>3961903.5018060002</v>
      </c>
      <c r="PNE363" s="919" t="s">
        <v>1837</v>
      </c>
      <c r="PNF363" s="1643" t="s">
        <v>1838</v>
      </c>
      <c r="PNG363" s="1648">
        <v>344028.50012699998</v>
      </c>
      <c r="PNH363" s="1648">
        <v>335387.28629100003</v>
      </c>
      <c r="PNI363" s="1648">
        <v>337602.67972299998</v>
      </c>
      <c r="PNJ363" s="1648">
        <v>210440.148116</v>
      </c>
      <c r="PNK363" s="1648">
        <v>330912.82974800002</v>
      </c>
      <c r="PNL363" s="1648">
        <v>321507.96580100001</v>
      </c>
      <c r="PNM363" s="1648">
        <v>310040.96500000003</v>
      </c>
      <c r="PNN363" s="1648">
        <v>306104.158</v>
      </c>
      <c r="PNO363" s="1648">
        <v>350079.51500000001</v>
      </c>
      <c r="PNP363" s="1648">
        <v>376736.01</v>
      </c>
      <c r="PNQ363" s="1648">
        <v>382165.86499999999</v>
      </c>
      <c r="PNR363" s="1648">
        <v>356897.57900000003</v>
      </c>
      <c r="PNS363" s="635">
        <v>3961904</v>
      </c>
      <c r="PNT363" s="633">
        <f>SUM(PNG363:PNR363)</f>
        <v>3961903.5018060002</v>
      </c>
      <c r="PNU363" s="919" t="s">
        <v>1837</v>
      </c>
      <c r="PNV363" s="1643" t="s">
        <v>1838</v>
      </c>
      <c r="PNW363" s="1648">
        <v>344028.50012699998</v>
      </c>
      <c r="PNX363" s="1648">
        <v>335387.28629100003</v>
      </c>
      <c r="PNY363" s="1648">
        <v>337602.67972299998</v>
      </c>
      <c r="PNZ363" s="1648">
        <v>210440.148116</v>
      </c>
      <c r="POA363" s="1648">
        <v>330912.82974800002</v>
      </c>
      <c r="POB363" s="1648">
        <v>321507.96580100001</v>
      </c>
      <c r="POC363" s="1648">
        <v>310040.96500000003</v>
      </c>
      <c r="POD363" s="1648">
        <v>306104.158</v>
      </c>
      <c r="POE363" s="1648">
        <v>350079.51500000001</v>
      </c>
      <c r="POF363" s="1648">
        <v>376736.01</v>
      </c>
      <c r="POG363" s="1648">
        <v>382165.86499999999</v>
      </c>
      <c r="POH363" s="1648">
        <v>356897.57900000003</v>
      </c>
      <c r="POI363" s="635">
        <v>3961904</v>
      </c>
      <c r="POJ363" s="633">
        <f>SUM(PNW363:POH363)</f>
        <v>3961903.5018060002</v>
      </c>
      <c r="POK363" s="919" t="s">
        <v>1837</v>
      </c>
      <c r="POL363" s="1643" t="s">
        <v>1838</v>
      </c>
      <c r="POM363" s="1648">
        <v>344028.50012699998</v>
      </c>
      <c r="PON363" s="1648">
        <v>335387.28629100003</v>
      </c>
      <c r="POO363" s="1648">
        <v>337602.67972299998</v>
      </c>
      <c r="POP363" s="1648">
        <v>210440.148116</v>
      </c>
      <c r="POQ363" s="1648">
        <v>330912.82974800002</v>
      </c>
      <c r="POR363" s="1648">
        <v>321507.96580100001</v>
      </c>
      <c r="POS363" s="1648">
        <v>310040.96500000003</v>
      </c>
      <c r="POT363" s="1648">
        <v>306104.158</v>
      </c>
      <c r="POU363" s="1648">
        <v>350079.51500000001</v>
      </c>
      <c r="POV363" s="1648">
        <v>376736.01</v>
      </c>
      <c r="POW363" s="1648">
        <v>382165.86499999999</v>
      </c>
      <c r="POX363" s="1648">
        <v>356897.57900000003</v>
      </c>
      <c r="POY363" s="635">
        <v>3961904</v>
      </c>
      <c r="POZ363" s="633">
        <f>SUM(POM363:POX363)</f>
        <v>3961903.5018060002</v>
      </c>
      <c r="PPA363" s="919" t="s">
        <v>1837</v>
      </c>
      <c r="PPB363" s="1643" t="s">
        <v>1838</v>
      </c>
      <c r="PPC363" s="1648">
        <v>344028.50012699998</v>
      </c>
      <c r="PPD363" s="1648">
        <v>335387.28629100003</v>
      </c>
      <c r="PPE363" s="1648">
        <v>337602.67972299998</v>
      </c>
      <c r="PPF363" s="1648">
        <v>210440.148116</v>
      </c>
      <c r="PPG363" s="1648">
        <v>330912.82974800002</v>
      </c>
      <c r="PPH363" s="1648">
        <v>321507.96580100001</v>
      </c>
      <c r="PPI363" s="1648">
        <v>310040.96500000003</v>
      </c>
      <c r="PPJ363" s="1648">
        <v>306104.158</v>
      </c>
      <c r="PPK363" s="1648">
        <v>350079.51500000001</v>
      </c>
      <c r="PPL363" s="1648">
        <v>376736.01</v>
      </c>
      <c r="PPM363" s="1648">
        <v>382165.86499999999</v>
      </c>
      <c r="PPN363" s="1648">
        <v>356897.57900000003</v>
      </c>
      <c r="PPO363" s="635">
        <v>3961904</v>
      </c>
      <c r="PPP363" s="633">
        <f>SUM(PPC363:PPN363)</f>
        <v>3961903.5018060002</v>
      </c>
      <c r="PPQ363" s="919" t="s">
        <v>1837</v>
      </c>
      <c r="PPR363" s="1643" t="s">
        <v>1838</v>
      </c>
      <c r="PPS363" s="1648">
        <v>344028.50012699998</v>
      </c>
      <c r="PPT363" s="1648">
        <v>335387.28629100003</v>
      </c>
      <c r="PPU363" s="1648">
        <v>337602.67972299998</v>
      </c>
      <c r="PPV363" s="1648">
        <v>210440.148116</v>
      </c>
      <c r="PPW363" s="1648">
        <v>330912.82974800002</v>
      </c>
      <c r="PPX363" s="1648">
        <v>321507.96580100001</v>
      </c>
      <c r="PPY363" s="1648">
        <v>310040.96500000003</v>
      </c>
      <c r="PPZ363" s="1648">
        <v>306104.158</v>
      </c>
      <c r="PQA363" s="1648">
        <v>350079.51500000001</v>
      </c>
      <c r="PQB363" s="1648">
        <v>376736.01</v>
      </c>
      <c r="PQC363" s="1648">
        <v>382165.86499999999</v>
      </c>
      <c r="PQD363" s="1648">
        <v>356897.57900000003</v>
      </c>
      <c r="PQE363" s="635">
        <v>3961904</v>
      </c>
      <c r="PQF363" s="633">
        <f>SUM(PPS363:PQD363)</f>
        <v>3961903.5018060002</v>
      </c>
      <c r="PQG363" s="919" t="s">
        <v>1837</v>
      </c>
      <c r="PQH363" s="1643" t="s">
        <v>1838</v>
      </c>
      <c r="PQI363" s="1648">
        <v>344028.50012699998</v>
      </c>
      <c r="PQJ363" s="1648">
        <v>335387.28629100003</v>
      </c>
      <c r="PQK363" s="1648">
        <v>337602.67972299998</v>
      </c>
      <c r="PQL363" s="1648">
        <v>210440.148116</v>
      </c>
      <c r="PQM363" s="1648">
        <v>330912.82974800002</v>
      </c>
      <c r="PQN363" s="1648">
        <v>321507.96580100001</v>
      </c>
      <c r="PQO363" s="1648">
        <v>310040.96500000003</v>
      </c>
      <c r="PQP363" s="1648">
        <v>306104.158</v>
      </c>
      <c r="PQQ363" s="1648">
        <v>350079.51500000001</v>
      </c>
      <c r="PQR363" s="1648">
        <v>376736.01</v>
      </c>
      <c r="PQS363" s="1648">
        <v>382165.86499999999</v>
      </c>
      <c r="PQT363" s="1648">
        <v>356897.57900000003</v>
      </c>
      <c r="PQU363" s="635">
        <v>3961904</v>
      </c>
      <c r="PQV363" s="633">
        <f>SUM(PQI363:PQT363)</f>
        <v>3961903.5018060002</v>
      </c>
      <c r="PQW363" s="919" t="s">
        <v>1837</v>
      </c>
      <c r="PQX363" s="1643" t="s">
        <v>1838</v>
      </c>
      <c r="PQY363" s="1648">
        <v>344028.50012699998</v>
      </c>
      <c r="PQZ363" s="1648">
        <v>335387.28629100003</v>
      </c>
      <c r="PRA363" s="1648">
        <v>337602.67972299998</v>
      </c>
      <c r="PRB363" s="1648">
        <v>210440.148116</v>
      </c>
      <c r="PRC363" s="1648">
        <v>330912.82974800002</v>
      </c>
      <c r="PRD363" s="1648">
        <v>321507.96580100001</v>
      </c>
      <c r="PRE363" s="1648">
        <v>310040.96500000003</v>
      </c>
      <c r="PRF363" s="1648">
        <v>306104.158</v>
      </c>
      <c r="PRG363" s="1648">
        <v>350079.51500000001</v>
      </c>
      <c r="PRH363" s="1648">
        <v>376736.01</v>
      </c>
      <c r="PRI363" s="1648">
        <v>382165.86499999999</v>
      </c>
      <c r="PRJ363" s="1648">
        <v>356897.57900000003</v>
      </c>
      <c r="PRK363" s="635">
        <v>3961904</v>
      </c>
      <c r="PRL363" s="633">
        <f>SUM(PQY363:PRJ363)</f>
        <v>3961903.5018060002</v>
      </c>
      <c r="PRM363" s="919" t="s">
        <v>1837</v>
      </c>
      <c r="PRN363" s="1643" t="s">
        <v>1838</v>
      </c>
      <c r="PRO363" s="1648">
        <v>344028.50012699998</v>
      </c>
      <c r="PRP363" s="1648">
        <v>335387.28629100003</v>
      </c>
      <c r="PRQ363" s="1648">
        <v>337602.67972299998</v>
      </c>
      <c r="PRR363" s="1648">
        <v>210440.148116</v>
      </c>
      <c r="PRS363" s="1648">
        <v>330912.82974800002</v>
      </c>
      <c r="PRT363" s="1648">
        <v>321507.96580100001</v>
      </c>
      <c r="PRU363" s="1648">
        <v>310040.96500000003</v>
      </c>
      <c r="PRV363" s="1648">
        <v>306104.158</v>
      </c>
      <c r="PRW363" s="1648">
        <v>350079.51500000001</v>
      </c>
      <c r="PRX363" s="1648">
        <v>376736.01</v>
      </c>
      <c r="PRY363" s="1648">
        <v>382165.86499999999</v>
      </c>
      <c r="PRZ363" s="1648">
        <v>356897.57900000003</v>
      </c>
      <c r="PSA363" s="635">
        <v>3961904</v>
      </c>
      <c r="PSB363" s="633">
        <f>SUM(PRO363:PRZ363)</f>
        <v>3961903.5018060002</v>
      </c>
      <c r="PSC363" s="919" t="s">
        <v>1837</v>
      </c>
      <c r="PSD363" s="1643" t="s">
        <v>1838</v>
      </c>
      <c r="PSE363" s="1648">
        <v>344028.50012699998</v>
      </c>
      <c r="PSF363" s="1648">
        <v>335387.28629100003</v>
      </c>
      <c r="PSG363" s="1648">
        <v>337602.67972299998</v>
      </c>
      <c r="PSH363" s="1648">
        <v>210440.148116</v>
      </c>
      <c r="PSI363" s="1648">
        <v>330912.82974800002</v>
      </c>
      <c r="PSJ363" s="1648">
        <v>321507.96580100001</v>
      </c>
      <c r="PSK363" s="1648">
        <v>310040.96500000003</v>
      </c>
      <c r="PSL363" s="1648">
        <v>306104.158</v>
      </c>
      <c r="PSM363" s="1648">
        <v>350079.51500000001</v>
      </c>
      <c r="PSN363" s="1648">
        <v>376736.01</v>
      </c>
      <c r="PSO363" s="1648">
        <v>382165.86499999999</v>
      </c>
      <c r="PSP363" s="1648">
        <v>356897.57900000003</v>
      </c>
      <c r="PSQ363" s="635">
        <v>3961904</v>
      </c>
      <c r="PSR363" s="633">
        <f>SUM(PSE363:PSP363)</f>
        <v>3961903.5018060002</v>
      </c>
      <c r="PSS363" s="919" t="s">
        <v>1837</v>
      </c>
      <c r="PST363" s="1643" t="s">
        <v>1838</v>
      </c>
      <c r="PSU363" s="1648">
        <v>344028.50012699998</v>
      </c>
      <c r="PSV363" s="1648">
        <v>335387.28629100003</v>
      </c>
      <c r="PSW363" s="1648">
        <v>337602.67972299998</v>
      </c>
      <c r="PSX363" s="1648">
        <v>210440.148116</v>
      </c>
      <c r="PSY363" s="1648">
        <v>330912.82974800002</v>
      </c>
      <c r="PSZ363" s="1648">
        <v>321507.96580100001</v>
      </c>
      <c r="PTA363" s="1648">
        <v>310040.96500000003</v>
      </c>
      <c r="PTB363" s="1648">
        <v>306104.158</v>
      </c>
      <c r="PTC363" s="1648">
        <v>350079.51500000001</v>
      </c>
      <c r="PTD363" s="1648">
        <v>376736.01</v>
      </c>
      <c r="PTE363" s="1648">
        <v>382165.86499999999</v>
      </c>
      <c r="PTF363" s="1648">
        <v>356897.57900000003</v>
      </c>
      <c r="PTG363" s="635">
        <v>3961904</v>
      </c>
      <c r="PTH363" s="633">
        <f>SUM(PSU363:PTF363)</f>
        <v>3961903.5018060002</v>
      </c>
      <c r="PTI363" s="919" t="s">
        <v>1837</v>
      </c>
      <c r="PTJ363" s="1643" t="s">
        <v>1838</v>
      </c>
      <c r="PTK363" s="1648">
        <v>344028.50012699998</v>
      </c>
      <c r="PTL363" s="1648">
        <v>335387.28629100003</v>
      </c>
      <c r="PTM363" s="1648">
        <v>337602.67972299998</v>
      </c>
      <c r="PTN363" s="1648">
        <v>210440.148116</v>
      </c>
      <c r="PTO363" s="1648">
        <v>330912.82974800002</v>
      </c>
      <c r="PTP363" s="1648">
        <v>321507.96580100001</v>
      </c>
      <c r="PTQ363" s="1648">
        <v>310040.96500000003</v>
      </c>
      <c r="PTR363" s="1648">
        <v>306104.158</v>
      </c>
      <c r="PTS363" s="1648">
        <v>350079.51500000001</v>
      </c>
      <c r="PTT363" s="1648">
        <v>376736.01</v>
      </c>
      <c r="PTU363" s="1648">
        <v>382165.86499999999</v>
      </c>
      <c r="PTV363" s="1648">
        <v>356897.57900000003</v>
      </c>
      <c r="PTW363" s="635">
        <v>3961904</v>
      </c>
      <c r="PTX363" s="633">
        <f>SUM(PTK363:PTV363)</f>
        <v>3961903.5018060002</v>
      </c>
      <c r="PTY363" s="919" t="s">
        <v>1837</v>
      </c>
      <c r="PTZ363" s="1643" t="s">
        <v>1838</v>
      </c>
      <c r="PUA363" s="1648">
        <v>344028.50012699998</v>
      </c>
      <c r="PUB363" s="1648">
        <v>335387.28629100003</v>
      </c>
      <c r="PUC363" s="1648">
        <v>337602.67972299998</v>
      </c>
      <c r="PUD363" s="1648">
        <v>210440.148116</v>
      </c>
      <c r="PUE363" s="1648">
        <v>330912.82974800002</v>
      </c>
      <c r="PUF363" s="1648">
        <v>321507.96580100001</v>
      </c>
      <c r="PUG363" s="1648">
        <v>310040.96500000003</v>
      </c>
      <c r="PUH363" s="1648">
        <v>306104.158</v>
      </c>
      <c r="PUI363" s="1648">
        <v>350079.51500000001</v>
      </c>
      <c r="PUJ363" s="1648">
        <v>376736.01</v>
      </c>
      <c r="PUK363" s="1648">
        <v>382165.86499999999</v>
      </c>
      <c r="PUL363" s="1648">
        <v>356897.57900000003</v>
      </c>
      <c r="PUM363" s="635">
        <v>3961904</v>
      </c>
      <c r="PUN363" s="633">
        <f>SUM(PUA363:PUL363)</f>
        <v>3961903.5018060002</v>
      </c>
      <c r="PUO363" s="919" t="s">
        <v>1837</v>
      </c>
      <c r="PUP363" s="1643" t="s">
        <v>1838</v>
      </c>
      <c r="PUQ363" s="1648">
        <v>344028.50012699998</v>
      </c>
      <c r="PUR363" s="1648">
        <v>335387.28629100003</v>
      </c>
      <c r="PUS363" s="1648">
        <v>337602.67972299998</v>
      </c>
      <c r="PUT363" s="1648">
        <v>210440.148116</v>
      </c>
      <c r="PUU363" s="1648">
        <v>330912.82974800002</v>
      </c>
      <c r="PUV363" s="1648">
        <v>321507.96580100001</v>
      </c>
      <c r="PUW363" s="1648">
        <v>310040.96500000003</v>
      </c>
      <c r="PUX363" s="1648">
        <v>306104.158</v>
      </c>
      <c r="PUY363" s="1648">
        <v>350079.51500000001</v>
      </c>
      <c r="PUZ363" s="1648">
        <v>376736.01</v>
      </c>
      <c r="PVA363" s="1648">
        <v>382165.86499999999</v>
      </c>
      <c r="PVB363" s="1648">
        <v>356897.57900000003</v>
      </c>
      <c r="PVC363" s="635">
        <v>3961904</v>
      </c>
      <c r="PVD363" s="633">
        <f>SUM(PUQ363:PVB363)</f>
        <v>3961903.5018060002</v>
      </c>
      <c r="PVE363" s="919" t="s">
        <v>1837</v>
      </c>
      <c r="PVF363" s="1643" t="s">
        <v>1838</v>
      </c>
      <c r="PVG363" s="1648">
        <v>344028.50012699998</v>
      </c>
      <c r="PVH363" s="1648">
        <v>335387.28629100003</v>
      </c>
      <c r="PVI363" s="1648">
        <v>337602.67972299998</v>
      </c>
      <c r="PVJ363" s="1648">
        <v>210440.148116</v>
      </c>
      <c r="PVK363" s="1648">
        <v>330912.82974800002</v>
      </c>
      <c r="PVL363" s="1648">
        <v>321507.96580100001</v>
      </c>
      <c r="PVM363" s="1648">
        <v>310040.96500000003</v>
      </c>
      <c r="PVN363" s="1648">
        <v>306104.158</v>
      </c>
      <c r="PVO363" s="1648">
        <v>350079.51500000001</v>
      </c>
      <c r="PVP363" s="1648">
        <v>376736.01</v>
      </c>
      <c r="PVQ363" s="1648">
        <v>382165.86499999999</v>
      </c>
      <c r="PVR363" s="1648">
        <v>356897.57900000003</v>
      </c>
      <c r="PVS363" s="635">
        <v>3961904</v>
      </c>
      <c r="PVT363" s="633">
        <f>SUM(PVG363:PVR363)</f>
        <v>3961903.5018060002</v>
      </c>
      <c r="PVU363" s="919" t="s">
        <v>1837</v>
      </c>
      <c r="PVV363" s="1643" t="s">
        <v>1838</v>
      </c>
      <c r="PVW363" s="1648">
        <v>344028.50012699998</v>
      </c>
      <c r="PVX363" s="1648">
        <v>335387.28629100003</v>
      </c>
      <c r="PVY363" s="1648">
        <v>337602.67972299998</v>
      </c>
      <c r="PVZ363" s="1648">
        <v>210440.148116</v>
      </c>
      <c r="PWA363" s="1648">
        <v>330912.82974800002</v>
      </c>
      <c r="PWB363" s="1648">
        <v>321507.96580100001</v>
      </c>
      <c r="PWC363" s="1648">
        <v>310040.96500000003</v>
      </c>
      <c r="PWD363" s="1648">
        <v>306104.158</v>
      </c>
      <c r="PWE363" s="1648">
        <v>350079.51500000001</v>
      </c>
      <c r="PWF363" s="1648">
        <v>376736.01</v>
      </c>
      <c r="PWG363" s="1648">
        <v>382165.86499999999</v>
      </c>
      <c r="PWH363" s="1648">
        <v>356897.57900000003</v>
      </c>
      <c r="PWI363" s="635">
        <v>3961904</v>
      </c>
      <c r="PWJ363" s="633">
        <f>SUM(PVW363:PWH363)</f>
        <v>3961903.5018060002</v>
      </c>
      <c r="PWK363" s="919" t="s">
        <v>1837</v>
      </c>
      <c r="PWL363" s="1643" t="s">
        <v>1838</v>
      </c>
      <c r="PWM363" s="1648">
        <v>344028.50012699998</v>
      </c>
      <c r="PWN363" s="1648">
        <v>335387.28629100003</v>
      </c>
      <c r="PWO363" s="1648">
        <v>337602.67972299998</v>
      </c>
      <c r="PWP363" s="1648">
        <v>210440.148116</v>
      </c>
      <c r="PWQ363" s="1648">
        <v>330912.82974800002</v>
      </c>
      <c r="PWR363" s="1648">
        <v>321507.96580100001</v>
      </c>
      <c r="PWS363" s="1648">
        <v>310040.96500000003</v>
      </c>
      <c r="PWT363" s="1648">
        <v>306104.158</v>
      </c>
      <c r="PWU363" s="1648">
        <v>350079.51500000001</v>
      </c>
      <c r="PWV363" s="1648">
        <v>376736.01</v>
      </c>
      <c r="PWW363" s="1648">
        <v>382165.86499999999</v>
      </c>
      <c r="PWX363" s="1648">
        <v>356897.57900000003</v>
      </c>
      <c r="PWY363" s="635">
        <v>3961904</v>
      </c>
      <c r="PWZ363" s="633">
        <f>SUM(PWM363:PWX363)</f>
        <v>3961903.5018060002</v>
      </c>
      <c r="PXA363" s="919" t="s">
        <v>1837</v>
      </c>
      <c r="PXB363" s="1643" t="s">
        <v>1838</v>
      </c>
      <c r="PXC363" s="1648">
        <v>344028.50012699998</v>
      </c>
      <c r="PXD363" s="1648">
        <v>335387.28629100003</v>
      </c>
      <c r="PXE363" s="1648">
        <v>337602.67972299998</v>
      </c>
      <c r="PXF363" s="1648">
        <v>210440.148116</v>
      </c>
      <c r="PXG363" s="1648">
        <v>330912.82974800002</v>
      </c>
      <c r="PXH363" s="1648">
        <v>321507.96580100001</v>
      </c>
      <c r="PXI363" s="1648">
        <v>310040.96500000003</v>
      </c>
      <c r="PXJ363" s="1648">
        <v>306104.158</v>
      </c>
      <c r="PXK363" s="1648">
        <v>350079.51500000001</v>
      </c>
      <c r="PXL363" s="1648">
        <v>376736.01</v>
      </c>
      <c r="PXM363" s="1648">
        <v>382165.86499999999</v>
      </c>
      <c r="PXN363" s="1648">
        <v>356897.57900000003</v>
      </c>
      <c r="PXO363" s="635">
        <v>3961904</v>
      </c>
      <c r="PXP363" s="633">
        <f>SUM(PXC363:PXN363)</f>
        <v>3961903.5018060002</v>
      </c>
      <c r="PXQ363" s="919" t="s">
        <v>1837</v>
      </c>
      <c r="PXR363" s="1643" t="s">
        <v>1838</v>
      </c>
      <c r="PXS363" s="1648">
        <v>344028.50012699998</v>
      </c>
      <c r="PXT363" s="1648">
        <v>335387.28629100003</v>
      </c>
      <c r="PXU363" s="1648">
        <v>337602.67972299998</v>
      </c>
      <c r="PXV363" s="1648">
        <v>210440.148116</v>
      </c>
      <c r="PXW363" s="1648">
        <v>330912.82974800002</v>
      </c>
      <c r="PXX363" s="1648">
        <v>321507.96580100001</v>
      </c>
      <c r="PXY363" s="1648">
        <v>310040.96500000003</v>
      </c>
      <c r="PXZ363" s="1648">
        <v>306104.158</v>
      </c>
      <c r="PYA363" s="1648">
        <v>350079.51500000001</v>
      </c>
      <c r="PYB363" s="1648">
        <v>376736.01</v>
      </c>
      <c r="PYC363" s="1648">
        <v>382165.86499999999</v>
      </c>
      <c r="PYD363" s="1648">
        <v>356897.57900000003</v>
      </c>
      <c r="PYE363" s="635">
        <v>3961904</v>
      </c>
      <c r="PYF363" s="633">
        <f>SUM(PXS363:PYD363)</f>
        <v>3961903.5018060002</v>
      </c>
      <c r="PYG363" s="919" t="s">
        <v>1837</v>
      </c>
      <c r="PYH363" s="1643" t="s">
        <v>1838</v>
      </c>
      <c r="PYI363" s="1648">
        <v>344028.50012699998</v>
      </c>
      <c r="PYJ363" s="1648">
        <v>335387.28629100003</v>
      </c>
      <c r="PYK363" s="1648">
        <v>337602.67972299998</v>
      </c>
      <c r="PYL363" s="1648">
        <v>210440.148116</v>
      </c>
      <c r="PYM363" s="1648">
        <v>330912.82974800002</v>
      </c>
      <c r="PYN363" s="1648">
        <v>321507.96580100001</v>
      </c>
      <c r="PYO363" s="1648">
        <v>310040.96500000003</v>
      </c>
      <c r="PYP363" s="1648">
        <v>306104.158</v>
      </c>
      <c r="PYQ363" s="1648">
        <v>350079.51500000001</v>
      </c>
      <c r="PYR363" s="1648">
        <v>376736.01</v>
      </c>
      <c r="PYS363" s="1648">
        <v>382165.86499999999</v>
      </c>
      <c r="PYT363" s="1648">
        <v>356897.57900000003</v>
      </c>
      <c r="PYU363" s="635">
        <v>3961904</v>
      </c>
      <c r="PYV363" s="633">
        <f>SUM(PYI363:PYT363)</f>
        <v>3961903.5018060002</v>
      </c>
      <c r="PYW363" s="919" t="s">
        <v>1837</v>
      </c>
      <c r="PYX363" s="1643" t="s">
        <v>1838</v>
      </c>
      <c r="PYY363" s="1648">
        <v>344028.50012699998</v>
      </c>
      <c r="PYZ363" s="1648">
        <v>335387.28629100003</v>
      </c>
      <c r="PZA363" s="1648">
        <v>337602.67972299998</v>
      </c>
      <c r="PZB363" s="1648">
        <v>210440.148116</v>
      </c>
      <c r="PZC363" s="1648">
        <v>330912.82974800002</v>
      </c>
      <c r="PZD363" s="1648">
        <v>321507.96580100001</v>
      </c>
      <c r="PZE363" s="1648">
        <v>310040.96500000003</v>
      </c>
      <c r="PZF363" s="1648">
        <v>306104.158</v>
      </c>
      <c r="PZG363" s="1648">
        <v>350079.51500000001</v>
      </c>
      <c r="PZH363" s="1648">
        <v>376736.01</v>
      </c>
      <c r="PZI363" s="1648">
        <v>382165.86499999999</v>
      </c>
      <c r="PZJ363" s="1648">
        <v>356897.57900000003</v>
      </c>
      <c r="PZK363" s="635">
        <v>3961904</v>
      </c>
      <c r="PZL363" s="633">
        <f>SUM(PYY363:PZJ363)</f>
        <v>3961903.5018060002</v>
      </c>
      <c r="PZM363" s="919" t="s">
        <v>1837</v>
      </c>
      <c r="PZN363" s="1643" t="s">
        <v>1838</v>
      </c>
      <c r="PZO363" s="1648">
        <v>344028.50012699998</v>
      </c>
      <c r="PZP363" s="1648">
        <v>335387.28629100003</v>
      </c>
      <c r="PZQ363" s="1648">
        <v>337602.67972299998</v>
      </c>
      <c r="PZR363" s="1648">
        <v>210440.148116</v>
      </c>
      <c r="PZS363" s="1648">
        <v>330912.82974800002</v>
      </c>
      <c r="PZT363" s="1648">
        <v>321507.96580100001</v>
      </c>
      <c r="PZU363" s="1648">
        <v>310040.96500000003</v>
      </c>
      <c r="PZV363" s="1648">
        <v>306104.158</v>
      </c>
      <c r="PZW363" s="1648">
        <v>350079.51500000001</v>
      </c>
      <c r="PZX363" s="1648">
        <v>376736.01</v>
      </c>
      <c r="PZY363" s="1648">
        <v>382165.86499999999</v>
      </c>
      <c r="PZZ363" s="1648">
        <v>356897.57900000003</v>
      </c>
      <c r="QAA363" s="635">
        <v>3961904</v>
      </c>
      <c r="QAB363" s="633">
        <f>SUM(PZO363:PZZ363)</f>
        <v>3961903.5018060002</v>
      </c>
      <c r="QAC363" s="919" t="s">
        <v>1837</v>
      </c>
      <c r="QAD363" s="1643" t="s">
        <v>1838</v>
      </c>
      <c r="QAE363" s="1648">
        <v>344028.50012699998</v>
      </c>
      <c r="QAF363" s="1648">
        <v>335387.28629100003</v>
      </c>
      <c r="QAG363" s="1648">
        <v>337602.67972299998</v>
      </c>
      <c r="QAH363" s="1648">
        <v>210440.148116</v>
      </c>
      <c r="QAI363" s="1648">
        <v>330912.82974800002</v>
      </c>
      <c r="QAJ363" s="1648">
        <v>321507.96580100001</v>
      </c>
      <c r="QAK363" s="1648">
        <v>310040.96500000003</v>
      </c>
      <c r="QAL363" s="1648">
        <v>306104.158</v>
      </c>
      <c r="QAM363" s="1648">
        <v>350079.51500000001</v>
      </c>
      <c r="QAN363" s="1648">
        <v>376736.01</v>
      </c>
      <c r="QAO363" s="1648">
        <v>382165.86499999999</v>
      </c>
      <c r="QAP363" s="1648">
        <v>356897.57900000003</v>
      </c>
      <c r="QAQ363" s="635">
        <v>3961904</v>
      </c>
      <c r="QAR363" s="633">
        <f>SUM(QAE363:QAP363)</f>
        <v>3961903.5018060002</v>
      </c>
      <c r="QAS363" s="919" t="s">
        <v>1837</v>
      </c>
      <c r="QAT363" s="1643" t="s">
        <v>1838</v>
      </c>
      <c r="QAU363" s="1648">
        <v>344028.50012699998</v>
      </c>
      <c r="QAV363" s="1648">
        <v>335387.28629100003</v>
      </c>
      <c r="QAW363" s="1648">
        <v>337602.67972299998</v>
      </c>
      <c r="QAX363" s="1648">
        <v>210440.148116</v>
      </c>
      <c r="QAY363" s="1648">
        <v>330912.82974800002</v>
      </c>
      <c r="QAZ363" s="1648">
        <v>321507.96580100001</v>
      </c>
      <c r="QBA363" s="1648">
        <v>310040.96500000003</v>
      </c>
      <c r="QBB363" s="1648">
        <v>306104.158</v>
      </c>
      <c r="QBC363" s="1648">
        <v>350079.51500000001</v>
      </c>
      <c r="QBD363" s="1648">
        <v>376736.01</v>
      </c>
      <c r="QBE363" s="1648">
        <v>382165.86499999999</v>
      </c>
      <c r="QBF363" s="1648">
        <v>356897.57900000003</v>
      </c>
      <c r="QBG363" s="635">
        <v>3961904</v>
      </c>
      <c r="QBH363" s="633">
        <f>SUM(QAU363:QBF363)</f>
        <v>3961903.5018060002</v>
      </c>
      <c r="QBI363" s="919" t="s">
        <v>1837</v>
      </c>
      <c r="QBJ363" s="1643" t="s">
        <v>1838</v>
      </c>
      <c r="QBK363" s="1648">
        <v>344028.50012699998</v>
      </c>
      <c r="QBL363" s="1648">
        <v>335387.28629100003</v>
      </c>
      <c r="QBM363" s="1648">
        <v>337602.67972299998</v>
      </c>
      <c r="QBN363" s="1648">
        <v>210440.148116</v>
      </c>
      <c r="QBO363" s="1648">
        <v>330912.82974800002</v>
      </c>
      <c r="QBP363" s="1648">
        <v>321507.96580100001</v>
      </c>
      <c r="QBQ363" s="1648">
        <v>310040.96500000003</v>
      </c>
      <c r="QBR363" s="1648">
        <v>306104.158</v>
      </c>
      <c r="QBS363" s="1648">
        <v>350079.51500000001</v>
      </c>
      <c r="QBT363" s="1648">
        <v>376736.01</v>
      </c>
      <c r="QBU363" s="1648">
        <v>382165.86499999999</v>
      </c>
      <c r="QBV363" s="1648">
        <v>356897.57900000003</v>
      </c>
      <c r="QBW363" s="635">
        <v>3961904</v>
      </c>
      <c r="QBX363" s="633">
        <f>SUM(QBK363:QBV363)</f>
        <v>3961903.5018060002</v>
      </c>
      <c r="QBY363" s="919" t="s">
        <v>1837</v>
      </c>
      <c r="QBZ363" s="1643" t="s">
        <v>1838</v>
      </c>
      <c r="QCA363" s="1648">
        <v>344028.50012699998</v>
      </c>
      <c r="QCB363" s="1648">
        <v>335387.28629100003</v>
      </c>
      <c r="QCC363" s="1648">
        <v>337602.67972299998</v>
      </c>
      <c r="QCD363" s="1648">
        <v>210440.148116</v>
      </c>
      <c r="QCE363" s="1648">
        <v>330912.82974800002</v>
      </c>
      <c r="QCF363" s="1648">
        <v>321507.96580100001</v>
      </c>
      <c r="QCG363" s="1648">
        <v>310040.96500000003</v>
      </c>
      <c r="QCH363" s="1648">
        <v>306104.158</v>
      </c>
      <c r="QCI363" s="1648">
        <v>350079.51500000001</v>
      </c>
      <c r="QCJ363" s="1648">
        <v>376736.01</v>
      </c>
      <c r="QCK363" s="1648">
        <v>382165.86499999999</v>
      </c>
      <c r="QCL363" s="1648">
        <v>356897.57900000003</v>
      </c>
      <c r="QCM363" s="635">
        <v>3961904</v>
      </c>
      <c r="QCN363" s="633">
        <f>SUM(QCA363:QCL363)</f>
        <v>3961903.5018060002</v>
      </c>
      <c r="QCO363" s="919" t="s">
        <v>1837</v>
      </c>
      <c r="QCP363" s="1643" t="s">
        <v>1838</v>
      </c>
      <c r="QCQ363" s="1648">
        <v>344028.50012699998</v>
      </c>
      <c r="QCR363" s="1648">
        <v>335387.28629100003</v>
      </c>
      <c r="QCS363" s="1648">
        <v>337602.67972299998</v>
      </c>
      <c r="QCT363" s="1648">
        <v>210440.148116</v>
      </c>
      <c r="QCU363" s="1648">
        <v>330912.82974800002</v>
      </c>
      <c r="QCV363" s="1648">
        <v>321507.96580100001</v>
      </c>
      <c r="QCW363" s="1648">
        <v>310040.96500000003</v>
      </c>
      <c r="QCX363" s="1648">
        <v>306104.158</v>
      </c>
      <c r="QCY363" s="1648">
        <v>350079.51500000001</v>
      </c>
      <c r="QCZ363" s="1648">
        <v>376736.01</v>
      </c>
      <c r="QDA363" s="1648">
        <v>382165.86499999999</v>
      </c>
      <c r="QDB363" s="1648">
        <v>356897.57900000003</v>
      </c>
      <c r="QDC363" s="635">
        <v>3961904</v>
      </c>
      <c r="QDD363" s="633">
        <f>SUM(QCQ363:QDB363)</f>
        <v>3961903.5018060002</v>
      </c>
      <c r="QDE363" s="919" t="s">
        <v>1837</v>
      </c>
      <c r="QDF363" s="1643" t="s">
        <v>1838</v>
      </c>
      <c r="QDG363" s="1648">
        <v>344028.50012699998</v>
      </c>
      <c r="QDH363" s="1648">
        <v>335387.28629100003</v>
      </c>
      <c r="QDI363" s="1648">
        <v>337602.67972299998</v>
      </c>
      <c r="QDJ363" s="1648">
        <v>210440.148116</v>
      </c>
      <c r="QDK363" s="1648">
        <v>330912.82974800002</v>
      </c>
      <c r="QDL363" s="1648">
        <v>321507.96580100001</v>
      </c>
      <c r="QDM363" s="1648">
        <v>310040.96500000003</v>
      </c>
      <c r="QDN363" s="1648">
        <v>306104.158</v>
      </c>
      <c r="QDO363" s="1648">
        <v>350079.51500000001</v>
      </c>
      <c r="QDP363" s="1648">
        <v>376736.01</v>
      </c>
      <c r="QDQ363" s="1648">
        <v>382165.86499999999</v>
      </c>
      <c r="QDR363" s="1648">
        <v>356897.57900000003</v>
      </c>
      <c r="QDS363" s="635">
        <v>3961904</v>
      </c>
      <c r="QDT363" s="633">
        <f>SUM(QDG363:QDR363)</f>
        <v>3961903.5018060002</v>
      </c>
      <c r="QDU363" s="919" t="s">
        <v>1837</v>
      </c>
      <c r="QDV363" s="1643" t="s">
        <v>1838</v>
      </c>
      <c r="QDW363" s="1648">
        <v>344028.50012699998</v>
      </c>
      <c r="QDX363" s="1648">
        <v>335387.28629100003</v>
      </c>
      <c r="QDY363" s="1648">
        <v>337602.67972299998</v>
      </c>
      <c r="QDZ363" s="1648">
        <v>210440.148116</v>
      </c>
      <c r="QEA363" s="1648">
        <v>330912.82974800002</v>
      </c>
      <c r="QEB363" s="1648">
        <v>321507.96580100001</v>
      </c>
      <c r="QEC363" s="1648">
        <v>310040.96500000003</v>
      </c>
      <c r="QED363" s="1648">
        <v>306104.158</v>
      </c>
      <c r="QEE363" s="1648">
        <v>350079.51500000001</v>
      </c>
      <c r="QEF363" s="1648">
        <v>376736.01</v>
      </c>
      <c r="QEG363" s="1648">
        <v>382165.86499999999</v>
      </c>
      <c r="QEH363" s="1648">
        <v>356897.57900000003</v>
      </c>
      <c r="QEI363" s="635">
        <v>3961904</v>
      </c>
      <c r="QEJ363" s="633">
        <f>SUM(QDW363:QEH363)</f>
        <v>3961903.5018060002</v>
      </c>
      <c r="QEK363" s="919" t="s">
        <v>1837</v>
      </c>
      <c r="QEL363" s="1643" t="s">
        <v>1838</v>
      </c>
      <c r="QEM363" s="1648">
        <v>344028.50012699998</v>
      </c>
      <c r="QEN363" s="1648">
        <v>335387.28629100003</v>
      </c>
      <c r="QEO363" s="1648">
        <v>337602.67972299998</v>
      </c>
      <c r="QEP363" s="1648">
        <v>210440.148116</v>
      </c>
      <c r="QEQ363" s="1648">
        <v>330912.82974800002</v>
      </c>
      <c r="QER363" s="1648">
        <v>321507.96580100001</v>
      </c>
      <c r="QES363" s="1648">
        <v>310040.96500000003</v>
      </c>
      <c r="QET363" s="1648">
        <v>306104.158</v>
      </c>
      <c r="QEU363" s="1648">
        <v>350079.51500000001</v>
      </c>
      <c r="QEV363" s="1648">
        <v>376736.01</v>
      </c>
      <c r="QEW363" s="1648">
        <v>382165.86499999999</v>
      </c>
      <c r="QEX363" s="1648">
        <v>356897.57900000003</v>
      </c>
      <c r="QEY363" s="635">
        <v>3961904</v>
      </c>
      <c r="QEZ363" s="633">
        <f>SUM(QEM363:QEX363)</f>
        <v>3961903.5018060002</v>
      </c>
      <c r="QFA363" s="919" t="s">
        <v>1837</v>
      </c>
      <c r="QFB363" s="1643" t="s">
        <v>1838</v>
      </c>
      <c r="QFC363" s="1648">
        <v>344028.50012699998</v>
      </c>
      <c r="QFD363" s="1648">
        <v>335387.28629100003</v>
      </c>
      <c r="QFE363" s="1648">
        <v>337602.67972299998</v>
      </c>
      <c r="QFF363" s="1648">
        <v>210440.148116</v>
      </c>
      <c r="QFG363" s="1648">
        <v>330912.82974800002</v>
      </c>
      <c r="QFH363" s="1648">
        <v>321507.96580100001</v>
      </c>
      <c r="QFI363" s="1648">
        <v>310040.96500000003</v>
      </c>
      <c r="QFJ363" s="1648">
        <v>306104.158</v>
      </c>
      <c r="QFK363" s="1648">
        <v>350079.51500000001</v>
      </c>
      <c r="QFL363" s="1648">
        <v>376736.01</v>
      </c>
      <c r="QFM363" s="1648">
        <v>382165.86499999999</v>
      </c>
      <c r="QFN363" s="1648">
        <v>356897.57900000003</v>
      </c>
      <c r="QFO363" s="635">
        <v>3961904</v>
      </c>
      <c r="QFP363" s="633">
        <f>SUM(QFC363:QFN363)</f>
        <v>3961903.5018060002</v>
      </c>
      <c r="QFQ363" s="919" t="s">
        <v>1837</v>
      </c>
      <c r="QFR363" s="1643" t="s">
        <v>1838</v>
      </c>
      <c r="QFS363" s="1648">
        <v>344028.50012699998</v>
      </c>
      <c r="QFT363" s="1648">
        <v>335387.28629100003</v>
      </c>
      <c r="QFU363" s="1648">
        <v>337602.67972299998</v>
      </c>
      <c r="QFV363" s="1648">
        <v>210440.148116</v>
      </c>
      <c r="QFW363" s="1648">
        <v>330912.82974800002</v>
      </c>
      <c r="QFX363" s="1648">
        <v>321507.96580100001</v>
      </c>
      <c r="QFY363" s="1648">
        <v>310040.96500000003</v>
      </c>
      <c r="QFZ363" s="1648">
        <v>306104.158</v>
      </c>
      <c r="QGA363" s="1648">
        <v>350079.51500000001</v>
      </c>
      <c r="QGB363" s="1648">
        <v>376736.01</v>
      </c>
      <c r="QGC363" s="1648">
        <v>382165.86499999999</v>
      </c>
      <c r="QGD363" s="1648">
        <v>356897.57900000003</v>
      </c>
      <c r="QGE363" s="635">
        <v>3961904</v>
      </c>
      <c r="QGF363" s="633">
        <f>SUM(QFS363:QGD363)</f>
        <v>3961903.5018060002</v>
      </c>
      <c r="QGG363" s="919" t="s">
        <v>1837</v>
      </c>
      <c r="QGH363" s="1643" t="s">
        <v>1838</v>
      </c>
      <c r="QGI363" s="1648">
        <v>344028.50012699998</v>
      </c>
      <c r="QGJ363" s="1648">
        <v>335387.28629100003</v>
      </c>
      <c r="QGK363" s="1648">
        <v>337602.67972299998</v>
      </c>
      <c r="QGL363" s="1648">
        <v>210440.148116</v>
      </c>
      <c r="QGM363" s="1648">
        <v>330912.82974800002</v>
      </c>
      <c r="QGN363" s="1648">
        <v>321507.96580100001</v>
      </c>
      <c r="QGO363" s="1648">
        <v>310040.96500000003</v>
      </c>
      <c r="QGP363" s="1648">
        <v>306104.158</v>
      </c>
      <c r="QGQ363" s="1648">
        <v>350079.51500000001</v>
      </c>
      <c r="QGR363" s="1648">
        <v>376736.01</v>
      </c>
      <c r="QGS363" s="1648">
        <v>382165.86499999999</v>
      </c>
      <c r="QGT363" s="1648">
        <v>356897.57900000003</v>
      </c>
      <c r="QGU363" s="635">
        <v>3961904</v>
      </c>
      <c r="QGV363" s="633">
        <f>SUM(QGI363:QGT363)</f>
        <v>3961903.5018060002</v>
      </c>
      <c r="QGW363" s="919" t="s">
        <v>1837</v>
      </c>
      <c r="QGX363" s="1643" t="s">
        <v>1838</v>
      </c>
      <c r="QGY363" s="1648">
        <v>344028.50012699998</v>
      </c>
      <c r="QGZ363" s="1648">
        <v>335387.28629100003</v>
      </c>
      <c r="QHA363" s="1648">
        <v>337602.67972299998</v>
      </c>
      <c r="QHB363" s="1648">
        <v>210440.148116</v>
      </c>
      <c r="QHC363" s="1648">
        <v>330912.82974800002</v>
      </c>
      <c r="QHD363" s="1648">
        <v>321507.96580100001</v>
      </c>
      <c r="QHE363" s="1648">
        <v>310040.96500000003</v>
      </c>
      <c r="QHF363" s="1648">
        <v>306104.158</v>
      </c>
      <c r="QHG363" s="1648">
        <v>350079.51500000001</v>
      </c>
      <c r="QHH363" s="1648">
        <v>376736.01</v>
      </c>
      <c r="QHI363" s="1648">
        <v>382165.86499999999</v>
      </c>
      <c r="QHJ363" s="1648">
        <v>356897.57900000003</v>
      </c>
      <c r="QHK363" s="635">
        <v>3961904</v>
      </c>
      <c r="QHL363" s="633">
        <f>SUM(QGY363:QHJ363)</f>
        <v>3961903.5018060002</v>
      </c>
      <c r="QHM363" s="919" t="s">
        <v>1837</v>
      </c>
      <c r="QHN363" s="1643" t="s">
        <v>1838</v>
      </c>
      <c r="QHO363" s="1648">
        <v>344028.50012699998</v>
      </c>
      <c r="QHP363" s="1648">
        <v>335387.28629100003</v>
      </c>
      <c r="QHQ363" s="1648">
        <v>337602.67972299998</v>
      </c>
      <c r="QHR363" s="1648">
        <v>210440.148116</v>
      </c>
      <c r="QHS363" s="1648">
        <v>330912.82974800002</v>
      </c>
      <c r="QHT363" s="1648">
        <v>321507.96580100001</v>
      </c>
      <c r="QHU363" s="1648">
        <v>310040.96500000003</v>
      </c>
      <c r="QHV363" s="1648">
        <v>306104.158</v>
      </c>
      <c r="QHW363" s="1648">
        <v>350079.51500000001</v>
      </c>
      <c r="QHX363" s="1648">
        <v>376736.01</v>
      </c>
      <c r="QHY363" s="1648">
        <v>382165.86499999999</v>
      </c>
      <c r="QHZ363" s="1648">
        <v>356897.57900000003</v>
      </c>
      <c r="QIA363" s="635">
        <v>3961904</v>
      </c>
      <c r="QIB363" s="633">
        <f>SUM(QHO363:QHZ363)</f>
        <v>3961903.5018060002</v>
      </c>
      <c r="QIC363" s="919" t="s">
        <v>1837</v>
      </c>
      <c r="QID363" s="1643" t="s">
        <v>1838</v>
      </c>
      <c r="QIE363" s="1648">
        <v>344028.50012699998</v>
      </c>
      <c r="QIF363" s="1648">
        <v>335387.28629100003</v>
      </c>
      <c r="QIG363" s="1648">
        <v>337602.67972299998</v>
      </c>
      <c r="QIH363" s="1648">
        <v>210440.148116</v>
      </c>
      <c r="QII363" s="1648">
        <v>330912.82974800002</v>
      </c>
      <c r="QIJ363" s="1648">
        <v>321507.96580100001</v>
      </c>
      <c r="QIK363" s="1648">
        <v>310040.96500000003</v>
      </c>
      <c r="QIL363" s="1648">
        <v>306104.158</v>
      </c>
      <c r="QIM363" s="1648">
        <v>350079.51500000001</v>
      </c>
      <c r="QIN363" s="1648">
        <v>376736.01</v>
      </c>
      <c r="QIO363" s="1648">
        <v>382165.86499999999</v>
      </c>
      <c r="QIP363" s="1648">
        <v>356897.57900000003</v>
      </c>
      <c r="QIQ363" s="635">
        <v>3961904</v>
      </c>
      <c r="QIR363" s="633">
        <f>SUM(QIE363:QIP363)</f>
        <v>3961903.5018060002</v>
      </c>
      <c r="QIS363" s="919" t="s">
        <v>1837</v>
      </c>
      <c r="QIT363" s="1643" t="s">
        <v>1838</v>
      </c>
      <c r="QIU363" s="1648">
        <v>344028.50012699998</v>
      </c>
      <c r="QIV363" s="1648">
        <v>335387.28629100003</v>
      </c>
      <c r="QIW363" s="1648">
        <v>337602.67972299998</v>
      </c>
      <c r="QIX363" s="1648">
        <v>210440.148116</v>
      </c>
      <c r="QIY363" s="1648">
        <v>330912.82974800002</v>
      </c>
      <c r="QIZ363" s="1648">
        <v>321507.96580100001</v>
      </c>
      <c r="QJA363" s="1648">
        <v>310040.96500000003</v>
      </c>
      <c r="QJB363" s="1648">
        <v>306104.158</v>
      </c>
      <c r="QJC363" s="1648">
        <v>350079.51500000001</v>
      </c>
      <c r="QJD363" s="1648">
        <v>376736.01</v>
      </c>
      <c r="QJE363" s="1648">
        <v>382165.86499999999</v>
      </c>
      <c r="QJF363" s="1648">
        <v>356897.57900000003</v>
      </c>
      <c r="QJG363" s="635">
        <v>3961904</v>
      </c>
      <c r="QJH363" s="633">
        <f>SUM(QIU363:QJF363)</f>
        <v>3961903.5018060002</v>
      </c>
      <c r="QJI363" s="919" t="s">
        <v>1837</v>
      </c>
      <c r="QJJ363" s="1643" t="s">
        <v>1838</v>
      </c>
      <c r="QJK363" s="1648">
        <v>344028.50012699998</v>
      </c>
      <c r="QJL363" s="1648">
        <v>335387.28629100003</v>
      </c>
      <c r="QJM363" s="1648">
        <v>337602.67972299998</v>
      </c>
      <c r="QJN363" s="1648">
        <v>210440.148116</v>
      </c>
      <c r="QJO363" s="1648">
        <v>330912.82974800002</v>
      </c>
      <c r="QJP363" s="1648">
        <v>321507.96580100001</v>
      </c>
      <c r="QJQ363" s="1648">
        <v>310040.96500000003</v>
      </c>
      <c r="QJR363" s="1648">
        <v>306104.158</v>
      </c>
      <c r="QJS363" s="1648">
        <v>350079.51500000001</v>
      </c>
      <c r="QJT363" s="1648">
        <v>376736.01</v>
      </c>
      <c r="QJU363" s="1648">
        <v>382165.86499999999</v>
      </c>
      <c r="QJV363" s="1648">
        <v>356897.57900000003</v>
      </c>
      <c r="QJW363" s="635">
        <v>3961904</v>
      </c>
      <c r="QJX363" s="633">
        <f>SUM(QJK363:QJV363)</f>
        <v>3961903.5018060002</v>
      </c>
      <c r="QJY363" s="919" t="s">
        <v>1837</v>
      </c>
      <c r="QJZ363" s="1643" t="s">
        <v>1838</v>
      </c>
      <c r="QKA363" s="1648">
        <v>344028.50012699998</v>
      </c>
      <c r="QKB363" s="1648">
        <v>335387.28629100003</v>
      </c>
      <c r="QKC363" s="1648">
        <v>337602.67972299998</v>
      </c>
      <c r="QKD363" s="1648">
        <v>210440.148116</v>
      </c>
      <c r="QKE363" s="1648">
        <v>330912.82974800002</v>
      </c>
      <c r="QKF363" s="1648">
        <v>321507.96580100001</v>
      </c>
      <c r="QKG363" s="1648">
        <v>310040.96500000003</v>
      </c>
      <c r="QKH363" s="1648">
        <v>306104.158</v>
      </c>
      <c r="QKI363" s="1648">
        <v>350079.51500000001</v>
      </c>
      <c r="QKJ363" s="1648">
        <v>376736.01</v>
      </c>
      <c r="QKK363" s="1648">
        <v>382165.86499999999</v>
      </c>
      <c r="QKL363" s="1648">
        <v>356897.57900000003</v>
      </c>
      <c r="QKM363" s="635">
        <v>3961904</v>
      </c>
      <c r="QKN363" s="633">
        <f>SUM(QKA363:QKL363)</f>
        <v>3961903.5018060002</v>
      </c>
      <c r="QKO363" s="919" t="s">
        <v>1837</v>
      </c>
      <c r="QKP363" s="1643" t="s">
        <v>1838</v>
      </c>
      <c r="QKQ363" s="1648">
        <v>344028.50012699998</v>
      </c>
      <c r="QKR363" s="1648">
        <v>335387.28629100003</v>
      </c>
      <c r="QKS363" s="1648">
        <v>337602.67972299998</v>
      </c>
      <c r="QKT363" s="1648">
        <v>210440.148116</v>
      </c>
      <c r="QKU363" s="1648">
        <v>330912.82974800002</v>
      </c>
      <c r="QKV363" s="1648">
        <v>321507.96580100001</v>
      </c>
      <c r="QKW363" s="1648">
        <v>310040.96500000003</v>
      </c>
      <c r="QKX363" s="1648">
        <v>306104.158</v>
      </c>
      <c r="QKY363" s="1648">
        <v>350079.51500000001</v>
      </c>
      <c r="QKZ363" s="1648">
        <v>376736.01</v>
      </c>
      <c r="QLA363" s="1648">
        <v>382165.86499999999</v>
      </c>
      <c r="QLB363" s="1648">
        <v>356897.57900000003</v>
      </c>
      <c r="QLC363" s="635">
        <v>3961904</v>
      </c>
      <c r="QLD363" s="633">
        <f>SUM(QKQ363:QLB363)</f>
        <v>3961903.5018060002</v>
      </c>
      <c r="QLE363" s="919" t="s">
        <v>1837</v>
      </c>
      <c r="QLF363" s="1643" t="s">
        <v>1838</v>
      </c>
      <c r="QLG363" s="1648">
        <v>344028.50012699998</v>
      </c>
      <c r="QLH363" s="1648">
        <v>335387.28629100003</v>
      </c>
      <c r="QLI363" s="1648">
        <v>337602.67972299998</v>
      </c>
      <c r="QLJ363" s="1648">
        <v>210440.148116</v>
      </c>
      <c r="QLK363" s="1648">
        <v>330912.82974800002</v>
      </c>
      <c r="QLL363" s="1648">
        <v>321507.96580100001</v>
      </c>
      <c r="QLM363" s="1648">
        <v>310040.96500000003</v>
      </c>
      <c r="QLN363" s="1648">
        <v>306104.158</v>
      </c>
      <c r="QLO363" s="1648">
        <v>350079.51500000001</v>
      </c>
      <c r="QLP363" s="1648">
        <v>376736.01</v>
      </c>
      <c r="QLQ363" s="1648">
        <v>382165.86499999999</v>
      </c>
      <c r="QLR363" s="1648">
        <v>356897.57900000003</v>
      </c>
      <c r="QLS363" s="635">
        <v>3961904</v>
      </c>
      <c r="QLT363" s="633">
        <f>SUM(QLG363:QLR363)</f>
        <v>3961903.5018060002</v>
      </c>
      <c r="QLU363" s="919" t="s">
        <v>1837</v>
      </c>
      <c r="QLV363" s="1643" t="s">
        <v>1838</v>
      </c>
      <c r="QLW363" s="1648">
        <v>344028.50012699998</v>
      </c>
      <c r="QLX363" s="1648">
        <v>335387.28629100003</v>
      </c>
      <c r="QLY363" s="1648">
        <v>337602.67972299998</v>
      </c>
      <c r="QLZ363" s="1648">
        <v>210440.148116</v>
      </c>
      <c r="QMA363" s="1648">
        <v>330912.82974800002</v>
      </c>
      <c r="QMB363" s="1648">
        <v>321507.96580100001</v>
      </c>
      <c r="QMC363" s="1648">
        <v>310040.96500000003</v>
      </c>
      <c r="QMD363" s="1648">
        <v>306104.158</v>
      </c>
      <c r="QME363" s="1648">
        <v>350079.51500000001</v>
      </c>
      <c r="QMF363" s="1648">
        <v>376736.01</v>
      </c>
      <c r="QMG363" s="1648">
        <v>382165.86499999999</v>
      </c>
      <c r="QMH363" s="1648">
        <v>356897.57900000003</v>
      </c>
      <c r="QMI363" s="635">
        <v>3961904</v>
      </c>
      <c r="QMJ363" s="633">
        <f>SUM(QLW363:QMH363)</f>
        <v>3961903.5018060002</v>
      </c>
      <c r="QMK363" s="919" t="s">
        <v>1837</v>
      </c>
      <c r="QML363" s="1643" t="s">
        <v>1838</v>
      </c>
      <c r="QMM363" s="1648">
        <v>344028.50012699998</v>
      </c>
      <c r="QMN363" s="1648">
        <v>335387.28629100003</v>
      </c>
      <c r="QMO363" s="1648">
        <v>337602.67972299998</v>
      </c>
      <c r="QMP363" s="1648">
        <v>210440.148116</v>
      </c>
      <c r="QMQ363" s="1648">
        <v>330912.82974800002</v>
      </c>
      <c r="QMR363" s="1648">
        <v>321507.96580100001</v>
      </c>
      <c r="QMS363" s="1648">
        <v>310040.96500000003</v>
      </c>
      <c r="QMT363" s="1648">
        <v>306104.158</v>
      </c>
      <c r="QMU363" s="1648">
        <v>350079.51500000001</v>
      </c>
      <c r="QMV363" s="1648">
        <v>376736.01</v>
      </c>
      <c r="QMW363" s="1648">
        <v>382165.86499999999</v>
      </c>
      <c r="QMX363" s="1648">
        <v>356897.57900000003</v>
      </c>
      <c r="QMY363" s="635">
        <v>3961904</v>
      </c>
      <c r="QMZ363" s="633">
        <f>SUM(QMM363:QMX363)</f>
        <v>3961903.5018060002</v>
      </c>
      <c r="QNA363" s="919" t="s">
        <v>1837</v>
      </c>
      <c r="QNB363" s="1643" t="s">
        <v>1838</v>
      </c>
      <c r="QNC363" s="1648">
        <v>344028.50012699998</v>
      </c>
      <c r="QND363" s="1648">
        <v>335387.28629100003</v>
      </c>
      <c r="QNE363" s="1648">
        <v>337602.67972299998</v>
      </c>
      <c r="QNF363" s="1648">
        <v>210440.148116</v>
      </c>
      <c r="QNG363" s="1648">
        <v>330912.82974800002</v>
      </c>
      <c r="QNH363" s="1648">
        <v>321507.96580100001</v>
      </c>
      <c r="QNI363" s="1648">
        <v>310040.96500000003</v>
      </c>
      <c r="QNJ363" s="1648">
        <v>306104.158</v>
      </c>
      <c r="QNK363" s="1648">
        <v>350079.51500000001</v>
      </c>
      <c r="QNL363" s="1648">
        <v>376736.01</v>
      </c>
      <c r="QNM363" s="1648">
        <v>382165.86499999999</v>
      </c>
      <c r="QNN363" s="1648">
        <v>356897.57900000003</v>
      </c>
      <c r="QNO363" s="635">
        <v>3961904</v>
      </c>
      <c r="QNP363" s="633">
        <f>SUM(QNC363:QNN363)</f>
        <v>3961903.5018060002</v>
      </c>
      <c r="QNQ363" s="919" t="s">
        <v>1837</v>
      </c>
      <c r="QNR363" s="1643" t="s">
        <v>1838</v>
      </c>
      <c r="QNS363" s="1648">
        <v>344028.50012699998</v>
      </c>
      <c r="QNT363" s="1648">
        <v>335387.28629100003</v>
      </c>
      <c r="QNU363" s="1648">
        <v>337602.67972299998</v>
      </c>
      <c r="QNV363" s="1648">
        <v>210440.148116</v>
      </c>
      <c r="QNW363" s="1648">
        <v>330912.82974800002</v>
      </c>
      <c r="QNX363" s="1648">
        <v>321507.96580100001</v>
      </c>
      <c r="QNY363" s="1648">
        <v>310040.96500000003</v>
      </c>
      <c r="QNZ363" s="1648">
        <v>306104.158</v>
      </c>
      <c r="QOA363" s="1648">
        <v>350079.51500000001</v>
      </c>
      <c r="QOB363" s="1648">
        <v>376736.01</v>
      </c>
      <c r="QOC363" s="1648">
        <v>382165.86499999999</v>
      </c>
      <c r="QOD363" s="1648">
        <v>356897.57900000003</v>
      </c>
      <c r="QOE363" s="635">
        <v>3961904</v>
      </c>
      <c r="QOF363" s="633">
        <f>SUM(QNS363:QOD363)</f>
        <v>3961903.5018060002</v>
      </c>
      <c r="QOG363" s="919" t="s">
        <v>1837</v>
      </c>
      <c r="QOH363" s="1643" t="s">
        <v>1838</v>
      </c>
      <c r="QOI363" s="1648">
        <v>344028.50012699998</v>
      </c>
      <c r="QOJ363" s="1648">
        <v>335387.28629100003</v>
      </c>
      <c r="QOK363" s="1648">
        <v>337602.67972299998</v>
      </c>
      <c r="QOL363" s="1648">
        <v>210440.148116</v>
      </c>
      <c r="QOM363" s="1648">
        <v>330912.82974800002</v>
      </c>
      <c r="QON363" s="1648">
        <v>321507.96580100001</v>
      </c>
      <c r="QOO363" s="1648">
        <v>310040.96500000003</v>
      </c>
      <c r="QOP363" s="1648">
        <v>306104.158</v>
      </c>
      <c r="QOQ363" s="1648">
        <v>350079.51500000001</v>
      </c>
      <c r="QOR363" s="1648">
        <v>376736.01</v>
      </c>
      <c r="QOS363" s="1648">
        <v>382165.86499999999</v>
      </c>
      <c r="QOT363" s="1648">
        <v>356897.57900000003</v>
      </c>
      <c r="QOU363" s="635">
        <v>3961904</v>
      </c>
      <c r="QOV363" s="633">
        <f>SUM(QOI363:QOT363)</f>
        <v>3961903.5018060002</v>
      </c>
      <c r="QOW363" s="919" t="s">
        <v>1837</v>
      </c>
      <c r="QOX363" s="1643" t="s">
        <v>1838</v>
      </c>
      <c r="QOY363" s="1648">
        <v>344028.50012699998</v>
      </c>
      <c r="QOZ363" s="1648">
        <v>335387.28629100003</v>
      </c>
      <c r="QPA363" s="1648">
        <v>337602.67972299998</v>
      </c>
      <c r="QPB363" s="1648">
        <v>210440.148116</v>
      </c>
      <c r="QPC363" s="1648">
        <v>330912.82974800002</v>
      </c>
      <c r="QPD363" s="1648">
        <v>321507.96580100001</v>
      </c>
      <c r="QPE363" s="1648">
        <v>310040.96500000003</v>
      </c>
      <c r="QPF363" s="1648">
        <v>306104.158</v>
      </c>
      <c r="QPG363" s="1648">
        <v>350079.51500000001</v>
      </c>
      <c r="QPH363" s="1648">
        <v>376736.01</v>
      </c>
      <c r="QPI363" s="1648">
        <v>382165.86499999999</v>
      </c>
      <c r="QPJ363" s="1648">
        <v>356897.57900000003</v>
      </c>
      <c r="QPK363" s="635">
        <v>3961904</v>
      </c>
      <c r="QPL363" s="633">
        <f>SUM(QOY363:QPJ363)</f>
        <v>3961903.5018060002</v>
      </c>
      <c r="QPM363" s="919" t="s">
        <v>1837</v>
      </c>
      <c r="QPN363" s="1643" t="s">
        <v>1838</v>
      </c>
      <c r="QPO363" s="1648">
        <v>344028.50012699998</v>
      </c>
      <c r="QPP363" s="1648">
        <v>335387.28629100003</v>
      </c>
      <c r="QPQ363" s="1648">
        <v>337602.67972299998</v>
      </c>
      <c r="QPR363" s="1648">
        <v>210440.148116</v>
      </c>
      <c r="QPS363" s="1648">
        <v>330912.82974800002</v>
      </c>
      <c r="QPT363" s="1648">
        <v>321507.96580100001</v>
      </c>
      <c r="QPU363" s="1648">
        <v>310040.96500000003</v>
      </c>
      <c r="QPV363" s="1648">
        <v>306104.158</v>
      </c>
      <c r="QPW363" s="1648">
        <v>350079.51500000001</v>
      </c>
      <c r="QPX363" s="1648">
        <v>376736.01</v>
      </c>
      <c r="QPY363" s="1648">
        <v>382165.86499999999</v>
      </c>
      <c r="QPZ363" s="1648">
        <v>356897.57900000003</v>
      </c>
      <c r="QQA363" s="635">
        <v>3961904</v>
      </c>
      <c r="QQB363" s="633">
        <f>SUM(QPO363:QPZ363)</f>
        <v>3961903.5018060002</v>
      </c>
      <c r="QQC363" s="919" t="s">
        <v>1837</v>
      </c>
      <c r="QQD363" s="1643" t="s">
        <v>1838</v>
      </c>
      <c r="QQE363" s="1648">
        <v>344028.50012699998</v>
      </c>
      <c r="QQF363" s="1648">
        <v>335387.28629100003</v>
      </c>
      <c r="QQG363" s="1648">
        <v>337602.67972299998</v>
      </c>
      <c r="QQH363" s="1648">
        <v>210440.148116</v>
      </c>
      <c r="QQI363" s="1648">
        <v>330912.82974800002</v>
      </c>
      <c r="QQJ363" s="1648">
        <v>321507.96580100001</v>
      </c>
      <c r="QQK363" s="1648">
        <v>310040.96500000003</v>
      </c>
      <c r="QQL363" s="1648">
        <v>306104.158</v>
      </c>
      <c r="QQM363" s="1648">
        <v>350079.51500000001</v>
      </c>
      <c r="QQN363" s="1648">
        <v>376736.01</v>
      </c>
      <c r="QQO363" s="1648">
        <v>382165.86499999999</v>
      </c>
      <c r="QQP363" s="1648">
        <v>356897.57900000003</v>
      </c>
      <c r="QQQ363" s="635">
        <v>3961904</v>
      </c>
      <c r="QQR363" s="633">
        <f>SUM(QQE363:QQP363)</f>
        <v>3961903.5018060002</v>
      </c>
      <c r="QQS363" s="919" t="s">
        <v>1837</v>
      </c>
      <c r="QQT363" s="1643" t="s">
        <v>1838</v>
      </c>
      <c r="QQU363" s="1648">
        <v>344028.50012699998</v>
      </c>
      <c r="QQV363" s="1648">
        <v>335387.28629100003</v>
      </c>
      <c r="QQW363" s="1648">
        <v>337602.67972299998</v>
      </c>
      <c r="QQX363" s="1648">
        <v>210440.148116</v>
      </c>
      <c r="QQY363" s="1648">
        <v>330912.82974800002</v>
      </c>
      <c r="QQZ363" s="1648">
        <v>321507.96580100001</v>
      </c>
      <c r="QRA363" s="1648">
        <v>310040.96500000003</v>
      </c>
      <c r="QRB363" s="1648">
        <v>306104.158</v>
      </c>
      <c r="QRC363" s="1648">
        <v>350079.51500000001</v>
      </c>
      <c r="QRD363" s="1648">
        <v>376736.01</v>
      </c>
      <c r="QRE363" s="1648">
        <v>382165.86499999999</v>
      </c>
      <c r="QRF363" s="1648">
        <v>356897.57900000003</v>
      </c>
      <c r="QRG363" s="635">
        <v>3961904</v>
      </c>
      <c r="QRH363" s="633">
        <f>SUM(QQU363:QRF363)</f>
        <v>3961903.5018060002</v>
      </c>
      <c r="QRI363" s="919" t="s">
        <v>1837</v>
      </c>
      <c r="QRJ363" s="1643" t="s">
        <v>1838</v>
      </c>
      <c r="QRK363" s="1648">
        <v>344028.50012699998</v>
      </c>
      <c r="QRL363" s="1648">
        <v>335387.28629100003</v>
      </c>
      <c r="QRM363" s="1648">
        <v>337602.67972299998</v>
      </c>
      <c r="QRN363" s="1648">
        <v>210440.148116</v>
      </c>
      <c r="QRO363" s="1648">
        <v>330912.82974800002</v>
      </c>
      <c r="QRP363" s="1648">
        <v>321507.96580100001</v>
      </c>
      <c r="QRQ363" s="1648">
        <v>310040.96500000003</v>
      </c>
      <c r="QRR363" s="1648">
        <v>306104.158</v>
      </c>
      <c r="QRS363" s="1648">
        <v>350079.51500000001</v>
      </c>
      <c r="QRT363" s="1648">
        <v>376736.01</v>
      </c>
      <c r="QRU363" s="1648">
        <v>382165.86499999999</v>
      </c>
      <c r="QRV363" s="1648">
        <v>356897.57900000003</v>
      </c>
      <c r="QRW363" s="635">
        <v>3961904</v>
      </c>
      <c r="QRX363" s="633">
        <f>SUM(QRK363:QRV363)</f>
        <v>3961903.5018060002</v>
      </c>
      <c r="QRY363" s="919" t="s">
        <v>1837</v>
      </c>
      <c r="QRZ363" s="1643" t="s">
        <v>1838</v>
      </c>
      <c r="QSA363" s="1648">
        <v>344028.50012699998</v>
      </c>
      <c r="QSB363" s="1648">
        <v>335387.28629100003</v>
      </c>
      <c r="QSC363" s="1648">
        <v>337602.67972299998</v>
      </c>
      <c r="QSD363" s="1648">
        <v>210440.148116</v>
      </c>
      <c r="QSE363" s="1648">
        <v>330912.82974800002</v>
      </c>
      <c r="QSF363" s="1648">
        <v>321507.96580100001</v>
      </c>
      <c r="QSG363" s="1648">
        <v>310040.96500000003</v>
      </c>
      <c r="QSH363" s="1648">
        <v>306104.158</v>
      </c>
      <c r="QSI363" s="1648">
        <v>350079.51500000001</v>
      </c>
      <c r="QSJ363" s="1648">
        <v>376736.01</v>
      </c>
      <c r="QSK363" s="1648">
        <v>382165.86499999999</v>
      </c>
      <c r="QSL363" s="1648">
        <v>356897.57900000003</v>
      </c>
      <c r="QSM363" s="635">
        <v>3961904</v>
      </c>
      <c r="QSN363" s="633">
        <f>SUM(QSA363:QSL363)</f>
        <v>3961903.5018060002</v>
      </c>
      <c r="QSO363" s="919" t="s">
        <v>1837</v>
      </c>
      <c r="QSP363" s="1643" t="s">
        <v>1838</v>
      </c>
      <c r="QSQ363" s="1648">
        <v>344028.50012699998</v>
      </c>
      <c r="QSR363" s="1648">
        <v>335387.28629100003</v>
      </c>
      <c r="QSS363" s="1648">
        <v>337602.67972299998</v>
      </c>
      <c r="QST363" s="1648">
        <v>210440.148116</v>
      </c>
      <c r="QSU363" s="1648">
        <v>330912.82974800002</v>
      </c>
      <c r="QSV363" s="1648">
        <v>321507.96580100001</v>
      </c>
      <c r="QSW363" s="1648">
        <v>310040.96500000003</v>
      </c>
      <c r="QSX363" s="1648">
        <v>306104.158</v>
      </c>
      <c r="QSY363" s="1648">
        <v>350079.51500000001</v>
      </c>
      <c r="QSZ363" s="1648">
        <v>376736.01</v>
      </c>
      <c r="QTA363" s="1648">
        <v>382165.86499999999</v>
      </c>
      <c r="QTB363" s="1648">
        <v>356897.57900000003</v>
      </c>
      <c r="QTC363" s="635">
        <v>3961904</v>
      </c>
      <c r="QTD363" s="633">
        <f>SUM(QSQ363:QTB363)</f>
        <v>3961903.5018060002</v>
      </c>
      <c r="QTE363" s="919" t="s">
        <v>1837</v>
      </c>
      <c r="QTF363" s="1643" t="s">
        <v>1838</v>
      </c>
      <c r="QTG363" s="1648">
        <v>344028.50012699998</v>
      </c>
      <c r="QTH363" s="1648">
        <v>335387.28629100003</v>
      </c>
      <c r="QTI363" s="1648">
        <v>337602.67972299998</v>
      </c>
      <c r="QTJ363" s="1648">
        <v>210440.148116</v>
      </c>
      <c r="QTK363" s="1648">
        <v>330912.82974800002</v>
      </c>
      <c r="QTL363" s="1648">
        <v>321507.96580100001</v>
      </c>
      <c r="QTM363" s="1648">
        <v>310040.96500000003</v>
      </c>
      <c r="QTN363" s="1648">
        <v>306104.158</v>
      </c>
      <c r="QTO363" s="1648">
        <v>350079.51500000001</v>
      </c>
      <c r="QTP363" s="1648">
        <v>376736.01</v>
      </c>
      <c r="QTQ363" s="1648">
        <v>382165.86499999999</v>
      </c>
      <c r="QTR363" s="1648">
        <v>356897.57900000003</v>
      </c>
      <c r="QTS363" s="635">
        <v>3961904</v>
      </c>
      <c r="QTT363" s="633">
        <f>SUM(QTG363:QTR363)</f>
        <v>3961903.5018060002</v>
      </c>
      <c r="QTU363" s="919" t="s">
        <v>1837</v>
      </c>
      <c r="QTV363" s="1643" t="s">
        <v>1838</v>
      </c>
      <c r="QTW363" s="1648">
        <v>344028.50012699998</v>
      </c>
      <c r="QTX363" s="1648">
        <v>335387.28629100003</v>
      </c>
      <c r="QTY363" s="1648">
        <v>337602.67972299998</v>
      </c>
      <c r="QTZ363" s="1648">
        <v>210440.148116</v>
      </c>
      <c r="QUA363" s="1648">
        <v>330912.82974800002</v>
      </c>
      <c r="QUB363" s="1648">
        <v>321507.96580100001</v>
      </c>
      <c r="QUC363" s="1648">
        <v>310040.96500000003</v>
      </c>
      <c r="QUD363" s="1648">
        <v>306104.158</v>
      </c>
      <c r="QUE363" s="1648">
        <v>350079.51500000001</v>
      </c>
      <c r="QUF363" s="1648">
        <v>376736.01</v>
      </c>
      <c r="QUG363" s="1648">
        <v>382165.86499999999</v>
      </c>
      <c r="QUH363" s="1648">
        <v>356897.57900000003</v>
      </c>
      <c r="QUI363" s="635">
        <v>3961904</v>
      </c>
      <c r="QUJ363" s="633">
        <f>SUM(QTW363:QUH363)</f>
        <v>3961903.5018060002</v>
      </c>
      <c r="QUK363" s="919" t="s">
        <v>1837</v>
      </c>
      <c r="QUL363" s="1643" t="s">
        <v>1838</v>
      </c>
      <c r="QUM363" s="1648">
        <v>344028.50012699998</v>
      </c>
      <c r="QUN363" s="1648">
        <v>335387.28629100003</v>
      </c>
      <c r="QUO363" s="1648">
        <v>337602.67972299998</v>
      </c>
      <c r="QUP363" s="1648">
        <v>210440.148116</v>
      </c>
      <c r="QUQ363" s="1648">
        <v>330912.82974800002</v>
      </c>
      <c r="QUR363" s="1648">
        <v>321507.96580100001</v>
      </c>
      <c r="QUS363" s="1648">
        <v>310040.96500000003</v>
      </c>
      <c r="QUT363" s="1648">
        <v>306104.158</v>
      </c>
      <c r="QUU363" s="1648">
        <v>350079.51500000001</v>
      </c>
      <c r="QUV363" s="1648">
        <v>376736.01</v>
      </c>
      <c r="QUW363" s="1648">
        <v>382165.86499999999</v>
      </c>
      <c r="QUX363" s="1648">
        <v>356897.57900000003</v>
      </c>
      <c r="QUY363" s="635">
        <v>3961904</v>
      </c>
      <c r="QUZ363" s="633">
        <f>SUM(QUM363:QUX363)</f>
        <v>3961903.5018060002</v>
      </c>
      <c r="QVA363" s="919" t="s">
        <v>1837</v>
      </c>
      <c r="QVB363" s="1643" t="s">
        <v>1838</v>
      </c>
      <c r="QVC363" s="1648">
        <v>344028.50012699998</v>
      </c>
      <c r="QVD363" s="1648">
        <v>335387.28629100003</v>
      </c>
      <c r="QVE363" s="1648">
        <v>337602.67972299998</v>
      </c>
      <c r="QVF363" s="1648">
        <v>210440.148116</v>
      </c>
      <c r="QVG363" s="1648">
        <v>330912.82974800002</v>
      </c>
      <c r="QVH363" s="1648">
        <v>321507.96580100001</v>
      </c>
      <c r="QVI363" s="1648">
        <v>310040.96500000003</v>
      </c>
      <c r="QVJ363" s="1648">
        <v>306104.158</v>
      </c>
      <c r="QVK363" s="1648">
        <v>350079.51500000001</v>
      </c>
      <c r="QVL363" s="1648">
        <v>376736.01</v>
      </c>
      <c r="QVM363" s="1648">
        <v>382165.86499999999</v>
      </c>
      <c r="QVN363" s="1648">
        <v>356897.57900000003</v>
      </c>
      <c r="QVO363" s="635">
        <v>3961904</v>
      </c>
      <c r="QVP363" s="633">
        <f>SUM(QVC363:QVN363)</f>
        <v>3961903.5018060002</v>
      </c>
      <c r="QVQ363" s="919" t="s">
        <v>1837</v>
      </c>
      <c r="QVR363" s="1643" t="s">
        <v>1838</v>
      </c>
      <c r="QVS363" s="1648">
        <v>344028.50012699998</v>
      </c>
      <c r="QVT363" s="1648">
        <v>335387.28629100003</v>
      </c>
      <c r="QVU363" s="1648">
        <v>337602.67972299998</v>
      </c>
      <c r="QVV363" s="1648">
        <v>210440.148116</v>
      </c>
      <c r="QVW363" s="1648">
        <v>330912.82974800002</v>
      </c>
      <c r="QVX363" s="1648">
        <v>321507.96580100001</v>
      </c>
      <c r="QVY363" s="1648">
        <v>310040.96500000003</v>
      </c>
      <c r="QVZ363" s="1648">
        <v>306104.158</v>
      </c>
      <c r="QWA363" s="1648">
        <v>350079.51500000001</v>
      </c>
      <c r="QWB363" s="1648">
        <v>376736.01</v>
      </c>
      <c r="QWC363" s="1648">
        <v>382165.86499999999</v>
      </c>
      <c r="QWD363" s="1648">
        <v>356897.57900000003</v>
      </c>
      <c r="QWE363" s="635">
        <v>3961904</v>
      </c>
      <c r="QWF363" s="633">
        <f>SUM(QVS363:QWD363)</f>
        <v>3961903.5018060002</v>
      </c>
      <c r="QWG363" s="919" t="s">
        <v>1837</v>
      </c>
      <c r="QWH363" s="1643" t="s">
        <v>1838</v>
      </c>
      <c r="QWI363" s="1648">
        <v>344028.50012699998</v>
      </c>
      <c r="QWJ363" s="1648">
        <v>335387.28629100003</v>
      </c>
      <c r="QWK363" s="1648">
        <v>337602.67972299998</v>
      </c>
      <c r="QWL363" s="1648">
        <v>210440.148116</v>
      </c>
      <c r="QWM363" s="1648">
        <v>330912.82974800002</v>
      </c>
      <c r="QWN363" s="1648">
        <v>321507.96580100001</v>
      </c>
      <c r="QWO363" s="1648">
        <v>310040.96500000003</v>
      </c>
      <c r="QWP363" s="1648">
        <v>306104.158</v>
      </c>
      <c r="QWQ363" s="1648">
        <v>350079.51500000001</v>
      </c>
      <c r="QWR363" s="1648">
        <v>376736.01</v>
      </c>
      <c r="QWS363" s="1648">
        <v>382165.86499999999</v>
      </c>
      <c r="QWT363" s="1648">
        <v>356897.57900000003</v>
      </c>
      <c r="QWU363" s="635">
        <v>3961904</v>
      </c>
      <c r="QWV363" s="633">
        <f>SUM(QWI363:QWT363)</f>
        <v>3961903.5018060002</v>
      </c>
      <c r="QWW363" s="919" t="s">
        <v>1837</v>
      </c>
      <c r="QWX363" s="1643" t="s">
        <v>1838</v>
      </c>
      <c r="QWY363" s="1648">
        <v>344028.50012699998</v>
      </c>
      <c r="QWZ363" s="1648">
        <v>335387.28629100003</v>
      </c>
      <c r="QXA363" s="1648">
        <v>337602.67972299998</v>
      </c>
      <c r="QXB363" s="1648">
        <v>210440.148116</v>
      </c>
      <c r="QXC363" s="1648">
        <v>330912.82974800002</v>
      </c>
      <c r="QXD363" s="1648">
        <v>321507.96580100001</v>
      </c>
      <c r="QXE363" s="1648">
        <v>310040.96500000003</v>
      </c>
      <c r="QXF363" s="1648">
        <v>306104.158</v>
      </c>
      <c r="QXG363" s="1648">
        <v>350079.51500000001</v>
      </c>
      <c r="QXH363" s="1648">
        <v>376736.01</v>
      </c>
      <c r="QXI363" s="1648">
        <v>382165.86499999999</v>
      </c>
      <c r="QXJ363" s="1648">
        <v>356897.57900000003</v>
      </c>
      <c r="QXK363" s="635">
        <v>3961904</v>
      </c>
      <c r="QXL363" s="633">
        <f>SUM(QWY363:QXJ363)</f>
        <v>3961903.5018060002</v>
      </c>
      <c r="QXM363" s="919" t="s">
        <v>1837</v>
      </c>
      <c r="QXN363" s="1643" t="s">
        <v>1838</v>
      </c>
      <c r="QXO363" s="1648">
        <v>344028.50012699998</v>
      </c>
      <c r="QXP363" s="1648">
        <v>335387.28629100003</v>
      </c>
      <c r="QXQ363" s="1648">
        <v>337602.67972299998</v>
      </c>
      <c r="QXR363" s="1648">
        <v>210440.148116</v>
      </c>
      <c r="QXS363" s="1648">
        <v>330912.82974800002</v>
      </c>
      <c r="QXT363" s="1648">
        <v>321507.96580100001</v>
      </c>
      <c r="QXU363" s="1648">
        <v>310040.96500000003</v>
      </c>
      <c r="QXV363" s="1648">
        <v>306104.158</v>
      </c>
      <c r="QXW363" s="1648">
        <v>350079.51500000001</v>
      </c>
      <c r="QXX363" s="1648">
        <v>376736.01</v>
      </c>
      <c r="QXY363" s="1648">
        <v>382165.86499999999</v>
      </c>
      <c r="QXZ363" s="1648">
        <v>356897.57900000003</v>
      </c>
      <c r="QYA363" s="635">
        <v>3961904</v>
      </c>
      <c r="QYB363" s="633">
        <f>SUM(QXO363:QXZ363)</f>
        <v>3961903.5018060002</v>
      </c>
      <c r="QYC363" s="919" t="s">
        <v>1837</v>
      </c>
      <c r="QYD363" s="1643" t="s">
        <v>1838</v>
      </c>
      <c r="QYE363" s="1648">
        <v>344028.50012699998</v>
      </c>
      <c r="QYF363" s="1648">
        <v>335387.28629100003</v>
      </c>
      <c r="QYG363" s="1648">
        <v>337602.67972299998</v>
      </c>
      <c r="QYH363" s="1648">
        <v>210440.148116</v>
      </c>
      <c r="QYI363" s="1648">
        <v>330912.82974800002</v>
      </c>
      <c r="QYJ363" s="1648">
        <v>321507.96580100001</v>
      </c>
      <c r="QYK363" s="1648">
        <v>310040.96500000003</v>
      </c>
      <c r="QYL363" s="1648">
        <v>306104.158</v>
      </c>
      <c r="QYM363" s="1648">
        <v>350079.51500000001</v>
      </c>
      <c r="QYN363" s="1648">
        <v>376736.01</v>
      </c>
      <c r="QYO363" s="1648">
        <v>382165.86499999999</v>
      </c>
      <c r="QYP363" s="1648">
        <v>356897.57900000003</v>
      </c>
      <c r="QYQ363" s="635">
        <v>3961904</v>
      </c>
      <c r="QYR363" s="633">
        <f>SUM(QYE363:QYP363)</f>
        <v>3961903.5018060002</v>
      </c>
      <c r="QYS363" s="919" t="s">
        <v>1837</v>
      </c>
      <c r="QYT363" s="1643" t="s">
        <v>1838</v>
      </c>
      <c r="QYU363" s="1648">
        <v>344028.50012699998</v>
      </c>
      <c r="QYV363" s="1648">
        <v>335387.28629100003</v>
      </c>
      <c r="QYW363" s="1648">
        <v>337602.67972299998</v>
      </c>
      <c r="QYX363" s="1648">
        <v>210440.148116</v>
      </c>
      <c r="QYY363" s="1648">
        <v>330912.82974800002</v>
      </c>
      <c r="QYZ363" s="1648">
        <v>321507.96580100001</v>
      </c>
      <c r="QZA363" s="1648">
        <v>310040.96500000003</v>
      </c>
      <c r="QZB363" s="1648">
        <v>306104.158</v>
      </c>
      <c r="QZC363" s="1648">
        <v>350079.51500000001</v>
      </c>
      <c r="QZD363" s="1648">
        <v>376736.01</v>
      </c>
      <c r="QZE363" s="1648">
        <v>382165.86499999999</v>
      </c>
      <c r="QZF363" s="1648">
        <v>356897.57900000003</v>
      </c>
      <c r="QZG363" s="635">
        <v>3961904</v>
      </c>
      <c r="QZH363" s="633">
        <f>SUM(QYU363:QZF363)</f>
        <v>3961903.5018060002</v>
      </c>
      <c r="QZI363" s="919" t="s">
        <v>1837</v>
      </c>
      <c r="QZJ363" s="1643" t="s">
        <v>1838</v>
      </c>
      <c r="QZK363" s="1648">
        <v>344028.50012699998</v>
      </c>
      <c r="QZL363" s="1648">
        <v>335387.28629100003</v>
      </c>
      <c r="QZM363" s="1648">
        <v>337602.67972299998</v>
      </c>
      <c r="QZN363" s="1648">
        <v>210440.148116</v>
      </c>
      <c r="QZO363" s="1648">
        <v>330912.82974800002</v>
      </c>
      <c r="QZP363" s="1648">
        <v>321507.96580100001</v>
      </c>
      <c r="QZQ363" s="1648">
        <v>310040.96500000003</v>
      </c>
      <c r="QZR363" s="1648">
        <v>306104.158</v>
      </c>
      <c r="QZS363" s="1648">
        <v>350079.51500000001</v>
      </c>
      <c r="QZT363" s="1648">
        <v>376736.01</v>
      </c>
      <c r="QZU363" s="1648">
        <v>382165.86499999999</v>
      </c>
      <c r="QZV363" s="1648">
        <v>356897.57900000003</v>
      </c>
      <c r="QZW363" s="635">
        <v>3961904</v>
      </c>
      <c r="QZX363" s="633">
        <f>SUM(QZK363:QZV363)</f>
        <v>3961903.5018060002</v>
      </c>
      <c r="QZY363" s="919" t="s">
        <v>1837</v>
      </c>
      <c r="QZZ363" s="1643" t="s">
        <v>1838</v>
      </c>
      <c r="RAA363" s="1648">
        <v>344028.50012699998</v>
      </c>
      <c r="RAB363" s="1648">
        <v>335387.28629100003</v>
      </c>
      <c r="RAC363" s="1648">
        <v>337602.67972299998</v>
      </c>
      <c r="RAD363" s="1648">
        <v>210440.148116</v>
      </c>
      <c r="RAE363" s="1648">
        <v>330912.82974800002</v>
      </c>
      <c r="RAF363" s="1648">
        <v>321507.96580100001</v>
      </c>
      <c r="RAG363" s="1648">
        <v>310040.96500000003</v>
      </c>
      <c r="RAH363" s="1648">
        <v>306104.158</v>
      </c>
      <c r="RAI363" s="1648">
        <v>350079.51500000001</v>
      </c>
      <c r="RAJ363" s="1648">
        <v>376736.01</v>
      </c>
      <c r="RAK363" s="1648">
        <v>382165.86499999999</v>
      </c>
      <c r="RAL363" s="1648">
        <v>356897.57900000003</v>
      </c>
      <c r="RAM363" s="635">
        <v>3961904</v>
      </c>
      <c r="RAN363" s="633">
        <f>SUM(RAA363:RAL363)</f>
        <v>3961903.5018060002</v>
      </c>
      <c r="RAO363" s="919" t="s">
        <v>1837</v>
      </c>
      <c r="RAP363" s="1643" t="s">
        <v>1838</v>
      </c>
      <c r="RAQ363" s="1648">
        <v>344028.50012699998</v>
      </c>
      <c r="RAR363" s="1648">
        <v>335387.28629100003</v>
      </c>
      <c r="RAS363" s="1648">
        <v>337602.67972299998</v>
      </c>
      <c r="RAT363" s="1648">
        <v>210440.148116</v>
      </c>
      <c r="RAU363" s="1648">
        <v>330912.82974800002</v>
      </c>
      <c r="RAV363" s="1648">
        <v>321507.96580100001</v>
      </c>
      <c r="RAW363" s="1648">
        <v>310040.96500000003</v>
      </c>
      <c r="RAX363" s="1648">
        <v>306104.158</v>
      </c>
      <c r="RAY363" s="1648">
        <v>350079.51500000001</v>
      </c>
      <c r="RAZ363" s="1648">
        <v>376736.01</v>
      </c>
      <c r="RBA363" s="1648">
        <v>382165.86499999999</v>
      </c>
      <c r="RBB363" s="1648">
        <v>356897.57900000003</v>
      </c>
      <c r="RBC363" s="635">
        <v>3961904</v>
      </c>
      <c r="RBD363" s="633">
        <f>SUM(RAQ363:RBB363)</f>
        <v>3961903.5018060002</v>
      </c>
      <c r="RBE363" s="919" t="s">
        <v>1837</v>
      </c>
      <c r="RBF363" s="1643" t="s">
        <v>1838</v>
      </c>
      <c r="RBG363" s="1648">
        <v>344028.50012699998</v>
      </c>
      <c r="RBH363" s="1648">
        <v>335387.28629100003</v>
      </c>
      <c r="RBI363" s="1648">
        <v>337602.67972299998</v>
      </c>
      <c r="RBJ363" s="1648">
        <v>210440.148116</v>
      </c>
      <c r="RBK363" s="1648">
        <v>330912.82974800002</v>
      </c>
      <c r="RBL363" s="1648">
        <v>321507.96580100001</v>
      </c>
      <c r="RBM363" s="1648">
        <v>310040.96500000003</v>
      </c>
      <c r="RBN363" s="1648">
        <v>306104.158</v>
      </c>
      <c r="RBO363" s="1648">
        <v>350079.51500000001</v>
      </c>
      <c r="RBP363" s="1648">
        <v>376736.01</v>
      </c>
      <c r="RBQ363" s="1648">
        <v>382165.86499999999</v>
      </c>
      <c r="RBR363" s="1648">
        <v>356897.57900000003</v>
      </c>
      <c r="RBS363" s="635">
        <v>3961904</v>
      </c>
      <c r="RBT363" s="633">
        <f>SUM(RBG363:RBR363)</f>
        <v>3961903.5018060002</v>
      </c>
      <c r="RBU363" s="919" t="s">
        <v>1837</v>
      </c>
      <c r="RBV363" s="1643" t="s">
        <v>1838</v>
      </c>
      <c r="RBW363" s="1648">
        <v>344028.50012699998</v>
      </c>
      <c r="RBX363" s="1648">
        <v>335387.28629100003</v>
      </c>
      <c r="RBY363" s="1648">
        <v>337602.67972299998</v>
      </c>
      <c r="RBZ363" s="1648">
        <v>210440.148116</v>
      </c>
      <c r="RCA363" s="1648">
        <v>330912.82974800002</v>
      </c>
      <c r="RCB363" s="1648">
        <v>321507.96580100001</v>
      </c>
      <c r="RCC363" s="1648">
        <v>310040.96500000003</v>
      </c>
      <c r="RCD363" s="1648">
        <v>306104.158</v>
      </c>
      <c r="RCE363" s="1648">
        <v>350079.51500000001</v>
      </c>
      <c r="RCF363" s="1648">
        <v>376736.01</v>
      </c>
      <c r="RCG363" s="1648">
        <v>382165.86499999999</v>
      </c>
      <c r="RCH363" s="1648">
        <v>356897.57900000003</v>
      </c>
      <c r="RCI363" s="635">
        <v>3961904</v>
      </c>
      <c r="RCJ363" s="633">
        <f>SUM(RBW363:RCH363)</f>
        <v>3961903.5018060002</v>
      </c>
      <c r="RCK363" s="919" t="s">
        <v>1837</v>
      </c>
      <c r="RCL363" s="1643" t="s">
        <v>1838</v>
      </c>
      <c r="RCM363" s="1648">
        <v>344028.50012699998</v>
      </c>
      <c r="RCN363" s="1648">
        <v>335387.28629100003</v>
      </c>
      <c r="RCO363" s="1648">
        <v>337602.67972299998</v>
      </c>
      <c r="RCP363" s="1648">
        <v>210440.148116</v>
      </c>
      <c r="RCQ363" s="1648">
        <v>330912.82974800002</v>
      </c>
      <c r="RCR363" s="1648">
        <v>321507.96580100001</v>
      </c>
      <c r="RCS363" s="1648">
        <v>310040.96500000003</v>
      </c>
      <c r="RCT363" s="1648">
        <v>306104.158</v>
      </c>
      <c r="RCU363" s="1648">
        <v>350079.51500000001</v>
      </c>
      <c r="RCV363" s="1648">
        <v>376736.01</v>
      </c>
      <c r="RCW363" s="1648">
        <v>382165.86499999999</v>
      </c>
      <c r="RCX363" s="1648">
        <v>356897.57900000003</v>
      </c>
      <c r="RCY363" s="635">
        <v>3961904</v>
      </c>
      <c r="RCZ363" s="633">
        <f>SUM(RCM363:RCX363)</f>
        <v>3961903.5018060002</v>
      </c>
      <c r="RDA363" s="919" t="s">
        <v>1837</v>
      </c>
      <c r="RDB363" s="1643" t="s">
        <v>1838</v>
      </c>
      <c r="RDC363" s="1648">
        <v>344028.50012699998</v>
      </c>
      <c r="RDD363" s="1648">
        <v>335387.28629100003</v>
      </c>
      <c r="RDE363" s="1648">
        <v>337602.67972299998</v>
      </c>
      <c r="RDF363" s="1648">
        <v>210440.148116</v>
      </c>
      <c r="RDG363" s="1648">
        <v>330912.82974800002</v>
      </c>
      <c r="RDH363" s="1648">
        <v>321507.96580100001</v>
      </c>
      <c r="RDI363" s="1648">
        <v>310040.96500000003</v>
      </c>
      <c r="RDJ363" s="1648">
        <v>306104.158</v>
      </c>
      <c r="RDK363" s="1648">
        <v>350079.51500000001</v>
      </c>
      <c r="RDL363" s="1648">
        <v>376736.01</v>
      </c>
      <c r="RDM363" s="1648">
        <v>382165.86499999999</v>
      </c>
      <c r="RDN363" s="1648">
        <v>356897.57900000003</v>
      </c>
      <c r="RDO363" s="635">
        <v>3961904</v>
      </c>
      <c r="RDP363" s="633">
        <f>SUM(RDC363:RDN363)</f>
        <v>3961903.5018060002</v>
      </c>
      <c r="RDQ363" s="919" t="s">
        <v>1837</v>
      </c>
      <c r="RDR363" s="1643" t="s">
        <v>1838</v>
      </c>
      <c r="RDS363" s="1648">
        <v>344028.50012699998</v>
      </c>
      <c r="RDT363" s="1648">
        <v>335387.28629100003</v>
      </c>
      <c r="RDU363" s="1648">
        <v>337602.67972299998</v>
      </c>
      <c r="RDV363" s="1648">
        <v>210440.148116</v>
      </c>
      <c r="RDW363" s="1648">
        <v>330912.82974800002</v>
      </c>
      <c r="RDX363" s="1648">
        <v>321507.96580100001</v>
      </c>
      <c r="RDY363" s="1648">
        <v>310040.96500000003</v>
      </c>
      <c r="RDZ363" s="1648">
        <v>306104.158</v>
      </c>
      <c r="REA363" s="1648">
        <v>350079.51500000001</v>
      </c>
      <c r="REB363" s="1648">
        <v>376736.01</v>
      </c>
      <c r="REC363" s="1648">
        <v>382165.86499999999</v>
      </c>
      <c r="RED363" s="1648">
        <v>356897.57900000003</v>
      </c>
      <c r="REE363" s="635">
        <v>3961904</v>
      </c>
      <c r="REF363" s="633">
        <f>SUM(RDS363:RED363)</f>
        <v>3961903.5018060002</v>
      </c>
      <c r="REG363" s="919" t="s">
        <v>1837</v>
      </c>
      <c r="REH363" s="1643" t="s">
        <v>1838</v>
      </c>
      <c r="REI363" s="1648">
        <v>344028.50012699998</v>
      </c>
      <c r="REJ363" s="1648">
        <v>335387.28629100003</v>
      </c>
      <c r="REK363" s="1648">
        <v>337602.67972299998</v>
      </c>
      <c r="REL363" s="1648">
        <v>210440.148116</v>
      </c>
      <c r="REM363" s="1648">
        <v>330912.82974800002</v>
      </c>
      <c r="REN363" s="1648">
        <v>321507.96580100001</v>
      </c>
      <c r="REO363" s="1648">
        <v>310040.96500000003</v>
      </c>
      <c r="REP363" s="1648">
        <v>306104.158</v>
      </c>
      <c r="REQ363" s="1648">
        <v>350079.51500000001</v>
      </c>
      <c r="RER363" s="1648">
        <v>376736.01</v>
      </c>
      <c r="RES363" s="1648">
        <v>382165.86499999999</v>
      </c>
      <c r="RET363" s="1648">
        <v>356897.57900000003</v>
      </c>
      <c r="REU363" s="635">
        <v>3961904</v>
      </c>
      <c r="REV363" s="633">
        <f>SUM(REI363:RET363)</f>
        <v>3961903.5018060002</v>
      </c>
      <c r="REW363" s="919" t="s">
        <v>1837</v>
      </c>
      <c r="REX363" s="1643" t="s">
        <v>1838</v>
      </c>
      <c r="REY363" s="1648">
        <v>344028.50012699998</v>
      </c>
      <c r="REZ363" s="1648">
        <v>335387.28629100003</v>
      </c>
      <c r="RFA363" s="1648">
        <v>337602.67972299998</v>
      </c>
      <c r="RFB363" s="1648">
        <v>210440.148116</v>
      </c>
      <c r="RFC363" s="1648">
        <v>330912.82974800002</v>
      </c>
      <c r="RFD363" s="1648">
        <v>321507.96580100001</v>
      </c>
      <c r="RFE363" s="1648">
        <v>310040.96500000003</v>
      </c>
      <c r="RFF363" s="1648">
        <v>306104.158</v>
      </c>
      <c r="RFG363" s="1648">
        <v>350079.51500000001</v>
      </c>
      <c r="RFH363" s="1648">
        <v>376736.01</v>
      </c>
      <c r="RFI363" s="1648">
        <v>382165.86499999999</v>
      </c>
      <c r="RFJ363" s="1648">
        <v>356897.57900000003</v>
      </c>
      <c r="RFK363" s="635">
        <v>3961904</v>
      </c>
      <c r="RFL363" s="633">
        <f>SUM(REY363:RFJ363)</f>
        <v>3961903.5018060002</v>
      </c>
      <c r="RFM363" s="919" t="s">
        <v>1837</v>
      </c>
      <c r="RFN363" s="1643" t="s">
        <v>1838</v>
      </c>
      <c r="RFO363" s="1648">
        <v>344028.50012699998</v>
      </c>
      <c r="RFP363" s="1648">
        <v>335387.28629100003</v>
      </c>
      <c r="RFQ363" s="1648">
        <v>337602.67972299998</v>
      </c>
      <c r="RFR363" s="1648">
        <v>210440.148116</v>
      </c>
      <c r="RFS363" s="1648">
        <v>330912.82974800002</v>
      </c>
      <c r="RFT363" s="1648">
        <v>321507.96580100001</v>
      </c>
      <c r="RFU363" s="1648">
        <v>310040.96500000003</v>
      </c>
      <c r="RFV363" s="1648">
        <v>306104.158</v>
      </c>
      <c r="RFW363" s="1648">
        <v>350079.51500000001</v>
      </c>
      <c r="RFX363" s="1648">
        <v>376736.01</v>
      </c>
      <c r="RFY363" s="1648">
        <v>382165.86499999999</v>
      </c>
      <c r="RFZ363" s="1648">
        <v>356897.57900000003</v>
      </c>
      <c r="RGA363" s="635">
        <v>3961904</v>
      </c>
      <c r="RGB363" s="633">
        <f>SUM(RFO363:RFZ363)</f>
        <v>3961903.5018060002</v>
      </c>
      <c r="RGC363" s="919" t="s">
        <v>1837</v>
      </c>
      <c r="RGD363" s="1643" t="s">
        <v>1838</v>
      </c>
      <c r="RGE363" s="1648">
        <v>344028.50012699998</v>
      </c>
      <c r="RGF363" s="1648">
        <v>335387.28629100003</v>
      </c>
      <c r="RGG363" s="1648">
        <v>337602.67972299998</v>
      </c>
      <c r="RGH363" s="1648">
        <v>210440.148116</v>
      </c>
      <c r="RGI363" s="1648">
        <v>330912.82974800002</v>
      </c>
      <c r="RGJ363" s="1648">
        <v>321507.96580100001</v>
      </c>
      <c r="RGK363" s="1648">
        <v>310040.96500000003</v>
      </c>
      <c r="RGL363" s="1648">
        <v>306104.158</v>
      </c>
      <c r="RGM363" s="1648">
        <v>350079.51500000001</v>
      </c>
      <c r="RGN363" s="1648">
        <v>376736.01</v>
      </c>
      <c r="RGO363" s="1648">
        <v>382165.86499999999</v>
      </c>
      <c r="RGP363" s="1648">
        <v>356897.57900000003</v>
      </c>
      <c r="RGQ363" s="635">
        <v>3961904</v>
      </c>
      <c r="RGR363" s="633">
        <f>SUM(RGE363:RGP363)</f>
        <v>3961903.5018060002</v>
      </c>
      <c r="RGS363" s="919" t="s">
        <v>1837</v>
      </c>
      <c r="RGT363" s="1643" t="s">
        <v>1838</v>
      </c>
      <c r="RGU363" s="1648">
        <v>344028.50012699998</v>
      </c>
      <c r="RGV363" s="1648">
        <v>335387.28629100003</v>
      </c>
      <c r="RGW363" s="1648">
        <v>337602.67972299998</v>
      </c>
      <c r="RGX363" s="1648">
        <v>210440.148116</v>
      </c>
      <c r="RGY363" s="1648">
        <v>330912.82974800002</v>
      </c>
      <c r="RGZ363" s="1648">
        <v>321507.96580100001</v>
      </c>
      <c r="RHA363" s="1648">
        <v>310040.96500000003</v>
      </c>
      <c r="RHB363" s="1648">
        <v>306104.158</v>
      </c>
      <c r="RHC363" s="1648">
        <v>350079.51500000001</v>
      </c>
      <c r="RHD363" s="1648">
        <v>376736.01</v>
      </c>
      <c r="RHE363" s="1648">
        <v>382165.86499999999</v>
      </c>
      <c r="RHF363" s="1648">
        <v>356897.57900000003</v>
      </c>
      <c r="RHG363" s="635">
        <v>3961904</v>
      </c>
      <c r="RHH363" s="633">
        <f>SUM(RGU363:RHF363)</f>
        <v>3961903.5018060002</v>
      </c>
      <c r="RHI363" s="919" t="s">
        <v>1837</v>
      </c>
      <c r="RHJ363" s="1643" t="s">
        <v>1838</v>
      </c>
      <c r="RHK363" s="1648">
        <v>344028.50012699998</v>
      </c>
      <c r="RHL363" s="1648">
        <v>335387.28629100003</v>
      </c>
      <c r="RHM363" s="1648">
        <v>337602.67972299998</v>
      </c>
      <c r="RHN363" s="1648">
        <v>210440.148116</v>
      </c>
      <c r="RHO363" s="1648">
        <v>330912.82974800002</v>
      </c>
      <c r="RHP363" s="1648">
        <v>321507.96580100001</v>
      </c>
      <c r="RHQ363" s="1648">
        <v>310040.96500000003</v>
      </c>
      <c r="RHR363" s="1648">
        <v>306104.158</v>
      </c>
      <c r="RHS363" s="1648">
        <v>350079.51500000001</v>
      </c>
      <c r="RHT363" s="1648">
        <v>376736.01</v>
      </c>
      <c r="RHU363" s="1648">
        <v>382165.86499999999</v>
      </c>
      <c r="RHV363" s="1648">
        <v>356897.57900000003</v>
      </c>
      <c r="RHW363" s="635">
        <v>3961904</v>
      </c>
      <c r="RHX363" s="633">
        <f>SUM(RHK363:RHV363)</f>
        <v>3961903.5018060002</v>
      </c>
      <c r="RHY363" s="919" t="s">
        <v>1837</v>
      </c>
      <c r="RHZ363" s="1643" t="s">
        <v>1838</v>
      </c>
      <c r="RIA363" s="1648">
        <v>344028.50012699998</v>
      </c>
      <c r="RIB363" s="1648">
        <v>335387.28629100003</v>
      </c>
      <c r="RIC363" s="1648">
        <v>337602.67972299998</v>
      </c>
      <c r="RID363" s="1648">
        <v>210440.148116</v>
      </c>
      <c r="RIE363" s="1648">
        <v>330912.82974800002</v>
      </c>
      <c r="RIF363" s="1648">
        <v>321507.96580100001</v>
      </c>
      <c r="RIG363" s="1648">
        <v>310040.96500000003</v>
      </c>
      <c r="RIH363" s="1648">
        <v>306104.158</v>
      </c>
      <c r="RII363" s="1648">
        <v>350079.51500000001</v>
      </c>
      <c r="RIJ363" s="1648">
        <v>376736.01</v>
      </c>
      <c r="RIK363" s="1648">
        <v>382165.86499999999</v>
      </c>
      <c r="RIL363" s="1648">
        <v>356897.57900000003</v>
      </c>
      <c r="RIM363" s="635">
        <v>3961904</v>
      </c>
      <c r="RIN363" s="633">
        <f>SUM(RIA363:RIL363)</f>
        <v>3961903.5018060002</v>
      </c>
      <c r="RIO363" s="919" t="s">
        <v>1837</v>
      </c>
      <c r="RIP363" s="1643" t="s">
        <v>1838</v>
      </c>
      <c r="RIQ363" s="1648">
        <v>344028.50012699998</v>
      </c>
      <c r="RIR363" s="1648">
        <v>335387.28629100003</v>
      </c>
      <c r="RIS363" s="1648">
        <v>337602.67972299998</v>
      </c>
      <c r="RIT363" s="1648">
        <v>210440.148116</v>
      </c>
      <c r="RIU363" s="1648">
        <v>330912.82974800002</v>
      </c>
      <c r="RIV363" s="1648">
        <v>321507.96580100001</v>
      </c>
      <c r="RIW363" s="1648">
        <v>310040.96500000003</v>
      </c>
      <c r="RIX363" s="1648">
        <v>306104.158</v>
      </c>
      <c r="RIY363" s="1648">
        <v>350079.51500000001</v>
      </c>
      <c r="RIZ363" s="1648">
        <v>376736.01</v>
      </c>
      <c r="RJA363" s="1648">
        <v>382165.86499999999</v>
      </c>
      <c r="RJB363" s="1648">
        <v>356897.57900000003</v>
      </c>
      <c r="RJC363" s="635">
        <v>3961904</v>
      </c>
      <c r="RJD363" s="633">
        <f>SUM(RIQ363:RJB363)</f>
        <v>3961903.5018060002</v>
      </c>
      <c r="RJE363" s="919" t="s">
        <v>1837</v>
      </c>
      <c r="RJF363" s="1643" t="s">
        <v>1838</v>
      </c>
      <c r="RJG363" s="1648">
        <v>344028.50012699998</v>
      </c>
      <c r="RJH363" s="1648">
        <v>335387.28629100003</v>
      </c>
      <c r="RJI363" s="1648">
        <v>337602.67972299998</v>
      </c>
      <c r="RJJ363" s="1648">
        <v>210440.148116</v>
      </c>
      <c r="RJK363" s="1648">
        <v>330912.82974800002</v>
      </c>
      <c r="RJL363" s="1648">
        <v>321507.96580100001</v>
      </c>
      <c r="RJM363" s="1648">
        <v>310040.96500000003</v>
      </c>
      <c r="RJN363" s="1648">
        <v>306104.158</v>
      </c>
      <c r="RJO363" s="1648">
        <v>350079.51500000001</v>
      </c>
      <c r="RJP363" s="1648">
        <v>376736.01</v>
      </c>
      <c r="RJQ363" s="1648">
        <v>382165.86499999999</v>
      </c>
      <c r="RJR363" s="1648">
        <v>356897.57900000003</v>
      </c>
      <c r="RJS363" s="635">
        <v>3961904</v>
      </c>
      <c r="RJT363" s="633">
        <f>SUM(RJG363:RJR363)</f>
        <v>3961903.5018060002</v>
      </c>
      <c r="RJU363" s="919" t="s">
        <v>1837</v>
      </c>
      <c r="RJV363" s="1643" t="s">
        <v>1838</v>
      </c>
      <c r="RJW363" s="1648">
        <v>344028.50012699998</v>
      </c>
      <c r="RJX363" s="1648">
        <v>335387.28629100003</v>
      </c>
      <c r="RJY363" s="1648">
        <v>337602.67972299998</v>
      </c>
      <c r="RJZ363" s="1648">
        <v>210440.148116</v>
      </c>
      <c r="RKA363" s="1648">
        <v>330912.82974800002</v>
      </c>
      <c r="RKB363" s="1648">
        <v>321507.96580100001</v>
      </c>
      <c r="RKC363" s="1648">
        <v>310040.96500000003</v>
      </c>
      <c r="RKD363" s="1648">
        <v>306104.158</v>
      </c>
      <c r="RKE363" s="1648">
        <v>350079.51500000001</v>
      </c>
      <c r="RKF363" s="1648">
        <v>376736.01</v>
      </c>
      <c r="RKG363" s="1648">
        <v>382165.86499999999</v>
      </c>
      <c r="RKH363" s="1648">
        <v>356897.57900000003</v>
      </c>
      <c r="RKI363" s="635">
        <v>3961904</v>
      </c>
      <c r="RKJ363" s="633">
        <f>SUM(RJW363:RKH363)</f>
        <v>3961903.5018060002</v>
      </c>
      <c r="RKK363" s="919" t="s">
        <v>1837</v>
      </c>
      <c r="RKL363" s="1643" t="s">
        <v>1838</v>
      </c>
      <c r="RKM363" s="1648">
        <v>344028.50012699998</v>
      </c>
      <c r="RKN363" s="1648">
        <v>335387.28629100003</v>
      </c>
      <c r="RKO363" s="1648">
        <v>337602.67972299998</v>
      </c>
      <c r="RKP363" s="1648">
        <v>210440.148116</v>
      </c>
      <c r="RKQ363" s="1648">
        <v>330912.82974800002</v>
      </c>
      <c r="RKR363" s="1648">
        <v>321507.96580100001</v>
      </c>
      <c r="RKS363" s="1648">
        <v>310040.96500000003</v>
      </c>
      <c r="RKT363" s="1648">
        <v>306104.158</v>
      </c>
      <c r="RKU363" s="1648">
        <v>350079.51500000001</v>
      </c>
      <c r="RKV363" s="1648">
        <v>376736.01</v>
      </c>
      <c r="RKW363" s="1648">
        <v>382165.86499999999</v>
      </c>
      <c r="RKX363" s="1648">
        <v>356897.57900000003</v>
      </c>
      <c r="RKY363" s="635">
        <v>3961904</v>
      </c>
      <c r="RKZ363" s="633">
        <f>SUM(RKM363:RKX363)</f>
        <v>3961903.5018060002</v>
      </c>
      <c r="RLA363" s="919" t="s">
        <v>1837</v>
      </c>
      <c r="RLB363" s="1643" t="s">
        <v>1838</v>
      </c>
      <c r="RLC363" s="1648">
        <v>344028.50012699998</v>
      </c>
      <c r="RLD363" s="1648">
        <v>335387.28629100003</v>
      </c>
      <c r="RLE363" s="1648">
        <v>337602.67972299998</v>
      </c>
      <c r="RLF363" s="1648">
        <v>210440.148116</v>
      </c>
      <c r="RLG363" s="1648">
        <v>330912.82974800002</v>
      </c>
      <c r="RLH363" s="1648">
        <v>321507.96580100001</v>
      </c>
      <c r="RLI363" s="1648">
        <v>310040.96500000003</v>
      </c>
      <c r="RLJ363" s="1648">
        <v>306104.158</v>
      </c>
      <c r="RLK363" s="1648">
        <v>350079.51500000001</v>
      </c>
      <c r="RLL363" s="1648">
        <v>376736.01</v>
      </c>
      <c r="RLM363" s="1648">
        <v>382165.86499999999</v>
      </c>
      <c r="RLN363" s="1648">
        <v>356897.57900000003</v>
      </c>
      <c r="RLO363" s="635">
        <v>3961904</v>
      </c>
      <c r="RLP363" s="633">
        <f>SUM(RLC363:RLN363)</f>
        <v>3961903.5018060002</v>
      </c>
      <c r="RLQ363" s="919" t="s">
        <v>1837</v>
      </c>
      <c r="RLR363" s="1643" t="s">
        <v>1838</v>
      </c>
      <c r="RLS363" s="1648">
        <v>344028.50012699998</v>
      </c>
      <c r="RLT363" s="1648">
        <v>335387.28629100003</v>
      </c>
      <c r="RLU363" s="1648">
        <v>337602.67972299998</v>
      </c>
      <c r="RLV363" s="1648">
        <v>210440.148116</v>
      </c>
      <c r="RLW363" s="1648">
        <v>330912.82974800002</v>
      </c>
      <c r="RLX363" s="1648">
        <v>321507.96580100001</v>
      </c>
      <c r="RLY363" s="1648">
        <v>310040.96500000003</v>
      </c>
      <c r="RLZ363" s="1648">
        <v>306104.158</v>
      </c>
      <c r="RMA363" s="1648">
        <v>350079.51500000001</v>
      </c>
      <c r="RMB363" s="1648">
        <v>376736.01</v>
      </c>
      <c r="RMC363" s="1648">
        <v>382165.86499999999</v>
      </c>
      <c r="RMD363" s="1648">
        <v>356897.57900000003</v>
      </c>
      <c r="RME363" s="635">
        <v>3961904</v>
      </c>
      <c r="RMF363" s="633">
        <f>SUM(RLS363:RMD363)</f>
        <v>3961903.5018060002</v>
      </c>
      <c r="RMG363" s="919" t="s">
        <v>1837</v>
      </c>
      <c r="RMH363" s="1643" t="s">
        <v>1838</v>
      </c>
      <c r="RMI363" s="1648">
        <v>344028.50012699998</v>
      </c>
      <c r="RMJ363" s="1648">
        <v>335387.28629100003</v>
      </c>
      <c r="RMK363" s="1648">
        <v>337602.67972299998</v>
      </c>
      <c r="RML363" s="1648">
        <v>210440.148116</v>
      </c>
      <c r="RMM363" s="1648">
        <v>330912.82974800002</v>
      </c>
      <c r="RMN363" s="1648">
        <v>321507.96580100001</v>
      </c>
      <c r="RMO363" s="1648">
        <v>310040.96500000003</v>
      </c>
      <c r="RMP363" s="1648">
        <v>306104.158</v>
      </c>
      <c r="RMQ363" s="1648">
        <v>350079.51500000001</v>
      </c>
      <c r="RMR363" s="1648">
        <v>376736.01</v>
      </c>
      <c r="RMS363" s="1648">
        <v>382165.86499999999</v>
      </c>
      <c r="RMT363" s="1648">
        <v>356897.57900000003</v>
      </c>
      <c r="RMU363" s="635">
        <v>3961904</v>
      </c>
      <c r="RMV363" s="633">
        <f>SUM(RMI363:RMT363)</f>
        <v>3961903.5018060002</v>
      </c>
      <c r="RMW363" s="919" t="s">
        <v>1837</v>
      </c>
      <c r="RMX363" s="1643" t="s">
        <v>1838</v>
      </c>
      <c r="RMY363" s="1648">
        <v>344028.50012699998</v>
      </c>
      <c r="RMZ363" s="1648">
        <v>335387.28629100003</v>
      </c>
      <c r="RNA363" s="1648">
        <v>337602.67972299998</v>
      </c>
      <c r="RNB363" s="1648">
        <v>210440.148116</v>
      </c>
      <c r="RNC363" s="1648">
        <v>330912.82974800002</v>
      </c>
      <c r="RND363" s="1648">
        <v>321507.96580100001</v>
      </c>
      <c r="RNE363" s="1648">
        <v>310040.96500000003</v>
      </c>
      <c r="RNF363" s="1648">
        <v>306104.158</v>
      </c>
      <c r="RNG363" s="1648">
        <v>350079.51500000001</v>
      </c>
      <c r="RNH363" s="1648">
        <v>376736.01</v>
      </c>
      <c r="RNI363" s="1648">
        <v>382165.86499999999</v>
      </c>
      <c r="RNJ363" s="1648">
        <v>356897.57900000003</v>
      </c>
      <c r="RNK363" s="635">
        <v>3961904</v>
      </c>
      <c r="RNL363" s="633">
        <f>SUM(RMY363:RNJ363)</f>
        <v>3961903.5018060002</v>
      </c>
      <c r="RNM363" s="919" t="s">
        <v>1837</v>
      </c>
      <c r="RNN363" s="1643" t="s">
        <v>1838</v>
      </c>
      <c r="RNO363" s="1648">
        <v>344028.50012699998</v>
      </c>
      <c r="RNP363" s="1648">
        <v>335387.28629100003</v>
      </c>
      <c r="RNQ363" s="1648">
        <v>337602.67972299998</v>
      </c>
      <c r="RNR363" s="1648">
        <v>210440.148116</v>
      </c>
      <c r="RNS363" s="1648">
        <v>330912.82974800002</v>
      </c>
      <c r="RNT363" s="1648">
        <v>321507.96580100001</v>
      </c>
      <c r="RNU363" s="1648">
        <v>310040.96500000003</v>
      </c>
      <c r="RNV363" s="1648">
        <v>306104.158</v>
      </c>
      <c r="RNW363" s="1648">
        <v>350079.51500000001</v>
      </c>
      <c r="RNX363" s="1648">
        <v>376736.01</v>
      </c>
      <c r="RNY363" s="1648">
        <v>382165.86499999999</v>
      </c>
      <c r="RNZ363" s="1648">
        <v>356897.57900000003</v>
      </c>
      <c r="ROA363" s="635">
        <v>3961904</v>
      </c>
      <c r="ROB363" s="633">
        <f>SUM(RNO363:RNZ363)</f>
        <v>3961903.5018060002</v>
      </c>
      <c r="ROC363" s="919" t="s">
        <v>1837</v>
      </c>
      <c r="ROD363" s="1643" t="s">
        <v>1838</v>
      </c>
      <c r="ROE363" s="1648">
        <v>344028.50012699998</v>
      </c>
      <c r="ROF363" s="1648">
        <v>335387.28629100003</v>
      </c>
      <c r="ROG363" s="1648">
        <v>337602.67972299998</v>
      </c>
      <c r="ROH363" s="1648">
        <v>210440.148116</v>
      </c>
      <c r="ROI363" s="1648">
        <v>330912.82974800002</v>
      </c>
      <c r="ROJ363" s="1648">
        <v>321507.96580100001</v>
      </c>
      <c r="ROK363" s="1648">
        <v>310040.96500000003</v>
      </c>
      <c r="ROL363" s="1648">
        <v>306104.158</v>
      </c>
      <c r="ROM363" s="1648">
        <v>350079.51500000001</v>
      </c>
      <c r="RON363" s="1648">
        <v>376736.01</v>
      </c>
      <c r="ROO363" s="1648">
        <v>382165.86499999999</v>
      </c>
      <c r="ROP363" s="1648">
        <v>356897.57900000003</v>
      </c>
      <c r="ROQ363" s="635">
        <v>3961904</v>
      </c>
      <c r="ROR363" s="633">
        <f>SUM(ROE363:ROP363)</f>
        <v>3961903.5018060002</v>
      </c>
      <c r="ROS363" s="919" t="s">
        <v>1837</v>
      </c>
      <c r="ROT363" s="1643" t="s">
        <v>1838</v>
      </c>
      <c r="ROU363" s="1648">
        <v>344028.50012699998</v>
      </c>
      <c r="ROV363" s="1648">
        <v>335387.28629100003</v>
      </c>
      <c r="ROW363" s="1648">
        <v>337602.67972299998</v>
      </c>
      <c r="ROX363" s="1648">
        <v>210440.148116</v>
      </c>
      <c r="ROY363" s="1648">
        <v>330912.82974800002</v>
      </c>
      <c r="ROZ363" s="1648">
        <v>321507.96580100001</v>
      </c>
      <c r="RPA363" s="1648">
        <v>310040.96500000003</v>
      </c>
      <c r="RPB363" s="1648">
        <v>306104.158</v>
      </c>
      <c r="RPC363" s="1648">
        <v>350079.51500000001</v>
      </c>
      <c r="RPD363" s="1648">
        <v>376736.01</v>
      </c>
      <c r="RPE363" s="1648">
        <v>382165.86499999999</v>
      </c>
      <c r="RPF363" s="1648">
        <v>356897.57900000003</v>
      </c>
      <c r="RPG363" s="635">
        <v>3961904</v>
      </c>
      <c r="RPH363" s="633">
        <f>SUM(ROU363:RPF363)</f>
        <v>3961903.5018060002</v>
      </c>
      <c r="RPI363" s="919" t="s">
        <v>1837</v>
      </c>
      <c r="RPJ363" s="1643" t="s">
        <v>1838</v>
      </c>
      <c r="RPK363" s="1648">
        <v>344028.50012699998</v>
      </c>
      <c r="RPL363" s="1648">
        <v>335387.28629100003</v>
      </c>
      <c r="RPM363" s="1648">
        <v>337602.67972299998</v>
      </c>
      <c r="RPN363" s="1648">
        <v>210440.148116</v>
      </c>
      <c r="RPO363" s="1648">
        <v>330912.82974800002</v>
      </c>
      <c r="RPP363" s="1648">
        <v>321507.96580100001</v>
      </c>
      <c r="RPQ363" s="1648">
        <v>310040.96500000003</v>
      </c>
      <c r="RPR363" s="1648">
        <v>306104.158</v>
      </c>
      <c r="RPS363" s="1648">
        <v>350079.51500000001</v>
      </c>
      <c r="RPT363" s="1648">
        <v>376736.01</v>
      </c>
      <c r="RPU363" s="1648">
        <v>382165.86499999999</v>
      </c>
      <c r="RPV363" s="1648">
        <v>356897.57900000003</v>
      </c>
      <c r="RPW363" s="635">
        <v>3961904</v>
      </c>
      <c r="RPX363" s="633">
        <f>SUM(RPK363:RPV363)</f>
        <v>3961903.5018060002</v>
      </c>
      <c r="RPY363" s="919" t="s">
        <v>1837</v>
      </c>
      <c r="RPZ363" s="1643" t="s">
        <v>1838</v>
      </c>
      <c r="RQA363" s="1648">
        <v>344028.50012699998</v>
      </c>
      <c r="RQB363" s="1648">
        <v>335387.28629100003</v>
      </c>
      <c r="RQC363" s="1648">
        <v>337602.67972299998</v>
      </c>
      <c r="RQD363" s="1648">
        <v>210440.148116</v>
      </c>
      <c r="RQE363" s="1648">
        <v>330912.82974800002</v>
      </c>
      <c r="RQF363" s="1648">
        <v>321507.96580100001</v>
      </c>
      <c r="RQG363" s="1648">
        <v>310040.96500000003</v>
      </c>
      <c r="RQH363" s="1648">
        <v>306104.158</v>
      </c>
      <c r="RQI363" s="1648">
        <v>350079.51500000001</v>
      </c>
      <c r="RQJ363" s="1648">
        <v>376736.01</v>
      </c>
      <c r="RQK363" s="1648">
        <v>382165.86499999999</v>
      </c>
      <c r="RQL363" s="1648">
        <v>356897.57900000003</v>
      </c>
      <c r="RQM363" s="635">
        <v>3961904</v>
      </c>
      <c r="RQN363" s="633">
        <f>SUM(RQA363:RQL363)</f>
        <v>3961903.5018060002</v>
      </c>
      <c r="RQO363" s="919" t="s">
        <v>1837</v>
      </c>
      <c r="RQP363" s="1643" t="s">
        <v>1838</v>
      </c>
      <c r="RQQ363" s="1648">
        <v>344028.50012699998</v>
      </c>
      <c r="RQR363" s="1648">
        <v>335387.28629100003</v>
      </c>
      <c r="RQS363" s="1648">
        <v>337602.67972299998</v>
      </c>
      <c r="RQT363" s="1648">
        <v>210440.148116</v>
      </c>
      <c r="RQU363" s="1648">
        <v>330912.82974800002</v>
      </c>
      <c r="RQV363" s="1648">
        <v>321507.96580100001</v>
      </c>
      <c r="RQW363" s="1648">
        <v>310040.96500000003</v>
      </c>
      <c r="RQX363" s="1648">
        <v>306104.158</v>
      </c>
      <c r="RQY363" s="1648">
        <v>350079.51500000001</v>
      </c>
      <c r="RQZ363" s="1648">
        <v>376736.01</v>
      </c>
      <c r="RRA363" s="1648">
        <v>382165.86499999999</v>
      </c>
      <c r="RRB363" s="1648">
        <v>356897.57900000003</v>
      </c>
      <c r="RRC363" s="635">
        <v>3961904</v>
      </c>
      <c r="RRD363" s="633">
        <f>SUM(RQQ363:RRB363)</f>
        <v>3961903.5018060002</v>
      </c>
      <c r="RRE363" s="919" t="s">
        <v>1837</v>
      </c>
      <c r="RRF363" s="1643" t="s">
        <v>1838</v>
      </c>
      <c r="RRG363" s="1648">
        <v>344028.50012699998</v>
      </c>
      <c r="RRH363" s="1648">
        <v>335387.28629100003</v>
      </c>
      <c r="RRI363" s="1648">
        <v>337602.67972299998</v>
      </c>
      <c r="RRJ363" s="1648">
        <v>210440.148116</v>
      </c>
      <c r="RRK363" s="1648">
        <v>330912.82974800002</v>
      </c>
      <c r="RRL363" s="1648">
        <v>321507.96580100001</v>
      </c>
      <c r="RRM363" s="1648">
        <v>310040.96500000003</v>
      </c>
      <c r="RRN363" s="1648">
        <v>306104.158</v>
      </c>
      <c r="RRO363" s="1648">
        <v>350079.51500000001</v>
      </c>
      <c r="RRP363" s="1648">
        <v>376736.01</v>
      </c>
      <c r="RRQ363" s="1648">
        <v>382165.86499999999</v>
      </c>
      <c r="RRR363" s="1648">
        <v>356897.57900000003</v>
      </c>
      <c r="RRS363" s="635">
        <v>3961904</v>
      </c>
      <c r="RRT363" s="633">
        <f>SUM(RRG363:RRR363)</f>
        <v>3961903.5018060002</v>
      </c>
      <c r="RRU363" s="919" t="s">
        <v>1837</v>
      </c>
      <c r="RRV363" s="1643" t="s">
        <v>1838</v>
      </c>
      <c r="RRW363" s="1648">
        <v>344028.50012699998</v>
      </c>
      <c r="RRX363" s="1648">
        <v>335387.28629100003</v>
      </c>
      <c r="RRY363" s="1648">
        <v>337602.67972299998</v>
      </c>
      <c r="RRZ363" s="1648">
        <v>210440.148116</v>
      </c>
      <c r="RSA363" s="1648">
        <v>330912.82974800002</v>
      </c>
      <c r="RSB363" s="1648">
        <v>321507.96580100001</v>
      </c>
      <c r="RSC363" s="1648">
        <v>310040.96500000003</v>
      </c>
      <c r="RSD363" s="1648">
        <v>306104.158</v>
      </c>
      <c r="RSE363" s="1648">
        <v>350079.51500000001</v>
      </c>
      <c r="RSF363" s="1648">
        <v>376736.01</v>
      </c>
      <c r="RSG363" s="1648">
        <v>382165.86499999999</v>
      </c>
      <c r="RSH363" s="1648">
        <v>356897.57900000003</v>
      </c>
      <c r="RSI363" s="635">
        <v>3961904</v>
      </c>
      <c r="RSJ363" s="633">
        <f>SUM(RRW363:RSH363)</f>
        <v>3961903.5018060002</v>
      </c>
      <c r="RSK363" s="919" t="s">
        <v>1837</v>
      </c>
      <c r="RSL363" s="1643" t="s">
        <v>1838</v>
      </c>
      <c r="RSM363" s="1648">
        <v>344028.50012699998</v>
      </c>
      <c r="RSN363" s="1648">
        <v>335387.28629100003</v>
      </c>
      <c r="RSO363" s="1648">
        <v>337602.67972299998</v>
      </c>
      <c r="RSP363" s="1648">
        <v>210440.148116</v>
      </c>
      <c r="RSQ363" s="1648">
        <v>330912.82974800002</v>
      </c>
      <c r="RSR363" s="1648">
        <v>321507.96580100001</v>
      </c>
      <c r="RSS363" s="1648">
        <v>310040.96500000003</v>
      </c>
      <c r="RST363" s="1648">
        <v>306104.158</v>
      </c>
      <c r="RSU363" s="1648">
        <v>350079.51500000001</v>
      </c>
      <c r="RSV363" s="1648">
        <v>376736.01</v>
      </c>
      <c r="RSW363" s="1648">
        <v>382165.86499999999</v>
      </c>
      <c r="RSX363" s="1648">
        <v>356897.57900000003</v>
      </c>
      <c r="RSY363" s="635">
        <v>3961904</v>
      </c>
      <c r="RSZ363" s="633">
        <f>SUM(RSM363:RSX363)</f>
        <v>3961903.5018060002</v>
      </c>
      <c r="RTA363" s="919" t="s">
        <v>1837</v>
      </c>
      <c r="RTB363" s="1643" t="s">
        <v>1838</v>
      </c>
      <c r="RTC363" s="1648">
        <v>344028.50012699998</v>
      </c>
      <c r="RTD363" s="1648">
        <v>335387.28629100003</v>
      </c>
      <c r="RTE363" s="1648">
        <v>337602.67972299998</v>
      </c>
      <c r="RTF363" s="1648">
        <v>210440.148116</v>
      </c>
      <c r="RTG363" s="1648">
        <v>330912.82974800002</v>
      </c>
      <c r="RTH363" s="1648">
        <v>321507.96580100001</v>
      </c>
      <c r="RTI363" s="1648">
        <v>310040.96500000003</v>
      </c>
      <c r="RTJ363" s="1648">
        <v>306104.158</v>
      </c>
      <c r="RTK363" s="1648">
        <v>350079.51500000001</v>
      </c>
      <c r="RTL363" s="1648">
        <v>376736.01</v>
      </c>
      <c r="RTM363" s="1648">
        <v>382165.86499999999</v>
      </c>
      <c r="RTN363" s="1648">
        <v>356897.57900000003</v>
      </c>
      <c r="RTO363" s="635">
        <v>3961904</v>
      </c>
      <c r="RTP363" s="633">
        <f>SUM(RTC363:RTN363)</f>
        <v>3961903.5018060002</v>
      </c>
      <c r="RTQ363" s="919" t="s">
        <v>1837</v>
      </c>
      <c r="RTR363" s="1643" t="s">
        <v>1838</v>
      </c>
      <c r="RTS363" s="1648">
        <v>344028.50012699998</v>
      </c>
      <c r="RTT363" s="1648">
        <v>335387.28629100003</v>
      </c>
      <c r="RTU363" s="1648">
        <v>337602.67972299998</v>
      </c>
      <c r="RTV363" s="1648">
        <v>210440.148116</v>
      </c>
      <c r="RTW363" s="1648">
        <v>330912.82974800002</v>
      </c>
      <c r="RTX363" s="1648">
        <v>321507.96580100001</v>
      </c>
      <c r="RTY363" s="1648">
        <v>310040.96500000003</v>
      </c>
      <c r="RTZ363" s="1648">
        <v>306104.158</v>
      </c>
      <c r="RUA363" s="1648">
        <v>350079.51500000001</v>
      </c>
      <c r="RUB363" s="1648">
        <v>376736.01</v>
      </c>
      <c r="RUC363" s="1648">
        <v>382165.86499999999</v>
      </c>
      <c r="RUD363" s="1648">
        <v>356897.57900000003</v>
      </c>
      <c r="RUE363" s="635">
        <v>3961904</v>
      </c>
      <c r="RUF363" s="633">
        <f>SUM(RTS363:RUD363)</f>
        <v>3961903.5018060002</v>
      </c>
      <c r="RUG363" s="919" t="s">
        <v>1837</v>
      </c>
      <c r="RUH363" s="1643" t="s">
        <v>1838</v>
      </c>
      <c r="RUI363" s="1648">
        <v>344028.50012699998</v>
      </c>
      <c r="RUJ363" s="1648">
        <v>335387.28629100003</v>
      </c>
      <c r="RUK363" s="1648">
        <v>337602.67972299998</v>
      </c>
      <c r="RUL363" s="1648">
        <v>210440.148116</v>
      </c>
      <c r="RUM363" s="1648">
        <v>330912.82974800002</v>
      </c>
      <c r="RUN363" s="1648">
        <v>321507.96580100001</v>
      </c>
      <c r="RUO363" s="1648">
        <v>310040.96500000003</v>
      </c>
      <c r="RUP363" s="1648">
        <v>306104.158</v>
      </c>
      <c r="RUQ363" s="1648">
        <v>350079.51500000001</v>
      </c>
      <c r="RUR363" s="1648">
        <v>376736.01</v>
      </c>
      <c r="RUS363" s="1648">
        <v>382165.86499999999</v>
      </c>
      <c r="RUT363" s="1648">
        <v>356897.57900000003</v>
      </c>
      <c r="RUU363" s="635">
        <v>3961904</v>
      </c>
      <c r="RUV363" s="633">
        <f>SUM(RUI363:RUT363)</f>
        <v>3961903.5018060002</v>
      </c>
      <c r="RUW363" s="919" t="s">
        <v>1837</v>
      </c>
      <c r="RUX363" s="1643" t="s">
        <v>1838</v>
      </c>
      <c r="RUY363" s="1648">
        <v>344028.50012699998</v>
      </c>
      <c r="RUZ363" s="1648">
        <v>335387.28629100003</v>
      </c>
      <c r="RVA363" s="1648">
        <v>337602.67972299998</v>
      </c>
      <c r="RVB363" s="1648">
        <v>210440.148116</v>
      </c>
      <c r="RVC363" s="1648">
        <v>330912.82974800002</v>
      </c>
      <c r="RVD363" s="1648">
        <v>321507.96580100001</v>
      </c>
      <c r="RVE363" s="1648">
        <v>310040.96500000003</v>
      </c>
      <c r="RVF363" s="1648">
        <v>306104.158</v>
      </c>
      <c r="RVG363" s="1648">
        <v>350079.51500000001</v>
      </c>
      <c r="RVH363" s="1648">
        <v>376736.01</v>
      </c>
      <c r="RVI363" s="1648">
        <v>382165.86499999999</v>
      </c>
      <c r="RVJ363" s="1648">
        <v>356897.57900000003</v>
      </c>
      <c r="RVK363" s="635">
        <v>3961904</v>
      </c>
      <c r="RVL363" s="633">
        <f>SUM(RUY363:RVJ363)</f>
        <v>3961903.5018060002</v>
      </c>
      <c r="RVM363" s="919" t="s">
        <v>1837</v>
      </c>
      <c r="RVN363" s="1643" t="s">
        <v>1838</v>
      </c>
      <c r="RVO363" s="1648">
        <v>344028.50012699998</v>
      </c>
      <c r="RVP363" s="1648">
        <v>335387.28629100003</v>
      </c>
      <c r="RVQ363" s="1648">
        <v>337602.67972299998</v>
      </c>
      <c r="RVR363" s="1648">
        <v>210440.148116</v>
      </c>
      <c r="RVS363" s="1648">
        <v>330912.82974800002</v>
      </c>
      <c r="RVT363" s="1648">
        <v>321507.96580100001</v>
      </c>
      <c r="RVU363" s="1648">
        <v>310040.96500000003</v>
      </c>
      <c r="RVV363" s="1648">
        <v>306104.158</v>
      </c>
      <c r="RVW363" s="1648">
        <v>350079.51500000001</v>
      </c>
      <c r="RVX363" s="1648">
        <v>376736.01</v>
      </c>
      <c r="RVY363" s="1648">
        <v>382165.86499999999</v>
      </c>
      <c r="RVZ363" s="1648">
        <v>356897.57900000003</v>
      </c>
      <c r="RWA363" s="635">
        <v>3961904</v>
      </c>
      <c r="RWB363" s="633">
        <f>SUM(RVO363:RVZ363)</f>
        <v>3961903.5018060002</v>
      </c>
      <c r="RWC363" s="919" t="s">
        <v>1837</v>
      </c>
      <c r="RWD363" s="1643" t="s">
        <v>1838</v>
      </c>
      <c r="RWE363" s="1648">
        <v>344028.50012699998</v>
      </c>
      <c r="RWF363" s="1648">
        <v>335387.28629100003</v>
      </c>
      <c r="RWG363" s="1648">
        <v>337602.67972299998</v>
      </c>
      <c r="RWH363" s="1648">
        <v>210440.148116</v>
      </c>
      <c r="RWI363" s="1648">
        <v>330912.82974800002</v>
      </c>
      <c r="RWJ363" s="1648">
        <v>321507.96580100001</v>
      </c>
      <c r="RWK363" s="1648">
        <v>310040.96500000003</v>
      </c>
      <c r="RWL363" s="1648">
        <v>306104.158</v>
      </c>
      <c r="RWM363" s="1648">
        <v>350079.51500000001</v>
      </c>
      <c r="RWN363" s="1648">
        <v>376736.01</v>
      </c>
      <c r="RWO363" s="1648">
        <v>382165.86499999999</v>
      </c>
      <c r="RWP363" s="1648">
        <v>356897.57900000003</v>
      </c>
      <c r="RWQ363" s="635">
        <v>3961904</v>
      </c>
      <c r="RWR363" s="633">
        <f>SUM(RWE363:RWP363)</f>
        <v>3961903.5018060002</v>
      </c>
      <c r="RWS363" s="919" t="s">
        <v>1837</v>
      </c>
      <c r="RWT363" s="1643" t="s">
        <v>1838</v>
      </c>
      <c r="RWU363" s="1648">
        <v>344028.50012699998</v>
      </c>
      <c r="RWV363" s="1648">
        <v>335387.28629100003</v>
      </c>
      <c r="RWW363" s="1648">
        <v>337602.67972299998</v>
      </c>
      <c r="RWX363" s="1648">
        <v>210440.148116</v>
      </c>
      <c r="RWY363" s="1648">
        <v>330912.82974800002</v>
      </c>
      <c r="RWZ363" s="1648">
        <v>321507.96580100001</v>
      </c>
      <c r="RXA363" s="1648">
        <v>310040.96500000003</v>
      </c>
      <c r="RXB363" s="1648">
        <v>306104.158</v>
      </c>
      <c r="RXC363" s="1648">
        <v>350079.51500000001</v>
      </c>
      <c r="RXD363" s="1648">
        <v>376736.01</v>
      </c>
      <c r="RXE363" s="1648">
        <v>382165.86499999999</v>
      </c>
      <c r="RXF363" s="1648">
        <v>356897.57900000003</v>
      </c>
      <c r="RXG363" s="635">
        <v>3961904</v>
      </c>
      <c r="RXH363" s="633">
        <f>SUM(RWU363:RXF363)</f>
        <v>3961903.5018060002</v>
      </c>
      <c r="RXI363" s="919" t="s">
        <v>1837</v>
      </c>
      <c r="RXJ363" s="1643" t="s">
        <v>1838</v>
      </c>
      <c r="RXK363" s="1648">
        <v>344028.50012699998</v>
      </c>
      <c r="RXL363" s="1648">
        <v>335387.28629100003</v>
      </c>
      <c r="RXM363" s="1648">
        <v>337602.67972299998</v>
      </c>
      <c r="RXN363" s="1648">
        <v>210440.148116</v>
      </c>
      <c r="RXO363" s="1648">
        <v>330912.82974800002</v>
      </c>
      <c r="RXP363" s="1648">
        <v>321507.96580100001</v>
      </c>
      <c r="RXQ363" s="1648">
        <v>310040.96500000003</v>
      </c>
      <c r="RXR363" s="1648">
        <v>306104.158</v>
      </c>
      <c r="RXS363" s="1648">
        <v>350079.51500000001</v>
      </c>
      <c r="RXT363" s="1648">
        <v>376736.01</v>
      </c>
      <c r="RXU363" s="1648">
        <v>382165.86499999999</v>
      </c>
      <c r="RXV363" s="1648">
        <v>356897.57900000003</v>
      </c>
      <c r="RXW363" s="635">
        <v>3961904</v>
      </c>
      <c r="RXX363" s="633">
        <f>SUM(RXK363:RXV363)</f>
        <v>3961903.5018060002</v>
      </c>
      <c r="RXY363" s="919" t="s">
        <v>1837</v>
      </c>
      <c r="RXZ363" s="1643" t="s">
        <v>1838</v>
      </c>
      <c r="RYA363" s="1648">
        <v>344028.50012699998</v>
      </c>
      <c r="RYB363" s="1648">
        <v>335387.28629100003</v>
      </c>
      <c r="RYC363" s="1648">
        <v>337602.67972299998</v>
      </c>
      <c r="RYD363" s="1648">
        <v>210440.148116</v>
      </c>
      <c r="RYE363" s="1648">
        <v>330912.82974800002</v>
      </c>
      <c r="RYF363" s="1648">
        <v>321507.96580100001</v>
      </c>
      <c r="RYG363" s="1648">
        <v>310040.96500000003</v>
      </c>
      <c r="RYH363" s="1648">
        <v>306104.158</v>
      </c>
      <c r="RYI363" s="1648">
        <v>350079.51500000001</v>
      </c>
      <c r="RYJ363" s="1648">
        <v>376736.01</v>
      </c>
      <c r="RYK363" s="1648">
        <v>382165.86499999999</v>
      </c>
      <c r="RYL363" s="1648">
        <v>356897.57900000003</v>
      </c>
      <c r="RYM363" s="635">
        <v>3961904</v>
      </c>
      <c r="RYN363" s="633">
        <f>SUM(RYA363:RYL363)</f>
        <v>3961903.5018060002</v>
      </c>
      <c r="RYO363" s="919" t="s">
        <v>1837</v>
      </c>
      <c r="RYP363" s="1643" t="s">
        <v>1838</v>
      </c>
      <c r="RYQ363" s="1648">
        <v>344028.50012699998</v>
      </c>
      <c r="RYR363" s="1648">
        <v>335387.28629100003</v>
      </c>
      <c r="RYS363" s="1648">
        <v>337602.67972299998</v>
      </c>
      <c r="RYT363" s="1648">
        <v>210440.148116</v>
      </c>
      <c r="RYU363" s="1648">
        <v>330912.82974800002</v>
      </c>
      <c r="RYV363" s="1648">
        <v>321507.96580100001</v>
      </c>
      <c r="RYW363" s="1648">
        <v>310040.96500000003</v>
      </c>
      <c r="RYX363" s="1648">
        <v>306104.158</v>
      </c>
      <c r="RYY363" s="1648">
        <v>350079.51500000001</v>
      </c>
      <c r="RYZ363" s="1648">
        <v>376736.01</v>
      </c>
      <c r="RZA363" s="1648">
        <v>382165.86499999999</v>
      </c>
      <c r="RZB363" s="1648">
        <v>356897.57900000003</v>
      </c>
      <c r="RZC363" s="635">
        <v>3961904</v>
      </c>
      <c r="RZD363" s="633">
        <f>SUM(RYQ363:RZB363)</f>
        <v>3961903.5018060002</v>
      </c>
      <c r="RZE363" s="919" t="s">
        <v>1837</v>
      </c>
      <c r="RZF363" s="1643" t="s">
        <v>1838</v>
      </c>
      <c r="RZG363" s="1648">
        <v>344028.50012699998</v>
      </c>
      <c r="RZH363" s="1648">
        <v>335387.28629100003</v>
      </c>
      <c r="RZI363" s="1648">
        <v>337602.67972299998</v>
      </c>
      <c r="RZJ363" s="1648">
        <v>210440.148116</v>
      </c>
      <c r="RZK363" s="1648">
        <v>330912.82974800002</v>
      </c>
      <c r="RZL363" s="1648">
        <v>321507.96580100001</v>
      </c>
      <c r="RZM363" s="1648">
        <v>310040.96500000003</v>
      </c>
      <c r="RZN363" s="1648">
        <v>306104.158</v>
      </c>
      <c r="RZO363" s="1648">
        <v>350079.51500000001</v>
      </c>
      <c r="RZP363" s="1648">
        <v>376736.01</v>
      </c>
      <c r="RZQ363" s="1648">
        <v>382165.86499999999</v>
      </c>
      <c r="RZR363" s="1648">
        <v>356897.57900000003</v>
      </c>
      <c r="RZS363" s="635">
        <v>3961904</v>
      </c>
      <c r="RZT363" s="633">
        <f>SUM(RZG363:RZR363)</f>
        <v>3961903.5018060002</v>
      </c>
      <c r="RZU363" s="919" t="s">
        <v>1837</v>
      </c>
      <c r="RZV363" s="1643" t="s">
        <v>1838</v>
      </c>
      <c r="RZW363" s="1648">
        <v>344028.50012699998</v>
      </c>
      <c r="RZX363" s="1648">
        <v>335387.28629100003</v>
      </c>
      <c r="RZY363" s="1648">
        <v>337602.67972299998</v>
      </c>
      <c r="RZZ363" s="1648">
        <v>210440.148116</v>
      </c>
      <c r="SAA363" s="1648">
        <v>330912.82974800002</v>
      </c>
      <c r="SAB363" s="1648">
        <v>321507.96580100001</v>
      </c>
      <c r="SAC363" s="1648">
        <v>310040.96500000003</v>
      </c>
      <c r="SAD363" s="1648">
        <v>306104.158</v>
      </c>
      <c r="SAE363" s="1648">
        <v>350079.51500000001</v>
      </c>
      <c r="SAF363" s="1648">
        <v>376736.01</v>
      </c>
      <c r="SAG363" s="1648">
        <v>382165.86499999999</v>
      </c>
      <c r="SAH363" s="1648">
        <v>356897.57900000003</v>
      </c>
      <c r="SAI363" s="635">
        <v>3961904</v>
      </c>
      <c r="SAJ363" s="633">
        <f>SUM(RZW363:SAH363)</f>
        <v>3961903.5018060002</v>
      </c>
      <c r="SAK363" s="919" t="s">
        <v>1837</v>
      </c>
      <c r="SAL363" s="1643" t="s">
        <v>1838</v>
      </c>
      <c r="SAM363" s="1648">
        <v>344028.50012699998</v>
      </c>
      <c r="SAN363" s="1648">
        <v>335387.28629100003</v>
      </c>
      <c r="SAO363" s="1648">
        <v>337602.67972299998</v>
      </c>
      <c r="SAP363" s="1648">
        <v>210440.148116</v>
      </c>
      <c r="SAQ363" s="1648">
        <v>330912.82974800002</v>
      </c>
      <c r="SAR363" s="1648">
        <v>321507.96580100001</v>
      </c>
      <c r="SAS363" s="1648">
        <v>310040.96500000003</v>
      </c>
      <c r="SAT363" s="1648">
        <v>306104.158</v>
      </c>
      <c r="SAU363" s="1648">
        <v>350079.51500000001</v>
      </c>
      <c r="SAV363" s="1648">
        <v>376736.01</v>
      </c>
      <c r="SAW363" s="1648">
        <v>382165.86499999999</v>
      </c>
      <c r="SAX363" s="1648">
        <v>356897.57900000003</v>
      </c>
      <c r="SAY363" s="635">
        <v>3961904</v>
      </c>
      <c r="SAZ363" s="633">
        <f>SUM(SAM363:SAX363)</f>
        <v>3961903.5018060002</v>
      </c>
      <c r="SBA363" s="919" t="s">
        <v>1837</v>
      </c>
      <c r="SBB363" s="1643" t="s">
        <v>1838</v>
      </c>
      <c r="SBC363" s="1648">
        <v>344028.50012699998</v>
      </c>
      <c r="SBD363" s="1648">
        <v>335387.28629100003</v>
      </c>
      <c r="SBE363" s="1648">
        <v>337602.67972299998</v>
      </c>
      <c r="SBF363" s="1648">
        <v>210440.148116</v>
      </c>
      <c r="SBG363" s="1648">
        <v>330912.82974800002</v>
      </c>
      <c r="SBH363" s="1648">
        <v>321507.96580100001</v>
      </c>
      <c r="SBI363" s="1648">
        <v>310040.96500000003</v>
      </c>
      <c r="SBJ363" s="1648">
        <v>306104.158</v>
      </c>
      <c r="SBK363" s="1648">
        <v>350079.51500000001</v>
      </c>
      <c r="SBL363" s="1648">
        <v>376736.01</v>
      </c>
      <c r="SBM363" s="1648">
        <v>382165.86499999999</v>
      </c>
      <c r="SBN363" s="1648">
        <v>356897.57900000003</v>
      </c>
      <c r="SBO363" s="635">
        <v>3961904</v>
      </c>
      <c r="SBP363" s="633">
        <f>SUM(SBC363:SBN363)</f>
        <v>3961903.5018060002</v>
      </c>
      <c r="SBQ363" s="919" t="s">
        <v>1837</v>
      </c>
      <c r="SBR363" s="1643" t="s">
        <v>1838</v>
      </c>
      <c r="SBS363" s="1648">
        <v>344028.50012699998</v>
      </c>
      <c r="SBT363" s="1648">
        <v>335387.28629100003</v>
      </c>
      <c r="SBU363" s="1648">
        <v>337602.67972299998</v>
      </c>
      <c r="SBV363" s="1648">
        <v>210440.148116</v>
      </c>
      <c r="SBW363" s="1648">
        <v>330912.82974800002</v>
      </c>
      <c r="SBX363" s="1648">
        <v>321507.96580100001</v>
      </c>
      <c r="SBY363" s="1648">
        <v>310040.96500000003</v>
      </c>
      <c r="SBZ363" s="1648">
        <v>306104.158</v>
      </c>
      <c r="SCA363" s="1648">
        <v>350079.51500000001</v>
      </c>
      <c r="SCB363" s="1648">
        <v>376736.01</v>
      </c>
      <c r="SCC363" s="1648">
        <v>382165.86499999999</v>
      </c>
      <c r="SCD363" s="1648">
        <v>356897.57900000003</v>
      </c>
      <c r="SCE363" s="635">
        <v>3961904</v>
      </c>
      <c r="SCF363" s="633">
        <f>SUM(SBS363:SCD363)</f>
        <v>3961903.5018060002</v>
      </c>
      <c r="SCG363" s="919" t="s">
        <v>1837</v>
      </c>
      <c r="SCH363" s="1643" t="s">
        <v>1838</v>
      </c>
      <c r="SCI363" s="1648">
        <v>344028.50012699998</v>
      </c>
      <c r="SCJ363" s="1648">
        <v>335387.28629100003</v>
      </c>
      <c r="SCK363" s="1648">
        <v>337602.67972299998</v>
      </c>
      <c r="SCL363" s="1648">
        <v>210440.148116</v>
      </c>
      <c r="SCM363" s="1648">
        <v>330912.82974800002</v>
      </c>
      <c r="SCN363" s="1648">
        <v>321507.96580100001</v>
      </c>
      <c r="SCO363" s="1648">
        <v>310040.96500000003</v>
      </c>
      <c r="SCP363" s="1648">
        <v>306104.158</v>
      </c>
      <c r="SCQ363" s="1648">
        <v>350079.51500000001</v>
      </c>
      <c r="SCR363" s="1648">
        <v>376736.01</v>
      </c>
      <c r="SCS363" s="1648">
        <v>382165.86499999999</v>
      </c>
      <c r="SCT363" s="1648">
        <v>356897.57900000003</v>
      </c>
      <c r="SCU363" s="635">
        <v>3961904</v>
      </c>
      <c r="SCV363" s="633">
        <f>SUM(SCI363:SCT363)</f>
        <v>3961903.5018060002</v>
      </c>
      <c r="SCW363" s="919" t="s">
        <v>1837</v>
      </c>
      <c r="SCX363" s="1643" t="s">
        <v>1838</v>
      </c>
      <c r="SCY363" s="1648">
        <v>344028.50012699998</v>
      </c>
      <c r="SCZ363" s="1648">
        <v>335387.28629100003</v>
      </c>
      <c r="SDA363" s="1648">
        <v>337602.67972299998</v>
      </c>
      <c r="SDB363" s="1648">
        <v>210440.148116</v>
      </c>
      <c r="SDC363" s="1648">
        <v>330912.82974800002</v>
      </c>
      <c r="SDD363" s="1648">
        <v>321507.96580100001</v>
      </c>
      <c r="SDE363" s="1648">
        <v>310040.96500000003</v>
      </c>
      <c r="SDF363" s="1648">
        <v>306104.158</v>
      </c>
      <c r="SDG363" s="1648">
        <v>350079.51500000001</v>
      </c>
      <c r="SDH363" s="1648">
        <v>376736.01</v>
      </c>
      <c r="SDI363" s="1648">
        <v>382165.86499999999</v>
      </c>
      <c r="SDJ363" s="1648">
        <v>356897.57900000003</v>
      </c>
      <c r="SDK363" s="635">
        <v>3961904</v>
      </c>
      <c r="SDL363" s="633">
        <f>SUM(SCY363:SDJ363)</f>
        <v>3961903.5018060002</v>
      </c>
      <c r="SDM363" s="919" t="s">
        <v>1837</v>
      </c>
      <c r="SDN363" s="1643" t="s">
        <v>1838</v>
      </c>
      <c r="SDO363" s="1648">
        <v>344028.50012699998</v>
      </c>
      <c r="SDP363" s="1648">
        <v>335387.28629100003</v>
      </c>
      <c r="SDQ363" s="1648">
        <v>337602.67972299998</v>
      </c>
      <c r="SDR363" s="1648">
        <v>210440.148116</v>
      </c>
      <c r="SDS363" s="1648">
        <v>330912.82974800002</v>
      </c>
      <c r="SDT363" s="1648">
        <v>321507.96580100001</v>
      </c>
      <c r="SDU363" s="1648">
        <v>310040.96500000003</v>
      </c>
      <c r="SDV363" s="1648">
        <v>306104.158</v>
      </c>
      <c r="SDW363" s="1648">
        <v>350079.51500000001</v>
      </c>
      <c r="SDX363" s="1648">
        <v>376736.01</v>
      </c>
      <c r="SDY363" s="1648">
        <v>382165.86499999999</v>
      </c>
      <c r="SDZ363" s="1648">
        <v>356897.57900000003</v>
      </c>
      <c r="SEA363" s="635">
        <v>3961904</v>
      </c>
      <c r="SEB363" s="633">
        <f>SUM(SDO363:SDZ363)</f>
        <v>3961903.5018060002</v>
      </c>
      <c r="SEC363" s="919" t="s">
        <v>1837</v>
      </c>
      <c r="SED363" s="1643" t="s">
        <v>1838</v>
      </c>
      <c r="SEE363" s="1648">
        <v>344028.50012699998</v>
      </c>
      <c r="SEF363" s="1648">
        <v>335387.28629100003</v>
      </c>
      <c r="SEG363" s="1648">
        <v>337602.67972299998</v>
      </c>
      <c r="SEH363" s="1648">
        <v>210440.148116</v>
      </c>
      <c r="SEI363" s="1648">
        <v>330912.82974800002</v>
      </c>
      <c r="SEJ363" s="1648">
        <v>321507.96580100001</v>
      </c>
      <c r="SEK363" s="1648">
        <v>310040.96500000003</v>
      </c>
      <c r="SEL363" s="1648">
        <v>306104.158</v>
      </c>
      <c r="SEM363" s="1648">
        <v>350079.51500000001</v>
      </c>
      <c r="SEN363" s="1648">
        <v>376736.01</v>
      </c>
      <c r="SEO363" s="1648">
        <v>382165.86499999999</v>
      </c>
      <c r="SEP363" s="1648">
        <v>356897.57900000003</v>
      </c>
      <c r="SEQ363" s="635">
        <v>3961904</v>
      </c>
      <c r="SER363" s="633">
        <f>SUM(SEE363:SEP363)</f>
        <v>3961903.5018060002</v>
      </c>
      <c r="SES363" s="919" t="s">
        <v>1837</v>
      </c>
      <c r="SET363" s="1643" t="s">
        <v>1838</v>
      </c>
      <c r="SEU363" s="1648">
        <v>344028.50012699998</v>
      </c>
      <c r="SEV363" s="1648">
        <v>335387.28629100003</v>
      </c>
      <c r="SEW363" s="1648">
        <v>337602.67972299998</v>
      </c>
      <c r="SEX363" s="1648">
        <v>210440.148116</v>
      </c>
      <c r="SEY363" s="1648">
        <v>330912.82974800002</v>
      </c>
      <c r="SEZ363" s="1648">
        <v>321507.96580100001</v>
      </c>
      <c r="SFA363" s="1648">
        <v>310040.96500000003</v>
      </c>
      <c r="SFB363" s="1648">
        <v>306104.158</v>
      </c>
      <c r="SFC363" s="1648">
        <v>350079.51500000001</v>
      </c>
      <c r="SFD363" s="1648">
        <v>376736.01</v>
      </c>
      <c r="SFE363" s="1648">
        <v>382165.86499999999</v>
      </c>
      <c r="SFF363" s="1648">
        <v>356897.57900000003</v>
      </c>
      <c r="SFG363" s="635">
        <v>3961904</v>
      </c>
      <c r="SFH363" s="633">
        <f>SUM(SEU363:SFF363)</f>
        <v>3961903.5018060002</v>
      </c>
      <c r="SFI363" s="919" t="s">
        <v>1837</v>
      </c>
      <c r="SFJ363" s="1643" t="s">
        <v>1838</v>
      </c>
      <c r="SFK363" s="1648">
        <v>344028.50012699998</v>
      </c>
      <c r="SFL363" s="1648">
        <v>335387.28629100003</v>
      </c>
      <c r="SFM363" s="1648">
        <v>337602.67972299998</v>
      </c>
      <c r="SFN363" s="1648">
        <v>210440.148116</v>
      </c>
      <c r="SFO363" s="1648">
        <v>330912.82974800002</v>
      </c>
      <c r="SFP363" s="1648">
        <v>321507.96580100001</v>
      </c>
      <c r="SFQ363" s="1648">
        <v>310040.96500000003</v>
      </c>
      <c r="SFR363" s="1648">
        <v>306104.158</v>
      </c>
      <c r="SFS363" s="1648">
        <v>350079.51500000001</v>
      </c>
      <c r="SFT363" s="1648">
        <v>376736.01</v>
      </c>
      <c r="SFU363" s="1648">
        <v>382165.86499999999</v>
      </c>
      <c r="SFV363" s="1648">
        <v>356897.57900000003</v>
      </c>
      <c r="SFW363" s="635">
        <v>3961904</v>
      </c>
      <c r="SFX363" s="633">
        <f>SUM(SFK363:SFV363)</f>
        <v>3961903.5018060002</v>
      </c>
      <c r="SFY363" s="919" t="s">
        <v>1837</v>
      </c>
      <c r="SFZ363" s="1643" t="s">
        <v>1838</v>
      </c>
      <c r="SGA363" s="1648">
        <v>344028.50012699998</v>
      </c>
      <c r="SGB363" s="1648">
        <v>335387.28629100003</v>
      </c>
      <c r="SGC363" s="1648">
        <v>337602.67972299998</v>
      </c>
      <c r="SGD363" s="1648">
        <v>210440.148116</v>
      </c>
      <c r="SGE363" s="1648">
        <v>330912.82974800002</v>
      </c>
      <c r="SGF363" s="1648">
        <v>321507.96580100001</v>
      </c>
      <c r="SGG363" s="1648">
        <v>310040.96500000003</v>
      </c>
      <c r="SGH363" s="1648">
        <v>306104.158</v>
      </c>
      <c r="SGI363" s="1648">
        <v>350079.51500000001</v>
      </c>
      <c r="SGJ363" s="1648">
        <v>376736.01</v>
      </c>
      <c r="SGK363" s="1648">
        <v>382165.86499999999</v>
      </c>
      <c r="SGL363" s="1648">
        <v>356897.57900000003</v>
      </c>
      <c r="SGM363" s="635">
        <v>3961904</v>
      </c>
      <c r="SGN363" s="633">
        <f>SUM(SGA363:SGL363)</f>
        <v>3961903.5018060002</v>
      </c>
      <c r="SGO363" s="919" t="s">
        <v>1837</v>
      </c>
      <c r="SGP363" s="1643" t="s">
        <v>1838</v>
      </c>
      <c r="SGQ363" s="1648">
        <v>344028.50012699998</v>
      </c>
      <c r="SGR363" s="1648">
        <v>335387.28629100003</v>
      </c>
      <c r="SGS363" s="1648">
        <v>337602.67972299998</v>
      </c>
      <c r="SGT363" s="1648">
        <v>210440.148116</v>
      </c>
      <c r="SGU363" s="1648">
        <v>330912.82974800002</v>
      </c>
      <c r="SGV363" s="1648">
        <v>321507.96580100001</v>
      </c>
      <c r="SGW363" s="1648">
        <v>310040.96500000003</v>
      </c>
      <c r="SGX363" s="1648">
        <v>306104.158</v>
      </c>
      <c r="SGY363" s="1648">
        <v>350079.51500000001</v>
      </c>
      <c r="SGZ363" s="1648">
        <v>376736.01</v>
      </c>
      <c r="SHA363" s="1648">
        <v>382165.86499999999</v>
      </c>
      <c r="SHB363" s="1648">
        <v>356897.57900000003</v>
      </c>
      <c r="SHC363" s="635">
        <v>3961904</v>
      </c>
      <c r="SHD363" s="633">
        <f>SUM(SGQ363:SHB363)</f>
        <v>3961903.5018060002</v>
      </c>
      <c r="SHE363" s="919" t="s">
        <v>1837</v>
      </c>
      <c r="SHF363" s="1643" t="s">
        <v>1838</v>
      </c>
      <c r="SHG363" s="1648">
        <v>344028.50012699998</v>
      </c>
      <c r="SHH363" s="1648">
        <v>335387.28629100003</v>
      </c>
      <c r="SHI363" s="1648">
        <v>337602.67972299998</v>
      </c>
      <c r="SHJ363" s="1648">
        <v>210440.148116</v>
      </c>
      <c r="SHK363" s="1648">
        <v>330912.82974800002</v>
      </c>
      <c r="SHL363" s="1648">
        <v>321507.96580100001</v>
      </c>
      <c r="SHM363" s="1648">
        <v>310040.96500000003</v>
      </c>
      <c r="SHN363" s="1648">
        <v>306104.158</v>
      </c>
      <c r="SHO363" s="1648">
        <v>350079.51500000001</v>
      </c>
      <c r="SHP363" s="1648">
        <v>376736.01</v>
      </c>
      <c r="SHQ363" s="1648">
        <v>382165.86499999999</v>
      </c>
      <c r="SHR363" s="1648">
        <v>356897.57900000003</v>
      </c>
      <c r="SHS363" s="635">
        <v>3961904</v>
      </c>
      <c r="SHT363" s="633">
        <f>SUM(SHG363:SHR363)</f>
        <v>3961903.5018060002</v>
      </c>
      <c r="SHU363" s="919" t="s">
        <v>1837</v>
      </c>
      <c r="SHV363" s="1643" t="s">
        <v>1838</v>
      </c>
      <c r="SHW363" s="1648">
        <v>344028.50012699998</v>
      </c>
      <c r="SHX363" s="1648">
        <v>335387.28629100003</v>
      </c>
      <c r="SHY363" s="1648">
        <v>337602.67972299998</v>
      </c>
      <c r="SHZ363" s="1648">
        <v>210440.148116</v>
      </c>
      <c r="SIA363" s="1648">
        <v>330912.82974800002</v>
      </c>
      <c r="SIB363" s="1648">
        <v>321507.96580100001</v>
      </c>
      <c r="SIC363" s="1648">
        <v>310040.96500000003</v>
      </c>
      <c r="SID363" s="1648">
        <v>306104.158</v>
      </c>
      <c r="SIE363" s="1648">
        <v>350079.51500000001</v>
      </c>
      <c r="SIF363" s="1648">
        <v>376736.01</v>
      </c>
      <c r="SIG363" s="1648">
        <v>382165.86499999999</v>
      </c>
      <c r="SIH363" s="1648">
        <v>356897.57900000003</v>
      </c>
      <c r="SII363" s="635">
        <v>3961904</v>
      </c>
      <c r="SIJ363" s="633">
        <f>SUM(SHW363:SIH363)</f>
        <v>3961903.5018060002</v>
      </c>
      <c r="SIK363" s="919" t="s">
        <v>1837</v>
      </c>
      <c r="SIL363" s="1643" t="s">
        <v>1838</v>
      </c>
      <c r="SIM363" s="1648">
        <v>344028.50012699998</v>
      </c>
      <c r="SIN363" s="1648">
        <v>335387.28629100003</v>
      </c>
      <c r="SIO363" s="1648">
        <v>337602.67972299998</v>
      </c>
      <c r="SIP363" s="1648">
        <v>210440.148116</v>
      </c>
      <c r="SIQ363" s="1648">
        <v>330912.82974800002</v>
      </c>
      <c r="SIR363" s="1648">
        <v>321507.96580100001</v>
      </c>
      <c r="SIS363" s="1648">
        <v>310040.96500000003</v>
      </c>
      <c r="SIT363" s="1648">
        <v>306104.158</v>
      </c>
      <c r="SIU363" s="1648">
        <v>350079.51500000001</v>
      </c>
      <c r="SIV363" s="1648">
        <v>376736.01</v>
      </c>
      <c r="SIW363" s="1648">
        <v>382165.86499999999</v>
      </c>
      <c r="SIX363" s="1648">
        <v>356897.57900000003</v>
      </c>
      <c r="SIY363" s="635">
        <v>3961904</v>
      </c>
      <c r="SIZ363" s="633">
        <f>SUM(SIM363:SIX363)</f>
        <v>3961903.5018060002</v>
      </c>
      <c r="SJA363" s="919" t="s">
        <v>1837</v>
      </c>
      <c r="SJB363" s="1643" t="s">
        <v>1838</v>
      </c>
      <c r="SJC363" s="1648">
        <v>344028.50012699998</v>
      </c>
      <c r="SJD363" s="1648">
        <v>335387.28629100003</v>
      </c>
      <c r="SJE363" s="1648">
        <v>337602.67972299998</v>
      </c>
      <c r="SJF363" s="1648">
        <v>210440.148116</v>
      </c>
      <c r="SJG363" s="1648">
        <v>330912.82974800002</v>
      </c>
      <c r="SJH363" s="1648">
        <v>321507.96580100001</v>
      </c>
      <c r="SJI363" s="1648">
        <v>310040.96500000003</v>
      </c>
      <c r="SJJ363" s="1648">
        <v>306104.158</v>
      </c>
      <c r="SJK363" s="1648">
        <v>350079.51500000001</v>
      </c>
      <c r="SJL363" s="1648">
        <v>376736.01</v>
      </c>
      <c r="SJM363" s="1648">
        <v>382165.86499999999</v>
      </c>
      <c r="SJN363" s="1648">
        <v>356897.57900000003</v>
      </c>
      <c r="SJO363" s="635">
        <v>3961904</v>
      </c>
      <c r="SJP363" s="633">
        <f>SUM(SJC363:SJN363)</f>
        <v>3961903.5018060002</v>
      </c>
      <c r="SJQ363" s="919" t="s">
        <v>1837</v>
      </c>
      <c r="SJR363" s="1643" t="s">
        <v>1838</v>
      </c>
      <c r="SJS363" s="1648">
        <v>344028.50012699998</v>
      </c>
      <c r="SJT363" s="1648">
        <v>335387.28629100003</v>
      </c>
      <c r="SJU363" s="1648">
        <v>337602.67972299998</v>
      </c>
      <c r="SJV363" s="1648">
        <v>210440.148116</v>
      </c>
      <c r="SJW363" s="1648">
        <v>330912.82974800002</v>
      </c>
      <c r="SJX363" s="1648">
        <v>321507.96580100001</v>
      </c>
      <c r="SJY363" s="1648">
        <v>310040.96500000003</v>
      </c>
      <c r="SJZ363" s="1648">
        <v>306104.158</v>
      </c>
      <c r="SKA363" s="1648">
        <v>350079.51500000001</v>
      </c>
      <c r="SKB363" s="1648">
        <v>376736.01</v>
      </c>
      <c r="SKC363" s="1648">
        <v>382165.86499999999</v>
      </c>
      <c r="SKD363" s="1648">
        <v>356897.57900000003</v>
      </c>
      <c r="SKE363" s="635">
        <v>3961904</v>
      </c>
      <c r="SKF363" s="633">
        <f>SUM(SJS363:SKD363)</f>
        <v>3961903.5018060002</v>
      </c>
      <c r="SKG363" s="919" t="s">
        <v>1837</v>
      </c>
      <c r="SKH363" s="1643" t="s">
        <v>1838</v>
      </c>
      <c r="SKI363" s="1648">
        <v>344028.50012699998</v>
      </c>
      <c r="SKJ363" s="1648">
        <v>335387.28629100003</v>
      </c>
      <c r="SKK363" s="1648">
        <v>337602.67972299998</v>
      </c>
      <c r="SKL363" s="1648">
        <v>210440.148116</v>
      </c>
      <c r="SKM363" s="1648">
        <v>330912.82974800002</v>
      </c>
      <c r="SKN363" s="1648">
        <v>321507.96580100001</v>
      </c>
      <c r="SKO363" s="1648">
        <v>310040.96500000003</v>
      </c>
      <c r="SKP363" s="1648">
        <v>306104.158</v>
      </c>
      <c r="SKQ363" s="1648">
        <v>350079.51500000001</v>
      </c>
      <c r="SKR363" s="1648">
        <v>376736.01</v>
      </c>
      <c r="SKS363" s="1648">
        <v>382165.86499999999</v>
      </c>
      <c r="SKT363" s="1648">
        <v>356897.57900000003</v>
      </c>
      <c r="SKU363" s="635">
        <v>3961904</v>
      </c>
      <c r="SKV363" s="633">
        <f>SUM(SKI363:SKT363)</f>
        <v>3961903.5018060002</v>
      </c>
      <c r="SKW363" s="919" t="s">
        <v>1837</v>
      </c>
      <c r="SKX363" s="1643" t="s">
        <v>1838</v>
      </c>
      <c r="SKY363" s="1648">
        <v>344028.50012699998</v>
      </c>
      <c r="SKZ363" s="1648">
        <v>335387.28629100003</v>
      </c>
      <c r="SLA363" s="1648">
        <v>337602.67972299998</v>
      </c>
      <c r="SLB363" s="1648">
        <v>210440.148116</v>
      </c>
      <c r="SLC363" s="1648">
        <v>330912.82974800002</v>
      </c>
      <c r="SLD363" s="1648">
        <v>321507.96580100001</v>
      </c>
      <c r="SLE363" s="1648">
        <v>310040.96500000003</v>
      </c>
      <c r="SLF363" s="1648">
        <v>306104.158</v>
      </c>
      <c r="SLG363" s="1648">
        <v>350079.51500000001</v>
      </c>
      <c r="SLH363" s="1648">
        <v>376736.01</v>
      </c>
      <c r="SLI363" s="1648">
        <v>382165.86499999999</v>
      </c>
      <c r="SLJ363" s="1648">
        <v>356897.57900000003</v>
      </c>
      <c r="SLK363" s="635">
        <v>3961904</v>
      </c>
      <c r="SLL363" s="633">
        <f>SUM(SKY363:SLJ363)</f>
        <v>3961903.5018060002</v>
      </c>
      <c r="SLM363" s="919" t="s">
        <v>1837</v>
      </c>
      <c r="SLN363" s="1643" t="s">
        <v>1838</v>
      </c>
      <c r="SLO363" s="1648">
        <v>344028.50012699998</v>
      </c>
      <c r="SLP363" s="1648">
        <v>335387.28629100003</v>
      </c>
      <c r="SLQ363" s="1648">
        <v>337602.67972299998</v>
      </c>
      <c r="SLR363" s="1648">
        <v>210440.148116</v>
      </c>
      <c r="SLS363" s="1648">
        <v>330912.82974800002</v>
      </c>
      <c r="SLT363" s="1648">
        <v>321507.96580100001</v>
      </c>
      <c r="SLU363" s="1648">
        <v>310040.96500000003</v>
      </c>
      <c r="SLV363" s="1648">
        <v>306104.158</v>
      </c>
      <c r="SLW363" s="1648">
        <v>350079.51500000001</v>
      </c>
      <c r="SLX363" s="1648">
        <v>376736.01</v>
      </c>
      <c r="SLY363" s="1648">
        <v>382165.86499999999</v>
      </c>
      <c r="SLZ363" s="1648">
        <v>356897.57900000003</v>
      </c>
      <c r="SMA363" s="635">
        <v>3961904</v>
      </c>
      <c r="SMB363" s="633">
        <f>SUM(SLO363:SLZ363)</f>
        <v>3961903.5018060002</v>
      </c>
      <c r="SMC363" s="919" t="s">
        <v>1837</v>
      </c>
      <c r="SMD363" s="1643" t="s">
        <v>1838</v>
      </c>
      <c r="SME363" s="1648">
        <v>344028.50012699998</v>
      </c>
      <c r="SMF363" s="1648">
        <v>335387.28629100003</v>
      </c>
      <c r="SMG363" s="1648">
        <v>337602.67972299998</v>
      </c>
      <c r="SMH363" s="1648">
        <v>210440.148116</v>
      </c>
      <c r="SMI363" s="1648">
        <v>330912.82974800002</v>
      </c>
      <c r="SMJ363" s="1648">
        <v>321507.96580100001</v>
      </c>
      <c r="SMK363" s="1648">
        <v>310040.96500000003</v>
      </c>
      <c r="SML363" s="1648">
        <v>306104.158</v>
      </c>
      <c r="SMM363" s="1648">
        <v>350079.51500000001</v>
      </c>
      <c r="SMN363" s="1648">
        <v>376736.01</v>
      </c>
      <c r="SMO363" s="1648">
        <v>382165.86499999999</v>
      </c>
      <c r="SMP363" s="1648">
        <v>356897.57900000003</v>
      </c>
      <c r="SMQ363" s="635">
        <v>3961904</v>
      </c>
      <c r="SMR363" s="633">
        <f>SUM(SME363:SMP363)</f>
        <v>3961903.5018060002</v>
      </c>
      <c r="SMS363" s="919" t="s">
        <v>1837</v>
      </c>
      <c r="SMT363" s="1643" t="s">
        <v>1838</v>
      </c>
      <c r="SMU363" s="1648">
        <v>344028.50012699998</v>
      </c>
      <c r="SMV363" s="1648">
        <v>335387.28629100003</v>
      </c>
      <c r="SMW363" s="1648">
        <v>337602.67972299998</v>
      </c>
      <c r="SMX363" s="1648">
        <v>210440.148116</v>
      </c>
      <c r="SMY363" s="1648">
        <v>330912.82974800002</v>
      </c>
      <c r="SMZ363" s="1648">
        <v>321507.96580100001</v>
      </c>
      <c r="SNA363" s="1648">
        <v>310040.96500000003</v>
      </c>
      <c r="SNB363" s="1648">
        <v>306104.158</v>
      </c>
      <c r="SNC363" s="1648">
        <v>350079.51500000001</v>
      </c>
      <c r="SND363" s="1648">
        <v>376736.01</v>
      </c>
      <c r="SNE363" s="1648">
        <v>382165.86499999999</v>
      </c>
      <c r="SNF363" s="1648">
        <v>356897.57900000003</v>
      </c>
      <c r="SNG363" s="635">
        <v>3961904</v>
      </c>
      <c r="SNH363" s="633">
        <f>SUM(SMU363:SNF363)</f>
        <v>3961903.5018060002</v>
      </c>
      <c r="SNI363" s="919" t="s">
        <v>1837</v>
      </c>
      <c r="SNJ363" s="1643" t="s">
        <v>1838</v>
      </c>
      <c r="SNK363" s="1648">
        <v>344028.50012699998</v>
      </c>
      <c r="SNL363" s="1648">
        <v>335387.28629100003</v>
      </c>
      <c r="SNM363" s="1648">
        <v>337602.67972299998</v>
      </c>
      <c r="SNN363" s="1648">
        <v>210440.148116</v>
      </c>
      <c r="SNO363" s="1648">
        <v>330912.82974800002</v>
      </c>
      <c r="SNP363" s="1648">
        <v>321507.96580100001</v>
      </c>
      <c r="SNQ363" s="1648">
        <v>310040.96500000003</v>
      </c>
      <c r="SNR363" s="1648">
        <v>306104.158</v>
      </c>
      <c r="SNS363" s="1648">
        <v>350079.51500000001</v>
      </c>
      <c r="SNT363" s="1648">
        <v>376736.01</v>
      </c>
      <c r="SNU363" s="1648">
        <v>382165.86499999999</v>
      </c>
      <c r="SNV363" s="1648">
        <v>356897.57900000003</v>
      </c>
      <c r="SNW363" s="635">
        <v>3961904</v>
      </c>
      <c r="SNX363" s="633">
        <f>SUM(SNK363:SNV363)</f>
        <v>3961903.5018060002</v>
      </c>
      <c r="SNY363" s="919" t="s">
        <v>1837</v>
      </c>
      <c r="SNZ363" s="1643" t="s">
        <v>1838</v>
      </c>
      <c r="SOA363" s="1648">
        <v>344028.50012699998</v>
      </c>
      <c r="SOB363" s="1648">
        <v>335387.28629100003</v>
      </c>
      <c r="SOC363" s="1648">
        <v>337602.67972299998</v>
      </c>
      <c r="SOD363" s="1648">
        <v>210440.148116</v>
      </c>
      <c r="SOE363" s="1648">
        <v>330912.82974800002</v>
      </c>
      <c r="SOF363" s="1648">
        <v>321507.96580100001</v>
      </c>
      <c r="SOG363" s="1648">
        <v>310040.96500000003</v>
      </c>
      <c r="SOH363" s="1648">
        <v>306104.158</v>
      </c>
      <c r="SOI363" s="1648">
        <v>350079.51500000001</v>
      </c>
      <c r="SOJ363" s="1648">
        <v>376736.01</v>
      </c>
      <c r="SOK363" s="1648">
        <v>382165.86499999999</v>
      </c>
      <c r="SOL363" s="1648">
        <v>356897.57900000003</v>
      </c>
      <c r="SOM363" s="635">
        <v>3961904</v>
      </c>
      <c r="SON363" s="633">
        <f>SUM(SOA363:SOL363)</f>
        <v>3961903.5018060002</v>
      </c>
      <c r="SOO363" s="919" t="s">
        <v>1837</v>
      </c>
      <c r="SOP363" s="1643" t="s">
        <v>1838</v>
      </c>
      <c r="SOQ363" s="1648">
        <v>344028.50012699998</v>
      </c>
      <c r="SOR363" s="1648">
        <v>335387.28629100003</v>
      </c>
      <c r="SOS363" s="1648">
        <v>337602.67972299998</v>
      </c>
      <c r="SOT363" s="1648">
        <v>210440.148116</v>
      </c>
      <c r="SOU363" s="1648">
        <v>330912.82974800002</v>
      </c>
      <c r="SOV363" s="1648">
        <v>321507.96580100001</v>
      </c>
      <c r="SOW363" s="1648">
        <v>310040.96500000003</v>
      </c>
      <c r="SOX363" s="1648">
        <v>306104.158</v>
      </c>
      <c r="SOY363" s="1648">
        <v>350079.51500000001</v>
      </c>
      <c r="SOZ363" s="1648">
        <v>376736.01</v>
      </c>
      <c r="SPA363" s="1648">
        <v>382165.86499999999</v>
      </c>
      <c r="SPB363" s="1648">
        <v>356897.57900000003</v>
      </c>
      <c r="SPC363" s="635">
        <v>3961904</v>
      </c>
      <c r="SPD363" s="633">
        <f>SUM(SOQ363:SPB363)</f>
        <v>3961903.5018060002</v>
      </c>
      <c r="SPE363" s="919" t="s">
        <v>1837</v>
      </c>
      <c r="SPF363" s="1643" t="s">
        <v>1838</v>
      </c>
      <c r="SPG363" s="1648">
        <v>344028.50012699998</v>
      </c>
      <c r="SPH363" s="1648">
        <v>335387.28629100003</v>
      </c>
      <c r="SPI363" s="1648">
        <v>337602.67972299998</v>
      </c>
      <c r="SPJ363" s="1648">
        <v>210440.148116</v>
      </c>
      <c r="SPK363" s="1648">
        <v>330912.82974800002</v>
      </c>
      <c r="SPL363" s="1648">
        <v>321507.96580100001</v>
      </c>
      <c r="SPM363" s="1648">
        <v>310040.96500000003</v>
      </c>
      <c r="SPN363" s="1648">
        <v>306104.158</v>
      </c>
      <c r="SPO363" s="1648">
        <v>350079.51500000001</v>
      </c>
      <c r="SPP363" s="1648">
        <v>376736.01</v>
      </c>
      <c r="SPQ363" s="1648">
        <v>382165.86499999999</v>
      </c>
      <c r="SPR363" s="1648">
        <v>356897.57900000003</v>
      </c>
      <c r="SPS363" s="635">
        <v>3961904</v>
      </c>
      <c r="SPT363" s="633">
        <f>SUM(SPG363:SPR363)</f>
        <v>3961903.5018060002</v>
      </c>
      <c r="SPU363" s="919" t="s">
        <v>1837</v>
      </c>
      <c r="SPV363" s="1643" t="s">
        <v>1838</v>
      </c>
      <c r="SPW363" s="1648">
        <v>344028.50012699998</v>
      </c>
      <c r="SPX363" s="1648">
        <v>335387.28629100003</v>
      </c>
      <c r="SPY363" s="1648">
        <v>337602.67972299998</v>
      </c>
      <c r="SPZ363" s="1648">
        <v>210440.148116</v>
      </c>
      <c r="SQA363" s="1648">
        <v>330912.82974800002</v>
      </c>
      <c r="SQB363" s="1648">
        <v>321507.96580100001</v>
      </c>
      <c r="SQC363" s="1648">
        <v>310040.96500000003</v>
      </c>
      <c r="SQD363" s="1648">
        <v>306104.158</v>
      </c>
      <c r="SQE363" s="1648">
        <v>350079.51500000001</v>
      </c>
      <c r="SQF363" s="1648">
        <v>376736.01</v>
      </c>
      <c r="SQG363" s="1648">
        <v>382165.86499999999</v>
      </c>
      <c r="SQH363" s="1648">
        <v>356897.57900000003</v>
      </c>
      <c r="SQI363" s="635">
        <v>3961904</v>
      </c>
      <c r="SQJ363" s="633">
        <f>SUM(SPW363:SQH363)</f>
        <v>3961903.5018060002</v>
      </c>
      <c r="SQK363" s="919" t="s">
        <v>1837</v>
      </c>
      <c r="SQL363" s="1643" t="s">
        <v>1838</v>
      </c>
      <c r="SQM363" s="1648">
        <v>344028.50012699998</v>
      </c>
      <c r="SQN363" s="1648">
        <v>335387.28629100003</v>
      </c>
      <c r="SQO363" s="1648">
        <v>337602.67972299998</v>
      </c>
      <c r="SQP363" s="1648">
        <v>210440.148116</v>
      </c>
      <c r="SQQ363" s="1648">
        <v>330912.82974800002</v>
      </c>
      <c r="SQR363" s="1648">
        <v>321507.96580100001</v>
      </c>
      <c r="SQS363" s="1648">
        <v>310040.96500000003</v>
      </c>
      <c r="SQT363" s="1648">
        <v>306104.158</v>
      </c>
      <c r="SQU363" s="1648">
        <v>350079.51500000001</v>
      </c>
      <c r="SQV363" s="1648">
        <v>376736.01</v>
      </c>
      <c r="SQW363" s="1648">
        <v>382165.86499999999</v>
      </c>
      <c r="SQX363" s="1648">
        <v>356897.57900000003</v>
      </c>
      <c r="SQY363" s="635">
        <v>3961904</v>
      </c>
      <c r="SQZ363" s="633">
        <f>SUM(SQM363:SQX363)</f>
        <v>3961903.5018060002</v>
      </c>
      <c r="SRA363" s="919" t="s">
        <v>1837</v>
      </c>
      <c r="SRB363" s="1643" t="s">
        <v>1838</v>
      </c>
      <c r="SRC363" s="1648">
        <v>344028.50012699998</v>
      </c>
      <c r="SRD363" s="1648">
        <v>335387.28629100003</v>
      </c>
      <c r="SRE363" s="1648">
        <v>337602.67972299998</v>
      </c>
      <c r="SRF363" s="1648">
        <v>210440.148116</v>
      </c>
      <c r="SRG363" s="1648">
        <v>330912.82974800002</v>
      </c>
      <c r="SRH363" s="1648">
        <v>321507.96580100001</v>
      </c>
      <c r="SRI363" s="1648">
        <v>310040.96500000003</v>
      </c>
      <c r="SRJ363" s="1648">
        <v>306104.158</v>
      </c>
      <c r="SRK363" s="1648">
        <v>350079.51500000001</v>
      </c>
      <c r="SRL363" s="1648">
        <v>376736.01</v>
      </c>
      <c r="SRM363" s="1648">
        <v>382165.86499999999</v>
      </c>
      <c r="SRN363" s="1648">
        <v>356897.57900000003</v>
      </c>
      <c r="SRO363" s="635">
        <v>3961904</v>
      </c>
      <c r="SRP363" s="633">
        <f>SUM(SRC363:SRN363)</f>
        <v>3961903.5018060002</v>
      </c>
      <c r="SRQ363" s="919" t="s">
        <v>1837</v>
      </c>
      <c r="SRR363" s="1643" t="s">
        <v>1838</v>
      </c>
      <c r="SRS363" s="1648">
        <v>344028.50012699998</v>
      </c>
      <c r="SRT363" s="1648">
        <v>335387.28629100003</v>
      </c>
      <c r="SRU363" s="1648">
        <v>337602.67972299998</v>
      </c>
      <c r="SRV363" s="1648">
        <v>210440.148116</v>
      </c>
      <c r="SRW363" s="1648">
        <v>330912.82974800002</v>
      </c>
      <c r="SRX363" s="1648">
        <v>321507.96580100001</v>
      </c>
      <c r="SRY363" s="1648">
        <v>310040.96500000003</v>
      </c>
      <c r="SRZ363" s="1648">
        <v>306104.158</v>
      </c>
      <c r="SSA363" s="1648">
        <v>350079.51500000001</v>
      </c>
      <c r="SSB363" s="1648">
        <v>376736.01</v>
      </c>
      <c r="SSC363" s="1648">
        <v>382165.86499999999</v>
      </c>
      <c r="SSD363" s="1648">
        <v>356897.57900000003</v>
      </c>
      <c r="SSE363" s="635">
        <v>3961904</v>
      </c>
      <c r="SSF363" s="633">
        <f>SUM(SRS363:SSD363)</f>
        <v>3961903.5018060002</v>
      </c>
      <c r="SSG363" s="919" t="s">
        <v>1837</v>
      </c>
      <c r="SSH363" s="1643" t="s">
        <v>1838</v>
      </c>
      <c r="SSI363" s="1648">
        <v>344028.50012699998</v>
      </c>
      <c r="SSJ363" s="1648">
        <v>335387.28629100003</v>
      </c>
      <c r="SSK363" s="1648">
        <v>337602.67972299998</v>
      </c>
      <c r="SSL363" s="1648">
        <v>210440.148116</v>
      </c>
      <c r="SSM363" s="1648">
        <v>330912.82974800002</v>
      </c>
      <c r="SSN363" s="1648">
        <v>321507.96580100001</v>
      </c>
      <c r="SSO363" s="1648">
        <v>310040.96500000003</v>
      </c>
      <c r="SSP363" s="1648">
        <v>306104.158</v>
      </c>
      <c r="SSQ363" s="1648">
        <v>350079.51500000001</v>
      </c>
      <c r="SSR363" s="1648">
        <v>376736.01</v>
      </c>
      <c r="SSS363" s="1648">
        <v>382165.86499999999</v>
      </c>
      <c r="SST363" s="1648">
        <v>356897.57900000003</v>
      </c>
      <c r="SSU363" s="635">
        <v>3961904</v>
      </c>
      <c r="SSV363" s="633">
        <f>SUM(SSI363:SST363)</f>
        <v>3961903.5018060002</v>
      </c>
      <c r="SSW363" s="919" t="s">
        <v>1837</v>
      </c>
      <c r="SSX363" s="1643" t="s">
        <v>1838</v>
      </c>
      <c r="SSY363" s="1648">
        <v>344028.50012699998</v>
      </c>
      <c r="SSZ363" s="1648">
        <v>335387.28629100003</v>
      </c>
      <c r="STA363" s="1648">
        <v>337602.67972299998</v>
      </c>
      <c r="STB363" s="1648">
        <v>210440.148116</v>
      </c>
      <c r="STC363" s="1648">
        <v>330912.82974800002</v>
      </c>
      <c r="STD363" s="1648">
        <v>321507.96580100001</v>
      </c>
      <c r="STE363" s="1648">
        <v>310040.96500000003</v>
      </c>
      <c r="STF363" s="1648">
        <v>306104.158</v>
      </c>
      <c r="STG363" s="1648">
        <v>350079.51500000001</v>
      </c>
      <c r="STH363" s="1648">
        <v>376736.01</v>
      </c>
      <c r="STI363" s="1648">
        <v>382165.86499999999</v>
      </c>
      <c r="STJ363" s="1648">
        <v>356897.57900000003</v>
      </c>
      <c r="STK363" s="635">
        <v>3961904</v>
      </c>
      <c r="STL363" s="633">
        <f>SUM(SSY363:STJ363)</f>
        <v>3961903.5018060002</v>
      </c>
      <c r="STM363" s="919" t="s">
        <v>1837</v>
      </c>
      <c r="STN363" s="1643" t="s">
        <v>1838</v>
      </c>
      <c r="STO363" s="1648">
        <v>344028.50012699998</v>
      </c>
      <c r="STP363" s="1648">
        <v>335387.28629100003</v>
      </c>
      <c r="STQ363" s="1648">
        <v>337602.67972299998</v>
      </c>
      <c r="STR363" s="1648">
        <v>210440.148116</v>
      </c>
      <c r="STS363" s="1648">
        <v>330912.82974800002</v>
      </c>
      <c r="STT363" s="1648">
        <v>321507.96580100001</v>
      </c>
      <c r="STU363" s="1648">
        <v>310040.96500000003</v>
      </c>
      <c r="STV363" s="1648">
        <v>306104.158</v>
      </c>
      <c r="STW363" s="1648">
        <v>350079.51500000001</v>
      </c>
      <c r="STX363" s="1648">
        <v>376736.01</v>
      </c>
      <c r="STY363" s="1648">
        <v>382165.86499999999</v>
      </c>
      <c r="STZ363" s="1648">
        <v>356897.57900000003</v>
      </c>
      <c r="SUA363" s="635">
        <v>3961904</v>
      </c>
      <c r="SUB363" s="633">
        <f>SUM(STO363:STZ363)</f>
        <v>3961903.5018060002</v>
      </c>
    </row>
    <row r="364" spans="1:13392" s="636" customFormat="1" ht="12.75" customHeight="1">
      <c r="A364" s="631"/>
      <c r="B364" s="632"/>
      <c r="O364" s="637"/>
      <c r="Q364" s="693"/>
      <c r="R364" s="694"/>
      <c r="S364" s="692"/>
      <c r="T364" s="692"/>
      <c r="U364" s="692"/>
      <c r="V364" s="692"/>
      <c r="W364" s="692"/>
      <c r="X364" s="692"/>
      <c r="Y364" s="692"/>
      <c r="Z364" s="692"/>
      <c r="AA364" s="692"/>
      <c r="AB364" s="692"/>
      <c r="AC364" s="692"/>
      <c r="AD364" s="692"/>
      <c r="AE364" s="698"/>
      <c r="AF364" s="692"/>
      <c r="AG364" s="631"/>
      <c r="AH364" s="632"/>
      <c r="AU364" s="637"/>
      <c r="AW364" s="631"/>
      <c r="AX364" s="632"/>
      <c r="BK364" s="637"/>
      <c r="BM364" s="631"/>
      <c r="BN364" s="632"/>
      <c r="CA364" s="637"/>
      <c r="CC364" s="631"/>
      <c r="CD364" s="632"/>
      <c r="CQ364" s="637"/>
      <c r="CS364" s="631"/>
      <c r="CT364" s="632"/>
      <c r="DG364" s="637"/>
      <c r="DI364" s="631"/>
      <c r="DJ364" s="632"/>
      <c r="DW364" s="637"/>
      <c r="DY364" s="631"/>
      <c r="DZ364" s="632"/>
      <c r="EM364" s="637"/>
      <c r="EO364" s="631"/>
      <c r="EP364" s="632"/>
      <c r="FC364" s="637"/>
      <c r="FE364" s="631"/>
      <c r="FF364" s="632"/>
      <c r="FS364" s="637"/>
      <c r="FU364" s="631"/>
      <c r="FV364" s="632"/>
      <c r="GI364" s="637"/>
      <c r="GK364" s="631"/>
      <c r="GL364" s="632"/>
      <c r="GY364" s="637"/>
      <c r="HA364" s="631"/>
      <c r="HB364" s="632"/>
      <c r="HO364" s="637"/>
      <c r="HQ364" s="631"/>
      <c r="HR364" s="632"/>
      <c r="IE364" s="637"/>
      <c r="IG364" s="631"/>
      <c r="IH364" s="632"/>
      <c r="IU364" s="637"/>
      <c r="IW364" s="631"/>
      <c r="IX364" s="632"/>
      <c r="JK364" s="637"/>
      <c r="JM364" s="631"/>
      <c r="JN364" s="632"/>
      <c r="KA364" s="637"/>
      <c r="KC364" s="631"/>
      <c r="KD364" s="632"/>
      <c r="KQ364" s="637"/>
      <c r="KS364" s="631"/>
      <c r="KT364" s="632"/>
      <c r="LG364" s="637"/>
      <c r="LI364" s="631"/>
      <c r="LJ364" s="632"/>
      <c r="LW364" s="637"/>
      <c r="LY364" s="631"/>
      <c r="LZ364" s="632"/>
      <c r="MM364" s="637"/>
      <c r="MO364" s="631"/>
      <c r="MP364" s="632"/>
      <c r="NC364" s="637"/>
      <c r="NE364" s="631"/>
      <c r="NF364" s="632"/>
      <c r="NS364" s="637"/>
      <c r="NU364" s="631"/>
      <c r="NV364" s="632"/>
      <c r="OI364" s="637"/>
      <c r="OK364" s="631"/>
      <c r="OL364" s="632"/>
      <c r="OY364" s="637"/>
      <c r="PA364" s="631"/>
      <c r="PB364" s="632"/>
      <c r="PO364" s="637"/>
      <c r="PQ364" s="631"/>
      <c r="PR364" s="632"/>
      <c r="QE364" s="637"/>
      <c r="QG364" s="631"/>
      <c r="QH364" s="632"/>
      <c r="QU364" s="637"/>
      <c r="QW364" s="631"/>
      <c r="QX364" s="632"/>
      <c r="RK364" s="637"/>
      <c r="RM364" s="631"/>
      <c r="RN364" s="632"/>
      <c r="SA364" s="637"/>
      <c r="SC364" s="631"/>
      <c r="SD364" s="632"/>
      <c r="SQ364" s="637"/>
      <c r="SS364" s="631"/>
      <c r="ST364" s="632"/>
      <c r="TG364" s="637"/>
      <c r="TI364" s="631"/>
      <c r="TJ364" s="632"/>
      <c r="TW364" s="637"/>
      <c r="TY364" s="631"/>
      <c r="TZ364" s="632"/>
      <c r="UM364" s="637"/>
      <c r="UO364" s="631"/>
      <c r="UP364" s="632"/>
      <c r="VC364" s="637"/>
      <c r="VE364" s="631"/>
      <c r="VF364" s="632"/>
      <c r="VS364" s="637"/>
      <c r="VU364" s="631"/>
      <c r="VV364" s="632"/>
      <c r="WI364" s="637"/>
      <c r="WK364" s="631"/>
      <c r="WL364" s="632"/>
      <c r="WY364" s="637"/>
      <c r="XA364" s="631"/>
      <c r="XB364" s="632"/>
      <c r="XO364" s="637"/>
      <c r="XQ364" s="631"/>
      <c r="XR364" s="632"/>
      <c r="YE364" s="637"/>
      <c r="YG364" s="631"/>
      <c r="YH364" s="632"/>
      <c r="YU364" s="637"/>
      <c r="YW364" s="631"/>
      <c r="YX364" s="632"/>
      <c r="ZK364" s="637"/>
      <c r="ZM364" s="631"/>
      <c r="ZN364" s="632"/>
      <c r="AAA364" s="637"/>
      <c r="AAC364" s="631"/>
      <c r="AAD364" s="632"/>
      <c r="AAQ364" s="637"/>
      <c r="AAS364" s="631"/>
      <c r="AAT364" s="632"/>
      <c r="ABG364" s="637"/>
      <c r="ABI364" s="631"/>
      <c r="ABJ364" s="632"/>
      <c r="ABW364" s="637"/>
      <c r="ABY364" s="631"/>
      <c r="ABZ364" s="632"/>
      <c r="ACM364" s="637"/>
      <c r="ACO364" s="631"/>
      <c r="ACP364" s="632"/>
      <c r="ADC364" s="637"/>
      <c r="ADE364" s="631"/>
      <c r="ADF364" s="632"/>
      <c r="ADS364" s="637"/>
      <c r="ADU364" s="631"/>
      <c r="ADV364" s="632"/>
      <c r="AEI364" s="637"/>
      <c r="AEK364" s="631"/>
      <c r="AEL364" s="632"/>
      <c r="AEY364" s="637"/>
      <c r="AFA364" s="631"/>
      <c r="AFB364" s="632"/>
      <c r="AFO364" s="637"/>
      <c r="AFQ364" s="631"/>
      <c r="AFR364" s="632"/>
      <c r="AGE364" s="637"/>
      <c r="AGG364" s="631"/>
      <c r="AGH364" s="632"/>
      <c r="AGU364" s="637"/>
      <c r="AGW364" s="631"/>
      <c r="AGX364" s="632"/>
      <c r="AHK364" s="637"/>
      <c r="AHM364" s="631"/>
      <c r="AHN364" s="632"/>
      <c r="AIA364" s="637"/>
      <c r="AIC364" s="631"/>
      <c r="AID364" s="632"/>
      <c r="AIQ364" s="637"/>
      <c r="AIS364" s="631"/>
      <c r="AIT364" s="632"/>
      <c r="AJG364" s="637"/>
      <c r="AJI364" s="631"/>
      <c r="AJJ364" s="632"/>
      <c r="AJW364" s="637"/>
      <c r="AJY364" s="631"/>
      <c r="AJZ364" s="632"/>
      <c r="AKM364" s="637"/>
      <c r="AKO364" s="631"/>
      <c r="AKP364" s="632"/>
      <c r="ALC364" s="637"/>
      <c r="ALE364" s="631"/>
      <c r="ALF364" s="632"/>
      <c r="ALS364" s="637"/>
      <c r="ALU364" s="631"/>
      <c r="ALV364" s="632"/>
      <c r="AMI364" s="637"/>
      <c r="AMK364" s="631"/>
      <c r="AML364" s="632"/>
      <c r="AMY364" s="637"/>
      <c r="ANA364" s="631"/>
      <c r="ANB364" s="632"/>
      <c r="ANO364" s="637"/>
      <c r="ANQ364" s="631"/>
      <c r="ANR364" s="632"/>
      <c r="AOE364" s="637"/>
      <c r="AOG364" s="631"/>
      <c r="AOH364" s="632"/>
      <c r="AOU364" s="637"/>
      <c r="AOW364" s="631"/>
      <c r="AOX364" s="632"/>
      <c r="APK364" s="637"/>
      <c r="APM364" s="631"/>
      <c r="APN364" s="632"/>
      <c r="AQA364" s="637"/>
      <c r="AQC364" s="631"/>
      <c r="AQD364" s="632"/>
      <c r="AQQ364" s="637"/>
      <c r="AQS364" s="631"/>
      <c r="AQT364" s="632"/>
      <c r="ARG364" s="637"/>
      <c r="ARI364" s="631"/>
      <c r="ARJ364" s="632"/>
      <c r="ARW364" s="637"/>
      <c r="ARY364" s="631"/>
      <c r="ARZ364" s="632"/>
      <c r="ASM364" s="637"/>
      <c r="ASO364" s="631"/>
      <c r="ASP364" s="632"/>
      <c r="ATC364" s="637"/>
      <c r="ATE364" s="631"/>
      <c r="ATF364" s="632"/>
      <c r="ATS364" s="637"/>
      <c r="ATU364" s="631"/>
      <c r="ATV364" s="632"/>
      <c r="AUI364" s="637"/>
      <c r="AUK364" s="631"/>
      <c r="AUL364" s="632"/>
      <c r="AUY364" s="637"/>
      <c r="AVA364" s="631"/>
      <c r="AVB364" s="632"/>
      <c r="AVO364" s="637"/>
      <c r="AVQ364" s="631"/>
      <c r="AVR364" s="632"/>
      <c r="AWE364" s="637"/>
      <c r="AWG364" s="631"/>
      <c r="AWH364" s="632"/>
      <c r="AWU364" s="637"/>
      <c r="AWW364" s="631"/>
      <c r="AWX364" s="632"/>
      <c r="AXK364" s="637"/>
      <c r="AXM364" s="631"/>
      <c r="AXN364" s="632"/>
      <c r="AYA364" s="637"/>
      <c r="AYC364" s="631"/>
      <c r="AYD364" s="632"/>
      <c r="AYQ364" s="637"/>
      <c r="AYS364" s="631"/>
      <c r="AYT364" s="632"/>
      <c r="AZG364" s="637"/>
      <c r="AZI364" s="631"/>
      <c r="AZJ364" s="632"/>
      <c r="AZW364" s="637"/>
      <c r="AZY364" s="631"/>
      <c r="AZZ364" s="632"/>
      <c r="BAM364" s="637"/>
      <c r="BAO364" s="631"/>
      <c r="BAP364" s="632"/>
      <c r="BBC364" s="637"/>
      <c r="BBE364" s="631"/>
      <c r="BBF364" s="632"/>
      <c r="BBS364" s="637"/>
      <c r="BBU364" s="631"/>
      <c r="BBV364" s="632"/>
      <c r="BCI364" s="637"/>
      <c r="BCK364" s="631"/>
      <c r="BCL364" s="632"/>
      <c r="BCY364" s="637"/>
      <c r="BDA364" s="631"/>
      <c r="BDB364" s="632"/>
      <c r="BDO364" s="637"/>
      <c r="BDQ364" s="631"/>
      <c r="BDR364" s="632"/>
      <c r="BEE364" s="637"/>
      <c r="BEG364" s="631"/>
      <c r="BEH364" s="632"/>
      <c r="BEU364" s="637"/>
      <c r="BEW364" s="631"/>
      <c r="BEX364" s="632"/>
      <c r="BFK364" s="637"/>
      <c r="BFM364" s="631"/>
      <c r="BFN364" s="632"/>
      <c r="BGA364" s="637"/>
      <c r="BGC364" s="631"/>
      <c r="BGD364" s="632"/>
      <c r="BGQ364" s="637"/>
      <c r="BGS364" s="631"/>
      <c r="BGT364" s="632"/>
      <c r="BHG364" s="637"/>
      <c r="BHI364" s="631"/>
      <c r="BHJ364" s="632"/>
      <c r="BHW364" s="637"/>
      <c r="BHY364" s="631"/>
      <c r="BHZ364" s="632"/>
      <c r="BIM364" s="637"/>
      <c r="BIO364" s="631"/>
      <c r="BIP364" s="632"/>
      <c r="BJC364" s="637"/>
      <c r="BJE364" s="631"/>
      <c r="BJF364" s="632"/>
      <c r="BJS364" s="637"/>
      <c r="BJU364" s="631"/>
      <c r="BJV364" s="632"/>
      <c r="BKI364" s="637"/>
      <c r="BKK364" s="631"/>
      <c r="BKL364" s="632"/>
      <c r="BKY364" s="637"/>
      <c r="BLA364" s="631"/>
      <c r="BLB364" s="632"/>
      <c r="BLO364" s="637"/>
      <c r="BLQ364" s="631"/>
      <c r="BLR364" s="632"/>
      <c r="BME364" s="637"/>
      <c r="BMG364" s="631"/>
      <c r="BMH364" s="632"/>
      <c r="BMU364" s="637"/>
      <c r="BMW364" s="631"/>
      <c r="BMX364" s="632"/>
      <c r="BNK364" s="637"/>
      <c r="BNM364" s="631"/>
      <c r="BNN364" s="632"/>
      <c r="BOA364" s="637"/>
      <c r="BOC364" s="631"/>
      <c r="BOD364" s="632"/>
      <c r="BOQ364" s="637"/>
      <c r="BOS364" s="631"/>
      <c r="BOT364" s="632"/>
      <c r="BPG364" s="637"/>
      <c r="BPI364" s="631"/>
      <c r="BPJ364" s="632"/>
      <c r="BPW364" s="637"/>
      <c r="BPY364" s="631"/>
      <c r="BPZ364" s="632"/>
      <c r="BQM364" s="637"/>
      <c r="BQO364" s="631"/>
      <c r="BQP364" s="632"/>
      <c r="BRC364" s="637"/>
      <c r="BRE364" s="631"/>
      <c r="BRF364" s="632"/>
      <c r="BRS364" s="637"/>
      <c r="BRU364" s="631"/>
      <c r="BRV364" s="632"/>
      <c r="BSI364" s="637"/>
      <c r="BSK364" s="631"/>
      <c r="BSL364" s="632"/>
      <c r="BSY364" s="637"/>
      <c r="BTA364" s="631"/>
      <c r="BTB364" s="632"/>
      <c r="BTO364" s="637"/>
      <c r="BTQ364" s="631"/>
      <c r="BTR364" s="632"/>
      <c r="BUE364" s="637"/>
      <c r="BUG364" s="631"/>
      <c r="BUH364" s="632"/>
      <c r="BUU364" s="637"/>
      <c r="BUW364" s="631"/>
      <c r="BUX364" s="632"/>
      <c r="BVK364" s="637"/>
      <c r="BVM364" s="631"/>
      <c r="BVN364" s="632"/>
      <c r="BWA364" s="637"/>
      <c r="BWC364" s="631"/>
      <c r="BWD364" s="632"/>
      <c r="BWQ364" s="637"/>
      <c r="BWS364" s="631"/>
      <c r="BWT364" s="632"/>
      <c r="BXG364" s="637"/>
      <c r="BXI364" s="631"/>
      <c r="BXJ364" s="632"/>
      <c r="BXW364" s="637"/>
      <c r="BXY364" s="631"/>
      <c r="BXZ364" s="632"/>
      <c r="BYM364" s="637"/>
      <c r="BYO364" s="631"/>
      <c r="BYP364" s="632"/>
      <c r="BZC364" s="637"/>
      <c r="BZE364" s="631"/>
      <c r="BZF364" s="632"/>
      <c r="BZS364" s="637"/>
      <c r="BZU364" s="631"/>
      <c r="BZV364" s="632"/>
      <c r="CAI364" s="637"/>
      <c r="CAK364" s="631"/>
      <c r="CAL364" s="632"/>
      <c r="CAY364" s="637"/>
      <c r="CBA364" s="631"/>
      <c r="CBB364" s="632"/>
      <c r="CBO364" s="637"/>
      <c r="CBQ364" s="631"/>
      <c r="CBR364" s="632"/>
      <c r="CCE364" s="637"/>
      <c r="CCG364" s="631"/>
      <c r="CCH364" s="632"/>
      <c r="CCU364" s="637"/>
      <c r="CCW364" s="631"/>
      <c r="CCX364" s="632"/>
      <c r="CDK364" s="637"/>
      <c r="CDM364" s="631"/>
      <c r="CDN364" s="632"/>
      <c r="CEA364" s="637"/>
      <c r="CEC364" s="631"/>
      <c r="CED364" s="632"/>
      <c r="CEQ364" s="637"/>
      <c r="CES364" s="631"/>
      <c r="CET364" s="632"/>
      <c r="CFG364" s="637"/>
      <c r="CFI364" s="631"/>
      <c r="CFJ364" s="632"/>
      <c r="CFW364" s="637"/>
      <c r="CFY364" s="631"/>
      <c r="CFZ364" s="632"/>
      <c r="CGM364" s="637"/>
      <c r="CGO364" s="631"/>
      <c r="CGP364" s="632"/>
      <c r="CHC364" s="637"/>
      <c r="CHE364" s="631"/>
      <c r="CHF364" s="632"/>
      <c r="CHS364" s="637"/>
      <c r="CHU364" s="631"/>
      <c r="CHV364" s="632"/>
      <c r="CII364" s="637"/>
      <c r="CIK364" s="631"/>
      <c r="CIL364" s="632"/>
      <c r="CIY364" s="637"/>
      <c r="CJA364" s="631"/>
      <c r="CJB364" s="632"/>
      <c r="CJO364" s="637"/>
      <c r="CJQ364" s="631"/>
      <c r="CJR364" s="632"/>
      <c r="CKE364" s="637"/>
      <c r="CKG364" s="631"/>
      <c r="CKH364" s="632"/>
      <c r="CKU364" s="637"/>
      <c r="CKW364" s="631"/>
      <c r="CKX364" s="632"/>
      <c r="CLK364" s="637"/>
      <c r="CLM364" s="631"/>
      <c r="CLN364" s="632"/>
      <c r="CMA364" s="637"/>
      <c r="CMC364" s="631"/>
      <c r="CMD364" s="632"/>
      <c r="CMQ364" s="637"/>
      <c r="CMS364" s="631"/>
      <c r="CMT364" s="632"/>
      <c r="CNG364" s="637"/>
      <c r="CNI364" s="631"/>
      <c r="CNJ364" s="632"/>
      <c r="CNW364" s="637"/>
      <c r="CNY364" s="631"/>
      <c r="CNZ364" s="632"/>
      <c r="COM364" s="637"/>
      <c r="COO364" s="631"/>
      <c r="COP364" s="632"/>
      <c r="CPC364" s="637"/>
      <c r="CPE364" s="631"/>
      <c r="CPF364" s="632"/>
      <c r="CPS364" s="637"/>
      <c r="CPU364" s="631"/>
      <c r="CPV364" s="632"/>
      <c r="CQI364" s="637"/>
      <c r="CQK364" s="631"/>
      <c r="CQL364" s="632"/>
      <c r="CQY364" s="637"/>
      <c r="CRA364" s="631"/>
      <c r="CRB364" s="632"/>
      <c r="CRO364" s="637"/>
      <c r="CRQ364" s="631"/>
      <c r="CRR364" s="632"/>
      <c r="CSE364" s="637"/>
      <c r="CSG364" s="631"/>
      <c r="CSH364" s="632"/>
      <c r="CSU364" s="637"/>
      <c r="CSW364" s="631"/>
      <c r="CSX364" s="632"/>
      <c r="CTK364" s="637"/>
      <c r="CTM364" s="631"/>
      <c r="CTN364" s="632"/>
      <c r="CUA364" s="637"/>
      <c r="CUC364" s="631"/>
      <c r="CUD364" s="632"/>
      <c r="CUQ364" s="637"/>
      <c r="CUS364" s="631"/>
      <c r="CUT364" s="632"/>
      <c r="CVG364" s="637"/>
      <c r="CVI364" s="631"/>
      <c r="CVJ364" s="632"/>
      <c r="CVW364" s="637"/>
      <c r="CVY364" s="631"/>
      <c r="CVZ364" s="632"/>
      <c r="CWM364" s="637"/>
      <c r="CWO364" s="631"/>
      <c r="CWP364" s="632"/>
      <c r="CXC364" s="637"/>
      <c r="CXE364" s="631"/>
      <c r="CXF364" s="632"/>
      <c r="CXS364" s="637"/>
      <c r="CXU364" s="631"/>
      <c r="CXV364" s="632"/>
      <c r="CYI364" s="637"/>
      <c r="CYK364" s="631"/>
      <c r="CYL364" s="632"/>
      <c r="CYY364" s="637"/>
      <c r="CZA364" s="631"/>
      <c r="CZB364" s="632"/>
      <c r="CZO364" s="637"/>
      <c r="CZQ364" s="631"/>
      <c r="CZR364" s="632"/>
      <c r="DAE364" s="637"/>
      <c r="DAG364" s="631"/>
      <c r="DAH364" s="632"/>
      <c r="DAU364" s="637"/>
      <c r="DAW364" s="631"/>
      <c r="DAX364" s="632"/>
      <c r="DBK364" s="637"/>
      <c r="DBM364" s="631"/>
      <c r="DBN364" s="632"/>
      <c r="DCA364" s="637"/>
      <c r="DCC364" s="631"/>
      <c r="DCD364" s="632"/>
      <c r="DCQ364" s="637"/>
      <c r="DCS364" s="631"/>
      <c r="DCT364" s="632"/>
      <c r="DDG364" s="637"/>
      <c r="DDI364" s="631"/>
      <c r="DDJ364" s="632"/>
      <c r="DDW364" s="637"/>
      <c r="DDY364" s="631"/>
      <c r="DDZ364" s="632"/>
      <c r="DEM364" s="637"/>
      <c r="DEO364" s="631"/>
      <c r="DEP364" s="632"/>
      <c r="DFC364" s="637"/>
      <c r="DFE364" s="631"/>
      <c r="DFF364" s="632"/>
      <c r="DFS364" s="637"/>
      <c r="DFU364" s="631"/>
      <c r="DFV364" s="632"/>
      <c r="DGI364" s="637"/>
      <c r="DGK364" s="631"/>
      <c r="DGL364" s="632"/>
      <c r="DGY364" s="637"/>
      <c r="DHA364" s="631"/>
      <c r="DHB364" s="632"/>
      <c r="DHO364" s="637"/>
      <c r="DHQ364" s="631"/>
      <c r="DHR364" s="632"/>
      <c r="DIE364" s="637"/>
      <c r="DIG364" s="631"/>
      <c r="DIH364" s="632"/>
      <c r="DIU364" s="637"/>
      <c r="DIW364" s="631"/>
      <c r="DIX364" s="632"/>
      <c r="DJK364" s="637"/>
      <c r="DJM364" s="631"/>
      <c r="DJN364" s="632"/>
      <c r="DKA364" s="637"/>
      <c r="DKC364" s="631"/>
      <c r="DKD364" s="632"/>
      <c r="DKQ364" s="637"/>
      <c r="DKS364" s="631"/>
      <c r="DKT364" s="632"/>
      <c r="DLG364" s="637"/>
      <c r="DLI364" s="631"/>
      <c r="DLJ364" s="632"/>
      <c r="DLW364" s="637"/>
      <c r="DLY364" s="631"/>
      <c r="DLZ364" s="632"/>
      <c r="DMM364" s="637"/>
      <c r="DMO364" s="631"/>
      <c r="DMP364" s="632"/>
      <c r="DNC364" s="637"/>
      <c r="DNE364" s="631"/>
      <c r="DNF364" s="632"/>
      <c r="DNS364" s="637"/>
      <c r="DNU364" s="631"/>
      <c r="DNV364" s="632"/>
      <c r="DOI364" s="637"/>
      <c r="DOK364" s="631"/>
      <c r="DOL364" s="632"/>
      <c r="DOY364" s="637"/>
      <c r="DPA364" s="631"/>
      <c r="DPB364" s="632"/>
      <c r="DPO364" s="637"/>
      <c r="DPQ364" s="631"/>
      <c r="DPR364" s="632"/>
      <c r="DQE364" s="637"/>
      <c r="DQG364" s="631"/>
      <c r="DQH364" s="632"/>
      <c r="DQU364" s="637"/>
      <c r="DQW364" s="631"/>
      <c r="DQX364" s="632"/>
      <c r="DRK364" s="637"/>
      <c r="DRM364" s="631"/>
      <c r="DRN364" s="632"/>
      <c r="DSA364" s="637"/>
      <c r="DSC364" s="631"/>
      <c r="DSD364" s="632"/>
      <c r="DSQ364" s="637"/>
      <c r="DSS364" s="631"/>
      <c r="DST364" s="632"/>
      <c r="DTG364" s="637"/>
      <c r="DTI364" s="631"/>
      <c r="DTJ364" s="632"/>
      <c r="DTW364" s="637"/>
      <c r="DTY364" s="631"/>
      <c r="DTZ364" s="632"/>
      <c r="DUM364" s="637"/>
      <c r="DUO364" s="631"/>
      <c r="DUP364" s="632"/>
      <c r="DVC364" s="637"/>
      <c r="DVE364" s="631"/>
      <c r="DVF364" s="632"/>
      <c r="DVS364" s="637"/>
      <c r="DVU364" s="631"/>
      <c r="DVV364" s="632"/>
      <c r="DWI364" s="637"/>
      <c r="DWK364" s="631"/>
      <c r="DWL364" s="632"/>
      <c r="DWY364" s="637"/>
      <c r="DXA364" s="631"/>
      <c r="DXB364" s="632"/>
      <c r="DXO364" s="637"/>
      <c r="DXQ364" s="631"/>
      <c r="DXR364" s="632"/>
      <c r="DYE364" s="637"/>
      <c r="DYG364" s="631"/>
      <c r="DYH364" s="632"/>
      <c r="DYU364" s="637"/>
      <c r="DYW364" s="631"/>
      <c r="DYX364" s="632"/>
      <c r="DZK364" s="637"/>
      <c r="DZM364" s="631"/>
      <c r="DZN364" s="632"/>
      <c r="EAA364" s="637"/>
      <c r="EAC364" s="631"/>
      <c r="EAD364" s="632"/>
      <c r="EAQ364" s="637"/>
      <c r="EAS364" s="631"/>
      <c r="EAT364" s="632"/>
      <c r="EBG364" s="637"/>
      <c r="EBI364" s="631"/>
      <c r="EBJ364" s="632"/>
      <c r="EBW364" s="637"/>
      <c r="EBY364" s="631"/>
      <c r="EBZ364" s="632"/>
      <c r="ECM364" s="637"/>
      <c r="ECO364" s="631"/>
      <c r="ECP364" s="632"/>
      <c r="EDC364" s="637"/>
      <c r="EDE364" s="631"/>
      <c r="EDF364" s="632"/>
      <c r="EDS364" s="637"/>
      <c r="EDU364" s="631"/>
      <c r="EDV364" s="632"/>
      <c r="EEI364" s="637"/>
      <c r="EEK364" s="631"/>
      <c r="EEL364" s="632"/>
      <c r="EEY364" s="637"/>
      <c r="EFA364" s="631"/>
      <c r="EFB364" s="632"/>
      <c r="EFO364" s="637"/>
      <c r="EFQ364" s="631"/>
      <c r="EFR364" s="632"/>
      <c r="EGE364" s="637"/>
      <c r="EGG364" s="631"/>
      <c r="EGH364" s="632"/>
      <c r="EGU364" s="637"/>
      <c r="EGW364" s="631"/>
      <c r="EGX364" s="632"/>
      <c r="EHK364" s="637"/>
      <c r="EHM364" s="631"/>
      <c r="EHN364" s="632"/>
      <c r="EIA364" s="637"/>
      <c r="EIC364" s="631"/>
      <c r="EID364" s="632"/>
      <c r="EIQ364" s="637"/>
      <c r="EIS364" s="631"/>
      <c r="EIT364" s="632"/>
      <c r="EJG364" s="637"/>
      <c r="EJI364" s="631"/>
      <c r="EJJ364" s="632"/>
      <c r="EJW364" s="637"/>
      <c r="EJY364" s="631"/>
      <c r="EJZ364" s="632"/>
      <c r="EKM364" s="637"/>
      <c r="EKO364" s="631"/>
      <c r="EKP364" s="632"/>
      <c r="ELC364" s="637"/>
      <c r="ELE364" s="631"/>
      <c r="ELF364" s="632"/>
      <c r="ELS364" s="637"/>
      <c r="ELU364" s="631"/>
      <c r="ELV364" s="632"/>
      <c r="EMI364" s="637"/>
      <c r="EMK364" s="631"/>
      <c r="EML364" s="632"/>
      <c r="EMY364" s="637"/>
      <c r="ENA364" s="631"/>
      <c r="ENB364" s="632"/>
      <c r="ENO364" s="637"/>
      <c r="ENQ364" s="631"/>
      <c r="ENR364" s="632"/>
      <c r="EOE364" s="637"/>
      <c r="EOG364" s="631"/>
      <c r="EOH364" s="632"/>
      <c r="EOU364" s="637"/>
      <c r="EOW364" s="631"/>
      <c r="EOX364" s="632"/>
      <c r="EPK364" s="637"/>
      <c r="EPM364" s="631"/>
      <c r="EPN364" s="632"/>
      <c r="EQA364" s="637"/>
      <c r="EQC364" s="631"/>
      <c r="EQD364" s="632"/>
      <c r="EQQ364" s="637"/>
      <c r="EQS364" s="631"/>
      <c r="EQT364" s="632"/>
      <c r="ERG364" s="637"/>
      <c r="ERI364" s="631"/>
      <c r="ERJ364" s="632"/>
      <c r="ERW364" s="637"/>
      <c r="ERY364" s="631"/>
      <c r="ERZ364" s="632"/>
      <c r="ESM364" s="637"/>
      <c r="ESO364" s="631"/>
      <c r="ESP364" s="632"/>
      <c r="ETC364" s="637"/>
      <c r="ETE364" s="631"/>
      <c r="ETF364" s="632"/>
      <c r="ETS364" s="637"/>
      <c r="ETU364" s="631"/>
      <c r="ETV364" s="632"/>
      <c r="EUI364" s="637"/>
      <c r="EUK364" s="631"/>
      <c r="EUL364" s="632"/>
      <c r="EUY364" s="637"/>
      <c r="EVA364" s="631"/>
      <c r="EVB364" s="632"/>
      <c r="EVO364" s="637"/>
      <c r="EVQ364" s="631"/>
      <c r="EVR364" s="632"/>
      <c r="EWE364" s="637"/>
      <c r="EWG364" s="631"/>
      <c r="EWH364" s="632"/>
      <c r="EWU364" s="637"/>
      <c r="EWW364" s="631"/>
      <c r="EWX364" s="632"/>
      <c r="EXK364" s="637"/>
      <c r="EXM364" s="631"/>
      <c r="EXN364" s="632"/>
      <c r="EYA364" s="637"/>
      <c r="EYC364" s="631"/>
      <c r="EYD364" s="632"/>
      <c r="EYQ364" s="637"/>
      <c r="EYS364" s="631"/>
      <c r="EYT364" s="632"/>
      <c r="EZG364" s="637"/>
      <c r="EZI364" s="631"/>
      <c r="EZJ364" s="632"/>
      <c r="EZW364" s="637"/>
      <c r="EZY364" s="631"/>
      <c r="EZZ364" s="632"/>
      <c r="FAM364" s="637"/>
      <c r="FAO364" s="631"/>
      <c r="FAP364" s="632"/>
      <c r="FBC364" s="637"/>
      <c r="FBE364" s="631"/>
      <c r="FBF364" s="632"/>
      <c r="FBS364" s="637"/>
      <c r="FBU364" s="631"/>
      <c r="FBV364" s="632"/>
      <c r="FCI364" s="637"/>
      <c r="FCK364" s="631"/>
      <c r="FCL364" s="632"/>
      <c r="FCY364" s="637"/>
      <c r="FDA364" s="631"/>
      <c r="FDB364" s="632"/>
      <c r="FDO364" s="637"/>
      <c r="FDQ364" s="631"/>
      <c r="FDR364" s="632"/>
      <c r="FEE364" s="637"/>
      <c r="FEG364" s="631"/>
      <c r="FEH364" s="632"/>
      <c r="FEU364" s="637"/>
      <c r="FEW364" s="631"/>
      <c r="FEX364" s="632"/>
      <c r="FFK364" s="637"/>
      <c r="FFM364" s="631"/>
      <c r="FFN364" s="632"/>
      <c r="FGA364" s="637"/>
      <c r="FGC364" s="631"/>
      <c r="FGD364" s="632"/>
      <c r="FGQ364" s="637"/>
      <c r="FGS364" s="631"/>
      <c r="FGT364" s="632"/>
      <c r="FHG364" s="637"/>
      <c r="FHI364" s="631"/>
      <c r="FHJ364" s="632"/>
      <c r="FHW364" s="637"/>
      <c r="FHY364" s="631"/>
      <c r="FHZ364" s="632"/>
      <c r="FIM364" s="637"/>
      <c r="FIO364" s="631"/>
      <c r="FIP364" s="632"/>
      <c r="FJC364" s="637"/>
      <c r="FJE364" s="631"/>
      <c r="FJF364" s="632"/>
      <c r="FJS364" s="637"/>
      <c r="FJU364" s="631"/>
      <c r="FJV364" s="632"/>
      <c r="FKI364" s="637"/>
      <c r="FKK364" s="631"/>
      <c r="FKL364" s="632"/>
      <c r="FKY364" s="637"/>
      <c r="FLA364" s="631"/>
      <c r="FLB364" s="632"/>
      <c r="FLO364" s="637"/>
      <c r="FLQ364" s="631"/>
      <c r="FLR364" s="632"/>
      <c r="FME364" s="637"/>
      <c r="FMG364" s="631"/>
      <c r="FMH364" s="632"/>
      <c r="FMU364" s="637"/>
      <c r="FMW364" s="631"/>
      <c r="FMX364" s="632"/>
      <c r="FNK364" s="637"/>
      <c r="FNM364" s="631"/>
      <c r="FNN364" s="632"/>
      <c r="FOA364" s="637"/>
      <c r="FOC364" s="631"/>
      <c r="FOD364" s="632"/>
      <c r="FOQ364" s="637"/>
      <c r="FOS364" s="631"/>
      <c r="FOT364" s="632"/>
      <c r="FPG364" s="637"/>
      <c r="FPI364" s="631"/>
      <c r="FPJ364" s="632"/>
      <c r="FPW364" s="637"/>
      <c r="FPY364" s="631"/>
      <c r="FPZ364" s="632"/>
      <c r="FQM364" s="637"/>
      <c r="FQO364" s="631"/>
      <c r="FQP364" s="632"/>
      <c r="FRC364" s="637"/>
      <c r="FRE364" s="631"/>
      <c r="FRF364" s="632"/>
      <c r="FRS364" s="637"/>
      <c r="FRU364" s="631"/>
      <c r="FRV364" s="632"/>
      <c r="FSI364" s="637"/>
      <c r="FSK364" s="631"/>
      <c r="FSL364" s="632"/>
      <c r="FSY364" s="637"/>
      <c r="FTA364" s="631"/>
      <c r="FTB364" s="632"/>
      <c r="FTO364" s="637"/>
      <c r="FTQ364" s="631"/>
      <c r="FTR364" s="632"/>
      <c r="FUE364" s="637"/>
      <c r="FUG364" s="631"/>
      <c r="FUH364" s="632"/>
      <c r="FUU364" s="637"/>
      <c r="FUW364" s="631"/>
      <c r="FUX364" s="632"/>
      <c r="FVK364" s="637"/>
      <c r="FVM364" s="631"/>
      <c r="FVN364" s="632"/>
      <c r="FWA364" s="637"/>
      <c r="FWC364" s="631"/>
      <c r="FWD364" s="632"/>
      <c r="FWQ364" s="637"/>
      <c r="FWS364" s="631"/>
      <c r="FWT364" s="632"/>
      <c r="FXG364" s="637"/>
      <c r="FXI364" s="631"/>
      <c r="FXJ364" s="632"/>
      <c r="FXW364" s="637"/>
      <c r="FXY364" s="631"/>
      <c r="FXZ364" s="632"/>
      <c r="FYM364" s="637"/>
      <c r="FYO364" s="631"/>
      <c r="FYP364" s="632"/>
      <c r="FZC364" s="637"/>
      <c r="FZE364" s="631"/>
      <c r="FZF364" s="632"/>
      <c r="FZS364" s="637"/>
      <c r="FZU364" s="631"/>
      <c r="FZV364" s="632"/>
      <c r="GAI364" s="637"/>
      <c r="GAK364" s="631"/>
      <c r="GAL364" s="632"/>
      <c r="GAY364" s="637"/>
      <c r="GBA364" s="631"/>
      <c r="GBB364" s="632"/>
      <c r="GBO364" s="637"/>
      <c r="GBQ364" s="631"/>
      <c r="GBR364" s="632"/>
      <c r="GCE364" s="637"/>
      <c r="GCG364" s="631"/>
      <c r="GCH364" s="632"/>
      <c r="GCU364" s="637"/>
      <c r="GCW364" s="631"/>
      <c r="GCX364" s="632"/>
      <c r="GDK364" s="637"/>
      <c r="GDM364" s="631"/>
      <c r="GDN364" s="632"/>
      <c r="GEA364" s="637"/>
      <c r="GEC364" s="631"/>
      <c r="GED364" s="632"/>
      <c r="GEQ364" s="637"/>
      <c r="GES364" s="631"/>
      <c r="GET364" s="632"/>
      <c r="GFG364" s="637"/>
      <c r="GFI364" s="631"/>
      <c r="GFJ364" s="632"/>
      <c r="GFW364" s="637"/>
      <c r="GFY364" s="631"/>
      <c r="GFZ364" s="632"/>
      <c r="GGM364" s="637"/>
      <c r="GGO364" s="631"/>
      <c r="GGP364" s="632"/>
      <c r="GHC364" s="637"/>
      <c r="GHE364" s="631"/>
      <c r="GHF364" s="632"/>
      <c r="GHS364" s="637"/>
      <c r="GHU364" s="631"/>
      <c r="GHV364" s="632"/>
      <c r="GII364" s="637"/>
      <c r="GIK364" s="631"/>
      <c r="GIL364" s="632"/>
      <c r="GIY364" s="637"/>
      <c r="GJA364" s="631"/>
      <c r="GJB364" s="632"/>
      <c r="GJO364" s="637"/>
      <c r="GJQ364" s="631"/>
      <c r="GJR364" s="632"/>
      <c r="GKE364" s="637"/>
      <c r="GKG364" s="631"/>
      <c r="GKH364" s="632"/>
      <c r="GKU364" s="637"/>
      <c r="GKW364" s="631"/>
      <c r="GKX364" s="632"/>
      <c r="GLK364" s="637"/>
      <c r="GLM364" s="631"/>
      <c r="GLN364" s="632"/>
      <c r="GMA364" s="637"/>
      <c r="GMC364" s="631"/>
      <c r="GMD364" s="632"/>
      <c r="GMQ364" s="637"/>
      <c r="GMS364" s="631"/>
      <c r="GMT364" s="632"/>
      <c r="GNG364" s="637"/>
      <c r="GNI364" s="631"/>
      <c r="GNJ364" s="632"/>
      <c r="GNW364" s="637"/>
      <c r="GNY364" s="631"/>
      <c r="GNZ364" s="632"/>
      <c r="GOM364" s="637"/>
      <c r="GOO364" s="631"/>
      <c r="GOP364" s="632"/>
      <c r="GPC364" s="637"/>
      <c r="GPE364" s="631"/>
      <c r="GPF364" s="632"/>
      <c r="GPS364" s="637"/>
      <c r="GPU364" s="631"/>
      <c r="GPV364" s="632"/>
      <c r="GQI364" s="637"/>
      <c r="GQK364" s="631"/>
      <c r="GQL364" s="632"/>
      <c r="GQY364" s="637"/>
      <c r="GRA364" s="631"/>
      <c r="GRB364" s="632"/>
      <c r="GRO364" s="637"/>
      <c r="GRQ364" s="631"/>
      <c r="GRR364" s="632"/>
      <c r="GSE364" s="637"/>
      <c r="GSG364" s="631"/>
      <c r="GSH364" s="632"/>
      <c r="GSU364" s="637"/>
      <c r="GSW364" s="631"/>
      <c r="GSX364" s="632"/>
      <c r="GTK364" s="637"/>
      <c r="GTM364" s="631"/>
      <c r="GTN364" s="632"/>
      <c r="GUA364" s="637"/>
      <c r="GUC364" s="631"/>
      <c r="GUD364" s="632"/>
      <c r="GUQ364" s="637"/>
      <c r="GUS364" s="631"/>
      <c r="GUT364" s="632"/>
      <c r="GVG364" s="637"/>
      <c r="GVI364" s="631"/>
      <c r="GVJ364" s="632"/>
      <c r="GVW364" s="637"/>
      <c r="GVY364" s="631"/>
      <c r="GVZ364" s="632"/>
      <c r="GWM364" s="637"/>
      <c r="GWO364" s="631"/>
      <c r="GWP364" s="632"/>
      <c r="GXC364" s="637"/>
      <c r="GXE364" s="631"/>
      <c r="GXF364" s="632"/>
      <c r="GXS364" s="637"/>
      <c r="GXU364" s="631"/>
      <c r="GXV364" s="632"/>
      <c r="GYI364" s="637"/>
      <c r="GYK364" s="631"/>
      <c r="GYL364" s="632"/>
      <c r="GYY364" s="637"/>
      <c r="GZA364" s="631"/>
      <c r="GZB364" s="632"/>
      <c r="GZO364" s="637"/>
      <c r="GZQ364" s="631"/>
      <c r="GZR364" s="632"/>
      <c r="HAE364" s="637"/>
      <c r="HAG364" s="631"/>
      <c r="HAH364" s="632"/>
      <c r="HAU364" s="637"/>
      <c r="HAW364" s="631"/>
      <c r="HAX364" s="632"/>
      <c r="HBK364" s="637"/>
      <c r="HBM364" s="631"/>
      <c r="HBN364" s="632"/>
      <c r="HCA364" s="637"/>
      <c r="HCC364" s="631"/>
      <c r="HCD364" s="632"/>
      <c r="HCQ364" s="637"/>
      <c r="HCS364" s="631"/>
      <c r="HCT364" s="632"/>
      <c r="HDG364" s="637"/>
      <c r="HDI364" s="631"/>
      <c r="HDJ364" s="632"/>
      <c r="HDW364" s="637"/>
      <c r="HDY364" s="631"/>
      <c r="HDZ364" s="632"/>
      <c r="HEM364" s="637"/>
      <c r="HEO364" s="631"/>
      <c r="HEP364" s="632"/>
      <c r="HFC364" s="637"/>
      <c r="HFE364" s="631"/>
      <c r="HFF364" s="632"/>
      <c r="HFS364" s="637"/>
      <c r="HFU364" s="631"/>
      <c r="HFV364" s="632"/>
      <c r="HGI364" s="637"/>
      <c r="HGK364" s="631"/>
      <c r="HGL364" s="632"/>
      <c r="HGY364" s="637"/>
      <c r="HHA364" s="631"/>
      <c r="HHB364" s="632"/>
      <c r="HHO364" s="637"/>
      <c r="HHQ364" s="631"/>
      <c r="HHR364" s="632"/>
      <c r="HIE364" s="637"/>
      <c r="HIG364" s="631"/>
      <c r="HIH364" s="632"/>
      <c r="HIU364" s="637"/>
      <c r="HIW364" s="631"/>
      <c r="HIX364" s="632"/>
      <c r="HJK364" s="637"/>
      <c r="HJM364" s="631"/>
      <c r="HJN364" s="632"/>
      <c r="HKA364" s="637"/>
      <c r="HKC364" s="631"/>
      <c r="HKD364" s="632"/>
      <c r="HKQ364" s="637"/>
      <c r="HKS364" s="631"/>
      <c r="HKT364" s="632"/>
      <c r="HLG364" s="637"/>
      <c r="HLI364" s="631"/>
      <c r="HLJ364" s="632"/>
      <c r="HLW364" s="637"/>
      <c r="HLY364" s="631"/>
      <c r="HLZ364" s="632"/>
      <c r="HMM364" s="637"/>
      <c r="HMO364" s="631"/>
      <c r="HMP364" s="632"/>
      <c r="HNC364" s="637"/>
      <c r="HNE364" s="631"/>
      <c r="HNF364" s="632"/>
      <c r="HNS364" s="637"/>
      <c r="HNU364" s="631"/>
      <c r="HNV364" s="632"/>
      <c r="HOI364" s="637"/>
      <c r="HOK364" s="631"/>
      <c r="HOL364" s="632"/>
      <c r="HOY364" s="637"/>
      <c r="HPA364" s="631"/>
      <c r="HPB364" s="632"/>
      <c r="HPO364" s="637"/>
      <c r="HPQ364" s="631"/>
      <c r="HPR364" s="632"/>
      <c r="HQE364" s="637"/>
      <c r="HQG364" s="631"/>
      <c r="HQH364" s="632"/>
      <c r="HQU364" s="637"/>
      <c r="HQW364" s="631"/>
      <c r="HQX364" s="632"/>
      <c r="HRK364" s="637"/>
      <c r="HRM364" s="631"/>
      <c r="HRN364" s="632"/>
      <c r="HSA364" s="637"/>
      <c r="HSC364" s="631"/>
      <c r="HSD364" s="632"/>
      <c r="HSQ364" s="637"/>
      <c r="HSS364" s="631"/>
      <c r="HST364" s="632"/>
      <c r="HTG364" s="637"/>
      <c r="HTI364" s="631"/>
      <c r="HTJ364" s="632"/>
      <c r="HTW364" s="637"/>
      <c r="HTY364" s="631"/>
      <c r="HTZ364" s="632"/>
      <c r="HUM364" s="637"/>
      <c r="HUO364" s="631"/>
      <c r="HUP364" s="632"/>
      <c r="HVC364" s="637"/>
      <c r="HVE364" s="631"/>
      <c r="HVF364" s="632"/>
      <c r="HVS364" s="637"/>
      <c r="HVU364" s="631"/>
      <c r="HVV364" s="632"/>
      <c r="HWI364" s="637"/>
      <c r="HWK364" s="631"/>
      <c r="HWL364" s="632"/>
      <c r="HWY364" s="637"/>
      <c r="HXA364" s="631"/>
      <c r="HXB364" s="632"/>
      <c r="HXO364" s="637"/>
      <c r="HXQ364" s="631"/>
      <c r="HXR364" s="632"/>
      <c r="HYE364" s="637"/>
      <c r="HYG364" s="631"/>
      <c r="HYH364" s="632"/>
      <c r="HYU364" s="637"/>
      <c r="HYW364" s="631"/>
      <c r="HYX364" s="632"/>
      <c r="HZK364" s="637"/>
      <c r="HZM364" s="631"/>
      <c r="HZN364" s="632"/>
      <c r="IAA364" s="637"/>
      <c r="IAC364" s="631"/>
      <c r="IAD364" s="632"/>
      <c r="IAQ364" s="637"/>
      <c r="IAS364" s="631"/>
      <c r="IAT364" s="632"/>
      <c r="IBG364" s="637"/>
      <c r="IBI364" s="631"/>
      <c r="IBJ364" s="632"/>
      <c r="IBW364" s="637"/>
      <c r="IBY364" s="631"/>
      <c r="IBZ364" s="632"/>
      <c r="ICM364" s="637"/>
      <c r="ICO364" s="631"/>
      <c r="ICP364" s="632"/>
      <c r="IDC364" s="637"/>
      <c r="IDE364" s="631"/>
      <c r="IDF364" s="632"/>
      <c r="IDS364" s="637"/>
      <c r="IDU364" s="631"/>
      <c r="IDV364" s="632"/>
      <c r="IEI364" s="637"/>
      <c r="IEK364" s="631"/>
      <c r="IEL364" s="632"/>
      <c r="IEY364" s="637"/>
      <c r="IFA364" s="631"/>
      <c r="IFB364" s="632"/>
      <c r="IFO364" s="637"/>
      <c r="IFQ364" s="631"/>
      <c r="IFR364" s="632"/>
      <c r="IGE364" s="637"/>
      <c r="IGG364" s="631"/>
      <c r="IGH364" s="632"/>
      <c r="IGU364" s="637"/>
      <c r="IGW364" s="631"/>
      <c r="IGX364" s="632"/>
      <c r="IHK364" s="637"/>
      <c r="IHM364" s="631"/>
      <c r="IHN364" s="632"/>
      <c r="IIA364" s="637"/>
      <c r="IIC364" s="631"/>
      <c r="IID364" s="632"/>
      <c r="IIQ364" s="637"/>
      <c r="IIS364" s="631"/>
      <c r="IIT364" s="632"/>
      <c r="IJG364" s="637"/>
      <c r="IJI364" s="631"/>
      <c r="IJJ364" s="632"/>
      <c r="IJW364" s="637"/>
      <c r="IJY364" s="631"/>
      <c r="IJZ364" s="632"/>
      <c r="IKM364" s="637"/>
      <c r="IKO364" s="631"/>
      <c r="IKP364" s="632"/>
      <c r="ILC364" s="637"/>
      <c r="ILE364" s="631"/>
      <c r="ILF364" s="632"/>
      <c r="ILS364" s="637"/>
      <c r="ILU364" s="631"/>
      <c r="ILV364" s="632"/>
      <c r="IMI364" s="637"/>
      <c r="IMK364" s="631"/>
      <c r="IML364" s="632"/>
      <c r="IMY364" s="637"/>
      <c r="INA364" s="631"/>
      <c r="INB364" s="632"/>
      <c r="INO364" s="637"/>
      <c r="INQ364" s="631"/>
      <c r="INR364" s="632"/>
      <c r="IOE364" s="637"/>
      <c r="IOG364" s="631"/>
      <c r="IOH364" s="632"/>
      <c r="IOU364" s="637"/>
      <c r="IOW364" s="631"/>
      <c r="IOX364" s="632"/>
      <c r="IPK364" s="637"/>
      <c r="IPM364" s="631"/>
      <c r="IPN364" s="632"/>
      <c r="IQA364" s="637"/>
      <c r="IQC364" s="631"/>
      <c r="IQD364" s="632"/>
      <c r="IQQ364" s="637"/>
      <c r="IQS364" s="631"/>
      <c r="IQT364" s="632"/>
      <c r="IRG364" s="637"/>
      <c r="IRI364" s="631"/>
      <c r="IRJ364" s="632"/>
      <c r="IRW364" s="637"/>
      <c r="IRY364" s="631"/>
      <c r="IRZ364" s="632"/>
      <c r="ISM364" s="637"/>
      <c r="ISO364" s="631"/>
      <c r="ISP364" s="632"/>
      <c r="ITC364" s="637"/>
      <c r="ITE364" s="631"/>
      <c r="ITF364" s="632"/>
      <c r="ITS364" s="637"/>
      <c r="ITU364" s="631"/>
      <c r="ITV364" s="632"/>
      <c r="IUI364" s="637"/>
      <c r="IUK364" s="631"/>
      <c r="IUL364" s="632"/>
      <c r="IUY364" s="637"/>
      <c r="IVA364" s="631"/>
      <c r="IVB364" s="632"/>
      <c r="IVO364" s="637"/>
      <c r="IVQ364" s="631"/>
      <c r="IVR364" s="632"/>
      <c r="IWE364" s="637"/>
      <c r="IWG364" s="631"/>
      <c r="IWH364" s="632"/>
      <c r="IWU364" s="637"/>
      <c r="IWW364" s="631"/>
      <c r="IWX364" s="632"/>
      <c r="IXK364" s="637"/>
      <c r="IXM364" s="631"/>
      <c r="IXN364" s="632"/>
      <c r="IYA364" s="637"/>
      <c r="IYC364" s="631"/>
      <c r="IYD364" s="632"/>
      <c r="IYQ364" s="637"/>
      <c r="IYS364" s="631"/>
      <c r="IYT364" s="632"/>
      <c r="IZG364" s="637"/>
      <c r="IZI364" s="631"/>
      <c r="IZJ364" s="632"/>
      <c r="IZW364" s="637"/>
      <c r="IZY364" s="631"/>
      <c r="IZZ364" s="632"/>
      <c r="JAM364" s="637"/>
      <c r="JAO364" s="631"/>
      <c r="JAP364" s="632"/>
      <c r="JBC364" s="637"/>
      <c r="JBE364" s="631"/>
      <c r="JBF364" s="632"/>
      <c r="JBS364" s="637"/>
      <c r="JBU364" s="631"/>
      <c r="JBV364" s="632"/>
      <c r="JCI364" s="637"/>
      <c r="JCK364" s="631"/>
      <c r="JCL364" s="632"/>
      <c r="JCY364" s="637"/>
      <c r="JDA364" s="631"/>
      <c r="JDB364" s="632"/>
      <c r="JDO364" s="637"/>
      <c r="JDQ364" s="631"/>
      <c r="JDR364" s="632"/>
      <c r="JEE364" s="637"/>
      <c r="JEG364" s="631"/>
      <c r="JEH364" s="632"/>
      <c r="JEU364" s="637"/>
      <c r="JEW364" s="631"/>
      <c r="JEX364" s="632"/>
      <c r="JFK364" s="637"/>
      <c r="JFM364" s="631"/>
      <c r="JFN364" s="632"/>
      <c r="JGA364" s="637"/>
      <c r="JGC364" s="631"/>
      <c r="JGD364" s="632"/>
      <c r="JGQ364" s="637"/>
      <c r="JGS364" s="631"/>
      <c r="JGT364" s="632"/>
      <c r="JHG364" s="637"/>
      <c r="JHI364" s="631"/>
      <c r="JHJ364" s="632"/>
      <c r="JHW364" s="637"/>
      <c r="JHY364" s="631"/>
      <c r="JHZ364" s="632"/>
      <c r="JIM364" s="637"/>
      <c r="JIO364" s="631"/>
      <c r="JIP364" s="632"/>
      <c r="JJC364" s="637"/>
      <c r="JJE364" s="631"/>
      <c r="JJF364" s="632"/>
      <c r="JJS364" s="637"/>
      <c r="JJU364" s="631"/>
      <c r="JJV364" s="632"/>
      <c r="JKI364" s="637"/>
      <c r="JKK364" s="631"/>
      <c r="JKL364" s="632"/>
      <c r="JKY364" s="637"/>
      <c r="JLA364" s="631"/>
      <c r="JLB364" s="632"/>
      <c r="JLO364" s="637"/>
      <c r="JLQ364" s="631"/>
      <c r="JLR364" s="632"/>
      <c r="JME364" s="637"/>
      <c r="JMG364" s="631"/>
      <c r="JMH364" s="632"/>
      <c r="JMU364" s="637"/>
      <c r="JMW364" s="631"/>
      <c r="JMX364" s="632"/>
      <c r="JNK364" s="637"/>
      <c r="JNM364" s="631"/>
      <c r="JNN364" s="632"/>
      <c r="JOA364" s="637"/>
      <c r="JOC364" s="631"/>
      <c r="JOD364" s="632"/>
      <c r="JOQ364" s="637"/>
      <c r="JOS364" s="631"/>
      <c r="JOT364" s="632"/>
      <c r="JPG364" s="637"/>
      <c r="JPI364" s="631"/>
      <c r="JPJ364" s="632"/>
      <c r="JPW364" s="637"/>
      <c r="JPY364" s="631"/>
      <c r="JPZ364" s="632"/>
      <c r="JQM364" s="637"/>
      <c r="JQO364" s="631"/>
      <c r="JQP364" s="632"/>
      <c r="JRC364" s="637"/>
      <c r="JRE364" s="631"/>
      <c r="JRF364" s="632"/>
      <c r="JRS364" s="637"/>
      <c r="JRU364" s="631"/>
      <c r="JRV364" s="632"/>
      <c r="JSI364" s="637"/>
      <c r="JSK364" s="631"/>
      <c r="JSL364" s="632"/>
      <c r="JSY364" s="637"/>
      <c r="JTA364" s="631"/>
      <c r="JTB364" s="632"/>
      <c r="JTO364" s="637"/>
      <c r="JTQ364" s="631"/>
      <c r="JTR364" s="632"/>
      <c r="JUE364" s="637"/>
      <c r="JUG364" s="631"/>
      <c r="JUH364" s="632"/>
      <c r="JUU364" s="637"/>
      <c r="JUW364" s="631"/>
      <c r="JUX364" s="632"/>
      <c r="JVK364" s="637"/>
      <c r="JVM364" s="631"/>
      <c r="JVN364" s="632"/>
      <c r="JWA364" s="637"/>
      <c r="JWC364" s="631"/>
      <c r="JWD364" s="632"/>
      <c r="JWQ364" s="637"/>
      <c r="JWS364" s="631"/>
      <c r="JWT364" s="632"/>
      <c r="JXG364" s="637"/>
      <c r="JXI364" s="631"/>
      <c r="JXJ364" s="632"/>
      <c r="JXW364" s="637"/>
      <c r="JXY364" s="631"/>
      <c r="JXZ364" s="632"/>
      <c r="JYM364" s="637"/>
      <c r="JYO364" s="631"/>
      <c r="JYP364" s="632"/>
      <c r="JZC364" s="637"/>
      <c r="JZE364" s="631"/>
      <c r="JZF364" s="632"/>
      <c r="JZS364" s="637"/>
      <c r="JZU364" s="631"/>
      <c r="JZV364" s="632"/>
      <c r="KAI364" s="637"/>
      <c r="KAK364" s="631"/>
      <c r="KAL364" s="632"/>
      <c r="KAY364" s="637"/>
      <c r="KBA364" s="631"/>
      <c r="KBB364" s="632"/>
      <c r="KBO364" s="637"/>
      <c r="KBQ364" s="631"/>
      <c r="KBR364" s="632"/>
      <c r="KCE364" s="637"/>
      <c r="KCG364" s="631"/>
      <c r="KCH364" s="632"/>
      <c r="KCU364" s="637"/>
      <c r="KCW364" s="631"/>
      <c r="KCX364" s="632"/>
      <c r="KDK364" s="637"/>
      <c r="KDM364" s="631"/>
      <c r="KDN364" s="632"/>
      <c r="KEA364" s="637"/>
      <c r="KEC364" s="631"/>
      <c r="KED364" s="632"/>
      <c r="KEQ364" s="637"/>
      <c r="KES364" s="631"/>
      <c r="KET364" s="632"/>
      <c r="KFG364" s="637"/>
      <c r="KFI364" s="631"/>
      <c r="KFJ364" s="632"/>
      <c r="KFW364" s="637"/>
      <c r="KFY364" s="631"/>
      <c r="KFZ364" s="632"/>
      <c r="KGM364" s="637"/>
      <c r="KGO364" s="631"/>
      <c r="KGP364" s="632"/>
      <c r="KHC364" s="637"/>
      <c r="KHE364" s="631"/>
      <c r="KHF364" s="632"/>
      <c r="KHS364" s="637"/>
      <c r="KHU364" s="631"/>
      <c r="KHV364" s="632"/>
      <c r="KII364" s="637"/>
      <c r="KIK364" s="631"/>
      <c r="KIL364" s="632"/>
      <c r="KIY364" s="637"/>
      <c r="KJA364" s="631"/>
      <c r="KJB364" s="632"/>
      <c r="KJO364" s="637"/>
      <c r="KJQ364" s="631"/>
      <c r="KJR364" s="632"/>
      <c r="KKE364" s="637"/>
      <c r="KKG364" s="631"/>
      <c r="KKH364" s="632"/>
      <c r="KKU364" s="637"/>
      <c r="KKW364" s="631"/>
      <c r="KKX364" s="632"/>
      <c r="KLK364" s="637"/>
      <c r="KLM364" s="631"/>
      <c r="KLN364" s="632"/>
      <c r="KMA364" s="637"/>
      <c r="KMC364" s="631"/>
      <c r="KMD364" s="632"/>
      <c r="KMQ364" s="637"/>
      <c r="KMS364" s="631"/>
      <c r="KMT364" s="632"/>
      <c r="KNG364" s="637"/>
      <c r="KNI364" s="631"/>
      <c r="KNJ364" s="632"/>
      <c r="KNW364" s="637"/>
      <c r="KNY364" s="631"/>
      <c r="KNZ364" s="632"/>
      <c r="KOM364" s="637"/>
      <c r="KOO364" s="631"/>
      <c r="KOP364" s="632"/>
      <c r="KPC364" s="637"/>
      <c r="KPE364" s="631"/>
      <c r="KPF364" s="632"/>
      <c r="KPS364" s="637"/>
      <c r="KPU364" s="631"/>
      <c r="KPV364" s="632"/>
      <c r="KQI364" s="637"/>
      <c r="KQK364" s="631"/>
      <c r="KQL364" s="632"/>
      <c r="KQY364" s="637"/>
      <c r="KRA364" s="631"/>
      <c r="KRB364" s="632"/>
      <c r="KRO364" s="637"/>
      <c r="KRQ364" s="631"/>
      <c r="KRR364" s="632"/>
      <c r="KSE364" s="637"/>
      <c r="KSG364" s="631"/>
      <c r="KSH364" s="632"/>
      <c r="KSU364" s="637"/>
      <c r="KSW364" s="631"/>
      <c r="KSX364" s="632"/>
      <c r="KTK364" s="637"/>
      <c r="KTM364" s="631"/>
      <c r="KTN364" s="632"/>
      <c r="KUA364" s="637"/>
      <c r="KUC364" s="631"/>
      <c r="KUD364" s="632"/>
      <c r="KUQ364" s="637"/>
      <c r="KUS364" s="631"/>
      <c r="KUT364" s="632"/>
      <c r="KVG364" s="637"/>
      <c r="KVI364" s="631"/>
      <c r="KVJ364" s="632"/>
      <c r="KVW364" s="637"/>
      <c r="KVY364" s="631"/>
      <c r="KVZ364" s="632"/>
      <c r="KWM364" s="637"/>
      <c r="KWO364" s="631"/>
      <c r="KWP364" s="632"/>
      <c r="KXC364" s="637"/>
      <c r="KXE364" s="631"/>
      <c r="KXF364" s="632"/>
      <c r="KXS364" s="637"/>
      <c r="KXU364" s="631"/>
      <c r="KXV364" s="632"/>
      <c r="KYI364" s="637"/>
      <c r="KYK364" s="631"/>
      <c r="KYL364" s="632"/>
      <c r="KYY364" s="637"/>
      <c r="KZA364" s="631"/>
      <c r="KZB364" s="632"/>
      <c r="KZO364" s="637"/>
      <c r="KZQ364" s="631"/>
      <c r="KZR364" s="632"/>
      <c r="LAE364" s="637"/>
      <c r="LAG364" s="631"/>
      <c r="LAH364" s="632"/>
      <c r="LAU364" s="637"/>
      <c r="LAW364" s="631"/>
      <c r="LAX364" s="632"/>
      <c r="LBK364" s="637"/>
      <c r="LBM364" s="631"/>
      <c r="LBN364" s="632"/>
      <c r="LCA364" s="637"/>
      <c r="LCC364" s="631"/>
      <c r="LCD364" s="632"/>
      <c r="LCQ364" s="637"/>
      <c r="LCS364" s="631"/>
      <c r="LCT364" s="632"/>
      <c r="LDG364" s="637"/>
      <c r="LDI364" s="631"/>
      <c r="LDJ364" s="632"/>
      <c r="LDW364" s="637"/>
      <c r="LDY364" s="631"/>
      <c r="LDZ364" s="632"/>
      <c r="LEM364" s="637"/>
      <c r="LEO364" s="631"/>
      <c r="LEP364" s="632"/>
      <c r="LFC364" s="637"/>
      <c r="LFE364" s="631"/>
      <c r="LFF364" s="632"/>
      <c r="LFS364" s="637"/>
      <c r="LFU364" s="631"/>
      <c r="LFV364" s="632"/>
      <c r="LGI364" s="637"/>
      <c r="LGK364" s="631"/>
      <c r="LGL364" s="632"/>
      <c r="LGY364" s="637"/>
      <c r="LHA364" s="631"/>
      <c r="LHB364" s="632"/>
      <c r="LHO364" s="637"/>
      <c r="LHQ364" s="631"/>
      <c r="LHR364" s="632"/>
      <c r="LIE364" s="637"/>
      <c r="LIG364" s="631"/>
      <c r="LIH364" s="632"/>
      <c r="LIU364" s="637"/>
      <c r="LIW364" s="631"/>
      <c r="LIX364" s="632"/>
      <c r="LJK364" s="637"/>
      <c r="LJM364" s="631"/>
      <c r="LJN364" s="632"/>
      <c r="LKA364" s="637"/>
      <c r="LKC364" s="631"/>
      <c r="LKD364" s="632"/>
      <c r="LKQ364" s="637"/>
      <c r="LKS364" s="631"/>
      <c r="LKT364" s="632"/>
      <c r="LLG364" s="637"/>
      <c r="LLI364" s="631"/>
      <c r="LLJ364" s="632"/>
      <c r="LLW364" s="637"/>
      <c r="LLY364" s="631"/>
      <c r="LLZ364" s="632"/>
      <c r="LMM364" s="637"/>
      <c r="LMO364" s="631"/>
      <c r="LMP364" s="632"/>
      <c r="LNC364" s="637"/>
      <c r="LNE364" s="631"/>
      <c r="LNF364" s="632"/>
      <c r="LNS364" s="637"/>
      <c r="LNU364" s="631"/>
      <c r="LNV364" s="632"/>
      <c r="LOI364" s="637"/>
      <c r="LOK364" s="631"/>
      <c r="LOL364" s="632"/>
      <c r="LOY364" s="637"/>
      <c r="LPA364" s="631"/>
      <c r="LPB364" s="632"/>
      <c r="LPO364" s="637"/>
      <c r="LPQ364" s="631"/>
      <c r="LPR364" s="632"/>
      <c r="LQE364" s="637"/>
      <c r="LQG364" s="631"/>
      <c r="LQH364" s="632"/>
      <c r="LQU364" s="637"/>
      <c r="LQW364" s="631"/>
      <c r="LQX364" s="632"/>
      <c r="LRK364" s="637"/>
      <c r="LRM364" s="631"/>
      <c r="LRN364" s="632"/>
      <c r="LSA364" s="637"/>
      <c r="LSC364" s="631"/>
      <c r="LSD364" s="632"/>
      <c r="LSQ364" s="637"/>
      <c r="LSS364" s="631"/>
      <c r="LST364" s="632"/>
      <c r="LTG364" s="637"/>
      <c r="LTI364" s="631"/>
      <c r="LTJ364" s="632"/>
      <c r="LTW364" s="637"/>
      <c r="LTY364" s="631"/>
      <c r="LTZ364" s="632"/>
      <c r="LUM364" s="637"/>
      <c r="LUO364" s="631"/>
      <c r="LUP364" s="632"/>
      <c r="LVC364" s="637"/>
      <c r="LVE364" s="631"/>
      <c r="LVF364" s="632"/>
      <c r="LVS364" s="637"/>
      <c r="LVU364" s="631"/>
      <c r="LVV364" s="632"/>
      <c r="LWI364" s="637"/>
      <c r="LWK364" s="631"/>
      <c r="LWL364" s="632"/>
      <c r="LWY364" s="637"/>
      <c r="LXA364" s="631"/>
      <c r="LXB364" s="632"/>
      <c r="LXO364" s="637"/>
      <c r="LXQ364" s="631"/>
      <c r="LXR364" s="632"/>
      <c r="LYE364" s="637"/>
      <c r="LYG364" s="631"/>
      <c r="LYH364" s="632"/>
      <c r="LYU364" s="637"/>
      <c r="LYW364" s="631"/>
      <c r="LYX364" s="632"/>
      <c r="LZK364" s="637"/>
      <c r="LZM364" s="631"/>
      <c r="LZN364" s="632"/>
      <c r="MAA364" s="637"/>
      <c r="MAC364" s="631"/>
      <c r="MAD364" s="632"/>
      <c r="MAQ364" s="637"/>
      <c r="MAS364" s="631"/>
      <c r="MAT364" s="632"/>
      <c r="MBG364" s="637"/>
      <c r="MBI364" s="631"/>
      <c r="MBJ364" s="632"/>
      <c r="MBW364" s="637"/>
      <c r="MBY364" s="631"/>
      <c r="MBZ364" s="632"/>
      <c r="MCM364" s="637"/>
      <c r="MCO364" s="631"/>
      <c r="MCP364" s="632"/>
      <c r="MDC364" s="637"/>
      <c r="MDE364" s="631"/>
      <c r="MDF364" s="632"/>
      <c r="MDS364" s="637"/>
      <c r="MDU364" s="631"/>
      <c r="MDV364" s="632"/>
      <c r="MEI364" s="637"/>
      <c r="MEK364" s="631"/>
      <c r="MEL364" s="632"/>
      <c r="MEY364" s="637"/>
      <c r="MFA364" s="631"/>
      <c r="MFB364" s="632"/>
      <c r="MFO364" s="637"/>
      <c r="MFQ364" s="631"/>
      <c r="MFR364" s="632"/>
      <c r="MGE364" s="637"/>
      <c r="MGG364" s="631"/>
      <c r="MGH364" s="632"/>
      <c r="MGU364" s="637"/>
      <c r="MGW364" s="631"/>
      <c r="MGX364" s="632"/>
      <c r="MHK364" s="637"/>
      <c r="MHM364" s="631"/>
      <c r="MHN364" s="632"/>
      <c r="MIA364" s="637"/>
      <c r="MIC364" s="631"/>
      <c r="MID364" s="632"/>
      <c r="MIQ364" s="637"/>
      <c r="MIS364" s="631"/>
      <c r="MIT364" s="632"/>
      <c r="MJG364" s="637"/>
      <c r="MJI364" s="631"/>
      <c r="MJJ364" s="632"/>
      <c r="MJW364" s="637"/>
      <c r="MJY364" s="631"/>
      <c r="MJZ364" s="632"/>
      <c r="MKM364" s="637"/>
      <c r="MKO364" s="631"/>
      <c r="MKP364" s="632"/>
      <c r="MLC364" s="637"/>
      <c r="MLE364" s="631"/>
      <c r="MLF364" s="632"/>
      <c r="MLS364" s="637"/>
      <c r="MLU364" s="631"/>
      <c r="MLV364" s="632"/>
      <c r="MMI364" s="637"/>
      <c r="MMK364" s="631"/>
      <c r="MML364" s="632"/>
      <c r="MMY364" s="637"/>
      <c r="MNA364" s="631"/>
      <c r="MNB364" s="632"/>
      <c r="MNO364" s="637"/>
      <c r="MNQ364" s="631"/>
      <c r="MNR364" s="632"/>
      <c r="MOE364" s="637"/>
      <c r="MOG364" s="631"/>
      <c r="MOH364" s="632"/>
      <c r="MOU364" s="637"/>
      <c r="MOW364" s="631"/>
      <c r="MOX364" s="632"/>
      <c r="MPK364" s="637"/>
      <c r="MPM364" s="631"/>
      <c r="MPN364" s="632"/>
      <c r="MQA364" s="637"/>
      <c r="MQC364" s="631"/>
      <c r="MQD364" s="632"/>
      <c r="MQQ364" s="637"/>
      <c r="MQS364" s="631"/>
      <c r="MQT364" s="632"/>
      <c r="MRG364" s="637"/>
      <c r="MRI364" s="631"/>
      <c r="MRJ364" s="632"/>
      <c r="MRW364" s="637"/>
      <c r="MRY364" s="631"/>
      <c r="MRZ364" s="632"/>
      <c r="MSM364" s="637"/>
      <c r="MSO364" s="631"/>
      <c r="MSP364" s="632"/>
      <c r="MTC364" s="637"/>
      <c r="MTE364" s="631"/>
      <c r="MTF364" s="632"/>
      <c r="MTS364" s="637"/>
      <c r="MTU364" s="631"/>
      <c r="MTV364" s="632"/>
      <c r="MUI364" s="637"/>
      <c r="MUK364" s="631"/>
      <c r="MUL364" s="632"/>
      <c r="MUY364" s="637"/>
      <c r="MVA364" s="631"/>
      <c r="MVB364" s="632"/>
      <c r="MVO364" s="637"/>
      <c r="MVQ364" s="631"/>
      <c r="MVR364" s="632"/>
      <c r="MWE364" s="637"/>
      <c r="MWG364" s="631"/>
      <c r="MWH364" s="632"/>
      <c r="MWU364" s="637"/>
      <c r="MWW364" s="631"/>
      <c r="MWX364" s="632"/>
      <c r="MXK364" s="637"/>
      <c r="MXM364" s="631"/>
      <c r="MXN364" s="632"/>
      <c r="MYA364" s="637"/>
      <c r="MYC364" s="631"/>
      <c r="MYD364" s="632"/>
      <c r="MYQ364" s="637"/>
      <c r="MYS364" s="631"/>
      <c r="MYT364" s="632"/>
      <c r="MZG364" s="637"/>
      <c r="MZI364" s="631"/>
      <c r="MZJ364" s="632"/>
      <c r="MZW364" s="637"/>
      <c r="MZY364" s="631"/>
      <c r="MZZ364" s="632"/>
      <c r="NAM364" s="637"/>
      <c r="NAO364" s="631"/>
      <c r="NAP364" s="632"/>
      <c r="NBC364" s="637"/>
      <c r="NBE364" s="631"/>
      <c r="NBF364" s="632"/>
      <c r="NBS364" s="637"/>
      <c r="NBU364" s="631"/>
      <c r="NBV364" s="632"/>
      <c r="NCI364" s="637"/>
      <c r="NCK364" s="631"/>
      <c r="NCL364" s="632"/>
      <c r="NCY364" s="637"/>
      <c r="NDA364" s="631"/>
      <c r="NDB364" s="632"/>
      <c r="NDO364" s="637"/>
      <c r="NDQ364" s="631"/>
      <c r="NDR364" s="632"/>
      <c r="NEE364" s="637"/>
      <c r="NEG364" s="631"/>
      <c r="NEH364" s="632"/>
      <c r="NEU364" s="637"/>
      <c r="NEW364" s="631"/>
      <c r="NEX364" s="632"/>
      <c r="NFK364" s="637"/>
      <c r="NFM364" s="631"/>
      <c r="NFN364" s="632"/>
      <c r="NGA364" s="637"/>
      <c r="NGC364" s="631"/>
      <c r="NGD364" s="632"/>
      <c r="NGQ364" s="637"/>
      <c r="NGS364" s="631"/>
      <c r="NGT364" s="632"/>
      <c r="NHG364" s="637"/>
      <c r="NHI364" s="631"/>
      <c r="NHJ364" s="632"/>
      <c r="NHW364" s="637"/>
      <c r="NHY364" s="631"/>
      <c r="NHZ364" s="632"/>
      <c r="NIM364" s="637"/>
      <c r="NIO364" s="631"/>
      <c r="NIP364" s="632"/>
      <c r="NJC364" s="637"/>
      <c r="NJE364" s="631"/>
      <c r="NJF364" s="632"/>
      <c r="NJS364" s="637"/>
      <c r="NJU364" s="631"/>
      <c r="NJV364" s="632"/>
      <c r="NKI364" s="637"/>
      <c r="NKK364" s="631"/>
      <c r="NKL364" s="632"/>
      <c r="NKY364" s="637"/>
      <c r="NLA364" s="631"/>
      <c r="NLB364" s="632"/>
      <c r="NLO364" s="637"/>
      <c r="NLQ364" s="631"/>
      <c r="NLR364" s="632"/>
      <c r="NME364" s="637"/>
      <c r="NMG364" s="631"/>
      <c r="NMH364" s="632"/>
      <c r="NMU364" s="637"/>
      <c r="NMW364" s="631"/>
      <c r="NMX364" s="632"/>
      <c r="NNK364" s="637"/>
      <c r="NNM364" s="631"/>
      <c r="NNN364" s="632"/>
      <c r="NOA364" s="637"/>
      <c r="NOC364" s="631"/>
      <c r="NOD364" s="632"/>
      <c r="NOQ364" s="637"/>
      <c r="NOS364" s="631"/>
      <c r="NOT364" s="632"/>
      <c r="NPG364" s="637"/>
      <c r="NPI364" s="631"/>
      <c r="NPJ364" s="632"/>
      <c r="NPW364" s="637"/>
      <c r="NPY364" s="631"/>
      <c r="NPZ364" s="632"/>
      <c r="NQM364" s="637"/>
      <c r="NQO364" s="631"/>
      <c r="NQP364" s="632"/>
      <c r="NRC364" s="637"/>
      <c r="NRE364" s="631"/>
      <c r="NRF364" s="632"/>
      <c r="NRS364" s="637"/>
      <c r="NRU364" s="631"/>
      <c r="NRV364" s="632"/>
      <c r="NSI364" s="637"/>
      <c r="NSK364" s="631"/>
      <c r="NSL364" s="632"/>
      <c r="NSY364" s="637"/>
      <c r="NTA364" s="631"/>
      <c r="NTB364" s="632"/>
      <c r="NTO364" s="637"/>
      <c r="NTQ364" s="631"/>
      <c r="NTR364" s="632"/>
      <c r="NUE364" s="637"/>
      <c r="NUG364" s="631"/>
      <c r="NUH364" s="632"/>
      <c r="NUU364" s="637"/>
      <c r="NUW364" s="631"/>
      <c r="NUX364" s="632"/>
      <c r="NVK364" s="637"/>
      <c r="NVM364" s="631"/>
      <c r="NVN364" s="632"/>
      <c r="NWA364" s="637"/>
      <c r="NWC364" s="631"/>
      <c r="NWD364" s="632"/>
      <c r="NWQ364" s="637"/>
      <c r="NWS364" s="631"/>
      <c r="NWT364" s="632"/>
      <c r="NXG364" s="637"/>
      <c r="NXI364" s="631"/>
      <c r="NXJ364" s="632"/>
      <c r="NXW364" s="637"/>
      <c r="NXY364" s="631"/>
      <c r="NXZ364" s="632"/>
      <c r="NYM364" s="637"/>
      <c r="NYO364" s="631"/>
      <c r="NYP364" s="632"/>
      <c r="NZC364" s="637"/>
      <c r="NZE364" s="631"/>
      <c r="NZF364" s="632"/>
      <c r="NZS364" s="637"/>
      <c r="NZU364" s="631"/>
      <c r="NZV364" s="632"/>
      <c r="OAI364" s="637"/>
      <c r="OAK364" s="631"/>
      <c r="OAL364" s="632"/>
      <c r="OAY364" s="637"/>
      <c r="OBA364" s="631"/>
      <c r="OBB364" s="632"/>
      <c r="OBO364" s="637"/>
      <c r="OBQ364" s="631"/>
      <c r="OBR364" s="632"/>
      <c r="OCE364" s="637"/>
      <c r="OCG364" s="631"/>
      <c r="OCH364" s="632"/>
      <c r="OCU364" s="637"/>
      <c r="OCW364" s="631"/>
      <c r="OCX364" s="632"/>
      <c r="ODK364" s="637"/>
      <c r="ODM364" s="631"/>
      <c r="ODN364" s="632"/>
      <c r="OEA364" s="637"/>
      <c r="OEC364" s="631"/>
      <c r="OED364" s="632"/>
      <c r="OEQ364" s="637"/>
      <c r="OES364" s="631"/>
      <c r="OET364" s="632"/>
      <c r="OFG364" s="637"/>
      <c r="OFI364" s="631"/>
      <c r="OFJ364" s="632"/>
      <c r="OFW364" s="637"/>
      <c r="OFY364" s="631"/>
      <c r="OFZ364" s="632"/>
      <c r="OGM364" s="637"/>
      <c r="OGO364" s="631"/>
      <c r="OGP364" s="632"/>
      <c r="OHC364" s="637"/>
      <c r="OHE364" s="631"/>
      <c r="OHF364" s="632"/>
      <c r="OHS364" s="637"/>
      <c r="OHU364" s="631"/>
      <c r="OHV364" s="632"/>
      <c r="OII364" s="637"/>
      <c r="OIK364" s="631"/>
      <c r="OIL364" s="632"/>
      <c r="OIY364" s="637"/>
      <c r="OJA364" s="631"/>
      <c r="OJB364" s="632"/>
      <c r="OJO364" s="637"/>
      <c r="OJQ364" s="631"/>
      <c r="OJR364" s="632"/>
      <c r="OKE364" s="637"/>
      <c r="OKG364" s="631"/>
      <c r="OKH364" s="632"/>
      <c r="OKU364" s="637"/>
      <c r="OKW364" s="631"/>
      <c r="OKX364" s="632"/>
      <c r="OLK364" s="637"/>
      <c r="OLM364" s="631"/>
      <c r="OLN364" s="632"/>
      <c r="OMA364" s="637"/>
      <c r="OMC364" s="631"/>
      <c r="OMD364" s="632"/>
      <c r="OMQ364" s="637"/>
      <c r="OMS364" s="631"/>
      <c r="OMT364" s="632"/>
      <c r="ONG364" s="637"/>
      <c r="ONI364" s="631"/>
      <c r="ONJ364" s="632"/>
      <c r="ONW364" s="637"/>
      <c r="ONY364" s="631"/>
      <c r="ONZ364" s="632"/>
      <c r="OOM364" s="637"/>
      <c r="OOO364" s="631"/>
      <c r="OOP364" s="632"/>
      <c r="OPC364" s="637"/>
      <c r="OPE364" s="631"/>
      <c r="OPF364" s="632"/>
      <c r="OPS364" s="637"/>
      <c r="OPU364" s="631"/>
      <c r="OPV364" s="632"/>
      <c r="OQI364" s="637"/>
      <c r="OQK364" s="631"/>
      <c r="OQL364" s="632"/>
      <c r="OQY364" s="637"/>
      <c r="ORA364" s="631"/>
      <c r="ORB364" s="632"/>
      <c r="ORO364" s="637"/>
      <c r="ORQ364" s="631"/>
      <c r="ORR364" s="632"/>
      <c r="OSE364" s="637"/>
      <c r="OSG364" s="631"/>
      <c r="OSH364" s="632"/>
      <c r="OSU364" s="637"/>
      <c r="OSW364" s="631"/>
      <c r="OSX364" s="632"/>
      <c r="OTK364" s="637"/>
      <c r="OTM364" s="631"/>
      <c r="OTN364" s="632"/>
      <c r="OUA364" s="637"/>
      <c r="OUC364" s="631"/>
      <c r="OUD364" s="632"/>
      <c r="OUQ364" s="637"/>
      <c r="OUS364" s="631"/>
      <c r="OUT364" s="632"/>
      <c r="OVG364" s="637"/>
      <c r="OVI364" s="631"/>
      <c r="OVJ364" s="632"/>
      <c r="OVW364" s="637"/>
      <c r="OVY364" s="631"/>
      <c r="OVZ364" s="632"/>
      <c r="OWM364" s="637"/>
      <c r="OWO364" s="631"/>
      <c r="OWP364" s="632"/>
      <c r="OXC364" s="637"/>
      <c r="OXE364" s="631"/>
      <c r="OXF364" s="632"/>
      <c r="OXS364" s="637"/>
      <c r="OXU364" s="631"/>
      <c r="OXV364" s="632"/>
      <c r="OYI364" s="637"/>
      <c r="OYK364" s="631"/>
      <c r="OYL364" s="632"/>
      <c r="OYY364" s="637"/>
      <c r="OZA364" s="631"/>
      <c r="OZB364" s="632"/>
      <c r="OZO364" s="637"/>
      <c r="OZQ364" s="631"/>
      <c r="OZR364" s="632"/>
      <c r="PAE364" s="637"/>
      <c r="PAG364" s="631"/>
      <c r="PAH364" s="632"/>
      <c r="PAU364" s="637"/>
      <c r="PAW364" s="631"/>
      <c r="PAX364" s="632"/>
      <c r="PBK364" s="637"/>
      <c r="PBM364" s="631"/>
      <c r="PBN364" s="632"/>
      <c r="PCA364" s="637"/>
      <c r="PCC364" s="631"/>
      <c r="PCD364" s="632"/>
      <c r="PCQ364" s="637"/>
      <c r="PCS364" s="631"/>
      <c r="PCT364" s="632"/>
      <c r="PDG364" s="637"/>
      <c r="PDI364" s="631"/>
      <c r="PDJ364" s="632"/>
      <c r="PDW364" s="637"/>
      <c r="PDY364" s="631"/>
      <c r="PDZ364" s="632"/>
      <c r="PEM364" s="637"/>
      <c r="PEO364" s="631"/>
      <c r="PEP364" s="632"/>
      <c r="PFC364" s="637"/>
      <c r="PFE364" s="631"/>
      <c r="PFF364" s="632"/>
      <c r="PFS364" s="637"/>
      <c r="PFU364" s="631"/>
      <c r="PFV364" s="632"/>
      <c r="PGI364" s="637"/>
      <c r="PGK364" s="631"/>
      <c r="PGL364" s="632"/>
      <c r="PGY364" s="637"/>
      <c r="PHA364" s="631"/>
      <c r="PHB364" s="632"/>
      <c r="PHO364" s="637"/>
      <c r="PHQ364" s="631"/>
      <c r="PHR364" s="632"/>
      <c r="PIE364" s="637"/>
      <c r="PIG364" s="631"/>
      <c r="PIH364" s="632"/>
      <c r="PIU364" s="637"/>
      <c r="PIW364" s="631"/>
      <c r="PIX364" s="632"/>
      <c r="PJK364" s="637"/>
      <c r="PJM364" s="631"/>
      <c r="PJN364" s="632"/>
      <c r="PKA364" s="637"/>
      <c r="PKC364" s="631"/>
      <c r="PKD364" s="632"/>
      <c r="PKQ364" s="637"/>
      <c r="PKS364" s="631"/>
      <c r="PKT364" s="632"/>
      <c r="PLG364" s="637"/>
      <c r="PLI364" s="631"/>
      <c r="PLJ364" s="632"/>
      <c r="PLW364" s="637"/>
      <c r="PLY364" s="631"/>
      <c r="PLZ364" s="632"/>
      <c r="PMM364" s="637"/>
      <c r="PMO364" s="631"/>
      <c r="PMP364" s="632"/>
      <c r="PNC364" s="637"/>
      <c r="PNE364" s="631"/>
      <c r="PNF364" s="632"/>
      <c r="PNS364" s="637"/>
      <c r="PNU364" s="631"/>
      <c r="PNV364" s="632"/>
      <c r="POI364" s="637"/>
      <c r="POK364" s="631"/>
      <c r="POL364" s="632"/>
      <c r="POY364" s="637"/>
      <c r="PPA364" s="631"/>
      <c r="PPB364" s="632"/>
      <c r="PPO364" s="637"/>
      <c r="PPQ364" s="631"/>
      <c r="PPR364" s="632"/>
      <c r="PQE364" s="637"/>
      <c r="PQG364" s="631"/>
      <c r="PQH364" s="632"/>
      <c r="PQU364" s="637"/>
      <c r="PQW364" s="631"/>
      <c r="PQX364" s="632"/>
      <c r="PRK364" s="637"/>
      <c r="PRM364" s="631"/>
      <c r="PRN364" s="632"/>
      <c r="PSA364" s="637"/>
      <c r="PSC364" s="631"/>
      <c r="PSD364" s="632"/>
      <c r="PSQ364" s="637"/>
      <c r="PSS364" s="631"/>
      <c r="PST364" s="632"/>
      <c r="PTG364" s="637"/>
      <c r="PTI364" s="631"/>
      <c r="PTJ364" s="632"/>
      <c r="PTW364" s="637"/>
      <c r="PTY364" s="631"/>
      <c r="PTZ364" s="632"/>
      <c r="PUM364" s="637"/>
      <c r="PUO364" s="631"/>
      <c r="PUP364" s="632"/>
      <c r="PVC364" s="637"/>
      <c r="PVE364" s="631"/>
      <c r="PVF364" s="632"/>
      <c r="PVS364" s="637"/>
      <c r="PVU364" s="631"/>
      <c r="PVV364" s="632"/>
      <c r="PWI364" s="637"/>
      <c r="PWK364" s="631"/>
      <c r="PWL364" s="632"/>
      <c r="PWY364" s="637"/>
      <c r="PXA364" s="631"/>
      <c r="PXB364" s="632"/>
      <c r="PXO364" s="637"/>
      <c r="PXQ364" s="631"/>
      <c r="PXR364" s="632"/>
      <c r="PYE364" s="637"/>
      <c r="PYG364" s="631"/>
      <c r="PYH364" s="632"/>
      <c r="PYU364" s="637"/>
      <c r="PYW364" s="631"/>
      <c r="PYX364" s="632"/>
      <c r="PZK364" s="637"/>
      <c r="PZM364" s="631"/>
      <c r="PZN364" s="632"/>
      <c r="QAA364" s="637"/>
      <c r="QAC364" s="631"/>
      <c r="QAD364" s="632"/>
      <c r="QAQ364" s="637"/>
      <c r="QAS364" s="631"/>
      <c r="QAT364" s="632"/>
      <c r="QBG364" s="637"/>
      <c r="QBI364" s="631"/>
      <c r="QBJ364" s="632"/>
      <c r="QBW364" s="637"/>
      <c r="QBY364" s="631"/>
      <c r="QBZ364" s="632"/>
      <c r="QCM364" s="637"/>
      <c r="QCO364" s="631"/>
      <c r="QCP364" s="632"/>
      <c r="QDC364" s="637"/>
      <c r="QDE364" s="631"/>
      <c r="QDF364" s="632"/>
      <c r="QDS364" s="637"/>
      <c r="QDU364" s="631"/>
      <c r="QDV364" s="632"/>
      <c r="QEI364" s="637"/>
      <c r="QEK364" s="631"/>
      <c r="QEL364" s="632"/>
      <c r="QEY364" s="637"/>
      <c r="QFA364" s="631"/>
      <c r="QFB364" s="632"/>
      <c r="QFO364" s="637"/>
      <c r="QFQ364" s="631"/>
      <c r="QFR364" s="632"/>
      <c r="QGE364" s="637"/>
      <c r="QGG364" s="631"/>
      <c r="QGH364" s="632"/>
      <c r="QGU364" s="637"/>
      <c r="QGW364" s="631"/>
      <c r="QGX364" s="632"/>
      <c r="QHK364" s="637"/>
      <c r="QHM364" s="631"/>
      <c r="QHN364" s="632"/>
      <c r="QIA364" s="637"/>
      <c r="QIC364" s="631"/>
      <c r="QID364" s="632"/>
      <c r="QIQ364" s="637"/>
      <c r="QIS364" s="631"/>
      <c r="QIT364" s="632"/>
      <c r="QJG364" s="637"/>
      <c r="QJI364" s="631"/>
      <c r="QJJ364" s="632"/>
      <c r="QJW364" s="637"/>
      <c r="QJY364" s="631"/>
      <c r="QJZ364" s="632"/>
      <c r="QKM364" s="637"/>
      <c r="QKO364" s="631"/>
      <c r="QKP364" s="632"/>
      <c r="QLC364" s="637"/>
      <c r="QLE364" s="631"/>
      <c r="QLF364" s="632"/>
      <c r="QLS364" s="637"/>
      <c r="QLU364" s="631"/>
      <c r="QLV364" s="632"/>
      <c r="QMI364" s="637"/>
      <c r="QMK364" s="631"/>
      <c r="QML364" s="632"/>
      <c r="QMY364" s="637"/>
      <c r="QNA364" s="631"/>
      <c r="QNB364" s="632"/>
      <c r="QNO364" s="637"/>
      <c r="QNQ364" s="631"/>
      <c r="QNR364" s="632"/>
      <c r="QOE364" s="637"/>
      <c r="QOG364" s="631"/>
      <c r="QOH364" s="632"/>
      <c r="QOU364" s="637"/>
      <c r="QOW364" s="631"/>
      <c r="QOX364" s="632"/>
      <c r="QPK364" s="637"/>
      <c r="QPM364" s="631"/>
      <c r="QPN364" s="632"/>
      <c r="QQA364" s="637"/>
      <c r="QQC364" s="631"/>
      <c r="QQD364" s="632"/>
      <c r="QQQ364" s="637"/>
      <c r="QQS364" s="631"/>
      <c r="QQT364" s="632"/>
      <c r="QRG364" s="637"/>
      <c r="QRI364" s="631"/>
      <c r="QRJ364" s="632"/>
      <c r="QRW364" s="637"/>
      <c r="QRY364" s="631"/>
      <c r="QRZ364" s="632"/>
      <c r="QSM364" s="637"/>
      <c r="QSO364" s="631"/>
      <c r="QSP364" s="632"/>
      <c r="QTC364" s="637"/>
      <c r="QTE364" s="631"/>
      <c r="QTF364" s="632"/>
      <c r="QTS364" s="637"/>
      <c r="QTU364" s="631"/>
      <c r="QTV364" s="632"/>
      <c r="QUI364" s="637"/>
      <c r="QUK364" s="631"/>
      <c r="QUL364" s="632"/>
      <c r="QUY364" s="637"/>
      <c r="QVA364" s="631"/>
      <c r="QVB364" s="632"/>
      <c r="QVO364" s="637"/>
      <c r="QVQ364" s="631"/>
      <c r="QVR364" s="632"/>
      <c r="QWE364" s="637"/>
      <c r="QWG364" s="631"/>
      <c r="QWH364" s="632"/>
      <c r="QWU364" s="637"/>
      <c r="QWW364" s="631"/>
      <c r="QWX364" s="632"/>
      <c r="QXK364" s="637"/>
      <c r="QXM364" s="631"/>
      <c r="QXN364" s="632"/>
      <c r="QYA364" s="637"/>
      <c r="QYC364" s="631"/>
      <c r="QYD364" s="632"/>
      <c r="QYQ364" s="637"/>
      <c r="QYS364" s="631"/>
      <c r="QYT364" s="632"/>
      <c r="QZG364" s="637"/>
      <c r="QZI364" s="631"/>
      <c r="QZJ364" s="632"/>
      <c r="QZW364" s="637"/>
      <c r="QZY364" s="631"/>
      <c r="QZZ364" s="632"/>
      <c r="RAM364" s="637"/>
      <c r="RAO364" s="631"/>
      <c r="RAP364" s="632"/>
      <c r="RBC364" s="637"/>
      <c r="RBE364" s="631"/>
      <c r="RBF364" s="632"/>
      <c r="RBS364" s="637"/>
      <c r="RBU364" s="631"/>
      <c r="RBV364" s="632"/>
      <c r="RCI364" s="637"/>
      <c r="RCK364" s="631"/>
      <c r="RCL364" s="632"/>
      <c r="RCY364" s="637"/>
      <c r="RDA364" s="631"/>
      <c r="RDB364" s="632"/>
      <c r="RDO364" s="637"/>
      <c r="RDQ364" s="631"/>
      <c r="RDR364" s="632"/>
      <c r="REE364" s="637"/>
      <c r="REG364" s="631"/>
      <c r="REH364" s="632"/>
      <c r="REU364" s="637"/>
      <c r="REW364" s="631"/>
      <c r="REX364" s="632"/>
      <c r="RFK364" s="637"/>
      <c r="RFM364" s="631"/>
      <c r="RFN364" s="632"/>
      <c r="RGA364" s="637"/>
      <c r="RGC364" s="631"/>
      <c r="RGD364" s="632"/>
      <c r="RGQ364" s="637"/>
      <c r="RGS364" s="631"/>
      <c r="RGT364" s="632"/>
      <c r="RHG364" s="637"/>
      <c r="RHI364" s="631"/>
      <c r="RHJ364" s="632"/>
      <c r="RHW364" s="637"/>
      <c r="RHY364" s="631"/>
      <c r="RHZ364" s="632"/>
      <c r="RIM364" s="637"/>
      <c r="RIO364" s="631"/>
      <c r="RIP364" s="632"/>
      <c r="RJC364" s="637"/>
      <c r="RJE364" s="631"/>
      <c r="RJF364" s="632"/>
      <c r="RJS364" s="637"/>
      <c r="RJU364" s="631"/>
      <c r="RJV364" s="632"/>
      <c r="RKI364" s="637"/>
      <c r="RKK364" s="631"/>
      <c r="RKL364" s="632"/>
      <c r="RKY364" s="637"/>
      <c r="RLA364" s="631"/>
      <c r="RLB364" s="632"/>
      <c r="RLO364" s="637"/>
      <c r="RLQ364" s="631"/>
      <c r="RLR364" s="632"/>
      <c r="RME364" s="637"/>
      <c r="RMG364" s="631"/>
      <c r="RMH364" s="632"/>
      <c r="RMU364" s="637"/>
      <c r="RMW364" s="631"/>
      <c r="RMX364" s="632"/>
      <c r="RNK364" s="637"/>
      <c r="RNM364" s="631"/>
      <c r="RNN364" s="632"/>
      <c r="ROA364" s="637"/>
      <c r="ROC364" s="631"/>
      <c r="ROD364" s="632"/>
      <c r="ROQ364" s="637"/>
      <c r="ROS364" s="631"/>
      <c r="ROT364" s="632"/>
      <c r="RPG364" s="637"/>
      <c r="RPI364" s="631"/>
      <c r="RPJ364" s="632"/>
      <c r="RPW364" s="637"/>
      <c r="RPY364" s="631"/>
      <c r="RPZ364" s="632"/>
      <c r="RQM364" s="637"/>
      <c r="RQO364" s="631"/>
      <c r="RQP364" s="632"/>
      <c r="RRC364" s="637"/>
      <c r="RRE364" s="631"/>
      <c r="RRF364" s="632"/>
      <c r="RRS364" s="637"/>
      <c r="RRU364" s="631"/>
      <c r="RRV364" s="632"/>
      <c r="RSI364" s="637"/>
      <c r="RSK364" s="631"/>
      <c r="RSL364" s="632"/>
      <c r="RSY364" s="637"/>
      <c r="RTA364" s="631"/>
      <c r="RTB364" s="632"/>
      <c r="RTO364" s="637"/>
      <c r="RTQ364" s="631"/>
      <c r="RTR364" s="632"/>
      <c r="RUE364" s="637"/>
      <c r="RUG364" s="631"/>
      <c r="RUH364" s="632"/>
      <c r="RUU364" s="637"/>
      <c r="RUW364" s="631"/>
      <c r="RUX364" s="632"/>
      <c r="RVK364" s="637"/>
      <c r="RVM364" s="631"/>
      <c r="RVN364" s="632"/>
      <c r="RWA364" s="637"/>
      <c r="RWC364" s="631"/>
      <c r="RWD364" s="632"/>
      <c r="RWQ364" s="637"/>
      <c r="RWS364" s="631"/>
      <c r="RWT364" s="632"/>
      <c r="RXG364" s="637"/>
      <c r="RXI364" s="631"/>
      <c r="RXJ364" s="632"/>
      <c r="RXW364" s="637"/>
      <c r="RXY364" s="631"/>
      <c r="RXZ364" s="632"/>
      <c r="RYM364" s="637"/>
      <c r="RYO364" s="631"/>
      <c r="RYP364" s="632"/>
      <c r="RZC364" s="637"/>
      <c r="RZE364" s="631"/>
      <c r="RZF364" s="632"/>
      <c r="RZS364" s="637"/>
      <c r="RZU364" s="631"/>
      <c r="RZV364" s="632"/>
      <c r="SAI364" s="637"/>
      <c r="SAK364" s="631"/>
      <c r="SAL364" s="632"/>
      <c r="SAY364" s="637"/>
      <c r="SBA364" s="631"/>
      <c r="SBB364" s="632"/>
      <c r="SBO364" s="637"/>
      <c r="SBQ364" s="631"/>
      <c r="SBR364" s="632"/>
      <c r="SCE364" s="637"/>
      <c r="SCG364" s="631"/>
      <c r="SCH364" s="632"/>
      <c r="SCU364" s="637"/>
      <c r="SCW364" s="631"/>
      <c r="SCX364" s="632"/>
      <c r="SDK364" s="637"/>
      <c r="SDM364" s="631"/>
      <c r="SDN364" s="632"/>
      <c r="SEA364" s="637"/>
      <c r="SEC364" s="631"/>
      <c r="SED364" s="632"/>
      <c r="SEQ364" s="637"/>
      <c r="SES364" s="631"/>
      <c r="SET364" s="632"/>
      <c r="SFG364" s="637"/>
      <c r="SFI364" s="631"/>
      <c r="SFJ364" s="632"/>
      <c r="SFW364" s="637"/>
      <c r="SFY364" s="631"/>
      <c r="SFZ364" s="632"/>
      <c r="SGM364" s="637"/>
      <c r="SGO364" s="631"/>
      <c r="SGP364" s="632"/>
      <c r="SHC364" s="637"/>
      <c r="SHE364" s="631"/>
      <c r="SHF364" s="632"/>
      <c r="SHS364" s="637"/>
      <c r="SHU364" s="631"/>
      <c r="SHV364" s="632"/>
      <c r="SII364" s="637"/>
      <c r="SIK364" s="631"/>
      <c r="SIL364" s="632"/>
      <c r="SIY364" s="637"/>
      <c r="SJA364" s="631"/>
      <c r="SJB364" s="632"/>
      <c r="SJO364" s="637"/>
      <c r="SJQ364" s="631"/>
      <c r="SJR364" s="632"/>
      <c r="SKE364" s="637"/>
      <c r="SKG364" s="631"/>
      <c r="SKH364" s="632"/>
      <c r="SKU364" s="637"/>
      <c r="SKW364" s="631"/>
      <c r="SKX364" s="632"/>
      <c r="SLK364" s="637"/>
      <c r="SLM364" s="631"/>
      <c r="SLN364" s="632"/>
      <c r="SMA364" s="637"/>
      <c r="SMC364" s="631"/>
      <c r="SMD364" s="632"/>
      <c r="SMQ364" s="637"/>
      <c r="SMS364" s="631"/>
      <c r="SMT364" s="632"/>
      <c r="SNG364" s="637"/>
      <c r="SNI364" s="631"/>
      <c r="SNJ364" s="632"/>
      <c r="SNW364" s="637"/>
      <c r="SNY364" s="631"/>
      <c r="SNZ364" s="632"/>
      <c r="SOM364" s="637"/>
      <c r="SOO364" s="631"/>
      <c r="SOP364" s="632"/>
      <c r="SPC364" s="637"/>
      <c r="SPE364" s="631"/>
      <c r="SPF364" s="632"/>
      <c r="SPS364" s="637"/>
      <c r="SPU364" s="631"/>
      <c r="SPV364" s="632"/>
      <c r="SQI364" s="637"/>
      <c r="SQK364" s="631"/>
      <c r="SQL364" s="632"/>
      <c r="SQY364" s="637"/>
      <c r="SRA364" s="631"/>
      <c r="SRB364" s="632"/>
      <c r="SRO364" s="637"/>
      <c r="SRQ364" s="631"/>
      <c r="SRR364" s="632"/>
      <c r="SSE364" s="637"/>
      <c r="SSG364" s="631"/>
      <c r="SSH364" s="632"/>
      <c r="SSU364" s="637"/>
      <c r="SSW364" s="631"/>
      <c r="SSX364" s="632"/>
      <c r="STK364" s="637"/>
      <c r="STM364" s="631"/>
      <c r="STN364" s="632"/>
      <c r="SUA364" s="637"/>
    </row>
    <row r="365" spans="1:13392" s="636" customFormat="1" hidden="1">
      <c r="A365" s="631"/>
      <c r="B365" s="632"/>
      <c r="O365" s="637"/>
      <c r="Q365" s="693"/>
      <c r="R365" s="694"/>
      <c r="S365" s="692"/>
      <c r="T365" s="692"/>
      <c r="U365" s="692"/>
      <c r="V365" s="692"/>
      <c r="W365" s="692"/>
      <c r="X365" s="692"/>
      <c r="Y365" s="692"/>
      <c r="Z365" s="692"/>
      <c r="AA365" s="692"/>
      <c r="AB365" s="692"/>
      <c r="AC365" s="692"/>
      <c r="AD365" s="692"/>
      <c r="AE365" s="698"/>
      <c r="AF365" s="692"/>
      <c r="AG365" s="631"/>
      <c r="AH365" s="632"/>
      <c r="AU365" s="637"/>
      <c r="AW365" s="631"/>
      <c r="AX365" s="632"/>
      <c r="BK365" s="637"/>
      <c r="BM365" s="631"/>
      <c r="BN365" s="632"/>
      <c r="CA365" s="637"/>
      <c r="CC365" s="631"/>
      <c r="CD365" s="632"/>
      <c r="CQ365" s="637"/>
      <c r="CS365" s="631"/>
      <c r="CT365" s="632"/>
      <c r="DG365" s="637"/>
      <c r="DI365" s="631"/>
      <c r="DJ365" s="632"/>
      <c r="DW365" s="637"/>
      <c r="DY365" s="631"/>
      <c r="DZ365" s="632"/>
      <c r="EM365" s="637"/>
      <c r="EO365" s="631"/>
      <c r="EP365" s="632"/>
      <c r="FC365" s="637"/>
      <c r="FE365" s="631"/>
      <c r="FF365" s="632"/>
      <c r="FS365" s="637"/>
      <c r="FU365" s="631"/>
      <c r="FV365" s="632"/>
      <c r="GI365" s="637"/>
      <c r="GK365" s="631"/>
      <c r="GL365" s="632"/>
      <c r="GY365" s="637"/>
      <c r="HA365" s="631"/>
      <c r="HB365" s="632"/>
      <c r="HO365" s="637"/>
      <c r="HQ365" s="631"/>
      <c r="HR365" s="632"/>
      <c r="IE365" s="637"/>
      <c r="IG365" s="631"/>
      <c r="IH365" s="632"/>
      <c r="IU365" s="637"/>
      <c r="IW365" s="631"/>
      <c r="IX365" s="632"/>
      <c r="JK365" s="637"/>
      <c r="JM365" s="631"/>
      <c r="JN365" s="632"/>
      <c r="KA365" s="637"/>
      <c r="KC365" s="631"/>
      <c r="KD365" s="632"/>
      <c r="KQ365" s="637"/>
      <c r="KS365" s="631"/>
      <c r="KT365" s="632"/>
      <c r="LG365" s="637"/>
      <c r="LI365" s="631"/>
      <c r="LJ365" s="632"/>
      <c r="LW365" s="637"/>
      <c r="LY365" s="631"/>
      <c r="LZ365" s="632"/>
      <c r="MM365" s="637"/>
      <c r="MO365" s="631"/>
      <c r="MP365" s="632"/>
      <c r="NC365" s="637"/>
      <c r="NE365" s="631"/>
      <c r="NF365" s="632"/>
      <c r="NS365" s="637"/>
      <c r="NU365" s="631"/>
      <c r="NV365" s="632"/>
      <c r="OI365" s="637"/>
      <c r="OK365" s="631"/>
      <c r="OL365" s="632"/>
      <c r="OY365" s="637"/>
      <c r="PA365" s="631"/>
      <c r="PB365" s="632"/>
      <c r="PO365" s="637"/>
      <c r="PQ365" s="631"/>
      <c r="PR365" s="632"/>
      <c r="QE365" s="637"/>
      <c r="QG365" s="631"/>
      <c r="QH365" s="632"/>
      <c r="QU365" s="637"/>
      <c r="QW365" s="631"/>
      <c r="QX365" s="632"/>
      <c r="RK365" s="637"/>
      <c r="RM365" s="631"/>
      <c r="RN365" s="632"/>
      <c r="SA365" s="637"/>
      <c r="SC365" s="631"/>
      <c r="SD365" s="632"/>
      <c r="SQ365" s="637"/>
      <c r="SS365" s="631"/>
      <c r="ST365" s="632"/>
      <c r="TG365" s="637"/>
      <c r="TI365" s="631"/>
      <c r="TJ365" s="632"/>
      <c r="TW365" s="637"/>
      <c r="TY365" s="631"/>
      <c r="TZ365" s="632"/>
      <c r="UM365" s="637"/>
      <c r="UO365" s="631"/>
      <c r="UP365" s="632"/>
      <c r="VC365" s="637"/>
      <c r="VE365" s="631"/>
      <c r="VF365" s="632"/>
      <c r="VS365" s="637"/>
      <c r="VU365" s="631"/>
      <c r="VV365" s="632"/>
      <c r="WI365" s="637"/>
      <c r="WK365" s="631"/>
      <c r="WL365" s="632"/>
      <c r="WY365" s="637"/>
      <c r="XA365" s="631"/>
      <c r="XB365" s="632"/>
      <c r="XO365" s="637"/>
      <c r="XQ365" s="631"/>
      <c r="XR365" s="632"/>
      <c r="YE365" s="637"/>
      <c r="YG365" s="631"/>
      <c r="YH365" s="632"/>
      <c r="YU365" s="637"/>
      <c r="YW365" s="631"/>
      <c r="YX365" s="632"/>
      <c r="ZK365" s="637"/>
      <c r="ZM365" s="631"/>
      <c r="ZN365" s="632"/>
      <c r="AAA365" s="637"/>
      <c r="AAC365" s="631"/>
      <c r="AAD365" s="632"/>
      <c r="AAQ365" s="637"/>
      <c r="AAS365" s="631"/>
      <c r="AAT365" s="632"/>
      <c r="ABG365" s="637"/>
      <c r="ABI365" s="631"/>
      <c r="ABJ365" s="632"/>
      <c r="ABW365" s="637"/>
      <c r="ABY365" s="631"/>
      <c r="ABZ365" s="632"/>
      <c r="ACM365" s="637"/>
      <c r="ACO365" s="631"/>
      <c r="ACP365" s="632"/>
      <c r="ADC365" s="637"/>
      <c r="ADE365" s="631"/>
      <c r="ADF365" s="632"/>
      <c r="ADS365" s="637"/>
      <c r="ADU365" s="631"/>
      <c r="ADV365" s="632"/>
      <c r="AEI365" s="637"/>
      <c r="AEK365" s="631"/>
      <c r="AEL365" s="632"/>
      <c r="AEY365" s="637"/>
      <c r="AFA365" s="631"/>
      <c r="AFB365" s="632"/>
      <c r="AFO365" s="637"/>
      <c r="AFQ365" s="631"/>
      <c r="AFR365" s="632"/>
      <c r="AGE365" s="637"/>
      <c r="AGG365" s="631"/>
      <c r="AGH365" s="632"/>
      <c r="AGU365" s="637"/>
      <c r="AGW365" s="631"/>
      <c r="AGX365" s="632"/>
      <c r="AHK365" s="637"/>
      <c r="AHM365" s="631"/>
      <c r="AHN365" s="632"/>
      <c r="AIA365" s="637"/>
      <c r="AIC365" s="631"/>
      <c r="AID365" s="632"/>
      <c r="AIQ365" s="637"/>
      <c r="AIS365" s="631"/>
      <c r="AIT365" s="632"/>
      <c r="AJG365" s="637"/>
      <c r="AJI365" s="631"/>
      <c r="AJJ365" s="632"/>
      <c r="AJW365" s="637"/>
      <c r="AJY365" s="631"/>
      <c r="AJZ365" s="632"/>
      <c r="AKM365" s="637"/>
      <c r="AKO365" s="631"/>
      <c r="AKP365" s="632"/>
      <c r="ALC365" s="637"/>
      <c r="ALE365" s="631"/>
      <c r="ALF365" s="632"/>
      <c r="ALS365" s="637"/>
      <c r="ALU365" s="631"/>
      <c r="ALV365" s="632"/>
      <c r="AMI365" s="637"/>
      <c r="AMK365" s="631"/>
      <c r="AML365" s="632"/>
      <c r="AMY365" s="637"/>
      <c r="ANA365" s="631"/>
      <c r="ANB365" s="632"/>
      <c r="ANO365" s="637"/>
      <c r="ANQ365" s="631"/>
      <c r="ANR365" s="632"/>
      <c r="AOE365" s="637"/>
      <c r="AOG365" s="631"/>
      <c r="AOH365" s="632"/>
      <c r="AOU365" s="637"/>
      <c r="AOW365" s="631"/>
      <c r="AOX365" s="632"/>
      <c r="APK365" s="637"/>
      <c r="APM365" s="631"/>
      <c r="APN365" s="632"/>
      <c r="AQA365" s="637"/>
      <c r="AQC365" s="631"/>
      <c r="AQD365" s="632"/>
      <c r="AQQ365" s="637"/>
      <c r="AQS365" s="631"/>
      <c r="AQT365" s="632"/>
      <c r="ARG365" s="637"/>
      <c r="ARI365" s="631"/>
      <c r="ARJ365" s="632"/>
      <c r="ARW365" s="637"/>
      <c r="ARY365" s="631"/>
      <c r="ARZ365" s="632"/>
      <c r="ASM365" s="637"/>
      <c r="ASO365" s="631"/>
      <c r="ASP365" s="632"/>
      <c r="ATC365" s="637"/>
      <c r="ATE365" s="631"/>
      <c r="ATF365" s="632"/>
      <c r="ATS365" s="637"/>
      <c r="ATU365" s="631"/>
      <c r="ATV365" s="632"/>
      <c r="AUI365" s="637"/>
      <c r="AUK365" s="631"/>
      <c r="AUL365" s="632"/>
      <c r="AUY365" s="637"/>
      <c r="AVA365" s="631"/>
      <c r="AVB365" s="632"/>
      <c r="AVO365" s="637"/>
      <c r="AVQ365" s="631"/>
      <c r="AVR365" s="632"/>
      <c r="AWE365" s="637"/>
      <c r="AWG365" s="631"/>
      <c r="AWH365" s="632"/>
      <c r="AWU365" s="637"/>
      <c r="AWW365" s="631"/>
      <c r="AWX365" s="632"/>
      <c r="AXK365" s="637"/>
      <c r="AXM365" s="631"/>
      <c r="AXN365" s="632"/>
      <c r="AYA365" s="637"/>
      <c r="AYC365" s="631"/>
      <c r="AYD365" s="632"/>
      <c r="AYQ365" s="637"/>
      <c r="AYS365" s="631"/>
      <c r="AYT365" s="632"/>
      <c r="AZG365" s="637"/>
      <c r="AZI365" s="631"/>
      <c r="AZJ365" s="632"/>
      <c r="AZW365" s="637"/>
      <c r="AZY365" s="631"/>
      <c r="AZZ365" s="632"/>
      <c r="BAM365" s="637"/>
      <c r="BAO365" s="631"/>
      <c r="BAP365" s="632"/>
      <c r="BBC365" s="637"/>
      <c r="BBE365" s="631"/>
      <c r="BBF365" s="632"/>
      <c r="BBS365" s="637"/>
      <c r="BBU365" s="631"/>
      <c r="BBV365" s="632"/>
      <c r="BCI365" s="637"/>
      <c r="BCK365" s="631"/>
      <c r="BCL365" s="632"/>
      <c r="BCY365" s="637"/>
      <c r="BDA365" s="631"/>
      <c r="BDB365" s="632"/>
      <c r="BDO365" s="637"/>
      <c r="BDQ365" s="631"/>
      <c r="BDR365" s="632"/>
      <c r="BEE365" s="637"/>
      <c r="BEG365" s="631"/>
      <c r="BEH365" s="632"/>
      <c r="BEU365" s="637"/>
      <c r="BEW365" s="631"/>
      <c r="BEX365" s="632"/>
      <c r="BFK365" s="637"/>
      <c r="BFM365" s="631"/>
      <c r="BFN365" s="632"/>
      <c r="BGA365" s="637"/>
      <c r="BGC365" s="631"/>
      <c r="BGD365" s="632"/>
      <c r="BGQ365" s="637"/>
      <c r="BGS365" s="631"/>
      <c r="BGT365" s="632"/>
      <c r="BHG365" s="637"/>
      <c r="BHI365" s="631"/>
      <c r="BHJ365" s="632"/>
      <c r="BHW365" s="637"/>
      <c r="BHY365" s="631"/>
      <c r="BHZ365" s="632"/>
      <c r="BIM365" s="637"/>
      <c r="BIO365" s="631"/>
      <c r="BIP365" s="632"/>
      <c r="BJC365" s="637"/>
      <c r="BJE365" s="631"/>
      <c r="BJF365" s="632"/>
      <c r="BJS365" s="637"/>
      <c r="BJU365" s="631"/>
      <c r="BJV365" s="632"/>
      <c r="BKI365" s="637"/>
      <c r="BKK365" s="631"/>
      <c r="BKL365" s="632"/>
      <c r="BKY365" s="637"/>
      <c r="BLA365" s="631"/>
      <c r="BLB365" s="632"/>
      <c r="BLO365" s="637"/>
      <c r="BLQ365" s="631"/>
      <c r="BLR365" s="632"/>
      <c r="BME365" s="637"/>
      <c r="BMG365" s="631"/>
      <c r="BMH365" s="632"/>
      <c r="BMU365" s="637"/>
      <c r="BMW365" s="631"/>
      <c r="BMX365" s="632"/>
      <c r="BNK365" s="637"/>
      <c r="BNM365" s="631"/>
      <c r="BNN365" s="632"/>
      <c r="BOA365" s="637"/>
      <c r="BOC365" s="631"/>
      <c r="BOD365" s="632"/>
      <c r="BOQ365" s="637"/>
      <c r="BOS365" s="631"/>
      <c r="BOT365" s="632"/>
      <c r="BPG365" s="637"/>
      <c r="BPI365" s="631"/>
      <c r="BPJ365" s="632"/>
      <c r="BPW365" s="637"/>
      <c r="BPY365" s="631"/>
      <c r="BPZ365" s="632"/>
      <c r="BQM365" s="637"/>
      <c r="BQO365" s="631"/>
      <c r="BQP365" s="632"/>
      <c r="BRC365" s="637"/>
      <c r="BRE365" s="631"/>
      <c r="BRF365" s="632"/>
      <c r="BRS365" s="637"/>
      <c r="BRU365" s="631"/>
      <c r="BRV365" s="632"/>
      <c r="BSI365" s="637"/>
      <c r="BSK365" s="631"/>
      <c r="BSL365" s="632"/>
      <c r="BSY365" s="637"/>
      <c r="BTA365" s="631"/>
      <c r="BTB365" s="632"/>
      <c r="BTO365" s="637"/>
      <c r="BTQ365" s="631"/>
      <c r="BTR365" s="632"/>
      <c r="BUE365" s="637"/>
      <c r="BUG365" s="631"/>
      <c r="BUH365" s="632"/>
      <c r="BUU365" s="637"/>
      <c r="BUW365" s="631"/>
      <c r="BUX365" s="632"/>
      <c r="BVK365" s="637"/>
      <c r="BVM365" s="631"/>
      <c r="BVN365" s="632"/>
      <c r="BWA365" s="637"/>
      <c r="BWC365" s="631"/>
      <c r="BWD365" s="632"/>
      <c r="BWQ365" s="637"/>
      <c r="BWS365" s="631"/>
      <c r="BWT365" s="632"/>
      <c r="BXG365" s="637"/>
      <c r="BXI365" s="631"/>
      <c r="BXJ365" s="632"/>
      <c r="BXW365" s="637"/>
      <c r="BXY365" s="631"/>
      <c r="BXZ365" s="632"/>
      <c r="BYM365" s="637"/>
      <c r="BYO365" s="631"/>
      <c r="BYP365" s="632"/>
      <c r="BZC365" s="637"/>
      <c r="BZE365" s="631"/>
      <c r="BZF365" s="632"/>
      <c r="BZS365" s="637"/>
      <c r="BZU365" s="631"/>
      <c r="BZV365" s="632"/>
      <c r="CAI365" s="637"/>
      <c r="CAK365" s="631"/>
      <c r="CAL365" s="632"/>
      <c r="CAY365" s="637"/>
      <c r="CBA365" s="631"/>
      <c r="CBB365" s="632"/>
      <c r="CBO365" s="637"/>
      <c r="CBQ365" s="631"/>
      <c r="CBR365" s="632"/>
      <c r="CCE365" s="637"/>
      <c r="CCG365" s="631"/>
      <c r="CCH365" s="632"/>
      <c r="CCU365" s="637"/>
      <c r="CCW365" s="631"/>
      <c r="CCX365" s="632"/>
      <c r="CDK365" s="637"/>
      <c r="CDM365" s="631"/>
      <c r="CDN365" s="632"/>
      <c r="CEA365" s="637"/>
      <c r="CEC365" s="631"/>
      <c r="CED365" s="632"/>
      <c r="CEQ365" s="637"/>
      <c r="CES365" s="631"/>
      <c r="CET365" s="632"/>
      <c r="CFG365" s="637"/>
      <c r="CFI365" s="631"/>
      <c r="CFJ365" s="632"/>
      <c r="CFW365" s="637"/>
      <c r="CFY365" s="631"/>
      <c r="CFZ365" s="632"/>
      <c r="CGM365" s="637"/>
      <c r="CGO365" s="631"/>
      <c r="CGP365" s="632"/>
      <c r="CHC365" s="637"/>
      <c r="CHE365" s="631"/>
      <c r="CHF365" s="632"/>
      <c r="CHS365" s="637"/>
      <c r="CHU365" s="631"/>
      <c r="CHV365" s="632"/>
      <c r="CII365" s="637"/>
      <c r="CIK365" s="631"/>
      <c r="CIL365" s="632"/>
      <c r="CIY365" s="637"/>
      <c r="CJA365" s="631"/>
      <c r="CJB365" s="632"/>
      <c r="CJO365" s="637"/>
      <c r="CJQ365" s="631"/>
      <c r="CJR365" s="632"/>
      <c r="CKE365" s="637"/>
      <c r="CKG365" s="631"/>
      <c r="CKH365" s="632"/>
      <c r="CKU365" s="637"/>
      <c r="CKW365" s="631"/>
      <c r="CKX365" s="632"/>
      <c r="CLK365" s="637"/>
      <c r="CLM365" s="631"/>
      <c r="CLN365" s="632"/>
      <c r="CMA365" s="637"/>
      <c r="CMC365" s="631"/>
      <c r="CMD365" s="632"/>
      <c r="CMQ365" s="637"/>
      <c r="CMS365" s="631"/>
      <c r="CMT365" s="632"/>
      <c r="CNG365" s="637"/>
      <c r="CNI365" s="631"/>
      <c r="CNJ365" s="632"/>
      <c r="CNW365" s="637"/>
      <c r="CNY365" s="631"/>
      <c r="CNZ365" s="632"/>
      <c r="COM365" s="637"/>
      <c r="COO365" s="631"/>
      <c r="COP365" s="632"/>
      <c r="CPC365" s="637"/>
      <c r="CPE365" s="631"/>
      <c r="CPF365" s="632"/>
      <c r="CPS365" s="637"/>
      <c r="CPU365" s="631"/>
      <c r="CPV365" s="632"/>
      <c r="CQI365" s="637"/>
      <c r="CQK365" s="631"/>
      <c r="CQL365" s="632"/>
      <c r="CQY365" s="637"/>
      <c r="CRA365" s="631"/>
      <c r="CRB365" s="632"/>
      <c r="CRO365" s="637"/>
      <c r="CRQ365" s="631"/>
      <c r="CRR365" s="632"/>
      <c r="CSE365" s="637"/>
      <c r="CSG365" s="631"/>
      <c r="CSH365" s="632"/>
      <c r="CSU365" s="637"/>
      <c r="CSW365" s="631"/>
      <c r="CSX365" s="632"/>
      <c r="CTK365" s="637"/>
      <c r="CTM365" s="631"/>
      <c r="CTN365" s="632"/>
      <c r="CUA365" s="637"/>
      <c r="CUC365" s="631"/>
      <c r="CUD365" s="632"/>
      <c r="CUQ365" s="637"/>
      <c r="CUS365" s="631"/>
      <c r="CUT365" s="632"/>
      <c r="CVG365" s="637"/>
      <c r="CVI365" s="631"/>
      <c r="CVJ365" s="632"/>
      <c r="CVW365" s="637"/>
      <c r="CVY365" s="631"/>
      <c r="CVZ365" s="632"/>
      <c r="CWM365" s="637"/>
      <c r="CWO365" s="631"/>
      <c r="CWP365" s="632"/>
      <c r="CXC365" s="637"/>
      <c r="CXE365" s="631"/>
      <c r="CXF365" s="632"/>
      <c r="CXS365" s="637"/>
      <c r="CXU365" s="631"/>
      <c r="CXV365" s="632"/>
      <c r="CYI365" s="637"/>
      <c r="CYK365" s="631"/>
      <c r="CYL365" s="632"/>
      <c r="CYY365" s="637"/>
      <c r="CZA365" s="631"/>
      <c r="CZB365" s="632"/>
      <c r="CZO365" s="637"/>
      <c r="CZQ365" s="631"/>
      <c r="CZR365" s="632"/>
      <c r="DAE365" s="637"/>
      <c r="DAG365" s="631"/>
      <c r="DAH365" s="632"/>
      <c r="DAU365" s="637"/>
      <c r="DAW365" s="631"/>
      <c r="DAX365" s="632"/>
      <c r="DBK365" s="637"/>
      <c r="DBM365" s="631"/>
      <c r="DBN365" s="632"/>
      <c r="DCA365" s="637"/>
      <c r="DCC365" s="631"/>
      <c r="DCD365" s="632"/>
      <c r="DCQ365" s="637"/>
      <c r="DCS365" s="631"/>
      <c r="DCT365" s="632"/>
      <c r="DDG365" s="637"/>
      <c r="DDI365" s="631"/>
      <c r="DDJ365" s="632"/>
      <c r="DDW365" s="637"/>
      <c r="DDY365" s="631"/>
      <c r="DDZ365" s="632"/>
      <c r="DEM365" s="637"/>
      <c r="DEO365" s="631"/>
      <c r="DEP365" s="632"/>
      <c r="DFC365" s="637"/>
      <c r="DFE365" s="631"/>
      <c r="DFF365" s="632"/>
      <c r="DFS365" s="637"/>
      <c r="DFU365" s="631"/>
      <c r="DFV365" s="632"/>
      <c r="DGI365" s="637"/>
      <c r="DGK365" s="631"/>
      <c r="DGL365" s="632"/>
      <c r="DGY365" s="637"/>
      <c r="DHA365" s="631"/>
      <c r="DHB365" s="632"/>
      <c r="DHO365" s="637"/>
      <c r="DHQ365" s="631"/>
      <c r="DHR365" s="632"/>
      <c r="DIE365" s="637"/>
      <c r="DIG365" s="631"/>
      <c r="DIH365" s="632"/>
      <c r="DIU365" s="637"/>
      <c r="DIW365" s="631"/>
      <c r="DIX365" s="632"/>
      <c r="DJK365" s="637"/>
      <c r="DJM365" s="631"/>
      <c r="DJN365" s="632"/>
      <c r="DKA365" s="637"/>
      <c r="DKC365" s="631"/>
      <c r="DKD365" s="632"/>
      <c r="DKQ365" s="637"/>
      <c r="DKS365" s="631"/>
      <c r="DKT365" s="632"/>
      <c r="DLG365" s="637"/>
      <c r="DLI365" s="631"/>
      <c r="DLJ365" s="632"/>
      <c r="DLW365" s="637"/>
      <c r="DLY365" s="631"/>
      <c r="DLZ365" s="632"/>
      <c r="DMM365" s="637"/>
      <c r="DMO365" s="631"/>
      <c r="DMP365" s="632"/>
      <c r="DNC365" s="637"/>
      <c r="DNE365" s="631"/>
      <c r="DNF365" s="632"/>
      <c r="DNS365" s="637"/>
      <c r="DNU365" s="631"/>
      <c r="DNV365" s="632"/>
      <c r="DOI365" s="637"/>
      <c r="DOK365" s="631"/>
      <c r="DOL365" s="632"/>
      <c r="DOY365" s="637"/>
      <c r="DPA365" s="631"/>
      <c r="DPB365" s="632"/>
      <c r="DPO365" s="637"/>
      <c r="DPQ365" s="631"/>
      <c r="DPR365" s="632"/>
      <c r="DQE365" s="637"/>
      <c r="DQG365" s="631"/>
      <c r="DQH365" s="632"/>
      <c r="DQU365" s="637"/>
      <c r="DQW365" s="631"/>
      <c r="DQX365" s="632"/>
      <c r="DRK365" s="637"/>
      <c r="DRM365" s="631"/>
      <c r="DRN365" s="632"/>
      <c r="DSA365" s="637"/>
      <c r="DSC365" s="631"/>
      <c r="DSD365" s="632"/>
      <c r="DSQ365" s="637"/>
      <c r="DSS365" s="631"/>
      <c r="DST365" s="632"/>
      <c r="DTG365" s="637"/>
      <c r="DTI365" s="631"/>
      <c r="DTJ365" s="632"/>
      <c r="DTW365" s="637"/>
      <c r="DTY365" s="631"/>
      <c r="DTZ365" s="632"/>
      <c r="DUM365" s="637"/>
      <c r="DUO365" s="631"/>
      <c r="DUP365" s="632"/>
      <c r="DVC365" s="637"/>
      <c r="DVE365" s="631"/>
      <c r="DVF365" s="632"/>
      <c r="DVS365" s="637"/>
      <c r="DVU365" s="631"/>
      <c r="DVV365" s="632"/>
      <c r="DWI365" s="637"/>
      <c r="DWK365" s="631"/>
      <c r="DWL365" s="632"/>
      <c r="DWY365" s="637"/>
      <c r="DXA365" s="631"/>
      <c r="DXB365" s="632"/>
      <c r="DXO365" s="637"/>
      <c r="DXQ365" s="631"/>
      <c r="DXR365" s="632"/>
      <c r="DYE365" s="637"/>
      <c r="DYG365" s="631"/>
      <c r="DYH365" s="632"/>
      <c r="DYU365" s="637"/>
      <c r="DYW365" s="631"/>
      <c r="DYX365" s="632"/>
      <c r="DZK365" s="637"/>
      <c r="DZM365" s="631"/>
      <c r="DZN365" s="632"/>
      <c r="EAA365" s="637"/>
      <c r="EAC365" s="631"/>
      <c r="EAD365" s="632"/>
      <c r="EAQ365" s="637"/>
      <c r="EAS365" s="631"/>
      <c r="EAT365" s="632"/>
      <c r="EBG365" s="637"/>
      <c r="EBI365" s="631"/>
      <c r="EBJ365" s="632"/>
      <c r="EBW365" s="637"/>
      <c r="EBY365" s="631"/>
      <c r="EBZ365" s="632"/>
      <c r="ECM365" s="637"/>
      <c r="ECO365" s="631"/>
      <c r="ECP365" s="632"/>
      <c r="EDC365" s="637"/>
      <c r="EDE365" s="631"/>
      <c r="EDF365" s="632"/>
      <c r="EDS365" s="637"/>
      <c r="EDU365" s="631"/>
      <c r="EDV365" s="632"/>
      <c r="EEI365" s="637"/>
      <c r="EEK365" s="631"/>
      <c r="EEL365" s="632"/>
      <c r="EEY365" s="637"/>
      <c r="EFA365" s="631"/>
      <c r="EFB365" s="632"/>
      <c r="EFO365" s="637"/>
      <c r="EFQ365" s="631"/>
      <c r="EFR365" s="632"/>
      <c r="EGE365" s="637"/>
      <c r="EGG365" s="631"/>
      <c r="EGH365" s="632"/>
      <c r="EGU365" s="637"/>
      <c r="EGW365" s="631"/>
      <c r="EGX365" s="632"/>
      <c r="EHK365" s="637"/>
      <c r="EHM365" s="631"/>
      <c r="EHN365" s="632"/>
      <c r="EIA365" s="637"/>
      <c r="EIC365" s="631"/>
      <c r="EID365" s="632"/>
      <c r="EIQ365" s="637"/>
      <c r="EIS365" s="631"/>
      <c r="EIT365" s="632"/>
      <c r="EJG365" s="637"/>
      <c r="EJI365" s="631"/>
      <c r="EJJ365" s="632"/>
      <c r="EJW365" s="637"/>
      <c r="EJY365" s="631"/>
      <c r="EJZ365" s="632"/>
      <c r="EKM365" s="637"/>
      <c r="EKO365" s="631"/>
      <c r="EKP365" s="632"/>
      <c r="ELC365" s="637"/>
      <c r="ELE365" s="631"/>
      <c r="ELF365" s="632"/>
      <c r="ELS365" s="637"/>
      <c r="ELU365" s="631"/>
      <c r="ELV365" s="632"/>
      <c r="EMI365" s="637"/>
      <c r="EMK365" s="631"/>
      <c r="EML365" s="632"/>
      <c r="EMY365" s="637"/>
      <c r="ENA365" s="631"/>
      <c r="ENB365" s="632"/>
      <c r="ENO365" s="637"/>
      <c r="ENQ365" s="631"/>
      <c r="ENR365" s="632"/>
      <c r="EOE365" s="637"/>
      <c r="EOG365" s="631"/>
      <c r="EOH365" s="632"/>
      <c r="EOU365" s="637"/>
      <c r="EOW365" s="631"/>
      <c r="EOX365" s="632"/>
      <c r="EPK365" s="637"/>
      <c r="EPM365" s="631"/>
      <c r="EPN365" s="632"/>
      <c r="EQA365" s="637"/>
      <c r="EQC365" s="631"/>
      <c r="EQD365" s="632"/>
      <c r="EQQ365" s="637"/>
      <c r="EQS365" s="631"/>
      <c r="EQT365" s="632"/>
      <c r="ERG365" s="637"/>
      <c r="ERI365" s="631"/>
      <c r="ERJ365" s="632"/>
      <c r="ERW365" s="637"/>
      <c r="ERY365" s="631"/>
      <c r="ERZ365" s="632"/>
      <c r="ESM365" s="637"/>
      <c r="ESO365" s="631"/>
      <c r="ESP365" s="632"/>
      <c r="ETC365" s="637"/>
      <c r="ETE365" s="631"/>
      <c r="ETF365" s="632"/>
      <c r="ETS365" s="637"/>
      <c r="ETU365" s="631"/>
      <c r="ETV365" s="632"/>
      <c r="EUI365" s="637"/>
      <c r="EUK365" s="631"/>
      <c r="EUL365" s="632"/>
      <c r="EUY365" s="637"/>
      <c r="EVA365" s="631"/>
      <c r="EVB365" s="632"/>
      <c r="EVO365" s="637"/>
      <c r="EVQ365" s="631"/>
      <c r="EVR365" s="632"/>
      <c r="EWE365" s="637"/>
      <c r="EWG365" s="631"/>
      <c r="EWH365" s="632"/>
      <c r="EWU365" s="637"/>
      <c r="EWW365" s="631"/>
      <c r="EWX365" s="632"/>
      <c r="EXK365" s="637"/>
      <c r="EXM365" s="631"/>
      <c r="EXN365" s="632"/>
      <c r="EYA365" s="637"/>
      <c r="EYC365" s="631"/>
      <c r="EYD365" s="632"/>
      <c r="EYQ365" s="637"/>
      <c r="EYS365" s="631"/>
      <c r="EYT365" s="632"/>
      <c r="EZG365" s="637"/>
      <c r="EZI365" s="631"/>
      <c r="EZJ365" s="632"/>
      <c r="EZW365" s="637"/>
      <c r="EZY365" s="631"/>
      <c r="EZZ365" s="632"/>
      <c r="FAM365" s="637"/>
      <c r="FAO365" s="631"/>
      <c r="FAP365" s="632"/>
      <c r="FBC365" s="637"/>
      <c r="FBE365" s="631"/>
      <c r="FBF365" s="632"/>
      <c r="FBS365" s="637"/>
      <c r="FBU365" s="631"/>
      <c r="FBV365" s="632"/>
      <c r="FCI365" s="637"/>
      <c r="FCK365" s="631"/>
      <c r="FCL365" s="632"/>
      <c r="FCY365" s="637"/>
      <c r="FDA365" s="631"/>
      <c r="FDB365" s="632"/>
      <c r="FDO365" s="637"/>
      <c r="FDQ365" s="631"/>
      <c r="FDR365" s="632"/>
      <c r="FEE365" s="637"/>
      <c r="FEG365" s="631"/>
      <c r="FEH365" s="632"/>
      <c r="FEU365" s="637"/>
      <c r="FEW365" s="631"/>
      <c r="FEX365" s="632"/>
      <c r="FFK365" s="637"/>
      <c r="FFM365" s="631"/>
      <c r="FFN365" s="632"/>
      <c r="FGA365" s="637"/>
      <c r="FGC365" s="631"/>
      <c r="FGD365" s="632"/>
      <c r="FGQ365" s="637"/>
      <c r="FGS365" s="631"/>
      <c r="FGT365" s="632"/>
      <c r="FHG365" s="637"/>
      <c r="FHI365" s="631"/>
      <c r="FHJ365" s="632"/>
      <c r="FHW365" s="637"/>
      <c r="FHY365" s="631"/>
      <c r="FHZ365" s="632"/>
      <c r="FIM365" s="637"/>
      <c r="FIO365" s="631"/>
      <c r="FIP365" s="632"/>
      <c r="FJC365" s="637"/>
      <c r="FJE365" s="631"/>
      <c r="FJF365" s="632"/>
      <c r="FJS365" s="637"/>
      <c r="FJU365" s="631"/>
      <c r="FJV365" s="632"/>
      <c r="FKI365" s="637"/>
      <c r="FKK365" s="631"/>
      <c r="FKL365" s="632"/>
      <c r="FKY365" s="637"/>
      <c r="FLA365" s="631"/>
      <c r="FLB365" s="632"/>
      <c r="FLO365" s="637"/>
      <c r="FLQ365" s="631"/>
      <c r="FLR365" s="632"/>
      <c r="FME365" s="637"/>
      <c r="FMG365" s="631"/>
      <c r="FMH365" s="632"/>
      <c r="FMU365" s="637"/>
      <c r="FMW365" s="631"/>
      <c r="FMX365" s="632"/>
      <c r="FNK365" s="637"/>
      <c r="FNM365" s="631"/>
      <c r="FNN365" s="632"/>
      <c r="FOA365" s="637"/>
      <c r="FOC365" s="631"/>
      <c r="FOD365" s="632"/>
      <c r="FOQ365" s="637"/>
      <c r="FOS365" s="631"/>
      <c r="FOT365" s="632"/>
      <c r="FPG365" s="637"/>
      <c r="FPI365" s="631"/>
      <c r="FPJ365" s="632"/>
      <c r="FPW365" s="637"/>
      <c r="FPY365" s="631"/>
      <c r="FPZ365" s="632"/>
      <c r="FQM365" s="637"/>
      <c r="FQO365" s="631"/>
      <c r="FQP365" s="632"/>
      <c r="FRC365" s="637"/>
      <c r="FRE365" s="631"/>
      <c r="FRF365" s="632"/>
      <c r="FRS365" s="637"/>
      <c r="FRU365" s="631"/>
      <c r="FRV365" s="632"/>
      <c r="FSI365" s="637"/>
      <c r="FSK365" s="631"/>
      <c r="FSL365" s="632"/>
      <c r="FSY365" s="637"/>
      <c r="FTA365" s="631"/>
      <c r="FTB365" s="632"/>
      <c r="FTO365" s="637"/>
      <c r="FTQ365" s="631"/>
      <c r="FTR365" s="632"/>
      <c r="FUE365" s="637"/>
      <c r="FUG365" s="631"/>
      <c r="FUH365" s="632"/>
      <c r="FUU365" s="637"/>
      <c r="FUW365" s="631"/>
      <c r="FUX365" s="632"/>
      <c r="FVK365" s="637"/>
      <c r="FVM365" s="631"/>
      <c r="FVN365" s="632"/>
      <c r="FWA365" s="637"/>
      <c r="FWC365" s="631"/>
      <c r="FWD365" s="632"/>
      <c r="FWQ365" s="637"/>
      <c r="FWS365" s="631"/>
      <c r="FWT365" s="632"/>
      <c r="FXG365" s="637"/>
      <c r="FXI365" s="631"/>
      <c r="FXJ365" s="632"/>
      <c r="FXW365" s="637"/>
      <c r="FXY365" s="631"/>
      <c r="FXZ365" s="632"/>
      <c r="FYM365" s="637"/>
      <c r="FYO365" s="631"/>
      <c r="FYP365" s="632"/>
      <c r="FZC365" s="637"/>
      <c r="FZE365" s="631"/>
      <c r="FZF365" s="632"/>
      <c r="FZS365" s="637"/>
      <c r="FZU365" s="631"/>
      <c r="FZV365" s="632"/>
      <c r="GAI365" s="637"/>
      <c r="GAK365" s="631"/>
      <c r="GAL365" s="632"/>
      <c r="GAY365" s="637"/>
      <c r="GBA365" s="631"/>
      <c r="GBB365" s="632"/>
      <c r="GBO365" s="637"/>
      <c r="GBQ365" s="631"/>
      <c r="GBR365" s="632"/>
      <c r="GCE365" s="637"/>
      <c r="GCG365" s="631"/>
      <c r="GCH365" s="632"/>
      <c r="GCU365" s="637"/>
      <c r="GCW365" s="631"/>
      <c r="GCX365" s="632"/>
      <c r="GDK365" s="637"/>
      <c r="GDM365" s="631"/>
      <c r="GDN365" s="632"/>
      <c r="GEA365" s="637"/>
      <c r="GEC365" s="631"/>
      <c r="GED365" s="632"/>
      <c r="GEQ365" s="637"/>
      <c r="GES365" s="631"/>
      <c r="GET365" s="632"/>
      <c r="GFG365" s="637"/>
      <c r="GFI365" s="631"/>
      <c r="GFJ365" s="632"/>
      <c r="GFW365" s="637"/>
      <c r="GFY365" s="631"/>
      <c r="GFZ365" s="632"/>
      <c r="GGM365" s="637"/>
      <c r="GGO365" s="631"/>
      <c r="GGP365" s="632"/>
      <c r="GHC365" s="637"/>
      <c r="GHE365" s="631"/>
      <c r="GHF365" s="632"/>
      <c r="GHS365" s="637"/>
      <c r="GHU365" s="631"/>
      <c r="GHV365" s="632"/>
      <c r="GII365" s="637"/>
      <c r="GIK365" s="631"/>
      <c r="GIL365" s="632"/>
      <c r="GIY365" s="637"/>
      <c r="GJA365" s="631"/>
      <c r="GJB365" s="632"/>
      <c r="GJO365" s="637"/>
      <c r="GJQ365" s="631"/>
      <c r="GJR365" s="632"/>
      <c r="GKE365" s="637"/>
      <c r="GKG365" s="631"/>
      <c r="GKH365" s="632"/>
      <c r="GKU365" s="637"/>
      <c r="GKW365" s="631"/>
      <c r="GKX365" s="632"/>
      <c r="GLK365" s="637"/>
      <c r="GLM365" s="631"/>
      <c r="GLN365" s="632"/>
      <c r="GMA365" s="637"/>
      <c r="GMC365" s="631"/>
      <c r="GMD365" s="632"/>
      <c r="GMQ365" s="637"/>
      <c r="GMS365" s="631"/>
      <c r="GMT365" s="632"/>
      <c r="GNG365" s="637"/>
      <c r="GNI365" s="631"/>
      <c r="GNJ365" s="632"/>
      <c r="GNW365" s="637"/>
      <c r="GNY365" s="631"/>
      <c r="GNZ365" s="632"/>
      <c r="GOM365" s="637"/>
      <c r="GOO365" s="631"/>
      <c r="GOP365" s="632"/>
      <c r="GPC365" s="637"/>
      <c r="GPE365" s="631"/>
      <c r="GPF365" s="632"/>
      <c r="GPS365" s="637"/>
      <c r="GPU365" s="631"/>
      <c r="GPV365" s="632"/>
      <c r="GQI365" s="637"/>
      <c r="GQK365" s="631"/>
      <c r="GQL365" s="632"/>
      <c r="GQY365" s="637"/>
      <c r="GRA365" s="631"/>
      <c r="GRB365" s="632"/>
      <c r="GRO365" s="637"/>
      <c r="GRQ365" s="631"/>
      <c r="GRR365" s="632"/>
      <c r="GSE365" s="637"/>
      <c r="GSG365" s="631"/>
      <c r="GSH365" s="632"/>
      <c r="GSU365" s="637"/>
      <c r="GSW365" s="631"/>
      <c r="GSX365" s="632"/>
      <c r="GTK365" s="637"/>
      <c r="GTM365" s="631"/>
      <c r="GTN365" s="632"/>
      <c r="GUA365" s="637"/>
      <c r="GUC365" s="631"/>
      <c r="GUD365" s="632"/>
      <c r="GUQ365" s="637"/>
      <c r="GUS365" s="631"/>
      <c r="GUT365" s="632"/>
      <c r="GVG365" s="637"/>
      <c r="GVI365" s="631"/>
      <c r="GVJ365" s="632"/>
      <c r="GVW365" s="637"/>
      <c r="GVY365" s="631"/>
      <c r="GVZ365" s="632"/>
      <c r="GWM365" s="637"/>
      <c r="GWO365" s="631"/>
      <c r="GWP365" s="632"/>
      <c r="GXC365" s="637"/>
      <c r="GXE365" s="631"/>
      <c r="GXF365" s="632"/>
      <c r="GXS365" s="637"/>
      <c r="GXU365" s="631"/>
      <c r="GXV365" s="632"/>
      <c r="GYI365" s="637"/>
      <c r="GYK365" s="631"/>
      <c r="GYL365" s="632"/>
      <c r="GYY365" s="637"/>
      <c r="GZA365" s="631"/>
      <c r="GZB365" s="632"/>
      <c r="GZO365" s="637"/>
      <c r="GZQ365" s="631"/>
      <c r="GZR365" s="632"/>
      <c r="HAE365" s="637"/>
      <c r="HAG365" s="631"/>
      <c r="HAH365" s="632"/>
      <c r="HAU365" s="637"/>
      <c r="HAW365" s="631"/>
      <c r="HAX365" s="632"/>
      <c r="HBK365" s="637"/>
      <c r="HBM365" s="631"/>
      <c r="HBN365" s="632"/>
      <c r="HCA365" s="637"/>
      <c r="HCC365" s="631"/>
      <c r="HCD365" s="632"/>
      <c r="HCQ365" s="637"/>
      <c r="HCS365" s="631"/>
      <c r="HCT365" s="632"/>
      <c r="HDG365" s="637"/>
      <c r="HDI365" s="631"/>
      <c r="HDJ365" s="632"/>
      <c r="HDW365" s="637"/>
      <c r="HDY365" s="631"/>
      <c r="HDZ365" s="632"/>
      <c r="HEM365" s="637"/>
      <c r="HEO365" s="631"/>
      <c r="HEP365" s="632"/>
      <c r="HFC365" s="637"/>
      <c r="HFE365" s="631"/>
      <c r="HFF365" s="632"/>
      <c r="HFS365" s="637"/>
      <c r="HFU365" s="631"/>
      <c r="HFV365" s="632"/>
      <c r="HGI365" s="637"/>
      <c r="HGK365" s="631"/>
      <c r="HGL365" s="632"/>
      <c r="HGY365" s="637"/>
      <c r="HHA365" s="631"/>
      <c r="HHB365" s="632"/>
      <c r="HHO365" s="637"/>
      <c r="HHQ365" s="631"/>
      <c r="HHR365" s="632"/>
      <c r="HIE365" s="637"/>
      <c r="HIG365" s="631"/>
      <c r="HIH365" s="632"/>
      <c r="HIU365" s="637"/>
      <c r="HIW365" s="631"/>
      <c r="HIX365" s="632"/>
      <c r="HJK365" s="637"/>
      <c r="HJM365" s="631"/>
      <c r="HJN365" s="632"/>
      <c r="HKA365" s="637"/>
      <c r="HKC365" s="631"/>
      <c r="HKD365" s="632"/>
      <c r="HKQ365" s="637"/>
      <c r="HKS365" s="631"/>
      <c r="HKT365" s="632"/>
      <c r="HLG365" s="637"/>
      <c r="HLI365" s="631"/>
      <c r="HLJ365" s="632"/>
      <c r="HLW365" s="637"/>
      <c r="HLY365" s="631"/>
      <c r="HLZ365" s="632"/>
      <c r="HMM365" s="637"/>
      <c r="HMO365" s="631"/>
      <c r="HMP365" s="632"/>
      <c r="HNC365" s="637"/>
      <c r="HNE365" s="631"/>
      <c r="HNF365" s="632"/>
      <c r="HNS365" s="637"/>
      <c r="HNU365" s="631"/>
      <c r="HNV365" s="632"/>
      <c r="HOI365" s="637"/>
      <c r="HOK365" s="631"/>
      <c r="HOL365" s="632"/>
      <c r="HOY365" s="637"/>
      <c r="HPA365" s="631"/>
      <c r="HPB365" s="632"/>
      <c r="HPO365" s="637"/>
      <c r="HPQ365" s="631"/>
      <c r="HPR365" s="632"/>
      <c r="HQE365" s="637"/>
      <c r="HQG365" s="631"/>
      <c r="HQH365" s="632"/>
      <c r="HQU365" s="637"/>
      <c r="HQW365" s="631"/>
      <c r="HQX365" s="632"/>
      <c r="HRK365" s="637"/>
      <c r="HRM365" s="631"/>
      <c r="HRN365" s="632"/>
      <c r="HSA365" s="637"/>
      <c r="HSC365" s="631"/>
      <c r="HSD365" s="632"/>
      <c r="HSQ365" s="637"/>
      <c r="HSS365" s="631"/>
      <c r="HST365" s="632"/>
      <c r="HTG365" s="637"/>
      <c r="HTI365" s="631"/>
      <c r="HTJ365" s="632"/>
      <c r="HTW365" s="637"/>
      <c r="HTY365" s="631"/>
      <c r="HTZ365" s="632"/>
      <c r="HUM365" s="637"/>
      <c r="HUO365" s="631"/>
      <c r="HUP365" s="632"/>
      <c r="HVC365" s="637"/>
      <c r="HVE365" s="631"/>
      <c r="HVF365" s="632"/>
      <c r="HVS365" s="637"/>
      <c r="HVU365" s="631"/>
      <c r="HVV365" s="632"/>
      <c r="HWI365" s="637"/>
      <c r="HWK365" s="631"/>
      <c r="HWL365" s="632"/>
      <c r="HWY365" s="637"/>
      <c r="HXA365" s="631"/>
      <c r="HXB365" s="632"/>
      <c r="HXO365" s="637"/>
      <c r="HXQ365" s="631"/>
      <c r="HXR365" s="632"/>
      <c r="HYE365" s="637"/>
      <c r="HYG365" s="631"/>
      <c r="HYH365" s="632"/>
      <c r="HYU365" s="637"/>
      <c r="HYW365" s="631"/>
      <c r="HYX365" s="632"/>
      <c r="HZK365" s="637"/>
      <c r="HZM365" s="631"/>
      <c r="HZN365" s="632"/>
      <c r="IAA365" s="637"/>
      <c r="IAC365" s="631"/>
      <c r="IAD365" s="632"/>
      <c r="IAQ365" s="637"/>
      <c r="IAS365" s="631"/>
      <c r="IAT365" s="632"/>
      <c r="IBG365" s="637"/>
      <c r="IBI365" s="631"/>
      <c r="IBJ365" s="632"/>
      <c r="IBW365" s="637"/>
      <c r="IBY365" s="631"/>
      <c r="IBZ365" s="632"/>
      <c r="ICM365" s="637"/>
      <c r="ICO365" s="631"/>
      <c r="ICP365" s="632"/>
      <c r="IDC365" s="637"/>
      <c r="IDE365" s="631"/>
      <c r="IDF365" s="632"/>
      <c r="IDS365" s="637"/>
      <c r="IDU365" s="631"/>
      <c r="IDV365" s="632"/>
      <c r="IEI365" s="637"/>
      <c r="IEK365" s="631"/>
      <c r="IEL365" s="632"/>
      <c r="IEY365" s="637"/>
      <c r="IFA365" s="631"/>
      <c r="IFB365" s="632"/>
      <c r="IFO365" s="637"/>
      <c r="IFQ365" s="631"/>
      <c r="IFR365" s="632"/>
      <c r="IGE365" s="637"/>
      <c r="IGG365" s="631"/>
      <c r="IGH365" s="632"/>
      <c r="IGU365" s="637"/>
      <c r="IGW365" s="631"/>
      <c r="IGX365" s="632"/>
      <c r="IHK365" s="637"/>
      <c r="IHM365" s="631"/>
      <c r="IHN365" s="632"/>
      <c r="IIA365" s="637"/>
      <c r="IIC365" s="631"/>
      <c r="IID365" s="632"/>
      <c r="IIQ365" s="637"/>
      <c r="IIS365" s="631"/>
      <c r="IIT365" s="632"/>
      <c r="IJG365" s="637"/>
      <c r="IJI365" s="631"/>
      <c r="IJJ365" s="632"/>
      <c r="IJW365" s="637"/>
      <c r="IJY365" s="631"/>
      <c r="IJZ365" s="632"/>
      <c r="IKM365" s="637"/>
      <c r="IKO365" s="631"/>
      <c r="IKP365" s="632"/>
      <c r="ILC365" s="637"/>
      <c r="ILE365" s="631"/>
      <c r="ILF365" s="632"/>
      <c r="ILS365" s="637"/>
      <c r="ILU365" s="631"/>
      <c r="ILV365" s="632"/>
      <c r="IMI365" s="637"/>
      <c r="IMK365" s="631"/>
      <c r="IML365" s="632"/>
      <c r="IMY365" s="637"/>
      <c r="INA365" s="631"/>
      <c r="INB365" s="632"/>
      <c r="INO365" s="637"/>
      <c r="INQ365" s="631"/>
      <c r="INR365" s="632"/>
      <c r="IOE365" s="637"/>
      <c r="IOG365" s="631"/>
      <c r="IOH365" s="632"/>
      <c r="IOU365" s="637"/>
      <c r="IOW365" s="631"/>
      <c r="IOX365" s="632"/>
      <c r="IPK365" s="637"/>
      <c r="IPM365" s="631"/>
      <c r="IPN365" s="632"/>
      <c r="IQA365" s="637"/>
      <c r="IQC365" s="631"/>
      <c r="IQD365" s="632"/>
      <c r="IQQ365" s="637"/>
      <c r="IQS365" s="631"/>
      <c r="IQT365" s="632"/>
      <c r="IRG365" s="637"/>
      <c r="IRI365" s="631"/>
      <c r="IRJ365" s="632"/>
      <c r="IRW365" s="637"/>
      <c r="IRY365" s="631"/>
      <c r="IRZ365" s="632"/>
      <c r="ISM365" s="637"/>
      <c r="ISO365" s="631"/>
      <c r="ISP365" s="632"/>
      <c r="ITC365" s="637"/>
      <c r="ITE365" s="631"/>
      <c r="ITF365" s="632"/>
      <c r="ITS365" s="637"/>
      <c r="ITU365" s="631"/>
      <c r="ITV365" s="632"/>
      <c r="IUI365" s="637"/>
      <c r="IUK365" s="631"/>
      <c r="IUL365" s="632"/>
      <c r="IUY365" s="637"/>
      <c r="IVA365" s="631"/>
      <c r="IVB365" s="632"/>
      <c r="IVO365" s="637"/>
      <c r="IVQ365" s="631"/>
      <c r="IVR365" s="632"/>
      <c r="IWE365" s="637"/>
      <c r="IWG365" s="631"/>
      <c r="IWH365" s="632"/>
      <c r="IWU365" s="637"/>
      <c r="IWW365" s="631"/>
      <c r="IWX365" s="632"/>
      <c r="IXK365" s="637"/>
      <c r="IXM365" s="631"/>
      <c r="IXN365" s="632"/>
      <c r="IYA365" s="637"/>
      <c r="IYC365" s="631"/>
      <c r="IYD365" s="632"/>
      <c r="IYQ365" s="637"/>
      <c r="IYS365" s="631"/>
      <c r="IYT365" s="632"/>
      <c r="IZG365" s="637"/>
      <c r="IZI365" s="631"/>
      <c r="IZJ365" s="632"/>
      <c r="IZW365" s="637"/>
      <c r="IZY365" s="631"/>
      <c r="IZZ365" s="632"/>
      <c r="JAM365" s="637"/>
      <c r="JAO365" s="631"/>
      <c r="JAP365" s="632"/>
      <c r="JBC365" s="637"/>
      <c r="JBE365" s="631"/>
      <c r="JBF365" s="632"/>
      <c r="JBS365" s="637"/>
      <c r="JBU365" s="631"/>
      <c r="JBV365" s="632"/>
      <c r="JCI365" s="637"/>
      <c r="JCK365" s="631"/>
      <c r="JCL365" s="632"/>
      <c r="JCY365" s="637"/>
      <c r="JDA365" s="631"/>
      <c r="JDB365" s="632"/>
      <c r="JDO365" s="637"/>
      <c r="JDQ365" s="631"/>
      <c r="JDR365" s="632"/>
      <c r="JEE365" s="637"/>
      <c r="JEG365" s="631"/>
      <c r="JEH365" s="632"/>
      <c r="JEU365" s="637"/>
      <c r="JEW365" s="631"/>
      <c r="JEX365" s="632"/>
      <c r="JFK365" s="637"/>
      <c r="JFM365" s="631"/>
      <c r="JFN365" s="632"/>
      <c r="JGA365" s="637"/>
      <c r="JGC365" s="631"/>
      <c r="JGD365" s="632"/>
      <c r="JGQ365" s="637"/>
      <c r="JGS365" s="631"/>
      <c r="JGT365" s="632"/>
      <c r="JHG365" s="637"/>
      <c r="JHI365" s="631"/>
      <c r="JHJ365" s="632"/>
      <c r="JHW365" s="637"/>
      <c r="JHY365" s="631"/>
      <c r="JHZ365" s="632"/>
      <c r="JIM365" s="637"/>
      <c r="JIO365" s="631"/>
      <c r="JIP365" s="632"/>
      <c r="JJC365" s="637"/>
      <c r="JJE365" s="631"/>
      <c r="JJF365" s="632"/>
      <c r="JJS365" s="637"/>
      <c r="JJU365" s="631"/>
      <c r="JJV365" s="632"/>
      <c r="JKI365" s="637"/>
      <c r="JKK365" s="631"/>
      <c r="JKL365" s="632"/>
      <c r="JKY365" s="637"/>
      <c r="JLA365" s="631"/>
      <c r="JLB365" s="632"/>
      <c r="JLO365" s="637"/>
      <c r="JLQ365" s="631"/>
      <c r="JLR365" s="632"/>
      <c r="JME365" s="637"/>
      <c r="JMG365" s="631"/>
      <c r="JMH365" s="632"/>
      <c r="JMU365" s="637"/>
      <c r="JMW365" s="631"/>
      <c r="JMX365" s="632"/>
      <c r="JNK365" s="637"/>
      <c r="JNM365" s="631"/>
      <c r="JNN365" s="632"/>
      <c r="JOA365" s="637"/>
      <c r="JOC365" s="631"/>
      <c r="JOD365" s="632"/>
      <c r="JOQ365" s="637"/>
      <c r="JOS365" s="631"/>
      <c r="JOT365" s="632"/>
      <c r="JPG365" s="637"/>
      <c r="JPI365" s="631"/>
      <c r="JPJ365" s="632"/>
      <c r="JPW365" s="637"/>
      <c r="JPY365" s="631"/>
      <c r="JPZ365" s="632"/>
      <c r="JQM365" s="637"/>
      <c r="JQO365" s="631"/>
      <c r="JQP365" s="632"/>
      <c r="JRC365" s="637"/>
      <c r="JRE365" s="631"/>
      <c r="JRF365" s="632"/>
      <c r="JRS365" s="637"/>
      <c r="JRU365" s="631"/>
      <c r="JRV365" s="632"/>
      <c r="JSI365" s="637"/>
      <c r="JSK365" s="631"/>
      <c r="JSL365" s="632"/>
      <c r="JSY365" s="637"/>
      <c r="JTA365" s="631"/>
      <c r="JTB365" s="632"/>
      <c r="JTO365" s="637"/>
      <c r="JTQ365" s="631"/>
      <c r="JTR365" s="632"/>
      <c r="JUE365" s="637"/>
      <c r="JUG365" s="631"/>
      <c r="JUH365" s="632"/>
      <c r="JUU365" s="637"/>
      <c r="JUW365" s="631"/>
      <c r="JUX365" s="632"/>
      <c r="JVK365" s="637"/>
      <c r="JVM365" s="631"/>
      <c r="JVN365" s="632"/>
      <c r="JWA365" s="637"/>
      <c r="JWC365" s="631"/>
      <c r="JWD365" s="632"/>
      <c r="JWQ365" s="637"/>
      <c r="JWS365" s="631"/>
      <c r="JWT365" s="632"/>
      <c r="JXG365" s="637"/>
      <c r="JXI365" s="631"/>
      <c r="JXJ365" s="632"/>
      <c r="JXW365" s="637"/>
      <c r="JXY365" s="631"/>
      <c r="JXZ365" s="632"/>
      <c r="JYM365" s="637"/>
      <c r="JYO365" s="631"/>
      <c r="JYP365" s="632"/>
      <c r="JZC365" s="637"/>
      <c r="JZE365" s="631"/>
      <c r="JZF365" s="632"/>
      <c r="JZS365" s="637"/>
      <c r="JZU365" s="631"/>
      <c r="JZV365" s="632"/>
      <c r="KAI365" s="637"/>
      <c r="KAK365" s="631"/>
      <c r="KAL365" s="632"/>
      <c r="KAY365" s="637"/>
      <c r="KBA365" s="631"/>
      <c r="KBB365" s="632"/>
      <c r="KBO365" s="637"/>
      <c r="KBQ365" s="631"/>
      <c r="KBR365" s="632"/>
      <c r="KCE365" s="637"/>
      <c r="KCG365" s="631"/>
      <c r="KCH365" s="632"/>
      <c r="KCU365" s="637"/>
      <c r="KCW365" s="631"/>
      <c r="KCX365" s="632"/>
      <c r="KDK365" s="637"/>
      <c r="KDM365" s="631"/>
      <c r="KDN365" s="632"/>
      <c r="KEA365" s="637"/>
      <c r="KEC365" s="631"/>
      <c r="KED365" s="632"/>
      <c r="KEQ365" s="637"/>
      <c r="KES365" s="631"/>
      <c r="KET365" s="632"/>
      <c r="KFG365" s="637"/>
      <c r="KFI365" s="631"/>
      <c r="KFJ365" s="632"/>
      <c r="KFW365" s="637"/>
      <c r="KFY365" s="631"/>
      <c r="KFZ365" s="632"/>
      <c r="KGM365" s="637"/>
      <c r="KGO365" s="631"/>
      <c r="KGP365" s="632"/>
      <c r="KHC365" s="637"/>
      <c r="KHE365" s="631"/>
      <c r="KHF365" s="632"/>
      <c r="KHS365" s="637"/>
      <c r="KHU365" s="631"/>
      <c r="KHV365" s="632"/>
      <c r="KII365" s="637"/>
      <c r="KIK365" s="631"/>
      <c r="KIL365" s="632"/>
      <c r="KIY365" s="637"/>
      <c r="KJA365" s="631"/>
      <c r="KJB365" s="632"/>
      <c r="KJO365" s="637"/>
      <c r="KJQ365" s="631"/>
      <c r="KJR365" s="632"/>
      <c r="KKE365" s="637"/>
      <c r="KKG365" s="631"/>
      <c r="KKH365" s="632"/>
      <c r="KKU365" s="637"/>
      <c r="KKW365" s="631"/>
      <c r="KKX365" s="632"/>
      <c r="KLK365" s="637"/>
      <c r="KLM365" s="631"/>
      <c r="KLN365" s="632"/>
      <c r="KMA365" s="637"/>
      <c r="KMC365" s="631"/>
      <c r="KMD365" s="632"/>
      <c r="KMQ365" s="637"/>
      <c r="KMS365" s="631"/>
      <c r="KMT365" s="632"/>
      <c r="KNG365" s="637"/>
      <c r="KNI365" s="631"/>
      <c r="KNJ365" s="632"/>
      <c r="KNW365" s="637"/>
      <c r="KNY365" s="631"/>
      <c r="KNZ365" s="632"/>
      <c r="KOM365" s="637"/>
      <c r="KOO365" s="631"/>
      <c r="KOP365" s="632"/>
      <c r="KPC365" s="637"/>
      <c r="KPE365" s="631"/>
      <c r="KPF365" s="632"/>
      <c r="KPS365" s="637"/>
      <c r="KPU365" s="631"/>
      <c r="KPV365" s="632"/>
      <c r="KQI365" s="637"/>
      <c r="KQK365" s="631"/>
      <c r="KQL365" s="632"/>
      <c r="KQY365" s="637"/>
      <c r="KRA365" s="631"/>
      <c r="KRB365" s="632"/>
      <c r="KRO365" s="637"/>
      <c r="KRQ365" s="631"/>
      <c r="KRR365" s="632"/>
      <c r="KSE365" s="637"/>
      <c r="KSG365" s="631"/>
      <c r="KSH365" s="632"/>
      <c r="KSU365" s="637"/>
      <c r="KSW365" s="631"/>
      <c r="KSX365" s="632"/>
      <c r="KTK365" s="637"/>
      <c r="KTM365" s="631"/>
      <c r="KTN365" s="632"/>
      <c r="KUA365" s="637"/>
      <c r="KUC365" s="631"/>
      <c r="KUD365" s="632"/>
      <c r="KUQ365" s="637"/>
      <c r="KUS365" s="631"/>
      <c r="KUT365" s="632"/>
      <c r="KVG365" s="637"/>
      <c r="KVI365" s="631"/>
      <c r="KVJ365" s="632"/>
      <c r="KVW365" s="637"/>
      <c r="KVY365" s="631"/>
      <c r="KVZ365" s="632"/>
      <c r="KWM365" s="637"/>
      <c r="KWO365" s="631"/>
      <c r="KWP365" s="632"/>
      <c r="KXC365" s="637"/>
      <c r="KXE365" s="631"/>
      <c r="KXF365" s="632"/>
      <c r="KXS365" s="637"/>
      <c r="KXU365" s="631"/>
      <c r="KXV365" s="632"/>
      <c r="KYI365" s="637"/>
      <c r="KYK365" s="631"/>
      <c r="KYL365" s="632"/>
      <c r="KYY365" s="637"/>
      <c r="KZA365" s="631"/>
      <c r="KZB365" s="632"/>
      <c r="KZO365" s="637"/>
      <c r="KZQ365" s="631"/>
      <c r="KZR365" s="632"/>
      <c r="LAE365" s="637"/>
      <c r="LAG365" s="631"/>
      <c r="LAH365" s="632"/>
      <c r="LAU365" s="637"/>
      <c r="LAW365" s="631"/>
      <c r="LAX365" s="632"/>
      <c r="LBK365" s="637"/>
      <c r="LBM365" s="631"/>
      <c r="LBN365" s="632"/>
      <c r="LCA365" s="637"/>
      <c r="LCC365" s="631"/>
      <c r="LCD365" s="632"/>
      <c r="LCQ365" s="637"/>
      <c r="LCS365" s="631"/>
      <c r="LCT365" s="632"/>
      <c r="LDG365" s="637"/>
      <c r="LDI365" s="631"/>
      <c r="LDJ365" s="632"/>
      <c r="LDW365" s="637"/>
      <c r="LDY365" s="631"/>
      <c r="LDZ365" s="632"/>
      <c r="LEM365" s="637"/>
      <c r="LEO365" s="631"/>
      <c r="LEP365" s="632"/>
      <c r="LFC365" s="637"/>
      <c r="LFE365" s="631"/>
      <c r="LFF365" s="632"/>
      <c r="LFS365" s="637"/>
      <c r="LFU365" s="631"/>
      <c r="LFV365" s="632"/>
      <c r="LGI365" s="637"/>
      <c r="LGK365" s="631"/>
      <c r="LGL365" s="632"/>
      <c r="LGY365" s="637"/>
      <c r="LHA365" s="631"/>
      <c r="LHB365" s="632"/>
      <c r="LHO365" s="637"/>
      <c r="LHQ365" s="631"/>
      <c r="LHR365" s="632"/>
      <c r="LIE365" s="637"/>
      <c r="LIG365" s="631"/>
      <c r="LIH365" s="632"/>
      <c r="LIU365" s="637"/>
      <c r="LIW365" s="631"/>
      <c r="LIX365" s="632"/>
      <c r="LJK365" s="637"/>
      <c r="LJM365" s="631"/>
      <c r="LJN365" s="632"/>
      <c r="LKA365" s="637"/>
      <c r="LKC365" s="631"/>
      <c r="LKD365" s="632"/>
      <c r="LKQ365" s="637"/>
      <c r="LKS365" s="631"/>
      <c r="LKT365" s="632"/>
      <c r="LLG365" s="637"/>
      <c r="LLI365" s="631"/>
      <c r="LLJ365" s="632"/>
      <c r="LLW365" s="637"/>
      <c r="LLY365" s="631"/>
      <c r="LLZ365" s="632"/>
      <c r="LMM365" s="637"/>
      <c r="LMO365" s="631"/>
      <c r="LMP365" s="632"/>
      <c r="LNC365" s="637"/>
      <c r="LNE365" s="631"/>
      <c r="LNF365" s="632"/>
      <c r="LNS365" s="637"/>
      <c r="LNU365" s="631"/>
      <c r="LNV365" s="632"/>
      <c r="LOI365" s="637"/>
      <c r="LOK365" s="631"/>
      <c r="LOL365" s="632"/>
      <c r="LOY365" s="637"/>
      <c r="LPA365" s="631"/>
      <c r="LPB365" s="632"/>
      <c r="LPO365" s="637"/>
      <c r="LPQ365" s="631"/>
      <c r="LPR365" s="632"/>
      <c r="LQE365" s="637"/>
      <c r="LQG365" s="631"/>
      <c r="LQH365" s="632"/>
      <c r="LQU365" s="637"/>
      <c r="LQW365" s="631"/>
      <c r="LQX365" s="632"/>
      <c r="LRK365" s="637"/>
      <c r="LRM365" s="631"/>
      <c r="LRN365" s="632"/>
      <c r="LSA365" s="637"/>
      <c r="LSC365" s="631"/>
      <c r="LSD365" s="632"/>
      <c r="LSQ365" s="637"/>
      <c r="LSS365" s="631"/>
      <c r="LST365" s="632"/>
      <c r="LTG365" s="637"/>
      <c r="LTI365" s="631"/>
      <c r="LTJ365" s="632"/>
      <c r="LTW365" s="637"/>
      <c r="LTY365" s="631"/>
      <c r="LTZ365" s="632"/>
      <c r="LUM365" s="637"/>
      <c r="LUO365" s="631"/>
      <c r="LUP365" s="632"/>
      <c r="LVC365" s="637"/>
      <c r="LVE365" s="631"/>
      <c r="LVF365" s="632"/>
      <c r="LVS365" s="637"/>
      <c r="LVU365" s="631"/>
      <c r="LVV365" s="632"/>
      <c r="LWI365" s="637"/>
      <c r="LWK365" s="631"/>
      <c r="LWL365" s="632"/>
      <c r="LWY365" s="637"/>
      <c r="LXA365" s="631"/>
      <c r="LXB365" s="632"/>
      <c r="LXO365" s="637"/>
      <c r="LXQ365" s="631"/>
      <c r="LXR365" s="632"/>
      <c r="LYE365" s="637"/>
      <c r="LYG365" s="631"/>
      <c r="LYH365" s="632"/>
      <c r="LYU365" s="637"/>
      <c r="LYW365" s="631"/>
      <c r="LYX365" s="632"/>
      <c r="LZK365" s="637"/>
      <c r="LZM365" s="631"/>
      <c r="LZN365" s="632"/>
      <c r="MAA365" s="637"/>
      <c r="MAC365" s="631"/>
      <c r="MAD365" s="632"/>
      <c r="MAQ365" s="637"/>
      <c r="MAS365" s="631"/>
      <c r="MAT365" s="632"/>
      <c r="MBG365" s="637"/>
      <c r="MBI365" s="631"/>
      <c r="MBJ365" s="632"/>
      <c r="MBW365" s="637"/>
      <c r="MBY365" s="631"/>
      <c r="MBZ365" s="632"/>
      <c r="MCM365" s="637"/>
      <c r="MCO365" s="631"/>
      <c r="MCP365" s="632"/>
      <c r="MDC365" s="637"/>
      <c r="MDE365" s="631"/>
      <c r="MDF365" s="632"/>
      <c r="MDS365" s="637"/>
      <c r="MDU365" s="631"/>
      <c r="MDV365" s="632"/>
      <c r="MEI365" s="637"/>
      <c r="MEK365" s="631"/>
      <c r="MEL365" s="632"/>
      <c r="MEY365" s="637"/>
      <c r="MFA365" s="631"/>
      <c r="MFB365" s="632"/>
      <c r="MFO365" s="637"/>
      <c r="MFQ365" s="631"/>
      <c r="MFR365" s="632"/>
      <c r="MGE365" s="637"/>
      <c r="MGG365" s="631"/>
      <c r="MGH365" s="632"/>
      <c r="MGU365" s="637"/>
      <c r="MGW365" s="631"/>
      <c r="MGX365" s="632"/>
      <c r="MHK365" s="637"/>
      <c r="MHM365" s="631"/>
      <c r="MHN365" s="632"/>
      <c r="MIA365" s="637"/>
      <c r="MIC365" s="631"/>
      <c r="MID365" s="632"/>
      <c r="MIQ365" s="637"/>
      <c r="MIS365" s="631"/>
      <c r="MIT365" s="632"/>
      <c r="MJG365" s="637"/>
      <c r="MJI365" s="631"/>
      <c r="MJJ365" s="632"/>
      <c r="MJW365" s="637"/>
      <c r="MJY365" s="631"/>
      <c r="MJZ365" s="632"/>
      <c r="MKM365" s="637"/>
      <c r="MKO365" s="631"/>
      <c r="MKP365" s="632"/>
      <c r="MLC365" s="637"/>
      <c r="MLE365" s="631"/>
      <c r="MLF365" s="632"/>
      <c r="MLS365" s="637"/>
      <c r="MLU365" s="631"/>
      <c r="MLV365" s="632"/>
      <c r="MMI365" s="637"/>
      <c r="MMK365" s="631"/>
      <c r="MML365" s="632"/>
      <c r="MMY365" s="637"/>
      <c r="MNA365" s="631"/>
      <c r="MNB365" s="632"/>
      <c r="MNO365" s="637"/>
      <c r="MNQ365" s="631"/>
      <c r="MNR365" s="632"/>
      <c r="MOE365" s="637"/>
      <c r="MOG365" s="631"/>
      <c r="MOH365" s="632"/>
      <c r="MOU365" s="637"/>
      <c r="MOW365" s="631"/>
      <c r="MOX365" s="632"/>
      <c r="MPK365" s="637"/>
      <c r="MPM365" s="631"/>
      <c r="MPN365" s="632"/>
      <c r="MQA365" s="637"/>
      <c r="MQC365" s="631"/>
      <c r="MQD365" s="632"/>
      <c r="MQQ365" s="637"/>
      <c r="MQS365" s="631"/>
      <c r="MQT365" s="632"/>
      <c r="MRG365" s="637"/>
      <c r="MRI365" s="631"/>
      <c r="MRJ365" s="632"/>
      <c r="MRW365" s="637"/>
      <c r="MRY365" s="631"/>
      <c r="MRZ365" s="632"/>
      <c r="MSM365" s="637"/>
      <c r="MSO365" s="631"/>
      <c r="MSP365" s="632"/>
      <c r="MTC365" s="637"/>
      <c r="MTE365" s="631"/>
      <c r="MTF365" s="632"/>
      <c r="MTS365" s="637"/>
      <c r="MTU365" s="631"/>
      <c r="MTV365" s="632"/>
      <c r="MUI365" s="637"/>
      <c r="MUK365" s="631"/>
      <c r="MUL365" s="632"/>
      <c r="MUY365" s="637"/>
      <c r="MVA365" s="631"/>
      <c r="MVB365" s="632"/>
      <c r="MVO365" s="637"/>
      <c r="MVQ365" s="631"/>
      <c r="MVR365" s="632"/>
      <c r="MWE365" s="637"/>
      <c r="MWG365" s="631"/>
      <c r="MWH365" s="632"/>
      <c r="MWU365" s="637"/>
      <c r="MWW365" s="631"/>
      <c r="MWX365" s="632"/>
      <c r="MXK365" s="637"/>
      <c r="MXM365" s="631"/>
      <c r="MXN365" s="632"/>
      <c r="MYA365" s="637"/>
      <c r="MYC365" s="631"/>
      <c r="MYD365" s="632"/>
      <c r="MYQ365" s="637"/>
      <c r="MYS365" s="631"/>
      <c r="MYT365" s="632"/>
      <c r="MZG365" s="637"/>
      <c r="MZI365" s="631"/>
      <c r="MZJ365" s="632"/>
      <c r="MZW365" s="637"/>
      <c r="MZY365" s="631"/>
      <c r="MZZ365" s="632"/>
      <c r="NAM365" s="637"/>
      <c r="NAO365" s="631"/>
      <c r="NAP365" s="632"/>
      <c r="NBC365" s="637"/>
      <c r="NBE365" s="631"/>
      <c r="NBF365" s="632"/>
      <c r="NBS365" s="637"/>
      <c r="NBU365" s="631"/>
      <c r="NBV365" s="632"/>
      <c r="NCI365" s="637"/>
      <c r="NCK365" s="631"/>
      <c r="NCL365" s="632"/>
      <c r="NCY365" s="637"/>
      <c r="NDA365" s="631"/>
      <c r="NDB365" s="632"/>
      <c r="NDO365" s="637"/>
      <c r="NDQ365" s="631"/>
      <c r="NDR365" s="632"/>
      <c r="NEE365" s="637"/>
      <c r="NEG365" s="631"/>
      <c r="NEH365" s="632"/>
      <c r="NEU365" s="637"/>
      <c r="NEW365" s="631"/>
      <c r="NEX365" s="632"/>
      <c r="NFK365" s="637"/>
      <c r="NFM365" s="631"/>
      <c r="NFN365" s="632"/>
      <c r="NGA365" s="637"/>
      <c r="NGC365" s="631"/>
      <c r="NGD365" s="632"/>
      <c r="NGQ365" s="637"/>
      <c r="NGS365" s="631"/>
      <c r="NGT365" s="632"/>
      <c r="NHG365" s="637"/>
      <c r="NHI365" s="631"/>
      <c r="NHJ365" s="632"/>
      <c r="NHW365" s="637"/>
      <c r="NHY365" s="631"/>
      <c r="NHZ365" s="632"/>
      <c r="NIM365" s="637"/>
      <c r="NIO365" s="631"/>
      <c r="NIP365" s="632"/>
      <c r="NJC365" s="637"/>
      <c r="NJE365" s="631"/>
      <c r="NJF365" s="632"/>
      <c r="NJS365" s="637"/>
      <c r="NJU365" s="631"/>
      <c r="NJV365" s="632"/>
      <c r="NKI365" s="637"/>
      <c r="NKK365" s="631"/>
      <c r="NKL365" s="632"/>
      <c r="NKY365" s="637"/>
      <c r="NLA365" s="631"/>
      <c r="NLB365" s="632"/>
      <c r="NLO365" s="637"/>
      <c r="NLQ365" s="631"/>
      <c r="NLR365" s="632"/>
      <c r="NME365" s="637"/>
      <c r="NMG365" s="631"/>
      <c r="NMH365" s="632"/>
      <c r="NMU365" s="637"/>
      <c r="NMW365" s="631"/>
      <c r="NMX365" s="632"/>
      <c r="NNK365" s="637"/>
      <c r="NNM365" s="631"/>
      <c r="NNN365" s="632"/>
      <c r="NOA365" s="637"/>
      <c r="NOC365" s="631"/>
      <c r="NOD365" s="632"/>
      <c r="NOQ365" s="637"/>
      <c r="NOS365" s="631"/>
      <c r="NOT365" s="632"/>
      <c r="NPG365" s="637"/>
      <c r="NPI365" s="631"/>
      <c r="NPJ365" s="632"/>
      <c r="NPW365" s="637"/>
      <c r="NPY365" s="631"/>
      <c r="NPZ365" s="632"/>
      <c r="NQM365" s="637"/>
      <c r="NQO365" s="631"/>
      <c r="NQP365" s="632"/>
      <c r="NRC365" s="637"/>
      <c r="NRE365" s="631"/>
      <c r="NRF365" s="632"/>
      <c r="NRS365" s="637"/>
      <c r="NRU365" s="631"/>
      <c r="NRV365" s="632"/>
      <c r="NSI365" s="637"/>
      <c r="NSK365" s="631"/>
      <c r="NSL365" s="632"/>
      <c r="NSY365" s="637"/>
      <c r="NTA365" s="631"/>
      <c r="NTB365" s="632"/>
      <c r="NTO365" s="637"/>
      <c r="NTQ365" s="631"/>
      <c r="NTR365" s="632"/>
      <c r="NUE365" s="637"/>
      <c r="NUG365" s="631"/>
      <c r="NUH365" s="632"/>
      <c r="NUU365" s="637"/>
      <c r="NUW365" s="631"/>
      <c r="NUX365" s="632"/>
      <c r="NVK365" s="637"/>
      <c r="NVM365" s="631"/>
      <c r="NVN365" s="632"/>
      <c r="NWA365" s="637"/>
      <c r="NWC365" s="631"/>
      <c r="NWD365" s="632"/>
      <c r="NWQ365" s="637"/>
      <c r="NWS365" s="631"/>
      <c r="NWT365" s="632"/>
      <c r="NXG365" s="637"/>
      <c r="NXI365" s="631"/>
      <c r="NXJ365" s="632"/>
      <c r="NXW365" s="637"/>
      <c r="NXY365" s="631"/>
      <c r="NXZ365" s="632"/>
      <c r="NYM365" s="637"/>
      <c r="NYO365" s="631"/>
      <c r="NYP365" s="632"/>
      <c r="NZC365" s="637"/>
      <c r="NZE365" s="631"/>
      <c r="NZF365" s="632"/>
      <c r="NZS365" s="637"/>
      <c r="NZU365" s="631"/>
      <c r="NZV365" s="632"/>
      <c r="OAI365" s="637"/>
      <c r="OAK365" s="631"/>
      <c r="OAL365" s="632"/>
      <c r="OAY365" s="637"/>
      <c r="OBA365" s="631"/>
      <c r="OBB365" s="632"/>
      <c r="OBO365" s="637"/>
      <c r="OBQ365" s="631"/>
      <c r="OBR365" s="632"/>
      <c r="OCE365" s="637"/>
      <c r="OCG365" s="631"/>
      <c r="OCH365" s="632"/>
      <c r="OCU365" s="637"/>
      <c r="OCW365" s="631"/>
      <c r="OCX365" s="632"/>
      <c r="ODK365" s="637"/>
      <c r="ODM365" s="631"/>
      <c r="ODN365" s="632"/>
      <c r="OEA365" s="637"/>
      <c r="OEC365" s="631"/>
      <c r="OED365" s="632"/>
      <c r="OEQ365" s="637"/>
      <c r="OES365" s="631"/>
      <c r="OET365" s="632"/>
      <c r="OFG365" s="637"/>
      <c r="OFI365" s="631"/>
      <c r="OFJ365" s="632"/>
      <c r="OFW365" s="637"/>
      <c r="OFY365" s="631"/>
      <c r="OFZ365" s="632"/>
      <c r="OGM365" s="637"/>
      <c r="OGO365" s="631"/>
      <c r="OGP365" s="632"/>
      <c r="OHC365" s="637"/>
      <c r="OHE365" s="631"/>
      <c r="OHF365" s="632"/>
      <c r="OHS365" s="637"/>
      <c r="OHU365" s="631"/>
      <c r="OHV365" s="632"/>
      <c r="OII365" s="637"/>
      <c r="OIK365" s="631"/>
      <c r="OIL365" s="632"/>
      <c r="OIY365" s="637"/>
      <c r="OJA365" s="631"/>
      <c r="OJB365" s="632"/>
      <c r="OJO365" s="637"/>
      <c r="OJQ365" s="631"/>
      <c r="OJR365" s="632"/>
      <c r="OKE365" s="637"/>
      <c r="OKG365" s="631"/>
      <c r="OKH365" s="632"/>
      <c r="OKU365" s="637"/>
      <c r="OKW365" s="631"/>
      <c r="OKX365" s="632"/>
      <c r="OLK365" s="637"/>
      <c r="OLM365" s="631"/>
      <c r="OLN365" s="632"/>
      <c r="OMA365" s="637"/>
      <c r="OMC365" s="631"/>
      <c r="OMD365" s="632"/>
      <c r="OMQ365" s="637"/>
      <c r="OMS365" s="631"/>
      <c r="OMT365" s="632"/>
      <c r="ONG365" s="637"/>
      <c r="ONI365" s="631"/>
      <c r="ONJ365" s="632"/>
      <c r="ONW365" s="637"/>
      <c r="ONY365" s="631"/>
      <c r="ONZ365" s="632"/>
      <c r="OOM365" s="637"/>
      <c r="OOO365" s="631"/>
      <c r="OOP365" s="632"/>
      <c r="OPC365" s="637"/>
      <c r="OPE365" s="631"/>
      <c r="OPF365" s="632"/>
      <c r="OPS365" s="637"/>
      <c r="OPU365" s="631"/>
      <c r="OPV365" s="632"/>
      <c r="OQI365" s="637"/>
      <c r="OQK365" s="631"/>
      <c r="OQL365" s="632"/>
      <c r="OQY365" s="637"/>
      <c r="ORA365" s="631"/>
      <c r="ORB365" s="632"/>
      <c r="ORO365" s="637"/>
      <c r="ORQ365" s="631"/>
      <c r="ORR365" s="632"/>
      <c r="OSE365" s="637"/>
      <c r="OSG365" s="631"/>
      <c r="OSH365" s="632"/>
      <c r="OSU365" s="637"/>
      <c r="OSW365" s="631"/>
      <c r="OSX365" s="632"/>
      <c r="OTK365" s="637"/>
      <c r="OTM365" s="631"/>
      <c r="OTN365" s="632"/>
      <c r="OUA365" s="637"/>
      <c r="OUC365" s="631"/>
      <c r="OUD365" s="632"/>
      <c r="OUQ365" s="637"/>
      <c r="OUS365" s="631"/>
      <c r="OUT365" s="632"/>
      <c r="OVG365" s="637"/>
      <c r="OVI365" s="631"/>
      <c r="OVJ365" s="632"/>
      <c r="OVW365" s="637"/>
      <c r="OVY365" s="631"/>
      <c r="OVZ365" s="632"/>
      <c r="OWM365" s="637"/>
      <c r="OWO365" s="631"/>
      <c r="OWP365" s="632"/>
      <c r="OXC365" s="637"/>
      <c r="OXE365" s="631"/>
      <c r="OXF365" s="632"/>
      <c r="OXS365" s="637"/>
      <c r="OXU365" s="631"/>
      <c r="OXV365" s="632"/>
      <c r="OYI365" s="637"/>
      <c r="OYK365" s="631"/>
      <c r="OYL365" s="632"/>
      <c r="OYY365" s="637"/>
      <c r="OZA365" s="631"/>
      <c r="OZB365" s="632"/>
      <c r="OZO365" s="637"/>
      <c r="OZQ365" s="631"/>
      <c r="OZR365" s="632"/>
      <c r="PAE365" s="637"/>
      <c r="PAG365" s="631"/>
      <c r="PAH365" s="632"/>
      <c r="PAU365" s="637"/>
      <c r="PAW365" s="631"/>
      <c r="PAX365" s="632"/>
      <c r="PBK365" s="637"/>
      <c r="PBM365" s="631"/>
      <c r="PBN365" s="632"/>
      <c r="PCA365" s="637"/>
      <c r="PCC365" s="631"/>
      <c r="PCD365" s="632"/>
      <c r="PCQ365" s="637"/>
      <c r="PCS365" s="631"/>
      <c r="PCT365" s="632"/>
      <c r="PDG365" s="637"/>
      <c r="PDI365" s="631"/>
      <c r="PDJ365" s="632"/>
      <c r="PDW365" s="637"/>
      <c r="PDY365" s="631"/>
      <c r="PDZ365" s="632"/>
      <c r="PEM365" s="637"/>
      <c r="PEO365" s="631"/>
      <c r="PEP365" s="632"/>
      <c r="PFC365" s="637"/>
      <c r="PFE365" s="631"/>
      <c r="PFF365" s="632"/>
      <c r="PFS365" s="637"/>
      <c r="PFU365" s="631"/>
      <c r="PFV365" s="632"/>
      <c r="PGI365" s="637"/>
      <c r="PGK365" s="631"/>
      <c r="PGL365" s="632"/>
      <c r="PGY365" s="637"/>
      <c r="PHA365" s="631"/>
      <c r="PHB365" s="632"/>
      <c r="PHO365" s="637"/>
      <c r="PHQ365" s="631"/>
      <c r="PHR365" s="632"/>
      <c r="PIE365" s="637"/>
      <c r="PIG365" s="631"/>
      <c r="PIH365" s="632"/>
      <c r="PIU365" s="637"/>
      <c r="PIW365" s="631"/>
      <c r="PIX365" s="632"/>
      <c r="PJK365" s="637"/>
      <c r="PJM365" s="631"/>
      <c r="PJN365" s="632"/>
      <c r="PKA365" s="637"/>
      <c r="PKC365" s="631"/>
      <c r="PKD365" s="632"/>
      <c r="PKQ365" s="637"/>
      <c r="PKS365" s="631"/>
      <c r="PKT365" s="632"/>
      <c r="PLG365" s="637"/>
      <c r="PLI365" s="631"/>
      <c r="PLJ365" s="632"/>
      <c r="PLW365" s="637"/>
      <c r="PLY365" s="631"/>
      <c r="PLZ365" s="632"/>
      <c r="PMM365" s="637"/>
      <c r="PMO365" s="631"/>
      <c r="PMP365" s="632"/>
      <c r="PNC365" s="637"/>
      <c r="PNE365" s="631"/>
      <c r="PNF365" s="632"/>
      <c r="PNS365" s="637"/>
      <c r="PNU365" s="631"/>
      <c r="PNV365" s="632"/>
      <c r="POI365" s="637"/>
      <c r="POK365" s="631"/>
      <c r="POL365" s="632"/>
      <c r="POY365" s="637"/>
      <c r="PPA365" s="631"/>
      <c r="PPB365" s="632"/>
      <c r="PPO365" s="637"/>
      <c r="PPQ365" s="631"/>
      <c r="PPR365" s="632"/>
      <c r="PQE365" s="637"/>
      <c r="PQG365" s="631"/>
      <c r="PQH365" s="632"/>
      <c r="PQU365" s="637"/>
      <c r="PQW365" s="631"/>
      <c r="PQX365" s="632"/>
      <c r="PRK365" s="637"/>
      <c r="PRM365" s="631"/>
      <c r="PRN365" s="632"/>
      <c r="PSA365" s="637"/>
      <c r="PSC365" s="631"/>
      <c r="PSD365" s="632"/>
      <c r="PSQ365" s="637"/>
      <c r="PSS365" s="631"/>
      <c r="PST365" s="632"/>
      <c r="PTG365" s="637"/>
      <c r="PTI365" s="631"/>
      <c r="PTJ365" s="632"/>
      <c r="PTW365" s="637"/>
      <c r="PTY365" s="631"/>
      <c r="PTZ365" s="632"/>
      <c r="PUM365" s="637"/>
      <c r="PUO365" s="631"/>
      <c r="PUP365" s="632"/>
      <c r="PVC365" s="637"/>
      <c r="PVE365" s="631"/>
      <c r="PVF365" s="632"/>
      <c r="PVS365" s="637"/>
      <c r="PVU365" s="631"/>
      <c r="PVV365" s="632"/>
      <c r="PWI365" s="637"/>
      <c r="PWK365" s="631"/>
      <c r="PWL365" s="632"/>
      <c r="PWY365" s="637"/>
      <c r="PXA365" s="631"/>
      <c r="PXB365" s="632"/>
      <c r="PXO365" s="637"/>
      <c r="PXQ365" s="631"/>
      <c r="PXR365" s="632"/>
      <c r="PYE365" s="637"/>
      <c r="PYG365" s="631"/>
      <c r="PYH365" s="632"/>
      <c r="PYU365" s="637"/>
      <c r="PYW365" s="631"/>
      <c r="PYX365" s="632"/>
      <c r="PZK365" s="637"/>
      <c r="PZM365" s="631"/>
      <c r="PZN365" s="632"/>
      <c r="QAA365" s="637"/>
      <c r="QAC365" s="631"/>
      <c r="QAD365" s="632"/>
      <c r="QAQ365" s="637"/>
      <c r="QAS365" s="631"/>
      <c r="QAT365" s="632"/>
      <c r="QBG365" s="637"/>
      <c r="QBI365" s="631"/>
      <c r="QBJ365" s="632"/>
      <c r="QBW365" s="637"/>
      <c r="QBY365" s="631"/>
      <c r="QBZ365" s="632"/>
      <c r="QCM365" s="637"/>
      <c r="QCO365" s="631"/>
      <c r="QCP365" s="632"/>
      <c r="QDC365" s="637"/>
      <c r="QDE365" s="631"/>
      <c r="QDF365" s="632"/>
      <c r="QDS365" s="637"/>
      <c r="QDU365" s="631"/>
      <c r="QDV365" s="632"/>
      <c r="QEI365" s="637"/>
      <c r="QEK365" s="631"/>
      <c r="QEL365" s="632"/>
      <c r="QEY365" s="637"/>
      <c r="QFA365" s="631"/>
      <c r="QFB365" s="632"/>
      <c r="QFO365" s="637"/>
      <c r="QFQ365" s="631"/>
      <c r="QFR365" s="632"/>
      <c r="QGE365" s="637"/>
      <c r="QGG365" s="631"/>
      <c r="QGH365" s="632"/>
      <c r="QGU365" s="637"/>
      <c r="QGW365" s="631"/>
      <c r="QGX365" s="632"/>
      <c r="QHK365" s="637"/>
      <c r="QHM365" s="631"/>
      <c r="QHN365" s="632"/>
      <c r="QIA365" s="637"/>
      <c r="QIC365" s="631"/>
      <c r="QID365" s="632"/>
      <c r="QIQ365" s="637"/>
      <c r="QIS365" s="631"/>
      <c r="QIT365" s="632"/>
      <c r="QJG365" s="637"/>
      <c r="QJI365" s="631"/>
      <c r="QJJ365" s="632"/>
      <c r="QJW365" s="637"/>
      <c r="QJY365" s="631"/>
      <c r="QJZ365" s="632"/>
      <c r="QKM365" s="637"/>
      <c r="QKO365" s="631"/>
      <c r="QKP365" s="632"/>
      <c r="QLC365" s="637"/>
      <c r="QLE365" s="631"/>
      <c r="QLF365" s="632"/>
      <c r="QLS365" s="637"/>
      <c r="QLU365" s="631"/>
      <c r="QLV365" s="632"/>
      <c r="QMI365" s="637"/>
      <c r="QMK365" s="631"/>
      <c r="QML365" s="632"/>
      <c r="QMY365" s="637"/>
      <c r="QNA365" s="631"/>
      <c r="QNB365" s="632"/>
      <c r="QNO365" s="637"/>
      <c r="QNQ365" s="631"/>
      <c r="QNR365" s="632"/>
      <c r="QOE365" s="637"/>
      <c r="QOG365" s="631"/>
      <c r="QOH365" s="632"/>
      <c r="QOU365" s="637"/>
      <c r="QOW365" s="631"/>
      <c r="QOX365" s="632"/>
      <c r="QPK365" s="637"/>
      <c r="QPM365" s="631"/>
      <c r="QPN365" s="632"/>
      <c r="QQA365" s="637"/>
      <c r="QQC365" s="631"/>
      <c r="QQD365" s="632"/>
      <c r="QQQ365" s="637"/>
      <c r="QQS365" s="631"/>
      <c r="QQT365" s="632"/>
      <c r="QRG365" s="637"/>
      <c r="QRI365" s="631"/>
      <c r="QRJ365" s="632"/>
      <c r="QRW365" s="637"/>
      <c r="QRY365" s="631"/>
      <c r="QRZ365" s="632"/>
      <c r="QSM365" s="637"/>
      <c r="QSO365" s="631"/>
      <c r="QSP365" s="632"/>
      <c r="QTC365" s="637"/>
      <c r="QTE365" s="631"/>
      <c r="QTF365" s="632"/>
      <c r="QTS365" s="637"/>
      <c r="QTU365" s="631"/>
      <c r="QTV365" s="632"/>
      <c r="QUI365" s="637"/>
      <c r="QUK365" s="631"/>
      <c r="QUL365" s="632"/>
      <c r="QUY365" s="637"/>
      <c r="QVA365" s="631"/>
      <c r="QVB365" s="632"/>
      <c r="QVO365" s="637"/>
      <c r="QVQ365" s="631"/>
      <c r="QVR365" s="632"/>
      <c r="QWE365" s="637"/>
      <c r="QWG365" s="631"/>
      <c r="QWH365" s="632"/>
      <c r="QWU365" s="637"/>
      <c r="QWW365" s="631"/>
      <c r="QWX365" s="632"/>
      <c r="QXK365" s="637"/>
      <c r="QXM365" s="631"/>
      <c r="QXN365" s="632"/>
      <c r="QYA365" s="637"/>
      <c r="QYC365" s="631"/>
      <c r="QYD365" s="632"/>
      <c r="QYQ365" s="637"/>
      <c r="QYS365" s="631"/>
      <c r="QYT365" s="632"/>
      <c r="QZG365" s="637"/>
      <c r="QZI365" s="631"/>
      <c r="QZJ365" s="632"/>
      <c r="QZW365" s="637"/>
      <c r="QZY365" s="631"/>
      <c r="QZZ365" s="632"/>
      <c r="RAM365" s="637"/>
      <c r="RAO365" s="631"/>
      <c r="RAP365" s="632"/>
      <c r="RBC365" s="637"/>
      <c r="RBE365" s="631"/>
      <c r="RBF365" s="632"/>
      <c r="RBS365" s="637"/>
      <c r="RBU365" s="631"/>
      <c r="RBV365" s="632"/>
      <c r="RCI365" s="637"/>
      <c r="RCK365" s="631"/>
      <c r="RCL365" s="632"/>
      <c r="RCY365" s="637"/>
      <c r="RDA365" s="631"/>
      <c r="RDB365" s="632"/>
      <c r="RDO365" s="637"/>
      <c r="RDQ365" s="631"/>
      <c r="RDR365" s="632"/>
      <c r="REE365" s="637"/>
      <c r="REG365" s="631"/>
      <c r="REH365" s="632"/>
      <c r="REU365" s="637"/>
      <c r="REW365" s="631"/>
      <c r="REX365" s="632"/>
      <c r="RFK365" s="637"/>
      <c r="RFM365" s="631"/>
      <c r="RFN365" s="632"/>
      <c r="RGA365" s="637"/>
      <c r="RGC365" s="631"/>
      <c r="RGD365" s="632"/>
      <c r="RGQ365" s="637"/>
      <c r="RGS365" s="631"/>
      <c r="RGT365" s="632"/>
      <c r="RHG365" s="637"/>
      <c r="RHI365" s="631"/>
      <c r="RHJ365" s="632"/>
      <c r="RHW365" s="637"/>
      <c r="RHY365" s="631"/>
      <c r="RHZ365" s="632"/>
      <c r="RIM365" s="637"/>
      <c r="RIO365" s="631"/>
      <c r="RIP365" s="632"/>
      <c r="RJC365" s="637"/>
      <c r="RJE365" s="631"/>
      <c r="RJF365" s="632"/>
      <c r="RJS365" s="637"/>
      <c r="RJU365" s="631"/>
      <c r="RJV365" s="632"/>
      <c r="RKI365" s="637"/>
      <c r="RKK365" s="631"/>
      <c r="RKL365" s="632"/>
      <c r="RKY365" s="637"/>
      <c r="RLA365" s="631"/>
      <c r="RLB365" s="632"/>
      <c r="RLO365" s="637"/>
      <c r="RLQ365" s="631"/>
      <c r="RLR365" s="632"/>
      <c r="RME365" s="637"/>
      <c r="RMG365" s="631"/>
      <c r="RMH365" s="632"/>
      <c r="RMU365" s="637"/>
      <c r="RMW365" s="631"/>
      <c r="RMX365" s="632"/>
      <c r="RNK365" s="637"/>
      <c r="RNM365" s="631"/>
      <c r="RNN365" s="632"/>
      <c r="ROA365" s="637"/>
      <c r="ROC365" s="631"/>
      <c r="ROD365" s="632"/>
      <c r="ROQ365" s="637"/>
      <c r="ROS365" s="631"/>
      <c r="ROT365" s="632"/>
      <c r="RPG365" s="637"/>
      <c r="RPI365" s="631"/>
      <c r="RPJ365" s="632"/>
      <c r="RPW365" s="637"/>
      <c r="RPY365" s="631"/>
      <c r="RPZ365" s="632"/>
      <c r="RQM365" s="637"/>
      <c r="RQO365" s="631"/>
      <c r="RQP365" s="632"/>
      <c r="RRC365" s="637"/>
      <c r="RRE365" s="631"/>
      <c r="RRF365" s="632"/>
      <c r="RRS365" s="637"/>
      <c r="RRU365" s="631"/>
      <c r="RRV365" s="632"/>
      <c r="RSI365" s="637"/>
      <c r="RSK365" s="631"/>
      <c r="RSL365" s="632"/>
      <c r="RSY365" s="637"/>
      <c r="RTA365" s="631"/>
      <c r="RTB365" s="632"/>
      <c r="RTO365" s="637"/>
      <c r="RTQ365" s="631"/>
      <c r="RTR365" s="632"/>
      <c r="RUE365" s="637"/>
      <c r="RUG365" s="631"/>
      <c r="RUH365" s="632"/>
      <c r="RUU365" s="637"/>
      <c r="RUW365" s="631"/>
      <c r="RUX365" s="632"/>
      <c r="RVK365" s="637"/>
      <c r="RVM365" s="631"/>
      <c r="RVN365" s="632"/>
      <c r="RWA365" s="637"/>
      <c r="RWC365" s="631"/>
      <c r="RWD365" s="632"/>
      <c r="RWQ365" s="637"/>
      <c r="RWS365" s="631"/>
      <c r="RWT365" s="632"/>
      <c r="RXG365" s="637"/>
      <c r="RXI365" s="631"/>
      <c r="RXJ365" s="632"/>
      <c r="RXW365" s="637"/>
      <c r="RXY365" s="631"/>
      <c r="RXZ365" s="632"/>
      <c r="RYM365" s="637"/>
      <c r="RYO365" s="631"/>
      <c r="RYP365" s="632"/>
      <c r="RZC365" s="637"/>
      <c r="RZE365" s="631"/>
      <c r="RZF365" s="632"/>
      <c r="RZS365" s="637"/>
      <c r="RZU365" s="631"/>
      <c r="RZV365" s="632"/>
      <c r="SAI365" s="637"/>
      <c r="SAK365" s="631"/>
      <c r="SAL365" s="632"/>
      <c r="SAY365" s="637"/>
      <c r="SBA365" s="631"/>
      <c r="SBB365" s="632"/>
      <c r="SBO365" s="637"/>
      <c r="SBQ365" s="631"/>
      <c r="SBR365" s="632"/>
      <c r="SCE365" s="637"/>
      <c r="SCG365" s="631"/>
      <c r="SCH365" s="632"/>
      <c r="SCU365" s="637"/>
      <c r="SCW365" s="631"/>
      <c r="SCX365" s="632"/>
      <c r="SDK365" s="637"/>
      <c r="SDM365" s="631"/>
      <c r="SDN365" s="632"/>
      <c r="SEA365" s="637"/>
      <c r="SEC365" s="631"/>
      <c r="SED365" s="632"/>
      <c r="SEQ365" s="637"/>
      <c r="SES365" s="631"/>
      <c r="SET365" s="632"/>
      <c r="SFG365" s="637"/>
      <c r="SFI365" s="631"/>
      <c r="SFJ365" s="632"/>
      <c r="SFW365" s="637"/>
      <c r="SFY365" s="631"/>
      <c r="SFZ365" s="632"/>
      <c r="SGM365" s="637"/>
      <c r="SGO365" s="631"/>
      <c r="SGP365" s="632"/>
      <c r="SHC365" s="637"/>
      <c r="SHE365" s="631"/>
      <c r="SHF365" s="632"/>
      <c r="SHS365" s="637"/>
      <c r="SHU365" s="631"/>
      <c r="SHV365" s="632"/>
      <c r="SII365" s="637"/>
      <c r="SIK365" s="631"/>
      <c r="SIL365" s="632"/>
      <c r="SIY365" s="637"/>
      <c r="SJA365" s="631"/>
      <c r="SJB365" s="632"/>
      <c r="SJO365" s="637"/>
      <c r="SJQ365" s="631"/>
      <c r="SJR365" s="632"/>
      <c r="SKE365" s="637"/>
      <c r="SKG365" s="631"/>
      <c r="SKH365" s="632"/>
      <c r="SKU365" s="637"/>
      <c r="SKW365" s="631"/>
      <c r="SKX365" s="632"/>
      <c r="SLK365" s="637"/>
      <c r="SLM365" s="631"/>
      <c r="SLN365" s="632"/>
      <c r="SMA365" s="637"/>
      <c r="SMC365" s="631"/>
      <c r="SMD365" s="632"/>
      <c r="SMQ365" s="637"/>
      <c r="SMS365" s="631"/>
      <c r="SMT365" s="632"/>
      <c r="SNG365" s="637"/>
      <c r="SNI365" s="631"/>
      <c r="SNJ365" s="632"/>
      <c r="SNW365" s="637"/>
      <c r="SNY365" s="631"/>
      <c r="SNZ365" s="632"/>
      <c r="SOM365" s="637"/>
      <c r="SOO365" s="631"/>
      <c r="SOP365" s="632"/>
      <c r="SPC365" s="637"/>
      <c r="SPE365" s="631"/>
      <c r="SPF365" s="632"/>
      <c r="SPS365" s="637"/>
      <c r="SPU365" s="631"/>
      <c r="SPV365" s="632"/>
      <c r="SQI365" s="637"/>
      <c r="SQK365" s="631"/>
      <c r="SQL365" s="632"/>
      <c r="SQY365" s="637"/>
      <c r="SRA365" s="631"/>
      <c r="SRB365" s="632"/>
      <c r="SRO365" s="637"/>
      <c r="SRQ365" s="631"/>
      <c r="SRR365" s="632"/>
      <c r="SSE365" s="637"/>
      <c r="SSG365" s="631"/>
      <c r="SSH365" s="632"/>
      <c r="SSU365" s="637"/>
      <c r="SSW365" s="631"/>
      <c r="SSX365" s="632"/>
      <c r="STK365" s="637"/>
      <c r="STM365" s="631"/>
      <c r="STN365" s="632"/>
      <c r="SUA365" s="637"/>
    </row>
    <row r="366" spans="1:13392" s="57" customFormat="1" ht="20.25" customHeight="1">
      <c r="A366" s="919" t="s">
        <v>1839</v>
      </c>
      <c r="B366" s="1643" t="s">
        <v>1840</v>
      </c>
      <c r="C366" s="1648">
        <v>603740</v>
      </c>
      <c r="D366" s="1648">
        <v>515055</v>
      </c>
      <c r="E366" s="1648">
        <v>530271</v>
      </c>
      <c r="F366" s="1648">
        <v>212051</v>
      </c>
      <c r="G366" s="1648">
        <v>131147</v>
      </c>
      <c r="H366" s="1648">
        <v>101889</v>
      </c>
      <c r="I366" s="1648">
        <v>453326</v>
      </c>
      <c r="J366" s="1648">
        <v>298813</v>
      </c>
      <c r="K366" s="1648">
        <v>605808</v>
      </c>
      <c r="L366" s="1648">
        <v>847471</v>
      </c>
      <c r="M366" s="1648">
        <v>1070054</v>
      </c>
      <c r="N366" s="1648">
        <v>1003687</v>
      </c>
      <c r="O366" s="635">
        <v>6373312</v>
      </c>
      <c r="P366" s="633">
        <f>SUM(C366:N366)</f>
        <v>6373312</v>
      </c>
      <c r="Q366" s="925" t="s">
        <v>1839</v>
      </c>
      <c r="R366" s="1649" t="s">
        <v>1840</v>
      </c>
      <c r="S366" s="1650">
        <v>603740</v>
      </c>
      <c r="T366" s="1650">
        <v>515055</v>
      </c>
      <c r="U366" s="1650">
        <v>530271</v>
      </c>
      <c r="V366" s="1650">
        <v>212051</v>
      </c>
      <c r="W366" s="1650">
        <v>131147</v>
      </c>
      <c r="X366" s="1650">
        <v>101889</v>
      </c>
      <c r="Y366" s="1650">
        <v>453326</v>
      </c>
      <c r="Z366" s="1650">
        <v>298813</v>
      </c>
      <c r="AA366" s="1650">
        <v>605808</v>
      </c>
      <c r="AB366" s="1650">
        <v>847471</v>
      </c>
      <c r="AC366" s="1650">
        <v>1070054</v>
      </c>
      <c r="AD366" s="1650">
        <v>1003687</v>
      </c>
      <c r="AE366" s="697">
        <v>6373312</v>
      </c>
      <c r="AF366" s="695">
        <f>SUM(S366:AD366)</f>
        <v>6373312</v>
      </c>
      <c r="AG366" s="919" t="s">
        <v>1839</v>
      </c>
      <c r="AH366" s="1643" t="s">
        <v>1840</v>
      </c>
      <c r="AI366" s="1648">
        <v>603740</v>
      </c>
      <c r="AJ366" s="1648">
        <v>515055</v>
      </c>
      <c r="AK366" s="1648">
        <v>530271</v>
      </c>
      <c r="AL366" s="1648">
        <v>212051</v>
      </c>
      <c r="AM366" s="1648">
        <v>131147</v>
      </c>
      <c r="AN366" s="1648">
        <v>101889</v>
      </c>
      <c r="AO366" s="1648">
        <v>453326</v>
      </c>
      <c r="AP366" s="1648">
        <v>298813</v>
      </c>
      <c r="AQ366" s="1648">
        <v>605808</v>
      </c>
      <c r="AR366" s="1648">
        <v>847471</v>
      </c>
      <c r="AS366" s="1648">
        <v>1070054</v>
      </c>
      <c r="AT366" s="1648">
        <v>1003687</v>
      </c>
      <c r="AU366" s="635">
        <v>6373312</v>
      </c>
      <c r="AV366" s="633">
        <f>SUM(AI366:AT366)</f>
        <v>6373312</v>
      </c>
      <c r="AW366" s="919" t="s">
        <v>1839</v>
      </c>
      <c r="AX366" s="1643" t="s">
        <v>1840</v>
      </c>
      <c r="AY366" s="1648">
        <v>603740</v>
      </c>
      <c r="AZ366" s="1648">
        <v>515055</v>
      </c>
      <c r="BA366" s="1648">
        <v>530271</v>
      </c>
      <c r="BB366" s="1648">
        <v>212051</v>
      </c>
      <c r="BC366" s="1648">
        <v>131147</v>
      </c>
      <c r="BD366" s="1648">
        <v>101889</v>
      </c>
      <c r="BE366" s="1648">
        <v>453326</v>
      </c>
      <c r="BF366" s="1648">
        <v>298813</v>
      </c>
      <c r="BG366" s="1648">
        <v>605808</v>
      </c>
      <c r="BH366" s="1648">
        <v>847471</v>
      </c>
      <c r="BI366" s="1648">
        <v>1070054</v>
      </c>
      <c r="BJ366" s="1648">
        <v>1003687</v>
      </c>
      <c r="BK366" s="635">
        <v>6373312</v>
      </c>
      <c r="BL366" s="633">
        <f>SUM(AY366:BJ366)</f>
        <v>6373312</v>
      </c>
      <c r="BM366" s="919" t="s">
        <v>1839</v>
      </c>
      <c r="BN366" s="1643" t="s">
        <v>1840</v>
      </c>
      <c r="BO366" s="1648">
        <v>603740</v>
      </c>
      <c r="BP366" s="1648">
        <v>515055</v>
      </c>
      <c r="BQ366" s="1648">
        <v>530271</v>
      </c>
      <c r="BR366" s="1648">
        <v>212051</v>
      </c>
      <c r="BS366" s="1648">
        <v>131147</v>
      </c>
      <c r="BT366" s="1648">
        <v>101889</v>
      </c>
      <c r="BU366" s="1648">
        <v>453326</v>
      </c>
      <c r="BV366" s="1648">
        <v>298813</v>
      </c>
      <c r="BW366" s="1648">
        <v>605808</v>
      </c>
      <c r="BX366" s="1648">
        <v>847471</v>
      </c>
      <c r="BY366" s="1648">
        <v>1070054</v>
      </c>
      <c r="BZ366" s="1648">
        <v>1003687</v>
      </c>
      <c r="CA366" s="635">
        <v>6373312</v>
      </c>
      <c r="CB366" s="633">
        <f>SUM(BO366:BZ366)</f>
        <v>6373312</v>
      </c>
      <c r="CC366" s="919" t="s">
        <v>1839</v>
      </c>
      <c r="CD366" s="1643" t="s">
        <v>1840</v>
      </c>
      <c r="CE366" s="1648">
        <v>603740</v>
      </c>
      <c r="CF366" s="1648">
        <v>515055</v>
      </c>
      <c r="CG366" s="1648">
        <v>530271</v>
      </c>
      <c r="CH366" s="1648">
        <v>212051</v>
      </c>
      <c r="CI366" s="1648">
        <v>131147</v>
      </c>
      <c r="CJ366" s="1648">
        <v>101889</v>
      </c>
      <c r="CK366" s="1648">
        <v>453326</v>
      </c>
      <c r="CL366" s="1648">
        <v>298813</v>
      </c>
      <c r="CM366" s="1648">
        <v>605808</v>
      </c>
      <c r="CN366" s="1648">
        <v>847471</v>
      </c>
      <c r="CO366" s="1648">
        <v>1070054</v>
      </c>
      <c r="CP366" s="1648">
        <v>1003687</v>
      </c>
      <c r="CQ366" s="635">
        <v>6373312</v>
      </c>
      <c r="CR366" s="633">
        <f>SUM(CE366:CP366)</f>
        <v>6373312</v>
      </c>
      <c r="CS366" s="919" t="s">
        <v>1839</v>
      </c>
      <c r="CT366" s="1643" t="s">
        <v>1840</v>
      </c>
      <c r="CU366" s="1648">
        <v>603740</v>
      </c>
      <c r="CV366" s="1648">
        <v>515055</v>
      </c>
      <c r="CW366" s="1648">
        <v>530271</v>
      </c>
      <c r="CX366" s="1648">
        <v>212051</v>
      </c>
      <c r="CY366" s="1648">
        <v>131147</v>
      </c>
      <c r="CZ366" s="1648">
        <v>101889</v>
      </c>
      <c r="DA366" s="1648">
        <v>453326</v>
      </c>
      <c r="DB366" s="1648">
        <v>298813</v>
      </c>
      <c r="DC366" s="1648">
        <v>605808</v>
      </c>
      <c r="DD366" s="1648">
        <v>847471</v>
      </c>
      <c r="DE366" s="1648">
        <v>1070054</v>
      </c>
      <c r="DF366" s="1648">
        <v>1003687</v>
      </c>
      <c r="DG366" s="635">
        <v>6373312</v>
      </c>
      <c r="DH366" s="633">
        <f>SUM(CU366:DF366)</f>
        <v>6373312</v>
      </c>
      <c r="DI366" s="919" t="s">
        <v>1839</v>
      </c>
      <c r="DJ366" s="1643" t="s">
        <v>1840</v>
      </c>
      <c r="DK366" s="1648">
        <v>603740</v>
      </c>
      <c r="DL366" s="1648">
        <v>515055</v>
      </c>
      <c r="DM366" s="1648">
        <v>530271</v>
      </c>
      <c r="DN366" s="1648">
        <v>212051</v>
      </c>
      <c r="DO366" s="1648">
        <v>131147</v>
      </c>
      <c r="DP366" s="1648">
        <v>101889</v>
      </c>
      <c r="DQ366" s="1648">
        <v>453326</v>
      </c>
      <c r="DR366" s="1648">
        <v>298813</v>
      </c>
      <c r="DS366" s="1648">
        <v>605808</v>
      </c>
      <c r="DT366" s="1648">
        <v>847471</v>
      </c>
      <c r="DU366" s="1648">
        <v>1070054</v>
      </c>
      <c r="DV366" s="1648">
        <v>1003687</v>
      </c>
      <c r="DW366" s="635">
        <v>6373312</v>
      </c>
      <c r="DX366" s="633">
        <f>SUM(DK366:DV366)</f>
        <v>6373312</v>
      </c>
      <c r="DY366" s="919" t="s">
        <v>1839</v>
      </c>
      <c r="DZ366" s="1643" t="s">
        <v>1840</v>
      </c>
      <c r="EA366" s="1648">
        <v>603740</v>
      </c>
      <c r="EB366" s="1648">
        <v>515055</v>
      </c>
      <c r="EC366" s="1648">
        <v>530271</v>
      </c>
      <c r="ED366" s="1648">
        <v>212051</v>
      </c>
      <c r="EE366" s="1648">
        <v>131147</v>
      </c>
      <c r="EF366" s="1648">
        <v>101889</v>
      </c>
      <c r="EG366" s="1648">
        <v>453326</v>
      </c>
      <c r="EH366" s="1648">
        <v>298813</v>
      </c>
      <c r="EI366" s="1648">
        <v>605808</v>
      </c>
      <c r="EJ366" s="1648">
        <v>847471</v>
      </c>
      <c r="EK366" s="1648">
        <v>1070054</v>
      </c>
      <c r="EL366" s="1648">
        <v>1003687</v>
      </c>
      <c r="EM366" s="635">
        <v>6373312</v>
      </c>
      <c r="EN366" s="633">
        <f>SUM(EA366:EL366)</f>
        <v>6373312</v>
      </c>
      <c r="EO366" s="919" t="s">
        <v>1839</v>
      </c>
      <c r="EP366" s="1643" t="s">
        <v>1840</v>
      </c>
      <c r="EQ366" s="1648">
        <v>603740</v>
      </c>
      <c r="ER366" s="1648">
        <v>515055</v>
      </c>
      <c r="ES366" s="1648">
        <v>530271</v>
      </c>
      <c r="ET366" s="1648">
        <v>212051</v>
      </c>
      <c r="EU366" s="1648">
        <v>131147</v>
      </c>
      <c r="EV366" s="1648">
        <v>101889</v>
      </c>
      <c r="EW366" s="1648">
        <v>453326</v>
      </c>
      <c r="EX366" s="1648">
        <v>298813</v>
      </c>
      <c r="EY366" s="1648">
        <v>605808</v>
      </c>
      <c r="EZ366" s="1648">
        <v>847471</v>
      </c>
      <c r="FA366" s="1648">
        <v>1070054</v>
      </c>
      <c r="FB366" s="1648">
        <v>1003687</v>
      </c>
      <c r="FC366" s="635">
        <v>6373312</v>
      </c>
      <c r="FD366" s="633">
        <f>SUM(EQ366:FB366)</f>
        <v>6373312</v>
      </c>
      <c r="FE366" s="919" t="s">
        <v>1839</v>
      </c>
      <c r="FF366" s="1643" t="s">
        <v>1840</v>
      </c>
      <c r="FG366" s="1648">
        <v>603740</v>
      </c>
      <c r="FH366" s="1648">
        <v>515055</v>
      </c>
      <c r="FI366" s="1648">
        <v>530271</v>
      </c>
      <c r="FJ366" s="1648">
        <v>212051</v>
      </c>
      <c r="FK366" s="1648">
        <v>131147</v>
      </c>
      <c r="FL366" s="1648">
        <v>101889</v>
      </c>
      <c r="FM366" s="1648">
        <v>453326</v>
      </c>
      <c r="FN366" s="1648">
        <v>298813</v>
      </c>
      <c r="FO366" s="1648">
        <v>605808</v>
      </c>
      <c r="FP366" s="1648">
        <v>847471</v>
      </c>
      <c r="FQ366" s="1648">
        <v>1070054</v>
      </c>
      <c r="FR366" s="1648">
        <v>1003687</v>
      </c>
      <c r="FS366" s="635">
        <v>6373312</v>
      </c>
      <c r="FT366" s="633">
        <f>SUM(FG366:FR366)</f>
        <v>6373312</v>
      </c>
      <c r="FU366" s="919" t="s">
        <v>1839</v>
      </c>
      <c r="FV366" s="1643" t="s">
        <v>1840</v>
      </c>
      <c r="FW366" s="1648">
        <v>603740</v>
      </c>
      <c r="FX366" s="1648">
        <v>515055</v>
      </c>
      <c r="FY366" s="1648">
        <v>530271</v>
      </c>
      <c r="FZ366" s="1648">
        <v>212051</v>
      </c>
      <c r="GA366" s="1648">
        <v>131147</v>
      </c>
      <c r="GB366" s="1648">
        <v>101889</v>
      </c>
      <c r="GC366" s="1648">
        <v>453326</v>
      </c>
      <c r="GD366" s="1648">
        <v>298813</v>
      </c>
      <c r="GE366" s="1648">
        <v>605808</v>
      </c>
      <c r="GF366" s="1648">
        <v>847471</v>
      </c>
      <c r="GG366" s="1648">
        <v>1070054</v>
      </c>
      <c r="GH366" s="1648">
        <v>1003687</v>
      </c>
      <c r="GI366" s="635">
        <v>6373312</v>
      </c>
      <c r="GJ366" s="633">
        <f>SUM(FW366:GH366)</f>
        <v>6373312</v>
      </c>
      <c r="GK366" s="919" t="s">
        <v>1839</v>
      </c>
      <c r="GL366" s="1643" t="s">
        <v>1840</v>
      </c>
      <c r="GM366" s="1648">
        <v>603740</v>
      </c>
      <c r="GN366" s="1648">
        <v>515055</v>
      </c>
      <c r="GO366" s="1648">
        <v>530271</v>
      </c>
      <c r="GP366" s="1648">
        <v>212051</v>
      </c>
      <c r="GQ366" s="1648">
        <v>131147</v>
      </c>
      <c r="GR366" s="1648">
        <v>101889</v>
      </c>
      <c r="GS366" s="1648">
        <v>453326</v>
      </c>
      <c r="GT366" s="1648">
        <v>298813</v>
      </c>
      <c r="GU366" s="1648">
        <v>605808</v>
      </c>
      <c r="GV366" s="1648">
        <v>847471</v>
      </c>
      <c r="GW366" s="1648">
        <v>1070054</v>
      </c>
      <c r="GX366" s="1648">
        <v>1003687</v>
      </c>
      <c r="GY366" s="635">
        <v>6373312</v>
      </c>
      <c r="GZ366" s="633">
        <f>SUM(GM366:GX366)</f>
        <v>6373312</v>
      </c>
      <c r="HA366" s="919" t="s">
        <v>1839</v>
      </c>
      <c r="HB366" s="1643" t="s">
        <v>1840</v>
      </c>
      <c r="HC366" s="1648">
        <v>603740</v>
      </c>
      <c r="HD366" s="1648">
        <v>515055</v>
      </c>
      <c r="HE366" s="1648">
        <v>530271</v>
      </c>
      <c r="HF366" s="1648">
        <v>212051</v>
      </c>
      <c r="HG366" s="1648">
        <v>131147</v>
      </c>
      <c r="HH366" s="1648">
        <v>101889</v>
      </c>
      <c r="HI366" s="1648">
        <v>453326</v>
      </c>
      <c r="HJ366" s="1648">
        <v>298813</v>
      </c>
      <c r="HK366" s="1648">
        <v>605808</v>
      </c>
      <c r="HL366" s="1648">
        <v>847471</v>
      </c>
      <c r="HM366" s="1648">
        <v>1070054</v>
      </c>
      <c r="HN366" s="1648">
        <v>1003687</v>
      </c>
      <c r="HO366" s="635">
        <v>6373312</v>
      </c>
      <c r="HP366" s="633">
        <f>SUM(HC366:HN366)</f>
        <v>6373312</v>
      </c>
      <c r="HQ366" s="919" t="s">
        <v>1839</v>
      </c>
      <c r="HR366" s="1643" t="s">
        <v>1840</v>
      </c>
      <c r="HS366" s="1648">
        <v>603740</v>
      </c>
      <c r="HT366" s="1648">
        <v>515055</v>
      </c>
      <c r="HU366" s="1648">
        <v>530271</v>
      </c>
      <c r="HV366" s="1648">
        <v>212051</v>
      </c>
      <c r="HW366" s="1648">
        <v>131147</v>
      </c>
      <c r="HX366" s="1648">
        <v>101889</v>
      </c>
      <c r="HY366" s="1648">
        <v>453326</v>
      </c>
      <c r="HZ366" s="1648">
        <v>298813</v>
      </c>
      <c r="IA366" s="1648">
        <v>605808</v>
      </c>
      <c r="IB366" s="1648">
        <v>847471</v>
      </c>
      <c r="IC366" s="1648">
        <v>1070054</v>
      </c>
      <c r="ID366" s="1648">
        <v>1003687</v>
      </c>
      <c r="IE366" s="635">
        <v>6373312</v>
      </c>
      <c r="IF366" s="633">
        <f>SUM(HS366:ID366)</f>
        <v>6373312</v>
      </c>
      <c r="IG366" s="919" t="s">
        <v>1839</v>
      </c>
      <c r="IH366" s="1643" t="s">
        <v>1840</v>
      </c>
      <c r="II366" s="1648">
        <v>603740</v>
      </c>
      <c r="IJ366" s="1648">
        <v>515055</v>
      </c>
      <c r="IK366" s="1648">
        <v>530271</v>
      </c>
      <c r="IL366" s="1648">
        <v>212051</v>
      </c>
      <c r="IM366" s="1648">
        <v>131147</v>
      </c>
      <c r="IN366" s="1648">
        <v>101889</v>
      </c>
      <c r="IO366" s="1648">
        <v>453326</v>
      </c>
      <c r="IP366" s="1648">
        <v>298813</v>
      </c>
      <c r="IQ366" s="1648">
        <v>605808</v>
      </c>
      <c r="IR366" s="1648">
        <v>847471</v>
      </c>
      <c r="IS366" s="1648">
        <v>1070054</v>
      </c>
      <c r="IT366" s="1648">
        <v>1003687</v>
      </c>
      <c r="IU366" s="635">
        <v>6373312</v>
      </c>
      <c r="IV366" s="633">
        <f>SUM(II366:IT366)</f>
        <v>6373312</v>
      </c>
      <c r="IW366" s="919" t="s">
        <v>1839</v>
      </c>
      <c r="IX366" s="1643" t="s">
        <v>1840</v>
      </c>
      <c r="IY366" s="1648">
        <v>603740</v>
      </c>
      <c r="IZ366" s="1648">
        <v>515055</v>
      </c>
      <c r="JA366" s="1648">
        <v>530271</v>
      </c>
      <c r="JB366" s="1648">
        <v>212051</v>
      </c>
      <c r="JC366" s="1648">
        <v>131147</v>
      </c>
      <c r="JD366" s="1648">
        <v>101889</v>
      </c>
      <c r="JE366" s="1648">
        <v>453326</v>
      </c>
      <c r="JF366" s="1648">
        <v>298813</v>
      </c>
      <c r="JG366" s="1648">
        <v>605808</v>
      </c>
      <c r="JH366" s="1648">
        <v>847471</v>
      </c>
      <c r="JI366" s="1648">
        <v>1070054</v>
      </c>
      <c r="JJ366" s="1648">
        <v>1003687</v>
      </c>
      <c r="JK366" s="635">
        <v>6373312</v>
      </c>
      <c r="JL366" s="633">
        <f>SUM(IY366:JJ366)</f>
        <v>6373312</v>
      </c>
      <c r="JM366" s="919" t="s">
        <v>1839</v>
      </c>
      <c r="JN366" s="1643" t="s">
        <v>1840</v>
      </c>
      <c r="JO366" s="1648">
        <v>603740</v>
      </c>
      <c r="JP366" s="1648">
        <v>515055</v>
      </c>
      <c r="JQ366" s="1648">
        <v>530271</v>
      </c>
      <c r="JR366" s="1648">
        <v>212051</v>
      </c>
      <c r="JS366" s="1648">
        <v>131147</v>
      </c>
      <c r="JT366" s="1648">
        <v>101889</v>
      </c>
      <c r="JU366" s="1648">
        <v>453326</v>
      </c>
      <c r="JV366" s="1648">
        <v>298813</v>
      </c>
      <c r="JW366" s="1648">
        <v>605808</v>
      </c>
      <c r="JX366" s="1648">
        <v>847471</v>
      </c>
      <c r="JY366" s="1648">
        <v>1070054</v>
      </c>
      <c r="JZ366" s="1648">
        <v>1003687</v>
      </c>
      <c r="KA366" s="635">
        <v>6373312</v>
      </c>
      <c r="KB366" s="633">
        <f>SUM(JO366:JZ366)</f>
        <v>6373312</v>
      </c>
      <c r="KC366" s="919" t="s">
        <v>1839</v>
      </c>
      <c r="KD366" s="1643" t="s">
        <v>1840</v>
      </c>
      <c r="KE366" s="1648">
        <v>603740</v>
      </c>
      <c r="KF366" s="1648">
        <v>515055</v>
      </c>
      <c r="KG366" s="1648">
        <v>530271</v>
      </c>
      <c r="KH366" s="1648">
        <v>212051</v>
      </c>
      <c r="KI366" s="1648">
        <v>131147</v>
      </c>
      <c r="KJ366" s="1648">
        <v>101889</v>
      </c>
      <c r="KK366" s="1648">
        <v>453326</v>
      </c>
      <c r="KL366" s="1648">
        <v>298813</v>
      </c>
      <c r="KM366" s="1648">
        <v>605808</v>
      </c>
      <c r="KN366" s="1648">
        <v>847471</v>
      </c>
      <c r="KO366" s="1648">
        <v>1070054</v>
      </c>
      <c r="KP366" s="1648">
        <v>1003687</v>
      </c>
      <c r="KQ366" s="635">
        <v>6373312</v>
      </c>
      <c r="KR366" s="633">
        <f>SUM(KE366:KP366)</f>
        <v>6373312</v>
      </c>
      <c r="KS366" s="919" t="s">
        <v>1839</v>
      </c>
      <c r="KT366" s="1643" t="s">
        <v>1840</v>
      </c>
      <c r="KU366" s="1648">
        <v>603740</v>
      </c>
      <c r="KV366" s="1648">
        <v>515055</v>
      </c>
      <c r="KW366" s="1648">
        <v>530271</v>
      </c>
      <c r="KX366" s="1648">
        <v>212051</v>
      </c>
      <c r="KY366" s="1648">
        <v>131147</v>
      </c>
      <c r="KZ366" s="1648">
        <v>101889</v>
      </c>
      <c r="LA366" s="1648">
        <v>453326</v>
      </c>
      <c r="LB366" s="1648">
        <v>298813</v>
      </c>
      <c r="LC366" s="1648">
        <v>605808</v>
      </c>
      <c r="LD366" s="1648">
        <v>847471</v>
      </c>
      <c r="LE366" s="1648">
        <v>1070054</v>
      </c>
      <c r="LF366" s="1648">
        <v>1003687</v>
      </c>
      <c r="LG366" s="635">
        <v>6373312</v>
      </c>
      <c r="LH366" s="633">
        <f>SUM(KU366:LF366)</f>
        <v>6373312</v>
      </c>
      <c r="LI366" s="919" t="s">
        <v>1839</v>
      </c>
      <c r="LJ366" s="1643" t="s">
        <v>1840</v>
      </c>
      <c r="LK366" s="1648">
        <v>603740</v>
      </c>
      <c r="LL366" s="1648">
        <v>515055</v>
      </c>
      <c r="LM366" s="1648">
        <v>530271</v>
      </c>
      <c r="LN366" s="1648">
        <v>212051</v>
      </c>
      <c r="LO366" s="1648">
        <v>131147</v>
      </c>
      <c r="LP366" s="1648">
        <v>101889</v>
      </c>
      <c r="LQ366" s="1648">
        <v>453326</v>
      </c>
      <c r="LR366" s="1648">
        <v>298813</v>
      </c>
      <c r="LS366" s="1648">
        <v>605808</v>
      </c>
      <c r="LT366" s="1648">
        <v>847471</v>
      </c>
      <c r="LU366" s="1648">
        <v>1070054</v>
      </c>
      <c r="LV366" s="1648">
        <v>1003687</v>
      </c>
      <c r="LW366" s="635">
        <v>6373312</v>
      </c>
      <c r="LX366" s="633">
        <f>SUM(LK366:LV366)</f>
        <v>6373312</v>
      </c>
      <c r="LY366" s="919" t="s">
        <v>1839</v>
      </c>
      <c r="LZ366" s="1643" t="s">
        <v>1840</v>
      </c>
      <c r="MA366" s="1648">
        <v>603740</v>
      </c>
      <c r="MB366" s="1648">
        <v>515055</v>
      </c>
      <c r="MC366" s="1648">
        <v>530271</v>
      </c>
      <c r="MD366" s="1648">
        <v>212051</v>
      </c>
      <c r="ME366" s="1648">
        <v>131147</v>
      </c>
      <c r="MF366" s="1648">
        <v>101889</v>
      </c>
      <c r="MG366" s="1648">
        <v>453326</v>
      </c>
      <c r="MH366" s="1648">
        <v>298813</v>
      </c>
      <c r="MI366" s="1648">
        <v>605808</v>
      </c>
      <c r="MJ366" s="1648">
        <v>847471</v>
      </c>
      <c r="MK366" s="1648">
        <v>1070054</v>
      </c>
      <c r="ML366" s="1648">
        <v>1003687</v>
      </c>
      <c r="MM366" s="635">
        <v>6373312</v>
      </c>
      <c r="MN366" s="633">
        <f>SUM(MA366:ML366)</f>
        <v>6373312</v>
      </c>
      <c r="MO366" s="919" t="s">
        <v>1839</v>
      </c>
      <c r="MP366" s="1643" t="s">
        <v>1840</v>
      </c>
      <c r="MQ366" s="1648">
        <v>603740</v>
      </c>
      <c r="MR366" s="1648">
        <v>515055</v>
      </c>
      <c r="MS366" s="1648">
        <v>530271</v>
      </c>
      <c r="MT366" s="1648">
        <v>212051</v>
      </c>
      <c r="MU366" s="1648">
        <v>131147</v>
      </c>
      <c r="MV366" s="1648">
        <v>101889</v>
      </c>
      <c r="MW366" s="1648">
        <v>453326</v>
      </c>
      <c r="MX366" s="1648">
        <v>298813</v>
      </c>
      <c r="MY366" s="1648">
        <v>605808</v>
      </c>
      <c r="MZ366" s="1648">
        <v>847471</v>
      </c>
      <c r="NA366" s="1648">
        <v>1070054</v>
      </c>
      <c r="NB366" s="1648">
        <v>1003687</v>
      </c>
      <c r="NC366" s="635">
        <v>6373312</v>
      </c>
      <c r="ND366" s="633">
        <f>SUM(MQ366:NB366)</f>
        <v>6373312</v>
      </c>
      <c r="NE366" s="919" t="s">
        <v>1839</v>
      </c>
      <c r="NF366" s="1643" t="s">
        <v>1840</v>
      </c>
      <c r="NG366" s="1648">
        <v>603740</v>
      </c>
      <c r="NH366" s="1648">
        <v>515055</v>
      </c>
      <c r="NI366" s="1648">
        <v>530271</v>
      </c>
      <c r="NJ366" s="1648">
        <v>212051</v>
      </c>
      <c r="NK366" s="1648">
        <v>131147</v>
      </c>
      <c r="NL366" s="1648">
        <v>101889</v>
      </c>
      <c r="NM366" s="1648">
        <v>453326</v>
      </c>
      <c r="NN366" s="1648">
        <v>298813</v>
      </c>
      <c r="NO366" s="1648">
        <v>605808</v>
      </c>
      <c r="NP366" s="1648">
        <v>847471</v>
      </c>
      <c r="NQ366" s="1648">
        <v>1070054</v>
      </c>
      <c r="NR366" s="1648">
        <v>1003687</v>
      </c>
      <c r="NS366" s="635">
        <v>6373312</v>
      </c>
      <c r="NT366" s="633">
        <f>SUM(NG366:NR366)</f>
        <v>6373312</v>
      </c>
      <c r="NU366" s="919" t="s">
        <v>1839</v>
      </c>
      <c r="NV366" s="1643" t="s">
        <v>1840</v>
      </c>
      <c r="NW366" s="1648">
        <v>603740</v>
      </c>
      <c r="NX366" s="1648">
        <v>515055</v>
      </c>
      <c r="NY366" s="1648">
        <v>530271</v>
      </c>
      <c r="NZ366" s="1648">
        <v>212051</v>
      </c>
      <c r="OA366" s="1648">
        <v>131147</v>
      </c>
      <c r="OB366" s="1648">
        <v>101889</v>
      </c>
      <c r="OC366" s="1648">
        <v>453326</v>
      </c>
      <c r="OD366" s="1648">
        <v>298813</v>
      </c>
      <c r="OE366" s="1648">
        <v>605808</v>
      </c>
      <c r="OF366" s="1648">
        <v>847471</v>
      </c>
      <c r="OG366" s="1648">
        <v>1070054</v>
      </c>
      <c r="OH366" s="1648">
        <v>1003687</v>
      </c>
      <c r="OI366" s="635">
        <v>6373312</v>
      </c>
      <c r="OJ366" s="633">
        <f>SUM(NW366:OH366)</f>
        <v>6373312</v>
      </c>
      <c r="OK366" s="919" t="s">
        <v>1839</v>
      </c>
      <c r="OL366" s="1643" t="s">
        <v>1840</v>
      </c>
      <c r="OM366" s="1648">
        <v>603740</v>
      </c>
      <c r="ON366" s="1648">
        <v>515055</v>
      </c>
      <c r="OO366" s="1648">
        <v>530271</v>
      </c>
      <c r="OP366" s="1648">
        <v>212051</v>
      </c>
      <c r="OQ366" s="1648">
        <v>131147</v>
      </c>
      <c r="OR366" s="1648">
        <v>101889</v>
      </c>
      <c r="OS366" s="1648">
        <v>453326</v>
      </c>
      <c r="OT366" s="1648">
        <v>298813</v>
      </c>
      <c r="OU366" s="1648">
        <v>605808</v>
      </c>
      <c r="OV366" s="1648">
        <v>847471</v>
      </c>
      <c r="OW366" s="1648">
        <v>1070054</v>
      </c>
      <c r="OX366" s="1648">
        <v>1003687</v>
      </c>
      <c r="OY366" s="635">
        <v>6373312</v>
      </c>
      <c r="OZ366" s="633">
        <f>SUM(OM366:OX366)</f>
        <v>6373312</v>
      </c>
      <c r="PA366" s="919" t="s">
        <v>1839</v>
      </c>
      <c r="PB366" s="1643" t="s">
        <v>1840</v>
      </c>
      <c r="PC366" s="1648">
        <v>603740</v>
      </c>
      <c r="PD366" s="1648">
        <v>515055</v>
      </c>
      <c r="PE366" s="1648">
        <v>530271</v>
      </c>
      <c r="PF366" s="1648">
        <v>212051</v>
      </c>
      <c r="PG366" s="1648">
        <v>131147</v>
      </c>
      <c r="PH366" s="1648">
        <v>101889</v>
      </c>
      <c r="PI366" s="1648">
        <v>453326</v>
      </c>
      <c r="PJ366" s="1648">
        <v>298813</v>
      </c>
      <c r="PK366" s="1648">
        <v>605808</v>
      </c>
      <c r="PL366" s="1648">
        <v>847471</v>
      </c>
      <c r="PM366" s="1648">
        <v>1070054</v>
      </c>
      <c r="PN366" s="1648">
        <v>1003687</v>
      </c>
      <c r="PO366" s="635">
        <v>6373312</v>
      </c>
      <c r="PP366" s="633">
        <f>SUM(PC366:PN366)</f>
        <v>6373312</v>
      </c>
      <c r="PQ366" s="919" t="s">
        <v>1839</v>
      </c>
      <c r="PR366" s="1643" t="s">
        <v>1840</v>
      </c>
      <c r="PS366" s="1648">
        <v>603740</v>
      </c>
      <c r="PT366" s="1648">
        <v>515055</v>
      </c>
      <c r="PU366" s="1648">
        <v>530271</v>
      </c>
      <c r="PV366" s="1648">
        <v>212051</v>
      </c>
      <c r="PW366" s="1648">
        <v>131147</v>
      </c>
      <c r="PX366" s="1648">
        <v>101889</v>
      </c>
      <c r="PY366" s="1648">
        <v>453326</v>
      </c>
      <c r="PZ366" s="1648">
        <v>298813</v>
      </c>
      <c r="QA366" s="1648">
        <v>605808</v>
      </c>
      <c r="QB366" s="1648">
        <v>847471</v>
      </c>
      <c r="QC366" s="1648">
        <v>1070054</v>
      </c>
      <c r="QD366" s="1648">
        <v>1003687</v>
      </c>
      <c r="QE366" s="635">
        <v>6373312</v>
      </c>
      <c r="QF366" s="633">
        <f>SUM(PS366:QD366)</f>
        <v>6373312</v>
      </c>
      <c r="QG366" s="919" t="s">
        <v>1839</v>
      </c>
      <c r="QH366" s="1643" t="s">
        <v>1840</v>
      </c>
      <c r="QI366" s="1648">
        <v>603740</v>
      </c>
      <c r="QJ366" s="1648">
        <v>515055</v>
      </c>
      <c r="QK366" s="1648">
        <v>530271</v>
      </c>
      <c r="QL366" s="1648">
        <v>212051</v>
      </c>
      <c r="QM366" s="1648">
        <v>131147</v>
      </c>
      <c r="QN366" s="1648">
        <v>101889</v>
      </c>
      <c r="QO366" s="1648">
        <v>453326</v>
      </c>
      <c r="QP366" s="1648">
        <v>298813</v>
      </c>
      <c r="QQ366" s="1648">
        <v>605808</v>
      </c>
      <c r="QR366" s="1648">
        <v>847471</v>
      </c>
      <c r="QS366" s="1648">
        <v>1070054</v>
      </c>
      <c r="QT366" s="1648">
        <v>1003687</v>
      </c>
      <c r="QU366" s="635">
        <v>6373312</v>
      </c>
      <c r="QV366" s="633">
        <f>SUM(QI366:QT366)</f>
        <v>6373312</v>
      </c>
      <c r="QW366" s="919" t="s">
        <v>1839</v>
      </c>
      <c r="QX366" s="1643" t="s">
        <v>1840</v>
      </c>
      <c r="QY366" s="1648">
        <v>603740</v>
      </c>
      <c r="QZ366" s="1648">
        <v>515055</v>
      </c>
      <c r="RA366" s="1648">
        <v>530271</v>
      </c>
      <c r="RB366" s="1648">
        <v>212051</v>
      </c>
      <c r="RC366" s="1648">
        <v>131147</v>
      </c>
      <c r="RD366" s="1648">
        <v>101889</v>
      </c>
      <c r="RE366" s="1648">
        <v>453326</v>
      </c>
      <c r="RF366" s="1648">
        <v>298813</v>
      </c>
      <c r="RG366" s="1648">
        <v>605808</v>
      </c>
      <c r="RH366" s="1648">
        <v>847471</v>
      </c>
      <c r="RI366" s="1648">
        <v>1070054</v>
      </c>
      <c r="RJ366" s="1648">
        <v>1003687</v>
      </c>
      <c r="RK366" s="635">
        <v>6373312</v>
      </c>
      <c r="RL366" s="633">
        <f>SUM(QY366:RJ366)</f>
        <v>6373312</v>
      </c>
      <c r="RM366" s="919" t="s">
        <v>1839</v>
      </c>
      <c r="RN366" s="1643" t="s">
        <v>1840</v>
      </c>
      <c r="RO366" s="1648">
        <v>603740</v>
      </c>
      <c r="RP366" s="1648">
        <v>515055</v>
      </c>
      <c r="RQ366" s="1648">
        <v>530271</v>
      </c>
      <c r="RR366" s="1648">
        <v>212051</v>
      </c>
      <c r="RS366" s="1648">
        <v>131147</v>
      </c>
      <c r="RT366" s="1648">
        <v>101889</v>
      </c>
      <c r="RU366" s="1648">
        <v>453326</v>
      </c>
      <c r="RV366" s="1648">
        <v>298813</v>
      </c>
      <c r="RW366" s="1648">
        <v>605808</v>
      </c>
      <c r="RX366" s="1648">
        <v>847471</v>
      </c>
      <c r="RY366" s="1648">
        <v>1070054</v>
      </c>
      <c r="RZ366" s="1648">
        <v>1003687</v>
      </c>
      <c r="SA366" s="635">
        <v>6373312</v>
      </c>
      <c r="SB366" s="633">
        <f>SUM(RO366:RZ366)</f>
        <v>6373312</v>
      </c>
      <c r="SC366" s="919" t="s">
        <v>1839</v>
      </c>
      <c r="SD366" s="1643" t="s">
        <v>1840</v>
      </c>
      <c r="SE366" s="1648">
        <v>603740</v>
      </c>
      <c r="SF366" s="1648">
        <v>515055</v>
      </c>
      <c r="SG366" s="1648">
        <v>530271</v>
      </c>
      <c r="SH366" s="1648">
        <v>212051</v>
      </c>
      <c r="SI366" s="1648">
        <v>131147</v>
      </c>
      <c r="SJ366" s="1648">
        <v>101889</v>
      </c>
      <c r="SK366" s="1648">
        <v>453326</v>
      </c>
      <c r="SL366" s="1648">
        <v>298813</v>
      </c>
      <c r="SM366" s="1648">
        <v>605808</v>
      </c>
      <c r="SN366" s="1648">
        <v>847471</v>
      </c>
      <c r="SO366" s="1648">
        <v>1070054</v>
      </c>
      <c r="SP366" s="1648">
        <v>1003687</v>
      </c>
      <c r="SQ366" s="635">
        <v>6373312</v>
      </c>
      <c r="SR366" s="633">
        <f>SUM(SE366:SP366)</f>
        <v>6373312</v>
      </c>
      <c r="SS366" s="919" t="s">
        <v>1839</v>
      </c>
      <c r="ST366" s="1643" t="s">
        <v>1840</v>
      </c>
      <c r="SU366" s="1648">
        <v>603740</v>
      </c>
      <c r="SV366" s="1648">
        <v>515055</v>
      </c>
      <c r="SW366" s="1648">
        <v>530271</v>
      </c>
      <c r="SX366" s="1648">
        <v>212051</v>
      </c>
      <c r="SY366" s="1648">
        <v>131147</v>
      </c>
      <c r="SZ366" s="1648">
        <v>101889</v>
      </c>
      <c r="TA366" s="1648">
        <v>453326</v>
      </c>
      <c r="TB366" s="1648">
        <v>298813</v>
      </c>
      <c r="TC366" s="1648">
        <v>605808</v>
      </c>
      <c r="TD366" s="1648">
        <v>847471</v>
      </c>
      <c r="TE366" s="1648">
        <v>1070054</v>
      </c>
      <c r="TF366" s="1648">
        <v>1003687</v>
      </c>
      <c r="TG366" s="635">
        <v>6373312</v>
      </c>
      <c r="TH366" s="633">
        <f>SUM(SU366:TF366)</f>
        <v>6373312</v>
      </c>
      <c r="TI366" s="919" t="s">
        <v>1839</v>
      </c>
      <c r="TJ366" s="1643" t="s">
        <v>1840</v>
      </c>
      <c r="TK366" s="1648">
        <v>603740</v>
      </c>
      <c r="TL366" s="1648">
        <v>515055</v>
      </c>
      <c r="TM366" s="1648">
        <v>530271</v>
      </c>
      <c r="TN366" s="1648">
        <v>212051</v>
      </c>
      <c r="TO366" s="1648">
        <v>131147</v>
      </c>
      <c r="TP366" s="1648">
        <v>101889</v>
      </c>
      <c r="TQ366" s="1648">
        <v>453326</v>
      </c>
      <c r="TR366" s="1648">
        <v>298813</v>
      </c>
      <c r="TS366" s="1648">
        <v>605808</v>
      </c>
      <c r="TT366" s="1648">
        <v>847471</v>
      </c>
      <c r="TU366" s="1648">
        <v>1070054</v>
      </c>
      <c r="TV366" s="1648">
        <v>1003687</v>
      </c>
      <c r="TW366" s="635">
        <v>6373312</v>
      </c>
      <c r="TX366" s="633">
        <f>SUM(TK366:TV366)</f>
        <v>6373312</v>
      </c>
      <c r="TY366" s="919" t="s">
        <v>1839</v>
      </c>
      <c r="TZ366" s="1643" t="s">
        <v>1840</v>
      </c>
      <c r="UA366" s="1648">
        <v>603740</v>
      </c>
      <c r="UB366" s="1648">
        <v>515055</v>
      </c>
      <c r="UC366" s="1648">
        <v>530271</v>
      </c>
      <c r="UD366" s="1648">
        <v>212051</v>
      </c>
      <c r="UE366" s="1648">
        <v>131147</v>
      </c>
      <c r="UF366" s="1648">
        <v>101889</v>
      </c>
      <c r="UG366" s="1648">
        <v>453326</v>
      </c>
      <c r="UH366" s="1648">
        <v>298813</v>
      </c>
      <c r="UI366" s="1648">
        <v>605808</v>
      </c>
      <c r="UJ366" s="1648">
        <v>847471</v>
      </c>
      <c r="UK366" s="1648">
        <v>1070054</v>
      </c>
      <c r="UL366" s="1648">
        <v>1003687</v>
      </c>
      <c r="UM366" s="635">
        <v>6373312</v>
      </c>
      <c r="UN366" s="633">
        <f>SUM(UA366:UL366)</f>
        <v>6373312</v>
      </c>
      <c r="UO366" s="919" t="s">
        <v>1839</v>
      </c>
      <c r="UP366" s="1643" t="s">
        <v>1840</v>
      </c>
      <c r="UQ366" s="1648">
        <v>603740</v>
      </c>
      <c r="UR366" s="1648">
        <v>515055</v>
      </c>
      <c r="US366" s="1648">
        <v>530271</v>
      </c>
      <c r="UT366" s="1648">
        <v>212051</v>
      </c>
      <c r="UU366" s="1648">
        <v>131147</v>
      </c>
      <c r="UV366" s="1648">
        <v>101889</v>
      </c>
      <c r="UW366" s="1648">
        <v>453326</v>
      </c>
      <c r="UX366" s="1648">
        <v>298813</v>
      </c>
      <c r="UY366" s="1648">
        <v>605808</v>
      </c>
      <c r="UZ366" s="1648">
        <v>847471</v>
      </c>
      <c r="VA366" s="1648">
        <v>1070054</v>
      </c>
      <c r="VB366" s="1648">
        <v>1003687</v>
      </c>
      <c r="VC366" s="635">
        <v>6373312</v>
      </c>
      <c r="VD366" s="633">
        <f>SUM(UQ366:VB366)</f>
        <v>6373312</v>
      </c>
      <c r="VE366" s="919" t="s">
        <v>1839</v>
      </c>
      <c r="VF366" s="1643" t="s">
        <v>1840</v>
      </c>
      <c r="VG366" s="1648">
        <v>603740</v>
      </c>
      <c r="VH366" s="1648">
        <v>515055</v>
      </c>
      <c r="VI366" s="1648">
        <v>530271</v>
      </c>
      <c r="VJ366" s="1648">
        <v>212051</v>
      </c>
      <c r="VK366" s="1648">
        <v>131147</v>
      </c>
      <c r="VL366" s="1648">
        <v>101889</v>
      </c>
      <c r="VM366" s="1648">
        <v>453326</v>
      </c>
      <c r="VN366" s="1648">
        <v>298813</v>
      </c>
      <c r="VO366" s="1648">
        <v>605808</v>
      </c>
      <c r="VP366" s="1648">
        <v>847471</v>
      </c>
      <c r="VQ366" s="1648">
        <v>1070054</v>
      </c>
      <c r="VR366" s="1648">
        <v>1003687</v>
      </c>
      <c r="VS366" s="635">
        <v>6373312</v>
      </c>
      <c r="VT366" s="633">
        <f>SUM(VG366:VR366)</f>
        <v>6373312</v>
      </c>
      <c r="VU366" s="919" t="s">
        <v>1839</v>
      </c>
      <c r="VV366" s="1643" t="s">
        <v>1840</v>
      </c>
      <c r="VW366" s="1648">
        <v>603740</v>
      </c>
      <c r="VX366" s="1648">
        <v>515055</v>
      </c>
      <c r="VY366" s="1648">
        <v>530271</v>
      </c>
      <c r="VZ366" s="1648">
        <v>212051</v>
      </c>
      <c r="WA366" s="1648">
        <v>131147</v>
      </c>
      <c r="WB366" s="1648">
        <v>101889</v>
      </c>
      <c r="WC366" s="1648">
        <v>453326</v>
      </c>
      <c r="WD366" s="1648">
        <v>298813</v>
      </c>
      <c r="WE366" s="1648">
        <v>605808</v>
      </c>
      <c r="WF366" s="1648">
        <v>847471</v>
      </c>
      <c r="WG366" s="1648">
        <v>1070054</v>
      </c>
      <c r="WH366" s="1648">
        <v>1003687</v>
      </c>
      <c r="WI366" s="635">
        <v>6373312</v>
      </c>
      <c r="WJ366" s="633">
        <f>SUM(VW366:WH366)</f>
        <v>6373312</v>
      </c>
      <c r="WK366" s="919" t="s">
        <v>1839</v>
      </c>
      <c r="WL366" s="1643" t="s">
        <v>1840</v>
      </c>
      <c r="WM366" s="1648">
        <v>603740</v>
      </c>
      <c r="WN366" s="1648">
        <v>515055</v>
      </c>
      <c r="WO366" s="1648">
        <v>530271</v>
      </c>
      <c r="WP366" s="1648">
        <v>212051</v>
      </c>
      <c r="WQ366" s="1648">
        <v>131147</v>
      </c>
      <c r="WR366" s="1648">
        <v>101889</v>
      </c>
      <c r="WS366" s="1648">
        <v>453326</v>
      </c>
      <c r="WT366" s="1648">
        <v>298813</v>
      </c>
      <c r="WU366" s="1648">
        <v>605808</v>
      </c>
      <c r="WV366" s="1648">
        <v>847471</v>
      </c>
      <c r="WW366" s="1648">
        <v>1070054</v>
      </c>
      <c r="WX366" s="1648">
        <v>1003687</v>
      </c>
      <c r="WY366" s="635">
        <v>6373312</v>
      </c>
      <c r="WZ366" s="633">
        <f>SUM(WM366:WX366)</f>
        <v>6373312</v>
      </c>
      <c r="XA366" s="919" t="s">
        <v>1839</v>
      </c>
      <c r="XB366" s="1643" t="s">
        <v>1840</v>
      </c>
      <c r="XC366" s="1648">
        <v>603740</v>
      </c>
      <c r="XD366" s="1648">
        <v>515055</v>
      </c>
      <c r="XE366" s="1648">
        <v>530271</v>
      </c>
      <c r="XF366" s="1648">
        <v>212051</v>
      </c>
      <c r="XG366" s="1648">
        <v>131147</v>
      </c>
      <c r="XH366" s="1648">
        <v>101889</v>
      </c>
      <c r="XI366" s="1648">
        <v>453326</v>
      </c>
      <c r="XJ366" s="1648">
        <v>298813</v>
      </c>
      <c r="XK366" s="1648">
        <v>605808</v>
      </c>
      <c r="XL366" s="1648">
        <v>847471</v>
      </c>
      <c r="XM366" s="1648">
        <v>1070054</v>
      </c>
      <c r="XN366" s="1648">
        <v>1003687</v>
      </c>
      <c r="XO366" s="635">
        <v>6373312</v>
      </c>
      <c r="XP366" s="633">
        <f>SUM(XC366:XN366)</f>
        <v>6373312</v>
      </c>
      <c r="XQ366" s="919" t="s">
        <v>1839</v>
      </c>
      <c r="XR366" s="1643" t="s">
        <v>1840</v>
      </c>
      <c r="XS366" s="1648">
        <v>603740</v>
      </c>
      <c r="XT366" s="1648">
        <v>515055</v>
      </c>
      <c r="XU366" s="1648">
        <v>530271</v>
      </c>
      <c r="XV366" s="1648">
        <v>212051</v>
      </c>
      <c r="XW366" s="1648">
        <v>131147</v>
      </c>
      <c r="XX366" s="1648">
        <v>101889</v>
      </c>
      <c r="XY366" s="1648">
        <v>453326</v>
      </c>
      <c r="XZ366" s="1648">
        <v>298813</v>
      </c>
      <c r="YA366" s="1648">
        <v>605808</v>
      </c>
      <c r="YB366" s="1648">
        <v>847471</v>
      </c>
      <c r="YC366" s="1648">
        <v>1070054</v>
      </c>
      <c r="YD366" s="1648">
        <v>1003687</v>
      </c>
      <c r="YE366" s="635">
        <v>6373312</v>
      </c>
      <c r="YF366" s="633">
        <f>SUM(XS366:YD366)</f>
        <v>6373312</v>
      </c>
      <c r="YG366" s="919" t="s">
        <v>1839</v>
      </c>
      <c r="YH366" s="1643" t="s">
        <v>1840</v>
      </c>
      <c r="YI366" s="1648">
        <v>603740</v>
      </c>
      <c r="YJ366" s="1648">
        <v>515055</v>
      </c>
      <c r="YK366" s="1648">
        <v>530271</v>
      </c>
      <c r="YL366" s="1648">
        <v>212051</v>
      </c>
      <c r="YM366" s="1648">
        <v>131147</v>
      </c>
      <c r="YN366" s="1648">
        <v>101889</v>
      </c>
      <c r="YO366" s="1648">
        <v>453326</v>
      </c>
      <c r="YP366" s="1648">
        <v>298813</v>
      </c>
      <c r="YQ366" s="1648">
        <v>605808</v>
      </c>
      <c r="YR366" s="1648">
        <v>847471</v>
      </c>
      <c r="YS366" s="1648">
        <v>1070054</v>
      </c>
      <c r="YT366" s="1648">
        <v>1003687</v>
      </c>
      <c r="YU366" s="635">
        <v>6373312</v>
      </c>
      <c r="YV366" s="633">
        <f>SUM(YI366:YT366)</f>
        <v>6373312</v>
      </c>
      <c r="YW366" s="919" t="s">
        <v>1839</v>
      </c>
      <c r="YX366" s="1643" t="s">
        <v>1840</v>
      </c>
      <c r="YY366" s="1648">
        <v>603740</v>
      </c>
      <c r="YZ366" s="1648">
        <v>515055</v>
      </c>
      <c r="ZA366" s="1648">
        <v>530271</v>
      </c>
      <c r="ZB366" s="1648">
        <v>212051</v>
      </c>
      <c r="ZC366" s="1648">
        <v>131147</v>
      </c>
      <c r="ZD366" s="1648">
        <v>101889</v>
      </c>
      <c r="ZE366" s="1648">
        <v>453326</v>
      </c>
      <c r="ZF366" s="1648">
        <v>298813</v>
      </c>
      <c r="ZG366" s="1648">
        <v>605808</v>
      </c>
      <c r="ZH366" s="1648">
        <v>847471</v>
      </c>
      <c r="ZI366" s="1648">
        <v>1070054</v>
      </c>
      <c r="ZJ366" s="1648">
        <v>1003687</v>
      </c>
      <c r="ZK366" s="635">
        <v>6373312</v>
      </c>
      <c r="ZL366" s="633">
        <f>SUM(YY366:ZJ366)</f>
        <v>6373312</v>
      </c>
      <c r="ZM366" s="919" t="s">
        <v>1839</v>
      </c>
      <c r="ZN366" s="1643" t="s">
        <v>1840</v>
      </c>
      <c r="ZO366" s="1648">
        <v>603740</v>
      </c>
      <c r="ZP366" s="1648">
        <v>515055</v>
      </c>
      <c r="ZQ366" s="1648">
        <v>530271</v>
      </c>
      <c r="ZR366" s="1648">
        <v>212051</v>
      </c>
      <c r="ZS366" s="1648">
        <v>131147</v>
      </c>
      <c r="ZT366" s="1648">
        <v>101889</v>
      </c>
      <c r="ZU366" s="1648">
        <v>453326</v>
      </c>
      <c r="ZV366" s="1648">
        <v>298813</v>
      </c>
      <c r="ZW366" s="1648">
        <v>605808</v>
      </c>
      <c r="ZX366" s="1648">
        <v>847471</v>
      </c>
      <c r="ZY366" s="1648">
        <v>1070054</v>
      </c>
      <c r="ZZ366" s="1648">
        <v>1003687</v>
      </c>
      <c r="AAA366" s="635">
        <v>6373312</v>
      </c>
      <c r="AAB366" s="633">
        <f>SUM(ZO366:ZZ366)</f>
        <v>6373312</v>
      </c>
      <c r="AAC366" s="919" t="s">
        <v>1839</v>
      </c>
      <c r="AAD366" s="1643" t="s">
        <v>1840</v>
      </c>
      <c r="AAE366" s="1648">
        <v>603740</v>
      </c>
      <c r="AAF366" s="1648">
        <v>515055</v>
      </c>
      <c r="AAG366" s="1648">
        <v>530271</v>
      </c>
      <c r="AAH366" s="1648">
        <v>212051</v>
      </c>
      <c r="AAI366" s="1648">
        <v>131147</v>
      </c>
      <c r="AAJ366" s="1648">
        <v>101889</v>
      </c>
      <c r="AAK366" s="1648">
        <v>453326</v>
      </c>
      <c r="AAL366" s="1648">
        <v>298813</v>
      </c>
      <c r="AAM366" s="1648">
        <v>605808</v>
      </c>
      <c r="AAN366" s="1648">
        <v>847471</v>
      </c>
      <c r="AAO366" s="1648">
        <v>1070054</v>
      </c>
      <c r="AAP366" s="1648">
        <v>1003687</v>
      </c>
      <c r="AAQ366" s="635">
        <v>6373312</v>
      </c>
      <c r="AAR366" s="633">
        <f>SUM(AAE366:AAP366)</f>
        <v>6373312</v>
      </c>
      <c r="AAS366" s="919" t="s">
        <v>1839</v>
      </c>
      <c r="AAT366" s="1643" t="s">
        <v>1840</v>
      </c>
      <c r="AAU366" s="1648">
        <v>603740</v>
      </c>
      <c r="AAV366" s="1648">
        <v>515055</v>
      </c>
      <c r="AAW366" s="1648">
        <v>530271</v>
      </c>
      <c r="AAX366" s="1648">
        <v>212051</v>
      </c>
      <c r="AAY366" s="1648">
        <v>131147</v>
      </c>
      <c r="AAZ366" s="1648">
        <v>101889</v>
      </c>
      <c r="ABA366" s="1648">
        <v>453326</v>
      </c>
      <c r="ABB366" s="1648">
        <v>298813</v>
      </c>
      <c r="ABC366" s="1648">
        <v>605808</v>
      </c>
      <c r="ABD366" s="1648">
        <v>847471</v>
      </c>
      <c r="ABE366" s="1648">
        <v>1070054</v>
      </c>
      <c r="ABF366" s="1648">
        <v>1003687</v>
      </c>
      <c r="ABG366" s="635">
        <v>6373312</v>
      </c>
      <c r="ABH366" s="633">
        <f>SUM(AAU366:ABF366)</f>
        <v>6373312</v>
      </c>
      <c r="ABI366" s="919" t="s">
        <v>1839</v>
      </c>
      <c r="ABJ366" s="1643" t="s">
        <v>1840</v>
      </c>
      <c r="ABK366" s="1648">
        <v>603740</v>
      </c>
      <c r="ABL366" s="1648">
        <v>515055</v>
      </c>
      <c r="ABM366" s="1648">
        <v>530271</v>
      </c>
      <c r="ABN366" s="1648">
        <v>212051</v>
      </c>
      <c r="ABO366" s="1648">
        <v>131147</v>
      </c>
      <c r="ABP366" s="1648">
        <v>101889</v>
      </c>
      <c r="ABQ366" s="1648">
        <v>453326</v>
      </c>
      <c r="ABR366" s="1648">
        <v>298813</v>
      </c>
      <c r="ABS366" s="1648">
        <v>605808</v>
      </c>
      <c r="ABT366" s="1648">
        <v>847471</v>
      </c>
      <c r="ABU366" s="1648">
        <v>1070054</v>
      </c>
      <c r="ABV366" s="1648">
        <v>1003687</v>
      </c>
      <c r="ABW366" s="635">
        <v>6373312</v>
      </c>
      <c r="ABX366" s="633">
        <f>SUM(ABK366:ABV366)</f>
        <v>6373312</v>
      </c>
      <c r="ABY366" s="919" t="s">
        <v>1839</v>
      </c>
      <c r="ABZ366" s="1643" t="s">
        <v>1840</v>
      </c>
      <c r="ACA366" s="1648">
        <v>603740</v>
      </c>
      <c r="ACB366" s="1648">
        <v>515055</v>
      </c>
      <c r="ACC366" s="1648">
        <v>530271</v>
      </c>
      <c r="ACD366" s="1648">
        <v>212051</v>
      </c>
      <c r="ACE366" s="1648">
        <v>131147</v>
      </c>
      <c r="ACF366" s="1648">
        <v>101889</v>
      </c>
      <c r="ACG366" s="1648">
        <v>453326</v>
      </c>
      <c r="ACH366" s="1648">
        <v>298813</v>
      </c>
      <c r="ACI366" s="1648">
        <v>605808</v>
      </c>
      <c r="ACJ366" s="1648">
        <v>847471</v>
      </c>
      <c r="ACK366" s="1648">
        <v>1070054</v>
      </c>
      <c r="ACL366" s="1648">
        <v>1003687</v>
      </c>
      <c r="ACM366" s="635">
        <v>6373312</v>
      </c>
      <c r="ACN366" s="633">
        <f>SUM(ACA366:ACL366)</f>
        <v>6373312</v>
      </c>
      <c r="ACO366" s="919" t="s">
        <v>1839</v>
      </c>
      <c r="ACP366" s="1643" t="s">
        <v>1840</v>
      </c>
      <c r="ACQ366" s="1648">
        <v>603740</v>
      </c>
      <c r="ACR366" s="1648">
        <v>515055</v>
      </c>
      <c r="ACS366" s="1648">
        <v>530271</v>
      </c>
      <c r="ACT366" s="1648">
        <v>212051</v>
      </c>
      <c r="ACU366" s="1648">
        <v>131147</v>
      </c>
      <c r="ACV366" s="1648">
        <v>101889</v>
      </c>
      <c r="ACW366" s="1648">
        <v>453326</v>
      </c>
      <c r="ACX366" s="1648">
        <v>298813</v>
      </c>
      <c r="ACY366" s="1648">
        <v>605808</v>
      </c>
      <c r="ACZ366" s="1648">
        <v>847471</v>
      </c>
      <c r="ADA366" s="1648">
        <v>1070054</v>
      </c>
      <c r="ADB366" s="1648">
        <v>1003687</v>
      </c>
      <c r="ADC366" s="635">
        <v>6373312</v>
      </c>
      <c r="ADD366" s="633">
        <f>SUM(ACQ366:ADB366)</f>
        <v>6373312</v>
      </c>
      <c r="ADE366" s="919" t="s">
        <v>1839</v>
      </c>
      <c r="ADF366" s="1643" t="s">
        <v>1840</v>
      </c>
      <c r="ADG366" s="1648">
        <v>603740</v>
      </c>
      <c r="ADH366" s="1648">
        <v>515055</v>
      </c>
      <c r="ADI366" s="1648">
        <v>530271</v>
      </c>
      <c r="ADJ366" s="1648">
        <v>212051</v>
      </c>
      <c r="ADK366" s="1648">
        <v>131147</v>
      </c>
      <c r="ADL366" s="1648">
        <v>101889</v>
      </c>
      <c r="ADM366" s="1648">
        <v>453326</v>
      </c>
      <c r="ADN366" s="1648">
        <v>298813</v>
      </c>
      <c r="ADO366" s="1648">
        <v>605808</v>
      </c>
      <c r="ADP366" s="1648">
        <v>847471</v>
      </c>
      <c r="ADQ366" s="1648">
        <v>1070054</v>
      </c>
      <c r="ADR366" s="1648">
        <v>1003687</v>
      </c>
      <c r="ADS366" s="635">
        <v>6373312</v>
      </c>
      <c r="ADT366" s="633">
        <f>SUM(ADG366:ADR366)</f>
        <v>6373312</v>
      </c>
      <c r="ADU366" s="919" t="s">
        <v>1839</v>
      </c>
      <c r="ADV366" s="1643" t="s">
        <v>1840</v>
      </c>
      <c r="ADW366" s="1648">
        <v>603740</v>
      </c>
      <c r="ADX366" s="1648">
        <v>515055</v>
      </c>
      <c r="ADY366" s="1648">
        <v>530271</v>
      </c>
      <c r="ADZ366" s="1648">
        <v>212051</v>
      </c>
      <c r="AEA366" s="1648">
        <v>131147</v>
      </c>
      <c r="AEB366" s="1648">
        <v>101889</v>
      </c>
      <c r="AEC366" s="1648">
        <v>453326</v>
      </c>
      <c r="AED366" s="1648">
        <v>298813</v>
      </c>
      <c r="AEE366" s="1648">
        <v>605808</v>
      </c>
      <c r="AEF366" s="1648">
        <v>847471</v>
      </c>
      <c r="AEG366" s="1648">
        <v>1070054</v>
      </c>
      <c r="AEH366" s="1648">
        <v>1003687</v>
      </c>
      <c r="AEI366" s="635">
        <v>6373312</v>
      </c>
      <c r="AEJ366" s="633">
        <f>SUM(ADW366:AEH366)</f>
        <v>6373312</v>
      </c>
      <c r="AEK366" s="919" t="s">
        <v>1839</v>
      </c>
      <c r="AEL366" s="1643" t="s">
        <v>1840</v>
      </c>
      <c r="AEM366" s="1648">
        <v>603740</v>
      </c>
      <c r="AEN366" s="1648">
        <v>515055</v>
      </c>
      <c r="AEO366" s="1648">
        <v>530271</v>
      </c>
      <c r="AEP366" s="1648">
        <v>212051</v>
      </c>
      <c r="AEQ366" s="1648">
        <v>131147</v>
      </c>
      <c r="AER366" s="1648">
        <v>101889</v>
      </c>
      <c r="AES366" s="1648">
        <v>453326</v>
      </c>
      <c r="AET366" s="1648">
        <v>298813</v>
      </c>
      <c r="AEU366" s="1648">
        <v>605808</v>
      </c>
      <c r="AEV366" s="1648">
        <v>847471</v>
      </c>
      <c r="AEW366" s="1648">
        <v>1070054</v>
      </c>
      <c r="AEX366" s="1648">
        <v>1003687</v>
      </c>
      <c r="AEY366" s="635">
        <v>6373312</v>
      </c>
      <c r="AEZ366" s="633">
        <f>SUM(AEM366:AEX366)</f>
        <v>6373312</v>
      </c>
      <c r="AFA366" s="919" t="s">
        <v>1839</v>
      </c>
      <c r="AFB366" s="1643" t="s">
        <v>1840</v>
      </c>
      <c r="AFC366" s="1648">
        <v>603740</v>
      </c>
      <c r="AFD366" s="1648">
        <v>515055</v>
      </c>
      <c r="AFE366" s="1648">
        <v>530271</v>
      </c>
      <c r="AFF366" s="1648">
        <v>212051</v>
      </c>
      <c r="AFG366" s="1648">
        <v>131147</v>
      </c>
      <c r="AFH366" s="1648">
        <v>101889</v>
      </c>
      <c r="AFI366" s="1648">
        <v>453326</v>
      </c>
      <c r="AFJ366" s="1648">
        <v>298813</v>
      </c>
      <c r="AFK366" s="1648">
        <v>605808</v>
      </c>
      <c r="AFL366" s="1648">
        <v>847471</v>
      </c>
      <c r="AFM366" s="1648">
        <v>1070054</v>
      </c>
      <c r="AFN366" s="1648">
        <v>1003687</v>
      </c>
      <c r="AFO366" s="635">
        <v>6373312</v>
      </c>
      <c r="AFP366" s="633">
        <f>SUM(AFC366:AFN366)</f>
        <v>6373312</v>
      </c>
      <c r="AFQ366" s="919" t="s">
        <v>1839</v>
      </c>
      <c r="AFR366" s="1643" t="s">
        <v>1840</v>
      </c>
      <c r="AFS366" s="1648">
        <v>603740</v>
      </c>
      <c r="AFT366" s="1648">
        <v>515055</v>
      </c>
      <c r="AFU366" s="1648">
        <v>530271</v>
      </c>
      <c r="AFV366" s="1648">
        <v>212051</v>
      </c>
      <c r="AFW366" s="1648">
        <v>131147</v>
      </c>
      <c r="AFX366" s="1648">
        <v>101889</v>
      </c>
      <c r="AFY366" s="1648">
        <v>453326</v>
      </c>
      <c r="AFZ366" s="1648">
        <v>298813</v>
      </c>
      <c r="AGA366" s="1648">
        <v>605808</v>
      </c>
      <c r="AGB366" s="1648">
        <v>847471</v>
      </c>
      <c r="AGC366" s="1648">
        <v>1070054</v>
      </c>
      <c r="AGD366" s="1648">
        <v>1003687</v>
      </c>
      <c r="AGE366" s="635">
        <v>6373312</v>
      </c>
      <c r="AGF366" s="633">
        <f>SUM(AFS366:AGD366)</f>
        <v>6373312</v>
      </c>
      <c r="AGG366" s="919" t="s">
        <v>1839</v>
      </c>
      <c r="AGH366" s="1643" t="s">
        <v>1840</v>
      </c>
      <c r="AGI366" s="1648">
        <v>603740</v>
      </c>
      <c r="AGJ366" s="1648">
        <v>515055</v>
      </c>
      <c r="AGK366" s="1648">
        <v>530271</v>
      </c>
      <c r="AGL366" s="1648">
        <v>212051</v>
      </c>
      <c r="AGM366" s="1648">
        <v>131147</v>
      </c>
      <c r="AGN366" s="1648">
        <v>101889</v>
      </c>
      <c r="AGO366" s="1648">
        <v>453326</v>
      </c>
      <c r="AGP366" s="1648">
        <v>298813</v>
      </c>
      <c r="AGQ366" s="1648">
        <v>605808</v>
      </c>
      <c r="AGR366" s="1648">
        <v>847471</v>
      </c>
      <c r="AGS366" s="1648">
        <v>1070054</v>
      </c>
      <c r="AGT366" s="1648">
        <v>1003687</v>
      </c>
      <c r="AGU366" s="635">
        <v>6373312</v>
      </c>
      <c r="AGV366" s="633">
        <f>SUM(AGI366:AGT366)</f>
        <v>6373312</v>
      </c>
      <c r="AGW366" s="919" t="s">
        <v>1839</v>
      </c>
      <c r="AGX366" s="1643" t="s">
        <v>1840</v>
      </c>
      <c r="AGY366" s="1648">
        <v>603740</v>
      </c>
      <c r="AGZ366" s="1648">
        <v>515055</v>
      </c>
      <c r="AHA366" s="1648">
        <v>530271</v>
      </c>
      <c r="AHB366" s="1648">
        <v>212051</v>
      </c>
      <c r="AHC366" s="1648">
        <v>131147</v>
      </c>
      <c r="AHD366" s="1648">
        <v>101889</v>
      </c>
      <c r="AHE366" s="1648">
        <v>453326</v>
      </c>
      <c r="AHF366" s="1648">
        <v>298813</v>
      </c>
      <c r="AHG366" s="1648">
        <v>605808</v>
      </c>
      <c r="AHH366" s="1648">
        <v>847471</v>
      </c>
      <c r="AHI366" s="1648">
        <v>1070054</v>
      </c>
      <c r="AHJ366" s="1648">
        <v>1003687</v>
      </c>
      <c r="AHK366" s="635">
        <v>6373312</v>
      </c>
      <c r="AHL366" s="633">
        <f>SUM(AGY366:AHJ366)</f>
        <v>6373312</v>
      </c>
      <c r="AHM366" s="919" t="s">
        <v>1839</v>
      </c>
      <c r="AHN366" s="1643" t="s">
        <v>1840</v>
      </c>
      <c r="AHO366" s="1648">
        <v>603740</v>
      </c>
      <c r="AHP366" s="1648">
        <v>515055</v>
      </c>
      <c r="AHQ366" s="1648">
        <v>530271</v>
      </c>
      <c r="AHR366" s="1648">
        <v>212051</v>
      </c>
      <c r="AHS366" s="1648">
        <v>131147</v>
      </c>
      <c r="AHT366" s="1648">
        <v>101889</v>
      </c>
      <c r="AHU366" s="1648">
        <v>453326</v>
      </c>
      <c r="AHV366" s="1648">
        <v>298813</v>
      </c>
      <c r="AHW366" s="1648">
        <v>605808</v>
      </c>
      <c r="AHX366" s="1648">
        <v>847471</v>
      </c>
      <c r="AHY366" s="1648">
        <v>1070054</v>
      </c>
      <c r="AHZ366" s="1648">
        <v>1003687</v>
      </c>
      <c r="AIA366" s="635">
        <v>6373312</v>
      </c>
      <c r="AIB366" s="633">
        <f>SUM(AHO366:AHZ366)</f>
        <v>6373312</v>
      </c>
      <c r="AIC366" s="919" t="s">
        <v>1839</v>
      </c>
      <c r="AID366" s="1643" t="s">
        <v>1840</v>
      </c>
      <c r="AIE366" s="1648">
        <v>603740</v>
      </c>
      <c r="AIF366" s="1648">
        <v>515055</v>
      </c>
      <c r="AIG366" s="1648">
        <v>530271</v>
      </c>
      <c r="AIH366" s="1648">
        <v>212051</v>
      </c>
      <c r="AII366" s="1648">
        <v>131147</v>
      </c>
      <c r="AIJ366" s="1648">
        <v>101889</v>
      </c>
      <c r="AIK366" s="1648">
        <v>453326</v>
      </c>
      <c r="AIL366" s="1648">
        <v>298813</v>
      </c>
      <c r="AIM366" s="1648">
        <v>605808</v>
      </c>
      <c r="AIN366" s="1648">
        <v>847471</v>
      </c>
      <c r="AIO366" s="1648">
        <v>1070054</v>
      </c>
      <c r="AIP366" s="1648">
        <v>1003687</v>
      </c>
      <c r="AIQ366" s="635">
        <v>6373312</v>
      </c>
      <c r="AIR366" s="633">
        <f>SUM(AIE366:AIP366)</f>
        <v>6373312</v>
      </c>
      <c r="AIS366" s="919" t="s">
        <v>1839</v>
      </c>
      <c r="AIT366" s="1643" t="s">
        <v>1840</v>
      </c>
      <c r="AIU366" s="1648">
        <v>603740</v>
      </c>
      <c r="AIV366" s="1648">
        <v>515055</v>
      </c>
      <c r="AIW366" s="1648">
        <v>530271</v>
      </c>
      <c r="AIX366" s="1648">
        <v>212051</v>
      </c>
      <c r="AIY366" s="1648">
        <v>131147</v>
      </c>
      <c r="AIZ366" s="1648">
        <v>101889</v>
      </c>
      <c r="AJA366" s="1648">
        <v>453326</v>
      </c>
      <c r="AJB366" s="1648">
        <v>298813</v>
      </c>
      <c r="AJC366" s="1648">
        <v>605808</v>
      </c>
      <c r="AJD366" s="1648">
        <v>847471</v>
      </c>
      <c r="AJE366" s="1648">
        <v>1070054</v>
      </c>
      <c r="AJF366" s="1648">
        <v>1003687</v>
      </c>
      <c r="AJG366" s="635">
        <v>6373312</v>
      </c>
      <c r="AJH366" s="633">
        <f>SUM(AIU366:AJF366)</f>
        <v>6373312</v>
      </c>
      <c r="AJI366" s="919" t="s">
        <v>1839</v>
      </c>
      <c r="AJJ366" s="1643" t="s">
        <v>1840</v>
      </c>
      <c r="AJK366" s="1648">
        <v>603740</v>
      </c>
      <c r="AJL366" s="1648">
        <v>515055</v>
      </c>
      <c r="AJM366" s="1648">
        <v>530271</v>
      </c>
      <c r="AJN366" s="1648">
        <v>212051</v>
      </c>
      <c r="AJO366" s="1648">
        <v>131147</v>
      </c>
      <c r="AJP366" s="1648">
        <v>101889</v>
      </c>
      <c r="AJQ366" s="1648">
        <v>453326</v>
      </c>
      <c r="AJR366" s="1648">
        <v>298813</v>
      </c>
      <c r="AJS366" s="1648">
        <v>605808</v>
      </c>
      <c r="AJT366" s="1648">
        <v>847471</v>
      </c>
      <c r="AJU366" s="1648">
        <v>1070054</v>
      </c>
      <c r="AJV366" s="1648">
        <v>1003687</v>
      </c>
      <c r="AJW366" s="635">
        <v>6373312</v>
      </c>
      <c r="AJX366" s="633">
        <f>SUM(AJK366:AJV366)</f>
        <v>6373312</v>
      </c>
      <c r="AJY366" s="919" t="s">
        <v>1839</v>
      </c>
      <c r="AJZ366" s="1643" t="s">
        <v>1840</v>
      </c>
      <c r="AKA366" s="1648">
        <v>603740</v>
      </c>
      <c r="AKB366" s="1648">
        <v>515055</v>
      </c>
      <c r="AKC366" s="1648">
        <v>530271</v>
      </c>
      <c r="AKD366" s="1648">
        <v>212051</v>
      </c>
      <c r="AKE366" s="1648">
        <v>131147</v>
      </c>
      <c r="AKF366" s="1648">
        <v>101889</v>
      </c>
      <c r="AKG366" s="1648">
        <v>453326</v>
      </c>
      <c r="AKH366" s="1648">
        <v>298813</v>
      </c>
      <c r="AKI366" s="1648">
        <v>605808</v>
      </c>
      <c r="AKJ366" s="1648">
        <v>847471</v>
      </c>
      <c r="AKK366" s="1648">
        <v>1070054</v>
      </c>
      <c r="AKL366" s="1648">
        <v>1003687</v>
      </c>
      <c r="AKM366" s="635">
        <v>6373312</v>
      </c>
      <c r="AKN366" s="633">
        <f>SUM(AKA366:AKL366)</f>
        <v>6373312</v>
      </c>
      <c r="AKO366" s="919" t="s">
        <v>1839</v>
      </c>
      <c r="AKP366" s="1643" t="s">
        <v>1840</v>
      </c>
      <c r="AKQ366" s="1648">
        <v>603740</v>
      </c>
      <c r="AKR366" s="1648">
        <v>515055</v>
      </c>
      <c r="AKS366" s="1648">
        <v>530271</v>
      </c>
      <c r="AKT366" s="1648">
        <v>212051</v>
      </c>
      <c r="AKU366" s="1648">
        <v>131147</v>
      </c>
      <c r="AKV366" s="1648">
        <v>101889</v>
      </c>
      <c r="AKW366" s="1648">
        <v>453326</v>
      </c>
      <c r="AKX366" s="1648">
        <v>298813</v>
      </c>
      <c r="AKY366" s="1648">
        <v>605808</v>
      </c>
      <c r="AKZ366" s="1648">
        <v>847471</v>
      </c>
      <c r="ALA366" s="1648">
        <v>1070054</v>
      </c>
      <c r="ALB366" s="1648">
        <v>1003687</v>
      </c>
      <c r="ALC366" s="635">
        <v>6373312</v>
      </c>
      <c r="ALD366" s="633">
        <f>SUM(AKQ366:ALB366)</f>
        <v>6373312</v>
      </c>
      <c r="ALE366" s="919" t="s">
        <v>1839</v>
      </c>
      <c r="ALF366" s="1643" t="s">
        <v>1840</v>
      </c>
      <c r="ALG366" s="1648">
        <v>603740</v>
      </c>
      <c r="ALH366" s="1648">
        <v>515055</v>
      </c>
      <c r="ALI366" s="1648">
        <v>530271</v>
      </c>
      <c r="ALJ366" s="1648">
        <v>212051</v>
      </c>
      <c r="ALK366" s="1648">
        <v>131147</v>
      </c>
      <c r="ALL366" s="1648">
        <v>101889</v>
      </c>
      <c r="ALM366" s="1648">
        <v>453326</v>
      </c>
      <c r="ALN366" s="1648">
        <v>298813</v>
      </c>
      <c r="ALO366" s="1648">
        <v>605808</v>
      </c>
      <c r="ALP366" s="1648">
        <v>847471</v>
      </c>
      <c r="ALQ366" s="1648">
        <v>1070054</v>
      </c>
      <c r="ALR366" s="1648">
        <v>1003687</v>
      </c>
      <c r="ALS366" s="635">
        <v>6373312</v>
      </c>
      <c r="ALT366" s="633">
        <f>SUM(ALG366:ALR366)</f>
        <v>6373312</v>
      </c>
      <c r="ALU366" s="919" t="s">
        <v>1839</v>
      </c>
      <c r="ALV366" s="1643" t="s">
        <v>1840</v>
      </c>
      <c r="ALW366" s="1648">
        <v>603740</v>
      </c>
      <c r="ALX366" s="1648">
        <v>515055</v>
      </c>
      <c r="ALY366" s="1648">
        <v>530271</v>
      </c>
      <c r="ALZ366" s="1648">
        <v>212051</v>
      </c>
      <c r="AMA366" s="1648">
        <v>131147</v>
      </c>
      <c r="AMB366" s="1648">
        <v>101889</v>
      </c>
      <c r="AMC366" s="1648">
        <v>453326</v>
      </c>
      <c r="AMD366" s="1648">
        <v>298813</v>
      </c>
      <c r="AME366" s="1648">
        <v>605808</v>
      </c>
      <c r="AMF366" s="1648">
        <v>847471</v>
      </c>
      <c r="AMG366" s="1648">
        <v>1070054</v>
      </c>
      <c r="AMH366" s="1648">
        <v>1003687</v>
      </c>
      <c r="AMI366" s="635">
        <v>6373312</v>
      </c>
      <c r="AMJ366" s="633">
        <f>SUM(ALW366:AMH366)</f>
        <v>6373312</v>
      </c>
      <c r="AMK366" s="919" t="s">
        <v>1839</v>
      </c>
      <c r="AML366" s="1643" t="s">
        <v>1840</v>
      </c>
      <c r="AMM366" s="1648">
        <v>603740</v>
      </c>
      <c r="AMN366" s="1648">
        <v>515055</v>
      </c>
      <c r="AMO366" s="1648">
        <v>530271</v>
      </c>
      <c r="AMP366" s="1648">
        <v>212051</v>
      </c>
      <c r="AMQ366" s="1648">
        <v>131147</v>
      </c>
      <c r="AMR366" s="1648">
        <v>101889</v>
      </c>
      <c r="AMS366" s="1648">
        <v>453326</v>
      </c>
      <c r="AMT366" s="1648">
        <v>298813</v>
      </c>
      <c r="AMU366" s="1648">
        <v>605808</v>
      </c>
      <c r="AMV366" s="1648">
        <v>847471</v>
      </c>
      <c r="AMW366" s="1648">
        <v>1070054</v>
      </c>
      <c r="AMX366" s="1648">
        <v>1003687</v>
      </c>
      <c r="AMY366" s="635">
        <v>6373312</v>
      </c>
      <c r="AMZ366" s="633">
        <f>SUM(AMM366:AMX366)</f>
        <v>6373312</v>
      </c>
      <c r="ANA366" s="919" t="s">
        <v>1839</v>
      </c>
      <c r="ANB366" s="1643" t="s">
        <v>1840</v>
      </c>
      <c r="ANC366" s="1648">
        <v>603740</v>
      </c>
      <c r="AND366" s="1648">
        <v>515055</v>
      </c>
      <c r="ANE366" s="1648">
        <v>530271</v>
      </c>
      <c r="ANF366" s="1648">
        <v>212051</v>
      </c>
      <c r="ANG366" s="1648">
        <v>131147</v>
      </c>
      <c r="ANH366" s="1648">
        <v>101889</v>
      </c>
      <c r="ANI366" s="1648">
        <v>453326</v>
      </c>
      <c r="ANJ366" s="1648">
        <v>298813</v>
      </c>
      <c r="ANK366" s="1648">
        <v>605808</v>
      </c>
      <c r="ANL366" s="1648">
        <v>847471</v>
      </c>
      <c r="ANM366" s="1648">
        <v>1070054</v>
      </c>
      <c r="ANN366" s="1648">
        <v>1003687</v>
      </c>
      <c r="ANO366" s="635">
        <v>6373312</v>
      </c>
      <c r="ANP366" s="633">
        <f>SUM(ANC366:ANN366)</f>
        <v>6373312</v>
      </c>
      <c r="ANQ366" s="919" t="s">
        <v>1839</v>
      </c>
      <c r="ANR366" s="1643" t="s">
        <v>1840</v>
      </c>
      <c r="ANS366" s="1648">
        <v>603740</v>
      </c>
      <c r="ANT366" s="1648">
        <v>515055</v>
      </c>
      <c r="ANU366" s="1648">
        <v>530271</v>
      </c>
      <c r="ANV366" s="1648">
        <v>212051</v>
      </c>
      <c r="ANW366" s="1648">
        <v>131147</v>
      </c>
      <c r="ANX366" s="1648">
        <v>101889</v>
      </c>
      <c r="ANY366" s="1648">
        <v>453326</v>
      </c>
      <c r="ANZ366" s="1648">
        <v>298813</v>
      </c>
      <c r="AOA366" s="1648">
        <v>605808</v>
      </c>
      <c r="AOB366" s="1648">
        <v>847471</v>
      </c>
      <c r="AOC366" s="1648">
        <v>1070054</v>
      </c>
      <c r="AOD366" s="1648">
        <v>1003687</v>
      </c>
      <c r="AOE366" s="635">
        <v>6373312</v>
      </c>
      <c r="AOF366" s="633">
        <f>SUM(ANS366:AOD366)</f>
        <v>6373312</v>
      </c>
      <c r="AOG366" s="919" t="s">
        <v>1839</v>
      </c>
      <c r="AOH366" s="1643" t="s">
        <v>1840</v>
      </c>
      <c r="AOI366" s="1648">
        <v>603740</v>
      </c>
      <c r="AOJ366" s="1648">
        <v>515055</v>
      </c>
      <c r="AOK366" s="1648">
        <v>530271</v>
      </c>
      <c r="AOL366" s="1648">
        <v>212051</v>
      </c>
      <c r="AOM366" s="1648">
        <v>131147</v>
      </c>
      <c r="AON366" s="1648">
        <v>101889</v>
      </c>
      <c r="AOO366" s="1648">
        <v>453326</v>
      </c>
      <c r="AOP366" s="1648">
        <v>298813</v>
      </c>
      <c r="AOQ366" s="1648">
        <v>605808</v>
      </c>
      <c r="AOR366" s="1648">
        <v>847471</v>
      </c>
      <c r="AOS366" s="1648">
        <v>1070054</v>
      </c>
      <c r="AOT366" s="1648">
        <v>1003687</v>
      </c>
      <c r="AOU366" s="635">
        <v>6373312</v>
      </c>
      <c r="AOV366" s="633">
        <f>SUM(AOI366:AOT366)</f>
        <v>6373312</v>
      </c>
      <c r="AOW366" s="919" t="s">
        <v>1839</v>
      </c>
      <c r="AOX366" s="1643" t="s">
        <v>1840</v>
      </c>
      <c r="AOY366" s="1648">
        <v>603740</v>
      </c>
      <c r="AOZ366" s="1648">
        <v>515055</v>
      </c>
      <c r="APA366" s="1648">
        <v>530271</v>
      </c>
      <c r="APB366" s="1648">
        <v>212051</v>
      </c>
      <c r="APC366" s="1648">
        <v>131147</v>
      </c>
      <c r="APD366" s="1648">
        <v>101889</v>
      </c>
      <c r="APE366" s="1648">
        <v>453326</v>
      </c>
      <c r="APF366" s="1648">
        <v>298813</v>
      </c>
      <c r="APG366" s="1648">
        <v>605808</v>
      </c>
      <c r="APH366" s="1648">
        <v>847471</v>
      </c>
      <c r="API366" s="1648">
        <v>1070054</v>
      </c>
      <c r="APJ366" s="1648">
        <v>1003687</v>
      </c>
      <c r="APK366" s="635">
        <v>6373312</v>
      </c>
      <c r="APL366" s="633">
        <f>SUM(AOY366:APJ366)</f>
        <v>6373312</v>
      </c>
      <c r="APM366" s="919" t="s">
        <v>1839</v>
      </c>
      <c r="APN366" s="1643" t="s">
        <v>1840</v>
      </c>
      <c r="APO366" s="1648">
        <v>603740</v>
      </c>
      <c r="APP366" s="1648">
        <v>515055</v>
      </c>
      <c r="APQ366" s="1648">
        <v>530271</v>
      </c>
      <c r="APR366" s="1648">
        <v>212051</v>
      </c>
      <c r="APS366" s="1648">
        <v>131147</v>
      </c>
      <c r="APT366" s="1648">
        <v>101889</v>
      </c>
      <c r="APU366" s="1648">
        <v>453326</v>
      </c>
      <c r="APV366" s="1648">
        <v>298813</v>
      </c>
      <c r="APW366" s="1648">
        <v>605808</v>
      </c>
      <c r="APX366" s="1648">
        <v>847471</v>
      </c>
      <c r="APY366" s="1648">
        <v>1070054</v>
      </c>
      <c r="APZ366" s="1648">
        <v>1003687</v>
      </c>
      <c r="AQA366" s="635">
        <v>6373312</v>
      </c>
      <c r="AQB366" s="633">
        <f>SUM(APO366:APZ366)</f>
        <v>6373312</v>
      </c>
      <c r="AQC366" s="919" t="s">
        <v>1839</v>
      </c>
      <c r="AQD366" s="1643" t="s">
        <v>1840</v>
      </c>
      <c r="AQE366" s="1648">
        <v>603740</v>
      </c>
      <c r="AQF366" s="1648">
        <v>515055</v>
      </c>
      <c r="AQG366" s="1648">
        <v>530271</v>
      </c>
      <c r="AQH366" s="1648">
        <v>212051</v>
      </c>
      <c r="AQI366" s="1648">
        <v>131147</v>
      </c>
      <c r="AQJ366" s="1648">
        <v>101889</v>
      </c>
      <c r="AQK366" s="1648">
        <v>453326</v>
      </c>
      <c r="AQL366" s="1648">
        <v>298813</v>
      </c>
      <c r="AQM366" s="1648">
        <v>605808</v>
      </c>
      <c r="AQN366" s="1648">
        <v>847471</v>
      </c>
      <c r="AQO366" s="1648">
        <v>1070054</v>
      </c>
      <c r="AQP366" s="1648">
        <v>1003687</v>
      </c>
      <c r="AQQ366" s="635">
        <v>6373312</v>
      </c>
      <c r="AQR366" s="633">
        <f>SUM(AQE366:AQP366)</f>
        <v>6373312</v>
      </c>
      <c r="AQS366" s="919" t="s">
        <v>1839</v>
      </c>
      <c r="AQT366" s="1643" t="s">
        <v>1840</v>
      </c>
      <c r="AQU366" s="1648">
        <v>603740</v>
      </c>
      <c r="AQV366" s="1648">
        <v>515055</v>
      </c>
      <c r="AQW366" s="1648">
        <v>530271</v>
      </c>
      <c r="AQX366" s="1648">
        <v>212051</v>
      </c>
      <c r="AQY366" s="1648">
        <v>131147</v>
      </c>
      <c r="AQZ366" s="1648">
        <v>101889</v>
      </c>
      <c r="ARA366" s="1648">
        <v>453326</v>
      </c>
      <c r="ARB366" s="1648">
        <v>298813</v>
      </c>
      <c r="ARC366" s="1648">
        <v>605808</v>
      </c>
      <c r="ARD366" s="1648">
        <v>847471</v>
      </c>
      <c r="ARE366" s="1648">
        <v>1070054</v>
      </c>
      <c r="ARF366" s="1648">
        <v>1003687</v>
      </c>
      <c r="ARG366" s="635">
        <v>6373312</v>
      </c>
      <c r="ARH366" s="633">
        <f>SUM(AQU366:ARF366)</f>
        <v>6373312</v>
      </c>
      <c r="ARI366" s="919" t="s">
        <v>1839</v>
      </c>
      <c r="ARJ366" s="1643" t="s">
        <v>1840</v>
      </c>
      <c r="ARK366" s="1648">
        <v>603740</v>
      </c>
      <c r="ARL366" s="1648">
        <v>515055</v>
      </c>
      <c r="ARM366" s="1648">
        <v>530271</v>
      </c>
      <c r="ARN366" s="1648">
        <v>212051</v>
      </c>
      <c r="ARO366" s="1648">
        <v>131147</v>
      </c>
      <c r="ARP366" s="1648">
        <v>101889</v>
      </c>
      <c r="ARQ366" s="1648">
        <v>453326</v>
      </c>
      <c r="ARR366" s="1648">
        <v>298813</v>
      </c>
      <c r="ARS366" s="1648">
        <v>605808</v>
      </c>
      <c r="ART366" s="1648">
        <v>847471</v>
      </c>
      <c r="ARU366" s="1648">
        <v>1070054</v>
      </c>
      <c r="ARV366" s="1648">
        <v>1003687</v>
      </c>
      <c r="ARW366" s="635">
        <v>6373312</v>
      </c>
      <c r="ARX366" s="633">
        <f>SUM(ARK366:ARV366)</f>
        <v>6373312</v>
      </c>
      <c r="ARY366" s="919" t="s">
        <v>1839</v>
      </c>
      <c r="ARZ366" s="1643" t="s">
        <v>1840</v>
      </c>
      <c r="ASA366" s="1648">
        <v>603740</v>
      </c>
      <c r="ASB366" s="1648">
        <v>515055</v>
      </c>
      <c r="ASC366" s="1648">
        <v>530271</v>
      </c>
      <c r="ASD366" s="1648">
        <v>212051</v>
      </c>
      <c r="ASE366" s="1648">
        <v>131147</v>
      </c>
      <c r="ASF366" s="1648">
        <v>101889</v>
      </c>
      <c r="ASG366" s="1648">
        <v>453326</v>
      </c>
      <c r="ASH366" s="1648">
        <v>298813</v>
      </c>
      <c r="ASI366" s="1648">
        <v>605808</v>
      </c>
      <c r="ASJ366" s="1648">
        <v>847471</v>
      </c>
      <c r="ASK366" s="1648">
        <v>1070054</v>
      </c>
      <c r="ASL366" s="1648">
        <v>1003687</v>
      </c>
      <c r="ASM366" s="635">
        <v>6373312</v>
      </c>
      <c r="ASN366" s="633">
        <f>SUM(ASA366:ASL366)</f>
        <v>6373312</v>
      </c>
      <c r="ASO366" s="919" t="s">
        <v>1839</v>
      </c>
      <c r="ASP366" s="1643" t="s">
        <v>1840</v>
      </c>
      <c r="ASQ366" s="1648">
        <v>603740</v>
      </c>
      <c r="ASR366" s="1648">
        <v>515055</v>
      </c>
      <c r="ASS366" s="1648">
        <v>530271</v>
      </c>
      <c r="AST366" s="1648">
        <v>212051</v>
      </c>
      <c r="ASU366" s="1648">
        <v>131147</v>
      </c>
      <c r="ASV366" s="1648">
        <v>101889</v>
      </c>
      <c r="ASW366" s="1648">
        <v>453326</v>
      </c>
      <c r="ASX366" s="1648">
        <v>298813</v>
      </c>
      <c r="ASY366" s="1648">
        <v>605808</v>
      </c>
      <c r="ASZ366" s="1648">
        <v>847471</v>
      </c>
      <c r="ATA366" s="1648">
        <v>1070054</v>
      </c>
      <c r="ATB366" s="1648">
        <v>1003687</v>
      </c>
      <c r="ATC366" s="635">
        <v>6373312</v>
      </c>
      <c r="ATD366" s="633">
        <f>SUM(ASQ366:ATB366)</f>
        <v>6373312</v>
      </c>
      <c r="ATE366" s="919" t="s">
        <v>1839</v>
      </c>
      <c r="ATF366" s="1643" t="s">
        <v>1840</v>
      </c>
      <c r="ATG366" s="1648">
        <v>603740</v>
      </c>
      <c r="ATH366" s="1648">
        <v>515055</v>
      </c>
      <c r="ATI366" s="1648">
        <v>530271</v>
      </c>
      <c r="ATJ366" s="1648">
        <v>212051</v>
      </c>
      <c r="ATK366" s="1648">
        <v>131147</v>
      </c>
      <c r="ATL366" s="1648">
        <v>101889</v>
      </c>
      <c r="ATM366" s="1648">
        <v>453326</v>
      </c>
      <c r="ATN366" s="1648">
        <v>298813</v>
      </c>
      <c r="ATO366" s="1648">
        <v>605808</v>
      </c>
      <c r="ATP366" s="1648">
        <v>847471</v>
      </c>
      <c r="ATQ366" s="1648">
        <v>1070054</v>
      </c>
      <c r="ATR366" s="1648">
        <v>1003687</v>
      </c>
      <c r="ATS366" s="635">
        <v>6373312</v>
      </c>
      <c r="ATT366" s="633">
        <f>SUM(ATG366:ATR366)</f>
        <v>6373312</v>
      </c>
      <c r="ATU366" s="919" t="s">
        <v>1839</v>
      </c>
      <c r="ATV366" s="1643" t="s">
        <v>1840</v>
      </c>
      <c r="ATW366" s="1648">
        <v>603740</v>
      </c>
      <c r="ATX366" s="1648">
        <v>515055</v>
      </c>
      <c r="ATY366" s="1648">
        <v>530271</v>
      </c>
      <c r="ATZ366" s="1648">
        <v>212051</v>
      </c>
      <c r="AUA366" s="1648">
        <v>131147</v>
      </c>
      <c r="AUB366" s="1648">
        <v>101889</v>
      </c>
      <c r="AUC366" s="1648">
        <v>453326</v>
      </c>
      <c r="AUD366" s="1648">
        <v>298813</v>
      </c>
      <c r="AUE366" s="1648">
        <v>605808</v>
      </c>
      <c r="AUF366" s="1648">
        <v>847471</v>
      </c>
      <c r="AUG366" s="1648">
        <v>1070054</v>
      </c>
      <c r="AUH366" s="1648">
        <v>1003687</v>
      </c>
      <c r="AUI366" s="635">
        <v>6373312</v>
      </c>
      <c r="AUJ366" s="633">
        <f>SUM(ATW366:AUH366)</f>
        <v>6373312</v>
      </c>
      <c r="AUK366" s="919" t="s">
        <v>1839</v>
      </c>
      <c r="AUL366" s="1643" t="s">
        <v>1840</v>
      </c>
      <c r="AUM366" s="1648">
        <v>603740</v>
      </c>
      <c r="AUN366" s="1648">
        <v>515055</v>
      </c>
      <c r="AUO366" s="1648">
        <v>530271</v>
      </c>
      <c r="AUP366" s="1648">
        <v>212051</v>
      </c>
      <c r="AUQ366" s="1648">
        <v>131147</v>
      </c>
      <c r="AUR366" s="1648">
        <v>101889</v>
      </c>
      <c r="AUS366" s="1648">
        <v>453326</v>
      </c>
      <c r="AUT366" s="1648">
        <v>298813</v>
      </c>
      <c r="AUU366" s="1648">
        <v>605808</v>
      </c>
      <c r="AUV366" s="1648">
        <v>847471</v>
      </c>
      <c r="AUW366" s="1648">
        <v>1070054</v>
      </c>
      <c r="AUX366" s="1648">
        <v>1003687</v>
      </c>
      <c r="AUY366" s="635">
        <v>6373312</v>
      </c>
      <c r="AUZ366" s="633">
        <f>SUM(AUM366:AUX366)</f>
        <v>6373312</v>
      </c>
      <c r="AVA366" s="919" t="s">
        <v>1839</v>
      </c>
      <c r="AVB366" s="1643" t="s">
        <v>1840</v>
      </c>
      <c r="AVC366" s="1648">
        <v>603740</v>
      </c>
      <c r="AVD366" s="1648">
        <v>515055</v>
      </c>
      <c r="AVE366" s="1648">
        <v>530271</v>
      </c>
      <c r="AVF366" s="1648">
        <v>212051</v>
      </c>
      <c r="AVG366" s="1648">
        <v>131147</v>
      </c>
      <c r="AVH366" s="1648">
        <v>101889</v>
      </c>
      <c r="AVI366" s="1648">
        <v>453326</v>
      </c>
      <c r="AVJ366" s="1648">
        <v>298813</v>
      </c>
      <c r="AVK366" s="1648">
        <v>605808</v>
      </c>
      <c r="AVL366" s="1648">
        <v>847471</v>
      </c>
      <c r="AVM366" s="1648">
        <v>1070054</v>
      </c>
      <c r="AVN366" s="1648">
        <v>1003687</v>
      </c>
      <c r="AVO366" s="635">
        <v>6373312</v>
      </c>
      <c r="AVP366" s="633">
        <f>SUM(AVC366:AVN366)</f>
        <v>6373312</v>
      </c>
      <c r="AVQ366" s="919" t="s">
        <v>1839</v>
      </c>
      <c r="AVR366" s="1643" t="s">
        <v>1840</v>
      </c>
      <c r="AVS366" s="1648">
        <v>603740</v>
      </c>
      <c r="AVT366" s="1648">
        <v>515055</v>
      </c>
      <c r="AVU366" s="1648">
        <v>530271</v>
      </c>
      <c r="AVV366" s="1648">
        <v>212051</v>
      </c>
      <c r="AVW366" s="1648">
        <v>131147</v>
      </c>
      <c r="AVX366" s="1648">
        <v>101889</v>
      </c>
      <c r="AVY366" s="1648">
        <v>453326</v>
      </c>
      <c r="AVZ366" s="1648">
        <v>298813</v>
      </c>
      <c r="AWA366" s="1648">
        <v>605808</v>
      </c>
      <c r="AWB366" s="1648">
        <v>847471</v>
      </c>
      <c r="AWC366" s="1648">
        <v>1070054</v>
      </c>
      <c r="AWD366" s="1648">
        <v>1003687</v>
      </c>
      <c r="AWE366" s="635">
        <v>6373312</v>
      </c>
      <c r="AWF366" s="633">
        <f>SUM(AVS366:AWD366)</f>
        <v>6373312</v>
      </c>
      <c r="AWG366" s="919" t="s">
        <v>1839</v>
      </c>
      <c r="AWH366" s="1643" t="s">
        <v>1840</v>
      </c>
      <c r="AWI366" s="1648">
        <v>603740</v>
      </c>
      <c r="AWJ366" s="1648">
        <v>515055</v>
      </c>
      <c r="AWK366" s="1648">
        <v>530271</v>
      </c>
      <c r="AWL366" s="1648">
        <v>212051</v>
      </c>
      <c r="AWM366" s="1648">
        <v>131147</v>
      </c>
      <c r="AWN366" s="1648">
        <v>101889</v>
      </c>
      <c r="AWO366" s="1648">
        <v>453326</v>
      </c>
      <c r="AWP366" s="1648">
        <v>298813</v>
      </c>
      <c r="AWQ366" s="1648">
        <v>605808</v>
      </c>
      <c r="AWR366" s="1648">
        <v>847471</v>
      </c>
      <c r="AWS366" s="1648">
        <v>1070054</v>
      </c>
      <c r="AWT366" s="1648">
        <v>1003687</v>
      </c>
      <c r="AWU366" s="635">
        <v>6373312</v>
      </c>
      <c r="AWV366" s="633">
        <f>SUM(AWI366:AWT366)</f>
        <v>6373312</v>
      </c>
      <c r="AWW366" s="919" t="s">
        <v>1839</v>
      </c>
      <c r="AWX366" s="1643" t="s">
        <v>1840</v>
      </c>
      <c r="AWY366" s="1648">
        <v>603740</v>
      </c>
      <c r="AWZ366" s="1648">
        <v>515055</v>
      </c>
      <c r="AXA366" s="1648">
        <v>530271</v>
      </c>
      <c r="AXB366" s="1648">
        <v>212051</v>
      </c>
      <c r="AXC366" s="1648">
        <v>131147</v>
      </c>
      <c r="AXD366" s="1648">
        <v>101889</v>
      </c>
      <c r="AXE366" s="1648">
        <v>453326</v>
      </c>
      <c r="AXF366" s="1648">
        <v>298813</v>
      </c>
      <c r="AXG366" s="1648">
        <v>605808</v>
      </c>
      <c r="AXH366" s="1648">
        <v>847471</v>
      </c>
      <c r="AXI366" s="1648">
        <v>1070054</v>
      </c>
      <c r="AXJ366" s="1648">
        <v>1003687</v>
      </c>
      <c r="AXK366" s="635">
        <v>6373312</v>
      </c>
      <c r="AXL366" s="633">
        <f>SUM(AWY366:AXJ366)</f>
        <v>6373312</v>
      </c>
      <c r="AXM366" s="919" t="s">
        <v>1839</v>
      </c>
      <c r="AXN366" s="1643" t="s">
        <v>1840</v>
      </c>
      <c r="AXO366" s="1648">
        <v>603740</v>
      </c>
      <c r="AXP366" s="1648">
        <v>515055</v>
      </c>
      <c r="AXQ366" s="1648">
        <v>530271</v>
      </c>
      <c r="AXR366" s="1648">
        <v>212051</v>
      </c>
      <c r="AXS366" s="1648">
        <v>131147</v>
      </c>
      <c r="AXT366" s="1648">
        <v>101889</v>
      </c>
      <c r="AXU366" s="1648">
        <v>453326</v>
      </c>
      <c r="AXV366" s="1648">
        <v>298813</v>
      </c>
      <c r="AXW366" s="1648">
        <v>605808</v>
      </c>
      <c r="AXX366" s="1648">
        <v>847471</v>
      </c>
      <c r="AXY366" s="1648">
        <v>1070054</v>
      </c>
      <c r="AXZ366" s="1648">
        <v>1003687</v>
      </c>
      <c r="AYA366" s="635">
        <v>6373312</v>
      </c>
      <c r="AYB366" s="633">
        <f>SUM(AXO366:AXZ366)</f>
        <v>6373312</v>
      </c>
      <c r="AYC366" s="919" t="s">
        <v>1839</v>
      </c>
      <c r="AYD366" s="1643" t="s">
        <v>1840</v>
      </c>
      <c r="AYE366" s="1648">
        <v>603740</v>
      </c>
      <c r="AYF366" s="1648">
        <v>515055</v>
      </c>
      <c r="AYG366" s="1648">
        <v>530271</v>
      </c>
      <c r="AYH366" s="1648">
        <v>212051</v>
      </c>
      <c r="AYI366" s="1648">
        <v>131147</v>
      </c>
      <c r="AYJ366" s="1648">
        <v>101889</v>
      </c>
      <c r="AYK366" s="1648">
        <v>453326</v>
      </c>
      <c r="AYL366" s="1648">
        <v>298813</v>
      </c>
      <c r="AYM366" s="1648">
        <v>605808</v>
      </c>
      <c r="AYN366" s="1648">
        <v>847471</v>
      </c>
      <c r="AYO366" s="1648">
        <v>1070054</v>
      </c>
      <c r="AYP366" s="1648">
        <v>1003687</v>
      </c>
      <c r="AYQ366" s="635">
        <v>6373312</v>
      </c>
      <c r="AYR366" s="633">
        <f>SUM(AYE366:AYP366)</f>
        <v>6373312</v>
      </c>
      <c r="AYS366" s="919" t="s">
        <v>1839</v>
      </c>
      <c r="AYT366" s="1643" t="s">
        <v>1840</v>
      </c>
      <c r="AYU366" s="1648">
        <v>603740</v>
      </c>
      <c r="AYV366" s="1648">
        <v>515055</v>
      </c>
      <c r="AYW366" s="1648">
        <v>530271</v>
      </c>
      <c r="AYX366" s="1648">
        <v>212051</v>
      </c>
      <c r="AYY366" s="1648">
        <v>131147</v>
      </c>
      <c r="AYZ366" s="1648">
        <v>101889</v>
      </c>
      <c r="AZA366" s="1648">
        <v>453326</v>
      </c>
      <c r="AZB366" s="1648">
        <v>298813</v>
      </c>
      <c r="AZC366" s="1648">
        <v>605808</v>
      </c>
      <c r="AZD366" s="1648">
        <v>847471</v>
      </c>
      <c r="AZE366" s="1648">
        <v>1070054</v>
      </c>
      <c r="AZF366" s="1648">
        <v>1003687</v>
      </c>
      <c r="AZG366" s="635">
        <v>6373312</v>
      </c>
      <c r="AZH366" s="633">
        <f>SUM(AYU366:AZF366)</f>
        <v>6373312</v>
      </c>
      <c r="AZI366" s="919" t="s">
        <v>1839</v>
      </c>
      <c r="AZJ366" s="1643" t="s">
        <v>1840</v>
      </c>
      <c r="AZK366" s="1648">
        <v>603740</v>
      </c>
      <c r="AZL366" s="1648">
        <v>515055</v>
      </c>
      <c r="AZM366" s="1648">
        <v>530271</v>
      </c>
      <c r="AZN366" s="1648">
        <v>212051</v>
      </c>
      <c r="AZO366" s="1648">
        <v>131147</v>
      </c>
      <c r="AZP366" s="1648">
        <v>101889</v>
      </c>
      <c r="AZQ366" s="1648">
        <v>453326</v>
      </c>
      <c r="AZR366" s="1648">
        <v>298813</v>
      </c>
      <c r="AZS366" s="1648">
        <v>605808</v>
      </c>
      <c r="AZT366" s="1648">
        <v>847471</v>
      </c>
      <c r="AZU366" s="1648">
        <v>1070054</v>
      </c>
      <c r="AZV366" s="1648">
        <v>1003687</v>
      </c>
      <c r="AZW366" s="635">
        <v>6373312</v>
      </c>
      <c r="AZX366" s="633">
        <f>SUM(AZK366:AZV366)</f>
        <v>6373312</v>
      </c>
      <c r="AZY366" s="919" t="s">
        <v>1839</v>
      </c>
      <c r="AZZ366" s="1643" t="s">
        <v>1840</v>
      </c>
      <c r="BAA366" s="1648">
        <v>603740</v>
      </c>
      <c r="BAB366" s="1648">
        <v>515055</v>
      </c>
      <c r="BAC366" s="1648">
        <v>530271</v>
      </c>
      <c r="BAD366" s="1648">
        <v>212051</v>
      </c>
      <c r="BAE366" s="1648">
        <v>131147</v>
      </c>
      <c r="BAF366" s="1648">
        <v>101889</v>
      </c>
      <c r="BAG366" s="1648">
        <v>453326</v>
      </c>
      <c r="BAH366" s="1648">
        <v>298813</v>
      </c>
      <c r="BAI366" s="1648">
        <v>605808</v>
      </c>
      <c r="BAJ366" s="1648">
        <v>847471</v>
      </c>
      <c r="BAK366" s="1648">
        <v>1070054</v>
      </c>
      <c r="BAL366" s="1648">
        <v>1003687</v>
      </c>
      <c r="BAM366" s="635">
        <v>6373312</v>
      </c>
      <c r="BAN366" s="633">
        <f>SUM(BAA366:BAL366)</f>
        <v>6373312</v>
      </c>
      <c r="BAO366" s="919" t="s">
        <v>1839</v>
      </c>
      <c r="BAP366" s="1643" t="s">
        <v>1840</v>
      </c>
      <c r="BAQ366" s="1648">
        <v>603740</v>
      </c>
      <c r="BAR366" s="1648">
        <v>515055</v>
      </c>
      <c r="BAS366" s="1648">
        <v>530271</v>
      </c>
      <c r="BAT366" s="1648">
        <v>212051</v>
      </c>
      <c r="BAU366" s="1648">
        <v>131147</v>
      </c>
      <c r="BAV366" s="1648">
        <v>101889</v>
      </c>
      <c r="BAW366" s="1648">
        <v>453326</v>
      </c>
      <c r="BAX366" s="1648">
        <v>298813</v>
      </c>
      <c r="BAY366" s="1648">
        <v>605808</v>
      </c>
      <c r="BAZ366" s="1648">
        <v>847471</v>
      </c>
      <c r="BBA366" s="1648">
        <v>1070054</v>
      </c>
      <c r="BBB366" s="1648">
        <v>1003687</v>
      </c>
      <c r="BBC366" s="635">
        <v>6373312</v>
      </c>
      <c r="BBD366" s="633">
        <f>SUM(BAQ366:BBB366)</f>
        <v>6373312</v>
      </c>
      <c r="BBE366" s="919" t="s">
        <v>1839</v>
      </c>
      <c r="BBF366" s="1643" t="s">
        <v>1840</v>
      </c>
      <c r="BBG366" s="1648">
        <v>603740</v>
      </c>
      <c r="BBH366" s="1648">
        <v>515055</v>
      </c>
      <c r="BBI366" s="1648">
        <v>530271</v>
      </c>
      <c r="BBJ366" s="1648">
        <v>212051</v>
      </c>
      <c r="BBK366" s="1648">
        <v>131147</v>
      </c>
      <c r="BBL366" s="1648">
        <v>101889</v>
      </c>
      <c r="BBM366" s="1648">
        <v>453326</v>
      </c>
      <c r="BBN366" s="1648">
        <v>298813</v>
      </c>
      <c r="BBO366" s="1648">
        <v>605808</v>
      </c>
      <c r="BBP366" s="1648">
        <v>847471</v>
      </c>
      <c r="BBQ366" s="1648">
        <v>1070054</v>
      </c>
      <c r="BBR366" s="1648">
        <v>1003687</v>
      </c>
      <c r="BBS366" s="635">
        <v>6373312</v>
      </c>
      <c r="BBT366" s="633">
        <f>SUM(BBG366:BBR366)</f>
        <v>6373312</v>
      </c>
      <c r="BBU366" s="919" t="s">
        <v>1839</v>
      </c>
      <c r="BBV366" s="1643" t="s">
        <v>1840</v>
      </c>
      <c r="BBW366" s="1648">
        <v>603740</v>
      </c>
      <c r="BBX366" s="1648">
        <v>515055</v>
      </c>
      <c r="BBY366" s="1648">
        <v>530271</v>
      </c>
      <c r="BBZ366" s="1648">
        <v>212051</v>
      </c>
      <c r="BCA366" s="1648">
        <v>131147</v>
      </c>
      <c r="BCB366" s="1648">
        <v>101889</v>
      </c>
      <c r="BCC366" s="1648">
        <v>453326</v>
      </c>
      <c r="BCD366" s="1648">
        <v>298813</v>
      </c>
      <c r="BCE366" s="1648">
        <v>605808</v>
      </c>
      <c r="BCF366" s="1648">
        <v>847471</v>
      </c>
      <c r="BCG366" s="1648">
        <v>1070054</v>
      </c>
      <c r="BCH366" s="1648">
        <v>1003687</v>
      </c>
      <c r="BCI366" s="635">
        <v>6373312</v>
      </c>
      <c r="BCJ366" s="633">
        <f>SUM(BBW366:BCH366)</f>
        <v>6373312</v>
      </c>
      <c r="BCK366" s="919" t="s">
        <v>1839</v>
      </c>
      <c r="BCL366" s="1643" t="s">
        <v>1840</v>
      </c>
      <c r="BCM366" s="1648">
        <v>603740</v>
      </c>
      <c r="BCN366" s="1648">
        <v>515055</v>
      </c>
      <c r="BCO366" s="1648">
        <v>530271</v>
      </c>
      <c r="BCP366" s="1648">
        <v>212051</v>
      </c>
      <c r="BCQ366" s="1648">
        <v>131147</v>
      </c>
      <c r="BCR366" s="1648">
        <v>101889</v>
      </c>
      <c r="BCS366" s="1648">
        <v>453326</v>
      </c>
      <c r="BCT366" s="1648">
        <v>298813</v>
      </c>
      <c r="BCU366" s="1648">
        <v>605808</v>
      </c>
      <c r="BCV366" s="1648">
        <v>847471</v>
      </c>
      <c r="BCW366" s="1648">
        <v>1070054</v>
      </c>
      <c r="BCX366" s="1648">
        <v>1003687</v>
      </c>
      <c r="BCY366" s="635">
        <v>6373312</v>
      </c>
      <c r="BCZ366" s="633">
        <f>SUM(BCM366:BCX366)</f>
        <v>6373312</v>
      </c>
      <c r="BDA366" s="919" t="s">
        <v>1839</v>
      </c>
      <c r="BDB366" s="1643" t="s">
        <v>1840</v>
      </c>
      <c r="BDC366" s="1648">
        <v>603740</v>
      </c>
      <c r="BDD366" s="1648">
        <v>515055</v>
      </c>
      <c r="BDE366" s="1648">
        <v>530271</v>
      </c>
      <c r="BDF366" s="1648">
        <v>212051</v>
      </c>
      <c r="BDG366" s="1648">
        <v>131147</v>
      </c>
      <c r="BDH366" s="1648">
        <v>101889</v>
      </c>
      <c r="BDI366" s="1648">
        <v>453326</v>
      </c>
      <c r="BDJ366" s="1648">
        <v>298813</v>
      </c>
      <c r="BDK366" s="1648">
        <v>605808</v>
      </c>
      <c r="BDL366" s="1648">
        <v>847471</v>
      </c>
      <c r="BDM366" s="1648">
        <v>1070054</v>
      </c>
      <c r="BDN366" s="1648">
        <v>1003687</v>
      </c>
      <c r="BDO366" s="635">
        <v>6373312</v>
      </c>
      <c r="BDP366" s="633">
        <f>SUM(BDC366:BDN366)</f>
        <v>6373312</v>
      </c>
      <c r="BDQ366" s="919" t="s">
        <v>1839</v>
      </c>
      <c r="BDR366" s="1643" t="s">
        <v>1840</v>
      </c>
      <c r="BDS366" s="1648">
        <v>603740</v>
      </c>
      <c r="BDT366" s="1648">
        <v>515055</v>
      </c>
      <c r="BDU366" s="1648">
        <v>530271</v>
      </c>
      <c r="BDV366" s="1648">
        <v>212051</v>
      </c>
      <c r="BDW366" s="1648">
        <v>131147</v>
      </c>
      <c r="BDX366" s="1648">
        <v>101889</v>
      </c>
      <c r="BDY366" s="1648">
        <v>453326</v>
      </c>
      <c r="BDZ366" s="1648">
        <v>298813</v>
      </c>
      <c r="BEA366" s="1648">
        <v>605808</v>
      </c>
      <c r="BEB366" s="1648">
        <v>847471</v>
      </c>
      <c r="BEC366" s="1648">
        <v>1070054</v>
      </c>
      <c r="BED366" s="1648">
        <v>1003687</v>
      </c>
      <c r="BEE366" s="635">
        <v>6373312</v>
      </c>
      <c r="BEF366" s="633">
        <f>SUM(BDS366:BED366)</f>
        <v>6373312</v>
      </c>
      <c r="BEG366" s="919" t="s">
        <v>1839</v>
      </c>
      <c r="BEH366" s="1643" t="s">
        <v>1840</v>
      </c>
      <c r="BEI366" s="1648">
        <v>603740</v>
      </c>
      <c r="BEJ366" s="1648">
        <v>515055</v>
      </c>
      <c r="BEK366" s="1648">
        <v>530271</v>
      </c>
      <c r="BEL366" s="1648">
        <v>212051</v>
      </c>
      <c r="BEM366" s="1648">
        <v>131147</v>
      </c>
      <c r="BEN366" s="1648">
        <v>101889</v>
      </c>
      <c r="BEO366" s="1648">
        <v>453326</v>
      </c>
      <c r="BEP366" s="1648">
        <v>298813</v>
      </c>
      <c r="BEQ366" s="1648">
        <v>605808</v>
      </c>
      <c r="BER366" s="1648">
        <v>847471</v>
      </c>
      <c r="BES366" s="1648">
        <v>1070054</v>
      </c>
      <c r="BET366" s="1648">
        <v>1003687</v>
      </c>
      <c r="BEU366" s="635">
        <v>6373312</v>
      </c>
      <c r="BEV366" s="633">
        <f>SUM(BEI366:BET366)</f>
        <v>6373312</v>
      </c>
      <c r="BEW366" s="919" t="s">
        <v>1839</v>
      </c>
      <c r="BEX366" s="1643" t="s">
        <v>1840</v>
      </c>
      <c r="BEY366" s="1648">
        <v>603740</v>
      </c>
      <c r="BEZ366" s="1648">
        <v>515055</v>
      </c>
      <c r="BFA366" s="1648">
        <v>530271</v>
      </c>
      <c r="BFB366" s="1648">
        <v>212051</v>
      </c>
      <c r="BFC366" s="1648">
        <v>131147</v>
      </c>
      <c r="BFD366" s="1648">
        <v>101889</v>
      </c>
      <c r="BFE366" s="1648">
        <v>453326</v>
      </c>
      <c r="BFF366" s="1648">
        <v>298813</v>
      </c>
      <c r="BFG366" s="1648">
        <v>605808</v>
      </c>
      <c r="BFH366" s="1648">
        <v>847471</v>
      </c>
      <c r="BFI366" s="1648">
        <v>1070054</v>
      </c>
      <c r="BFJ366" s="1648">
        <v>1003687</v>
      </c>
      <c r="BFK366" s="635">
        <v>6373312</v>
      </c>
      <c r="BFL366" s="633">
        <f>SUM(BEY366:BFJ366)</f>
        <v>6373312</v>
      </c>
      <c r="BFM366" s="919" t="s">
        <v>1839</v>
      </c>
      <c r="BFN366" s="1643" t="s">
        <v>1840</v>
      </c>
      <c r="BFO366" s="1648">
        <v>603740</v>
      </c>
      <c r="BFP366" s="1648">
        <v>515055</v>
      </c>
      <c r="BFQ366" s="1648">
        <v>530271</v>
      </c>
      <c r="BFR366" s="1648">
        <v>212051</v>
      </c>
      <c r="BFS366" s="1648">
        <v>131147</v>
      </c>
      <c r="BFT366" s="1648">
        <v>101889</v>
      </c>
      <c r="BFU366" s="1648">
        <v>453326</v>
      </c>
      <c r="BFV366" s="1648">
        <v>298813</v>
      </c>
      <c r="BFW366" s="1648">
        <v>605808</v>
      </c>
      <c r="BFX366" s="1648">
        <v>847471</v>
      </c>
      <c r="BFY366" s="1648">
        <v>1070054</v>
      </c>
      <c r="BFZ366" s="1648">
        <v>1003687</v>
      </c>
      <c r="BGA366" s="635">
        <v>6373312</v>
      </c>
      <c r="BGB366" s="633">
        <f>SUM(BFO366:BFZ366)</f>
        <v>6373312</v>
      </c>
      <c r="BGC366" s="919" t="s">
        <v>1839</v>
      </c>
      <c r="BGD366" s="1643" t="s">
        <v>1840</v>
      </c>
      <c r="BGE366" s="1648">
        <v>603740</v>
      </c>
      <c r="BGF366" s="1648">
        <v>515055</v>
      </c>
      <c r="BGG366" s="1648">
        <v>530271</v>
      </c>
      <c r="BGH366" s="1648">
        <v>212051</v>
      </c>
      <c r="BGI366" s="1648">
        <v>131147</v>
      </c>
      <c r="BGJ366" s="1648">
        <v>101889</v>
      </c>
      <c r="BGK366" s="1648">
        <v>453326</v>
      </c>
      <c r="BGL366" s="1648">
        <v>298813</v>
      </c>
      <c r="BGM366" s="1648">
        <v>605808</v>
      </c>
      <c r="BGN366" s="1648">
        <v>847471</v>
      </c>
      <c r="BGO366" s="1648">
        <v>1070054</v>
      </c>
      <c r="BGP366" s="1648">
        <v>1003687</v>
      </c>
      <c r="BGQ366" s="635">
        <v>6373312</v>
      </c>
      <c r="BGR366" s="633">
        <f>SUM(BGE366:BGP366)</f>
        <v>6373312</v>
      </c>
      <c r="BGS366" s="919" t="s">
        <v>1839</v>
      </c>
      <c r="BGT366" s="1643" t="s">
        <v>1840</v>
      </c>
      <c r="BGU366" s="1648">
        <v>603740</v>
      </c>
      <c r="BGV366" s="1648">
        <v>515055</v>
      </c>
      <c r="BGW366" s="1648">
        <v>530271</v>
      </c>
      <c r="BGX366" s="1648">
        <v>212051</v>
      </c>
      <c r="BGY366" s="1648">
        <v>131147</v>
      </c>
      <c r="BGZ366" s="1648">
        <v>101889</v>
      </c>
      <c r="BHA366" s="1648">
        <v>453326</v>
      </c>
      <c r="BHB366" s="1648">
        <v>298813</v>
      </c>
      <c r="BHC366" s="1648">
        <v>605808</v>
      </c>
      <c r="BHD366" s="1648">
        <v>847471</v>
      </c>
      <c r="BHE366" s="1648">
        <v>1070054</v>
      </c>
      <c r="BHF366" s="1648">
        <v>1003687</v>
      </c>
      <c r="BHG366" s="635">
        <v>6373312</v>
      </c>
      <c r="BHH366" s="633">
        <f>SUM(BGU366:BHF366)</f>
        <v>6373312</v>
      </c>
      <c r="BHI366" s="919" t="s">
        <v>1839</v>
      </c>
      <c r="BHJ366" s="1643" t="s">
        <v>1840</v>
      </c>
      <c r="BHK366" s="1648">
        <v>603740</v>
      </c>
      <c r="BHL366" s="1648">
        <v>515055</v>
      </c>
      <c r="BHM366" s="1648">
        <v>530271</v>
      </c>
      <c r="BHN366" s="1648">
        <v>212051</v>
      </c>
      <c r="BHO366" s="1648">
        <v>131147</v>
      </c>
      <c r="BHP366" s="1648">
        <v>101889</v>
      </c>
      <c r="BHQ366" s="1648">
        <v>453326</v>
      </c>
      <c r="BHR366" s="1648">
        <v>298813</v>
      </c>
      <c r="BHS366" s="1648">
        <v>605808</v>
      </c>
      <c r="BHT366" s="1648">
        <v>847471</v>
      </c>
      <c r="BHU366" s="1648">
        <v>1070054</v>
      </c>
      <c r="BHV366" s="1648">
        <v>1003687</v>
      </c>
      <c r="BHW366" s="635">
        <v>6373312</v>
      </c>
      <c r="BHX366" s="633">
        <f>SUM(BHK366:BHV366)</f>
        <v>6373312</v>
      </c>
      <c r="BHY366" s="919" t="s">
        <v>1839</v>
      </c>
      <c r="BHZ366" s="1643" t="s">
        <v>1840</v>
      </c>
      <c r="BIA366" s="1648">
        <v>603740</v>
      </c>
      <c r="BIB366" s="1648">
        <v>515055</v>
      </c>
      <c r="BIC366" s="1648">
        <v>530271</v>
      </c>
      <c r="BID366" s="1648">
        <v>212051</v>
      </c>
      <c r="BIE366" s="1648">
        <v>131147</v>
      </c>
      <c r="BIF366" s="1648">
        <v>101889</v>
      </c>
      <c r="BIG366" s="1648">
        <v>453326</v>
      </c>
      <c r="BIH366" s="1648">
        <v>298813</v>
      </c>
      <c r="BII366" s="1648">
        <v>605808</v>
      </c>
      <c r="BIJ366" s="1648">
        <v>847471</v>
      </c>
      <c r="BIK366" s="1648">
        <v>1070054</v>
      </c>
      <c r="BIL366" s="1648">
        <v>1003687</v>
      </c>
      <c r="BIM366" s="635">
        <v>6373312</v>
      </c>
      <c r="BIN366" s="633">
        <f>SUM(BIA366:BIL366)</f>
        <v>6373312</v>
      </c>
      <c r="BIO366" s="919" t="s">
        <v>1839</v>
      </c>
      <c r="BIP366" s="1643" t="s">
        <v>1840</v>
      </c>
      <c r="BIQ366" s="1648">
        <v>603740</v>
      </c>
      <c r="BIR366" s="1648">
        <v>515055</v>
      </c>
      <c r="BIS366" s="1648">
        <v>530271</v>
      </c>
      <c r="BIT366" s="1648">
        <v>212051</v>
      </c>
      <c r="BIU366" s="1648">
        <v>131147</v>
      </c>
      <c r="BIV366" s="1648">
        <v>101889</v>
      </c>
      <c r="BIW366" s="1648">
        <v>453326</v>
      </c>
      <c r="BIX366" s="1648">
        <v>298813</v>
      </c>
      <c r="BIY366" s="1648">
        <v>605808</v>
      </c>
      <c r="BIZ366" s="1648">
        <v>847471</v>
      </c>
      <c r="BJA366" s="1648">
        <v>1070054</v>
      </c>
      <c r="BJB366" s="1648">
        <v>1003687</v>
      </c>
      <c r="BJC366" s="635">
        <v>6373312</v>
      </c>
      <c r="BJD366" s="633">
        <f>SUM(BIQ366:BJB366)</f>
        <v>6373312</v>
      </c>
      <c r="BJE366" s="919" t="s">
        <v>1839</v>
      </c>
      <c r="BJF366" s="1643" t="s">
        <v>1840</v>
      </c>
      <c r="BJG366" s="1648">
        <v>603740</v>
      </c>
      <c r="BJH366" s="1648">
        <v>515055</v>
      </c>
      <c r="BJI366" s="1648">
        <v>530271</v>
      </c>
      <c r="BJJ366" s="1648">
        <v>212051</v>
      </c>
      <c r="BJK366" s="1648">
        <v>131147</v>
      </c>
      <c r="BJL366" s="1648">
        <v>101889</v>
      </c>
      <c r="BJM366" s="1648">
        <v>453326</v>
      </c>
      <c r="BJN366" s="1648">
        <v>298813</v>
      </c>
      <c r="BJO366" s="1648">
        <v>605808</v>
      </c>
      <c r="BJP366" s="1648">
        <v>847471</v>
      </c>
      <c r="BJQ366" s="1648">
        <v>1070054</v>
      </c>
      <c r="BJR366" s="1648">
        <v>1003687</v>
      </c>
      <c r="BJS366" s="635">
        <v>6373312</v>
      </c>
      <c r="BJT366" s="633">
        <f>SUM(BJG366:BJR366)</f>
        <v>6373312</v>
      </c>
      <c r="BJU366" s="919" t="s">
        <v>1839</v>
      </c>
      <c r="BJV366" s="1643" t="s">
        <v>1840</v>
      </c>
      <c r="BJW366" s="1648">
        <v>603740</v>
      </c>
      <c r="BJX366" s="1648">
        <v>515055</v>
      </c>
      <c r="BJY366" s="1648">
        <v>530271</v>
      </c>
      <c r="BJZ366" s="1648">
        <v>212051</v>
      </c>
      <c r="BKA366" s="1648">
        <v>131147</v>
      </c>
      <c r="BKB366" s="1648">
        <v>101889</v>
      </c>
      <c r="BKC366" s="1648">
        <v>453326</v>
      </c>
      <c r="BKD366" s="1648">
        <v>298813</v>
      </c>
      <c r="BKE366" s="1648">
        <v>605808</v>
      </c>
      <c r="BKF366" s="1648">
        <v>847471</v>
      </c>
      <c r="BKG366" s="1648">
        <v>1070054</v>
      </c>
      <c r="BKH366" s="1648">
        <v>1003687</v>
      </c>
      <c r="BKI366" s="635">
        <v>6373312</v>
      </c>
      <c r="BKJ366" s="633">
        <f>SUM(BJW366:BKH366)</f>
        <v>6373312</v>
      </c>
      <c r="BKK366" s="919" t="s">
        <v>1839</v>
      </c>
      <c r="BKL366" s="1643" t="s">
        <v>1840</v>
      </c>
      <c r="BKM366" s="1648">
        <v>603740</v>
      </c>
      <c r="BKN366" s="1648">
        <v>515055</v>
      </c>
      <c r="BKO366" s="1648">
        <v>530271</v>
      </c>
      <c r="BKP366" s="1648">
        <v>212051</v>
      </c>
      <c r="BKQ366" s="1648">
        <v>131147</v>
      </c>
      <c r="BKR366" s="1648">
        <v>101889</v>
      </c>
      <c r="BKS366" s="1648">
        <v>453326</v>
      </c>
      <c r="BKT366" s="1648">
        <v>298813</v>
      </c>
      <c r="BKU366" s="1648">
        <v>605808</v>
      </c>
      <c r="BKV366" s="1648">
        <v>847471</v>
      </c>
      <c r="BKW366" s="1648">
        <v>1070054</v>
      </c>
      <c r="BKX366" s="1648">
        <v>1003687</v>
      </c>
      <c r="BKY366" s="635">
        <v>6373312</v>
      </c>
      <c r="BKZ366" s="633">
        <f>SUM(BKM366:BKX366)</f>
        <v>6373312</v>
      </c>
      <c r="BLA366" s="919" t="s">
        <v>1839</v>
      </c>
      <c r="BLB366" s="1643" t="s">
        <v>1840</v>
      </c>
      <c r="BLC366" s="1648">
        <v>603740</v>
      </c>
      <c r="BLD366" s="1648">
        <v>515055</v>
      </c>
      <c r="BLE366" s="1648">
        <v>530271</v>
      </c>
      <c r="BLF366" s="1648">
        <v>212051</v>
      </c>
      <c r="BLG366" s="1648">
        <v>131147</v>
      </c>
      <c r="BLH366" s="1648">
        <v>101889</v>
      </c>
      <c r="BLI366" s="1648">
        <v>453326</v>
      </c>
      <c r="BLJ366" s="1648">
        <v>298813</v>
      </c>
      <c r="BLK366" s="1648">
        <v>605808</v>
      </c>
      <c r="BLL366" s="1648">
        <v>847471</v>
      </c>
      <c r="BLM366" s="1648">
        <v>1070054</v>
      </c>
      <c r="BLN366" s="1648">
        <v>1003687</v>
      </c>
      <c r="BLO366" s="635">
        <v>6373312</v>
      </c>
      <c r="BLP366" s="633">
        <f>SUM(BLC366:BLN366)</f>
        <v>6373312</v>
      </c>
      <c r="BLQ366" s="919" t="s">
        <v>1839</v>
      </c>
      <c r="BLR366" s="1643" t="s">
        <v>1840</v>
      </c>
      <c r="BLS366" s="1648">
        <v>603740</v>
      </c>
      <c r="BLT366" s="1648">
        <v>515055</v>
      </c>
      <c r="BLU366" s="1648">
        <v>530271</v>
      </c>
      <c r="BLV366" s="1648">
        <v>212051</v>
      </c>
      <c r="BLW366" s="1648">
        <v>131147</v>
      </c>
      <c r="BLX366" s="1648">
        <v>101889</v>
      </c>
      <c r="BLY366" s="1648">
        <v>453326</v>
      </c>
      <c r="BLZ366" s="1648">
        <v>298813</v>
      </c>
      <c r="BMA366" s="1648">
        <v>605808</v>
      </c>
      <c r="BMB366" s="1648">
        <v>847471</v>
      </c>
      <c r="BMC366" s="1648">
        <v>1070054</v>
      </c>
      <c r="BMD366" s="1648">
        <v>1003687</v>
      </c>
      <c r="BME366" s="635">
        <v>6373312</v>
      </c>
      <c r="BMF366" s="633">
        <f>SUM(BLS366:BMD366)</f>
        <v>6373312</v>
      </c>
      <c r="BMG366" s="919" t="s">
        <v>1839</v>
      </c>
      <c r="BMH366" s="1643" t="s">
        <v>1840</v>
      </c>
      <c r="BMI366" s="1648">
        <v>603740</v>
      </c>
      <c r="BMJ366" s="1648">
        <v>515055</v>
      </c>
      <c r="BMK366" s="1648">
        <v>530271</v>
      </c>
      <c r="BML366" s="1648">
        <v>212051</v>
      </c>
      <c r="BMM366" s="1648">
        <v>131147</v>
      </c>
      <c r="BMN366" s="1648">
        <v>101889</v>
      </c>
      <c r="BMO366" s="1648">
        <v>453326</v>
      </c>
      <c r="BMP366" s="1648">
        <v>298813</v>
      </c>
      <c r="BMQ366" s="1648">
        <v>605808</v>
      </c>
      <c r="BMR366" s="1648">
        <v>847471</v>
      </c>
      <c r="BMS366" s="1648">
        <v>1070054</v>
      </c>
      <c r="BMT366" s="1648">
        <v>1003687</v>
      </c>
      <c r="BMU366" s="635">
        <v>6373312</v>
      </c>
      <c r="BMV366" s="633">
        <f>SUM(BMI366:BMT366)</f>
        <v>6373312</v>
      </c>
      <c r="BMW366" s="919" t="s">
        <v>1839</v>
      </c>
      <c r="BMX366" s="1643" t="s">
        <v>1840</v>
      </c>
      <c r="BMY366" s="1648">
        <v>603740</v>
      </c>
      <c r="BMZ366" s="1648">
        <v>515055</v>
      </c>
      <c r="BNA366" s="1648">
        <v>530271</v>
      </c>
      <c r="BNB366" s="1648">
        <v>212051</v>
      </c>
      <c r="BNC366" s="1648">
        <v>131147</v>
      </c>
      <c r="BND366" s="1648">
        <v>101889</v>
      </c>
      <c r="BNE366" s="1648">
        <v>453326</v>
      </c>
      <c r="BNF366" s="1648">
        <v>298813</v>
      </c>
      <c r="BNG366" s="1648">
        <v>605808</v>
      </c>
      <c r="BNH366" s="1648">
        <v>847471</v>
      </c>
      <c r="BNI366" s="1648">
        <v>1070054</v>
      </c>
      <c r="BNJ366" s="1648">
        <v>1003687</v>
      </c>
      <c r="BNK366" s="635">
        <v>6373312</v>
      </c>
      <c r="BNL366" s="633">
        <f>SUM(BMY366:BNJ366)</f>
        <v>6373312</v>
      </c>
      <c r="BNM366" s="919" t="s">
        <v>1839</v>
      </c>
      <c r="BNN366" s="1643" t="s">
        <v>1840</v>
      </c>
      <c r="BNO366" s="1648">
        <v>603740</v>
      </c>
      <c r="BNP366" s="1648">
        <v>515055</v>
      </c>
      <c r="BNQ366" s="1648">
        <v>530271</v>
      </c>
      <c r="BNR366" s="1648">
        <v>212051</v>
      </c>
      <c r="BNS366" s="1648">
        <v>131147</v>
      </c>
      <c r="BNT366" s="1648">
        <v>101889</v>
      </c>
      <c r="BNU366" s="1648">
        <v>453326</v>
      </c>
      <c r="BNV366" s="1648">
        <v>298813</v>
      </c>
      <c r="BNW366" s="1648">
        <v>605808</v>
      </c>
      <c r="BNX366" s="1648">
        <v>847471</v>
      </c>
      <c r="BNY366" s="1648">
        <v>1070054</v>
      </c>
      <c r="BNZ366" s="1648">
        <v>1003687</v>
      </c>
      <c r="BOA366" s="635">
        <v>6373312</v>
      </c>
      <c r="BOB366" s="633">
        <f>SUM(BNO366:BNZ366)</f>
        <v>6373312</v>
      </c>
      <c r="BOC366" s="919" t="s">
        <v>1839</v>
      </c>
      <c r="BOD366" s="1643" t="s">
        <v>1840</v>
      </c>
      <c r="BOE366" s="1648">
        <v>603740</v>
      </c>
      <c r="BOF366" s="1648">
        <v>515055</v>
      </c>
      <c r="BOG366" s="1648">
        <v>530271</v>
      </c>
      <c r="BOH366" s="1648">
        <v>212051</v>
      </c>
      <c r="BOI366" s="1648">
        <v>131147</v>
      </c>
      <c r="BOJ366" s="1648">
        <v>101889</v>
      </c>
      <c r="BOK366" s="1648">
        <v>453326</v>
      </c>
      <c r="BOL366" s="1648">
        <v>298813</v>
      </c>
      <c r="BOM366" s="1648">
        <v>605808</v>
      </c>
      <c r="BON366" s="1648">
        <v>847471</v>
      </c>
      <c r="BOO366" s="1648">
        <v>1070054</v>
      </c>
      <c r="BOP366" s="1648">
        <v>1003687</v>
      </c>
      <c r="BOQ366" s="635">
        <v>6373312</v>
      </c>
      <c r="BOR366" s="633">
        <f>SUM(BOE366:BOP366)</f>
        <v>6373312</v>
      </c>
      <c r="BOS366" s="919" t="s">
        <v>1839</v>
      </c>
      <c r="BOT366" s="1643" t="s">
        <v>1840</v>
      </c>
      <c r="BOU366" s="1648">
        <v>603740</v>
      </c>
      <c r="BOV366" s="1648">
        <v>515055</v>
      </c>
      <c r="BOW366" s="1648">
        <v>530271</v>
      </c>
      <c r="BOX366" s="1648">
        <v>212051</v>
      </c>
      <c r="BOY366" s="1648">
        <v>131147</v>
      </c>
      <c r="BOZ366" s="1648">
        <v>101889</v>
      </c>
      <c r="BPA366" s="1648">
        <v>453326</v>
      </c>
      <c r="BPB366" s="1648">
        <v>298813</v>
      </c>
      <c r="BPC366" s="1648">
        <v>605808</v>
      </c>
      <c r="BPD366" s="1648">
        <v>847471</v>
      </c>
      <c r="BPE366" s="1648">
        <v>1070054</v>
      </c>
      <c r="BPF366" s="1648">
        <v>1003687</v>
      </c>
      <c r="BPG366" s="635">
        <v>6373312</v>
      </c>
      <c r="BPH366" s="633">
        <f>SUM(BOU366:BPF366)</f>
        <v>6373312</v>
      </c>
      <c r="BPI366" s="919" t="s">
        <v>1839</v>
      </c>
      <c r="BPJ366" s="1643" t="s">
        <v>1840</v>
      </c>
      <c r="BPK366" s="1648">
        <v>603740</v>
      </c>
      <c r="BPL366" s="1648">
        <v>515055</v>
      </c>
      <c r="BPM366" s="1648">
        <v>530271</v>
      </c>
      <c r="BPN366" s="1648">
        <v>212051</v>
      </c>
      <c r="BPO366" s="1648">
        <v>131147</v>
      </c>
      <c r="BPP366" s="1648">
        <v>101889</v>
      </c>
      <c r="BPQ366" s="1648">
        <v>453326</v>
      </c>
      <c r="BPR366" s="1648">
        <v>298813</v>
      </c>
      <c r="BPS366" s="1648">
        <v>605808</v>
      </c>
      <c r="BPT366" s="1648">
        <v>847471</v>
      </c>
      <c r="BPU366" s="1648">
        <v>1070054</v>
      </c>
      <c r="BPV366" s="1648">
        <v>1003687</v>
      </c>
      <c r="BPW366" s="635">
        <v>6373312</v>
      </c>
      <c r="BPX366" s="633">
        <f>SUM(BPK366:BPV366)</f>
        <v>6373312</v>
      </c>
      <c r="BPY366" s="919" t="s">
        <v>1839</v>
      </c>
      <c r="BPZ366" s="1643" t="s">
        <v>1840</v>
      </c>
      <c r="BQA366" s="1648">
        <v>603740</v>
      </c>
      <c r="BQB366" s="1648">
        <v>515055</v>
      </c>
      <c r="BQC366" s="1648">
        <v>530271</v>
      </c>
      <c r="BQD366" s="1648">
        <v>212051</v>
      </c>
      <c r="BQE366" s="1648">
        <v>131147</v>
      </c>
      <c r="BQF366" s="1648">
        <v>101889</v>
      </c>
      <c r="BQG366" s="1648">
        <v>453326</v>
      </c>
      <c r="BQH366" s="1648">
        <v>298813</v>
      </c>
      <c r="BQI366" s="1648">
        <v>605808</v>
      </c>
      <c r="BQJ366" s="1648">
        <v>847471</v>
      </c>
      <c r="BQK366" s="1648">
        <v>1070054</v>
      </c>
      <c r="BQL366" s="1648">
        <v>1003687</v>
      </c>
      <c r="BQM366" s="635">
        <v>6373312</v>
      </c>
      <c r="BQN366" s="633">
        <f>SUM(BQA366:BQL366)</f>
        <v>6373312</v>
      </c>
      <c r="BQO366" s="919" t="s">
        <v>1839</v>
      </c>
      <c r="BQP366" s="1643" t="s">
        <v>1840</v>
      </c>
      <c r="BQQ366" s="1648">
        <v>603740</v>
      </c>
      <c r="BQR366" s="1648">
        <v>515055</v>
      </c>
      <c r="BQS366" s="1648">
        <v>530271</v>
      </c>
      <c r="BQT366" s="1648">
        <v>212051</v>
      </c>
      <c r="BQU366" s="1648">
        <v>131147</v>
      </c>
      <c r="BQV366" s="1648">
        <v>101889</v>
      </c>
      <c r="BQW366" s="1648">
        <v>453326</v>
      </c>
      <c r="BQX366" s="1648">
        <v>298813</v>
      </c>
      <c r="BQY366" s="1648">
        <v>605808</v>
      </c>
      <c r="BQZ366" s="1648">
        <v>847471</v>
      </c>
      <c r="BRA366" s="1648">
        <v>1070054</v>
      </c>
      <c r="BRB366" s="1648">
        <v>1003687</v>
      </c>
      <c r="BRC366" s="635">
        <v>6373312</v>
      </c>
      <c r="BRD366" s="633">
        <f>SUM(BQQ366:BRB366)</f>
        <v>6373312</v>
      </c>
      <c r="BRE366" s="919" t="s">
        <v>1839</v>
      </c>
      <c r="BRF366" s="1643" t="s">
        <v>1840</v>
      </c>
      <c r="BRG366" s="1648">
        <v>603740</v>
      </c>
      <c r="BRH366" s="1648">
        <v>515055</v>
      </c>
      <c r="BRI366" s="1648">
        <v>530271</v>
      </c>
      <c r="BRJ366" s="1648">
        <v>212051</v>
      </c>
      <c r="BRK366" s="1648">
        <v>131147</v>
      </c>
      <c r="BRL366" s="1648">
        <v>101889</v>
      </c>
      <c r="BRM366" s="1648">
        <v>453326</v>
      </c>
      <c r="BRN366" s="1648">
        <v>298813</v>
      </c>
      <c r="BRO366" s="1648">
        <v>605808</v>
      </c>
      <c r="BRP366" s="1648">
        <v>847471</v>
      </c>
      <c r="BRQ366" s="1648">
        <v>1070054</v>
      </c>
      <c r="BRR366" s="1648">
        <v>1003687</v>
      </c>
      <c r="BRS366" s="635">
        <v>6373312</v>
      </c>
      <c r="BRT366" s="633">
        <f>SUM(BRG366:BRR366)</f>
        <v>6373312</v>
      </c>
      <c r="BRU366" s="919" t="s">
        <v>1839</v>
      </c>
      <c r="BRV366" s="1643" t="s">
        <v>1840</v>
      </c>
      <c r="BRW366" s="1648">
        <v>603740</v>
      </c>
      <c r="BRX366" s="1648">
        <v>515055</v>
      </c>
      <c r="BRY366" s="1648">
        <v>530271</v>
      </c>
      <c r="BRZ366" s="1648">
        <v>212051</v>
      </c>
      <c r="BSA366" s="1648">
        <v>131147</v>
      </c>
      <c r="BSB366" s="1648">
        <v>101889</v>
      </c>
      <c r="BSC366" s="1648">
        <v>453326</v>
      </c>
      <c r="BSD366" s="1648">
        <v>298813</v>
      </c>
      <c r="BSE366" s="1648">
        <v>605808</v>
      </c>
      <c r="BSF366" s="1648">
        <v>847471</v>
      </c>
      <c r="BSG366" s="1648">
        <v>1070054</v>
      </c>
      <c r="BSH366" s="1648">
        <v>1003687</v>
      </c>
      <c r="BSI366" s="635">
        <v>6373312</v>
      </c>
      <c r="BSJ366" s="633">
        <f>SUM(BRW366:BSH366)</f>
        <v>6373312</v>
      </c>
      <c r="BSK366" s="919" t="s">
        <v>1839</v>
      </c>
      <c r="BSL366" s="1643" t="s">
        <v>1840</v>
      </c>
      <c r="BSM366" s="1648">
        <v>603740</v>
      </c>
      <c r="BSN366" s="1648">
        <v>515055</v>
      </c>
      <c r="BSO366" s="1648">
        <v>530271</v>
      </c>
      <c r="BSP366" s="1648">
        <v>212051</v>
      </c>
      <c r="BSQ366" s="1648">
        <v>131147</v>
      </c>
      <c r="BSR366" s="1648">
        <v>101889</v>
      </c>
      <c r="BSS366" s="1648">
        <v>453326</v>
      </c>
      <c r="BST366" s="1648">
        <v>298813</v>
      </c>
      <c r="BSU366" s="1648">
        <v>605808</v>
      </c>
      <c r="BSV366" s="1648">
        <v>847471</v>
      </c>
      <c r="BSW366" s="1648">
        <v>1070054</v>
      </c>
      <c r="BSX366" s="1648">
        <v>1003687</v>
      </c>
      <c r="BSY366" s="635">
        <v>6373312</v>
      </c>
      <c r="BSZ366" s="633">
        <f>SUM(BSM366:BSX366)</f>
        <v>6373312</v>
      </c>
      <c r="BTA366" s="919" t="s">
        <v>1839</v>
      </c>
      <c r="BTB366" s="1643" t="s">
        <v>1840</v>
      </c>
      <c r="BTC366" s="1648">
        <v>603740</v>
      </c>
      <c r="BTD366" s="1648">
        <v>515055</v>
      </c>
      <c r="BTE366" s="1648">
        <v>530271</v>
      </c>
      <c r="BTF366" s="1648">
        <v>212051</v>
      </c>
      <c r="BTG366" s="1648">
        <v>131147</v>
      </c>
      <c r="BTH366" s="1648">
        <v>101889</v>
      </c>
      <c r="BTI366" s="1648">
        <v>453326</v>
      </c>
      <c r="BTJ366" s="1648">
        <v>298813</v>
      </c>
      <c r="BTK366" s="1648">
        <v>605808</v>
      </c>
      <c r="BTL366" s="1648">
        <v>847471</v>
      </c>
      <c r="BTM366" s="1648">
        <v>1070054</v>
      </c>
      <c r="BTN366" s="1648">
        <v>1003687</v>
      </c>
      <c r="BTO366" s="635">
        <v>6373312</v>
      </c>
      <c r="BTP366" s="633">
        <f>SUM(BTC366:BTN366)</f>
        <v>6373312</v>
      </c>
      <c r="BTQ366" s="919" t="s">
        <v>1839</v>
      </c>
      <c r="BTR366" s="1643" t="s">
        <v>1840</v>
      </c>
      <c r="BTS366" s="1648">
        <v>603740</v>
      </c>
      <c r="BTT366" s="1648">
        <v>515055</v>
      </c>
      <c r="BTU366" s="1648">
        <v>530271</v>
      </c>
      <c r="BTV366" s="1648">
        <v>212051</v>
      </c>
      <c r="BTW366" s="1648">
        <v>131147</v>
      </c>
      <c r="BTX366" s="1648">
        <v>101889</v>
      </c>
      <c r="BTY366" s="1648">
        <v>453326</v>
      </c>
      <c r="BTZ366" s="1648">
        <v>298813</v>
      </c>
      <c r="BUA366" s="1648">
        <v>605808</v>
      </c>
      <c r="BUB366" s="1648">
        <v>847471</v>
      </c>
      <c r="BUC366" s="1648">
        <v>1070054</v>
      </c>
      <c r="BUD366" s="1648">
        <v>1003687</v>
      </c>
      <c r="BUE366" s="635">
        <v>6373312</v>
      </c>
      <c r="BUF366" s="633">
        <f>SUM(BTS366:BUD366)</f>
        <v>6373312</v>
      </c>
      <c r="BUG366" s="919" t="s">
        <v>1839</v>
      </c>
      <c r="BUH366" s="1643" t="s">
        <v>1840</v>
      </c>
      <c r="BUI366" s="1648">
        <v>603740</v>
      </c>
      <c r="BUJ366" s="1648">
        <v>515055</v>
      </c>
      <c r="BUK366" s="1648">
        <v>530271</v>
      </c>
      <c r="BUL366" s="1648">
        <v>212051</v>
      </c>
      <c r="BUM366" s="1648">
        <v>131147</v>
      </c>
      <c r="BUN366" s="1648">
        <v>101889</v>
      </c>
      <c r="BUO366" s="1648">
        <v>453326</v>
      </c>
      <c r="BUP366" s="1648">
        <v>298813</v>
      </c>
      <c r="BUQ366" s="1648">
        <v>605808</v>
      </c>
      <c r="BUR366" s="1648">
        <v>847471</v>
      </c>
      <c r="BUS366" s="1648">
        <v>1070054</v>
      </c>
      <c r="BUT366" s="1648">
        <v>1003687</v>
      </c>
      <c r="BUU366" s="635">
        <v>6373312</v>
      </c>
      <c r="BUV366" s="633">
        <f>SUM(BUI366:BUT366)</f>
        <v>6373312</v>
      </c>
      <c r="BUW366" s="919" t="s">
        <v>1839</v>
      </c>
      <c r="BUX366" s="1643" t="s">
        <v>1840</v>
      </c>
      <c r="BUY366" s="1648">
        <v>603740</v>
      </c>
      <c r="BUZ366" s="1648">
        <v>515055</v>
      </c>
      <c r="BVA366" s="1648">
        <v>530271</v>
      </c>
      <c r="BVB366" s="1648">
        <v>212051</v>
      </c>
      <c r="BVC366" s="1648">
        <v>131147</v>
      </c>
      <c r="BVD366" s="1648">
        <v>101889</v>
      </c>
      <c r="BVE366" s="1648">
        <v>453326</v>
      </c>
      <c r="BVF366" s="1648">
        <v>298813</v>
      </c>
      <c r="BVG366" s="1648">
        <v>605808</v>
      </c>
      <c r="BVH366" s="1648">
        <v>847471</v>
      </c>
      <c r="BVI366" s="1648">
        <v>1070054</v>
      </c>
      <c r="BVJ366" s="1648">
        <v>1003687</v>
      </c>
      <c r="BVK366" s="635">
        <v>6373312</v>
      </c>
      <c r="BVL366" s="633">
        <f>SUM(BUY366:BVJ366)</f>
        <v>6373312</v>
      </c>
      <c r="BVM366" s="919" t="s">
        <v>1839</v>
      </c>
      <c r="BVN366" s="1643" t="s">
        <v>1840</v>
      </c>
      <c r="BVO366" s="1648">
        <v>603740</v>
      </c>
      <c r="BVP366" s="1648">
        <v>515055</v>
      </c>
      <c r="BVQ366" s="1648">
        <v>530271</v>
      </c>
      <c r="BVR366" s="1648">
        <v>212051</v>
      </c>
      <c r="BVS366" s="1648">
        <v>131147</v>
      </c>
      <c r="BVT366" s="1648">
        <v>101889</v>
      </c>
      <c r="BVU366" s="1648">
        <v>453326</v>
      </c>
      <c r="BVV366" s="1648">
        <v>298813</v>
      </c>
      <c r="BVW366" s="1648">
        <v>605808</v>
      </c>
      <c r="BVX366" s="1648">
        <v>847471</v>
      </c>
      <c r="BVY366" s="1648">
        <v>1070054</v>
      </c>
      <c r="BVZ366" s="1648">
        <v>1003687</v>
      </c>
      <c r="BWA366" s="635">
        <v>6373312</v>
      </c>
      <c r="BWB366" s="633">
        <f>SUM(BVO366:BVZ366)</f>
        <v>6373312</v>
      </c>
      <c r="BWC366" s="919" t="s">
        <v>1839</v>
      </c>
      <c r="BWD366" s="1643" t="s">
        <v>1840</v>
      </c>
      <c r="BWE366" s="1648">
        <v>603740</v>
      </c>
      <c r="BWF366" s="1648">
        <v>515055</v>
      </c>
      <c r="BWG366" s="1648">
        <v>530271</v>
      </c>
      <c r="BWH366" s="1648">
        <v>212051</v>
      </c>
      <c r="BWI366" s="1648">
        <v>131147</v>
      </c>
      <c r="BWJ366" s="1648">
        <v>101889</v>
      </c>
      <c r="BWK366" s="1648">
        <v>453326</v>
      </c>
      <c r="BWL366" s="1648">
        <v>298813</v>
      </c>
      <c r="BWM366" s="1648">
        <v>605808</v>
      </c>
      <c r="BWN366" s="1648">
        <v>847471</v>
      </c>
      <c r="BWO366" s="1648">
        <v>1070054</v>
      </c>
      <c r="BWP366" s="1648">
        <v>1003687</v>
      </c>
      <c r="BWQ366" s="635">
        <v>6373312</v>
      </c>
      <c r="BWR366" s="633">
        <f>SUM(BWE366:BWP366)</f>
        <v>6373312</v>
      </c>
      <c r="BWS366" s="919" t="s">
        <v>1839</v>
      </c>
      <c r="BWT366" s="1643" t="s">
        <v>1840</v>
      </c>
      <c r="BWU366" s="1648">
        <v>603740</v>
      </c>
      <c r="BWV366" s="1648">
        <v>515055</v>
      </c>
      <c r="BWW366" s="1648">
        <v>530271</v>
      </c>
      <c r="BWX366" s="1648">
        <v>212051</v>
      </c>
      <c r="BWY366" s="1648">
        <v>131147</v>
      </c>
      <c r="BWZ366" s="1648">
        <v>101889</v>
      </c>
      <c r="BXA366" s="1648">
        <v>453326</v>
      </c>
      <c r="BXB366" s="1648">
        <v>298813</v>
      </c>
      <c r="BXC366" s="1648">
        <v>605808</v>
      </c>
      <c r="BXD366" s="1648">
        <v>847471</v>
      </c>
      <c r="BXE366" s="1648">
        <v>1070054</v>
      </c>
      <c r="BXF366" s="1648">
        <v>1003687</v>
      </c>
      <c r="BXG366" s="635">
        <v>6373312</v>
      </c>
      <c r="BXH366" s="633">
        <f>SUM(BWU366:BXF366)</f>
        <v>6373312</v>
      </c>
      <c r="BXI366" s="919" t="s">
        <v>1839</v>
      </c>
      <c r="BXJ366" s="1643" t="s">
        <v>1840</v>
      </c>
      <c r="BXK366" s="1648">
        <v>603740</v>
      </c>
      <c r="BXL366" s="1648">
        <v>515055</v>
      </c>
      <c r="BXM366" s="1648">
        <v>530271</v>
      </c>
      <c r="BXN366" s="1648">
        <v>212051</v>
      </c>
      <c r="BXO366" s="1648">
        <v>131147</v>
      </c>
      <c r="BXP366" s="1648">
        <v>101889</v>
      </c>
      <c r="BXQ366" s="1648">
        <v>453326</v>
      </c>
      <c r="BXR366" s="1648">
        <v>298813</v>
      </c>
      <c r="BXS366" s="1648">
        <v>605808</v>
      </c>
      <c r="BXT366" s="1648">
        <v>847471</v>
      </c>
      <c r="BXU366" s="1648">
        <v>1070054</v>
      </c>
      <c r="BXV366" s="1648">
        <v>1003687</v>
      </c>
      <c r="BXW366" s="635">
        <v>6373312</v>
      </c>
      <c r="BXX366" s="633">
        <f>SUM(BXK366:BXV366)</f>
        <v>6373312</v>
      </c>
      <c r="BXY366" s="919" t="s">
        <v>1839</v>
      </c>
      <c r="BXZ366" s="1643" t="s">
        <v>1840</v>
      </c>
      <c r="BYA366" s="1648">
        <v>603740</v>
      </c>
      <c r="BYB366" s="1648">
        <v>515055</v>
      </c>
      <c r="BYC366" s="1648">
        <v>530271</v>
      </c>
      <c r="BYD366" s="1648">
        <v>212051</v>
      </c>
      <c r="BYE366" s="1648">
        <v>131147</v>
      </c>
      <c r="BYF366" s="1648">
        <v>101889</v>
      </c>
      <c r="BYG366" s="1648">
        <v>453326</v>
      </c>
      <c r="BYH366" s="1648">
        <v>298813</v>
      </c>
      <c r="BYI366" s="1648">
        <v>605808</v>
      </c>
      <c r="BYJ366" s="1648">
        <v>847471</v>
      </c>
      <c r="BYK366" s="1648">
        <v>1070054</v>
      </c>
      <c r="BYL366" s="1648">
        <v>1003687</v>
      </c>
      <c r="BYM366" s="635">
        <v>6373312</v>
      </c>
      <c r="BYN366" s="633">
        <f>SUM(BYA366:BYL366)</f>
        <v>6373312</v>
      </c>
      <c r="BYO366" s="919" t="s">
        <v>1839</v>
      </c>
      <c r="BYP366" s="1643" t="s">
        <v>1840</v>
      </c>
      <c r="BYQ366" s="1648">
        <v>603740</v>
      </c>
      <c r="BYR366" s="1648">
        <v>515055</v>
      </c>
      <c r="BYS366" s="1648">
        <v>530271</v>
      </c>
      <c r="BYT366" s="1648">
        <v>212051</v>
      </c>
      <c r="BYU366" s="1648">
        <v>131147</v>
      </c>
      <c r="BYV366" s="1648">
        <v>101889</v>
      </c>
      <c r="BYW366" s="1648">
        <v>453326</v>
      </c>
      <c r="BYX366" s="1648">
        <v>298813</v>
      </c>
      <c r="BYY366" s="1648">
        <v>605808</v>
      </c>
      <c r="BYZ366" s="1648">
        <v>847471</v>
      </c>
      <c r="BZA366" s="1648">
        <v>1070054</v>
      </c>
      <c r="BZB366" s="1648">
        <v>1003687</v>
      </c>
      <c r="BZC366" s="635">
        <v>6373312</v>
      </c>
      <c r="BZD366" s="633">
        <f>SUM(BYQ366:BZB366)</f>
        <v>6373312</v>
      </c>
      <c r="BZE366" s="919" t="s">
        <v>1839</v>
      </c>
      <c r="BZF366" s="1643" t="s">
        <v>1840</v>
      </c>
      <c r="BZG366" s="1648">
        <v>603740</v>
      </c>
      <c r="BZH366" s="1648">
        <v>515055</v>
      </c>
      <c r="BZI366" s="1648">
        <v>530271</v>
      </c>
      <c r="BZJ366" s="1648">
        <v>212051</v>
      </c>
      <c r="BZK366" s="1648">
        <v>131147</v>
      </c>
      <c r="BZL366" s="1648">
        <v>101889</v>
      </c>
      <c r="BZM366" s="1648">
        <v>453326</v>
      </c>
      <c r="BZN366" s="1648">
        <v>298813</v>
      </c>
      <c r="BZO366" s="1648">
        <v>605808</v>
      </c>
      <c r="BZP366" s="1648">
        <v>847471</v>
      </c>
      <c r="BZQ366" s="1648">
        <v>1070054</v>
      </c>
      <c r="BZR366" s="1648">
        <v>1003687</v>
      </c>
      <c r="BZS366" s="635">
        <v>6373312</v>
      </c>
      <c r="BZT366" s="633">
        <f>SUM(BZG366:BZR366)</f>
        <v>6373312</v>
      </c>
      <c r="BZU366" s="919" t="s">
        <v>1839</v>
      </c>
      <c r="BZV366" s="1643" t="s">
        <v>1840</v>
      </c>
      <c r="BZW366" s="1648">
        <v>603740</v>
      </c>
      <c r="BZX366" s="1648">
        <v>515055</v>
      </c>
      <c r="BZY366" s="1648">
        <v>530271</v>
      </c>
      <c r="BZZ366" s="1648">
        <v>212051</v>
      </c>
      <c r="CAA366" s="1648">
        <v>131147</v>
      </c>
      <c r="CAB366" s="1648">
        <v>101889</v>
      </c>
      <c r="CAC366" s="1648">
        <v>453326</v>
      </c>
      <c r="CAD366" s="1648">
        <v>298813</v>
      </c>
      <c r="CAE366" s="1648">
        <v>605808</v>
      </c>
      <c r="CAF366" s="1648">
        <v>847471</v>
      </c>
      <c r="CAG366" s="1648">
        <v>1070054</v>
      </c>
      <c r="CAH366" s="1648">
        <v>1003687</v>
      </c>
      <c r="CAI366" s="635">
        <v>6373312</v>
      </c>
      <c r="CAJ366" s="633">
        <f>SUM(BZW366:CAH366)</f>
        <v>6373312</v>
      </c>
      <c r="CAK366" s="919" t="s">
        <v>1839</v>
      </c>
      <c r="CAL366" s="1643" t="s">
        <v>1840</v>
      </c>
      <c r="CAM366" s="1648">
        <v>603740</v>
      </c>
      <c r="CAN366" s="1648">
        <v>515055</v>
      </c>
      <c r="CAO366" s="1648">
        <v>530271</v>
      </c>
      <c r="CAP366" s="1648">
        <v>212051</v>
      </c>
      <c r="CAQ366" s="1648">
        <v>131147</v>
      </c>
      <c r="CAR366" s="1648">
        <v>101889</v>
      </c>
      <c r="CAS366" s="1648">
        <v>453326</v>
      </c>
      <c r="CAT366" s="1648">
        <v>298813</v>
      </c>
      <c r="CAU366" s="1648">
        <v>605808</v>
      </c>
      <c r="CAV366" s="1648">
        <v>847471</v>
      </c>
      <c r="CAW366" s="1648">
        <v>1070054</v>
      </c>
      <c r="CAX366" s="1648">
        <v>1003687</v>
      </c>
      <c r="CAY366" s="635">
        <v>6373312</v>
      </c>
      <c r="CAZ366" s="633">
        <f>SUM(CAM366:CAX366)</f>
        <v>6373312</v>
      </c>
      <c r="CBA366" s="919" t="s">
        <v>1839</v>
      </c>
      <c r="CBB366" s="1643" t="s">
        <v>1840</v>
      </c>
      <c r="CBC366" s="1648">
        <v>603740</v>
      </c>
      <c r="CBD366" s="1648">
        <v>515055</v>
      </c>
      <c r="CBE366" s="1648">
        <v>530271</v>
      </c>
      <c r="CBF366" s="1648">
        <v>212051</v>
      </c>
      <c r="CBG366" s="1648">
        <v>131147</v>
      </c>
      <c r="CBH366" s="1648">
        <v>101889</v>
      </c>
      <c r="CBI366" s="1648">
        <v>453326</v>
      </c>
      <c r="CBJ366" s="1648">
        <v>298813</v>
      </c>
      <c r="CBK366" s="1648">
        <v>605808</v>
      </c>
      <c r="CBL366" s="1648">
        <v>847471</v>
      </c>
      <c r="CBM366" s="1648">
        <v>1070054</v>
      </c>
      <c r="CBN366" s="1648">
        <v>1003687</v>
      </c>
      <c r="CBO366" s="635">
        <v>6373312</v>
      </c>
      <c r="CBP366" s="633">
        <f>SUM(CBC366:CBN366)</f>
        <v>6373312</v>
      </c>
      <c r="CBQ366" s="919" t="s">
        <v>1839</v>
      </c>
      <c r="CBR366" s="1643" t="s">
        <v>1840</v>
      </c>
      <c r="CBS366" s="1648">
        <v>603740</v>
      </c>
      <c r="CBT366" s="1648">
        <v>515055</v>
      </c>
      <c r="CBU366" s="1648">
        <v>530271</v>
      </c>
      <c r="CBV366" s="1648">
        <v>212051</v>
      </c>
      <c r="CBW366" s="1648">
        <v>131147</v>
      </c>
      <c r="CBX366" s="1648">
        <v>101889</v>
      </c>
      <c r="CBY366" s="1648">
        <v>453326</v>
      </c>
      <c r="CBZ366" s="1648">
        <v>298813</v>
      </c>
      <c r="CCA366" s="1648">
        <v>605808</v>
      </c>
      <c r="CCB366" s="1648">
        <v>847471</v>
      </c>
      <c r="CCC366" s="1648">
        <v>1070054</v>
      </c>
      <c r="CCD366" s="1648">
        <v>1003687</v>
      </c>
      <c r="CCE366" s="635">
        <v>6373312</v>
      </c>
      <c r="CCF366" s="633">
        <f>SUM(CBS366:CCD366)</f>
        <v>6373312</v>
      </c>
      <c r="CCG366" s="919" t="s">
        <v>1839</v>
      </c>
      <c r="CCH366" s="1643" t="s">
        <v>1840</v>
      </c>
      <c r="CCI366" s="1648">
        <v>603740</v>
      </c>
      <c r="CCJ366" s="1648">
        <v>515055</v>
      </c>
      <c r="CCK366" s="1648">
        <v>530271</v>
      </c>
      <c r="CCL366" s="1648">
        <v>212051</v>
      </c>
      <c r="CCM366" s="1648">
        <v>131147</v>
      </c>
      <c r="CCN366" s="1648">
        <v>101889</v>
      </c>
      <c r="CCO366" s="1648">
        <v>453326</v>
      </c>
      <c r="CCP366" s="1648">
        <v>298813</v>
      </c>
      <c r="CCQ366" s="1648">
        <v>605808</v>
      </c>
      <c r="CCR366" s="1648">
        <v>847471</v>
      </c>
      <c r="CCS366" s="1648">
        <v>1070054</v>
      </c>
      <c r="CCT366" s="1648">
        <v>1003687</v>
      </c>
      <c r="CCU366" s="635">
        <v>6373312</v>
      </c>
      <c r="CCV366" s="633">
        <f>SUM(CCI366:CCT366)</f>
        <v>6373312</v>
      </c>
      <c r="CCW366" s="919" t="s">
        <v>1839</v>
      </c>
      <c r="CCX366" s="1643" t="s">
        <v>1840</v>
      </c>
      <c r="CCY366" s="1648">
        <v>603740</v>
      </c>
      <c r="CCZ366" s="1648">
        <v>515055</v>
      </c>
      <c r="CDA366" s="1648">
        <v>530271</v>
      </c>
      <c r="CDB366" s="1648">
        <v>212051</v>
      </c>
      <c r="CDC366" s="1648">
        <v>131147</v>
      </c>
      <c r="CDD366" s="1648">
        <v>101889</v>
      </c>
      <c r="CDE366" s="1648">
        <v>453326</v>
      </c>
      <c r="CDF366" s="1648">
        <v>298813</v>
      </c>
      <c r="CDG366" s="1648">
        <v>605808</v>
      </c>
      <c r="CDH366" s="1648">
        <v>847471</v>
      </c>
      <c r="CDI366" s="1648">
        <v>1070054</v>
      </c>
      <c r="CDJ366" s="1648">
        <v>1003687</v>
      </c>
      <c r="CDK366" s="635">
        <v>6373312</v>
      </c>
      <c r="CDL366" s="633">
        <f>SUM(CCY366:CDJ366)</f>
        <v>6373312</v>
      </c>
      <c r="CDM366" s="919" t="s">
        <v>1839</v>
      </c>
      <c r="CDN366" s="1643" t="s">
        <v>1840</v>
      </c>
      <c r="CDO366" s="1648">
        <v>603740</v>
      </c>
      <c r="CDP366" s="1648">
        <v>515055</v>
      </c>
      <c r="CDQ366" s="1648">
        <v>530271</v>
      </c>
      <c r="CDR366" s="1648">
        <v>212051</v>
      </c>
      <c r="CDS366" s="1648">
        <v>131147</v>
      </c>
      <c r="CDT366" s="1648">
        <v>101889</v>
      </c>
      <c r="CDU366" s="1648">
        <v>453326</v>
      </c>
      <c r="CDV366" s="1648">
        <v>298813</v>
      </c>
      <c r="CDW366" s="1648">
        <v>605808</v>
      </c>
      <c r="CDX366" s="1648">
        <v>847471</v>
      </c>
      <c r="CDY366" s="1648">
        <v>1070054</v>
      </c>
      <c r="CDZ366" s="1648">
        <v>1003687</v>
      </c>
      <c r="CEA366" s="635">
        <v>6373312</v>
      </c>
      <c r="CEB366" s="633">
        <f>SUM(CDO366:CDZ366)</f>
        <v>6373312</v>
      </c>
      <c r="CEC366" s="919" t="s">
        <v>1839</v>
      </c>
      <c r="CED366" s="1643" t="s">
        <v>1840</v>
      </c>
      <c r="CEE366" s="1648">
        <v>603740</v>
      </c>
      <c r="CEF366" s="1648">
        <v>515055</v>
      </c>
      <c r="CEG366" s="1648">
        <v>530271</v>
      </c>
      <c r="CEH366" s="1648">
        <v>212051</v>
      </c>
      <c r="CEI366" s="1648">
        <v>131147</v>
      </c>
      <c r="CEJ366" s="1648">
        <v>101889</v>
      </c>
      <c r="CEK366" s="1648">
        <v>453326</v>
      </c>
      <c r="CEL366" s="1648">
        <v>298813</v>
      </c>
      <c r="CEM366" s="1648">
        <v>605808</v>
      </c>
      <c r="CEN366" s="1648">
        <v>847471</v>
      </c>
      <c r="CEO366" s="1648">
        <v>1070054</v>
      </c>
      <c r="CEP366" s="1648">
        <v>1003687</v>
      </c>
      <c r="CEQ366" s="635">
        <v>6373312</v>
      </c>
      <c r="CER366" s="633">
        <f>SUM(CEE366:CEP366)</f>
        <v>6373312</v>
      </c>
      <c r="CES366" s="919" t="s">
        <v>1839</v>
      </c>
      <c r="CET366" s="1643" t="s">
        <v>1840</v>
      </c>
      <c r="CEU366" s="1648">
        <v>603740</v>
      </c>
      <c r="CEV366" s="1648">
        <v>515055</v>
      </c>
      <c r="CEW366" s="1648">
        <v>530271</v>
      </c>
      <c r="CEX366" s="1648">
        <v>212051</v>
      </c>
      <c r="CEY366" s="1648">
        <v>131147</v>
      </c>
      <c r="CEZ366" s="1648">
        <v>101889</v>
      </c>
      <c r="CFA366" s="1648">
        <v>453326</v>
      </c>
      <c r="CFB366" s="1648">
        <v>298813</v>
      </c>
      <c r="CFC366" s="1648">
        <v>605808</v>
      </c>
      <c r="CFD366" s="1648">
        <v>847471</v>
      </c>
      <c r="CFE366" s="1648">
        <v>1070054</v>
      </c>
      <c r="CFF366" s="1648">
        <v>1003687</v>
      </c>
      <c r="CFG366" s="635">
        <v>6373312</v>
      </c>
      <c r="CFH366" s="633">
        <f>SUM(CEU366:CFF366)</f>
        <v>6373312</v>
      </c>
      <c r="CFI366" s="919" t="s">
        <v>1839</v>
      </c>
      <c r="CFJ366" s="1643" t="s">
        <v>1840</v>
      </c>
      <c r="CFK366" s="1648">
        <v>603740</v>
      </c>
      <c r="CFL366" s="1648">
        <v>515055</v>
      </c>
      <c r="CFM366" s="1648">
        <v>530271</v>
      </c>
      <c r="CFN366" s="1648">
        <v>212051</v>
      </c>
      <c r="CFO366" s="1648">
        <v>131147</v>
      </c>
      <c r="CFP366" s="1648">
        <v>101889</v>
      </c>
      <c r="CFQ366" s="1648">
        <v>453326</v>
      </c>
      <c r="CFR366" s="1648">
        <v>298813</v>
      </c>
      <c r="CFS366" s="1648">
        <v>605808</v>
      </c>
      <c r="CFT366" s="1648">
        <v>847471</v>
      </c>
      <c r="CFU366" s="1648">
        <v>1070054</v>
      </c>
      <c r="CFV366" s="1648">
        <v>1003687</v>
      </c>
      <c r="CFW366" s="635">
        <v>6373312</v>
      </c>
      <c r="CFX366" s="633">
        <f>SUM(CFK366:CFV366)</f>
        <v>6373312</v>
      </c>
      <c r="CFY366" s="919" t="s">
        <v>1839</v>
      </c>
      <c r="CFZ366" s="1643" t="s">
        <v>1840</v>
      </c>
      <c r="CGA366" s="1648">
        <v>603740</v>
      </c>
      <c r="CGB366" s="1648">
        <v>515055</v>
      </c>
      <c r="CGC366" s="1648">
        <v>530271</v>
      </c>
      <c r="CGD366" s="1648">
        <v>212051</v>
      </c>
      <c r="CGE366" s="1648">
        <v>131147</v>
      </c>
      <c r="CGF366" s="1648">
        <v>101889</v>
      </c>
      <c r="CGG366" s="1648">
        <v>453326</v>
      </c>
      <c r="CGH366" s="1648">
        <v>298813</v>
      </c>
      <c r="CGI366" s="1648">
        <v>605808</v>
      </c>
      <c r="CGJ366" s="1648">
        <v>847471</v>
      </c>
      <c r="CGK366" s="1648">
        <v>1070054</v>
      </c>
      <c r="CGL366" s="1648">
        <v>1003687</v>
      </c>
      <c r="CGM366" s="635">
        <v>6373312</v>
      </c>
      <c r="CGN366" s="633">
        <f>SUM(CGA366:CGL366)</f>
        <v>6373312</v>
      </c>
      <c r="CGO366" s="919" t="s">
        <v>1839</v>
      </c>
      <c r="CGP366" s="1643" t="s">
        <v>1840</v>
      </c>
      <c r="CGQ366" s="1648">
        <v>603740</v>
      </c>
      <c r="CGR366" s="1648">
        <v>515055</v>
      </c>
      <c r="CGS366" s="1648">
        <v>530271</v>
      </c>
      <c r="CGT366" s="1648">
        <v>212051</v>
      </c>
      <c r="CGU366" s="1648">
        <v>131147</v>
      </c>
      <c r="CGV366" s="1648">
        <v>101889</v>
      </c>
      <c r="CGW366" s="1648">
        <v>453326</v>
      </c>
      <c r="CGX366" s="1648">
        <v>298813</v>
      </c>
      <c r="CGY366" s="1648">
        <v>605808</v>
      </c>
      <c r="CGZ366" s="1648">
        <v>847471</v>
      </c>
      <c r="CHA366" s="1648">
        <v>1070054</v>
      </c>
      <c r="CHB366" s="1648">
        <v>1003687</v>
      </c>
      <c r="CHC366" s="635">
        <v>6373312</v>
      </c>
      <c r="CHD366" s="633">
        <f>SUM(CGQ366:CHB366)</f>
        <v>6373312</v>
      </c>
      <c r="CHE366" s="919" t="s">
        <v>1839</v>
      </c>
      <c r="CHF366" s="1643" t="s">
        <v>1840</v>
      </c>
      <c r="CHG366" s="1648">
        <v>603740</v>
      </c>
      <c r="CHH366" s="1648">
        <v>515055</v>
      </c>
      <c r="CHI366" s="1648">
        <v>530271</v>
      </c>
      <c r="CHJ366" s="1648">
        <v>212051</v>
      </c>
      <c r="CHK366" s="1648">
        <v>131147</v>
      </c>
      <c r="CHL366" s="1648">
        <v>101889</v>
      </c>
      <c r="CHM366" s="1648">
        <v>453326</v>
      </c>
      <c r="CHN366" s="1648">
        <v>298813</v>
      </c>
      <c r="CHO366" s="1648">
        <v>605808</v>
      </c>
      <c r="CHP366" s="1648">
        <v>847471</v>
      </c>
      <c r="CHQ366" s="1648">
        <v>1070054</v>
      </c>
      <c r="CHR366" s="1648">
        <v>1003687</v>
      </c>
      <c r="CHS366" s="635">
        <v>6373312</v>
      </c>
      <c r="CHT366" s="633">
        <f>SUM(CHG366:CHR366)</f>
        <v>6373312</v>
      </c>
      <c r="CHU366" s="919" t="s">
        <v>1839</v>
      </c>
      <c r="CHV366" s="1643" t="s">
        <v>1840</v>
      </c>
      <c r="CHW366" s="1648">
        <v>603740</v>
      </c>
      <c r="CHX366" s="1648">
        <v>515055</v>
      </c>
      <c r="CHY366" s="1648">
        <v>530271</v>
      </c>
      <c r="CHZ366" s="1648">
        <v>212051</v>
      </c>
      <c r="CIA366" s="1648">
        <v>131147</v>
      </c>
      <c r="CIB366" s="1648">
        <v>101889</v>
      </c>
      <c r="CIC366" s="1648">
        <v>453326</v>
      </c>
      <c r="CID366" s="1648">
        <v>298813</v>
      </c>
      <c r="CIE366" s="1648">
        <v>605808</v>
      </c>
      <c r="CIF366" s="1648">
        <v>847471</v>
      </c>
      <c r="CIG366" s="1648">
        <v>1070054</v>
      </c>
      <c r="CIH366" s="1648">
        <v>1003687</v>
      </c>
      <c r="CII366" s="635">
        <v>6373312</v>
      </c>
      <c r="CIJ366" s="633">
        <f>SUM(CHW366:CIH366)</f>
        <v>6373312</v>
      </c>
      <c r="CIK366" s="919" t="s">
        <v>1839</v>
      </c>
      <c r="CIL366" s="1643" t="s">
        <v>1840</v>
      </c>
      <c r="CIM366" s="1648">
        <v>603740</v>
      </c>
      <c r="CIN366" s="1648">
        <v>515055</v>
      </c>
      <c r="CIO366" s="1648">
        <v>530271</v>
      </c>
      <c r="CIP366" s="1648">
        <v>212051</v>
      </c>
      <c r="CIQ366" s="1648">
        <v>131147</v>
      </c>
      <c r="CIR366" s="1648">
        <v>101889</v>
      </c>
      <c r="CIS366" s="1648">
        <v>453326</v>
      </c>
      <c r="CIT366" s="1648">
        <v>298813</v>
      </c>
      <c r="CIU366" s="1648">
        <v>605808</v>
      </c>
      <c r="CIV366" s="1648">
        <v>847471</v>
      </c>
      <c r="CIW366" s="1648">
        <v>1070054</v>
      </c>
      <c r="CIX366" s="1648">
        <v>1003687</v>
      </c>
      <c r="CIY366" s="635">
        <v>6373312</v>
      </c>
      <c r="CIZ366" s="633">
        <f>SUM(CIM366:CIX366)</f>
        <v>6373312</v>
      </c>
      <c r="CJA366" s="919" t="s">
        <v>1839</v>
      </c>
      <c r="CJB366" s="1643" t="s">
        <v>1840</v>
      </c>
      <c r="CJC366" s="1648">
        <v>603740</v>
      </c>
      <c r="CJD366" s="1648">
        <v>515055</v>
      </c>
      <c r="CJE366" s="1648">
        <v>530271</v>
      </c>
      <c r="CJF366" s="1648">
        <v>212051</v>
      </c>
      <c r="CJG366" s="1648">
        <v>131147</v>
      </c>
      <c r="CJH366" s="1648">
        <v>101889</v>
      </c>
      <c r="CJI366" s="1648">
        <v>453326</v>
      </c>
      <c r="CJJ366" s="1648">
        <v>298813</v>
      </c>
      <c r="CJK366" s="1648">
        <v>605808</v>
      </c>
      <c r="CJL366" s="1648">
        <v>847471</v>
      </c>
      <c r="CJM366" s="1648">
        <v>1070054</v>
      </c>
      <c r="CJN366" s="1648">
        <v>1003687</v>
      </c>
      <c r="CJO366" s="635">
        <v>6373312</v>
      </c>
      <c r="CJP366" s="633">
        <f>SUM(CJC366:CJN366)</f>
        <v>6373312</v>
      </c>
      <c r="CJQ366" s="919" t="s">
        <v>1839</v>
      </c>
      <c r="CJR366" s="1643" t="s">
        <v>1840</v>
      </c>
      <c r="CJS366" s="1648">
        <v>603740</v>
      </c>
      <c r="CJT366" s="1648">
        <v>515055</v>
      </c>
      <c r="CJU366" s="1648">
        <v>530271</v>
      </c>
      <c r="CJV366" s="1648">
        <v>212051</v>
      </c>
      <c r="CJW366" s="1648">
        <v>131147</v>
      </c>
      <c r="CJX366" s="1648">
        <v>101889</v>
      </c>
      <c r="CJY366" s="1648">
        <v>453326</v>
      </c>
      <c r="CJZ366" s="1648">
        <v>298813</v>
      </c>
      <c r="CKA366" s="1648">
        <v>605808</v>
      </c>
      <c r="CKB366" s="1648">
        <v>847471</v>
      </c>
      <c r="CKC366" s="1648">
        <v>1070054</v>
      </c>
      <c r="CKD366" s="1648">
        <v>1003687</v>
      </c>
      <c r="CKE366" s="635">
        <v>6373312</v>
      </c>
      <c r="CKF366" s="633">
        <f>SUM(CJS366:CKD366)</f>
        <v>6373312</v>
      </c>
      <c r="CKG366" s="919" t="s">
        <v>1839</v>
      </c>
      <c r="CKH366" s="1643" t="s">
        <v>1840</v>
      </c>
      <c r="CKI366" s="1648">
        <v>603740</v>
      </c>
      <c r="CKJ366" s="1648">
        <v>515055</v>
      </c>
      <c r="CKK366" s="1648">
        <v>530271</v>
      </c>
      <c r="CKL366" s="1648">
        <v>212051</v>
      </c>
      <c r="CKM366" s="1648">
        <v>131147</v>
      </c>
      <c r="CKN366" s="1648">
        <v>101889</v>
      </c>
      <c r="CKO366" s="1648">
        <v>453326</v>
      </c>
      <c r="CKP366" s="1648">
        <v>298813</v>
      </c>
      <c r="CKQ366" s="1648">
        <v>605808</v>
      </c>
      <c r="CKR366" s="1648">
        <v>847471</v>
      </c>
      <c r="CKS366" s="1648">
        <v>1070054</v>
      </c>
      <c r="CKT366" s="1648">
        <v>1003687</v>
      </c>
      <c r="CKU366" s="635">
        <v>6373312</v>
      </c>
      <c r="CKV366" s="633">
        <f>SUM(CKI366:CKT366)</f>
        <v>6373312</v>
      </c>
      <c r="CKW366" s="919" t="s">
        <v>1839</v>
      </c>
      <c r="CKX366" s="1643" t="s">
        <v>1840</v>
      </c>
      <c r="CKY366" s="1648">
        <v>603740</v>
      </c>
      <c r="CKZ366" s="1648">
        <v>515055</v>
      </c>
      <c r="CLA366" s="1648">
        <v>530271</v>
      </c>
      <c r="CLB366" s="1648">
        <v>212051</v>
      </c>
      <c r="CLC366" s="1648">
        <v>131147</v>
      </c>
      <c r="CLD366" s="1648">
        <v>101889</v>
      </c>
      <c r="CLE366" s="1648">
        <v>453326</v>
      </c>
      <c r="CLF366" s="1648">
        <v>298813</v>
      </c>
      <c r="CLG366" s="1648">
        <v>605808</v>
      </c>
      <c r="CLH366" s="1648">
        <v>847471</v>
      </c>
      <c r="CLI366" s="1648">
        <v>1070054</v>
      </c>
      <c r="CLJ366" s="1648">
        <v>1003687</v>
      </c>
      <c r="CLK366" s="635">
        <v>6373312</v>
      </c>
      <c r="CLL366" s="633">
        <f>SUM(CKY366:CLJ366)</f>
        <v>6373312</v>
      </c>
      <c r="CLM366" s="919" t="s">
        <v>1839</v>
      </c>
      <c r="CLN366" s="1643" t="s">
        <v>1840</v>
      </c>
      <c r="CLO366" s="1648">
        <v>603740</v>
      </c>
      <c r="CLP366" s="1648">
        <v>515055</v>
      </c>
      <c r="CLQ366" s="1648">
        <v>530271</v>
      </c>
      <c r="CLR366" s="1648">
        <v>212051</v>
      </c>
      <c r="CLS366" s="1648">
        <v>131147</v>
      </c>
      <c r="CLT366" s="1648">
        <v>101889</v>
      </c>
      <c r="CLU366" s="1648">
        <v>453326</v>
      </c>
      <c r="CLV366" s="1648">
        <v>298813</v>
      </c>
      <c r="CLW366" s="1648">
        <v>605808</v>
      </c>
      <c r="CLX366" s="1648">
        <v>847471</v>
      </c>
      <c r="CLY366" s="1648">
        <v>1070054</v>
      </c>
      <c r="CLZ366" s="1648">
        <v>1003687</v>
      </c>
      <c r="CMA366" s="635">
        <v>6373312</v>
      </c>
      <c r="CMB366" s="633">
        <f>SUM(CLO366:CLZ366)</f>
        <v>6373312</v>
      </c>
      <c r="CMC366" s="919" t="s">
        <v>1839</v>
      </c>
      <c r="CMD366" s="1643" t="s">
        <v>1840</v>
      </c>
      <c r="CME366" s="1648">
        <v>603740</v>
      </c>
      <c r="CMF366" s="1648">
        <v>515055</v>
      </c>
      <c r="CMG366" s="1648">
        <v>530271</v>
      </c>
      <c r="CMH366" s="1648">
        <v>212051</v>
      </c>
      <c r="CMI366" s="1648">
        <v>131147</v>
      </c>
      <c r="CMJ366" s="1648">
        <v>101889</v>
      </c>
      <c r="CMK366" s="1648">
        <v>453326</v>
      </c>
      <c r="CML366" s="1648">
        <v>298813</v>
      </c>
      <c r="CMM366" s="1648">
        <v>605808</v>
      </c>
      <c r="CMN366" s="1648">
        <v>847471</v>
      </c>
      <c r="CMO366" s="1648">
        <v>1070054</v>
      </c>
      <c r="CMP366" s="1648">
        <v>1003687</v>
      </c>
      <c r="CMQ366" s="635">
        <v>6373312</v>
      </c>
      <c r="CMR366" s="633">
        <f>SUM(CME366:CMP366)</f>
        <v>6373312</v>
      </c>
      <c r="CMS366" s="919" t="s">
        <v>1839</v>
      </c>
      <c r="CMT366" s="1643" t="s">
        <v>1840</v>
      </c>
      <c r="CMU366" s="1648">
        <v>603740</v>
      </c>
      <c r="CMV366" s="1648">
        <v>515055</v>
      </c>
      <c r="CMW366" s="1648">
        <v>530271</v>
      </c>
      <c r="CMX366" s="1648">
        <v>212051</v>
      </c>
      <c r="CMY366" s="1648">
        <v>131147</v>
      </c>
      <c r="CMZ366" s="1648">
        <v>101889</v>
      </c>
      <c r="CNA366" s="1648">
        <v>453326</v>
      </c>
      <c r="CNB366" s="1648">
        <v>298813</v>
      </c>
      <c r="CNC366" s="1648">
        <v>605808</v>
      </c>
      <c r="CND366" s="1648">
        <v>847471</v>
      </c>
      <c r="CNE366" s="1648">
        <v>1070054</v>
      </c>
      <c r="CNF366" s="1648">
        <v>1003687</v>
      </c>
      <c r="CNG366" s="635">
        <v>6373312</v>
      </c>
      <c r="CNH366" s="633">
        <f>SUM(CMU366:CNF366)</f>
        <v>6373312</v>
      </c>
      <c r="CNI366" s="919" t="s">
        <v>1839</v>
      </c>
      <c r="CNJ366" s="1643" t="s">
        <v>1840</v>
      </c>
      <c r="CNK366" s="1648">
        <v>603740</v>
      </c>
      <c r="CNL366" s="1648">
        <v>515055</v>
      </c>
      <c r="CNM366" s="1648">
        <v>530271</v>
      </c>
      <c r="CNN366" s="1648">
        <v>212051</v>
      </c>
      <c r="CNO366" s="1648">
        <v>131147</v>
      </c>
      <c r="CNP366" s="1648">
        <v>101889</v>
      </c>
      <c r="CNQ366" s="1648">
        <v>453326</v>
      </c>
      <c r="CNR366" s="1648">
        <v>298813</v>
      </c>
      <c r="CNS366" s="1648">
        <v>605808</v>
      </c>
      <c r="CNT366" s="1648">
        <v>847471</v>
      </c>
      <c r="CNU366" s="1648">
        <v>1070054</v>
      </c>
      <c r="CNV366" s="1648">
        <v>1003687</v>
      </c>
      <c r="CNW366" s="635">
        <v>6373312</v>
      </c>
      <c r="CNX366" s="633">
        <f>SUM(CNK366:CNV366)</f>
        <v>6373312</v>
      </c>
      <c r="CNY366" s="919" t="s">
        <v>1839</v>
      </c>
      <c r="CNZ366" s="1643" t="s">
        <v>1840</v>
      </c>
      <c r="COA366" s="1648">
        <v>603740</v>
      </c>
      <c r="COB366" s="1648">
        <v>515055</v>
      </c>
      <c r="COC366" s="1648">
        <v>530271</v>
      </c>
      <c r="COD366" s="1648">
        <v>212051</v>
      </c>
      <c r="COE366" s="1648">
        <v>131147</v>
      </c>
      <c r="COF366" s="1648">
        <v>101889</v>
      </c>
      <c r="COG366" s="1648">
        <v>453326</v>
      </c>
      <c r="COH366" s="1648">
        <v>298813</v>
      </c>
      <c r="COI366" s="1648">
        <v>605808</v>
      </c>
      <c r="COJ366" s="1648">
        <v>847471</v>
      </c>
      <c r="COK366" s="1648">
        <v>1070054</v>
      </c>
      <c r="COL366" s="1648">
        <v>1003687</v>
      </c>
      <c r="COM366" s="635">
        <v>6373312</v>
      </c>
      <c r="CON366" s="633">
        <f>SUM(COA366:COL366)</f>
        <v>6373312</v>
      </c>
      <c r="COO366" s="919" t="s">
        <v>1839</v>
      </c>
      <c r="COP366" s="1643" t="s">
        <v>1840</v>
      </c>
      <c r="COQ366" s="1648">
        <v>603740</v>
      </c>
      <c r="COR366" s="1648">
        <v>515055</v>
      </c>
      <c r="COS366" s="1648">
        <v>530271</v>
      </c>
      <c r="COT366" s="1648">
        <v>212051</v>
      </c>
      <c r="COU366" s="1648">
        <v>131147</v>
      </c>
      <c r="COV366" s="1648">
        <v>101889</v>
      </c>
      <c r="COW366" s="1648">
        <v>453326</v>
      </c>
      <c r="COX366" s="1648">
        <v>298813</v>
      </c>
      <c r="COY366" s="1648">
        <v>605808</v>
      </c>
      <c r="COZ366" s="1648">
        <v>847471</v>
      </c>
      <c r="CPA366" s="1648">
        <v>1070054</v>
      </c>
      <c r="CPB366" s="1648">
        <v>1003687</v>
      </c>
      <c r="CPC366" s="635">
        <v>6373312</v>
      </c>
      <c r="CPD366" s="633">
        <f>SUM(COQ366:CPB366)</f>
        <v>6373312</v>
      </c>
      <c r="CPE366" s="919" t="s">
        <v>1839</v>
      </c>
      <c r="CPF366" s="1643" t="s">
        <v>1840</v>
      </c>
      <c r="CPG366" s="1648">
        <v>603740</v>
      </c>
      <c r="CPH366" s="1648">
        <v>515055</v>
      </c>
      <c r="CPI366" s="1648">
        <v>530271</v>
      </c>
      <c r="CPJ366" s="1648">
        <v>212051</v>
      </c>
      <c r="CPK366" s="1648">
        <v>131147</v>
      </c>
      <c r="CPL366" s="1648">
        <v>101889</v>
      </c>
      <c r="CPM366" s="1648">
        <v>453326</v>
      </c>
      <c r="CPN366" s="1648">
        <v>298813</v>
      </c>
      <c r="CPO366" s="1648">
        <v>605808</v>
      </c>
      <c r="CPP366" s="1648">
        <v>847471</v>
      </c>
      <c r="CPQ366" s="1648">
        <v>1070054</v>
      </c>
      <c r="CPR366" s="1648">
        <v>1003687</v>
      </c>
      <c r="CPS366" s="635">
        <v>6373312</v>
      </c>
      <c r="CPT366" s="633">
        <f>SUM(CPG366:CPR366)</f>
        <v>6373312</v>
      </c>
      <c r="CPU366" s="919" t="s">
        <v>1839</v>
      </c>
      <c r="CPV366" s="1643" t="s">
        <v>1840</v>
      </c>
      <c r="CPW366" s="1648">
        <v>603740</v>
      </c>
      <c r="CPX366" s="1648">
        <v>515055</v>
      </c>
      <c r="CPY366" s="1648">
        <v>530271</v>
      </c>
      <c r="CPZ366" s="1648">
        <v>212051</v>
      </c>
      <c r="CQA366" s="1648">
        <v>131147</v>
      </c>
      <c r="CQB366" s="1648">
        <v>101889</v>
      </c>
      <c r="CQC366" s="1648">
        <v>453326</v>
      </c>
      <c r="CQD366" s="1648">
        <v>298813</v>
      </c>
      <c r="CQE366" s="1648">
        <v>605808</v>
      </c>
      <c r="CQF366" s="1648">
        <v>847471</v>
      </c>
      <c r="CQG366" s="1648">
        <v>1070054</v>
      </c>
      <c r="CQH366" s="1648">
        <v>1003687</v>
      </c>
      <c r="CQI366" s="635">
        <v>6373312</v>
      </c>
      <c r="CQJ366" s="633">
        <f>SUM(CPW366:CQH366)</f>
        <v>6373312</v>
      </c>
      <c r="CQK366" s="919" t="s">
        <v>1839</v>
      </c>
      <c r="CQL366" s="1643" t="s">
        <v>1840</v>
      </c>
      <c r="CQM366" s="1648">
        <v>603740</v>
      </c>
      <c r="CQN366" s="1648">
        <v>515055</v>
      </c>
      <c r="CQO366" s="1648">
        <v>530271</v>
      </c>
      <c r="CQP366" s="1648">
        <v>212051</v>
      </c>
      <c r="CQQ366" s="1648">
        <v>131147</v>
      </c>
      <c r="CQR366" s="1648">
        <v>101889</v>
      </c>
      <c r="CQS366" s="1648">
        <v>453326</v>
      </c>
      <c r="CQT366" s="1648">
        <v>298813</v>
      </c>
      <c r="CQU366" s="1648">
        <v>605808</v>
      </c>
      <c r="CQV366" s="1648">
        <v>847471</v>
      </c>
      <c r="CQW366" s="1648">
        <v>1070054</v>
      </c>
      <c r="CQX366" s="1648">
        <v>1003687</v>
      </c>
      <c r="CQY366" s="635">
        <v>6373312</v>
      </c>
      <c r="CQZ366" s="633">
        <f>SUM(CQM366:CQX366)</f>
        <v>6373312</v>
      </c>
      <c r="CRA366" s="919" t="s">
        <v>1839</v>
      </c>
      <c r="CRB366" s="1643" t="s">
        <v>1840</v>
      </c>
      <c r="CRC366" s="1648">
        <v>603740</v>
      </c>
      <c r="CRD366" s="1648">
        <v>515055</v>
      </c>
      <c r="CRE366" s="1648">
        <v>530271</v>
      </c>
      <c r="CRF366" s="1648">
        <v>212051</v>
      </c>
      <c r="CRG366" s="1648">
        <v>131147</v>
      </c>
      <c r="CRH366" s="1648">
        <v>101889</v>
      </c>
      <c r="CRI366" s="1648">
        <v>453326</v>
      </c>
      <c r="CRJ366" s="1648">
        <v>298813</v>
      </c>
      <c r="CRK366" s="1648">
        <v>605808</v>
      </c>
      <c r="CRL366" s="1648">
        <v>847471</v>
      </c>
      <c r="CRM366" s="1648">
        <v>1070054</v>
      </c>
      <c r="CRN366" s="1648">
        <v>1003687</v>
      </c>
      <c r="CRO366" s="635">
        <v>6373312</v>
      </c>
      <c r="CRP366" s="633">
        <f>SUM(CRC366:CRN366)</f>
        <v>6373312</v>
      </c>
      <c r="CRQ366" s="919" t="s">
        <v>1839</v>
      </c>
      <c r="CRR366" s="1643" t="s">
        <v>1840</v>
      </c>
      <c r="CRS366" s="1648">
        <v>603740</v>
      </c>
      <c r="CRT366" s="1648">
        <v>515055</v>
      </c>
      <c r="CRU366" s="1648">
        <v>530271</v>
      </c>
      <c r="CRV366" s="1648">
        <v>212051</v>
      </c>
      <c r="CRW366" s="1648">
        <v>131147</v>
      </c>
      <c r="CRX366" s="1648">
        <v>101889</v>
      </c>
      <c r="CRY366" s="1648">
        <v>453326</v>
      </c>
      <c r="CRZ366" s="1648">
        <v>298813</v>
      </c>
      <c r="CSA366" s="1648">
        <v>605808</v>
      </c>
      <c r="CSB366" s="1648">
        <v>847471</v>
      </c>
      <c r="CSC366" s="1648">
        <v>1070054</v>
      </c>
      <c r="CSD366" s="1648">
        <v>1003687</v>
      </c>
      <c r="CSE366" s="635">
        <v>6373312</v>
      </c>
      <c r="CSF366" s="633">
        <f>SUM(CRS366:CSD366)</f>
        <v>6373312</v>
      </c>
      <c r="CSG366" s="919" t="s">
        <v>1839</v>
      </c>
      <c r="CSH366" s="1643" t="s">
        <v>1840</v>
      </c>
      <c r="CSI366" s="1648">
        <v>603740</v>
      </c>
      <c r="CSJ366" s="1648">
        <v>515055</v>
      </c>
      <c r="CSK366" s="1648">
        <v>530271</v>
      </c>
      <c r="CSL366" s="1648">
        <v>212051</v>
      </c>
      <c r="CSM366" s="1648">
        <v>131147</v>
      </c>
      <c r="CSN366" s="1648">
        <v>101889</v>
      </c>
      <c r="CSO366" s="1648">
        <v>453326</v>
      </c>
      <c r="CSP366" s="1648">
        <v>298813</v>
      </c>
      <c r="CSQ366" s="1648">
        <v>605808</v>
      </c>
      <c r="CSR366" s="1648">
        <v>847471</v>
      </c>
      <c r="CSS366" s="1648">
        <v>1070054</v>
      </c>
      <c r="CST366" s="1648">
        <v>1003687</v>
      </c>
      <c r="CSU366" s="635">
        <v>6373312</v>
      </c>
      <c r="CSV366" s="633">
        <f>SUM(CSI366:CST366)</f>
        <v>6373312</v>
      </c>
      <c r="CSW366" s="919" t="s">
        <v>1839</v>
      </c>
      <c r="CSX366" s="1643" t="s">
        <v>1840</v>
      </c>
      <c r="CSY366" s="1648">
        <v>603740</v>
      </c>
      <c r="CSZ366" s="1648">
        <v>515055</v>
      </c>
      <c r="CTA366" s="1648">
        <v>530271</v>
      </c>
      <c r="CTB366" s="1648">
        <v>212051</v>
      </c>
      <c r="CTC366" s="1648">
        <v>131147</v>
      </c>
      <c r="CTD366" s="1648">
        <v>101889</v>
      </c>
      <c r="CTE366" s="1648">
        <v>453326</v>
      </c>
      <c r="CTF366" s="1648">
        <v>298813</v>
      </c>
      <c r="CTG366" s="1648">
        <v>605808</v>
      </c>
      <c r="CTH366" s="1648">
        <v>847471</v>
      </c>
      <c r="CTI366" s="1648">
        <v>1070054</v>
      </c>
      <c r="CTJ366" s="1648">
        <v>1003687</v>
      </c>
      <c r="CTK366" s="635">
        <v>6373312</v>
      </c>
      <c r="CTL366" s="633">
        <f>SUM(CSY366:CTJ366)</f>
        <v>6373312</v>
      </c>
      <c r="CTM366" s="919" t="s">
        <v>1839</v>
      </c>
      <c r="CTN366" s="1643" t="s">
        <v>1840</v>
      </c>
      <c r="CTO366" s="1648">
        <v>603740</v>
      </c>
      <c r="CTP366" s="1648">
        <v>515055</v>
      </c>
      <c r="CTQ366" s="1648">
        <v>530271</v>
      </c>
      <c r="CTR366" s="1648">
        <v>212051</v>
      </c>
      <c r="CTS366" s="1648">
        <v>131147</v>
      </c>
      <c r="CTT366" s="1648">
        <v>101889</v>
      </c>
      <c r="CTU366" s="1648">
        <v>453326</v>
      </c>
      <c r="CTV366" s="1648">
        <v>298813</v>
      </c>
      <c r="CTW366" s="1648">
        <v>605808</v>
      </c>
      <c r="CTX366" s="1648">
        <v>847471</v>
      </c>
      <c r="CTY366" s="1648">
        <v>1070054</v>
      </c>
      <c r="CTZ366" s="1648">
        <v>1003687</v>
      </c>
      <c r="CUA366" s="635">
        <v>6373312</v>
      </c>
      <c r="CUB366" s="633">
        <f>SUM(CTO366:CTZ366)</f>
        <v>6373312</v>
      </c>
      <c r="CUC366" s="919" t="s">
        <v>1839</v>
      </c>
      <c r="CUD366" s="1643" t="s">
        <v>1840</v>
      </c>
      <c r="CUE366" s="1648">
        <v>603740</v>
      </c>
      <c r="CUF366" s="1648">
        <v>515055</v>
      </c>
      <c r="CUG366" s="1648">
        <v>530271</v>
      </c>
      <c r="CUH366" s="1648">
        <v>212051</v>
      </c>
      <c r="CUI366" s="1648">
        <v>131147</v>
      </c>
      <c r="CUJ366" s="1648">
        <v>101889</v>
      </c>
      <c r="CUK366" s="1648">
        <v>453326</v>
      </c>
      <c r="CUL366" s="1648">
        <v>298813</v>
      </c>
      <c r="CUM366" s="1648">
        <v>605808</v>
      </c>
      <c r="CUN366" s="1648">
        <v>847471</v>
      </c>
      <c r="CUO366" s="1648">
        <v>1070054</v>
      </c>
      <c r="CUP366" s="1648">
        <v>1003687</v>
      </c>
      <c r="CUQ366" s="635">
        <v>6373312</v>
      </c>
      <c r="CUR366" s="633">
        <f>SUM(CUE366:CUP366)</f>
        <v>6373312</v>
      </c>
      <c r="CUS366" s="919" t="s">
        <v>1839</v>
      </c>
      <c r="CUT366" s="1643" t="s">
        <v>1840</v>
      </c>
      <c r="CUU366" s="1648">
        <v>603740</v>
      </c>
      <c r="CUV366" s="1648">
        <v>515055</v>
      </c>
      <c r="CUW366" s="1648">
        <v>530271</v>
      </c>
      <c r="CUX366" s="1648">
        <v>212051</v>
      </c>
      <c r="CUY366" s="1648">
        <v>131147</v>
      </c>
      <c r="CUZ366" s="1648">
        <v>101889</v>
      </c>
      <c r="CVA366" s="1648">
        <v>453326</v>
      </c>
      <c r="CVB366" s="1648">
        <v>298813</v>
      </c>
      <c r="CVC366" s="1648">
        <v>605808</v>
      </c>
      <c r="CVD366" s="1648">
        <v>847471</v>
      </c>
      <c r="CVE366" s="1648">
        <v>1070054</v>
      </c>
      <c r="CVF366" s="1648">
        <v>1003687</v>
      </c>
      <c r="CVG366" s="635">
        <v>6373312</v>
      </c>
      <c r="CVH366" s="633">
        <f>SUM(CUU366:CVF366)</f>
        <v>6373312</v>
      </c>
      <c r="CVI366" s="919" t="s">
        <v>1839</v>
      </c>
      <c r="CVJ366" s="1643" t="s">
        <v>1840</v>
      </c>
      <c r="CVK366" s="1648">
        <v>603740</v>
      </c>
      <c r="CVL366" s="1648">
        <v>515055</v>
      </c>
      <c r="CVM366" s="1648">
        <v>530271</v>
      </c>
      <c r="CVN366" s="1648">
        <v>212051</v>
      </c>
      <c r="CVO366" s="1648">
        <v>131147</v>
      </c>
      <c r="CVP366" s="1648">
        <v>101889</v>
      </c>
      <c r="CVQ366" s="1648">
        <v>453326</v>
      </c>
      <c r="CVR366" s="1648">
        <v>298813</v>
      </c>
      <c r="CVS366" s="1648">
        <v>605808</v>
      </c>
      <c r="CVT366" s="1648">
        <v>847471</v>
      </c>
      <c r="CVU366" s="1648">
        <v>1070054</v>
      </c>
      <c r="CVV366" s="1648">
        <v>1003687</v>
      </c>
      <c r="CVW366" s="635">
        <v>6373312</v>
      </c>
      <c r="CVX366" s="633">
        <f>SUM(CVK366:CVV366)</f>
        <v>6373312</v>
      </c>
      <c r="CVY366" s="919" t="s">
        <v>1839</v>
      </c>
      <c r="CVZ366" s="1643" t="s">
        <v>1840</v>
      </c>
      <c r="CWA366" s="1648">
        <v>603740</v>
      </c>
      <c r="CWB366" s="1648">
        <v>515055</v>
      </c>
      <c r="CWC366" s="1648">
        <v>530271</v>
      </c>
      <c r="CWD366" s="1648">
        <v>212051</v>
      </c>
      <c r="CWE366" s="1648">
        <v>131147</v>
      </c>
      <c r="CWF366" s="1648">
        <v>101889</v>
      </c>
      <c r="CWG366" s="1648">
        <v>453326</v>
      </c>
      <c r="CWH366" s="1648">
        <v>298813</v>
      </c>
      <c r="CWI366" s="1648">
        <v>605808</v>
      </c>
      <c r="CWJ366" s="1648">
        <v>847471</v>
      </c>
      <c r="CWK366" s="1648">
        <v>1070054</v>
      </c>
      <c r="CWL366" s="1648">
        <v>1003687</v>
      </c>
      <c r="CWM366" s="635">
        <v>6373312</v>
      </c>
      <c r="CWN366" s="633">
        <f>SUM(CWA366:CWL366)</f>
        <v>6373312</v>
      </c>
      <c r="CWO366" s="919" t="s">
        <v>1839</v>
      </c>
      <c r="CWP366" s="1643" t="s">
        <v>1840</v>
      </c>
      <c r="CWQ366" s="1648">
        <v>603740</v>
      </c>
      <c r="CWR366" s="1648">
        <v>515055</v>
      </c>
      <c r="CWS366" s="1648">
        <v>530271</v>
      </c>
      <c r="CWT366" s="1648">
        <v>212051</v>
      </c>
      <c r="CWU366" s="1648">
        <v>131147</v>
      </c>
      <c r="CWV366" s="1648">
        <v>101889</v>
      </c>
      <c r="CWW366" s="1648">
        <v>453326</v>
      </c>
      <c r="CWX366" s="1648">
        <v>298813</v>
      </c>
      <c r="CWY366" s="1648">
        <v>605808</v>
      </c>
      <c r="CWZ366" s="1648">
        <v>847471</v>
      </c>
      <c r="CXA366" s="1648">
        <v>1070054</v>
      </c>
      <c r="CXB366" s="1648">
        <v>1003687</v>
      </c>
      <c r="CXC366" s="635">
        <v>6373312</v>
      </c>
      <c r="CXD366" s="633">
        <f>SUM(CWQ366:CXB366)</f>
        <v>6373312</v>
      </c>
      <c r="CXE366" s="919" t="s">
        <v>1839</v>
      </c>
      <c r="CXF366" s="1643" t="s">
        <v>1840</v>
      </c>
      <c r="CXG366" s="1648">
        <v>603740</v>
      </c>
      <c r="CXH366" s="1648">
        <v>515055</v>
      </c>
      <c r="CXI366" s="1648">
        <v>530271</v>
      </c>
      <c r="CXJ366" s="1648">
        <v>212051</v>
      </c>
      <c r="CXK366" s="1648">
        <v>131147</v>
      </c>
      <c r="CXL366" s="1648">
        <v>101889</v>
      </c>
      <c r="CXM366" s="1648">
        <v>453326</v>
      </c>
      <c r="CXN366" s="1648">
        <v>298813</v>
      </c>
      <c r="CXO366" s="1648">
        <v>605808</v>
      </c>
      <c r="CXP366" s="1648">
        <v>847471</v>
      </c>
      <c r="CXQ366" s="1648">
        <v>1070054</v>
      </c>
      <c r="CXR366" s="1648">
        <v>1003687</v>
      </c>
      <c r="CXS366" s="635">
        <v>6373312</v>
      </c>
      <c r="CXT366" s="633">
        <f>SUM(CXG366:CXR366)</f>
        <v>6373312</v>
      </c>
      <c r="CXU366" s="919" t="s">
        <v>1839</v>
      </c>
      <c r="CXV366" s="1643" t="s">
        <v>1840</v>
      </c>
      <c r="CXW366" s="1648">
        <v>603740</v>
      </c>
      <c r="CXX366" s="1648">
        <v>515055</v>
      </c>
      <c r="CXY366" s="1648">
        <v>530271</v>
      </c>
      <c r="CXZ366" s="1648">
        <v>212051</v>
      </c>
      <c r="CYA366" s="1648">
        <v>131147</v>
      </c>
      <c r="CYB366" s="1648">
        <v>101889</v>
      </c>
      <c r="CYC366" s="1648">
        <v>453326</v>
      </c>
      <c r="CYD366" s="1648">
        <v>298813</v>
      </c>
      <c r="CYE366" s="1648">
        <v>605808</v>
      </c>
      <c r="CYF366" s="1648">
        <v>847471</v>
      </c>
      <c r="CYG366" s="1648">
        <v>1070054</v>
      </c>
      <c r="CYH366" s="1648">
        <v>1003687</v>
      </c>
      <c r="CYI366" s="635">
        <v>6373312</v>
      </c>
      <c r="CYJ366" s="633">
        <f>SUM(CXW366:CYH366)</f>
        <v>6373312</v>
      </c>
      <c r="CYK366" s="919" t="s">
        <v>1839</v>
      </c>
      <c r="CYL366" s="1643" t="s">
        <v>1840</v>
      </c>
      <c r="CYM366" s="1648">
        <v>603740</v>
      </c>
      <c r="CYN366" s="1648">
        <v>515055</v>
      </c>
      <c r="CYO366" s="1648">
        <v>530271</v>
      </c>
      <c r="CYP366" s="1648">
        <v>212051</v>
      </c>
      <c r="CYQ366" s="1648">
        <v>131147</v>
      </c>
      <c r="CYR366" s="1648">
        <v>101889</v>
      </c>
      <c r="CYS366" s="1648">
        <v>453326</v>
      </c>
      <c r="CYT366" s="1648">
        <v>298813</v>
      </c>
      <c r="CYU366" s="1648">
        <v>605808</v>
      </c>
      <c r="CYV366" s="1648">
        <v>847471</v>
      </c>
      <c r="CYW366" s="1648">
        <v>1070054</v>
      </c>
      <c r="CYX366" s="1648">
        <v>1003687</v>
      </c>
      <c r="CYY366" s="635">
        <v>6373312</v>
      </c>
      <c r="CYZ366" s="633">
        <f>SUM(CYM366:CYX366)</f>
        <v>6373312</v>
      </c>
      <c r="CZA366" s="919" t="s">
        <v>1839</v>
      </c>
      <c r="CZB366" s="1643" t="s">
        <v>1840</v>
      </c>
      <c r="CZC366" s="1648">
        <v>603740</v>
      </c>
      <c r="CZD366" s="1648">
        <v>515055</v>
      </c>
      <c r="CZE366" s="1648">
        <v>530271</v>
      </c>
      <c r="CZF366" s="1648">
        <v>212051</v>
      </c>
      <c r="CZG366" s="1648">
        <v>131147</v>
      </c>
      <c r="CZH366" s="1648">
        <v>101889</v>
      </c>
      <c r="CZI366" s="1648">
        <v>453326</v>
      </c>
      <c r="CZJ366" s="1648">
        <v>298813</v>
      </c>
      <c r="CZK366" s="1648">
        <v>605808</v>
      </c>
      <c r="CZL366" s="1648">
        <v>847471</v>
      </c>
      <c r="CZM366" s="1648">
        <v>1070054</v>
      </c>
      <c r="CZN366" s="1648">
        <v>1003687</v>
      </c>
      <c r="CZO366" s="635">
        <v>6373312</v>
      </c>
      <c r="CZP366" s="633">
        <f>SUM(CZC366:CZN366)</f>
        <v>6373312</v>
      </c>
      <c r="CZQ366" s="919" t="s">
        <v>1839</v>
      </c>
      <c r="CZR366" s="1643" t="s">
        <v>1840</v>
      </c>
      <c r="CZS366" s="1648">
        <v>603740</v>
      </c>
      <c r="CZT366" s="1648">
        <v>515055</v>
      </c>
      <c r="CZU366" s="1648">
        <v>530271</v>
      </c>
      <c r="CZV366" s="1648">
        <v>212051</v>
      </c>
      <c r="CZW366" s="1648">
        <v>131147</v>
      </c>
      <c r="CZX366" s="1648">
        <v>101889</v>
      </c>
      <c r="CZY366" s="1648">
        <v>453326</v>
      </c>
      <c r="CZZ366" s="1648">
        <v>298813</v>
      </c>
      <c r="DAA366" s="1648">
        <v>605808</v>
      </c>
      <c r="DAB366" s="1648">
        <v>847471</v>
      </c>
      <c r="DAC366" s="1648">
        <v>1070054</v>
      </c>
      <c r="DAD366" s="1648">
        <v>1003687</v>
      </c>
      <c r="DAE366" s="635">
        <v>6373312</v>
      </c>
      <c r="DAF366" s="633">
        <f>SUM(CZS366:DAD366)</f>
        <v>6373312</v>
      </c>
      <c r="DAG366" s="919" t="s">
        <v>1839</v>
      </c>
      <c r="DAH366" s="1643" t="s">
        <v>1840</v>
      </c>
      <c r="DAI366" s="1648">
        <v>603740</v>
      </c>
      <c r="DAJ366" s="1648">
        <v>515055</v>
      </c>
      <c r="DAK366" s="1648">
        <v>530271</v>
      </c>
      <c r="DAL366" s="1648">
        <v>212051</v>
      </c>
      <c r="DAM366" s="1648">
        <v>131147</v>
      </c>
      <c r="DAN366" s="1648">
        <v>101889</v>
      </c>
      <c r="DAO366" s="1648">
        <v>453326</v>
      </c>
      <c r="DAP366" s="1648">
        <v>298813</v>
      </c>
      <c r="DAQ366" s="1648">
        <v>605808</v>
      </c>
      <c r="DAR366" s="1648">
        <v>847471</v>
      </c>
      <c r="DAS366" s="1648">
        <v>1070054</v>
      </c>
      <c r="DAT366" s="1648">
        <v>1003687</v>
      </c>
      <c r="DAU366" s="635">
        <v>6373312</v>
      </c>
      <c r="DAV366" s="633">
        <f>SUM(DAI366:DAT366)</f>
        <v>6373312</v>
      </c>
      <c r="DAW366" s="919" t="s">
        <v>1839</v>
      </c>
      <c r="DAX366" s="1643" t="s">
        <v>1840</v>
      </c>
      <c r="DAY366" s="1648">
        <v>603740</v>
      </c>
      <c r="DAZ366" s="1648">
        <v>515055</v>
      </c>
      <c r="DBA366" s="1648">
        <v>530271</v>
      </c>
      <c r="DBB366" s="1648">
        <v>212051</v>
      </c>
      <c r="DBC366" s="1648">
        <v>131147</v>
      </c>
      <c r="DBD366" s="1648">
        <v>101889</v>
      </c>
      <c r="DBE366" s="1648">
        <v>453326</v>
      </c>
      <c r="DBF366" s="1648">
        <v>298813</v>
      </c>
      <c r="DBG366" s="1648">
        <v>605808</v>
      </c>
      <c r="DBH366" s="1648">
        <v>847471</v>
      </c>
      <c r="DBI366" s="1648">
        <v>1070054</v>
      </c>
      <c r="DBJ366" s="1648">
        <v>1003687</v>
      </c>
      <c r="DBK366" s="635">
        <v>6373312</v>
      </c>
      <c r="DBL366" s="633">
        <f>SUM(DAY366:DBJ366)</f>
        <v>6373312</v>
      </c>
      <c r="DBM366" s="919" t="s">
        <v>1839</v>
      </c>
      <c r="DBN366" s="1643" t="s">
        <v>1840</v>
      </c>
      <c r="DBO366" s="1648">
        <v>603740</v>
      </c>
      <c r="DBP366" s="1648">
        <v>515055</v>
      </c>
      <c r="DBQ366" s="1648">
        <v>530271</v>
      </c>
      <c r="DBR366" s="1648">
        <v>212051</v>
      </c>
      <c r="DBS366" s="1648">
        <v>131147</v>
      </c>
      <c r="DBT366" s="1648">
        <v>101889</v>
      </c>
      <c r="DBU366" s="1648">
        <v>453326</v>
      </c>
      <c r="DBV366" s="1648">
        <v>298813</v>
      </c>
      <c r="DBW366" s="1648">
        <v>605808</v>
      </c>
      <c r="DBX366" s="1648">
        <v>847471</v>
      </c>
      <c r="DBY366" s="1648">
        <v>1070054</v>
      </c>
      <c r="DBZ366" s="1648">
        <v>1003687</v>
      </c>
      <c r="DCA366" s="635">
        <v>6373312</v>
      </c>
      <c r="DCB366" s="633">
        <f>SUM(DBO366:DBZ366)</f>
        <v>6373312</v>
      </c>
      <c r="DCC366" s="919" t="s">
        <v>1839</v>
      </c>
      <c r="DCD366" s="1643" t="s">
        <v>1840</v>
      </c>
      <c r="DCE366" s="1648">
        <v>603740</v>
      </c>
      <c r="DCF366" s="1648">
        <v>515055</v>
      </c>
      <c r="DCG366" s="1648">
        <v>530271</v>
      </c>
      <c r="DCH366" s="1648">
        <v>212051</v>
      </c>
      <c r="DCI366" s="1648">
        <v>131147</v>
      </c>
      <c r="DCJ366" s="1648">
        <v>101889</v>
      </c>
      <c r="DCK366" s="1648">
        <v>453326</v>
      </c>
      <c r="DCL366" s="1648">
        <v>298813</v>
      </c>
      <c r="DCM366" s="1648">
        <v>605808</v>
      </c>
      <c r="DCN366" s="1648">
        <v>847471</v>
      </c>
      <c r="DCO366" s="1648">
        <v>1070054</v>
      </c>
      <c r="DCP366" s="1648">
        <v>1003687</v>
      </c>
      <c r="DCQ366" s="635">
        <v>6373312</v>
      </c>
      <c r="DCR366" s="633">
        <f>SUM(DCE366:DCP366)</f>
        <v>6373312</v>
      </c>
      <c r="DCS366" s="919" t="s">
        <v>1839</v>
      </c>
      <c r="DCT366" s="1643" t="s">
        <v>1840</v>
      </c>
      <c r="DCU366" s="1648">
        <v>603740</v>
      </c>
      <c r="DCV366" s="1648">
        <v>515055</v>
      </c>
      <c r="DCW366" s="1648">
        <v>530271</v>
      </c>
      <c r="DCX366" s="1648">
        <v>212051</v>
      </c>
      <c r="DCY366" s="1648">
        <v>131147</v>
      </c>
      <c r="DCZ366" s="1648">
        <v>101889</v>
      </c>
      <c r="DDA366" s="1648">
        <v>453326</v>
      </c>
      <c r="DDB366" s="1648">
        <v>298813</v>
      </c>
      <c r="DDC366" s="1648">
        <v>605808</v>
      </c>
      <c r="DDD366" s="1648">
        <v>847471</v>
      </c>
      <c r="DDE366" s="1648">
        <v>1070054</v>
      </c>
      <c r="DDF366" s="1648">
        <v>1003687</v>
      </c>
      <c r="DDG366" s="635">
        <v>6373312</v>
      </c>
      <c r="DDH366" s="633">
        <f>SUM(DCU366:DDF366)</f>
        <v>6373312</v>
      </c>
      <c r="DDI366" s="919" t="s">
        <v>1839</v>
      </c>
      <c r="DDJ366" s="1643" t="s">
        <v>1840</v>
      </c>
      <c r="DDK366" s="1648">
        <v>603740</v>
      </c>
      <c r="DDL366" s="1648">
        <v>515055</v>
      </c>
      <c r="DDM366" s="1648">
        <v>530271</v>
      </c>
      <c r="DDN366" s="1648">
        <v>212051</v>
      </c>
      <c r="DDO366" s="1648">
        <v>131147</v>
      </c>
      <c r="DDP366" s="1648">
        <v>101889</v>
      </c>
      <c r="DDQ366" s="1648">
        <v>453326</v>
      </c>
      <c r="DDR366" s="1648">
        <v>298813</v>
      </c>
      <c r="DDS366" s="1648">
        <v>605808</v>
      </c>
      <c r="DDT366" s="1648">
        <v>847471</v>
      </c>
      <c r="DDU366" s="1648">
        <v>1070054</v>
      </c>
      <c r="DDV366" s="1648">
        <v>1003687</v>
      </c>
      <c r="DDW366" s="635">
        <v>6373312</v>
      </c>
      <c r="DDX366" s="633">
        <f>SUM(DDK366:DDV366)</f>
        <v>6373312</v>
      </c>
      <c r="DDY366" s="919" t="s">
        <v>1839</v>
      </c>
      <c r="DDZ366" s="1643" t="s">
        <v>1840</v>
      </c>
      <c r="DEA366" s="1648">
        <v>603740</v>
      </c>
      <c r="DEB366" s="1648">
        <v>515055</v>
      </c>
      <c r="DEC366" s="1648">
        <v>530271</v>
      </c>
      <c r="DED366" s="1648">
        <v>212051</v>
      </c>
      <c r="DEE366" s="1648">
        <v>131147</v>
      </c>
      <c r="DEF366" s="1648">
        <v>101889</v>
      </c>
      <c r="DEG366" s="1648">
        <v>453326</v>
      </c>
      <c r="DEH366" s="1648">
        <v>298813</v>
      </c>
      <c r="DEI366" s="1648">
        <v>605808</v>
      </c>
      <c r="DEJ366" s="1648">
        <v>847471</v>
      </c>
      <c r="DEK366" s="1648">
        <v>1070054</v>
      </c>
      <c r="DEL366" s="1648">
        <v>1003687</v>
      </c>
      <c r="DEM366" s="635">
        <v>6373312</v>
      </c>
      <c r="DEN366" s="633">
        <f>SUM(DEA366:DEL366)</f>
        <v>6373312</v>
      </c>
      <c r="DEO366" s="919" t="s">
        <v>1839</v>
      </c>
      <c r="DEP366" s="1643" t="s">
        <v>1840</v>
      </c>
      <c r="DEQ366" s="1648">
        <v>603740</v>
      </c>
      <c r="DER366" s="1648">
        <v>515055</v>
      </c>
      <c r="DES366" s="1648">
        <v>530271</v>
      </c>
      <c r="DET366" s="1648">
        <v>212051</v>
      </c>
      <c r="DEU366" s="1648">
        <v>131147</v>
      </c>
      <c r="DEV366" s="1648">
        <v>101889</v>
      </c>
      <c r="DEW366" s="1648">
        <v>453326</v>
      </c>
      <c r="DEX366" s="1648">
        <v>298813</v>
      </c>
      <c r="DEY366" s="1648">
        <v>605808</v>
      </c>
      <c r="DEZ366" s="1648">
        <v>847471</v>
      </c>
      <c r="DFA366" s="1648">
        <v>1070054</v>
      </c>
      <c r="DFB366" s="1648">
        <v>1003687</v>
      </c>
      <c r="DFC366" s="635">
        <v>6373312</v>
      </c>
      <c r="DFD366" s="633">
        <f>SUM(DEQ366:DFB366)</f>
        <v>6373312</v>
      </c>
      <c r="DFE366" s="919" t="s">
        <v>1839</v>
      </c>
      <c r="DFF366" s="1643" t="s">
        <v>1840</v>
      </c>
      <c r="DFG366" s="1648">
        <v>603740</v>
      </c>
      <c r="DFH366" s="1648">
        <v>515055</v>
      </c>
      <c r="DFI366" s="1648">
        <v>530271</v>
      </c>
      <c r="DFJ366" s="1648">
        <v>212051</v>
      </c>
      <c r="DFK366" s="1648">
        <v>131147</v>
      </c>
      <c r="DFL366" s="1648">
        <v>101889</v>
      </c>
      <c r="DFM366" s="1648">
        <v>453326</v>
      </c>
      <c r="DFN366" s="1648">
        <v>298813</v>
      </c>
      <c r="DFO366" s="1648">
        <v>605808</v>
      </c>
      <c r="DFP366" s="1648">
        <v>847471</v>
      </c>
      <c r="DFQ366" s="1648">
        <v>1070054</v>
      </c>
      <c r="DFR366" s="1648">
        <v>1003687</v>
      </c>
      <c r="DFS366" s="635">
        <v>6373312</v>
      </c>
      <c r="DFT366" s="633">
        <f>SUM(DFG366:DFR366)</f>
        <v>6373312</v>
      </c>
      <c r="DFU366" s="919" t="s">
        <v>1839</v>
      </c>
      <c r="DFV366" s="1643" t="s">
        <v>1840</v>
      </c>
      <c r="DFW366" s="1648">
        <v>603740</v>
      </c>
      <c r="DFX366" s="1648">
        <v>515055</v>
      </c>
      <c r="DFY366" s="1648">
        <v>530271</v>
      </c>
      <c r="DFZ366" s="1648">
        <v>212051</v>
      </c>
      <c r="DGA366" s="1648">
        <v>131147</v>
      </c>
      <c r="DGB366" s="1648">
        <v>101889</v>
      </c>
      <c r="DGC366" s="1648">
        <v>453326</v>
      </c>
      <c r="DGD366" s="1648">
        <v>298813</v>
      </c>
      <c r="DGE366" s="1648">
        <v>605808</v>
      </c>
      <c r="DGF366" s="1648">
        <v>847471</v>
      </c>
      <c r="DGG366" s="1648">
        <v>1070054</v>
      </c>
      <c r="DGH366" s="1648">
        <v>1003687</v>
      </c>
      <c r="DGI366" s="635">
        <v>6373312</v>
      </c>
      <c r="DGJ366" s="633">
        <f>SUM(DFW366:DGH366)</f>
        <v>6373312</v>
      </c>
      <c r="DGK366" s="919" t="s">
        <v>1839</v>
      </c>
      <c r="DGL366" s="1643" t="s">
        <v>1840</v>
      </c>
      <c r="DGM366" s="1648">
        <v>603740</v>
      </c>
      <c r="DGN366" s="1648">
        <v>515055</v>
      </c>
      <c r="DGO366" s="1648">
        <v>530271</v>
      </c>
      <c r="DGP366" s="1648">
        <v>212051</v>
      </c>
      <c r="DGQ366" s="1648">
        <v>131147</v>
      </c>
      <c r="DGR366" s="1648">
        <v>101889</v>
      </c>
      <c r="DGS366" s="1648">
        <v>453326</v>
      </c>
      <c r="DGT366" s="1648">
        <v>298813</v>
      </c>
      <c r="DGU366" s="1648">
        <v>605808</v>
      </c>
      <c r="DGV366" s="1648">
        <v>847471</v>
      </c>
      <c r="DGW366" s="1648">
        <v>1070054</v>
      </c>
      <c r="DGX366" s="1648">
        <v>1003687</v>
      </c>
      <c r="DGY366" s="635">
        <v>6373312</v>
      </c>
      <c r="DGZ366" s="633">
        <f>SUM(DGM366:DGX366)</f>
        <v>6373312</v>
      </c>
      <c r="DHA366" s="919" t="s">
        <v>1839</v>
      </c>
      <c r="DHB366" s="1643" t="s">
        <v>1840</v>
      </c>
      <c r="DHC366" s="1648">
        <v>603740</v>
      </c>
      <c r="DHD366" s="1648">
        <v>515055</v>
      </c>
      <c r="DHE366" s="1648">
        <v>530271</v>
      </c>
      <c r="DHF366" s="1648">
        <v>212051</v>
      </c>
      <c r="DHG366" s="1648">
        <v>131147</v>
      </c>
      <c r="DHH366" s="1648">
        <v>101889</v>
      </c>
      <c r="DHI366" s="1648">
        <v>453326</v>
      </c>
      <c r="DHJ366" s="1648">
        <v>298813</v>
      </c>
      <c r="DHK366" s="1648">
        <v>605808</v>
      </c>
      <c r="DHL366" s="1648">
        <v>847471</v>
      </c>
      <c r="DHM366" s="1648">
        <v>1070054</v>
      </c>
      <c r="DHN366" s="1648">
        <v>1003687</v>
      </c>
      <c r="DHO366" s="635">
        <v>6373312</v>
      </c>
      <c r="DHP366" s="633">
        <f>SUM(DHC366:DHN366)</f>
        <v>6373312</v>
      </c>
      <c r="DHQ366" s="919" t="s">
        <v>1839</v>
      </c>
      <c r="DHR366" s="1643" t="s">
        <v>1840</v>
      </c>
      <c r="DHS366" s="1648">
        <v>603740</v>
      </c>
      <c r="DHT366" s="1648">
        <v>515055</v>
      </c>
      <c r="DHU366" s="1648">
        <v>530271</v>
      </c>
      <c r="DHV366" s="1648">
        <v>212051</v>
      </c>
      <c r="DHW366" s="1648">
        <v>131147</v>
      </c>
      <c r="DHX366" s="1648">
        <v>101889</v>
      </c>
      <c r="DHY366" s="1648">
        <v>453326</v>
      </c>
      <c r="DHZ366" s="1648">
        <v>298813</v>
      </c>
      <c r="DIA366" s="1648">
        <v>605808</v>
      </c>
      <c r="DIB366" s="1648">
        <v>847471</v>
      </c>
      <c r="DIC366" s="1648">
        <v>1070054</v>
      </c>
      <c r="DID366" s="1648">
        <v>1003687</v>
      </c>
      <c r="DIE366" s="635">
        <v>6373312</v>
      </c>
      <c r="DIF366" s="633">
        <f>SUM(DHS366:DID366)</f>
        <v>6373312</v>
      </c>
      <c r="DIG366" s="919" t="s">
        <v>1839</v>
      </c>
      <c r="DIH366" s="1643" t="s">
        <v>1840</v>
      </c>
      <c r="DII366" s="1648">
        <v>603740</v>
      </c>
      <c r="DIJ366" s="1648">
        <v>515055</v>
      </c>
      <c r="DIK366" s="1648">
        <v>530271</v>
      </c>
      <c r="DIL366" s="1648">
        <v>212051</v>
      </c>
      <c r="DIM366" s="1648">
        <v>131147</v>
      </c>
      <c r="DIN366" s="1648">
        <v>101889</v>
      </c>
      <c r="DIO366" s="1648">
        <v>453326</v>
      </c>
      <c r="DIP366" s="1648">
        <v>298813</v>
      </c>
      <c r="DIQ366" s="1648">
        <v>605808</v>
      </c>
      <c r="DIR366" s="1648">
        <v>847471</v>
      </c>
      <c r="DIS366" s="1648">
        <v>1070054</v>
      </c>
      <c r="DIT366" s="1648">
        <v>1003687</v>
      </c>
      <c r="DIU366" s="635">
        <v>6373312</v>
      </c>
      <c r="DIV366" s="633">
        <f>SUM(DII366:DIT366)</f>
        <v>6373312</v>
      </c>
      <c r="DIW366" s="919" t="s">
        <v>1839</v>
      </c>
      <c r="DIX366" s="1643" t="s">
        <v>1840</v>
      </c>
      <c r="DIY366" s="1648">
        <v>603740</v>
      </c>
      <c r="DIZ366" s="1648">
        <v>515055</v>
      </c>
      <c r="DJA366" s="1648">
        <v>530271</v>
      </c>
      <c r="DJB366" s="1648">
        <v>212051</v>
      </c>
      <c r="DJC366" s="1648">
        <v>131147</v>
      </c>
      <c r="DJD366" s="1648">
        <v>101889</v>
      </c>
      <c r="DJE366" s="1648">
        <v>453326</v>
      </c>
      <c r="DJF366" s="1648">
        <v>298813</v>
      </c>
      <c r="DJG366" s="1648">
        <v>605808</v>
      </c>
      <c r="DJH366" s="1648">
        <v>847471</v>
      </c>
      <c r="DJI366" s="1648">
        <v>1070054</v>
      </c>
      <c r="DJJ366" s="1648">
        <v>1003687</v>
      </c>
      <c r="DJK366" s="635">
        <v>6373312</v>
      </c>
      <c r="DJL366" s="633">
        <f>SUM(DIY366:DJJ366)</f>
        <v>6373312</v>
      </c>
      <c r="DJM366" s="919" t="s">
        <v>1839</v>
      </c>
      <c r="DJN366" s="1643" t="s">
        <v>1840</v>
      </c>
      <c r="DJO366" s="1648">
        <v>603740</v>
      </c>
      <c r="DJP366" s="1648">
        <v>515055</v>
      </c>
      <c r="DJQ366" s="1648">
        <v>530271</v>
      </c>
      <c r="DJR366" s="1648">
        <v>212051</v>
      </c>
      <c r="DJS366" s="1648">
        <v>131147</v>
      </c>
      <c r="DJT366" s="1648">
        <v>101889</v>
      </c>
      <c r="DJU366" s="1648">
        <v>453326</v>
      </c>
      <c r="DJV366" s="1648">
        <v>298813</v>
      </c>
      <c r="DJW366" s="1648">
        <v>605808</v>
      </c>
      <c r="DJX366" s="1648">
        <v>847471</v>
      </c>
      <c r="DJY366" s="1648">
        <v>1070054</v>
      </c>
      <c r="DJZ366" s="1648">
        <v>1003687</v>
      </c>
      <c r="DKA366" s="635">
        <v>6373312</v>
      </c>
      <c r="DKB366" s="633">
        <f>SUM(DJO366:DJZ366)</f>
        <v>6373312</v>
      </c>
      <c r="DKC366" s="919" t="s">
        <v>1839</v>
      </c>
      <c r="DKD366" s="1643" t="s">
        <v>1840</v>
      </c>
      <c r="DKE366" s="1648">
        <v>603740</v>
      </c>
      <c r="DKF366" s="1648">
        <v>515055</v>
      </c>
      <c r="DKG366" s="1648">
        <v>530271</v>
      </c>
      <c r="DKH366" s="1648">
        <v>212051</v>
      </c>
      <c r="DKI366" s="1648">
        <v>131147</v>
      </c>
      <c r="DKJ366" s="1648">
        <v>101889</v>
      </c>
      <c r="DKK366" s="1648">
        <v>453326</v>
      </c>
      <c r="DKL366" s="1648">
        <v>298813</v>
      </c>
      <c r="DKM366" s="1648">
        <v>605808</v>
      </c>
      <c r="DKN366" s="1648">
        <v>847471</v>
      </c>
      <c r="DKO366" s="1648">
        <v>1070054</v>
      </c>
      <c r="DKP366" s="1648">
        <v>1003687</v>
      </c>
      <c r="DKQ366" s="635">
        <v>6373312</v>
      </c>
      <c r="DKR366" s="633">
        <f>SUM(DKE366:DKP366)</f>
        <v>6373312</v>
      </c>
      <c r="DKS366" s="919" t="s">
        <v>1839</v>
      </c>
      <c r="DKT366" s="1643" t="s">
        <v>1840</v>
      </c>
      <c r="DKU366" s="1648">
        <v>603740</v>
      </c>
      <c r="DKV366" s="1648">
        <v>515055</v>
      </c>
      <c r="DKW366" s="1648">
        <v>530271</v>
      </c>
      <c r="DKX366" s="1648">
        <v>212051</v>
      </c>
      <c r="DKY366" s="1648">
        <v>131147</v>
      </c>
      <c r="DKZ366" s="1648">
        <v>101889</v>
      </c>
      <c r="DLA366" s="1648">
        <v>453326</v>
      </c>
      <c r="DLB366" s="1648">
        <v>298813</v>
      </c>
      <c r="DLC366" s="1648">
        <v>605808</v>
      </c>
      <c r="DLD366" s="1648">
        <v>847471</v>
      </c>
      <c r="DLE366" s="1648">
        <v>1070054</v>
      </c>
      <c r="DLF366" s="1648">
        <v>1003687</v>
      </c>
      <c r="DLG366" s="635">
        <v>6373312</v>
      </c>
      <c r="DLH366" s="633">
        <f>SUM(DKU366:DLF366)</f>
        <v>6373312</v>
      </c>
      <c r="DLI366" s="919" t="s">
        <v>1839</v>
      </c>
      <c r="DLJ366" s="1643" t="s">
        <v>1840</v>
      </c>
      <c r="DLK366" s="1648">
        <v>603740</v>
      </c>
      <c r="DLL366" s="1648">
        <v>515055</v>
      </c>
      <c r="DLM366" s="1648">
        <v>530271</v>
      </c>
      <c r="DLN366" s="1648">
        <v>212051</v>
      </c>
      <c r="DLO366" s="1648">
        <v>131147</v>
      </c>
      <c r="DLP366" s="1648">
        <v>101889</v>
      </c>
      <c r="DLQ366" s="1648">
        <v>453326</v>
      </c>
      <c r="DLR366" s="1648">
        <v>298813</v>
      </c>
      <c r="DLS366" s="1648">
        <v>605808</v>
      </c>
      <c r="DLT366" s="1648">
        <v>847471</v>
      </c>
      <c r="DLU366" s="1648">
        <v>1070054</v>
      </c>
      <c r="DLV366" s="1648">
        <v>1003687</v>
      </c>
      <c r="DLW366" s="635">
        <v>6373312</v>
      </c>
      <c r="DLX366" s="633">
        <f>SUM(DLK366:DLV366)</f>
        <v>6373312</v>
      </c>
      <c r="DLY366" s="919" t="s">
        <v>1839</v>
      </c>
      <c r="DLZ366" s="1643" t="s">
        <v>1840</v>
      </c>
      <c r="DMA366" s="1648">
        <v>603740</v>
      </c>
      <c r="DMB366" s="1648">
        <v>515055</v>
      </c>
      <c r="DMC366" s="1648">
        <v>530271</v>
      </c>
      <c r="DMD366" s="1648">
        <v>212051</v>
      </c>
      <c r="DME366" s="1648">
        <v>131147</v>
      </c>
      <c r="DMF366" s="1648">
        <v>101889</v>
      </c>
      <c r="DMG366" s="1648">
        <v>453326</v>
      </c>
      <c r="DMH366" s="1648">
        <v>298813</v>
      </c>
      <c r="DMI366" s="1648">
        <v>605808</v>
      </c>
      <c r="DMJ366" s="1648">
        <v>847471</v>
      </c>
      <c r="DMK366" s="1648">
        <v>1070054</v>
      </c>
      <c r="DML366" s="1648">
        <v>1003687</v>
      </c>
      <c r="DMM366" s="635">
        <v>6373312</v>
      </c>
      <c r="DMN366" s="633">
        <f>SUM(DMA366:DML366)</f>
        <v>6373312</v>
      </c>
      <c r="DMO366" s="919" t="s">
        <v>1839</v>
      </c>
      <c r="DMP366" s="1643" t="s">
        <v>1840</v>
      </c>
      <c r="DMQ366" s="1648">
        <v>603740</v>
      </c>
      <c r="DMR366" s="1648">
        <v>515055</v>
      </c>
      <c r="DMS366" s="1648">
        <v>530271</v>
      </c>
      <c r="DMT366" s="1648">
        <v>212051</v>
      </c>
      <c r="DMU366" s="1648">
        <v>131147</v>
      </c>
      <c r="DMV366" s="1648">
        <v>101889</v>
      </c>
      <c r="DMW366" s="1648">
        <v>453326</v>
      </c>
      <c r="DMX366" s="1648">
        <v>298813</v>
      </c>
      <c r="DMY366" s="1648">
        <v>605808</v>
      </c>
      <c r="DMZ366" s="1648">
        <v>847471</v>
      </c>
      <c r="DNA366" s="1648">
        <v>1070054</v>
      </c>
      <c r="DNB366" s="1648">
        <v>1003687</v>
      </c>
      <c r="DNC366" s="635">
        <v>6373312</v>
      </c>
      <c r="DND366" s="633">
        <f>SUM(DMQ366:DNB366)</f>
        <v>6373312</v>
      </c>
      <c r="DNE366" s="919" t="s">
        <v>1839</v>
      </c>
      <c r="DNF366" s="1643" t="s">
        <v>1840</v>
      </c>
      <c r="DNG366" s="1648">
        <v>603740</v>
      </c>
      <c r="DNH366" s="1648">
        <v>515055</v>
      </c>
      <c r="DNI366" s="1648">
        <v>530271</v>
      </c>
      <c r="DNJ366" s="1648">
        <v>212051</v>
      </c>
      <c r="DNK366" s="1648">
        <v>131147</v>
      </c>
      <c r="DNL366" s="1648">
        <v>101889</v>
      </c>
      <c r="DNM366" s="1648">
        <v>453326</v>
      </c>
      <c r="DNN366" s="1648">
        <v>298813</v>
      </c>
      <c r="DNO366" s="1648">
        <v>605808</v>
      </c>
      <c r="DNP366" s="1648">
        <v>847471</v>
      </c>
      <c r="DNQ366" s="1648">
        <v>1070054</v>
      </c>
      <c r="DNR366" s="1648">
        <v>1003687</v>
      </c>
      <c r="DNS366" s="635">
        <v>6373312</v>
      </c>
      <c r="DNT366" s="633">
        <f>SUM(DNG366:DNR366)</f>
        <v>6373312</v>
      </c>
      <c r="DNU366" s="919" t="s">
        <v>1839</v>
      </c>
      <c r="DNV366" s="1643" t="s">
        <v>1840</v>
      </c>
      <c r="DNW366" s="1648">
        <v>603740</v>
      </c>
      <c r="DNX366" s="1648">
        <v>515055</v>
      </c>
      <c r="DNY366" s="1648">
        <v>530271</v>
      </c>
      <c r="DNZ366" s="1648">
        <v>212051</v>
      </c>
      <c r="DOA366" s="1648">
        <v>131147</v>
      </c>
      <c r="DOB366" s="1648">
        <v>101889</v>
      </c>
      <c r="DOC366" s="1648">
        <v>453326</v>
      </c>
      <c r="DOD366" s="1648">
        <v>298813</v>
      </c>
      <c r="DOE366" s="1648">
        <v>605808</v>
      </c>
      <c r="DOF366" s="1648">
        <v>847471</v>
      </c>
      <c r="DOG366" s="1648">
        <v>1070054</v>
      </c>
      <c r="DOH366" s="1648">
        <v>1003687</v>
      </c>
      <c r="DOI366" s="635">
        <v>6373312</v>
      </c>
      <c r="DOJ366" s="633">
        <f>SUM(DNW366:DOH366)</f>
        <v>6373312</v>
      </c>
      <c r="DOK366" s="919" t="s">
        <v>1839</v>
      </c>
      <c r="DOL366" s="1643" t="s">
        <v>1840</v>
      </c>
      <c r="DOM366" s="1648">
        <v>603740</v>
      </c>
      <c r="DON366" s="1648">
        <v>515055</v>
      </c>
      <c r="DOO366" s="1648">
        <v>530271</v>
      </c>
      <c r="DOP366" s="1648">
        <v>212051</v>
      </c>
      <c r="DOQ366" s="1648">
        <v>131147</v>
      </c>
      <c r="DOR366" s="1648">
        <v>101889</v>
      </c>
      <c r="DOS366" s="1648">
        <v>453326</v>
      </c>
      <c r="DOT366" s="1648">
        <v>298813</v>
      </c>
      <c r="DOU366" s="1648">
        <v>605808</v>
      </c>
      <c r="DOV366" s="1648">
        <v>847471</v>
      </c>
      <c r="DOW366" s="1648">
        <v>1070054</v>
      </c>
      <c r="DOX366" s="1648">
        <v>1003687</v>
      </c>
      <c r="DOY366" s="635">
        <v>6373312</v>
      </c>
      <c r="DOZ366" s="633">
        <f>SUM(DOM366:DOX366)</f>
        <v>6373312</v>
      </c>
      <c r="DPA366" s="919" t="s">
        <v>1839</v>
      </c>
      <c r="DPB366" s="1643" t="s">
        <v>1840</v>
      </c>
      <c r="DPC366" s="1648">
        <v>603740</v>
      </c>
      <c r="DPD366" s="1648">
        <v>515055</v>
      </c>
      <c r="DPE366" s="1648">
        <v>530271</v>
      </c>
      <c r="DPF366" s="1648">
        <v>212051</v>
      </c>
      <c r="DPG366" s="1648">
        <v>131147</v>
      </c>
      <c r="DPH366" s="1648">
        <v>101889</v>
      </c>
      <c r="DPI366" s="1648">
        <v>453326</v>
      </c>
      <c r="DPJ366" s="1648">
        <v>298813</v>
      </c>
      <c r="DPK366" s="1648">
        <v>605808</v>
      </c>
      <c r="DPL366" s="1648">
        <v>847471</v>
      </c>
      <c r="DPM366" s="1648">
        <v>1070054</v>
      </c>
      <c r="DPN366" s="1648">
        <v>1003687</v>
      </c>
      <c r="DPO366" s="635">
        <v>6373312</v>
      </c>
      <c r="DPP366" s="633">
        <f>SUM(DPC366:DPN366)</f>
        <v>6373312</v>
      </c>
      <c r="DPQ366" s="919" t="s">
        <v>1839</v>
      </c>
      <c r="DPR366" s="1643" t="s">
        <v>1840</v>
      </c>
      <c r="DPS366" s="1648">
        <v>603740</v>
      </c>
      <c r="DPT366" s="1648">
        <v>515055</v>
      </c>
      <c r="DPU366" s="1648">
        <v>530271</v>
      </c>
      <c r="DPV366" s="1648">
        <v>212051</v>
      </c>
      <c r="DPW366" s="1648">
        <v>131147</v>
      </c>
      <c r="DPX366" s="1648">
        <v>101889</v>
      </c>
      <c r="DPY366" s="1648">
        <v>453326</v>
      </c>
      <c r="DPZ366" s="1648">
        <v>298813</v>
      </c>
      <c r="DQA366" s="1648">
        <v>605808</v>
      </c>
      <c r="DQB366" s="1648">
        <v>847471</v>
      </c>
      <c r="DQC366" s="1648">
        <v>1070054</v>
      </c>
      <c r="DQD366" s="1648">
        <v>1003687</v>
      </c>
      <c r="DQE366" s="635">
        <v>6373312</v>
      </c>
      <c r="DQF366" s="633">
        <f>SUM(DPS366:DQD366)</f>
        <v>6373312</v>
      </c>
      <c r="DQG366" s="919" t="s">
        <v>1839</v>
      </c>
      <c r="DQH366" s="1643" t="s">
        <v>1840</v>
      </c>
      <c r="DQI366" s="1648">
        <v>603740</v>
      </c>
      <c r="DQJ366" s="1648">
        <v>515055</v>
      </c>
      <c r="DQK366" s="1648">
        <v>530271</v>
      </c>
      <c r="DQL366" s="1648">
        <v>212051</v>
      </c>
      <c r="DQM366" s="1648">
        <v>131147</v>
      </c>
      <c r="DQN366" s="1648">
        <v>101889</v>
      </c>
      <c r="DQO366" s="1648">
        <v>453326</v>
      </c>
      <c r="DQP366" s="1648">
        <v>298813</v>
      </c>
      <c r="DQQ366" s="1648">
        <v>605808</v>
      </c>
      <c r="DQR366" s="1648">
        <v>847471</v>
      </c>
      <c r="DQS366" s="1648">
        <v>1070054</v>
      </c>
      <c r="DQT366" s="1648">
        <v>1003687</v>
      </c>
      <c r="DQU366" s="635">
        <v>6373312</v>
      </c>
      <c r="DQV366" s="633">
        <f>SUM(DQI366:DQT366)</f>
        <v>6373312</v>
      </c>
      <c r="DQW366" s="919" t="s">
        <v>1839</v>
      </c>
      <c r="DQX366" s="1643" t="s">
        <v>1840</v>
      </c>
      <c r="DQY366" s="1648">
        <v>603740</v>
      </c>
      <c r="DQZ366" s="1648">
        <v>515055</v>
      </c>
      <c r="DRA366" s="1648">
        <v>530271</v>
      </c>
      <c r="DRB366" s="1648">
        <v>212051</v>
      </c>
      <c r="DRC366" s="1648">
        <v>131147</v>
      </c>
      <c r="DRD366" s="1648">
        <v>101889</v>
      </c>
      <c r="DRE366" s="1648">
        <v>453326</v>
      </c>
      <c r="DRF366" s="1648">
        <v>298813</v>
      </c>
      <c r="DRG366" s="1648">
        <v>605808</v>
      </c>
      <c r="DRH366" s="1648">
        <v>847471</v>
      </c>
      <c r="DRI366" s="1648">
        <v>1070054</v>
      </c>
      <c r="DRJ366" s="1648">
        <v>1003687</v>
      </c>
      <c r="DRK366" s="635">
        <v>6373312</v>
      </c>
      <c r="DRL366" s="633">
        <f>SUM(DQY366:DRJ366)</f>
        <v>6373312</v>
      </c>
      <c r="DRM366" s="919" t="s">
        <v>1839</v>
      </c>
      <c r="DRN366" s="1643" t="s">
        <v>1840</v>
      </c>
      <c r="DRO366" s="1648">
        <v>603740</v>
      </c>
      <c r="DRP366" s="1648">
        <v>515055</v>
      </c>
      <c r="DRQ366" s="1648">
        <v>530271</v>
      </c>
      <c r="DRR366" s="1648">
        <v>212051</v>
      </c>
      <c r="DRS366" s="1648">
        <v>131147</v>
      </c>
      <c r="DRT366" s="1648">
        <v>101889</v>
      </c>
      <c r="DRU366" s="1648">
        <v>453326</v>
      </c>
      <c r="DRV366" s="1648">
        <v>298813</v>
      </c>
      <c r="DRW366" s="1648">
        <v>605808</v>
      </c>
      <c r="DRX366" s="1648">
        <v>847471</v>
      </c>
      <c r="DRY366" s="1648">
        <v>1070054</v>
      </c>
      <c r="DRZ366" s="1648">
        <v>1003687</v>
      </c>
      <c r="DSA366" s="635">
        <v>6373312</v>
      </c>
      <c r="DSB366" s="633">
        <f>SUM(DRO366:DRZ366)</f>
        <v>6373312</v>
      </c>
      <c r="DSC366" s="919" t="s">
        <v>1839</v>
      </c>
      <c r="DSD366" s="1643" t="s">
        <v>1840</v>
      </c>
      <c r="DSE366" s="1648">
        <v>603740</v>
      </c>
      <c r="DSF366" s="1648">
        <v>515055</v>
      </c>
      <c r="DSG366" s="1648">
        <v>530271</v>
      </c>
      <c r="DSH366" s="1648">
        <v>212051</v>
      </c>
      <c r="DSI366" s="1648">
        <v>131147</v>
      </c>
      <c r="DSJ366" s="1648">
        <v>101889</v>
      </c>
      <c r="DSK366" s="1648">
        <v>453326</v>
      </c>
      <c r="DSL366" s="1648">
        <v>298813</v>
      </c>
      <c r="DSM366" s="1648">
        <v>605808</v>
      </c>
      <c r="DSN366" s="1648">
        <v>847471</v>
      </c>
      <c r="DSO366" s="1648">
        <v>1070054</v>
      </c>
      <c r="DSP366" s="1648">
        <v>1003687</v>
      </c>
      <c r="DSQ366" s="635">
        <v>6373312</v>
      </c>
      <c r="DSR366" s="633">
        <f>SUM(DSE366:DSP366)</f>
        <v>6373312</v>
      </c>
      <c r="DSS366" s="919" t="s">
        <v>1839</v>
      </c>
      <c r="DST366" s="1643" t="s">
        <v>1840</v>
      </c>
      <c r="DSU366" s="1648">
        <v>603740</v>
      </c>
      <c r="DSV366" s="1648">
        <v>515055</v>
      </c>
      <c r="DSW366" s="1648">
        <v>530271</v>
      </c>
      <c r="DSX366" s="1648">
        <v>212051</v>
      </c>
      <c r="DSY366" s="1648">
        <v>131147</v>
      </c>
      <c r="DSZ366" s="1648">
        <v>101889</v>
      </c>
      <c r="DTA366" s="1648">
        <v>453326</v>
      </c>
      <c r="DTB366" s="1648">
        <v>298813</v>
      </c>
      <c r="DTC366" s="1648">
        <v>605808</v>
      </c>
      <c r="DTD366" s="1648">
        <v>847471</v>
      </c>
      <c r="DTE366" s="1648">
        <v>1070054</v>
      </c>
      <c r="DTF366" s="1648">
        <v>1003687</v>
      </c>
      <c r="DTG366" s="635">
        <v>6373312</v>
      </c>
      <c r="DTH366" s="633">
        <f>SUM(DSU366:DTF366)</f>
        <v>6373312</v>
      </c>
      <c r="DTI366" s="919" t="s">
        <v>1839</v>
      </c>
      <c r="DTJ366" s="1643" t="s">
        <v>1840</v>
      </c>
      <c r="DTK366" s="1648">
        <v>603740</v>
      </c>
      <c r="DTL366" s="1648">
        <v>515055</v>
      </c>
      <c r="DTM366" s="1648">
        <v>530271</v>
      </c>
      <c r="DTN366" s="1648">
        <v>212051</v>
      </c>
      <c r="DTO366" s="1648">
        <v>131147</v>
      </c>
      <c r="DTP366" s="1648">
        <v>101889</v>
      </c>
      <c r="DTQ366" s="1648">
        <v>453326</v>
      </c>
      <c r="DTR366" s="1648">
        <v>298813</v>
      </c>
      <c r="DTS366" s="1648">
        <v>605808</v>
      </c>
      <c r="DTT366" s="1648">
        <v>847471</v>
      </c>
      <c r="DTU366" s="1648">
        <v>1070054</v>
      </c>
      <c r="DTV366" s="1648">
        <v>1003687</v>
      </c>
      <c r="DTW366" s="635">
        <v>6373312</v>
      </c>
      <c r="DTX366" s="633">
        <f>SUM(DTK366:DTV366)</f>
        <v>6373312</v>
      </c>
      <c r="DTY366" s="919" t="s">
        <v>1839</v>
      </c>
      <c r="DTZ366" s="1643" t="s">
        <v>1840</v>
      </c>
      <c r="DUA366" s="1648">
        <v>603740</v>
      </c>
      <c r="DUB366" s="1648">
        <v>515055</v>
      </c>
      <c r="DUC366" s="1648">
        <v>530271</v>
      </c>
      <c r="DUD366" s="1648">
        <v>212051</v>
      </c>
      <c r="DUE366" s="1648">
        <v>131147</v>
      </c>
      <c r="DUF366" s="1648">
        <v>101889</v>
      </c>
      <c r="DUG366" s="1648">
        <v>453326</v>
      </c>
      <c r="DUH366" s="1648">
        <v>298813</v>
      </c>
      <c r="DUI366" s="1648">
        <v>605808</v>
      </c>
      <c r="DUJ366" s="1648">
        <v>847471</v>
      </c>
      <c r="DUK366" s="1648">
        <v>1070054</v>
      </c>
      <c r="DUL366" s="1648">
        <v>1003687</v>
      </c>
      <c r="DUM366" s="635">
        <v>6373312</v>
      </c>
      <c r="DUN366" s="633">
        <f>SUM(DUA366:DUL366)</f>
        <v>6373312</v>
      </c>
      <c r="DUO366" s="919" t="s">
        <v>1839</v>
      </c>
      <c r="DUP366" s="1643" t="s">
        <v>1840</v>
      </c>
      <c r="DUQ366" s="1648">
        <v>603740</v>
      </c>
      <c r="DUR366" s="1648">
        <v>515055</v>
      </c>
      <c r="DUS366" s="1648">
        <v>530271</v>
      </c>
      <c r="DUT366" s="1648">
        <v>212051</v>
      </c>
      <c r="DUU366" s="1648">
        <v>131147</v>
      </c>
      <c r="DUV366" s="1648">
        <v>101889</v>
      </c>
      <c r="DUW366" s="1648">
        <v>453326</v>
      </c>
      <c r="DUX366" s="1648">
        <v>298813</v>
      </c>
      <c r="DUY366" s="1648">
        <v>605808</v>
      </c>
      <c r="DUZ366" s="1648">
        <v>847471</v>
      </c>
      <c r="DVA366" s="1648">
        <v>1070054</v>
      </c>
      <c r="DVB366" s="1648">
        <v>1003687</v>
      </c>
      <c r="DVC366" s="635">
        <v>6373312</v>
      </c>
      <c r="DVD366" s="633">
        <f>SUM(DUQ366:DVB366)</f>
        <v>6373312</v>
      </c>
      <c r="DVE366" s="919" t="s">
        <v>1839</v>
      </c>
      <c r="DVF366" s="1643" t="s">
        <v>1840</v>
      </c>
      <c r="DVG366" s="1648">
        <v>603740</v>
      </c>
      <c r="DVH366" s="1648">
        <v>515055</v>
      </c>
      <c r="DVI366" s="1648">
        <v>530271</v>
      </c>
      <c r="DVJ366" s="1648">
        <v>212051</v>
      </c>
      <c r="DVK366" s="1648">
        <v>131147</v>
      </c>
      <c r="DVL366" s="1648">
        <v>101889</v>
      </c>
      <c r="DVM366" s="1648">
        <v>453326</v>
      </c>
      <c r="DVN366" s="1648">
        <v>298813</v>
      </c>
      <c r="DVO366" s="1648">
        <v>605808</v>
      </c>
      <c r="DVP366" s="1648">
        <v>847471</v>
      </c>
      <c r="DVQ366" s="1648">
        <v>1070054</v>
      </c>
      <c r="DVR366" s="1648">
        <v>1003687</v>
      </c>
      <c r="DVS366" s="635">
        <v>6373312</v>
      </c>
      <c r="DVT366" s="633">
        <f>SUM(DVG366:DVR366)</f>
        <v>6373312</v>
      </c>
      <c r="DVU366" s="919" t="s">
        <v>1839</v>
      </c>
      <c r="DVV366" s="1643" t="s">
        <v>1840</v>
      </c>
      <c r="DVW366" s="1648">
        <v>603740</v>
      </c>
      <c r="DVX366" s="1648">
        <v>515055</v>
      </c>
      <c r="DVY366" s="1648">
        <v>530271</v>
      </c>
      <c r="DVZ366" s="1648">
        <v>212051</v>
      </c>
      <c r="DWA366" s="1648">
        <v>131147</v>
      </c>
      <c r="DWB366" s="1648">
        <v>101889</v>
      </c>
      <c r="DWC366" s="1648">
        <v>453326</v>
      </c>
      <c r="DWD366" s="1648">
        <v>298813</v>
      </c>
      <c r="DWE366" s="1648">
        <v>605808</v>
      </c>
      <c r="DWF366" s="1648">
        <v>847471</v>
      </c>
      <c r="DWG366" s="1648">
        <v>1070054</v>
      </c>
      <c r="DWH366" s="1648">
        <v>1003687</v>
      </c>
      <c r="DWI366" s="635">
        <v>6373312</v>
      </c>
      <c r="DWJ366" s="633">
        <f>SUM(DVW366:DWH366)</f>
        <v>6373312</v>
      </c>
      <c r="DWK366" s="919" t="s">
        <v>1839</v>
      </c>
      <c r="DWL366" s="1643" t="s">
        <v>1840</v>
      </c>
      <c r="DWM366" s="1648">
        <v>603740</v>
      </c>
      <c r="DWN366" s="1648">
        <v>515055</v>
      </c>
      <c r="DWO366" s="1648">
        <v>530271</v>
      </c>
      <c r="DWP366" s="1648">
        <v>212051</v>
      </c>
      <c r="DWQ366" s="1648">
        <v>131147</v>
      </c>
      <c r="DWR366" s="1648">
        <v>101889</v>
      </c>
      <c r="DWS366" s="1648">
        <v>453326</v>
      </c>
      <c r="DWT366" s="1648">
        <v>298813</v>
      </c>
      <c r="DWU366" s="1648">
        <v>605808</v>
      </c>
      <c r="DWV366" s="1648">
        <v>847471</v>
      </c>
      <c r="DWW366" s="1648">
        <v>1070054</v>
      </c>
      <c r="DWX366" s="1648">
        <v>1003687</v>
      </c>
      <c r="DWY366" s="635">
        <v>6373312</v>
      </c>
      <c r="DWZ366" s="633">
        <f>SUM(DWM366:DWX366)</f>
        <v>6373312</v>
      </c>
      <c r="DXA366" s="919" t="s">
        <v>1839</v>
      </c>
      <c r="DXB366" s="1643" t="s">
        <v>1840</v>
      </c>
      <c r="DXC366" s="1648">
        <v>603740</v>
      </c>
      <c r="DXD366" s="1648">
        <v>515055</v>
      </c>
      <c r="DXE366" s="1648">
        <v>530271</v>
      </c>
      <c r="DXF366" s="1648">
        <v>212051</v>
      </c>
      <c r="DXG366" s="1648">
        <v>131147</v>
      </c>
      <c r="DXH366" s="1648">
        <v>101889</v>
      </c>
      <c r="DXI366" s="1648">
        <v>453326</v>
      </c>
      <c r="DXJ366" s="1648">
        <v>298813</v>
      </c>
      <c r="DXK366" s="1648">
        <v>605808</v>
      </c>
      <c r="DXL366" s="1648">
        <v>847471</v>
      </c>
      <c r="DXM366" s="1648">
        <v>1070054</v>
      </c>
      <c r="DXN366" s="1648">
        <v>1003687</v>
      </c>
      <c r="DXO366" s="635">
        <v>6373312</v>
      </c>
      <c r="DXP366" s="633">
        <f>SUM(DXC366:DXN366)</f>
        <v>6373312</v>
      </c>
      <c r="DXQ366" s="919" t="s">
        <v>1839</v>
      </c>
      <c r="DXR366" s="1643" t="s">
        <v>1840</v>
      </c>
      <c r="DXS366" s="1648">
        <v>603740</v>
      </c>
      <c r="DXT366" s="1648">
        <v>515055</v>
      </c>
      <c r="DXU366" s="1648">
        <v>530271</v>
      </c>
      <c r="DXV366" s="1648">
        <v>212051</v>
      </c>
      <c r="DXW366" s="1648">
        <v>131147</v>
      </c>
      <c r="DXX366" s="1648">
        <v>101889</v>
      </c>
      <c r="DXY366" s="1648">
        <v>453326</v>
      </c>
      <c r="DXZ366" s="1648">
        <v>298813</v>
      </c>
      <c r="DYA366" s="1648">
        <v>605808</v>
      </c>
      <c r="DYB366" s="1648">
        <v>847471</v>
      </c>
      <c r="DYC366" s="1648">
        <v>1070054</v>
      </c>
      <c r="DYD366" s="1648">
        <v>1003687</v>
      </c>
      <c r="DYE366" s="635">
        <v>6373312</v>
      </c>
      <c r="DYF366" s="633">
        <f>SUM(DXS366:DYD366)</f>
        <v>6373312</v>
      </c>
      <c r="DYG366" s="919" t="s">
        <v>1839</v>
      </c>
      <c r="DYH366" s="1643" t="s">
        <v>1840</v>
      </c>
      <c r="DYI366" s="1648">
        <v>603740</v>
      </c>
      <c r="DYJ366" s="1648">
        <v>515055</v>
      </c>
      <c r="DYK366" s="1648">
        <v>530271</v>
      </c>
      <c r="DYL366" s="1648">
        <v>212051</v>
      </c>
      <c r="DYM366" s="1648">
        <v>131147</v>
      </c>
      <c r="DYN366" s="1648">
        <v>101889</v>
      </c>
      <c r="DYO366" s="1648">
        <v>453326</v>
      </c>
      <c r="DYP366" s="1648">
        <v>298813</v>
      </c>
      <c r="DYQ366" s="1648">
        <v>605808</v>
      </c>
      <c r="DYR366" s="1648">
        <v>847471</v>
      </c>
      <c r="DYS366" s="1648">
        <v>1070054</v>
      </c>
      <c r="DYT366" s="1648">
        <v>1003687</v>
      </c>
      <c r="DYU366" s="635">
        <v>6373312</v>
      </c>
      <c r="DYV366" s="633">
        <f>SUM(DYI366:DYT366)</f>
        <v>6373312</v>
      </c>
      <c r="DYW366" s="919" t="s">
        <v>1839</v>
      </c>
      <c r="DYX366" s="1643" t="s">
        <v>1840</v>
      </c>
      <c r="DYY366" s="1648">
        <v>603740</v>
      </c>
      <c r="DYZ366" s="1648">
        <v>515055</v>
      </c>
      <c r="DZA366" s="1648">
        <v>530271</v>
      </c>
      <c r="DZB366" s="1648">
        <v>212051</v>
      </c>
      <c r="DZC366" s="1648">
        <v>131147</v>
      </c>
      <c r="DZD366" s="1648">
        <v>101889</v>
      </c>
      <c r="DZE366" s="1648">
        <v>453326</v>
      </c>
      <c r="DZF366" s="1648">
        <v>298813</v>
      </c>
      <c r="DZG366" s="1648">
        <v>605808</v>
      </c>
      <c r="DZH366" s="1648">
        <v>847471</v>
      </c>
      <c r="DZI366" s="1648">
        <v>1070054</v>
      </c>
      <c r="DZJ366" s="1648">
        <v>1003687</v>
      </c>
      <c r="DZK366" s="635">
        <v>6373312</v>
      </c>
      <c r="DZL366" s="633">
        <f>SUM(DYY366:DZJ366)</f>
        <v>6373312</v>
      </c>
      <c r="DZM366" s="919" t="s">
        <v>1839</v>
      </c>
      <c r="DZN366" s="1643" t="s">
        <v>1840</v>
      </c>
      <c r="DZO366" s="1648">
        <v>603740</v>
      </c>
      <c r="DZP366" s="1648">
        <v>515055</v>
      </c>
      <c r="DZQ366" s="1648">
        <v>530271</v>
      </c>
      <c r="DZR366" s="1648">
        <v>212051</v>
      </c>
      <c r="DZS366" s="1648">
        <v>131147</v>
      </c>
      <c r="DZT366" s="1648">
        <v>101889</v>
      </c>
      <c r="DZU366" s="1648">
        <v>453326</v>
      </c>
      <c r="DZV366" s="1648">
        <v>298813</v>
      </c>
      <c r="DZW366" s="1648">
        <v>605808</v>
      </c>
      <c r="DZX366" s="1648">
        <v>847471</v>
      </c>
      <c r="DZY366" s="1648">
        <v>1070054</v>
      </c>
      <c r="DZZ366" s="1648">
        <v>1003687</v>
      </c>
      <c r="EAA366" s="635">
        <v>6373312</v>
      </c>
      <c r="EAB366" s="633">
        <f>SUM(DZO366:DZZ366)</f>
        <v>6373312</v>
      </c>
      <c r="EAC366" s="919" t="s">
        <v>1839</v>
      </c>
      <c r="EAD366" s="1643" t="s">
        <v>1840</v>
      </c>
      <c r="EAE366" s="1648">
        <v>603740</v>
      </c>
      <c r="EAF366" s="1648">
        <v>515055</v>
      </c>
      <c r="EAG366" s="1648">
        <v>530271</v>
      </c>
      <c r="EAH366" s="1648">
        <v>212051</v>
      </c>
      <c r="EAI366" s="1648">
        <v>131147</v>
      </c>
      <c r="EAJ366" s="1648">
        <v>101889</v>
      </c>
      <c r="EAK366" s="1648">
        <v>453326</v>
      </c>
      <c r="EAL366" s="1648">
        <v>298813</v>
      </c>
      <c r="EAM366" s="1648">
        <v>605808</v>
      </c>
      <c r="EAN366" s="1648">
        <v>847471</v>
      </c>
      <c r="EAO366" s="1648">
        <v>1070054</v>
      </c>
      <c r="EAP366" s="1648">
        <v>1003687</v>
      </c>
      <c r="EAQ366" s="635">
        <v>6373312</v>
      </c>
      <c r="EAR366" s="633">
        <f>SUM(EAE366:EAP366)</f>
        <v>6373312</v>
      </c>
      <c r="EAS366" s="919" t="s">
        <v>1839</v>
      </c>
      <c r="EAT366" s="1643" t="s">
        <v>1840</v>
      </c>
      <c r="EAU366" s="1648">
        <v>603740</v>
      </c>
      <c r="EAV366" s="1648">
        <v>515055</v>
      </c>
      <c r="EAW366" s="1648">
        <v>530271</v>
      </c>
      <c r="EAX366" s="1648">
        <v>212051</v>
      </c>
      <c r="EAY366" s="1648">
        <v>131147</v>
      </c>
      <c r="EAZ366" s="1648">
        <v>101889</v>
      </c>
      <c r="EBA366" s="1648">
        <v>453326</v>
      </c>
      <c r="EBB366" s="1648">
        <v>298813</v>
      </c>
      <c r="EBC366" s="1648">
        <v>605808</v>
      </c>
      <c r="EBD366" s="1648">
        <v>847471</v>
      </c>
      <c r="EBE366" s="1648">
        <v>1070054</v>
      </c>
      <c r="EBF366" s="1648">
        <v>1003687</v>
      </c>
      <c r="EBG366" s="635">
        <v>6373312</v>
      </c>
      <c r="EBH366" s="633">
        <f>SUM(EAU366:EBF366)</f>
        <v>6373312</v>
      </c>
      <c r="EBI366" s="919" t="s">
        <v>1839</v>
      </c>
      <c r="EBJ366" s="1643" t="s">
        <v>1840</v>
      </c>
      <c r="EBK366" s="1648">
        <v>603740</v>
      </c>
      <c r="EBL366" s="1648">
        <v>515055</v>
      </c>
      <c r="EBM366" s="1648">
        <v>530271</v>
      </c>
      <c r="EBN366" s="1648">
        <v>212051</v>
      </c>
      <c r="EBO366" s="1648">
        <v>131147</v>
      </c>
      <c r="EBP366" s="1648">
        <v>101889</v>
      </c>
      <c r="EBQ366" s="1648">
        <v>453326</v>
      </c>
      <c r="EBR366" s="1648">
        <v>298813</v>
      </c>
      <c r="EBS366" s="1648">
        <v>605808</v>
      </c>
      <c r="EBT366" s="1648">
        <v>847471</v>
      </c>
      <c r="EBU366" s="1648">
        <v>1070054</v>
      </c>
      <c r="EBV366" s="1648">
        <v>1003687</v>
      </c>
      <c r="EBW366" s="635">
        <v>6373312</v>
      </c>
      <c r="EBX366" s="633">
        <f>SUM(EBK366:EBV366)</f>
        <v>6373312</v>
      </c>
      <c r="EBY366" s="919" t="s">
        <v>1839</v>
      </c>
      <c r="EBZ366" s="1643" t="s">
        <v>1840</v>
      </c>
      <c r="ECA366" s="1648">
        <v>603740</v>
      </c>
      <c r="ECB366" s="1648">
        <v>515055</v>
      </c>
      <c r="ECC366" s="1648">
        <v>530271</v>
      </c>
      <c r="ECD366" s="1648">
        <v>212051</v>
      </c>
      <c r="ECE366" s="1648">
        <v>131147</v>
      </c>
      <c r="ECF366" s="1648">
        <v>101889</v>
      </c>
      <c r="ECG366" s="1648">
        <v>453326</v>
      </c>
      <c r="ECH366" s="1648">
        <v>298813</v>
      </c>
      <c r="ECI366" s="1648">
        <v>605808</v>
      </c>
      <c r="ECJ366" s="1648">
        <v>847471</v>
      </c>
      <c r="ECK366" s="1648">
        <v>1070054</v>
      </c>
      <c r="ECL366" s="1648">
        <v>1003687</v>
      </c>
      <c r="ECM366" s="635">
        <v>6373312</v>
      </c>
      <c r="ECN366" s="633">
        <f>SUM(ECA366:ECL366)</f>
        <v>6373312</v>
      </c>
      <c r="ECO366" s="919" t="s">
        <v>1839</v>
      </c>
      <c r="ECP366" s="1643" t="s">
        <v>1840</v>
      </c>
      <c r="ECQ366" s="1648">
        <v>603740</v>
      </c>
      <c r="ECR366" s="1648">
        <v>515055</v>
      </c>
      <c r="ECS366" s="1648">
        <v>530271</v>
      </c>
      <c r="ECT366" s="1648">
        <v>212051</v>
      </c>
      <c r="ECU366" s="1648">
        <v>131147</v>
      </c>
      <c r="ECV366" s="1648">
        <v>101889</v>
      </c>
      <c r="ECW366" s="1648">
        <v>453326</v>
      </c>
      <c r="ECX366" s="1648">
        <v>298813</v>
      </c>
      <c r="ECY366" s="1648">
        <v>605808</v>
      </c>
      <c r="ECZ366" s="1648">
        <v>847471</v>
      </c>
      <c r="EDA366" s="1648">
        <v>1070054</v>
      </c>
      <c r="EDB366" s="1648">
        <v>1003687</v>
      </c>
      <c r="EDC366" s="635">
        <v>6373312</v>
      </c>
      <c r="EDD366" s="633">
        <f>SUM(ECQ366:EDB366)</f>
        <v>6373312</v>
      </c>
      <c r="EDE366" s="919" t="s">
        <v>1839</v>
      </c>
      <c r="EDF366" s="1643" t="s">
        <v>1840</v>
      </c>
      <c r="EDG366" s="1648">
        <v>603740</v>
      </c>
      <c r="EDH366" s="1648">
        <v>515055</v>
      </c>
      <c r="EDI366" s="1648">
        <v>530271</v>
      </c>
      <c r="EDJ366" s="1648">
        <v>212051</v>
      </c>
      <c r="EDK366" s="1648">
        <v>131147</v>
      </c>
      <c r="EDL366" s="1648">
        <v>101889</v>
      </c>
      <c r="EDM366" s="1648">
        <v>453326</v>
      </c>
      <c r="EDN366" s="1648">
        <v>298813</v>
      </c>
      <c r="EDO366" s="1648">
        <v>605808</v>
      </c>
      <c r="EDP366" s="1648">
        <v>847471</v>
      </c>
      <c r="EDQ366" s="1648">
        <v>1070054</v>
      </c>
      <c r="EDR366" s="1648">
        <v>1003687</v>
      </c>
      <c r="EDS366" s="635">
        <v>6373312</v>
      </c>
      <c r="EDT366" s="633">
        <f>SUM(EDG366:EDR366)</f>
        <v>6373312</v>
      </c>
      <c r="EDU366" s="919" t="s">
        <v>1839</v>
      </c>
      <c r="EDV366" s="1643" t="s">
        <v>1840</v>
      </c>
      <c r="EDW366" s="1648">
        <v>603740</v>
      </c>
      <c r="EDX366" s="1648">
        <v>515055</v>
      </c>
      <c r="EDY366" s="1648">
        <v>530271</v>
      </c>
      <c r="EDZ366" s="1648">
        <v>212051</v>
      </c>
      <c r="EEA366" s="1648">
        <v>131147</v>
      </c>
      <c r="EEB366" s="1648">
        <v>101889</v>
      </c>
      <c r="EEC366" s="1648">
        <v>453326</v>
      </c>
      <c r="EED366" s="1648">
        <v>298813</v>
      </c>
      <c r="EEE366" s="1648">
        <v>605808</v>
      </c>
      <c r="EEF366" s="1648">
        <v>847471</v>
      </c>
      <c r="EEG366" s="1648">
        <v>1070054</v>
      </c>
      <c r="EEH366" s="1648">
        <v>1003687</v>
      </c>
      <c r="EEI366" s="635">
        <v>6373312</v>
      </c>
      <c r="EEJ366" s="633">
        <f>SUM(EDW366:EEH366)</f>
        <v>6373312</v>
      </c>
      <c r="EEK366" s="919" t="s">
        <v>1839</v>
      </c>
      <c r="EEL366" s="1643" t="s">
        <v>1840</v>
      </c>
      <c r="EEM366" s="1648">
        <v>603740</v>
      </c>
      <c r="EEN366" s="1648">
        <v>515055</v>
      </c>
      <c r="EEO366" s="1648">
        <v>530271</v>
      </c>
      <c r="EEP366" s="1648">
        <v>212051</v>
      </c>
      <c r="EEQ366" s="1648">
        <v>131147</v>
      </c>
      <c r="EER366" s="1648">
        <v>101889</v>
      </c>
      <c r="EES366" s="1648">
        <v>453326</v>
      </c>
      <c r="EET366" s="1648">
        <v>298813</v>
      </c>
      <c r="EEU366" s="1648">
        <v>605808</v>
      </c>
      <c r="EEV366" s="1648">
        <v>847471</v>
      </c>
      <c r="EEW366" s="1648">
        <v>1070054</v>
      </c>
      <c r="EEX366" s="1648">
        <v>1003687</v>
      </c>
      <c r="EEY366" s="635">
        <v>6373312</v>
      </c>
      <c r="EEZ366" s="633">
        <f>SUM(EEM366:EEX366)</f>
        <v>6373312</v>
      </c>
      <c r="EFA366" s="919" t="s">
        <v>1839</v>
      </c>
      <c r="EFB366" s="1643" t="s">
        <v>1840</v>
      </c>
      <c r="EFC366" s="1648">
        <v>603740</v>
      </c>
      <c r="EFD366" s="1648">
        <v>515055</v>
      </c>
      <c r="EFE366" s="1648">
        <v>530271</v>
      </c>
      <c r="EFF366" s="1648">
        <v>212051</v>
      </c>
      <c r="EFG366" s="1648">
        <v>131147</v>
      </c>
      <c r="EFH366" s="1648">
        <v>101889</v>
      </c>
      <c r="EFI366" s="1648">
        <v>453326</v>
      </c>
      <c r="EFJ366" s="1648">
        <v>298813</v>
      </c>
      <c r="EFK366" s="1648">
        <v>605808</v>
      </c>
      <c r="EFL366" s="1648">
        <v>847471</v>
      </c>
      <c r="EFM366" s="1648">
        <v>1070054</v>
      </c>
      <c r="EFN366" s="1648">
        <v>1003687</v>
      </c>
      <c r="EFO366" s="635">
        <v>6373312</v>
      </c>
      <c r="EFP366" s="633">
        <f>SUM(EFC366:EFN366)</f>
        <v>6373312</v>
      </c>
      <c r="EFQ366" s="919" t="s">
        <v>1839</v>
      </c>
      <c r="EFR366" s="1643" t="s">
        <v>1840</v>
      </c>
      <c r="EFS366" s="1648">
        <v>603740</v>
      </c>
      <c r="EFT366" s="1648">
        <v>515055</v>
      </c>
      <c r="EFU366" s="1648">
        <v>530271</v>
      </c>
      <c r="EFV366" s="1648">
        <v>212051</v>
      </c>
      <c r="EFW366" s="1648">
        <v>131147</v>
      </c>
      <c r="EFX366" s="1648">
        <v>101889</v>
      </c>
      <c r="EFY366" s="1648">
        <v>453326</v>
      </c>
      <c r="EFZ366" s="1648">
        <v>298813</v>
      </c>
      <c r="EGA366" s="1648">
        <v>605808</v>
      </c>
      <c r="EGB366" s="1648">
        <v>847471</v>
      </c>
      <c r="EGC366" s="1648">
        <v>1070054</v>
      </c>
      <c r="EGD366" s="1648">
        <v>1003687</v>
      </c>
      <c r="EGE366" s="635">
        <v>6373312</v>
      </c>
      <c r="EGF366" s="633">
        <f>SUM(EFS366:EGD366)</f>
        <v>6373312</v>
      </c>
      <c r="EGG366" s="919" t="s">
        <v>1839</v>
      </c>
      <c r="EGH366" s="1643" t="s">
        <v>1840</v>
      </c>
      <c r="EGI366" s="1648">
        <v>603740</v>
      </c>
      <c r="EGJ366" s="1648">
        <v>515055</v>
      </c>
      <c r="EGK366" s="1648">
        <v>530271</v>
      </c>
      <c r="EGL366" s="1648">
        <v>212051</v>
      </c>
      <c r="EGM366" s="1648">
        <v>131147</v>
      </c>
      <c r="EGN366" s="1648">
        <v>101889</v>
      </c>
      <c r="EGO366" s="1648">
        <v>453326</v>
      </c>
      <c r="EGP366" s="1648">
        <v>298813</v>
      </c>
      <c r="EGQ366" s="1648">
        <v>605808</v>
      </c>
      <c r="EGR366" s="1648">
        <v>847471</v>
      </c>
      <c r="EGS366" s="1648">
        <v>1070054</v>
      </c>
      <c r="EGT366" s="1648">
        <v>1003687</v>
      </c>
      <c r="EGU366" s="635">
        <v>6373312</v>
      </c>
      <c r="EGV366" s="633">
        <f>SUM(EGI366:EGT366)</f>
        <v>6373312</v>
      </c>
      <c r="EGW366" s="919" t="s">
        <v>1839</v>
      </c>
      <c r="EGX366" s="1643" t="s">
        <v>1840</v>
      </c>
      <c r="EGY366" s="1648">
        <v>603740</v>
      </c>
      <c r="EGZ366" s="1648">
        <v>515055</v>
      </c>
      <c r="EHA366" s="1648">
        <v>530271</v>
      </c>
      <c r="EHB366" s="1648">
        <v>212051</v>
      </c>
      <c r="EHC366" s="1648">
        <v>131147</v>
      </c>
      <c r="EHD366" s="1648">
        <v>101889</v>
      </c>
      <c r="EHE366" s="1648">
        <v>453326</v>
      </c>
      <c r="EHF366" s="1648">
        <v>298813</v>
      </c>
      <c r="EHG366" s="1648">
        <v>605808</v>
      </c>
      <c r="EHH366" s="1648">
        <v>847471</v>
      </c>
      <c r="EHI366" s="1648">
        <v>1070054</v>
      </c>
      <c r="EHJ366" s="1648">
        <v>1003687</v>
      </c>
      <c r="EHK366" s="635">
        <v>6373312</v>
      </c>
      <c r="EHL366" s="633">
        <f>SUM(EGY366:EHJ366)</f>
        <v>6373312</v>
      </c>
      <c r="EHM366" s="919" t="s">
        <v>1839</v>
      </c>
      <c r="EHN366" s="1643" t="s">
        <v>1840</v>
      </c>
      <c r="EHO366" s="1648">
        <v>603740</v>
      </c>
      <c r="EHP366" s="1648">
        <v>515055</v>
      </c>
      <c r="EHQ366" s="1648">
        <v>530271</v>
      </c>
      <c r="EHR366" s="1648">
        <v>212051</v>
      </c>
      <c r="EHS366" s="1648">
        <v>131147</v>
      </c>
      <c r="EHT366" s="1648">
        <v>101889</v>
      </c>
      <c r="EHU366" s="1648">
        <v>453326</v>
      </c>
      <c r="EHV366" s="1648">
        <v>298813</v>
      </c>
      <c r="EHW366" s="1648">
        <v>605808</v>
      </c>
      <c r="EHX366" s="1648">
        <v>847471</v>
      </c>
      <c r="EHY366" s="1648">
        <v>1070054</v>
      </c>
      <c r="EHZ366" s="1648">
        <v>1003687</v>
      </c>
      <c r="EIA366" s="635">
        <v>6373312</v>
      </c>
      <c r="EIB366" s="633">
        <f>SUM(EHO366:EHZ366)</f>
        <v>6373312</v>
      </c>
      <c r="EIC366" s="919" t="s">
        <v>1839</v>
      </c>
      <c r="EID366" s="1643" t="s">
        <v>1840</v>
      </c>
      <c r="EIE366" s="1648">
        <v>603740</v>
      </c>
      <c r="EIF366" s="1648">
        <v>515055</v>
      </c>
      <c r="EIG366" s="1648">
        <v>530271</v>
      </c>
      <c r="EIH366" s="1648">
        <v>212051</v>
      </c>
      <c r="EII366" s="1648">
        <v>131147</v>
      </c>
      <c r="EIJ366" s="1648">
        <v>101889</v>
      </c>
      <c r="EIK366" s="1648">
        <v>453326</v>
      </c>
      <c r="EIL366" s="1648">
        <v>298813</v>
      </c>
      <c r="EIM366" s="1648">
        <v>605808</v>
      </c>
      <c r="EIN366" s="1648">
        <v>847471</v>
      </c>
      <c r="EIO366" s="1648">
        <v>1070054</v>
      </c>
      <c r="EIP366" s="1648">
        <v>1003687</v>
      </c>
      <c r="EIQ366" s="635">
        <v>6373312</v>
      </c>
      <c r="EIR366" s="633">
        <f>SUM(EIE366:EIP366)</f>
        <v>6373312</v>
      </c>
      <c r="EIS366" s="919" t="s">
        <v>1839</v>
      </c>
      <c r="EIT366" s="1643" t="s">
        <v>1840</v>
      </c>
      <c r="EIU366" s="1648">
        <v>603740</v>
      </c>
      <c r="EIV366" s="1648">
        <v>515055</v>
      </c>
      <c r="EIW366" s="1648">
        <v>530271</v>
      </c>
      <c r="EIX366" s="1648">
        <v>212051</v>
      </c>
      <c r="EIY366" s="1648">
        <v>131147</v>
      </c>
      <c r="EIZ366" s="1648">
        <v>101889</v>
      </c>
      <c r="EJA366" s="1648">
        <v>453326</v>
      </c>
      <c r="EJB366" s="1648">
        <v>298813</v>
      </c>
      <c r="EJC366" s="1648">
        <v>605808</v>
      </c>
      <c r="EJD366" s="1648">
        <v>847471</v>
      </c>
      <c r="EJE366" s="1648">
        <v>1070054</v>
      </c>
      <c r="EJF366" s="1648">
        <v>1003687</v>
      </c>
      <c r="EJG366" s="635">
        <v>6373312</v>
      </c>
      <c r="EJH366" s="633">
        <f>SUM(EIU366:EJF366)</f>
        <v>6373312</v>
      </c>
      <c r="EJI366" s="919" t="s">
        <v>1839</v>
      </c>
      <c r="EJJ366" s="1643" t="s">
        <v>1840</v>
      </c>
      <c r="EJK366" s="1648">
        <v>603740</v>
      </c>
      <c r="EJL366" s="1648">
        <v>515055</v>
      </c>
      <c r="EJM366" s="1648">
        <v>530271</v>
      </c>
      <c r="EJN366" s="1648">
        <v>212051</v>
      </c>
      <c r="EJO366" s="1648">
        <v>131147</v>
      </c>
      <c r="EJP366" s="1648">
        <v>101889</v>
      </c>
      <c r="EJQ366" s="1648">
        <v>453326</v>
      </c>
      <c r="EJR366" s="1648">
        <v>298813</v>
      </c>
      <c r="EJS366" s="1648">
        <v>605808</v>
      </c>
      <c r="EJT366" s="1648">
        <v>847471</v>
      </c>
      <c r="EJU366" s="1648">
        <v>1070054</v>
      </c>
      <c r="EJV366" s="1648">
        <v>1003687</v>
      </c>
      <c r="EJW366" s="635">
        <v>6373312</v>
      </c>
      <c r="EJX366" s="633">
        <f>SUM(EJK366:EJV366)</f>
        <v>6373312</v>
      </c>
      <c r="EJY366" s="919" t="s">
        <v>1839</v>
      </c>
      <c r="EJZ366" s="1643" t="s">
        <v>1840</v>
      </c>
      <c r="EKA366" s="1648">
        <v>603740</v>
      </c>
      <c r="EKB366" s="1648">
        <v>515055</v>
      </c>
      <c r="EKC366" s="1648">
        <v>530271</v>
      </c>
      <c r="EKD366" s="1648">
        <v>212051</v>
      </c>
      <c r="EKE366" s="1648">
        <v>131147</v>
      </c>
      <c r="EKF366" s="1648">
        <v>101889</v>
      </c>
      <c r="EKG366" s="1648">
        <v>453326</v>
      </c>
      <c r="EKH366" s="1648">
        <v>298813</v>
      </c>
      <c r="EKI366" s="1648">
        <v>605808</v>
      </c>
      <c r="EKJ366" s="1648">
        <v>847471</v>
      </c>
      <c r="EKK366" s="1648">
        <v>1070054</v>
      </c>
      <c r="EKL366" s="1648">
        <v>1003687</v>
      </c>
      <c r="EKM366" s="635">
        <v>6373312</v>
      </c>
      <c r="EKN366" s="633">
        <f>SUM(EKA366:EKL366)</f>
        <v>6373312</v>
      </c>
      <c r="EKO366" s="919" t="s">
        <v>1839</v>
      </c>
      <c r="EKP366" s="1643" t="s">
        <v>1840</v>
      </c>
      <c r="EKQ366" s="1648">
        <v>603740</v>
      </c>
      <c r="EKR366" s="1648">
        <v>515055</v>
      </c>
      <c r="EKS366" s="1648">
        <v>530271</v>
      </c>
      <c r="EKT366" s="1648">
        <v>212051</v>
      </c>
      <c r="EKU366" s="1648">
        <v>131147</v>
      </c>
      <c r="EKV366" s="1648">
        <v>101889</v>
      </c>
      <c r="EKW366" s="1648">
        <v>453326</v>
      </c>
      <c r="EKX366" s="1648">
        <v>298813</v>
      </c>
      <c r="EKY366" s="1648">
        <v>605808</v>
      </c>
      <c r="EKZ366" s="1648">
        <v>847471</v>
      </c>
      <c r="ELA366" s="1648">
        <v>1070054</v>
      </c>
      <c r="ELB366" s="1648">
        <v>1003687</v>
      </c>
      <c r="ELC366" s="635">
        <v>6373312</v>
      </c>
      <c r="ELD366" s="633">
        <f>SUM(EKQ366:ELB366)</f>
        <v>6373312</v>
      </c>
      <c r="ELE366" s="919" t="s">
        <v>1839</v>
      </c>
      <c r="ELF366" s="1643" t="s">
        <v>1840</v>
      </c>
      <c r="ELG366" s="1648">
        <v>603740</v>
      </c>
      <c r="ELH366" s="1648">
        <v>515055</v>
      </c>
      <c r="ELI366" s="1648">
        <v>530271</v>
      </c>
      <c r="ELJ366" s="1648">
        <v>212051</v>
      </c>
      <c r="ELK366" s="1648">
        <v>131147</v>
      </c>
      <c r="ELL366" s="1648">
        <v>101889</v>
      </c>
      <c r="ELM366" s="1648">
        <v>453326</v>
      </c>
      <c r="ELN366" s="1648">
        <v>298813</v>
      </c>
      <c r="ELO366" s="1648">
        <v>605808</v>
      </c>
      <c r="ELP366" s="1648">
        <v>847471</v>
      </c>
      <c r="ELQ366" s="1648">
        <v>1070054</v>
      </c>
      <c r="ELR366" s="1648">
        <v>1003687</v>
      </c>
      <c r="ELS366" s="635">
        <v>6373312</v>
      </c>
      <c r="ELT366" s="633">
        <f>SUM(ELG366:ELR366)</f>
        <v>6373312</v>
      </c>
      <c r="ELU366" s="919" t="s">
        <v>1839</v>
      </c>
      <c r="ELV366" s="1643" t="s">
        <v>1840</v>
      </c>
      <c r="ELW366" s="1648">
        <v>603740</v>
      </c>
      <c r="ELX366" s="1648">
        <v>515055</v>
      </c>
      <c r="ELY366" s="1648">
        <v>530271</v>
      </c>
      <c r="ELZ366" s="1648">
        <v>212051</v>
      </c>
      <c r="EMA366" s="1648">
        <v>131147</v>
      </c>
      <c r="EMB366" s="1648">
        <v>101889</v>
      </c>
      <c r="EMC366" s="1648">
        <v>453326</v>
      </c>
      <c r="EMD366" s="1648">
        <v>298813</v>
      </c>
      <c r="EME366" s="1648">
        <v>605808</v>
      </c>
      <c r="EMF366" s="1648">
        <v>847471</v>
      </c>
      <c r="EMG366" s="1648">
        <v>1070054</v>
      </c>
      <c r="EMH366" s="1648">
        <v>1003687</v>
      </c>
      <c r="EMI366" s="635">
        <v>6373312</v>
      </c>
      <c r="EMJ366" s="633">
        <f>SUM(ELW366:EMH366)</f>
        <v>6373312</v>
      </c>
      <c r="EMK366" s="919" t="s">
        <v>1839</v>
      </c>
      <c r="EML366" s="1643" t="s">
        <v>1840</v>
      </c>
      <c r="EMM366" s="1648">
        <v>603740</v>
      </c>
      <c r="EMN366" s="1648">
        <v>515055</v>
      </c>
      <c r="EMO366" s="1648">
        <v>530271</v>
      </c>
      <c r="EMP366" s="1648">
        <v>212051</v>
      </c>
      <c r="EMQ366" s="1648">
        <v>131147</v>
      </c>
      <c r="EMR366" s="1648">
        <v>101889</v>
      </c>
      <c r="EMS366" s="1648">
        <v>453326</v>
      </c>
      <c r="EMT366" s="1648">
        <v>298813</v>
      </c>
      <c r="EMU366" s="1648">
        <v>605808</v>
      </c>
      <c r="EMV366" s="1648">
        <v>847471</v>
      </c>
      <c r="EMW366" s="1648">
        <v>1070054</v>
      </c>
      <c r="EMX366" s="1648">
        <v>1003687</v>
      </c>
      <c r="EMY366" s="635">
        <v>6373312</v>
      </c>
      <c r="EMZ366" s="633">
        <f>SUM(EMM366:EMX366)</f>
        <v>6373312</v>
      </c>
      <c r="ENA366" s="919" t="s">
        <v>1839</v>
      </c>
      <c r="ENB366" s="1643" t="s">
        <v>1840</v>
      </c>
      <c r="ENC366" s="1648">
        <v>603740</v>
      </c>
      <c r="END366" s="1648">
        <v>515055</v>
      </c>
      <c r="ENE366" s="1648">
        <v>530271</v>
      </c>
      <c r="ENF366" s="1648">
        <v>212051</v>
      </c>
      <c r="ENG366" s="1648">
        <v>131147</v>
      </c>
      <c r="ENH366" s="1648">
        <v>101889</v>
      </c>
      <c r="ENI366" s="1648">
        <v>453326</v>
      </c>
      <c r="ENJ366" s="1648">
        <v>298813</v>
      </c>
      <c r="ENK366" s="1648">
        <v>605808</v>
      </c>
      <c r="ENL366" s="1648">
        <v>847471</v>
      </c>
      <c r="ENM366" s="1648">
        <v>1070054</v>
      </c>
      <c r="ENN366" s="1648">
        <v>1003687</v>
      </c>
      <c r="ENO366" s="635">
        <v>6373312</v>
      </c>
      <c r="ENP366" s="633">
        <f>SUM(ENC366:ENN366)</f>
        <v>6373312</v>
      </c>
      <c r="ENQ366" s="919" t="s">
        <v>1839</v>
      </c>
      <c r="ENR366" s="1643" t="s">
        <v>1840</v>
      </c>
      <c r="ENS366" s="1648">
        <v>603740</v>
      </c>
      <c r="ENT366" s="1648">
        <v>515055</v>
      </c>
      <c r="ENU366" s="1648">
        <v>530271</v>
      </c>
      <c r="ENV366" s="1648">
        <v>212051</v>
      </c>
      <c r="ENW366" s="1648">
        <v>131147</v>
      </c>
      <c r="ENX366" s="1648">
        <v>101889</v>
      </c>
      <c r="ENY366" s="1648">
        <v>453326</v>
      </c>
      <c r="ENZ366" s="1648">
        <v>298813</v>
      </c>
      <c r="EOA366" s="1648">
        <v>605808</v>
      </c>
      <c r="EOB366" s="1648">
        <v>847471</v>
      </c>
      <c r="EOC366" s="1648">
        <v>1070054</v>
      </c>
      <c r="EOD366" s="1648">
        <v>1003687</v>
      </c>
      <c r="EOE366" s="635">
        <v>6373312</v>
      </c>
      <c r="EOF366" s="633">
        <f>SUM(ENS366:EOD366)</f>
        <v>6373312</v>
      </c>
      <c r="EOG366" s="919" t="s">
        <v>1839</v>
      </c>
      <c r="EOH366" s="1643" t="s">
        <v>1840</v>
      </c>
      <c r="EOI366" s="1648">
        <v>603740</v>
      </c>
      <c r="EOJ366" s="1648">
        <v>515055</v>
      </c>
      <c r="EOK366" s="1648">
        <v>530271</v>
      </c>
      <c r="EOL366" s="1648">
        <v>212051</v>
      </c>
      <c r="EOM366" s="1648">
        <v>131147</v>
      </c>
      <c r="EON366" s="1648">
        <v>101889</v>
      </c>
      <c r="EOO366" s="1648">
        <v>453326</v>
      </c>
      <c r="EOP366" s="1648">
        <v>298813</v>
      </c>
      <c r="EOQ366" s="1648">
        <v>605808</v>
      </c>
      <c r="EOR366" s="1648">
        <v>847471</v>
      </c>
      <c r="EOS366" s="1648">
        <v>1070054</v>
      </c>
      <c r="EOT366" s="1648">
        <v>1003687</v>
      </c>
      <c r="EOU366" s="635">
        <v>6373312</v>
      </c>
      <c r="EOV366" s="633">
        <f>SUM(EOI366:EOT366)</f>
        <v>6373312</v>
      </c>
      <c r="EOW366" s="919" t="s">
        <v>1839</v>
      </c>
      <c r="EOX366" s="1643" t="s">
        <v>1840</v>
      </c>
      <c r="EOY366" s="1648">
        <v>603740</v>
      </c>
      <c r="EOZ366" s="1648">
        <v>515055</v>
      </c>
      <c r="EPA366" s="1648">
        <v>530271</v>
      </c>
      <c r="EPB366" s="1648">
        <v>212051</v>
      </c>
      <c r="EPC366" s="1648">
        <v>131147</v>
      </c>
      <c r="EPD366" s="1648">
        <v>101889</v>
      </c>
      <c r="EPE366" s="1648">
        <v>453326</v>
      </c>
      <c r="EPF366" s="1648">
        <v>298813</v>
      </c>
      <c r="EPG366" s="1648">
        <v>605808</v>
      </c>
      <c r="EPH366" s="1648">
        <v>847471</v>
      </c>
      <c r="EPI366" s="1648">
        <v>1070054</v>
      </c>
      <c r="EPJ366" s="1648">
        <v>1003687</v>
      </c>
      <c r="EPK366" s="635">
        <v>6373312</v>
      </c>
      <c r="EPL366" s="633">
        <f>SUM(EOY366:EPJ366)</f>
        <v>6373312</v>
      </c>
      <c r="EPM366" s="919" t="s">
        <v>1839</v>
      </c>
      <c r="EPN366" s="1643" t="s">
        <v>1840</v>
      </c>
      <c r="EPO366" s="1648">
        <v>603740</v>
      </c>
      <c r="EPP366" s="1648">
        <v>515055</v>
      </c>
      <c r="EPQ366" s="1648">
        <v>530271</v>
      </c>
      <c r="EPR366" s="1648">
        <v>212051</v>
      </c>
      <c r="EPS366" s="1648">
        <v>131147</v>
      </c>
      <c r="EPT366" s="1648">
        <v>101889</v>
      </c>
      <c r="EPU366" s="1648">
        <v>453326</v>
      </c>
      <c r="EPV366" s="1648">
        <v>298813</v>
      </c>
      <c r="EPW366" s="1648">
        <v>605808</v>
      </c>
      <c r="EPX366" s="1648">
        <v>847471</v>
      </c>
      <c r="EPY366" s="1648">
        <v>1070054</v>
      </c>
      <c r="EPZ366" s="1648">
        <v>1003687</v>
      </c>
      <c r="EQA366" s="635">
        <v>6373312</v>
      </c>
      <c r="EQB366" s="633">
        <f>SUM(EPO366:EPZ366)</f>
        <v>6373312</v>
      </c>
      <c r="EQC366" s="919" t="s">
        <v>1839</v>
      </c>
      <c r="EQD366" s="1643" t="s">
        <v>1840</v>
      </c>
      <c r="EQE366" s="1648">
        <v>603740</v>
      </c>
      <c r="EQF366" s="1648">
        <v>515055</v>
      </c>
      <c r="EQG366" s="1648">
        <v>530271</v>
      </c>
      <c r="EQH366" s="1648">
        <v>212051</v>
      </c>
      <c r="EQI366" s="1648">
        <v>131147</v>
      </c>
      <c r="EQJ366" s="1648">
        <v>101889</v>
      </c>
      <c r="EQK366" s="1648">
        <v>453326</v>
      </c>
      <c r="EQL366" s="1648">
        <v>298813</v>
      </c>
      <c r="EQM366" s="1648">
        <v>605808</v>
      </c>
      <c r="EQN366" s="1648">
        <v>847471</v>
      </c>
      <c r="EQO366" s="1648">
        <v>1070054</v>
      </c>
      <c r="EQP366" s="1648">
        <v>1003687</v>
      </c>
      <c r="EQQ366" s="635">
        <v>6373312</v>
      </c>
      <c r="EQR366" s="633">
        <f>SUM(EQE366:EQP366)</f>
        <v>6373312</v>
      </c>
      <c r="EQS366" s="919" t="s">
        <v>1839</v>
      </c>
      <c r="EQT366" s="1643" t="s">
        <v>1840</v>
      </c>
      <c r="EQU366" s="1648">
        <v>603740</v>
      </c>
      <c r="EQV366" s="1648">
        <v>515055</v>
      </c>
      <c r="EQW366" s="1648">
        <v>530271</v>
      </c>
      <c r="EQX366" s="1648">
        <v>212051</v>
      </c>
      <c r="EQY366" s="1648">
        <v>131147</v>
      </c>
      <c r="EQZ366" s="1648">
        <v>101889</v>
      </c>
      <c r="ERA366" s="1648">
        <v>453326</v>
      </c>
      <c r="ERB366" s="1648">
        <v>298813</v>
      </c>
      <c r="ERC366" s="1648">
        <v>605808</v>
      </c>
      <c r="ERD366" s="1648">
        <v>847471</v>
      </c>
      <c r="ERE366" s="1648">
        <v>1070054</v>
      </c>
      <c r="ERF366" s="1648">
        <v>1003687</v>
      </c>
      <c r="ERG366" s="635">
        <v>6373312</v>
      </c>
      <c r="ERH366" s="633">
        <f>SUM(EQU366:ERF366)</f>
        <v>6373312</v>
      </c>
      <c r="ERI366" s="919" t="s">
        <v>1839</v>
      </c>
      <c r="ERJ366" s="1643" t="s">
        <v>1840</v>
      </c>
      <c r="ERK366" s="1648">
        <v>603740</v>
      </c>
      <c r="ERL366" s="1648">
        <v>515055</v>
      </c>
      <c r="ERM366" s="1648">
        <v>530271</v>
      </c>
      <c r="ERN366" s="1648">
        <v>212051</v>
      </c>
      <c r="ERO366" s="1648">
        <v>131147</v>
      </c>
      <c r="ERP366" s="1648">
        <v>101889</v>
      </c>
      <c r="ERQ366" s="1648">
        <v>453326</v>
      </c>
      <c r="ERR366" s="1648">
        <v>298813</v>
      </c>
      <c r="ERS366" s="1648">
        <v>605808</v>
      </c>
      <c r="ERT366" s="1648">
        <v>847471</v>
      </c>
      <c r="ERU366" s="1648">
        <v>1070054</v>
      </c>
      <c r="ERV366" s="1648">
        <v>1003687</v>
      </c>
      <c r="ERW366" s="635">
        <v>6373312</v>
      </c>
      <c r="ERX366" s="633">
        <f>SUM(ERK366:ERV366)</f>
        <v>6373312</v>
      </c>
      <c r="ERY366" s="919" t="s">
        <v>1839</v>
      </c>
      <c r="ERZ366" s="1643" t="s">
        <v>1840</v>
      </c>
      <c r="ESA366" s="1648">
        <v>603740</v>
      </c>
      <c r="ESB366" s="1648">
        <v>515055</v>
      </c>
      <c r="ESC366" s="1648">
        <v>530271</v>
      </c>
      <c r="ESD366" s="1648">
        <v>212051</v>
      </c>
      <c r="ESE366" s="1648">
        <v>131147</v>
      </c>
      <c r="ESF366" s="1648">
        <v>101889</v>
      </c>
      <c r="ESG366" s="1648">
        <v>453326</v>
      </c>
      <c r="ESH366" s="1648">
        <v>298813</v>
      </c>
      <c r="ESI366" s="1648">
        <v>605808</v>
      </c>
      <c r="ESJ366" s="1648">
        <v>847471</v>
      </c>
      <c r="ESK366" s="1648">
        <v>1070054</v>
      </c>
      <c r="ESL366" s="1648">
        <v>1003687</v>
      </c>
      <c r="ESM366" s="635">
        <v>6373312</v>
      </c>
      <c r="ESN366" s="633">
        <f>SUM(ESA366:ESL366)</f>
        <v>6373312</v>
      </c>
      <c r="ESO366" s="919" t="s">
        <v>1839</v>
      </c>
      <c r="ESP366" s="1643" t="s">
        <v>1840</v>
      </c>
      <c r="ESQ366" s="1648">
        <v>603740</v>
      </c>
      <c r="ESR366" s="1648">
        <v>515055</v>
      </c>
      <c r="ESS366" s="1648">
        <v>530271</v>
      </c>
      <c r="EST366" s="1648">
        <v>212051</v>
      </c>
      <c r="ESU366" s="1648">
        <v>131147</v>
      </c>
      <c r="ESV366" s="1648">
        <v>101889</v>
      </c>
      <c r="ESW366" s="1648">
        <v>453326</v>
      </c>
      <c r="ESX366" s="1648">
        <v>298813</v>
      </c>
      <c r="ESY366" s="1648">
        <v>605808</v>
      </c>
      <c r="ESZ366" s="1648">
        <v>847471</v>
      </c>
      <c r="ETA366" s="1648">
        <v>1070054</v>
      </c>
      <c r="ETB366" s="1648">
        <v>1003687</v>
      </c>
      <c r="ETC366" s="635">
        <v>6373312</v>
      </c>
      <c r="ETD366" s="633">
        <f>SUM(ESQ366:ETB366)</f>
        <v>6373312</v>
      </c>
      <c r="ETE366" s="919" t="s">
        <v>1839</v>
      </c>
      <c r="ETF366" s="1643" t="s">
        <v>1840</v>
      </c>
      <c r="ETG366" s="1648">
        <v>603740</v>
      </c>
      <c r="ETH366" s="1648">
        <v>515055</v>
      </c>
      <c r="ETI366" s="1648">
        <v>530271</v>
      </c>
      <c r="ETJ366" s="1648">
        <v>212051</v>
      </c>
      <c r="ETK366" s="1648">
        <v>131147</v>
      </c>
      <c r="ETL366" s="1648">
        <v>101889</v>
      </c>
      <c r="ETM366" s="1648">
        <v>453326</v>
      </c>
      <c r="ETN366" s="1648">
        <v>298813</v>
      </c>
      <c r="ETO366" s="1648">
        <v>605808</v>
      </c>
      <c r="ETP366" s="1648">
        <v>847471</v>
      </c>
      <c r="ETQ366" s="1648">
        <v>1070054</v>
      </c>
      <c r="ETR366" s="1648">
        <v>1003687</v>
      </c>
      <c r="ETS366" s="635">
        <v>6373312</v>
      </c>
      <c r="ETT366" s="633">
        <f>SUM(ETG366:ETR366)</f>
        <v>6373312</v>
      </c>
      <c r="ETU366" s="919" t="s">
        <v>1839</v>
      </c>
      <c r="ETV366" s="1643" t="s">
        <v>1840</v>
      </c>
      <c r="ETW366" s="1648">
        <v>603740</v>
      </c>
      <c r="ETX366" s="1648">
        <v>515055</v>
      </c>
      <c r="ETY366" s="1648">
        <v>530271</v>
      </c>
      <c r="ETZ366" s="1648">
        <v>212051</v>
      </c>
      <c r="EUA366" s="1648">
        <v>131147</v>
      </c>
      <c r="EUB366" s="1648">
        <v>101889</v>
      </c>
      <c r="EUC366" s="1648">
        <v>453326</v>
      </c>
      <c r="EUD366" s="1648">
        <v>298813</v>
      </c>
      <c r="EUE366" s="1648">
        <v>605808</v>
      </c>
      <c r="EUF366" s="1648">
        <v>847471</v>
      </c>
      <c r="EUG366" s="1648">
        <v>1070054</v>
      </c>
      <c r="EUH366" s="1648">
        <v>1003687</v>
      </c>
      <c r="EUI366" s="635">
        <v>6373312</v>
      </c>
      <c r="EUJ366" s="633">
        <f>SUM(ETW366:EUH366)</f>
        <v>6373312</v>
      </c>
      <c r="EUK366" s="919" t="s">
        <v>1839</v>
      </c>
      <c r="EUL366" s="1643" t="s">
        <v>1840</v>
      </c>
      <c r="EUM366" s="1648">
        <v>603740</v>
      </c>
      <c r="EUN366" s="1648">
        <v>515055</v>
      </c>
      <c r="EUO366" s="1648">
        <v>530271</v>
      </c>
      <c r="EUP366" s="1648">
        <v>212051</v>
      </c>
      <c r="EUQ366" s="1648">
        <v>131147</v>
      </c>
      <c r="EUR366" s="1648">
        <v>101889</v>
      </c>
      <c r="EUS366" s="1648">
        <v>453326</v>
      </c>
      <c r="EUT366" s="1648">
        <v>298813</v>
      </c>
      <c r="EUU366" s="1648">
        <v>605808</v>
      </c>
      <c r="EUV366" s="1648">
        <v>847471</v>
      </c>
      <c r="EUW366" s="1648">
        <v>1070054</v>
      </c>
      <c r="EUX366" s="1648">
        <v>1003687</v>
      </c>
      <c r="EUY366" s="635">
        <v>6373312</v>
      </c>
      <c r="EUZ366" s="633">
        <f>SUM(EUM366:EUX366)</f>
        <v>6373312</v>
      </c>
      <c r="EVA366" s="919" t="s">
        <v>1839</v>
      </c>
      <c r="EVB366" s="1643" t="s">
        <v>1840</v>
      </c>
      <c r="EVC366" s="1648">
        <v>603740</v>
      </c>
      <c r="EVD366" s="1648">
        <v>515055</v>
      </c>
      <c r="EVE366" s="1648">
        <v>530271</v>
      </c>
      <c r="EVF366" s="1648">
        <v>212051</v>
      </c>
      <c r="EVG366" s="1648">
        <v>131147</v>
      </c>
      <c r="EVH366" s="1648">
        <v>101889</v>
      </c>
      <c r="EVI366" s="1648">
        <v>453326</v>
      </c>
      <c r="EVJ366" s="1648">
        <v>298813</v>
      </c>
      <c r="EVK366" s="1648">
        <v>605808</v>
      </c>
      <c r="EVL366" s="1648">
        <v>847471</v>
      </c>
      <c r="EVM366" s="1648">
        <v>1070054</v>
      </c>
      <c r="EVN366" s="1648">
        <v>1003687</v>
      </c>
      <c r="EVO366" s="635">
        <v>6373312</v>
      </c>
      <c r="EVP366" s="633">
        <f>SUM(EVC366:EVN366)</f>
        <v>6373312</v>
      </c>
      <c r="EVQ366" s="919" t="s">
        <v>1839</v>
      </c>
      <c r="EVR366" s="1643" t="s">
        <v>1840</v>
      </c>
      <c r="EVS366" s="1648">
        <v>603740</v>
      </c>
      <c r="EVT366" s="1648">
        <v>515055</v>
      </c>
      <c r="EVU366" s="1648">
        <v>530271</v>
      </c>
      <c r="EVV366" s="1648">
        <v>212051</v>
      </c>
      <c r="EVW366" s="1648">
        <v>131147</v>
      </c>
      <c r="EVX366" s="1648">
        <v>101889</v>
      </c>
      <c r="EVY366" s="1648">
        <v>453326</v>
      </c>
      <c r="EVZ366" s="1648">
        <v>298813</v>
      </c>
      <c r="EWA366" s="1648">
        <v>605808</v>
      </c>
      <c r="EWB366" s="1648">
        <v>847471</v>
      </c>
      <c r="EWC366" s="1648">
        <v>1070054</v>
      </c>
      <c r="EWD366" s="1648">
        <v>1003687</v>
      </c>
      <c r="EWE366" s="635">
        <v>6373312</v>
      </c>
      <c r="EWF366" s="633">
        <f>SUM(EVS366:EWD366)</f>
        <v>6373312</v>
      </c>
      <c r="EWG366" s="919" t="s">
        <v>1839</v>
      </c>
      <c r="EWH366" s="1643" t="s">
        <v>1840</v>
      </c>
      <c r="EWI366" s="1648">
        <v>603740</v>
      </c>
      <c r="EWJ366" s="1648">
        <v>515055</v>
      </c>
      <c r="EWK366" s="1648">
        <v>530271</v>
      </c>
      <c r="EWL366" s="1648">
        <v>212051</v>
      </c>
      <c r="EWM366" s="1648">
        <v>131147</v>
      </c>
      <c r="EWN366" s="1648">
        <v>101889</v>
      </c>
      <c r="EWO366" s="1648">
        <v>453326</v>
      </c>
      <c r="EWP366" s="1648">
        <v>298813</v>
      </c>
      <c r="EWQ366" s="1648">
        <v>605808</v>
      </c>
      <c r="EWR366" s="1648">
        <v>847471</v>
      </c>
      <c r="EWS366" s="1648">
        <v>1070054</v>
      </c>
      <c r="EWT366" s="1648">
        <v>1003687</v>
      </c>
      <c r="EWU366" s="635">
        <v>6373312</v>
      </c>
      <c r="EWV366" s="633">
        <f>SUM(EWI366:EWT366)</f>
        <v>6373312</v>
      </c>
      <c r="EWW366" s="919" t="s">
        <v>1839</v>
      </c>
      <c r="EWX366" s="1643" t="s">
        <v>1840</v>
      </c>
      <c r="EWY366" s="1648">
        <v>603740</v>
      </c>
      <c r="EWZ366" s="1648">
        <v>515055</v>
      </c>
      <c r="EXA366" s="1648">
        <v>530271</v>
      </c>
      <c r="EXB366" s="1648">
        <v>212051</v>
      </c>
      <c r="EXC366" s="1648">
        <v>131147</v>
      </c>
      <c r="EXD366" s="1648">
        <v>101889</v>
      </c>
      <c r="EXE366" s="1648">
        <v>453326</v>
      </c>
      <c r="EXF366" s="1648">
        <v>298813</v>
      </c>
      <c r="EXG366" s="1648">
        <v>605808</v>
      </c>
      <c r="EXH366" s="1648">
        <v>847471</v>
      </c>
      <c r="EXI366" s="1648">
        <v>1070054</v>
      </c>
      <c r="EXJ366" s="1648">
        <v>1003687</v>
      </c>
      <c r="EXK366" s="635">
        <v>6373312</v>
      </c>
      <c r="EXL366" s="633">
        <f>SUM(EWY366:EXJ366)</f>
        <v>6373312</v>
      </c>
      <c r="EXM366" s="919" t="s">
        <v>1839</v>
      </c>
      <c r="EXN366" s="1643" t="s">
        <v>1840</v>
      </c>
      <c r="EXO366" s="1648">
        <v>603740</v>
      </c>
      <c r="EXP366" s="1648">
        <v>515055</v>
      </c>
      <c r="EXQ366" s="1648">
        <v>530271</v>
      </c>
      <c r="EXR366" s="1648">
        <v>212051</v>
      </c>
      <c r="EXS366" s="1648">
        <v>131147</v>
      </c>
      <c r="EXT366" s="1648">
        <v>101889</v>
      </c>
      <c r="EXU366" s="1648">
        <v>453326</v>
      </c>
      <c r="EXV366" s="1648">
        <v>298813</v>
      </c>
      <c r="EXW366" s="1648">
        <v>605808</v>
      </c>
      <c r="EXX366" s="1648">
        <v>847471</v>
      </c>
      <c r="EXY366" s="1648">
        <v>1070054</v>
      </c>
      <c r="EXZ366" s="1648">
        <v>1003687</v>
      </c>
      <c r="EYA366" s="635">
        <v>6373312</v>
      </c>
      <c r="EYB366" s="633">
        <f>SUM(EXO366:EXZ366)</f>
        <v>6373312</v>
      </c>
      <c r="EYC366" s="919" t="s">
        <v>1839</v>
      </c>
      <c r="EYD366" s="1643" t="s">
        <v>1840</v>
      </c>
      <c r="EYE366" s="1648">
        <v>603740</v>
      </c>
      <c r="EYF366" s="1648">
        <v>515055</v>
      </c>
      <c r="EYG366" s="1648">
        <v>530271</v>
      </c>
      <c r="EYH366" s="1648">
        <v>212051</v>
      </c>
      <c r="EYI366" s="1648">
        <v>131147</v>
      </c>
      <c r="EYJ366" s="1648">
        <v>101889</v>
      </c>
      <c r="EYK366" s="1648">
        <v>453326</v>
      </c>
      <c r="EYL366" s="1648">
        <v>298813</v>
      </c>
      <c r="EYM366" s="1648">
        <v>605808</v>
      </c>
      <c r="EYN366" s="1648">
        <v>847471</v>
      </c>
      <c r="EYO366" s="1648">
        <v>1070054</v>
      </c>
      <c r="EYP366" s="1648">
        <v>1003687</v>
      </c>
      <c r="EYQ366" s="635">
        <v>6373312</v>
      </c>
      <c r="EYR366" s="633">
        <f>SUM(EYE366:EYP366)</f>
        <v>6373312</v>
      </c>
      <c r="EYS366" s="919" t="s">
        <v>1839</v>
      </c>
      <c r="EYT366" s="1643" t="s">
        <v>1840</v>
      </c>
      <c r="EYU366" s="1648">
        <v>603740</v>
      </c>
      <c r="EYV366" s="1648">
        <v>515055</v>
      </c>
      <c r="EYW366" s="1648">
        <v>530271</v>
      </c>
      <c r="EYX366" s="1648">
        <v>212051</v>
      </c>
      <c r="EYY366" s="1648">
        <v>131147</v>
      </c>
      <c r="EYZ366" s="1648">
        <v>101889</v>
      </c>
      <c r="EZA366" s="1648">
        <v>453326</v>
      </c>
      <c r="EZB366" s="1648">
        <v>298813</v>
      </c>
      <c r="EZC366" s="1648">
        <v>605808</v>
      </c>
      <c r="EZD366" s="1648">
        <v>847471</v>
      </c>
      <c r="EZE366" s="1648">
        <v>1070054</v>
      </c>
      <c r="EZF366" s="1648">
        <v>1003687</v>
      </c>
      <c r="EZG366" s="635">
        <v>6373312</v>
      </c>
      <c r="EZH366" s="633">
        <f>SUM(EYU366:EZF366)</f>
        <v>6373312</v>
      </c>
      <c r="EZI366" s="919" t="s">
        <v>1839</v>
      </c>
      <c r="EZJ366" s="1643" t="s">
        <v>1840</v>
      </c>
      <c r="EZK366" s="1648">
        <v>603740</v>
      </c>
      <c r="EZL366" s="1648">
        <v>515055</v>
      </c>
      <c r="EZM366" s="1648">
        <v>530271</v>
      </c>
      <c r="EZN366" s="1648">
        <v>212051</v>
      </c>
      <c r="EZO366" s="1648">
        <v>131147</v>
      </c>
      <c r="EZP366" s="1648">
        <v>101889</v>
      </c>
      <c r="EZQ366" s="1648">
        <v>453326</v>
      </c>
      <c r="EZR366" s="1648">
        <v>298813</v>
      </c>
      <c r="EZS366" s="1648">
        <v>605808</v>
      </c>
      <c r="EZT366" s="1648">
        <v>847471</v>
      </c>
      <c r="EZU366" s="1648">
        <v>1070054</v>
      </c>
      <c r="EZV366" s="1648">
        <v>1003687</v>
      </c>
      <c r="EZW366" s="635">
        <v>6373312</v>
      </c>
      <c r="EZX366" s="633">
        <f>SUM(EZK366:EZV366)</f>
        <v>6373312</v>
      </c>
      <c r="EZY366" s="919" t="s">
        <v>1839</v>
      </c>
      <c r="EZZ366" s="1643" t="s">
        <v>1840</v>
      </c>
      <c r="FAA366" s="1648">
        <v>603740</v>
      </c>
      <c r="FAB366" s="1648">
        <v>515055</v>
      </c>
      <c r="FAC366" s="1648">
        <v>530271</v>
      </c>
      <c r="FAD366" s="1648">
        <v>212051</v>
      </c>
      <c r="FAE366" s="1648">
        <v>131147</v>
      </c>
      <c r="FAF366" s="1648">
        <v>101889</v>
      </c>
      <c r="FAG366" s="1648">
        <v>453326</v>
      </c>
      <c r="FAH366" s="1648">
        <v>298813</v>
      </c>
      <c r="FAI366" s="1648">
        <v>605808</v>
      </c>
      <c r="FAJ366" s="1648">
        <v>847471</v>
      </c>
      <c r="FAK366" s="1648">
        <v>1070054</v>
      </c>
      <c r="FAL366" s="1648">
        <v>1003687</v>
      </c>
      <c r="FAM366" s="635">
        <v>6373312</v>
      </c>
      <c r="FAN366" s="633">
        <f>SUM(FAA366:FAL366)</f>
        <v>6373312</v>
      </c>
      <c r="FAO366" s="919" t="s">
        <v>1839</v>
      </c>
      <c r="FAP366" s="1643" t="s">
        <v>1840</v>
      </c>
      <c r="FAQ366" s="1648">
        <v>603740</v>
      </c>
      <c r="FAR366" s="1648">
        <v>515055</v>
      </c>
      <c r="FAS366" s="1648">
        <v>530271</v>
      </c>
      <c r="FAT366" s="1648">
        <v>212051</v>
      </c>
      <c r="FAU366" s="1648">
        <v>131147</v>
      </c>
      <c r="FAV366" s="1648">
        <v>101889</v>
      </c>
      <c r="FAW366" s="1648">
        <v>453326</v>
      </c>
      <c r="FAX366" s="1648">
        <v>298813</v>
      </c>
      <c r="FAY366" s="1648">
        <v>605808</v>
      </c>
      <c r="FAZ366" s="1648">
        <v>847471</v>
      </c>
      <c r="FBA366" s="1648">
        <v>1070054</v>
      </c>
      <c r="FBB366" s="1648">
        <v>1003687</v>
      </c>
      <c r="FBC366" s="635">
        <v>6373312</v>
      </c>
      <c r="FBD366" s="633">
        <f>SUM(FAQ366:FBB366)</f>
        <v>6373312</v>
      </c>
      <c r="FBE366" s="919" t="s">
        <v>1839</v>
      </c>
      <c r="FBF366" s="1643" t="s">
        <v>1840</v>
      </c>
      <c r="FBG366" s="1648">
        <v>603740</v>
      </c>
      <c r="FBH366" s="1648">
        <v>515055</v>
      </c>
      <c r="FBI366" s="1648">
        <v>530271</v>
      </c>
      <c r="FBJ366" s="1648">
        <v>212051</v>
      </c>
      <c r="FBK366" s="1648">
        <v>131147</v>
      </c>
      <c r="FBL366" s="1648">
        <v>101889</v>
      </c>
      <c r="FBM366" s="1648">
        <v>453326</v>
      </c>
      <c r="FBN366" s="1648">
        <v>298813</v>
      </c>
      <c r="FBO366" s="1648">
        <v>605808</v>
      </c>
      <c r="FBP366" s="1648">
        <v>847471</v>
      </c>
      <c r="FBQ366" s="1648">
        <v>1070054</v>
      </c>
      <c r="FBR366" s="1648">
        <v>1003687</v>
      </c>
      <c r="FBS366" s="635">
        <v>6373312</v>
      </c>
      <c r="FBT366" s="633">
        <f>SUM(FBG366:FBR366)</f>
        <v>6373312</v>
      </c>
      <c r="FBU366" s="919" t="s">
        <v>1839</v>
      </c>
      <c r="FBV366" s="1643" t="s">
        <v>1840</v>
      </c>
      <c r="FBW366" s="1648">
        <v>603740</v>
      </c>
      <c r="FBX366" s="1648">
        <v>515055</v>
      </c>
      <c r="FBY366" s="1648">
        <v>530271</v>
      </c>
      <c r="FBZ366" s="1648">
        <v>212051</v>
      </c>
      <c r="FCA366" s="1648">
        <v>131147</v>
      </c>
      <c r="FCB366" s="1648">
        <v>101889</v>
      </c>
      <c r="FCC366" s="1648">
        <v>453326</v>
      </c>
      <c r="FCD366" s="1648">
        <v>298813</v>
      </c>
      <c r="FCE366" s="1648">
        <v>605808</v>
      </c>
      <c r="FCF366" s="1648">
        <v>847471</v>
      </c>
      <c r="FCG366" s="1648">
        <v>1070054</v>
      </c>
      <c r="FCH366" s="1648">
        <v>1003687</v>
      </c>
      <c r="FCI366" s="635">
        <v>6373312</v>
      </c>
      <c r="FCJ366" s="633">
        <f>SUM(FBW366:FCH366)</f>
        <v>6373312</v>
      </c>
      <c r="FCK366" s="919" t="s">
        <v>1839</v>
      </c>
      <c r="FCL366" s="1643" t="s">
        <v>1840</v>
      </c>
      <c r="FCM366" s="1648">
        <v>603740</v>
      </c>
      <c r="FCN366" s="1648">
        <v>515055</v>
      </c>
      <c r="FCO366" s="1648">
        <v>530271</v>
      </c>
      <c r="FCP366" s="1648">
        <v>212051</v>
      </c>
      <c r="FCQ366" s="1648">
        <v>131147</v>
      </c>
      <c r="FCR366" s="1648">
        <v>101889</v>
      </c>
      <c r="FCS366" s="1648">
        <v>453326</v>
      </c>
      <c r="FCT366" s="1648">
        <v>298813</v>
      </c>
      <c r="FCU366" s="1648">
        <v>605808</v>
      </c>
      <c r="FCV366" s="1648">
        <v>847471</v>
      </c>
      <c r="FCW366" s="1648">
        <v>1070054</v>
      </c>
      <c r="FCX366" s="1648">
        <v>1003687</v>
      </c>
      <c r="FCY366" s="635">
        <v>6373312</v>
      </c>
      <c r="FCZ366" s="633">
        <f>SUM(FCM366:FCX366)</f>
        <v>6373312</v>
      </c>
      <c r="FDA366" s="919" t="s">
        <v>1839</v>
      </c>
      <c r="FDB366" s="1643" t="s">
        <v>1840</v>
      </c>
      <c r="FDC366" s="1648">
        <v>603740</v>
      </c>
      <c r="FDD366" s="1648">
        <v>515055</v>
      </c>
      <c r="FDE366" s="1648">
        <v>530271</v>
      </c>
      <c r="FDF366" s="1648">
        <v>212051</v>
      </c>
      <c r="FDG366" s="1648">
        <v>131147</v>
      </c>
      <c r="FDH366" s="1648">
        <v>101889</v>
      </c>
      <c r="FDI366" s="1648">
        <v>453326</v>
      </c>
      <c r="FDJ366" s="1648">
        <v>298813</v>
      </c>
      <c r="FDK366" s="1648">
        <v>605808</v>
      </c>
      <c r="FDL366" s="1648">
        <v>847471</v>
      </c>
      <c r="FDM366" s="1648">
        <v>1070054</v>
      </c>
      <c r="FDN366" s="1648">
        <v>1003687</v>
      </c>
      <c r="FDO366" s="635">
        <v>6373312</v>
      </c>
      <c r="FDP366" s="633">
        <f>SUM(FDC366:FDN366)</f>
        <v>6373312</v>
      </c>
      <c r="FDQ366" s="919" t="s">
        <v>1839</v>
      </c>
      <c r="FDR366" s="1643" t="s">
        <v>1840</v>
      </c>
      <c r="FDS366" s="1648">
        <v>603740</v>
      </c>
      <c r="FDT366" s="1648">
        <v>515055</v>
      </c>
      <c r="FDU366" s="1648">
        <v>530271</v>
      </c>
      <c r="FDV366" s="1648">
        <v>212051</v>
      </c>
      <c r="FDW366" s="1648">
        <v>131147</v>
      </c>
      <c r="FDX366" s="1648">
        <v>101889</v>
      </c>
      <c r="FDY366" s="1648">
        <v>453326</v>
      </c>
      <c r="FDZ366" s="1648">
        <v>298813</v>
      </c>
      <c r="FEA366" s="1648">
        <v>605808</v>
      </c>
      <c r="FEB366" s="1648">
        <v>847471</v>
      </c>
      <c r="FEC366" s="1648">
        <v>1070054</v>
      </c>
      <c r="FED366" s="1648">
        <v>1003687</v>
      </c>
      <c r="FEE366" s="635">
        <v>6373312</v>
      </c>
      <c r="FEF366" s="633">
        <f>SUM(FDS366:FED366)</f>
        <v>6373312</v>
      </c>
      <c r="FEG366" s="919" t="s">
        <v>1839</v>
      </c>
      <c r="FEH366" s="1643" t="s">
        <v>1840</v>
      </c>
      <c r="FEI366" s="1648">
        <v>603740</v>
      </c>
      <c r="FEJ366" s="1648">
        <v>515055</v>
      </c>
      <c r="FEK366" s="1648">
        <v>530271</v>
      </c>
      <c r="FEL366" s="1648">
        <v>212051</v>
      </c>
      <c r="FEM366" s="1648">
        <v>131147</v>
      </c>
      <c r="FEN366" s="1648">
        <v>101889</v>
      </c>
      <c r="FEO366" s="1648">
        <v>453326</v>
      </c>
      <c r="FEP366" s="1648">
        <v>298813</v>
      </c>
      <c r="FEQ366" s="1648">
        <v>605808</v>
      </c>
      <c r="FER366" s="1648">
        <v>847471</v>
      </c>
      <c r="FES366" s="1648">
        <v>1070054</v>
      </c>
      <c r="FET366" s="1648">
        <v>1003687</v>
      </c>
      <c r="FEU366" s="635">
        <v>6373312</v>
      </c>
      <c r="FEV366" s="633">
        <f>SUM(FEI366:FET366)</f>
        <v>6373312</v>
      </c>
      <c r="FEW366" s="919" t="s">
        <v>1839</v>
      </c>
      <c r="FEX366" s="1643" t="s">
        <v>1840</v>
      </c>
      <c r="FEY366" s="1648">
        <v>603740</v>
      </c>
      <c r="FEZ366" s="1648">
        <v>515055</v>
      </c>
      <c r="FFA366" s="1648">
        <v>530271</v>
      </c>
      <c r="FFB366" s="1648">
        <v>212051</v>
      </c>
      <c r="FFC366" s="1648">
        <v>131147</v>
      </c>
      <c r="FFD366" s="1648">
        <v>101889</v>
      </c>
      <c r="FFE366" s="1648">
        <v>453326</v>
      </c>
      <c r="FFF366" s="1648">
        <v>298813</v>
      </c>
      <c r="FFG366" s="1648">
        <v>605808</v>
      </c>
      <c r="FFH366" s="1648">
        <v>847471</v>
      </c>
      <c r="FFI366" s="1648">
        <v>1070054</v>
      </c>
      <c r="FFJ366" s="1648">
        <v>1003687</v>
      </c>
      <c r="FFK366" s="635">
        <v>6373312</v>
      </c>
      <c r="FFL366" s="633">
        <f>SUM(FEY366:FFJ366)</f>
        <v>6373312</v>
      </c>
      <c r="FFM366" s="919" t="s">
        <v>1839</v>
      </c>
      <c r="FFN366" s="1643" t="s">
        <v>1840</v>
      </c>
      <c r="FFO366" s="1648">
        <v>603740</v>
      </c>
      <c r="FFP366" s="1648">
        <v>515055</v>
      </c>
      <c r="FFQ366" s="1648">
        <v>530271</v>
      </c>
      <c r="FFR366" s="1648">
        <v>212051</v>
      </c>
      <c r="FFS366" s="1648">
        <v>131147</v>
      </c>
      <c r="FFT366" s="1648">
        <v>101889</v>
      </c>
      <c r="FFU366" s="1648">
        <v>453326</v>
      </c>
      <c r="FFV366" s="1648">
        <v>298813</v>
      </c>
      <c r="FFW366" s="1648">
        <v>605808</v>
      </c>
      <c r="FFX366" s="1648">
        <v>847471</v>
      </c>
      <c r="FFY366" s="1648">
        <v>1070054</v>
      </c>
      <c r="FFZ366" s="1648">
        <v>1003687</v>
      </c>
      <c r="FGA366" s="635">
        <v>6373312</v>
      </c>
      <c r="FGB366" s="633">
        <f>SUM(FFO366:FFZ366)</f>
        <v>6373312</v>
      </c>
      <c r="FGC366" s="919" t="s">
        <v>1839</v>
      </c>
      <c r="FGD366" s="1643" t="s">
        <v>1840</v>
      </c>
      <c r="FGE366" s="1648">
        <v>603740</v>
      </c>
      <c r="FGF366" s="1648">
        <v>515055</v>
      </c>
      <c r="FGG366" s="1648">
        <v>530271</v>
      </c>
      <c r="FGH366" s="1648">
        <v>212051</v>
      </c>
      <c r="FGI366" s="1648">
        <v>131147</v>
      </c>
      <c r="FGJ366" s="1648">
        <v>101889</v>
      </c>
      <c r="FGK366" s="1648">
        <v>453326</v>
      </c>
      <c r="FGL366" s="1648">
        <v>298813</v>
      </c>
      <c r="FGM366" s="1648">
        <v>605808</v>
      </c>
      <c r="FGN366" s="1648">
        <v>847471</v>
      </c>
      <c r="FGO366" s="1648">
        <v>1070054</v>
      </c>
      <c r="FGP366" s="1648">
        <v>1003687</v>
      </c>
      <c r="FGQ366" s="635">
        <v>6373312</v>
      </c>
      <c r="FGR366" s="633">
        <f>SUM(FGE366:FGP366)</f>
        <v>6373312</v>
      </c>
      <c r="FGS366" s="919" t="s">
        <v>1839</v>
      </c>
      <c r="FGT366" s="1643" t="s">
        <v>1840</v>
      </c>
      <c r="FGU366" s="1648">
        <v>603740</v>
      </c>
      <c r="FGV366" s="1648">
        <v>515055</v>
      </c>
      <c r="FGW366" s="1648">
        <v>530271</v>
      </c>
      <c r="FGX366" s="1648">
        <v>212051</v>
      </c>
      <c r="FGY366" s="1648">
        <v>131147</v>
      </c>
      <c r="FGZ366" s="1648">
        <v>101889</v>
      </c>
      <c r="FHA366" s="1648">
        <v>453326</v>
      </c>
      <c r="FHB366" s="1648">
        <v>298813</v>
      </c>
      <c r="FHC366" s="1648">
        <v>605808</v>
      </c>
      <c r="FHD366" s="1648">
        <v>847471</v>
      </c>
      <c r="FHE366" s="1648">
        <v>1070054</v>
      </c>
      <c r="FHF366" s="1648">
        <v>1003687</v>
      </c>
      <c r="FHG366" s="635">
        <v>6373312</v>
      </c>
      <c r="FHH366" s="633">
        <f>SUM(FGU366:FHF366)</f>
        <v>6373312</v>
      </c>
      <c r="FHI366" s="919" t="s">
        <v>1839</v>
      </c>
      <c r="FHJ366" s="1643" t="s">
        <v>1840</v>
      </c>
      <c r="FHK366" s="1648">
        <v>603740</v>
      </c>
      <c r="FHL366" s="1648">
        <v>515055</v>
      </c>
      <c r="FHM366" s="1648">
        <v>530271</v>
      </c>
      <c r="FHN366" s="1648">
        <v>212051</v>
      </c>
      <c r="FHO366" s="1648">
        <v>131147</v>
      </c>
      <c r="FHP366" s="1648">
        <v>101889</v>
      </c>
      <c r="FHQ366" s="1648">
        <v>453326</v>
      </c>
      <c r="FHR366" s="1648">
        <v>298813</v>
      </c>
      <c r="FHS366" s="1648">
        <v>605808</v>
      </c>
      <c r="FHT366" s="1648">
        <v>847471</v>
      </c>
      <c r="FHU366" s="1648">
        <v>1070054</v>
      </c>
      <c r="FHV366" s="1648">
        <v>1003687</v>
      </c>
      <c r="FHW366" s="635">
        <v>6373312</v>
      </c>
      <c r="FHX366" s="633">
        <f>SUM(FHK366:FHV366)</f>
        <v>6373312</v>
      </c>
      <c r="FHY366" s="919" t="s">
        <v>1839</v>
      </c>
      <c r="FHZ366" s="1643" t="s">
        <v>1840</v>
      </c>
      <c r="FIA366" s="1648">
        <v>603740</v>
      </c>
      <c r="FIB366" s="1648">
        <v>515055</v>
      </c>
      <c r="FIC366" s="1648">
        <v>530271</v>
      </c>
      <c r="FID366" s="1648">
        <v>212051</v>
      </c>
      <c r="FIE366" s="1648">
        <v>131147</v>
      </c>
      <c r="FIF366" s="1648">
        <v>101889</v>
      </c>
      <c r="FIG366" s="1648">
        <v>453326</v>
      </c>
      <c r="FIH366" s="1648">
        <v>298813</v>
      </c>
      <c r="FII366" s="1648">
        <v>605808</v>
      </c>
      <c r="FIJ366" s="1648">
        <v>847471</v>
      </c>
      <c r="FIK366" s="1648">
        <v>1070054</v>
      </c>
      <c r="FIL366" s="1648">
        <v>1003687</v>
      </c>
      <c r="FIM366" s="635">
        <v>6373312</v>
      </c>
      <c r="FIN366" s="633">
        <f>SUM(FIA366:FIL366)</f>
        <v>6373312</v>
      </c>
      <c r="FIO366" s="919" t="s">
        <v>1839</v>
      </c>
      <c r="FIP366" s="1643" t="s">
        <v>1840</v>
      </c>
      <c r="FIQ366" s="1648">
        <v>603740</v>
      </c>
      <c r="FIR366" s="1648">
        <v>515055</v>
      </c>
      <c r="FIS366" s="1648">
        <v>530271</v>
      </c>
      <c r="FIT366" s="1648">
        <v>212051</v>
      </c>
      <c r="FIU366" s="1648">
        <v>131147</v>
      </c>
      <c r="FIV366" s="1648">
        <v>101889</v>
      </c>
      <c r="FIW366" s="1648">
        <v>453326</v>
      </c>
      <c r="FIX366" s="1648">
        <v>298813</v>
      </c>
      <c r="FIY366" s="1648">
        <v>605808</v>
      </c>
      <c r="FIZ366" s="1648">
        <v>847471</v>
      </c>
      <c r="FJA366" s="1648">
        <v>1070054</v>
      </c>
      <c r="FJB366" s="1648">
        <v>1003687</v>
      </c>
      <c r="FJC366" s="635">
        <v>6373312</v>
      </c>
      <c r="FJD366" s="633">
        <f>SUM(FIQ366:FJB366)</f>
        <v>6373312</v>
      </c>
      <c r="FJE366" s="919" t="s">
        <v>1839</v>
      </c>
      <c r="FJF366" s="1643" t="s">
        <v>1840</v>
      </c>
      <c r="FJG366" s="1648">
        <v>603740</v>
      </c>
      <c r="FJH366" s="1648">
        <v>515055</v>
      </c>
      <c r="FJI366" s="1648">
        <v>530271</v>
      </c>
      <c r="FJJ366" s="1648">
        <v>212051</v>
      </c>
      <c r="FJK366" s="1648">
        <v>131147</v>
      </c>
      <c r="FJL366" s="1648">
        <v>101889</v>
      </c>
      <c r="FJM366" s="1648">
        <v>453326</v>
      </c>
      <c r="FJN366" s="1648">
        <v>298813</v>
      </c>
      <c r="FJO366" s="1648">
        <v>605808</v>
      </c>
      <c r="FJP366" s="1648">
        <v>847471</v>
      </c>
      <c r="FJQ366" s="1648">
        <v>1070054</v>
      </c>
      <c r="FJR366" s="1648">
        <v>1003687</v>
      </c>
      <c r="FJS366" s="635">
        <v>6373312</v>
      </c>
      <c r="FJT366" s="633">
        <f>SUM(FJG366:FJR366)</f>
        <v>6373312</v>
      </c>
      <c r="FJU366" s="919" t="s">
        <v>1839</v>
      </c>
      <c r="FJV366" s="1643" t="s">
        <v>1840</v>
      </c>
      <c r="FJW366" s="1648">
        <v>603740</v>
      </c>
      <c r="FJX366" s="1648">
        <v>515055</v>
      </c>
      <c r="FJY366" s="1648">
        <v>530271</v>
      </c>
      <c r="FJZ366" s="1648">
        <v>212051</v>
      </c>
      <c r="FKA366" s="1648">
        <v>131147</v>
      </c>
      <c r="FKB366" s="1648">
        <v>101889</v>
      </c>
      <c r="FKC366" s="1648">
        <v>453326</v>
      </c>
      <c r="FKD366" s="1648">
        <v>298813</v>
      </c>
      <c r="FKE366" s="1648">
        <v>605808</v>
      </c>
      <c r="FKF366" s="1648">
        <v>847471</v>
      </c>
      <c r="FKG366" s="1648">
        <v>1070054</v>
      </c>
      <c r="FKH366" s="1648">
        <v>1003687</v>
      </c>
      <c r="FKI366" s="635">
        <v>6373312</v>
      </c>
      <c r="FKJ366" s="633">
        <f>SUM(FJW366:FKH366)</f>
        <v>6373312</v>
      </c>
      <c r="FKK366" s="919" t="s">
        <v>1839</v>
      </c>
      <c r="FKL366" s="1643" t="s">
        <v>1840</v>
      </c>
      <c r="FKM366" s="1648">
        <v>603740</v>
      </c>
      <c r="FKN366" s="1648">
        <v>515055</v>
      </c>
      <c r="FKO366" s="1648">
        <v>530271</v>
      </c>
      <c r="FKP366" s="1648">
        <v>212051</v>
      </c>
      <c r="FKQ366" s="1648">
        <v>131147</v>
      </c>
      <c r="FKR366" s="1648">
        <v>101889</v>
      </c>
      <c r="FKS366" s="1648">
        <v>453326</v>
      </c>
      <c r="FKT366" s="1648">
        <v>298813</v>
      </c>
      <c r="FKU366" s="1648">
        <v>605808</v>
      </c>
      <c r="FKV366" s="1648">
        <v>847471</v>
      </c>
      <c r="FKW366" s="1648">
        <v>1070054</v>
      </c>
      <c r="FKX366" s="1648">
        <v>1003687</v>
      </c>
      <c r="FKY366" s="635">
        <v>6373312</v>
      </c>
      <c r="FKZ366" s="633">
        <f>SUM(FKM366:FKX366)</f>
        <v>6373312</v>
      </c>
      <c r="FLA366" s="919" t="s">
        <v>1839</v>
      </c>
      <c r="FLB366" s="1643" t="s">
        <v>1840</v>
      </c>
      <c r="FLC366" s="1648">
        <v>603740</v>
      </c>
      <c r="FLD366" s="1648">
        <v>515055</v>
      </c>
      <c r="FLE366" s="1648">
        <v>530271</v>
      </c>
      <c r="FLF366" s="1648">
        <v>212051</v>
      </c>
      <c r="FLG366" s="1648">
        <v>131147</v>
      </c>
      <c r="FLH366" s="1648">
        <v>101889</v>
      </c>
      <c r="FLI366" s="1648">
        <v>453326</v>
      </c>
      <c r="FLJ366" s="1648">
        <v>298813</v>
      </c>
      <c r="FLK366" s="1648">
        <v>605808</v>
      </c>
      <c r="FLL366" s="1648">
        <v>847471</v>
      </c>
      <c r="FLM366" s="1648">
        <v>1070054</v>
      </c>
      <c r="FLN366" s="1648">
        <v>1003687</v>
      </c>
      <c r="FLO366" s="635">
        <v>6373312</v>
      </c>
      <c r="FLP366" s="633">
        <f>SUM(FLC366:FLN366)</f>
        <v>6373312</v>
      </c>
      <c r="FLQ366" s="919" t="s">
        <v>1839</v>
      </c>
      <c r="FLR366" s="1643" t="s">
        <v>1840</v>
      </c>
      <c r="FLS366" s="1648">
        <v>603740</v>
      </c>
      <c r="FLT366" s="1648">
        <v>515055</v>
      </c>
      <c r="FLU366" s="1648">
        <v>530271</v>
      </c>
      <c r="FLV366" s="1648">
        <v>212051</v>
      </c>
      <c r="FLW366" s="1648">
        <v>131147</v>
      </c>
      <c r="FLX366" s="1648">
        <v>101889</v>
      </c>
      <c r="FLY366" s="1648">
        <v>453326</v>
      </c>
      <c r="FLZ366" s="1648">
        <v>298813</v>
      </c>
      <c r="FMA366" s="1648">
        <v>605808</v>
      </c>
      <c r="FMB366" s="1648">
        <v>847471</v>
      </c>
      <c r="FMC366" s="1648">
        <v>1070054</v>
      </c>
      <c r="FMD366" s="1648">
        <v>1003687</v>
      </c>
      <c r="FME366" s="635">
        <v>6373312</v>
      </c>
      <c r="FMF366" s="633">
        <f>SUM(FLS366:FMD366)</f>
        <v>6373312</v>
      </c>
      <c r="FMG366" s="919" t="s">
        <v>1839</v>
      </c>
      <c r="FMH366" s="1643" t="s">
        <v>1840</v>
      </c>
      <c r="FMI366" s="1648">
        <v>603740</v>
      </c>
      <c r="FMJ366" s="1648">
        <v>515055</v>
      </c>
      <c r="FMK366" s="1648">
        <v>530271</v>
      </c>
      <c r="FML366" s="1648">
        <v>212051</v>
      </c>
      <c r="FMM366" s="1648">
        <v>131147</v>
      </c>
      <c r="FMN366" s="1648">
        <v>101889</v>
      </c>
      <c r="FMO366" s="1648">
        <v>453326</v>
      </c>
      <c r="FMP366" s="1648">
        <v>298813</v>
      </c>
      <c r="FMQ366" s="1648">
        <v>605808</v>
      </c>
      <c r="FMR366" s="1648">
        <v>847471</v>
      </c>
      <c r="FMS366" s="1648">
        <v>1070054</v>
      </c>
      <c r="FMT366" s="1648">
        <v>1003687</v>
      </c>
      <c r="FMU366" s="635">
        <v>6373312</v>
      </c>
      <c r="FMV366" s="633">
        <f>SUM(FMI366:FMT366)</f>
        <v>6373312</v>
      </c>
      <c r="FMW366" s="919" t="s">
        <v>1839</v>
      </c>
      <c r="FMX366" s="1643" t="s">
        <v>1840</v>
      </c>
      <c r="FMY366" s="1648">
        <v>603740</v>
      </c>
      <c r="FMZ366" s="1648">
        <v>515055</v>
      </c>
      <c r="FNA366" s="1648">
        <v>530271</v>
      </c>
      <c r="FNB366" s="1648">
        <v>212051</v>
      </c>
      <c r="FNC366" s="1648">
        <v>131147</v>
      </c>
      <c r="FND366" s="1648">
        <v>101889</v>
      </c>
      <c r="FNE366" s="1648">
        <v>453326</v>
      </c>
      <c r="FNF366" s="1648">
        <v>298813</v>
      </c>
      <c r="FNG366" s="1648">
        <v>605808</v>
      </c>
      <c r="FNH366" s="1648">
        <v>847471</v>
      </c>
      <c r="FNI366" s="1648">
        <v>1070054</v>
      </c>
      <c r="FNJ366" s="1648">
        <v>1003687</v>
      </c>
      <c r="FNK366" s="635">
        <v>6373312</v>
      </c>
      <c r="FNL366" s="633">
        <f>SUM(FMY366:FNJ366)</f>
        <v>6373312</v>
      </c>
      <c r="FNM366" s="919" t="s">
        <v>1839</v>
      </c>
      <c r="FNN366" s="1643" t="s">
        <v>1840</v>
      </c>
      <c r="FNO366" s="1648">
        <v>603740</v>
      </c>
      <c r="FNP366" s="1648">
        <v>515055</v>
      </c>
      <c r="FNQ366" s="1648">
        <v>530271</v>
      </c>
      <c r="FNR366" s="1648">
        <v>212051</v>
      </c>
      <c r="FNS366" s="1648">
        <v>131147</v>
      </c>
      <c r="FNT366" s="1648">
        <v>101889</v>
      </c>
      <c r="FNU366" s="1648">
        <v>453326</v>
      </c>
      <c r="FNV366" s="1648">
        <v>298813</v>
      </c>
      <c r="FNW366" s="1648">
        <v>605808</v>
      </c>
      <c r="FNX366" s="1648">
        <v>847471</v>
      </c>
      <c r="FNY366" s="1648">
        <v>1070054</v>
      </c>
      <c r="FNZ366" s="1648">
        <v>1003687</v>
      </c>
      <c r="FOA366" s="635">
        <v>6373312</v>
      </c>
      <c r="FOB366" s="633">
        <f>SUM(FNO366:FNZ366)</f>
        <v>6373312</v>
      </c>
      <c r="FOC366" s="919" t="s">
        <v>1839</v>
      </c>
      <c r="FOD366" s="1643" t="s">
        <v>1840</v>
      </c>
      <c r="FOE366" s="1648">
        <v>603740</v>
      </c>
      <c r="FOF366" s="1648">
        <v>515055</v>
      </c>
      <c r="FOG366" s="1648">
        <v>530271</v>
      </c>
      <c r="FOH366" s="1648">
        <v>212051</v>
      </c>
      <c r="FOI366" s="1648">
        <v>131147</v>
      </c>
      <c r="FOJ366" s="1648">
        <v>101889</v>
      </c>
      <c r="FOK366" s="1648">
        <v>453326</v>
      </c>
      <c r="FOL366" s="1648">
        <v>298813</v>
      </c>
      <c r="FOM366" s="1648">
        <v>605808</v>
      </c>
      <c r="FON366" s="1648">
        <v>847471</v>
      </c>
      <c r="FOO366" s="1648">
        <v>1070054</v>
      </c>
      <c r="FOP366" s="1648">
        <v>1003687</v>
      </c>
      <c r="FOQ366" s="635">
        <v>6373312</v>
      </c>
      <c r="FOR366" s="633">
        <f>SUM(FOE366:FOP366)</f>
        <v>6373312</v>
      </c>
      <c r="FOS366" s="919" t="s">
        <v>1839</v>
      </c>
      <c r="FOT366" s="1643" t="s">
        <v>1840</v>
      </c>
      <c r="FOU366" s="1648">
        <v>603740</v>
      </c>
      <c r="FOV366" s="1648">
        <v>515055</v>
      </c>
      <c r="FOW366" s="1648">
        <v>530271</v>
      </c>
      <c r="FOX366" s="1648">
        <v>212051</v>
      </c>
      <c r="FOY366" s="1648">
        <v>131147</v>
      </c>
      <c r="FOZ366" s="1648">
        <v>101889</v>
      </c>
      <c r="FPA366" s="1648">
        <v>453326</v>
      </c>
      <c r="FPB366" s="1648">
        <v>298813</v>
      </c>
      <c r="FPC366" s="1648">
        <v>605808</v>
      </c>
      <c r="FPD366" s="1648">
        <v>847471</v>
      </c>
      <c r="FPE366" s="1648">
        <v>1070054</v>
      </c>
      <c r="FPF366" s="1648">
        <v>1003687</v>
      </c>
      <c r="FPG366" s="635">
        <v>6373312</v>
      </c>
      <c r="FPH366" s="633">
        <f>SUM(FOU366:FPF366)</f>
        <v>6373312</v>
      </c>
      <c r="FPI366" s="919" t="s">
        <v>1839</v>
      </c>
      <c r="FPJ366" s="1643" t="s">
        <v>1840</v>
      </c>
      <c r="FPK366" s="1648">
        <v>603740</v>
      </c>
      <c r="FPL366" s="1648">
        <v>515055</v>
      </c>
      <c r="FPM366" s="1648">
        <v>530271</v>
      </c>
      <c r="FPN366" s="1648">
        <v>212051</v>
      </c>
      <c r="FPO366" s="1648">
        <v>131147</v>
      </c>
      <c r="FPP366" s="1648">
        <v>101889</v>
      </c>
      <c r="FPQ366" s="1648">
        <v>453326</v>
      </c>
      <c r="FPR366" s="1648">
        <v>298813</v>
      </c>
      <c r="FPS366" s="1648">
        <v>605808</v>
      </c>
      <c r="FPT366" s="1648">
        <v>847471</v>
      </c>
      <c r="FPU366" s="1648">
        <v>1070054</v>
      </c>
      <c r="FPV366" s="1648">
        <v>1003687</v>
      </c>
      <c r="FPW366" s="635">
        <v>6373312</v>
      </c>
      <c r="FPX366" s="633">
        <f>SUM(FPK366:FPV366)</f>
        <v>6373312</v>
      </c>
      <c r="FPY366" s="919" t="s">
        <v>1839</v>
      </c>
      <c r="FPZ366" s="1643" t="s">
        <v>1840</v>
      </c>
      <c r="FQA366" s="1648">
        <v>603740</v>
      </c>
      <c r="FQB366" s="1648">
        <v>515055</v>
      </c>
      <c r="FQC366" s="1648">
        <v>530271</v>
      </c>
      <c r="FQD366" s="1648">
        <v>212051</v>
      </c>
      <c r="FQE366" s="1648">
        <v>131147</v>
      </c>
      <c r="FQF366" s="1648">
        <v>101889</v>
      </c>
      <c r="FQG366" s="1648">
        <v>453326</v>
      </c>
      <c r="FQH366" s="1648">
        <v>298813</v>
      </c>
      <c r="FQI366" s="1648">
        <v>605808</v>
      </c>
      <c r="FQJ366" s="1648">
        <v>847471</v>
      </c>
      <c r="FQK366" s="1648">
        <v>1070054</v>
      </c>
      <c r="FQL366" s="1648">
        <v>1003687</v>
      </c>
      <c r="FQM366" s="635">
        <v>6373312</v>
      </c>
      <c r="FQN366" s="633">
        <f>SUM(FQA366:FQL366)</f>
        <v>6373312</v>
      </c>
      <c r="FQO366" s="919" t="s">
        <v>1839</v>
      </c>
      <c r="FQP366" s="1643" t="s">
        <v>1840</v>
      </c>
      <c r="FQQ366" s="1648">
        <v>603740</v>
      </c>
      <c r="FQR366" s="1648">
        <v>515055</v>
      </c>
      <c r="FQS366" s="1648">
        <v>530271</v>
      </c>
      <c r="FQT366" s="1648">
        <v>212051</v>
      </c>
      <c r="FQU366" s="1648">
        <v>131147</v>
      </c>
      <c r="FQV366" s="1648">
        <v>101889</v>
      </c>
      <c r="FQW366" s="1648">
        <v>453326</v>
      </c>
      <c r="FQX366" s="1648">
        <v>298813</v>
      </c>
      <c r="FQY366" s="1648">
        <v>605808</v>
      </c>
      <c r="FQZ366" s="1648">
        <v>847471</v>
      </c>
      <c r="FRA366" s="1648">
        <v>1070054</v>
      </c>
      <c r="FRB366" s="1648">
        <v>1003687</v>
      </c>
      <c r="FRC366" s="635">
        <v>6373312</v>
      </c>
      <c r="FRD366" s="633">
        <f>SUM(FQQ366:FRB366)</f>
        <v>6373312</v>
      </c>
      <c r="FRE366" s="919" t="s">
        <v>1839</v>
      </c>
      <c r="FRF366" s="1643" t="s">
        <v>1840</v>
      </c>
      <c r="FRG366" s="1648">
        <v>603740</v>
      </c>
      <c r="FRH366" s="1648">
        <v>515055</v>
      </c>
      <c r="FRI366" s="1648">
        <v>530271</v>
      </c>
      <c r="FRJ366" s="1648">
        <v>212051</v>
      </c>
      <c r="FRK366" s="1648">
        <v>131147</v>
      </c>
      <c r="FRL366" s="1648">
        <v>101889</v>
      </c>
      <c r="FRM366" s="1648">
        <v>453326</v>
      </c>
      <c r="FRN366" s="1648">
        <v>298813</v>
      </c>
      <c r="FRO366" s="1648">
        <v>605808</v>
      </c>
      <c r="FRP366" s="1648">
        <v>847471</v>
      </c>
      <c r="FRQ366" s="1648">
        <v>1070054</v>
      </c>
      <c r="FRR366" s="1648">
        <v>1003687</v>
      </c>
      <c r="FRS366" s="635">
        <v>6373312</v>
      </c>
      <c r="FRT366" s="633">
        <f>SUM(FRG366:FRR366)</f>
        <v>6373312</v>
      </c>
      <c r="FRU366" s="919" t="s">
        <v>1839</v>
      </c>
      <c r="FRV366" s="1643" t="s">
        <v>1840</v>
      </c>
      <c r="FRW366" s="1648">
        <v>603740</v>
      </c>
      <c r="FRX366" s="1648">
        <v>515055</v>
      </c>
      <c r="FRY366" s="1648">
        <v>530271</v>
      </c>
      <c r="FRZ366" s="1648">
        <v>212051</v>
      </c>
      <c r="FSA366" s="1648">
        <v>131147</v>
      </c>
      <c r="FSB366" s="1648">
        <v>101889</v>
      </c>
      <c r="FSC366" s="1648">
        <v>453326</v>
      </c>
      <c r="FSD366" s="1648">
        <v>298813</v>
      </c>
      <c r="FSE366" s="1648">
        <v>605808</v>
      </c>
      <c r="FSF366" s="1648">
        <v>847471</v>
      </c>
      <c r="FSG366" s="1648">
        <v>1070054</v>
      </c>
      <c r="FSH366" s="1648">
        <v>1003687</v>
      </c>
      <c r="FSI366" s="635">
        <v>6373312</v>
      </c>
      <c r="FSJ366" s="633">
        <f>SUM(FRW366:FSH366)</f>
        <v>6373312</v>
      </c>
      <c r="FSK366" s="919" t="s">
        <v>1839</v>
      </c>
      <c r="FSL366" s="1643" t="s">
        <v>1840</v>
      </c>
      <c r="FSM366" s="1648">
        <v>603740</v>
      </c>
      <c r="FSN366" s="1648">
        <v>515055</v>
      </c>
      <c r="FSO366" s="1648">
        <v>530271</v>
      </c>
      <c r="FSP366" s="1648">
        <v>212051</v>
      </c>
      <c r="FSQ366" s="1648">
        <v>131147</v>
      </c>
      <c r="FSR366" s="1648">
        <v>101889</v>
      </c>
      <c r="FSS366" s="1648">
        <v>453326</v>
      </c>
      <c r="FST366" s="1648">
        <v>298813</v>
      </c>
      <c r="FSU366" s="1648">
        <v>605808</v>
      </c>
      <c r="FSV366" s="1648">
        <v>847471</v>
      </c>
      <c r="FSW366" s="1648">
        <v>1070054</v>
      </c>
      <c r="FSX366" s="1648">
        <v>1003687</v>
      </c>
      <c r="FSY366" s="635">
        <v>6373312</v>
      </c>
      <c r="FSZ366" s="633">
        <f>SUM(FSM366:FSX366)</f>
        <v>6373312</v>
      </c>
      <c r="FTA366" s="919" t="s">
        <v>1839</v>
      </c>
      <c r="FTB366" s="1643" t="s">
        <v>1840</v>
      </c>
      <c r="FTC366" s="1648">
        <v>603740</v>
      </c>
      <c r="FTD366" s="1648">
        <v>515055</v>
      </c>
      <c r="FTE366" s="1648">
        <v>530271</v>
      </c>
      <c r="FTF366" s="1648">
        <v>212051</v>
      </c>
      <c r="FTG366" s="1648">
        <v>131147</v>
      </c>
      <c r="FTH366" s="1648">
        <v>101889</v>
      </c>
      <c r="FTI366" s="1648">
        <v>453326</v>
      </c>
      <c r="FTJ366" s="1648">
        <v>298813</v>
      </c>
      <c r="FTK366" s="1648">
        <v>605808</v>
      </c>
      <c r="FTL366" s="1648">
        <v>847471</v>
      </c>
      <c r="FTM366" s="1648">
        <v>1070054</v>
      </c>
      <c r="FTN366" s="1648">
        <v>1003687</v>
      </c>
      <c r="FTO366" s="635">
        <v>6373312</v>
      </c>
      <c r="FTP366" s="633">
        <f>SUM(FTC366:FTN366)</f>
        <v>6373312</v>
      </c>
      <c r="FTQ366" s="919" t="s">
        <v>1839</v>
      </c>
      <c r="FTR366" s="1643" t="s">
        <v>1840</v>
      </c>
      <c r="FTS366" s="1648">
        <v>603740</v>
      </c>
      <c r="FTT366" s="1648">
        <v>515055</v>
      </c>
      <c r="FTU366" s="1648">
        <v>530271</v>
      </c>
      <c r="FTV366" s="1648">
        <v>212051</v>
      </c>
      <c r="FTW366" s="1648">
        <v>131147</v>
      </c>
      <c r="FTX366" s="1648">
        <v>101889</v>
      </c>
      <c r="FTY366" s="1648">
        <v>453326</v>
      </c>
      <c r="FTZ366" s="1648">
        <v>298813</v>
      </c>
      <c r="FUA366" s="1648">
        <v>605808</v>
      </c>
      <c r="FUB366" s="1648">
        <v>847471</v>
      </c>
      <c r="FUC366" s="1648">
        <v>1070054</v>
      </c>
      <c r="FUD366" s="1648">
        <v>1003687</v>
      </c>
      <c r="FUE366" s="635">
        <v>6373312</v>
      </c>
      <c r="FUF366" s="633">
        <f>SUM(FTS366:FUD366)</f>
        <v>6373312</v>
      </c>
      <c r="FUG366" s="919" t="s">
        <v>1839</v>
      </c>
      <c r="FUH366" s="1643" t="s">
        <v>1840</v>
      </c>
      <c r="FUI366" s="1648">
        <v>603740</v>
      </c>
      <c r="FUJ366" s="1648">
        <v>515055</v>
      </c>
      <c r="FUK366" s="1648">
        <v>530271</v>
      </c>
      <c r="FUL366" s="1648">
        <v>212051</v>
      </c>
      <c r="FUM366" s="1648">
        <v>131147</v>
      </c>
      <c r="FUN366" s="1648">
        <v>101889</v>
      </c>
      <c r="FUO366" s="1648">
        <v>453326</v>
      </c>
      <c r="FUP366" s="1648">
        <v>298813</v>
      </c>
      <c r="FUQ366" s="1648">
        <v>605808</v>
      </c>
      <c r="FUR366" s="1648">
        <v>847471</v>
      </c>
      <c r="FUS366" s="1648">
        <v>1070054</v>
      </c>
      <c r="FUT366" s="1648">
        <v>1003687</v>
      </c>
      <c r="FUU366" s="635">
        <v>6373312</v>
      </c>
      <c r="FUV366" s="633">
        <f>SUM(FUI366:FUT366)</f>
        <v>6373312</v>
      </c>
      <c r="FUW366" s="919" t="s">
        <v>1839</v>
      </c>
      <c r="FUX366" s="1643" t="s">
        <v>1840</v>
      </c>
      <c r="FUY366" s="1648">
        <v>603740</v>
      </c>
      <c r="FUZ366" s="1648">
        <v>515055</v>
      </c>
      <c r="FVA366" s="1648">
        <v>530271</v>
      </c>
      <c r="FVB366" s="1648">
        <v>212051</v>
      </c>
      <c r="FVC366" s="1648">
        <v>131147</v>
      </c>
      <c r="FVD366" s="1648">
        <v>101889</v>
      </c>
      <c r="FVE366" s="1648">
        <v>453326</v>
      </c>
      <c r="FVF366" s="1648">
        <v>298813</v>
      </c>
      <c r="FVG366" s="1648">
        <v>605808</v>
      </c>
      <c r="FVH366" s="1648">
        <v>847471</v>
      </c>
      <c r="FVI366" s="1648">
        <v>1070054</v>
      </c>
      <c r="FVJ366" s="1648">
        <v>1003687</v>
      </c>
      <c r="FVK366" s="635">
        <v>6373312</v>
      </c>
      <c r="FVL366" s="633">
        <f>SUM(FUY366:FVJ366)</f>
        <v>6373312</v>
      </c>
      <c r="FVM366" s="919" t="s">
        <v>1839</v>
      </c>
      <c r="FVN366" s="1643" t="s">
        <v>1840</v>
      </c>
      <c r="FVO366" s="1648">
        <v>603740</v>
      </c>
      <c r="FVP366" s="1648">
        <v>515055</v>
      </c>
      <c r="FVQ366" s="1648">
        <v>530271</v>
      </c>
      <c r="FVR366" s="1648">
        <v>212051</v>
      </c>
      <c r="FVS366" s="1648">
        <v>131147</v>
      </c>
      <c r="FVT366" s="1648">
        <v>101889</v>
      </c>
      <c r="FVU366" s="1648">
        <v>453326</v>
      </c>
      <c r="FVV366" s="1648">
        <v>298813</v>
      </c>
      <c r="FVW366" s="1648">
        <v>605808</v>
      </c>
      <c r="FVX366" s="1648">
        <v>847471</v>
      </c>
      <c r="FVY366" s="1648">
        <v>1070054</v>
      </c>
      <c r="FVZ366" s="1648">
        <v>1003687</v>
      </c>
      <c r="FWA366" s="635">
        <v>6373312</v>
      </c>
      <c r="FWB366" s="633">
        <f>SUM(FVO366:FVZ366)</f>
        <v>6373312</v>
      </c>
      <c r="FWC366" s="919" t="s">
        <v>1839</v>
      </c>
      <c r="FWD366" s="1643" t="s">
        <v>1840</v>
      </c>
      <c r="FWE366" s="1648">
        <v>603740</v>
      </c>
      <c r="FWF366" s="1648">
        <v>515055</v>
      </c>
      <c r="FWG366" s="1648">
        <v>530271</v>
      </c>
      <c r="FWH366" s="1648">
        <v>212051</v>
      </c>
      <c r="FWI366" s="1648">
        <v>131147</v>
      </c>
      <c r="FWJ366" s="1648">
        <v>101889</v>
      </c>
      <c r="FWK366" s="1648">
        <v>453326</v>
      </c>
      <c r="FWL366" s="1648">
        <v>298813</v>
      </c>
      <c r="FWM366" s="1648">
        <v>605808</v>
      </c>
      <c r="FWN366" s="1648">
        <v>847471</v>
      </c>
      <c r="FWO366" s="1648">
        <v>1070054</v>
      </c>
      <c r="FWP366" s="1648">
        <v>1003687</v>
      </c>
      <c r="FWQ366" s="635">
        <v>6373312</v>
      </c>
      <c r="FWR366" s="633">
        <f>SUM(FWE366:FWP366)</f>
        <v>6373312</v>
      </c>
      <c r="FWS366" s="919" t="s">
        <v>1839</v>
      </c>
      <c r="FWT366" s="1643" t="s">
        <v>1840</v>
      </c>
      <c r="FWU366" s="1648">
        <v>603740</v>
      </c>
      <c r="FWV366" s="1648">
        <v>515055</v>
      </c>
      <c r="FWW366" s="1648">
        <v>530271</v>
      </c>
      <c r="FWX366" s="1648">
        <v>212051</v>
      </c>
      <c r="FWY366" s="1648">
        <v>131147</v>
      </c>
      <c r="FWZ366" s="1648">
        <v>101889</v>
      </c>
      <c r="FXA366" s="1648">
        <v>453326</v>
      </c>
      <c r="FXB366" s="1648">
        <v>298813</v>
      </c>
      <c r="FXC366" s="1648">
        <v>605808</v>
      </c>
      <c r="FXD366" s="1648">
        <v>847471</v>
      </c>
      <c r="FXE366" s="1648">
        <v>1070054</v>
      </c>
      <c r="FXF366" s="1648">
        <v>1003687</v>
      </c>
      <c r="FXG366" s="635">
        <v>6373312</v>
      </c>
      <c r="FXH366" s="633">
        <f>SUM(FWU366:FXF366)</f>
        <v>6373312</v>
      </c>
      <c r="FXI366" s="919" t="s">
        <v>1839</v>
      </c>
      <c r="FXJ366" s="1643" t="s">
        <v>1840</v>
      </c>
      <c r="FXK366" s="1648">
        <v>603740</v>
      </c>
      <c r="FXL366" s="1648">
        <v>515055</v>
      </c>
      <c r="FXM366" s="1648">
        <v>530271</v>
      </c>
      <c r="FXN366" s="1648">
        <v>212051</v>
      </c>
      <c r="FXO366" s="1648">
        <v>131147</v>
      </c>
      <c r="FXP366" s="1648">
        <v>101889</v>
      </c>
      <c r="FXQ366" s="1648">
        <v>453326</v>
      </c>
      <c r="FXR366" s="1648">
        <v>298813</v>
      </c>
      <c r="FXS366" s="1648">
        <v>605808</v>
      </c>
      <c r="FXT366" s="1648">
        <v>847471</v>
      </c>
      <c r="FXU366" s="1648">
        <v>1070054</v>
      </c>
      <c r="FXV366" s="1648">
        <v>1003687</v>
      </c>
      <c r="FXW366" s="635">
        <v>6373312</v>
      </c>
      <c r="FXX366" s="633">
        <f>SUM(FXK366:FXV366)</f>
        <v>6373312</v>
      </c>
      <c r="FXY366" s="919" t="s">
        <v>1839</v>
      </c>
      <c r="FXZ366" s="1643" t="s">
        <v>1840</v>
      </c>
      <c r="FYA366" s="1648">
        <v>603740</v>
      </c>
      <c r="FYB366" s="1648">
        <v>515055</v>
      </c>
      <c r="FYC366" s="1648">
        <v>530271</v>
      </c>
      <c r="FYD366" s="1648">
        <v>212051</v>
      </c>
      <c r="FYE366" s="1648">
        <v>131147</v>
      </c>
      <c r="FYF366" s="1648">
        <v>101889</v>
      </c>
      <c r="FYG366" s="1648">
        <v>453326</v>
      </c>
      <c r="FYH366" s="1648">
        <v>298813</v>
      </c>
      <c r="FYI366" s="1648">
        <v>605808</v>
      </c>
      <c r="FYJ366" s="1648">
        <v>847471</v>
      </c>
      <c r="FYK366" s="1648">
        <v>1070054</v>
      </c>
      <c r="FYL366" s="1648">
        <v>1003687</v>
      </c>
      <c r="FYM366" s="635">
        <v>6373312</v>
      </c>
      <c r="FYN366" s="633">
        <f>SUM(FYA366:FYL366)</f>
        <v>6373312</v>
      </c>
      <c r="FYO366" s="919" t="s">
        <v>1839</v>
      </c>
      <c r="FYP366" s="1643" t="s">
        <v>1840</v>
      </c>
      <c r="FYQ366" s="1648">
        <v>603740</v>
      </c>
      <c r="FYR366" s="1648">
        <v>515055</v>
      </c>
      <c r="FYS366" s="1648">
        <v>530271</v>
      </c>
      <c r="FYT366" s="1648">
        <v>212051</v>
      </c>
      <c r="FYU366" s="1648">
        <v>131147</v>
      </c>
      <c r="FYV366" s="1648">
        <v>101889</v>
      </c>
      <c r="FYW366" s="1648">
        <v>453326</v>
      </c>
      <c r="FYX366" s="1648">
        <v>298813</v>
      </c>
      <c r="FYY366" s="1648">
        <v>605808</v>
      </c>
      <c r="FYZ366" s="1648">
        <v>847471</v>
      </c>
      <c r="FZA366" s="1648">
        <v>1070054</v>
      </c>
      <c r="FZB366" s="1648">
        <v>1003687</v>
      </c>
      <c r="FZC366" s="635">
        <v>6373312</v>
      </c>
      <c r="FZD366" s="633">
        <f>SUM(FYQ366:FZB366)</f>
        <v>6373312</v>
      </c>
      <c r="FZE366" s="919" t="s">
        <v>1839</v>
      </c>
      <c r="FZF366" s="1643" t="s">
        <v>1840</v>
      </c>
      <c r="FZG366" s="1648">
        <v>603740</v>
      </c>
      <c r="FZH366" s="1648">
        <v>515055</v>
      </c>
      <c r="FZI366" s="1648">
        <v>530271</v>
      </c>
      <c r="FZJ366" s="1648">
        <v>212051</v>
      </c>
      <c r="FZK366" s="1648">
        <v>131147</v>
      </c>
      <c r="FZL366" s="1648">
        <v>101889</v>
      </c>
      <c r="FZM366" s="1648">
        <v>453326</v>
      </c>
      <c r="FZN366" s="1648">
        <v>298813</v>
      </c>
      <c r="FZO366" s="1648">
        <v>605808</v>
      </c>
      <c r="FZP366" s="1648">
        <v>847471</v>
      </c>
      <c r="FZQ366" s="1648">
        <v>1070054</v>
      </c>
      <c r="FZR366" s="1648">
        <v>1003687</v>
      </c>
      <c r="FZS366" s="635">
        <v>6373312</v>
      </c>
      <c r="FZT366" s="633">
        <f>SUM(FZG366:FZR366)</f>
        <v>6373312</v>
      </c>
      <c r="FZU366" s="919" t="s">
        <v>1839</v>
      </c>
      <c r="FZV366" s="1643" t="s">
        <v>1840</v>
      </c>
      <c r="FZW366" s="1648">
        <v>603740</v>
      </c>
      <c r="FZX366" s="1648">
        <v>515055</v>
      </c>
      <c r="FZY366" s="1648">
        <v>530271</v>
      </c>
      <c r="FZZ366" s="1648">
        <v>212051</v>
      </c>
      <c r="GAA366" s="1648">
        <v>131147</v>
      </c>
      <c r="GAB366" s="1648">
        <v>101889</v>
      </c>
      <c r="GAC366" s="1648">
        <v>453326</v>
      </c>
      <c r="GAD366" s="1648">
        <v>298813</v>
      </c>
      <c r="GAE366" s="1648">
        <v>605808</v>
      </c>
      <c r="GAF366" s="1648">
        <v>847471</v>
      </c>
      <c r="GAG366" s="1648">
        <v>1070054</v>
      </c>
      <c r="GAH366" s="1648">
        <v>1003687</v>
      </c>
      <c r="GAI366" s="635">
        <v>6373312</v>
      </c>
      <c r="GAJ366" s="633">
        <f>SUM(FZW366:GAH366)</f>
        <v>6373312</v>
      </c>
      <c r="GAK366" s="919" t="s">
        <v>1839</v>
      </c>
      <c r="GAL366" s="1643" t="s">
        <v>1840</v>
      </c>
      <c r="GAM366" s="1648">
        <v>603740</v>
      </c>
      <c r="GAN366" s="1648">
        <v>515055</v>
      </c>
      <c r="GAO366" s="1648">
        <v>530271</v>
      </c>
      <c r="GAP366" s="1648">
        <v>212051</v>
      </c>
      <c r="GAQ366" s="1648">
        <v>131147</v>
      </c>
      <c r="GAR366" s="1648">
        <v>101889</v>
      </c>
      <c r="GAS366" s="1648">
        <v>453326</v>
      </c>
      <c r="GAT366" s="1648">
        <v>298813</v>
      </c>
      <c r="GAU366" s="1648">
        <v>605808</v>
      </c>
      <c r="GAV366" s="1648">
        <v>847471</v>
      </c>
      <c r="GAW366" s="1648">
        <v>1070054</v>
      </c>
      <c r="GAX366" s="1648">
        <v>1003687</v>
      </c>
      <c r="GAY366" s="635">
        <v>6373312</v>
      </c>
      <c r="GAZ366" s="633">
        <f>SUM(GAM366:GAX366)</f>
        <v>6373312</v>
      </c>
      <c r="GBA366" s="919" t="s">
        <v>1839</v>
      </c>
      <c r="GBB366" s="1643" t="s">
        <v>1840</v>
      </c>
      <c r="GBC366" s="1648">
        <v>603740</v>
      </c>
      <c r="GBD366" s="1648">
        <v>515055</v>
      </c>
      <c r="GBE366" s="1648">
        <v>530271</v>
      </c>
      <c r="GBF366" s="1648">
        <v>212051</v>
      </c>
      <c r="GBG366" s="1648">
        <v>131147</v>
      </c>
      <c r="GBH366" s="1648">
        <v>101889</v>
      </c>
      <c r="GBI366" s="1648">
        <v>453326</v>
      </c>
      <c r="GBJ366" s="1648">
        <v>298813</v>
      </c>
      <c r="GBK366" s="1648">
        <v>605808</v>
      </c>
      <c r="GBL366" s="1648">
        <v>847471</v>
      </c>
      <c r="GBM366" s="1648">
        <v>1070054</v>
      </c>
      <c r="GBN366" s="1648">
        <v>1003687</v>
      </c>
      <c r="GBO366" s="635">
        <v>6373312</v>
      </c>
      <c r="GBP366" s="633">
        <f>SUM(GBC366:GBN366)</f>
        <v>6373312</v>
      </c>
      <c r="GBQ366" s="919" t="s">
        <v>1839</v>
      </c>
      <c r="GBR366" s="1643" t="s">
        <v>1840</v>
      </c>
      <c r="GBS366" s="1648">
        <v>603740</v>
      </c>
      <c r="GBT366" s="1648">
        <v>515055</v>
      </c>
      <c r="GBU366" s="1648">
        <v>530271</v>
      </c>
      <c r="GBV366" s="1648">
        <v>212051</v>
      </c>
      <c r="GBW366" s="1648">
        <v>131147</v>
      </c>
      <c r="GBX366" s="1648">
        <v>101889</v>
      </c>
      <c r="GBY366" s="1648">
        <v>453326</v>
      </c>
      <c r="GBZ366" s="1648">
        <v>298813</v>
      </c>
      <c r="GCA366" s="1648">
        <v>605808</v>
      </c>
      <c r="GCB366" s="1648">
        <v>847471</v>
      </c>
      <c r="GCC366" s="1648">
        <v>1070054</v>
      </c>
      <c r="GCD366" s="1648">
        <v>1003687</v>
      </c>
      <c r="GCE366" s="635">
        <v>6373312</v>
      </c>
      <c r="GCF366" s="633">
        <f>SUM(GBS366:GCD366)</f>
        <v>6373312</v>
      </c>
      <c r="GCG366" s="919" t="s">
        <v>1839</v>
      </c>
      <c r="GCH366" s="1643" t="s">
        <v>1840</v>
      </c>
      <c r="GCI366" s="1648">
        <v>603740</v>
      </c>
      <c r="GCJ366" s="1648">
        <v>515055</v>
      </c>
      <c r="GCK366" s="1648">
        <v>530271</v>
      </c>
      <c r="GCL366" s="1648">
        <v>212051</v>
      </c>
      <c r="GCM366" s="1648">
        <v>131147</v>
      </c>
      <c r="GCN366" s="1648">
        <v>101889</v>
      </c>
      <c r="GCO366" s="1648">
        <v>453326</v>
      </c>
      <c r="GCP366" s="1648">
        <v>298813</v>
      </c>
      <c r="GCQ366" s="1648">
        <v>605808</v>
      </c>
      <c r="GCR366" s="1648">
        <v>847471</v>
      </c>
      <c r="GCS366" s="1648">
        <v>1070054</v>
      </c>
      <c r="GCT366" s="1648">
        <v>1003687</v>
      </c>
      <c r="GCU366" s="635">
        <v>6373312</v>
      </c>
      <c r="GCV366" s="633">
        <f>SUM(GCI366:GCT366)</f>
        <v>6373312</v>
      </c>
      <c r="GCW366" s="919" t="s">
        <v>1839</v>
      </c>
      <c r="GCX366" s="1643" t="s">
        <v>1840</v>
      </c>
      <c r="GCY366" s="1648">
        <v>603740</v>
      </c>
      <c r="GCZ366" s="1648">
        <v>515055</v>
      </c>
      <c r="GDA366" s="1648">
        <v>530271</v>
      </c>
      <c r="GDB366" s="1648">
        <v>212051</v>
      </c>
      <c r="GDC366" s="1648">
        <v>131147</v>
      </c>
      <c r="GDD366" s="1648">
        <v>101889</v>
      </c>
      <c r="GDE366" s="1648">
        <v>453326</v>
      </c>
      <c r="GDF366" s="1648">
        <v>298813</v>
      </c>
      <c r="GDG366" s="1648">
        <v>605808</v>
      </c>
      <c r="GDH366" s="1648">
        <v>847471</v>
      </c>
      <c r="GDI366" s="1648">
        <v>1070054</v>
      </c>
      <c r="GDJ366" s="1648">
        <v>1003687</v>
      </c>
      <c r="GDK366" s="635">
        <v>6373312</v>
      </c>
      <c r="GDL366" s="633">
        <f>SUM(GCY366:GDJ366)</f>
        <v>6373312</v>
      </c>
      <c r="GDM366" s="919" t="s">
        <v>1839</v>
      </c>
      <c r="GDN366" s="1643" t="s">
        <v>1840</v>
      </c>
      <c r="GDO366" s="1648">
        <v>603740</v>
      </c>
      <c r="GDP366" s="1648">
        <v>515055</v>
      </c>
      <c r="GDQ366" s="1648">
        <v>530271</v>
      </c>
      <c r="GDR366" s="1648">
        <v>212051</v>
      </c>
      <c r="GDS366" s="1648">
        <v>131147</v>
      </c>
      <c r="GDT366" s="1648">
        <v>101889</v>
      </c>
      <c r="GDU366" s="1648">
        <v>453326</v>
      </c>
      <c r="GDV366" s="1648">
        <v>298813</v>
      </c>
      <c r="GDW366" s="1648">
        <v>605808</v>
      </c>
      <c r="GDX366" s="1648">
        <v>847471</v>
      </c>
      <c r="GDY366" s="1648">
        <v>1070054</v>
      </c>
      <c r="GDZ366" s="1648">
        <v>1003687</v>
      </c>
      <c r="GEA366" s="635">
        <v>6373312</v>
      </c>
      <c r="GEB366" s="633">
        <f>SUM(GDO366:GDZ366)</f>
        <v>6373312</v>
      </c>
      <c r="GEC366" s="919" t="s">
        <v>1839</v>
      </c>
      <c r="GED366" s="1643" t="s">
        <v>1840</v>
      </c>
      <c r="GEE366" s="1648">
        <v>603740</v>
      </c>
      <c r="GEF366" s="1648">
        <v>515055</v>
      </c>
      <c r="GEG366" s="1648">
        <v>530271</v>
      </c>
      <c r="GEH366" s="1648">
        <v>212051</v>
      </c>
      <c r="GEI366" s="1648">
        <v>131147</v>
      </c>
      <c r="GEJ366" s="1648">
        <v>101889</v>
      </c>
      <c r="GEK366" s="1648">
        <v>453326</v>
      </c>
      <c r="GEL366" s="1648">
        <v>298813</v>
      </c>
      <c r="GEM366" s="1648">
        <v>605808</v>
      </c>
      <c r="GEN366" s="1648">
        <v>847471</v>
      </c>
      <c r="GEO366" s="1648">
        <v>1070054</v>
      </c>
      <c r="GEP366" s="1648">
        <v>1003687</v>
      </c>
      <c r="GEQ366" s="635">
        <v>6373312</v>
      </c>
      <c r="GER366" s="633">
        <f>SUM(GEE366:GEP366)</f>
        <v>6373312</v>
      </c>
      <c r="GES366" s="919" t="s">
        <v>1839</v>
      </c>
      <c r="GET366" s="1643" t="s">
        <v>1840</v>
      </c>
      <c r="GEU366" s="1648">
        <v>603740</v>
      </c>
      <c r="GEV366" s="1648">
        <v>515055</v>
      </c>
      <c r="GEW366" s="1648">
        <v>530271</v>
      </c>
      <c r="GEX366" s="1648">
        <v>212051</v>
      </c>
      <c r="GEY366" s="1648">
        <v>131147</v>
      </c>
      <c r="GEZ366" s="1648">
        <v>101889</v>
      </c>
      <c r="GFA366" s="1648">
        <v>453326</v>
      </c>
      <c r="GFB366" s="1648">
        <v>298813</v>
      </c>
      <c r="GFC366" s="1648">
        <v>605808</v>
      </c>
      <c r="GFD366" s="1648">
        <v>847471</v>
      </c>
      <c r="GFE366" s="1648">
        <v>1070054</v>
      </c>
      <c r="GFF366" s="1648">
        <v>1003687</v>
      </c>
      <c r="GFG366" s="635">
        <v>6373312</v>
      </c>
      <c r="GFH366" s="633">
        <f>SUM(GEU366:GFF366)</f>
        <v>6373312</v>
      </c>
      <c r="GFI366" s="919" t="s">
        <v>1839</v>
      </c>
      <c r="GFJ366" s="1643" t="s">
        <v>1840</v>
      </c>
      <c r="GFK366" s="1648">
        <v>603740</v>
      </c>
      <c r="GFL366" s="1648">
        <v>515055</v>
      </c>
      <c r="GFM366" s="1648">
        <v>530271</v>
      </c>
      <c r="GFN366" s="1648">
        <v>212051</v>
      </c>
      <c r="GFO366" s="1648">
        <v>131147</v>
      </c>
      <c r="GFP366" s="1648">
        <v>101889</v>
      </c>
      <c r="GFQ366" s="1648">
        <v>453326</v>
      </c>
      <c r="GFR366" s="1648">
        <v>298813</v>
      </c>
      <c r="GFS366" s="1648">
        <v>605808</v>
      </c>
      <c r="GFT366" s="1648">
        <v>847471</v>
      </c>
      <c r="GFU366" s="1648">
        <v>1070054</v>
      </c>
      <c r="GFV366" s="1648">
        <v>1003687</v>
      </c>
      <c r="GFW366" s="635">
        <v>6373312</v>
      </c>
      <c r="GFX366" s="633">
        <f>SUM(GFK366:GFV366)</f>
        <v>6373312</v>
      </c>
      <c r="GFY366" s="919" t="s">
        <v>1839</v>
      </c>
      <c r="GFZ366" s="1643" t="s">
        <v>1840</v>
      </c>
      <c r="GGA366" s="1648">
        <v>603740</v>
      </c>
      <c r="GGB366" s="1648">
        <v>515055</v>
      </c>
      <c r="GGC366" s="1648">
        <v>530271</v>
      </c>
      <c r="GGD366" s="1648">
        <v>212051</v>
      </c>
      <c r="GGE366" s="1648">
        <v>131147</v>
      </c>
      <c r="GGF366" s="1648">
        <v>101889</v>
      </c>
      <c r="GGG366" s="1648">
        <v>453326</v>
      </c>
      <c r="GGH366" s="1648">
        <v>298813</v>
      </c>
      <c r="GGI366" s="1648">
        <v>605808</v>
      </c>
      <c r="GGJ366" s="1648">
        <v>847471</v>
      </c>
      <c r="GGK366" s="1648">
        <v>1070054</v>
      </c>
      <c r="GGL366" s="1648">
        <v>1003687</v>
      </c>
      <c r="GGM366" s="635">
        <v>6373312</v>
      </c>
      <c r="GGN366" s="633">
        <f>SUM(GGA366:GGL366)</f>
        <v>6373312</v>
      </c>
      <c r="GGO366" s="919" t="s">
        <v>1839</v>
      </c>
      <c r="GGP366" s="1643" t="s">
        <v>1840</v>
      </c>
      <c r="GGQ366" s="1648">
        <v>603740</v>
      </c>
      <c r="GGR366" s="1648">
        <v>515055</v>
      </c>
      <c r="GGS366" s="1648">
        <v>530271</v>
      </c>
      <c r="GGT366" s="1648">
        <v>212051</v>
      </c>
      <c r="GGU366" s="1648">
        <v>131147</v>
      </c>
      <c r="GGV366" s="1648">
        <v>101889</v>
      </c>
      <c r="GGW366" s="1648">
        <v>453326</v>
      </c>
      <c r="GGX366" s="1648">
        <v>298813</v>
      </c>
      <c r="GGY366" s="1648">
        <v>605808</v>
      </c>
      <c r="GGZ366" s="1648">
        <v>847471</v>
      </c>
      <c r="GHA366" s="1648">
        <v>1070054</v>
      </c>
      <c r="GHB366" s="1648">
        <v>1003687</v>
      </c>
      <c r="GHC366" s="635">
        <v>6373312</v>
      </c>
      <c r="GHD366" s="633">
        <f>SUM(GGQ366:GHB366)</f>
        <v>6373312</v>
      </c>
      <c r="GHE366" s="919" t="s">
        <v>1839</v>
      </c>
      <c r="GHF366" s="1643" t="s">
        <v>1840</v>
      </c>
      <c r="GHG366" s="1648">
        <v>603740</v>
      </c>
      <c r="GHH366" s="1648">
        <v>515055</v>
      </c>
      <c r="GHI366" s="1648">
        <v>530271</v>
      </c>
      <c r="GHJ366" s="1648">
        <v>212051</v>
      </c>
      <c r="GHK366" s="1648">
        <v>131147</v>
      </c>
      <c r="GHL366" s="1648">
        <v>101889</v>
      </c>
      <c r="GHM366" s="1648">
        <v>453326</v>
      </c>
      <c r="GHN366" s="1648">
        <v>298813</v>
      </c>
      <c r="GHO366" s="1648">
        <v>605808</v>
      </c>
      <c r="GHP366" s="1648">
        <v>847471</v>
      </c>
      <c r="GHQ366" s="1648">
        <v>1070054</v>
      </c>
      <c r="GHR366" s="1648">
        <v>1003687</v>
      </c>
      <c r="GHS366" s="635">
        <v>6373312</v>
      </c>
      <c r="GHT366" s="633">
        <f>SUM(GHG366:GHR366)</f>
        <v>6373312</v>
      </c>
      <c r="GHU366" s="919" t="s">
        <v>1839</v>
      </c>
      <c r="GHV366" s="1643" t="s">
        <v>1840</v>
      </c>
      <c r="GHW366" s="1648">
        <v>603740</v>
      </c>
      <c r="GHX366" s="1648">
        <v>515055</v>
      </c>
      <c r="GHY366" s="1648">
        <v>530271</v>
      </c>
      <c r="GHZ366" s="1648">
        <v>212051</v>
      </c>
      <c r="GIA366" s="1648">
        <v>131147</v>
      </c>
      <c r="GIB366" s="1648">
        <v>101889</v>
      </c>
      <c r="GIC366" s="1648">
        <v>453326</v>
      </c>
      <c r="GID366" s="1648">
        <v>298813</v>
      </c>
      <c r="GIE366" s="1648">
        <v>605808</v>
      </c>
      <c r="GIF366" s="1648">
        <v>847471</v>
      </c>
      <c r="GIG366" s="1648">
        <v>1070054</v>
      </c>
      <c r="GIH366" s="1648">
        <v>1003687</v>
      </c>
      <c r="GII366" s="635">
        <v>6373312</v>
      </c>
      <c r="GIJ366" s="633">
        <f>SUM(GHW366:GIH366)</f>
        <v>6373312</v>
      </c>
      <c r="GIK366" s="919" t="s">
        <v>1839</v>
      </c>
      <c r="GIL366" s="1643" t="s">
        <v>1840</v>
      </c>
      <c r="GIM366" s="1648">
        <v>603740</v>
      </c>
      <c r="GIN366" s="1648">
        <v>515055</v>
      </c>
      <c r="GIO366" s="1648">
        <v>530271</v>
      </c>
      <c r="GIP366" s="1648">
        <v>212051</v>
      </c>
      <c r="GIQ366" s="1648">
        <v>131147</v>
      </c>
      <c r="GIR366" s="1648">
        <v>101889</v>
      </c>
      <c r="GIS366" s="1648">
        <v>453326</v>
      </c>
      <c r="GIT366" s="1648">
        <v>298813</v>
      </c>
      <c r="GIU366" s="1648">
        <v>605808</v>
      </c>
      <c r="GIV366" s="1648">
        <v>847471</v>
      </c>
      <c r="GIW366" s="1648">
        <v>1070054</v>
      </c>
      <c r="GIX366" s="1648">
        <v>1003687</v>
      </c>
      <c r="GIY366" s="635">
        <v>6373312</v>
      </c>
      <c r="GIZ366" s="633">
        <f>SUM(GIM366:GIX366)</f>
        <v>6373312</v>
      </c>
      <c r="GJA366" s="919" t="s">
        <v>1839</v>
      </c>
      <c r="GJB366" s="1643" t="s">
        <v>1840</v>
      </c>
      <c r="GJC366" s="1648">
        <v>603740</v>
      </c>
      <c r="GJD366" s="1648">
        <v>515055</v>
      </c>
      <c r="GJE366" s="1648">
        <v>530271</v>
      </c>
      <c r="GJF366" s="1648">
        <v>212051</v>
      </c>
      <c r="GJG366" s="1648">
        <v>131147</v>
      </c>
      <c r="GJH366" s="1648">
        <v>101889</v>
      </c>
      <c r="GJI366" s="1648">
        <v>453326</v>
      </c>
      <c r="GJJ366" s="1648">
        <v>298813</v>
      </c>
      <c r="GJK366" s="1648">
        <v>605808</v>
      </c>
      <c r="GJL366" s="1648">
        <v>847471</v>
      </c>
      <c r="GJM366" s="1648">
        <v>1070054</v>
      </c>
      <c r="GJN366" s="1648">
        <v>1003687</v>
      </c>
      <c r="GJO366" s="635">
        <v>6373312</v>
      </c>
      <c r="GJP366" s="633">
        <f>SUM(GJC366:GJN366)</f>
        <v>6373312</v>
      </c>
      <c r="GJQ366" s="919" t="s">
        <v>1839</v>
      </c>
      <c r="GJR366" s="1643" t="s">
        <v>1840</v>
      </c>
      <c r="GJS366" s="1648">
        <v>603740</v>
      </c>
      <c r="GJT366" s="1648">
        <v>515055</v>
      </c>
      <c r="GJU366" s="1648">
        <v>530271</v>
      </c>
      <c r="GJV366" s="1648">
        <v>212051</v>
      </c>
      <c r="GJW366" s="1648">
        <v>131147</v>
      </c>
      <c r="GJX366" s="1648">
        <v>101889</v>
      </c>
      <c r="GJY366" s="1648">
        <v>453326</v>
      </c>
      <c r="GJZ366" s="1648">
        <v>298813</v>
      </c>
      <c r="GKA366" s="1648">
        <v>605808</v>
      </c>
      <c r="GKB366" s="1648">
        <v>847471</v>
      </c>
      <c r="GKC366" s="1648">
        <v>1070054</v>
      </c>
      <c r="GKD366" s="1648">
        <v>1003687</v>
      </c>
      <c r="GKE366" s="635">
        <v>6373312</v>
      </c>
      <c r="GKF366" s="633">
        <f>SUM(GJS366:GKD366)</f>
        <v>6373312</v>
      </c>
      <c r="GKG366" s="919" t="s">
        <v>1839</v>
      </c>
      <c r="GKH366" s="1643" t="s">
        <v>1840</v>
      </c>
      <c r="GKI366" s="1648">
        <v>603740</v>
      </c>
      <c r="GKJ366" s="1648">
        <v>515055</v>
      </c>
      <c r="GKK366" s="1648">
        <v>530271</v>
      </c>
      <c r="GKL366" s="1648">
        <v>212051</v>
      </c>
      <c r="GKM366" s="1648">
        <v>131147</v>
      </c>
      <c r="GKN366" s="1648">
        <v>101889</v>
      </c>
      <c r="GKO366" s="1648">
        <v>453326</v>
      </c>
      <c r="GKP366" s="1648">
        <v>298813</v>
      </c>
      <c r="GKQ366" s="1648">
        <v>605808</v>
      </c>
      <c r="GKR366" s="1648">
        <v>847471</v>
      </c>
      <c r="GKS366" s="1648">
        <v>1070054</v>
      </c>
      <c r="GKT366" s="1648">
        <v>1003687</v>
      </c>
      <c r="GKU366" s="635">
        <v>6373312</v>
      </c>
      <c r="GKV366" s="633">
        <f>SUM(GKI366:GKT366)</f>
        <v>6373312</v>
      </c>
      <c r="GKW366" s="919" t="s">
        <v>1839</v>
      </c>
      <c r="GKX366" s="1643" t="s">
        <v>1840</v>
      </c>
      <c r="GKY366" s="1648">
        <v>603740</v>
      </c>
      <c r="GKZ366" s="1648">
        <v>515055</v>
      </c>
      <c r="GLA366" s="1648">
        <v>530271</v>
      </c>
      <c r="GLB366" s="1648">
        <v>212051</v>
      </c>
      <c r="GLC366" s="1648">
        <v>131147</v>
      </c>
      <c r="GLD366" s="1648">
        <v>101889</v>
      </c>
      <c r="GLE366" s="1648">
        <v>453326</v>
      </c>
      <c r="GLF366" s="1648">
        <v>298813</v>
      </c>
      <c r="GLG366" s="1648">
        <v>605808</v>
      </c>
      <c r="GLH366" s="1648">
        <v>847471</v>
      </c>
      <c r="GLI366" s="1648">
        <v>1070054</v>
      </c>
      <c r="GLJ366" s="1648">
        <v>1003687</v>
      </c>
      <c r="GLK366" s="635">
        <v>6373312</v>
      </c>
      <c r="GLL366" s="633">
        <f>SUM(GKY366:GLJ366)</f>
        <v>6373312</v>
      </c>
      <c r="GLM366" s="919" t="s">
        <v>1839</v>
      </c>
      <c r="GLN366" s="1643" t="s">
        <v>1840</v>
      </c>
      <c r="GLO366" s="1648">
        <v>603740</v>
      </c>
      <c r="GLP366" s="1648">
        <v>515055</v>
      </c>
      <c r="GLQ366" s="1648">
        <v>530271</v>
      </c>
      <c r="GLR366" s="1648">
        <v>212051</v>
      </c>
      <c r="GLS366" s="1648">
        <v>131147</v>
      </c>
      <c r="GLT366" s="1648">
        <v>101889</v>
      </c>
      <c r="GLU366" s="1648">
        <v>453326</v>
      </c>
      <c r="GLV366" s="1648">
        <v>298813</v>
      </c>
      <c r="GLW366" s="1648">
        <v>605808</v>
      </c>
      <c r="GLX366" s="1648">
        <v>847471</v>
      </c>
      <c r="GLY366" s="1648">
        <v>1070054</v>
      </c>
      <c r="GLZ366" s="1648">
        <v>1003687</v>
      </c>
      <c r="GMA366" s="635">
        <v>6373312</v>
      </c>
      <c r="GMB366" s="633">
        <f>SUM(GLO366:GLZ366)</f>
        <v>6373312</v>
      </c>
      <c r="GMC366" s="919" t="s">
        <v>1839</v>
      </c>
      <c r="GMD366" s="1643" t="s">
        <v>1840</v>
      </c>
      <c r="GME366" s="1648">
        <v>603740</v>
      </c>
      <c r="GMF366" s="1648">
        <v>515055</v>
      </c>
      <c r="GMG366" s="1648">
        <v>530271</v>
      </c>
      <c r="GMH366" s="1648">
        <v>212051</v>
      </c>
      <c r="GMI366" s="1648">
        <v>131147</v>
      </c>
      <c r="GMJ366" s="1648">
        <v>101889</v>
      </c>
      <c r="GMK366" s="1648">
        <v>453326</v>
      </c>
      <c r="GML366" s="1648">
        <v>298813</v>
      </c>
      <c r="GMM366" s="1648">
        <v>605808</v>
      </c>
      <c r="GMN366" s="1648">
        <v>847471</v>
      </c>
      <c r="GMO366" s="1648">
        <v>1070054</v>
      </c>
      <c r="GMP366" s="1648">
        <v>1003687</v>
      </c>
      <c r="GMQ366" s="635">
        <v>6373312</v>
      </c>
      <c r="GMR366" s="633">
        <f>SUM(GME366:GMP366)</f>
        <v>6373312</v>
      </c>
      <c r="GMS366" s="919" t="s">
        <v>1839</v>
      </c>
      <c r="GMT366" s="1643" t="s">
        <v>1840</v>
      </c>
      <c r="GMU366" s="1648">
        <v>603740</v>
      </c>
      <c r="GMV366" s="1648">
        <v>515055</v>
      </c>
      <c r="GMW366" s="1648">
        <v>530271</v>
      </c>
      <c r="GMX366" s="1648">
        <v>212051</v>
      </c>
      <c r="GMY366" s="1648">
        <v>131147</v>
      </c>
      <c r="GMZ366" s="1648">
        <v>101889</v>
      </c>
      <c r="GNA366" s="1648">
        <v>453326</v>
      </c>
      <c r="GNB366" s="1648">
        <v>298813</v>
      </c>
      <c r="GNC366" s="1648">
        <v>605808</v>
      </c>
      <c r="GND366" s="1648">
        <v>847471</v>
      </c>
      <c r="GNE366" s="1648">
        <v>1070054</v>
      </c>
      <c r="GNF366" s="1648">
        <v>1003687</v>
      </c>
      <c r="GNG366" s="635">
        <v>6373312</v>
      </c>
      <c r="GNH366" s="633">
        <f>SUM(GMU366:GNF366)</f>
        <v>6373312</v>
      </c>
      <c r="GNI366" s="919" t="s">
        <v>1839</v>
      </c>
      <c r="GNJ366" s="1643" t="s">
        <v>1840</v>
      </c>
      <c r="GNK366" s="1648">
        <v>603740</v>
      </c>
      <c r="GNL366" s="1648">
        <v>515055</v>
      </c>
      <c r="GNM366" s="1648">
        <v>530271</v>
      </c>
      <c r="GNN366" s="1648">
        <v>212051</v>
      </c>
      <c r="GNO366" s="1648">
        <v>131147</v>
      </c>
      <c r="GNP366" s="1648">
        <v>101889</v>
      </c>
      <c r="GNQ366" s="1648">
        <v>453326</v>
      </c>
      <c r="GNR366" s="1648">
        <v>298813</v>
      </c>
      <c r="GNS366" s="1648">
        <v>605808</v>
      </c>
      <c r="GNT366" s="1648">
        <v>847471</v>
      </c>
      <c r="GNU366" s="1648">
        <v>1070054</v>
      </c>
      <c r="GNV366" s="1648">
        <v>1003687</v>
      </c>
      <c r="GNW366" s="635">
        <v>6373312</v>
      </c>
      <c r="GNX366" s="633">
        <f>SUM(GNK366:GNV366)</f>
        <v>6373312</v>
      </c>
      <c r="GNY366" s="919" t="s">
        <v>1839</v>
      </c>
      <c r="GNZ366" s="1643" t="s">
        <v>1840</v>
      </c>
      <c r="GOA366" s="1648">
        <v>603740</v>
      </c>
      <c r="GOB366" s="1648">
        <v>515055</v>
      </c>
      <c r="GOC366" s="1648">
        <v>530271</v>
      </c>
      <c r="GOD366" s="1648">
        <v>212051</v>
      </c>
      <c r="GOE366" s="1648">
        <v>131147</v>
      </c>
      <c r="GOF366" s="1648">
        <v>101889</v>
      </c>
      <c r="GOG366" s="1648">
        <v>453326</v>
      </c>
      <c r="GOH366" s="1648">
        <v>298813</v>
      </c>
      <c r="GOI366" s="1648">
        <v>605808</v>
      </c>
      <c r="GOJ366" s="1648">
        <v>847471</v>
      </c>
      <c r="GOK366" s="1648">
        <v>1070054</v>
      </c>
      <c r="GOL366" s="1648">
        <v>1003687</v>
      </c>
      <c r="GOM366" s="635">
        <v>6373312</v>
      </c>
      <c r="GON366" s="633">
        <f>SUM(GOA366:GOL366)</f>
        <v>6373312</v>
      </c>
      <c r="GOO366" s="919" t="s">
        <v>1839</v>
      </c>
      <c r="GOP366" s="1643" t="s">
        <v>1840</v>
      </c>
      <c r="GOQ366" s="1648">
        <v>603740</v>
      </c>
      <c r="GOR366" s="1648">
        <v>515055</v>
      </c>
      <c r="GOS366" s="1648">
        <v>530271</v>
      </c>
      <c r="GOT366" s="1648">
        <v>212051</v>
      </c>
      <c r="GOU366" s="1648">
        <v>131147</v>
      </c>
      <c r="GOV366" s="1648">
        <v>101889</v>
      </c>
      <c r="GOW366" s="1648">
        <v>453326</v>
      </c>
      <c r="GOX366" s="1648">
        <v>298813</v>
      </c>
      <c r="GOY366" s="1648">
        <v>605808</v>
      </c>
      <c r="GOZ366" s="1648">
        <v>847471</v>
      </c>
      <c r="GPA366" s="1648">
        <v>1070054</v>
      </c>
      <c r="GPB366" s="1648">
        <v>1003687</v>
      </c>
      <c r="GPC366" s="635">
        <v>6373312</v>
      </c>
      <c r="GPD366" s="633">
        <f>SUM(GOQ366:GPB366)</f>
        <v>6373312</v>
      </c>
      <c r="GPE366" s="919" t="s">
        <v>1839</v>
      </c>
      <c r="GPF366" s="1643" t="s">
        <v>1840</v>
      </c>
      <c r="GPG366" s="1648">
        <v>603740</v>
      </c>
      <c r="GPH366" s="1648">
        <v>515055</v>
      </c>
      <c r="GPI366" s="1648">
        <v>530271</v>
      </c>
      <c r="GPJ366" s="1648">
        <v>212051</v>
      </c>
      <c r="GPK366" s="1648">
        <v>131147</v>
      </c>
      <c r="GPL366" s="1648">
        <v>101889</v>
      </c>
      <c r="GPM366" s="1648">
        <v>453326</v>
      </c>
      <c r="GPN366" s="1648">
        <v>298813</v>
      </c>
      <c r="GPO366" s="1648">
        <v>605808</v>
      </c>
      <c r="GPP366" s="1648">
        <v>847471</v>
      </c>
      <c r="GPQ366" s="1648">
        <v>1070054</v>
      </c>
      <c r="GPR366" s="1648">
        <v>1003687</v>
      </c>
      <c r="GPS366" s="635">
        <v>6373312</v>
      </c>
      <c r="GPT366" s="633">
        <f>SUM(GPG366:GPR366)</f>
        <v>6373312</v>
      </c>
      <c r="GPU366" s="919" t="s">
        <v>1839</v>
      </c>
      <c r="GPV366" s="1643" t="s">
        <v>1840</v>
      </c>
      <c r="GPW366" s="1648">
        <v>603740</v>
      </c>
      <c r="GPX366" s="1648">
        <v>515055</v>
      </c>
      <c r="GPY366" s="1648">
        <v>530271</v>
      </c>
      <c r="GPZ366" s="1648">
        <v>212051</v>
      </c>
      <c r="GQA366" s="1648">
        <v>131147</v>
      </c>
      <c r="GQB366" s="1648">
        <v>101889</v>
      </c>
      <c r="GQC366" s="1648">
        <v>453326</v>
      </c>
      <c r="GQD366" s="1648">
        <v>298813</v>
      </c>
      <c r="GQE366" s="1648">
        <v>605808</v>
      </c>
      <c r="GQF366" s="1648">
        <v>847471</v>
      </c>
      <c r="GQG366" s="1648">
        <v>1070054</v>
      </c>
      <c r="GQH366" s="1648">
        <v>1003687</v>
      </c>
      <c r="GQI366" s="635">
        <v>6373312</v>
      </c>
      <c r="GQJ366" s="633">
        <f>SUM(GPW366:GQH366)</f>
        <v>6373312</v>
      </c>
      <c r="GQK366" s="919" t="s">
        <v>1839</v>
      </c>
      <c r="GQL366" s="1643" t="s">
        <v>1840</v>
      </c>
      <c r="GQM366" s="1648">
        <v>603740</v>
      </c>
      <c r="GQN366" s="1648">
        <v>515055</v>
      </c>
      <c r="GQO366" s="1648">
        <v>530271</v>
      </c>
      <c r="GQP366" s="1648">
        <v>212051</v>
      </c>
      <c r="GQQ366" s="1648">
        <v>131147</v>
      </c>
      <c r="GQR366" s="1648">
        <v>101889</v>
      </c>
      <c r="GQS366" s="1648">
        <v>453326</v>
      </c>
      <c r="GQT366" s="1648">
        <v>298813</v>
      </c>
      <c r="GQU366" s="1648">
        <v>605808</v>
      </c>
      <c r="GQV366" s="1648">
        <v>847471</v>
      </c>
      <c r="GQW366" s="1648">
        <v>1070054</v>
      </c>
      <c r="GQX366" s="1648">
        <v>1003687</v>
      </c>
      <c r="GQY366" s="635">
        <v>6373312</v>
      </c>
      <c r="GQZ366" s="633">
        <f>SUM(GQM366:GQX366)</f>
        <v>6373312</v>
      </c>
      <c r="GRA366" s="919" t="s">
        <v>1839</v>
      </c>
      <c r="GRB366" s="1643" t="s">
        <v>1840</v>
      </c>
      <c r="GRC366" s="1648">
        <v>603740</v>
      </c>
      <c r="GRD366" s="1648">
        <v>515055</v>
      </c>
      <c r="GRE366" s="1648">
        <v>530271</v>
      </c>
      <c r="GRF366" s="1648">
        <v>212051</v>
      </c>
      <c r="GRG366" s="1648">
        <v>131147</v>
      </c>
      <c r="GRH366" s="1648">
        <v>101889</v>
      </c>
      <c r="GRI366" s="1648">
        <v>453326</v>
      </c>
      <c r="GRJ366" s="1648">
        <v>298813</v>
      </c>
      <c r="GRK366" s="1648">
        <v>605808</v>
      </c>
      <c r="GRL366" s="1648">
        <v>847471</v>
      </c>
      <c r="GRM366" s="1648">
        <v>1070054</v>
      </c>
      <c r="GRN366" s="1648">
        <v>1003687</v>
      </c>
      <c r="GRO366" s="635">
        <v>6373312</v>
      </c>
      <c r="GRP366" s="633">
        <f>SUM(GRC366:GRN366)</f>
        <v>6373312</v>
      </c>
      <c r="GRQ366" s="919" t="s">
        <v>1839</v>
      </c>
      <c r="GRR366" s="1643" t="s">
        <v>1840</v>
      </c>
      <c r="GRS366" s="1648">
        <v>603740</v>
      </c>
      <c r="GRT366" s="1648">
        <v>515055</v>
      </c>
      <c r="GRU366" s="1648">
        <v>530271</v>
      </c>
      <c r="GRV366" s="1648">
        <v>212051</v>
      </c>
      <c r="GRW366" s="1648">
        <v>131147</v>
      </c>
      <c r="GRX366" s="1648">
        <v>101889</v>
      </c>
      <c r="GRY366" s="1648">
        <v>453326</v>
      </c>
      <c r="GRZ366" s="1648">
        <v>298813</v>
      </c>
      <c r="GSA366" s="1648">
        <v>605808</v>
      </c>
      <c r="GSB366" s="1648">
        <v>847471</v>
      </c>
      <c r="GSC366" s="1648">
        <v>1070054</v>
      </c>
      <c r="GSD366" s="1648">
        <v>1003687</v>
      </c>
      <c r="GSE366" s="635">
        <v>6373312</v>
      </c>
      <c r="GSF366" s="633">
        <f>SUM(GRS366:GSD366)</f>
        <v>6373312</v>
      </c>
      <c r="GSG366" s="919" t="s">
        <v>1839</v>
      </c>
      <c r="GSH366" s="1643" t="s">
        <v>1840</v>
      </c>
      <c r="GSI366" s="1648">
        <v>603740</v>
      </c>
      <c r="GSJ366" s="1648">
        <v>515055</v>
      </c>
      <c r="GSK366" s="1648">
        <v>530271</v>
      </c>
      <c r="GSL366" s="1648">
        <v>212051</v>
      </c>
      <c r="GSM366" s="1648">
        <v>131147</v>
      </c>
      <c r="GSN366" s="1648">
        <v>101889</v>
      </c>
      <c r="GSO366" s="1648">
        <v>453326</v>
      </c>
      <c r="GSP366" s="1648">
        <v>298813</v>
      </c>
      <c r="GSQ366" s="1648">
        <v>605808</v>
      </c>
      <c r="GSR366" s="1648">
        <v>847471</v>
      </c>
      <c r="GSS366" s="1648">
        <v>1070054</v>
      </c>
      <c r="GST366" s="1648">
        <v>1003687</v>
      </c>
      <c r="GSU366" s="635">
        <v>6373312</v>
      </c>
      <c r="GSV366" s="633">
        <f>SUM(GSI366:GST366)</f>
        <v>6373312</v>
      </c>
      <c r="GSW366" s="919" t="s">
        <v>1839</v>
      </c>
      <c r="GSX366" s="1643" t="s">
        <v>1840</v>
      </c>
      <c r="GSY366" s="1648">
        <v>603740</v>
      </c>
      <c r="GSZ366" s="1648">
        <v>515055</v>
      </c>
      <c r="GTA366" s="1648">
        <v>530271</v>
      </c>
      <c r="GTB366" s="1648">
        <v>212051</v>
      </c>
      <c r="GTC366" s="1648">
        <v>131147</v>
      </c>
      <c r="GTD366" s="1648">
        <v>101889</v>
      </c>
      <c r="GTE366" s="1648">
        <v>453326</v>
      </c>
      <c r="GTF366" s="1648">
        <v>298813</v>
      </c>
      <c r="GTG366" s="1648">
        <v>605808</v>
      </c>
      <c r="GTH366" s="1648">
        <v>847471</v>
      </c>
      <c r="GTI366" s="1648">
        <v>1070054</v>
      </c>
      <c r="GTJ366" s="1648">
        <v>1003687</v>
      </c>
      <c r="GTK366" s="635">
        <v>6373312</v>
      </c>
      <c r="GTL366" s="633">
        <f>SUM(GSY366:GTJ366)</f>
        <v>6373312</v>
      </c>
      <c r="GTM366" s="919" t="s">
        <v>1839</v>
      </c>
      <c r="GTN366" s="1643" t="s">
        <v>1840</v>
      </c>
      <c r="GTO366" s="1648">
        <v>603740</v>
      </c>
      <c r="GTP366" s="1648">
        <v>515055</v>
      </c>
      <c r="GTQ366" s="1648">
        <v>530271</v>
      </c>
      <c r="GTR366" s="1648">
        <v>212051</v>
      </c>
      <c r="GTS366" s="1648">
        <v>131147</v>
      </c>
      <c r="GTT366" s="1648">
        <v>101889</v>
      </c>
      <c r="GTU366" s="1648">
        <v>453326</v>
      </c>
      <c r="GTV366" s="1648">
        <v>298813</v>
      </c>
      <c r="GTW366" s="1648">
        <v>605808</v>
      </c>
      <c r="GTX366" s="1648">
        <v>847471</v>
      </c>
      <c r="GTY366" s="1648">
        <v>1070054</v>
      </c>
      <c r="GTZ366" s="1648">
        <v>1003687</v>
      </c>
      <c r="GUA366" s="635">
        <v>6373312</v>
      </c>
      <c r="GUB366" s="633">
        <f>SUM(GTO366:GTZ366)</f>
        <v>6373312</v>
      </c>
      <c r="GUC366" s="919" t="s">
        <v>1839</v>
      </c>
      <c r="GUD366" s="1643" t="s">
        <v>1840</v>
      </c>
      <c r="GUE366" s="1648">
        <v>603740</v>
      </c>
      <c r="GUF366" s="1648">
        <v>515055</v>
      </c>
      <c r="GUG366" s="1648">
        <v>530271</v>
      </c>
      <c r="GUH366" s="1648">
        <v>212051</v>
      </c>
      <c r="GUI366" s="1648">
        <v>131147</v>
      </c>
      <c r="GUJ366" s="1648">
        <v>101889</v>
      </c>
      <c r="GUK366" s="1648">
        <v>453326</v>
      </c>
      <c r="GUL366" s="1648">
        <v>298813</v>
      </c>
      <c r="GUM366" s="1648">
        <v>605808</v>
      </c>
      <c r="GUN366" s="1648">
        <v>847471</v>
      </c>
      <c r="GUO366" s="1648">
        <v>1070054</v>
      </c>
      <c r="GUP366" s="1648">
        <v>1003687</v>
      </c>
      <c r="GUQ366" s="635">
        <v>6373312</v>
      </c>
      <c r="GUR366" s="633">
        <f>SUM(GUE366:GUP366)</f>
        <v>6373312</v>
      </c>
      <c r="GUS366" s="919" t="s">
        <v>1839</v>
      </c>
      <c r="GUT366" s="1643" t="s">
        <v>1840</v>
      </c>
      <c r="GUU366" s="1648">
        <v>603740</v>
      </c>
      <c r="GUV366" s="1648">
        <v>515055</v>
      </c>
      <c r="GUW366" s="1648">
        <v>530271</v>
      </c>
      <c r="GUX366" s="1648">
        <v>212051</v>
      </c>
      <c r="GUY366" s="1648">
        <v>131147</v>
      </c>
      <c r="GUZ366" s="1648">
        <v>101889</v>
      </c>
      <c r="GVA366" s="1648">
        <v>453326</v>
      </c>
      <c r="GVB366" s="1648">
        <v>298813</v>
      </c>
      <c r="GVC366" s="1648">
        <v>605808</v>
      </c>
      <c r="GVD366" s="1648">
        <v>847471</v>
      </c>
      <c r="GVE366" s="1648">
        <v>1070054</v>
      </c>
      <c r="GVF366" s="1648">
        <v>1003687</v>
      </c>
      <c r="GVG366" s="635">
        <v>6373312</v>
      </c>
      <c r="GVH366" s="633">
        <f>SUM(GUU366:GVF366)</f>
        <v>6373312</v>
      </c>
      <c r="GVI366" s="919" t="s">
        <v>1839</v>
      </c>
      <c r="GVJ366" s="1643" t="s">
        <v>1840</v>
      </c>
      <c r="GVK366" s="1648">
        <v>603740</v>
      </c>
      <c r="GVL366" s="1648">
        <v>515055</v>
      </c>
      <c r="GVM366" s="1648">
        <v>530271</v>
      </c>
      <c r="GVN366" s="1648">
        <v>212051</v>
      </c>
      <c r="GVO366" s="1648">
        <v>131147</v>
      </c>
      <c r="GVP366" s="1648">
        <v>101889</v>
      </c>
      <c r="GVQ366" s="1648">
        <v>453326</v>
      </c>
      <c r="GVR366" s="1648">
        <v>298813</v>
      </c>
      <c r="GVS366" s="1648">
        <v>605808</v>
      </c>
      <c r="GVT366" s="1648">
        <v>847471</v>
      </c>
      <c r="GVU366" s="1648">
        <v>1070054</v>
      </c>
      <c r="GVV366" s="1648">
        <v>1003687</v>
      </c>
      <c r="GVW366" s="635">
        <v>6373312</v>
      </c>
      <c r="GVX366" s="633">
        <f>SUM(GVK366:GVV366)</f>
        <v>6373312</v>
      </c>
      <c r="GVY366" s="919" t="s">
        <v>1839</v>
      </c>
      <c r="GVZ366" s="1643" t="s">
        <v>1840</v>
      </c>
      <c r="GWA366" s="1648">
        <v>603740</v>
      </c>
      <c r="GWB366" s="1648">
        <v>515055</v>
      </c>
      <c r="GWC366" s="1648">
        <v>530271</v>
      </c>
      <c r="GWD366" s="1648">
        <v>212051</v>
      </c>
      <c r="GWE366" s="1648">
        <v>131147</v>
      </c>
      <c r="GWF366" s="1648">
        <v>101889</v>
      </c>
      <c r="GWG366" s="1648">
        <v>453326</v>
      </c>
      <c r="GWH366" s="1648">
        <v>298813</v>
      </c>
      <c r="GWI366" s="1648">
        <v>605808</v>
      </c>
      <c r="GWJ366" s="1648">
        <v>847471</v>
      </c>
      <c r="GWK366" s="1648">
        <v>1070054</v>
      </c>
      <c r="GWL366" s="1648">
        <v>1003687</v>
      </c>
      <c r="GWM366" s="635">
        <v>6373312</v>
      </c>
      <c r="GWN366" s="633">
        <f>SUM(GWA366:GWL366)</f>
        <v>6373312</v>
      </c>
      <c r="GWO366" s="919" t="s">
        <v>1839</v>
      </c>
      <c r="GWP366" s="1643" t="s">
        <v>1840</v>
      </c>
      <c r="GWQ366" s="1648">
        <v>603740</v>
      </c>
      <c r="GWR366" s="1648">
        <v>515055</v>
      </c>
      <c r="GWS366" s="1648">
        <v>530271</v>
      </c>
      <c r="GWT366" s="1648">
        <v>212051</v>
      </c>
      <c r="GWU366" s="1648">
        <v>131147</v>
      </c>
      <c r="GWV366" s="1648">
        <v>101889</v>
      </c>
      <c r="GWW366" s="1648">
        <v>453326</v>
      </c>
      <c r="GWX366" s="1648">
        <v>298813</v>
      </c>
      <c r="GWY366" s="1648">
        <v>605808</v>
      </c>
      <c r="GWZ366" s="1648">
        <v>847471</v>
      </c>
      <c r="GXA366" s="1648">
        <v>1070054</v>
      </c>
      <c r="GXB366" s="1648">
        <v>1003687</v>
      </c>
      <c r="GXC366" s="635">
        <v>6373312</v>
      </c>
      <c r="GXD366" s="633">
        <f>SUM(GWQ366:GXB366)</f>
        <v>6373312</v>
      </c>
      <c r="GXE366" s="919" t="s">
        <v>1839</v>
      </c>
      <c r="GXF366" s="1643" t="s">
        <v>1840</v>
      </c>
      <c r="GXG366" s="1648">
        <v>603740</v>
      </c>
      <c r="GXH366" s="1648">
        <v>515055</v>
      </c>
      <c r="GXI366" s="1648">
        <v>530271</v>
      </c>
      <c r="GXJ366" s="1648">
        <v>212051</v>
      </c>
      <c r="GXK366" s="1648">
        <v>131147</v>
      </c>
      <c r="GXL366" s="1648">
        <v>101889</v>
      </c>
      <c r="GXM366" s="1648">
        <v>453326</v>
      </c>
      <c r="GXN366" s="1648">
        <v>298813</v>
      </c>
      <c r="GXO366" s="1648">
        <v>605808</v>
      </c>
      <c r="GXP366" s="1648">
        <v>847471</v>
      </c>
      <c r="GXQ366" s="1648">
        <v>1070054</v>
      </c>
      <c r="GXR366" s="1648">
        <v>1003687</v>
      </c>
      <c r="GXS366" s="635">
        <v>6373312</v>
      </c>
      <c r="GXT366" s="633">
        <f>SUM(GXG366:GXR366)</f>
        <v>6373312</v>
      </c>
      <c r="GXU366" s="919" t="s">
        <v>1839</v>
      </c>
      <c r="GXV366" s="1643" t="s">
        <v>1840</v>
      </c>
      <c r="GXW366" s="1648">
        <v>603740</v>
      </c>
      <c r="GXX366" s="1648">
        <v>515055</v>
      </c>
      <c r="GXY366" s="1648">
        <v>530271</v>
      </c>
      <c r="GXZ366" s="1648">
        <v>212051</v>
      </c>
      <c r="GYA366" s="1648">
        <v>131147</v>
      </c>
      <c r="GYB366" s="1648">
        <v>101889</v>
      </c>
      <c r="GYC366" s="1648">
        <v>453326</v>
      </c>
      <c r="GYD366" s="1648">
        <v>298813</v>
      </c>
      <c r="GYE366" s="1648">
        <v>605808</v>
      </c>
      <c r="GYF366" s="1648">
        <v>847471</v>
      </c>
      <c r="GYG366" s="1648">
        <v>1070054</v>
      </c>
      <c r="GYH366" s="1648">
        <v>1003687</v>
      </c>
      <c r="GYI366" s="635">
        <v>6373312</v>
      </c>
      <c r="GYJ366" s="633">
        <f>SUM(GXW366:GYH366)</f>
        <v>6373312</v>
      </c>
      <c r="GYK366" s="919" t="s">
        <v>1839</v>
      </c>
      <c r="GYL366" s="1643" t="s">
        <v>1840</v>
      </c>
      <c r="GYM366" s="1648">
        <v>603740</v>
      </c>
      <c r="GYN366" s="1648">
        <v>515055</v>
      </c>
      <c r="GYO366" s="1648">
        <v>530271</v>
      </c>
      <c r="GYP366" s="1648">
        <v>212051</v>
      </c>
      <c r="GYQ366" s="1648">
        <v>131147</v>
      </c>
      <c r="GYR366" s="1648">
        <v>101889</v>
      </c>
      <c r="GYS366" s="1648">
        <v>453326</v>
      </c>
      <c r="GYT366" s="1648">
        <v>298813</v>
      </c>
      <c r="GYU366" s="1648">
        <v>605808</v>
      </c>
      <c r="GYV366" s="1648">
        <v>847471</v>
      </c>
      <c r="GYW366" s="1648">
        <v>1070054</v>
      </c>
      <c r="GYX366" s="1648">
        <v>1003687</v>
      </c>
      <c r="GYY366" s="635">
        <v>6373312</v>
      </c>
      <c r="GYZ366" s="633">
        <f>SUM(GYM366:GYX366)</f>
        <v>6373312</v>
      </c>
      <c r="GZA366" s="919" t="s">
        <v>1839</v>
      </c>
      <c r="GZB366" s="1643" t="s">
        <v>1840</v>
      </c>
      <c r="GZC366" s="1648">
        <v>603740</v>
      </c>
      <c r="GZD366" s="1648">
        <v>515055</v>
      </c>
      <c r="GZE366" s="1648">
        <v>530271</v>
      </c>
      <c r="GZF366" s="1648">
        <v>212051</v>
      </c>
      <c r="GZG366" s="1648">
        <v>131147</v>
      </c>
      <c r="GZH366" s="1648">
        <v>101889</v>
      </c>
      <c r="GZI366" s="1648">
        <v>453326</v>
      </c>
      <c r="GZJ366" s="1648">
        <v>298813</v>
      </c>
      <c r="GZK366" s="1648">
        <v>605808</v>
      </c>
      <c r="GZL366" s="1648">
        <v>847471</v>
      </c>
      <c r="GZM366" s="1648">
        <v>1070054</v>
      </c>
      <c r="GZN366" s="1648">
        <v>1003687</v>
      </c>
      <c r="GZO366" s="635">
        <v>6373312</v>
      </c>
      <c r="GZP366" s="633">
        <f>SUM(GZC366:GZN366)</f>
        <v>6373312</v>
      </c>
      <c r="GZQ366" s="919" t="s">
        <v>1839</v>
      </c>
      <c r="GZR366" s="1643" t="s">
        <v>1840</v>
      </c>
      <c r="GZS366" s="1648">
        <v>603740</v>
      </c>
      <c r="GZT366" s="1648">
        <v>515055</v>
      </c>
      <c r="GZU366" s="1648">
        <v>530271</v>
      </c>
      <c r="GZV366" s="1648">
        <v>212051</v>
      </c>
      <c r="GZW366" s="1648">
        <v>131147</v>
      </c>
      <c r="GZX366" s="1648">
        <v>101889</v>
      </c>
      <c r="GZY366" s="1648">
        <v>453326</v>
      </c>
      <c r="GZZ366" s="1648">
        <v>298813</v>
      </c>
      <c r="HAA366" s="1648">
        <v>605808</v>
      </c>
      <c r="HAB366" s="1648">
        <v>847471</v>
      </c>
      <c r="HAC366" s="1648">
        <v>1070054</v>
      </c>
      <c r="HAD366" s="1648">
        <v>1003687</v>
      </c>
      <c r="HAE366" s="635">
        <v>6373312</v>
      </c>
      <c r="HAF366" s="633">
        <f>SUM(GZS366:HAD366)</f>
        <v>6373312</v>
      </c>
      <c r="HAG366" s="919" t="s">
        <v>1839</v>
      </c>
      <c r="HAH366" s="1643" t="s">
        <v>1840</v>
      </c>
      <c r="HAI366" s="1648">
        <v>603740</v>
      </c>
      <c r="HAJ366" s="1648">
        <v>515055</v>
      </c>
      <c r="HAK366" s="1648">
        <v>530271</v>
      </c>
      <c r="HAL366" s="1648">
        <v>212051</v>
      </c>
      <c r="HAM366" s="1648">
        <v>131147</v>
      </c>
      <c r="HAN366" s="1648">
        <v>101889</v>
      </c>
      <c r="HAO366" s="1648">
        <v>453326</v>
      </c>
      <c r="HAP366" s="1648">
        <v>298813</v>
      </c>
      <c r="HAQ366" s="1648">
        <v>605808</v>
      </c>
      <c r="HAR366" s="1648">
        <v>847471</v>
      </c>
      <c r="HAS366" s="1648">
        <v>1070054</v>
      </c>
      <c r="HAT366" s="1648">
        <v>1003687</v>
      </c>
      <c r="HAU366" s="635">
        <v>6373312</v>
      </c>
      <c r="HAV366" s="633">
        <f>SUM(HAI366:HAT366)</f>
        <v>6373312</v>
      </c>
      <c r="HAW366" s="919" t="s">
        <v>1839</v>
      </c>
      <c r="HAX366" s="1643" t="s">
        <v>1840</v>
      </c>
      <c r="HAY366" s="1648">
        <v>603740</v>
      </c>
      <c r="HAZ366" s="1648">
        <v>515055</v>
      </c>
      <c r="HBA366" s="1648">
        <v>530271</v>
      </c>
      <c r="HBB366" s="1648">
        <v>212051</v>
      </c>
      <c r="HBC366" s="1648">
        <v>131147</v>
      </c>
      <c r="HBD366" s="1648">
        <v>101889</v>
      </c>
      <c r="HBE366" s="1648">
        <v>453326</v>
      </c>
      <c r="HBF366" s="1648">
        <v>298813</v>
      </c>
      <c r="HBG366" s="1648">
        <v>605808</v>
      </c>
      <c r="HBH366" s="1648">
        <v>847471</v>
      </c>
      <c r="HBI366" s="1648">
        <v>1070054</v>
      </c>
      <c r="HBJ366" s="1648">
        <v>1003687</v>
      </c>
      <c r="HBK366" s="635">
        <v>6373312</v>
      </c>
      <c r="HBL366" s="633">
        <f>SUM(HAY366:HBJ366)</f>
        <v>6373312</v>
      </c>
      <c r="HBM366" s="919" t="s">
        <v>1839</v>
      </c>
      <c r="HBN366" s="1643" t="s">
        <v>1840</v>
      </c>
      <c r="HBO366" s="1648">
        <v>603740</v>
      </c>
      <c r="HBP366" s="1648">
        <v>515055</v>
      </c>
      <c r="HBQ366" s="1648">
        <v>530271</v>
      </c>
      <c r="HBR366" s="1648">
        <v>212051</v>
      </c>
      <c r="HBS366" s="1648">
        <v>131147</v>
      </c>
      <c r="HBT366" s="1648">
        <v>101889</v>
      </c>
      <c r="HBU366" s="1648">
        <v>453326</v>
      </c>
      <c r="HBV366" s="1648">
        <v>298813</v>
      </c>
      <c r="HBW366" s="1648">
        <v>605808</v>
      </c>
      <c r="HBX366" s="1648">
        <v>847471</v>
      </c>
      <c r="HBY366" s="1648">
        <v>1070054</v>
      </c>
      <c r="HBZ366" s="1648">
        <v>1003687</v>
      </c>
      <c r="HCA366" s="635">
        <v>6373312</v>
      </c>
      <c r="HCB366" s="633">
        <f>SUM(HBO366:HBZ366)</f>
        <v>6373312</v>
      </c>
      <c r="HCC366" s="919" t="s">
        <v>1839</v>
      </c>
      <c r="HCD366" s="1643" t="s">
        <v>1840</v>
      </c>
      <c r="HCE366" s="1648">
        <v>603740</v>
      </c>
      <c r="HCF366" s="1648">
        <v>515055</v>
      </c>
      <c r="HCG366" s="1648">
        <v>530271</v>
      </c>
      <c r="HCH366" s="1648">
        <v>212051</v>
      </c>
      <c r="HCI366" s="1648">
        <v>131147</v>
      </c>
      <c r="HCJ366" s="1648">
        <v>101889</v>
      </c>
      <c r="HCK366" s="1648">
        <v>453326</v>
      </c>
      <c r="HCL366" s="1648">
        <v>298813</v>
      </c>
      <c r="HCM366" s="1648">
        <v>605808</v>
      </c>
      <c r="HCN366" s="1648">
        <v>847471</v>
      </c>
      <c r="HCO366" s="1648">
        <v>1070054</v>
      </c>
      <c r="HCP366" s="1648">
        <v>1003687</v>
      </c>
      <c r="HCQ366" s="635">
        <v>6373312</v>
      </c>
      <c r="HCR366" s="633">
        <f>SUM(HCE366:HCP366)</f>
        <v>6373312</v>
      </c>
      <c r="HCS366" s="919" t="s">
        <v>1839</v>
      </c>
      <c r="HCT366" s="1643" t="s">
        <v>1840</v>
      </c>
      <c r="HCU366" s="1648">
        <v>603740</v>
      </c>
      <c r="HCV366" s="1648">
        <v>515055</v>
      </c>
      <c r="HCW366" s="1648">
        <v>530271</v>
      </c>
      <c r="HCX366" s="1648">
        <v>212051</v>
      </c>
      <c r="HCY366" s="1648">
        <v>131147</v>
      </c>
      <c r="HCZ366" s="1648">
        <v>101889</v>
      </c>
      <c r="HDA366" s="1648">
        <v>453326</v>
      </c>
      <c r="HDB366" s="1648">
        <v>298813</v>
      </c>
      <c r="HDC366" s="1648">
        <v>605808</v>
      </c>
      <c r="HDD366" s="1648">
        <v>847471</v>
      </c>
      <c r="HDE366" s="1648">
        <v>1070054</v>
      </c>
      <c r="HDF366" s="1648">
        <v>1003687</v>
      </c>
      <c r="HDG366" s="635">
        <v>6373312</v>
      </c>
      <c r="HDH366" s="633">
        <f>SUM(HCU366:HDF366)</f>
        <v>6373312</v>
      </c>
      <c r="HDI366" s="919" t="s">
        <v>1839</v>
      </c>
      <c r="HDJ366" s="1643" t="s">
        <v>1840</v>
      </c>
      <c r="HDK366" s="1648">
        <v>603740</v>
      </c>
      <c r="HDL366" s="1648">
        <v>515055</v>
      </c>
      <c r="HDM366" s="1648">
        <v>530271</v>
      </c>
      <c r="HDN366" s="1648">
        <v>212051</v>
      </c>
      <c r="HDO366" s="1648">
        <v>131147</v>
      </c>
      <c r="HDP366" s="1648">
        <v>101889</v>
      </c>
      <c r="HDQ366" s="1648">
        <v>453326</v>
      </c>
      <c r="HDR366" s="1648">
        <v>298813</v>
      </c>
      <c r="HDS366" s="1648">
        <v>605808</v>
      </c>
      <c r="HDT366" s="1648">
        <v>847471</v>
      </c>
      <c r="HDU366" s="1648">
        <v>1070054</v>
      </c>
      <c r="HDV366" s="1648">
        <v>1003687</v>
      </c>
      <c r="HDW366" s="635">
        <v>6373312</v>
      </c>
      <c r="HDX366" s="633">
        <f>SUM(HDK366:HDV366)</f>
        <v>6373312</v>
      </c>
      <c r="HDY366" s="919" t="s">
        <v>1839</v>
      </c>
      <c r="HDZ366" s="1643" t="s">
        <v>1840</v>
      </c>
      <c r="HEA366" s="1648">
        <v>603740</v>
      </c>
      <c r="HEB366" s="1648">
        <v>515055</v>
      </c>
      <c r="HEC366" s="1648">
        <v>530271</v>
      </c>
      <c r="HED366" s="1648">
        <v>212051</v>
      </c>
      <c r="HEE366" s="1648">
        <v>131147</v>
      </c>
      <c r="HEF366" s="1648">
        <v>101889</v>
      </c>
      <c r="HEG366" s="1648">
        <v>453326</v>
      </c>
      <c r="HEH366" s="1648">
        <v>298813</v>
      </c>
      <c r="HEI366" s="1648">
        <v>605808</v>
      </c>
      <c r="HEJ366" s="1648">
        <v>847471</v>
      </c>
      <c r="HEK366" s="1648">
        <v>1070054</v>
      </c>
      <c r="HEL366" s="1648">
        <v>1003687</v>
      </c>
      <c r="HEM366" s="635">
        <v>6373312</v>
      </c>
      <c r="HEN366" s="633">
        <f>SUM(HEA366:HEL366)</f>
        <v>6373312</v>
      </c>
      <c r="HEO366" s="919" t="s">
        <v>1839</v>
      </c>
      <c r="HEP366" s="1643" t="s">
        <v>1840</v>
      </c>
      <c r="HEQ366" s="1648">
        <v>603740</v>
      </c>
      <c r="HER366" s="1648">
        <v>515055</v>
      </c>
      <c r="HES366" s="1648">
        <v>530271</v>
      </c>
      <c r="HET366" s="1648">
        <v>212051</v>
      </c>
      <c r="HEU366" s="1648">
        <v>131147</v>
      </c>
      <c r="HEV366" s="1648">
        <v>101889</v>
      </c>
      <c r="HEW366" s="1648">
        <v>453326</v>
      </c>
      <c r="HEX366" s="1648">
        <v>298813</v>
      </c>
      <c r="HEY366" s="1648">
        <v>605808</v>
      </c>
      <c r="HEZ366" s="1648">
        <v>847471</v>
      </c>
      <c r="HFA366" s="1648">
        <v>1070054</v>
      </c>
      <c r="HFB366" s="1648">
        <v>1003687</v>
      </c>
      <c r="HFC366" s="635">
        <v>6373312</v>
      </c>
      <c r="HFD366" s="633">
        <f>SUM(HEQ366:HFB366)</f>
        <v>6373312</v>
      </c>
      <c r="HFE366" s="919" t="s">
        <v>1839</v>
      </c>
      <c r="HFF366" s="1643" t="s">
        <v>1840</v>
      </c>
      <c r="HFG366" s="1648">
        <v>603740</v>
      </c>
      <c r="HFH366" s="1648">
        <v>515055</v>
      </c>
      <c r="HFI366" s="1648">
        <v>530271</v>
      </c>
      <c r="HFJ366" s="1648">
        <v>212051</v>
      </c>
      <c r="HFK366" s="1648">
        <v>131147</v>
      </c>
      <c r="HFL366" s="1648">
        <v>101889</v>
      </c>
      <c r="HFM366" s="1648">
        <v>453326</v>
      </c>
      <c r="HFN366" s="1648">
        <v>298813</v>
      </c>
      <c r="HFO366" s="1648">
        <v>605808</v>
      </c>
      <c r="HFP366" s="1648">
        <v>847471</v>
      </c>
      <c r="HFQ366" s="1648">
        <v>1070054</v>
      </c>
      <c r="HFR366" s="1648">
        <v>1003687</v>
      </c>
      <c r="HFS366" s="635">
        <v>6373312</v>
      </c>
      <c r="HFT366" s="633">
        <f>SUM(HFG366:HFR366)</f>
        <v>6373312</v>
      </c>
      <c r="HFU366" s="919" t="s">
        <v>1839</v>
      </c>
      <c r="HFV366" s="1643" t="s">
        <v>1840</v>
      </c>
      <c r="HFW366" s="1648">
        <v>603740</v>
      </c>
      <c r="HFX366" s="1648">
        <v>515055</v>
      </c>
      <c r="HFY366" s="1648">
        <v>530271</v>
      </c>
      <c r="HFZ366" s="1648">
        <v>212051</v>
      </c>
      <c r="HGA366" s="1648">
        <v>131147</v>
      </c>
      <c r="HGB366" s="1648">
        <v>101889</v>
      </c>
      <c r="HGC366" s="1648">
        <v>453326</v>
      </c>
      <c r="HGD366" s="1648">
        <v>298813</v>
      </c>
      <c r="HGE366" s="1648">
        <v>605808</v>
      </c>
      <c r="HGF366" s="1648">
        <v>847471</v>
      </c>
      <c r="HGG366" s="1648">
        <v>1070054</v>
      </c>
      <c r="HGH366" s="1648">
        <v>1003687</v>
      </c>
      <c r="HGI366" s="635">
        <v>6373312</v>
      </c>
      <c r="HGJ366" s="633">
        <f>SUM(HFW366:HGH366)</f>
        <v>6373312</v>
      </c>
      <c r="HGK366" s="919" t="s">
        <v>1839</v>
      </c>
      <c r="HGL366" s="1643" t="s">
        <v>1840</v>
      </c>
      <c r="HGM366" s="1648">
        <v>603740</v>
      </c>
      <c r="HGN366" s="1648">
        <v>515055</v>
      </c>
      <c r="HGO366" s="1648">
        <v>530271</v>
      </c>
      <c r="HGP366" s="1648">
        <v>212051</v>
      </c>
      <c r="HGQ366" s="1648">
        <v>131147</v>
      </c>
      <c r="HGR366" s="1648">
        <v>101889</v>
      </c>
      <c r="HGS366" s="1648">
        <v>453326</v>
      </c>
      <c r="HGT366" s="1648">
        <v>298813</v>
      </c>
      <c r="HGU366" s="1648">
        <v>605808</v>
      </c>
      <c r="HGV366" s="1648">
        <v>847471</v>
      </c>
      <c r="HGW366" s="1648">
        <v>1070054</v>
      </c>
      <c r="HGX366" s="1648">
        <v>1003687</v>
      </c>
      <c r="HGY366" s="635">
        <v>6373312</v>
      </c>
      <c r="HGZ366" s="633">
        <f>SUM(HGM366:HGX366)</f>
        <v>6373312</v>
      </c>
      <c r="HHA366" s="919" t="s">
        <v>1839</v>
      </c>
      <c r="HHB366" s="1643" t="s">
        <v>1840</v>
      </c>
      <c r="HHC366" s="1648">
        <v>603740</v>
      </c>
      <c r="HHD366" s="1648">
        <v>515055</v>
      </c>
      <c r="HHE366" s="1648">
        <v>530271</v>
      </c>
      <c r="HHF366" s="1648">
        <v>212051</v>
      </c>
      <c r="HHG366" s="1648">
        <v>131147</v>
      </c>
      <c r="HHH366" s="1648">
        <v>101889</v>
      </c>
      <c r="HHI366" s="1648">
        <v>453326</v>
      </c>
      <c r="HHJ366" s="1648">
        <v>298813</v>
      </c>
      <c r="HHK366" s="1648">
        <v>605808</v>
      </c>
      <c r="HHL366" s="1648">
        <v>847471</v>
      </c>
      <c r="HHM366" s="1648">
        <v>1070054</v>
      </c>
      <c r="HHN366" s="1648">
        <v>1003687</v>
      </c>
      <c r="HHO366" s="635">
        <v>6373312</v>
      </c>
      <c r="HHP366" s="633">
        <f>SUM(HHC366:HHN366)</f>
        <v>6373312</v>
      </c>
      <c r="HHQ366" s="919" t="s">
        <v>1839</v>
      </c>
      <c r="HHR366" s="1643" t="s">
        <v>1840</v>
      </c>
      <c r="HHS366" s="1648">
        <v>603740</v>
      </c>
      <c r="HHT366" s="1648">
        <v>515055</v>
      </c>
      <c r="HHU366" s="1648">
        <v>530271</v>
      </c>
      <c r="HHV366" s="1648">
        <v>212051</v>
      </c>
      <c r="HHW366" s="1648">
        <v>131147</v>
      </c>
      <c r="HHX366" s="1648">
        <v>101889</v>
      </c>
      <c r="HHY366" s="1648">
        <v>453326</v>
      </c>
      <c r="HHZ366" s="1648">
        <v>298813</v>
      </c>
      <c r="HIA366" s="1648">
        <v>605808</v>
      </c>
      <c r="HIB366" s="1648">
        <v>847471</v>
      </c>
      <c r="HIC366" s="1648">
        <v>1070054</v>
      </c>
      <c r="HID366" s="1648">
        <v>1003687</v>
      </c>
      <c r="HIE366" s="635">
        <v>6373312</v>
      </c>
      <c r="HIF366" s="633">
        <f>SUM(HHS366:HID366)</f>
        <v>6373312</v>
      </c>
      <c r="HIG366" s="919" t="s">
        <v>1839</v>
      </c>
      <c r="HIH366" s="1643" t="s">
        <v>1840</v>
      </c>
      <c r="HII366" s="1648">
        <v>603740</v>
      </c>
      <c r="HIJ366" s="1648">
        <v>515055</v>
      </c>
      <c r="HIK366" s="1648">
        <v>530271</v>
      </c>
      <c r="HIL366" s="1648">
        <v>212051</v>
      </c>
      <c r="HIM366" s="1648">
        <v>131147</v>
      </c>
      <c r="HIN366" s="1648">
        <v>101889</v>
      </c>
      <c r="HIO366" s="1648">
        <v>453326</v>
      </c>
      <c r="HIP366" s="1648">
        <v>298813</v>
      </c>
      <c r="HIQ366" s="1648">
        <v>605808</v>
      </c>
      <c r="HIR366" s="1648">
        <v>847471</v>
      </c>
      <c r="HIS366" s="1648">
        <v>1070054</v>
      </c>
      <c r="HIT366" s="1648">
        <v>1003687</v>
      </c>
      <c r="HIU366" s="635">
        <v>6373312</v>
      </c>
      <c r="HIV366" s="633">
        <f>SUM(HII366:HIT366)</f>
        <v>6373312</v>
      </c>
      <c r="HIW366" s="919" t="s">
        <v>1839</v>
      </c>
      <c r="HIX366" s="1643" t="s">
        <v>1840</v>
      </c>
      <c r="HIY366" s="1648">
        <v>603740</v>
      </c>
      <c r="HIZ366" s="1648">
        <v>515055</v>
      </c>
      <c r="HJA366" s="1648">
        <v>530271</v>
      </c>
      <c r="HJB366" s="1648">
        <v>212051</v>
      </c>
      <c r="HJC366" s="1648">
        <v>131147</v>
      </c>
      <c r="HJD366" s="1648">
        <v>101889</v>
      </c>
      <c r="HJE366" s="1648">
        <v>453326</v>
      </c>
      <c r="HJF366" s="1648">
        <v>298813</v>
      </c>
      <c r="HJG366" s="1648">
        <v>605808</v>
      </c>
      <c r="HJH366" s="1648">
        <v>847471</v>
      </c>
      <c r="HJI366" s="1648">
        <v>1070054</v>
      </c>
      <c r="HJJ366" s="1648">
        <v>1003687</v>
      </c>
      <c r="HJK366" s="635">
        <v>6373312</v>
      </c>
      <c r="HJL366" s="633">
        <f>SUM(HIY366:HJJ366)</f>
        <v>6373312</v>
      </c>
      <c r="HJM366" s="919" t="s">
        <v>1839</v>
      </c>
      <c r="HJN366" s="1643" t="s">
        <v>1840</v>
      </c>
      <c r="HJO366" s="1648">
        <v>603740</v>
      </c>
      <c r="HJP366" s="1648">
        <v>515055</v>
      </c>
      <c r="HJQ366" s="1648">
        <v>530271</v>
      </c>
      <c r="HJR366" s="1648">
        <v>212051</v>
      </c>
      <c r="HJS366" s="1648">
        <v>131147</v>
      </c>
      <c r="HJT366" s="1648">
        <v>101889</v>
      </c>
      <c r="HJU366" s="1648">
        <v>453326</v>
      </c>
      <c r="HJV366" s="1648">
        <v>298813</v>
      </c>
      <c r="HJW366" s="1648">
        <v>605808</v>
      </c>
      <c r="HJX366" s="1648">
        <v>847471</v>
      </c>
      <c r="HJY366" s="1648">
        <v>1070054</v>
      </c>
      <c r="HJZ366" s="1648">
        <v>1003687</v>
      </c>
      <c r="HKA366" s="635">
        <v>6373312</v>
      </c>
      <c r="HKB366" s="633">
        <f>SUM(HJO366:HJZ366)</f>
        <v>6373312</v>
      </c>
      <c r="HKC366" s="919" t="s">
        <v>1839</v>
      </c>
      <c r="HKD366" s="1643" t="s">
        <v>1840</v>
      </c>
      <c r="HKE366" s="1648">
        <v>603740</v>
      </c>
      <c r="HKF366" s="1648">
        <v>515055</v>
      </c>
      <c r="HKG366" s="1648">
        <v>530271</v>
      </c>
      <c r="HKH366" s="1648">
        <v>212051</v>
      </c>
      <c r="HKI366" s="1648">
        <v>131147</v>
      </c>
      <c r="HKJ366" s="1648">
        <v>101889</v>
      </c>
      <c r="HKK366" s="1648">
        <v>453326</v>
      </c>
      <c r="HKL366" s="1648">
        <v>298813</v>
      </c>
      <c r="HKM366" s="1648">
        <v>605808</v>
      </c>
      <c r="HKN366" s="1648">
        <v>847471</v>
      </c>
      <c r="HKO366" s="1648">
        <v>1070054</v>
      </c>
      <c r="HKP366" s="1648">
        <v>1003687</v>
      </c>
      <c r="HKQ366" s="635">
        <v>6373312</v>
      </c>
      <c r="HKR366" s="633">
        <f>SUM(HKE366:HKP366)</f>
        <v>6373312</v>
      </c>
      <c r="HKS366" s="919" t="s">
        <v>1839</v>
      </c>
      <c r="HKT366" s="1643" t="s">
        <v>1840</v>
      </c>
      <c r="HKU366" s="1648">
        <v>603740</v>
      </c>
      <c r="HKV366" s="1648">
        <v>515055</v>
      </c>
      <c r="HKW366" s="1648">
        <v>530271</v>
      </c>
      <c r="HKX366" s="1648">
        <v>212051</v>
      </c>
      <c r="HKY366" s="1648">
        <v>131147</v>
      </c>
      <c r="HKZ366" s="1648">
        <v>101889</v>
      </c>
      <c r="HLA366" s="1648">
        <v>453326</v>
      </c>
      <c r="HLB366" s="1648">
        <v>298813</v>
      </c>
      <c r="HLC366" s="1648">
        <v>605808</v>
      </c>
      <c r="HLD366" s="1648">
        <v>847471</v>
      </c>
      <c r="HLE366" s="1648">
        <v>1070054</v>
      </c>
      <c r="HLF366" s="1648">
        <v>1003687</v>
      </c>
      <c r="HLG366" s="635">
        <v>6373312</v>
      </c>
      <c r="HLH366" s="633">
        <f>SUM(HKU366:HLF366)</f>
        <v>6373312</v>
      </c>
      <c r="HLI366" s="919" t="s">
        <v>1839</v>
      </c>
      <c r="HLJ366" s="1643" t="s">
        <v>1840</v>
      </c>
      <c r="HLK366" s="1648">
        <v>603740</v>
      </c>
      <c r="HLL366" s="1648">
        <v>515055</v>
      </c>
      <c r="HLM366" s="1648">
        <v>530271</v>
      </c>
      <c r="HLN366" s="1648">
        <v>212051</v>
      </c>
      <c r="HLO366" s="1648">
        <v>131147</v>
      </c>
      <c r="HLP366" s="1648">
        <v>101889</v>
      </c>
      <c r="HLQ366" s="1648">
        <v>453326</v>
      </c>
      <c r="HLR366" s="1648">
        <v>298813</v>
      </c>
      <c r="HLS366" s="1648">
        <v>605808</v>
      </c>
      <c r="HLT366" s="1648">
        <v>847471</v>
      </c>
      <c r="HLU366" s="1648">
        <v>1070054</v>
      </c>
      <c r="HLV366" s="1648">
        <v>1003687</v>
      </c>
      <c r="HLW366" s="635">
        <v>6373312</v>
      </c>
      <c r="HLX366" s="633">
        <f>SUM(HLK366:HLV366)</f>
        <v>6373312</v>
      </c>
      <c r="HLY366" s="919" t="s">
        <v>1839</v>
      </c>
      <c r="HLZ366" s="1643" t="s">
        <v>1840</v>
      </c>
      <c r="HMA366" s="1648">
        <v>603740</v>
      </c>
      <c r="HMB366" s="1648">
        <v>515055</v>
      </c>
      <c r="HMC366" s="1648">
        <v>530271</v>
      </c>
      <c r="HMD366" s="1648">
        <v>212051</v>
      </c>
      <c r="HME366" s="1648">
        <v>131147</v>
      </c>
      <c r="HMF366" s="1648">
        <v>101889</v>
      </c>
      <c r="HMG366" s="1648">
        <v>453326</v>
      </c>
      <c r="HMH366" s="1648">
        <v>298813</v>
      </c>
      <c r="HMI366" s="1648">
        <v>605808</v>
      </c>
      <c r="HMJ366" s="1648">
        <v>847471</v>
      </c>
      <c r="HMK366" s="1648">
        <v>1070054</v>
      </c>
      <c r="HML366" s="1648">
        <v>1003687</v>
      </c>
      <c r="HMM366" s="635">
        <v>6373312</v>
      </c>
      <c r="HMN366" s="633">
        <f>SUM(HMA366:HML366)</f>
        <v>6373312</v>
      </c>
      <c r="HMO366" s="919" t="s">
        <v>1839</v>
      </c>
      <c r="HMP366" s="1643" t="s">
        <v>1840</v>
      </c>
      <c r="HMQ366" s="1648">
        <v>603740</v>
      </c>
      <c r="HMR366" s="1648">
        <v>515055</v>
      </c>
      <c r="HMS366" s="1648">
        <v>530271</v>
      </c>
      <c r="HMT366" s="1648">
        <v>212051</v>
      </c>
      <c r="HMU366" s="1648">
        <v>131147</v>
      </c>
      <c r="HMV366" s="1648">
        <v>101889</v>
      </c>
      <c r="HMW366" s="1648">
        <v>453326</v>
      </c>
      <c r="HMX366" s="1648">
        <v>298813</v>
      </c>
      <c r="HMY366" s="1648">
        <v>605808</v>
      </c>
      <c r="HMZ366" s="1648">
        <v>847471</v>
      </c>
      <c r="HNA366" s="1648">
        <v>1070054</v>
      </c>
      <c r="HNB366" s="1648">
        <v>1003687</v>
      </c>
      <c r="HNC366" s="635">
        <v>6373312</v>
      </c>
      <c r="HND366" s="633">
        <f>SUM(HMQ366:HNB366)</f>
        <v>6373312</v>
      </c>
      <c r="HNE366" s="919" t="s">
        <v>1839</v>
      </c>
      <c r="HNF366" s="1643" t="s">
        <v>1840</v>
      </c>
      <c r="HNG366" s="1648">
        <v>603740</v>
      </c>
      <c r="HNH366" s="1648">
        <v>515055</v>
      </c>
      <c r="HNI366" s="1648">
        <v>530271</v>
      </c>
      <c r="HNJ366" s="1648">
        <v>212051</v>
      </c>
      <c r="HNK366" s="1648">
        <v>131147</v>
      </c>
      <c r="HNL366" s="1648">
        <v>101889</v>
      </c>
      <c r="HNM366" s="1648">
        <v>453326</v>
      </c>
      <c r="HNN366" s="1648">
        <v>298813</v>
      </c>
      <c r="HNO366" s="1648">
        <v>605808</v>
      </c>
      <c r="HNP366" s="1648">
        <v>847471</v>
      </c>
      <c r="HNQ366" s="1648">
        <v>1070054</v>
      </c>
      <c r="HNR366" s="1648">
        <v>1003687</v>
      </c>
      <c r="HNS366" s="635">
        <v>6373312</v>
      </c>
      <c r="HNT366" s="633">
        <f>SUM(HNG366:HNR366)</f>
        <v>6373312</v>
      </c>
      <c r="HNU366" s="919" t="s">
        <v>1839</v>
      </c>
      <c r="HNV366" s="1643" t="s">
        <v>1840</v>
      </c>
      <c r="HNW366" s="1648">
        <v>603740</v>
      </c>
      <c r="HNX366" s="1648">
        <v>515055</v>
      </c>
      <c r="HNY366" s="1648">
        <v>530271</v>
      </c>
      <c r="HNZ366" s="1648">
        <v>212051</v>
      </c>
      <c r="HOA366" s="1648">
        <v>131147</v>
      </c>
      <c r="HOB366" s="1648">
        <v>101889</v>
      </c>
      <c r="HOC366" s="1648">
        <v>453326</v>
      </c>
      <c r="HOD366" s="1648">
        <v>298813</v>
      </c>
      <c r="HOE366" s="1648">
        <v>605808</v>
      </c>
      <c r="HOF366" s="1648">
        <v>847471</v>
      </c>
      <c r="HOG366" s="1648">
        <v>1070054</v>
      </c>
      <c r="HOH366" s="1648">
        <v>1003687</v>
      </c>
      <c r="HOI366" s="635">
        <v>6373312</v>
      </c>
      <c r="HOJ366" s="633">
        <f>SUM(HNW366:HOH366)</f>
        <v>6373312</v>
      </c>
      <c r="HOK366" s="919" t="s">
        <v>1839</v>
      </c>
      <c r="HOL366" s="1643" t="s">
        <v>1840</v>
      </c>
      <c r="HOM366" s="1648">
        <v>603740</v>
      </c>
      <c r="HON366" s="1648">
        <v>515055</v>
      </c>
      <c r="HOO366" s="1648">
        <v>530271</v>
      </c>
      <c r="HOP366" s="1648">
        <v>212051</v>
      </c>
      <c r="HOQ366" s="1648">
        <v>131147</v>
      </c>
      <c r="HOR366" s="1648">
        <v>101889</v>
      </c>
      <c r="HOS366" s="1648">
        <v>453326</v>
      </c>
      <c r="HOT366" s="1648">
        <v>298813</v>
      </c>
      <c r="HOU366" s="1648">
        <v>605808</v>
      </c>
      <c r="HOV366" s="1648">
        <v>847471</v>
      </c>
      <c r="HOW366" s="1648">
        <v>1070054</v>
      </c>
      <c r="HOX366" s="1648">
        <v>1003687</v>
      </c>
      <c r="HOY366" s="635">
        <v>6373312</v>
      </c>
      <c r="HOZ366" s="633">
        <f>SUM(HOM366:HOX366)</f>
        <v>6373312</v>
      </c>
      <c r="HPA366" s="919" t="s">
        <v>1839</v>
      </c>
      <c r="HPB366" s="1643" t="s">
        <v>1840</v>
      </c>
      <c r="HPC366" s="1648">
        <v>603740</v>
      </c>
      <c r="HPD366" s="1648">
        <v>515055</v>
      </c>
      <c r="HPE366" s="1648">
        <v>530271</v>
      </c>
      <c r="HPF366" s="1648">
        <v>212051</v>
      </c>
      <c r="HPG366" s="1648">
        <v>131147</v>
      </c>
      <c r="HPH366" s="1648">
        <v>101889</v>
      </c>
      <c r="HPI366" s="1648">
        <v>453326</v>
      </c>
      <c r="HPJ366" s="1648">
        <v>298813</v>
      </c>
      <c r="HPK366" s="1648">
        <v>605808</v>
      </c>
      <c r="HPL366" s="1648">
        <v>847471</v>
      </c>
      <c r="HPM366" s="1648">
        <v>1070054</v>
      </c>
      <c r="HPN366" s="1648">
        <v>1003687</v>
      </c>
      <c r="HPO366" s="635">
        <v>6373312</v>
      </c>
      <c r="HPP366" s="633">
        <f>SUM(HPC366:HPN366)</f>
        <v>6373312</v>
      </c>
      <c r="HPQ366" s="919" t="s">
        <v>1839</v>
      </c>
      <c r="HPR366" s="1643" t="s">
        <v>1840</v>
      </c>
      <c r="HPS366" s="1648">
        <v>603740</v>
      </c>
      <c r="HPT366" s="1648">
        <v>515055</v>
      </c>
      <c r="HPU366" s="1648">
        <v>530271</v>
      </c>
      <c r="HPV366" s="1648">
        <v>212051</v>
      </c>
      <c r="HPW366" s="1648">
        <v>131147</v>
      </c>
      <c r="HPX366" s="1648">
        <v>101889</v>
      </c>
      <c r="HPY366" s="1648">
        <v>453326</v>
      </c>
      <c r="HPZ366" s="1648">
        <v>298813</v>
      </c>
      <c r="HQA366" s="1648">
        <v>605808</v>
      </c>
      <c r="HQB366" s="1648">
        <v>847471</v>
      </c>
      <c r="HQC366" s="1648">
        <v>1070054</v>
      </c>
      <c r="HQD366" s="1648">
        <v>1003687</v>
      </c>
      <c r="HQE366" s="635">
        <v>6373312</v>
      </c>
      <c r="HQF366" s="633">
        <f>SUM(HPS366:HQD366)</f>
        <v>6373312</v>
      </c>
      <c r="HQG366" s="919" t="s">
        <v>1839</v>
      </c>
      <c r="HQH366" s="1643" t="s">
        <v>1840</v>
      </c>
      <c r="HQI366" s="1648">
        <v>603740</v>
      </c>
      <c r="HQJ366" s="1648">
        <v>515055</v>
      </c>
      <c r="HQK366" s="1648">
        <v>530271</v>
      </c>
      <c r="HQL366" s="1648">
        <v>212051</v>
      </c>
      <c r="HQM366" s="1648">
        <v>131147</v>
      </c>
      <c r="HQN366" s="1648">
        <v>101889</v>
      </c>
      <c r="HQO366" s="1648">
        <v>453326</v>
      </c>
      <c r="HQP366" s="1648">
        <v>298813</v>
      </c>
      <c r="HQQ366" s="1648">
        <v>605808</v>
      </c>
      <c r="HQR366" s="1648">
        <v>847471</v>
      </c>
      <c r="HQS366" s="1648">
        <v>1070054</v>
      </c>
      <c r="HQT366" s="1648">
        <v>1003687</v>
      </c>
      <c r="HQU366" s="635">
        <v>6373312</v>
      </c>
      <c r="HQV366" s="633">
        <f>SUM(HQI366:HQT366)</f>
        <v>6373312</v>
      </c>
      <c r="HQW366" s="919" t="s">
        <v>1839</v>
      </c>
      <c r="HQX366" s="1643" t="s">
        <v>1840</v>
      </c>
      <c r="HQY366" s="1648">
        <v>603740</v>
      </c>
      <c r="HQZ366" s="1648">
        <v>515055</v>
      </c>
      <c r="HRA366" s="1648">
        <v>530271</v>
      </c>
      <c r="HRB366" s="1648">
        <v>212051</v>
      </c>
      <c r="HRC366" s="1648">
        <v>131147</v>
      </c>
      <c r="HRD366" s="1648">
        <v>101889</v>
      </c>
      <c r="HRE366" s="1648">
        <v>453326</v>
      </c>
      <c r="HRF366" s="1648">
        <v>298813</v>
      </c>
      <c r="HRG366" s="1648">
        <v>605808</v>
      </c>
      <c r="HRH366" s="1648">
        <v>847471</v>
      </c>
      <c r="HRI366" s="1648">
        <v>1070054</v>
      </c>
      <c r="HRJ366" s="1648">
        <v>1003687</v>
      </c>
      <c r="HRK366" s="635">
        <v>6373312</v>
      </c>
      <c r="HRL366" s="633">
        <f>SUM(HQY366:HRJ366)</f>
        <v>6373312</v>
      </c>
      <c r="HRM366" s="919" t="s">
        <v>1839</v>
      </c>
      <c r="HRN366" s="1643" t="s">
        <v>1840</v>
      </c>
      <c r="HRO366" s="1648">
        <v>603740</v>
      </c>
      <c r="HRP366" s="1648">
        <v>515055</v>
      </c>
      <c r="HRQ366" s="1648">
        <v>530271</v>
      </c>
      <c r="HRR366" s="1648">
        <v>212051</v>
      </c>
      <c r="HRS366" s="1648">
        <v>131147</v>
      </c>
      <c r="HRT366" s="1648">
        <v>101889</v>
      </c>
      <c r="HRU366" s="1648">
        <v>453326</v>
      </c>
      <c r="HRV366" s="1648">
        <v>298813</v>
      </c>
      <c r="HRW366" s="1648">
        <v>605808</v>
      </c>
      <c r="HRX366" s="1648">
        <v>847471</v>
      </c>
      <c r="HRY366" s="1648">
        <v>1070054</v>
      </c>
      <c r="HRZ366" s="1648">
        <v>1003687</v>
      </c>
      <c r="HSA366" s="635">
        <v>6373312</v>
      </c>
      <c r="HSB366" s="633">
        <f>SUM(HRO366:HRZ366)</f>
        <v>6373312</v>
      </c>
      <c r="HSC366" s="919" t="s">
        <v>1839</v>
      </c>
      <c r="HSD366" s="1643" t="s">
        <v>1840</v>
      </c>
      <c r="HSE366" s="1648">
        <v>603740</v>
      </c>
      <c r="HSF366" s="1648">
        <v>515055</v>
      </c>
      <c r="HSG366" s="1648">
        <v>530271</v>
      </c>
      <c r="HSH366" s="1648">
        <v>212051</v>
      </c>
      <c r="HSI366" s="1648">
        <v>131147</v>
      </c>
      <c r="HSJ366" s="1648">
        <v>101889</v>
      </c>
      <c r="HSK366" s="1648">
        <v>453326</v>
      </c>
      <c r="HSL366" s="1648">
        <v>298813</v>
      </c>
      <c r="HSM366" s="1648">
        <v>605808</v>
      </c>
      <c r="HSN366" s="1648">
        <v>847471</v>
      </c>
      <c r="HSO366" s="1648">
        <v>1070054</v>
      </c>
      <c r="HSP366" s="1648">
        <v>1003687</v>
      </c>
      <c r="HSQ366" s="635">
        <v>6373312</v>
      </c>
      <c r="HSR366" s="633">
        <f>SUM(HSE366:HSP366)</f>
        <v>6373312</v>
      </c>
      <c r="HSS366" s="919" t="s">
        <v>1839</v>
      </c>
      <c r="HST366" s="1643" t="s">
        <v>1840</v>
      </c>
      <c r="HSU366" s="1648">
        <v>603740</v>
      </c>
      <c r="HSV366" s="1648">
        <v>515055</v>
      </c>
      <c r="HSW366" s="1648">
        <v>530271</v>
      </c>
      <c r="HSX366" s="1648">
        <v>212051</v>
      </c>
      <c r="HSY366" s="1648">
        <v>131147</v>
      </c>
      <c r="HSZ366" s="1648">
        <v>101889</v>
      </c>
      <c r="HTA366" s="1648">
        <v>453326</v>
      </c>
      <c r="HTB366" s="1648">
        <v>298813</v>
      </c>
      <c r="HTC366" s="1648">
        <v>605808</v>
      </c>
      <c r="HTD366" s="1648">
        <v>847471</v>
      </c>
      <c r="HTE366" s="1648">
        <v>1070054</v>
      </c>
      <c r="HTF366" s="1648">
        <v>1003687</v>
      </c>
      <c r="HTG366" s="635">
        <v>6373312</v>
      </c>
      <c r="HTH366" s="633">
        <f>SUM(HSU366:HTF366)</f>
        <v>6373312</v>
      </c>
      <c r="HTI366" s="919" t="s">
        <v>1839</v>
      </c>
      <c r="HTJ366" s="1643" t="s">
        <v>1840</v>
      </c>
      <c r="HTK366" s="1648">
        <v>603740</v>
      </c>
      <c r="HTL366" s="1648">
        <v>515055</v>
      </c>
      <c r="HTM366" s="1648">
        <v>530271</v>
      </c>
      <c r="HTN366" s="1648">
        <v>212051</v>
      </c>
      <c r="HTO366" s="1648">
        <v>131147</v>
      </c>
      <c r="HTP366" s="1648">
        <v>101889</v>
      </c>
      <c r="HTQ366" s="1648">
        <v>453326</v>
      </c>
      <c r="HTR366" s="1648">
        <v>298813</v>
      </c>
      <c r="HTS366" s="1648">
        <v>605808</v>
      </c>
      <c r="HTT366" s="1648">
        <v>847471</v>
      </c>
      <c r="HTU366" s="1648">
        <v>1070054</v>
      </c>
      <c r="HTV366" s="1648">
        <v>1003687</v>
      </c>
      <c r="HTW366" s="635">
        <v>6373312</v>
      </c>
      <c r="HTX366" s="633">
        <f>SUM(HTK366:HTV366)</f>
        <v>6373312</v>
      </c>
      <c r="HTY366" s="919" t="s">
        <v>1839</v>
      </c>
      <c r="HTZ366" s="1643" t="s">
        <v>1840</v>
      </c>
      <c r="HUA366" s="1648">
        <v>603740</v>
      </c>
      <c r="HUB366" s="1648">
        <v>515055</v>
      </c>
      <c r="HUC366" s="1648">
        <v>530271</v>
      </c>
      <c r="HUD366" s="1648">
        <v>212051</v>
      </c>
      <c r="HUE366" s="1648">
        <v>131147</v>
      </c>
      <c r="HUF366" s="1648">
        <v>101889</v>
      </c>
      <c r="HUG366" s="1648">
        <v>453326</v>
      </c>
      <c r="HUH366" s="1648">
        <v>298813</v>
      </c>
      <c r="HUI366" s="1648">
        <v>605808</v>
      </c>
      <c r="HUJ366" s="1648">
        <v>847471</v>
      </c>
      <c r="HUK366" s="1648">
        <v>1070054</v>
      </c>
      <c r="HUL366" s="1648">
        <v>1003687</v>
      </c>
      <c r="HUM366" s="635">
        <v>6373312</v>
      </c>
      <c r="HUN366" s="633">
        <f>SUM(HUA366:HUL366)</f>
        <v>6373312</v>
      </c>
      <c r="HUO366" s="919" t="s">
        <v>1839</v>
      </c>
      <c r="HUP366" s="1643" t="s">
        <v>1840</v>
      </c>
      <c r="HUQ366" s="1648">
        <v>603740</v>
      </c>
      <c r="HUR366" s="1648">
        <v>515055</v>
      </c>
      <c r="HUS366" s="1648">
        <v>530271</v>
      </c>
      <c r="HUT366" s="1648">
        <v>212051</v>
      </c>
      <c r="HUU366" s="1648">
        <v>131147</v>
      </c>
      <c r="HUV366" s="1648">
        <v>101889</v>
      </c>
      <c r="HUW366" s="1648">
        <v>453326</v>
      </c>
      <c r="HUX366" s="1648">
        <v>298813</v>
      </c>
      <c r="HUY366" s="1648">
        <v>605808</v>
      </c>
      <c r="HUZ366" s="1648">
        <v>847471</v>
      </c>
      <c r="HVA366" s="1648">
        <v>1070054</v>
      </c>
      <c r="HVB366" s="1648">
        <v>1003687</v>
      </c>
      <c r="HVC366" s="635">
        <v>6373312</v>
      </c>
      <c r="HVD366" s="633">
        <f>SUM(HUQ366:HVB366)</f>
        <v>6373312</v>
      </c>
      <c r="HVE366" s="919" t="s">
        <v>1839</v>
      </c>
      <c r="HVF366" s="1643" t="s">
        <v>1840</v>
      </c>
      <c r="HVG366" s="1648">
        <v>603740</v>
      </c>
      <c r="HVH366" s="1648">
        <v>515055</v>
      </c>
      <c r="HVI366" s="1648">
        <v>530271</v>
      </c>
      <c r="HVJ366" s="1648">
        <v>212051</v>
      </c>
      <c r="HVK366" s="1648">
        <v>131147</v>
      </c>
      <c r="HVL366" s="1648">
        <v>101889</v>
      </c>
      <c r="HVM366" s="1648">
        <v>453326</v>
      </c>
      <c r="HVN366" s="1648">
        <v>298813</v>
      </c>
      <c r="HVO366" s="1648">
        <v>605808</v>
      </c>
      <c r="HVP366" s="1648">
        <v>847471</v>
      </c>
      <c r="HVQ366" s="1648">
        <v>1070054</v>
      </c>
      <c r="HVR366" s="1648">
        <v>1003687</v>
      </c>
      <c r="HVS366" s="635">
        <v>6373312</v>
      </c>
      <c r="HVT366" s="633">
        <f>SUM(HVG366:HVR366)</f>
        <v>6373312</v>
      </c>
      <c r="HVU366" s="919" t="s">
        <v>1839</v>
      </c>
      <c r="HVV366" s="1643" t="s">
        <v>1840</v>
      </c>
      <c r="HVW366" s="1648">
        <v>603740</v>
      </c>
      <c r="HVX366" s="1648">
        <v>515055</v>
      </c>
      <c r="HVY366" s="1648">
        <v>530271</v>
      </c>
      <c r="HVZ366" s="1648">
        <v>212051</v>
      </c>
      <c r="HWA366" s="1648">
        <v>131147</v>
      </c>
      <c r="HWB366" s="1648">
        <v>101889</v>
      </c>
      <c r="HWC366" s="1648">
        <v>453326</v>
      </c>
      <c r="HWD366" s="1648">
        <v>298813</v>
      </c>
      <c r="HWE366" s="1648">
        <v>605808</v>
      </c>
      <c r="HWF366" s="1648">
        <v>847471</v>
      </c>
      <c r="HWG366" s="1648">
        <v>1070054</v>
      </c>
      <c r="HWH366" s="1648">
        <v>1003687</v>
      </c>
      <c r="HWI366" s="635">
        <v>6373312</v>
      </c>
      <c r="HWJ366" s="633">
        <f>SUM(HVW366:HWH366)</f>
        <v>6373312</v>
      </c>
      <c r="HWK366" s="919" t="s">
        <v>1839</v>
      </c>
      <c r="HWL366" s="1643" t="s">
        <v>1840</v>
      </c>
      <c r="HWM366" s="1648">
        <v>603740</v>
      </c>
      <c r="HWN366" s="1648">
        <v>515055</v>
      </c>
      <c r="HWO366" s="1648">
        <v>530271</v>
      </c>
      <c r="HWP366" s="1648">
        <v>212051</v>
      </c>
      <c r="HWQ366" s="1648">
        <v>131147</v>
      </c>
      <c r="HWR366" s="1648">
        <v>101889</v>
      </c>
      <c r="HWS366" s="1648">
        <v>453326</v>
      </c>
      <c r="HWT366" s="1648">
        <v>298813</v>
      </c>
      <c r="HWU366" s="1648">
        <v>605808</v>
      </c>
      <c r="HWV366" s="1648">
        <v>847471</v>
      </c>
      <c r="HWW366" s="1648">
        <v>1070054</v>
      </c>
      <c r="HWX366" s="1648">
        <v>1003687</v>
      </c>
      <c r="HWY366" s="635">
        <v>6373312</v>
      </c>
      <c r="HWZ366" s="633">
        <f>SUM(HWM366:HWX366)</f>
        <v>6373312</v>
      </c>
      <c r="HXA366" s="919" t="s">
        <v>1839</v>
      </c>
      <c r="HXB366" s="1643" t="s">
        <v>1840</v>
      </c>
      <c r="HXC366" s="1648">
        <v>603740</v>
      </c>
      <c r="HXD366" s="1648">
        <v>515055</v>
      </c>
      <c r="HXE366" s="1648">
        <v>530271</v>
      </c>
      <c r="HXF366" s="1648">
        <v>212051</v>
      </c>
      <c r="HXG366" s="1648">
        <v>131147</v>
      </c>
      <c r="HXH366" s="1648">
        <v>101889</v>
      </c>
      <c r="HXI366" s="1648">
        <v>453326</v>
      </c>
      <c r="HXJ366" s="1648">
        <v>298813</v>
      </c>
      <c r="HXK366" s="1648">
        <v>605808</v>
      </c>
      <c r="HXL366" s="1648">
        <v>847471</v>
      </c>
      <c r="HXM366" s="1648">
        <v>1070054</v>
      </c>
      <c r="HXN366" s="1648">
        <v>1003687</v>
      </c>
      <c r="HXO366" s="635">
        <v>6373312</v>
      </c>
      <c r="HXP366" s="633">
        <f>SUM(HXC366:HXN366)</f>
        <v>6373312</v>
      </c>
      <c r="HXQ366" s="919" t="s">
        <v>1839</v>
      </c>
      <c r="HXR366" s="1643" t="s">
        <v>1840</v>
      </c>
      <c r="HXS366" s="1648">
        <v>603740</v>
      </c>
      <c r="HXT366" s="1648">
        <v>515055</v>
      </c>
      <c r="HXU366" s="1648">
        <v>530271</v>
      </c>
      <c r="HXV366" s="1648">
        <v>212051</v>
      </c>
      <c r="HXW366" s="1648">
        <v>131147</v>
      </c>
      <c r="HXX366" s="1648">
        <v>101889</v>
      </c>
      <c r="HXY366" s="1648">
        <v>453326</v>
      </c>
      <c r="HXZ366" s="1648">
        <v>298813</v>
      </c>
      <c r="HYA366" s="1648">
        <v>605808</v>
      </c>
      <c r="HYB366" s="1648">
        <v>847471</v>
      </c>
      <c r="HYC366" s="1648">
        <v>1070054</v>
      </c>
      <c r="HYD366" s="1648">
        <v>1003687</v>
      </c>
      <c r="HYE366" s="635">
        <v>6373312</v>
      </c>
      <c r="HYF366" s="633">
        <f>SUM(HXS366:HYD366)</f>
        <v>6373312</v>
      </c>
      <c r="HYG366" s="919" t="s">
        <v>1839</v>
      </c>
      <c r="HYH366" s="1643" t="s">
        <v>1840</v>
      </c>
      <c r="HYI366" s="1648">
        <v>603740</v>
      </c>
      <c r="HYJ366" s="1648">
        <v>515055</v>
      </c>
      <c r="HYK366" s="1648">
        <v>530271</v>
      </c>
      <c r="HYL366" s="1648">
        <v>212051</v>
      </c>
      <c r="HYM366" s="1648">
        <v>131147</v>
      </c>
      <c r="HYN366" s="1648">
        <v>101889</v>
      </c>
      <c r="HYO366" s="1648">
        <v>453326</v>
      </c>
      <c r="HYP366" s="1648">
        <v>298813</v>
      </c>
      <c r="HYQ366" s="1648">
        <v>605808</v>
      </c>
      <c r="HYR366" s="1648">
        <v>847471</v>
      </c>
      <c r="HYS366" s="1648">
        <v>1070054</v>
      </c>
      <c r="HYT366" s="1648">
        <v>1003687</v>
      </c>
      <c r="HYU366" s="635">
        <v>6373312</v>
      </c>
      <c r="HYV366" s="633">
        <f>SUM(HYI366:HYT366)</f>
        <v>6373312</v>
      </c>
      <c r="HYW366" s="919" t="s">
        <v>1839</v>
      </c>
      <c r="HYX366" s="1643" t="s">
        <v>1840</v>
      </c>
      <c r="HYY366" s="1648">
        <v>603740</v>
      </c>
      <c r="HYZ366" s="1648">
        <v>515055</v>
      </c>
      <c r="HZA366" s="1648">
        <v>530271</v>
      </c>
      <c r="HZB366" s="1648">
        <v>212051</v>
      </c>
      <c r="HZC366" s="1648">
        <v>131147</v>
      </c>
      <c r="HZD366" s="1648">
        <v>101889</v>
      </c>
      <c r="HZE366" s="1648">
        <v>453326</v>
      </c>
      <c r="HZF366" s="1648">
        <v>298813</v>
      </c>
      <c r="HZG366" s="1648">
        <v>605808</v>
      </c>
      <c r="HZH366" s="1648">
        <v>847471</v>
      </c>
      <c r="HZI366" s="1648">
        <v>1070054</v>
      </c>
      <c r="HZJ366" s="1648">
        <v>1003687</v>
      </c>
      <c r="HZK366" s="635">
        <v>6373312</v>
      </c>
      <c r="HZL366" s="633">
        <f>SUM(HYY366:HZJ366)</f>
        <v>6373312</v>
      </c>
      <c r="HZM366" s="919" t="s">
        <v>1839</v>
      </c>
      <c r="HZN366" s="1643" t="s">
        <v>1840</v>
      </c>
      <c r="HZO366" s="1648">
        <v>603740</v>
      </c>
      <c r="HZP366" s="1648">
        <v>515055</v>
      </c>
      <c r="HZQ366" s="1648">
        <v>530271</v>
      </c>
      <c r="HZR366" s="1648">
        <v>212051</v>
      </c>
      <c r="HZS366" s="1648">
        <v>131147</v>
      </c>
      <c r="HZT366" s="1648">
        <v>101889</v>
      </c>
      <c r="HZU366" s="1648">
        <v>453326</v>
      </c>
      <c r="HZV366" s="1648">
        <v>298813</v>
      </c>
      <c r="HZW366" s="1648">
        <v>605808</v>
      </c>
      <c r="HZX366" s="1648">
        <v>847471</v>
      </c>
      <c r="HZY366" s="1648">
        <v>1070054</v>
      </c>
      <c r="HZZ366" s="1648">
        <v>1003687</v>
      </c>
      <c r="IAA366" s="635">
        <v>6373312</v>
      </c>
      <c r="IAB366" s="633">
        <f>SUM(HZO366:HZZ366)</f>
        <v>6373312</v>
      </c>
      <c r="IAC366" s="919" t="s">
        <v>1839</v>
      </c>
      <c r="IAD366" s="1643" t="s">
        <v>1840</v>
      </c>
      <c r="IAE366" s="1648">
        <v>603740</v>
      </c>
      <c r="IAF366" s="1648">
        <v>515055</v>
      </c>
      <c r="IAG366" s="1648">
        <v>530271</v>
      </c>
      <c r="IAH366" s="1648">
        <v>212051</v>
      </c>
      <c r="IAI366" s="1648">
        <v>131147</v>
      </c>
      <c r="IAJ366" s="1648">
        <v>101889</v>
      </c>
      <c r="IAK366" s="1648">
        <v>453326</v>
      </c>
      <c r="IAL366" s="1648">
        <v>298813</v>
      </c>
      <c r="IAM366" s="1648">
        <v>605808</v>
      </c>
      <c r="IAN366" s="1648">
        <v>847471</v>
      </c>
      <c r="IAO366" s="1648">
        <v>1070054</v>
      </c>
      <c r="IAP366" s="1648">
        <v>1003687</v>
      </c>
      <c r="IAQ366" s="635">
        <v>6373312</v>
      </c>
      <c r="IAR366" s="633">
        <f>SUM(IAE366:IAP366)</f>
        <v>6373312</v>
      </c>
      <c r="IAS366" s="919" t="s">
        <v>1839</v>
      </c>
      <c r="IAT366" s="1643" t="s">
        <v>1840</v>
      </c>
      <c r="IAU366" s="1648">
        <v>603740</v>
      </c>
      <c r="IAV366" s="1648">
        <v>515055</v>
      </c>
      <c r="IAW366" s="1648">
        <v>530271</v>
      </c>
      <c r="IAX366" s="1648">
        <v>212051</v>
      </c>
      <c r="IAY366" s="1648">
        <v>131147</v>
      </c>
      <c r="IAZ366" s="1648">
        <v>101889</v>
      </c>
      <c r="IBA366" s="1648">
        <v>453326</v>
      </c>
      <c r="IBB366" s="1648">
        <v>298813</v>
      </c>
      <c r="IBC366" s="1648">
        <v>605808</v>
      </c>
      <c r="IBD366" s="1648">
        <v>847471</v>
      </c>
      <c r="IBE366" s="1648">
        <v>1070054</v>
      </c>
      <c r="IBF366" s="1648">
        <v>1003687</v>
      </c>
      <c r="IBG366" s="635">
        <v>6373312</v>
      </c>
      <c r="IBH366" s="633">
        <f>SUM(IAU366:IBF366)</f>
        <v>6373312</v>
      </c>
      <c r="IBI366" s="919" t="s">
        <v>1839</v>
      </c>
      <c r="IBJ366" s="1643" t="s">
        <v>1840</v>
      </c>
      <c r="IBK366" s="1648">
        <v>603740</v>
      </c>
      <c r="IBL366" s="1648">
        <v>515055</v>
      </c>
      <c r="IBM366" s="1648">
        <v>530271</v>
      </c>
      <c r="IBN366" s="1648">
        <v>212051</v>
      </c>
      <c r="IBO366" s="1648">
        <v>131147</v>
      </c>
      <c r="IBP366" s="1648">
        <v>101889</v>
      </c>
      <c r="IBQ366" s="1648">
        <v>453326</v>
      </c>
      <c r="IBR366" s="1648">
        <v>298813</v>
      </c>
      <c r="IBS366" s="1648">
        <v>605808</v>
      </c>
      <c r="IBT366" s="1648">
        <v>847471</v>
      </c>
      <c r="IBU366" s="1648">
        <v>1070054</v>
      </c>
      <c r="IBV366" s="1648">
        <v>1003687</v>
      </c>
      <c r="IBW366" s="635">
        <v>6373312</v>
      </c>
      <c r="IBX366" s="633">
        <f>SUM(IBK366:IBV366)</f>
        <v>6373312</v>
      </c>
      <c r="IBY366" s="919" t="s">
        <v>1839</v>
      </c>
      <c r="IBZ366" s="1643" t="s">
        <v>1840</v>
      </c>
      <c r="ICA366" s="1648">
        <v>603740</v>
      </c>
      <c r="ICB366" s="1648">
        <v>515055</v>
      </c>
      <c r="ICC366" s="1648">
        <v>530271</v>
      </c>
      <c r="ICD366" s="1648">
        <v>212051</v>
      </c>
      <c r="ICE366" s="1648">
        <v>131147</v>
      </c>
      <c r="ICF366" s="1648">
        <v>101889</v>
      </c>
      <c r="ICG366" s="1648">
        <v>453326</v>
      </c>
      <c r="ICH366" s="1648">
        <v>298813</v>
      </c>
      <c r="ICI366" s="1648">
        <v>605808</v>
      </c>
      <c r="ICJ366" s="1648">
        <v>847471</v>
      </c>
      <c r="ICK366" s="1648">
        <v>1070054</v>
      </c>
      <c r="ICL366" s="1648">
        <v>1003687</v>
      </c>
      <c r="ICM366" s="635">
        <v>6373312</v>
      </c>
      <c r="ICN366" s="633">
        <f>SUM(ICA366:ICL366)</f>
        <v>6373312</v>
      </c>
      <c r="ICO366" s="919" t="s">
        <v>1839</v>
      </c>
      <c r="ICP366" s="1643" t="s">
        <v>1840</v>
      </c>
      <c r="ICQ366" s="1648">
        <v>603740</v>
      </c>
      <c r="ICR366" s="1648">
        <v>515055</v>
      </c>
      <c r="ICS366" s="1648">
        <v>530271</v>
      </c>
      <c r="ICT366" s="1648">
        <v>212051</v>
      </c>
      <c r="ICU366" s="1648">
        <v>131147</v>
      </c>
      <c r="ICV366" s="1648">
        <v>101889</v>
      </c>
      <c r="ICW366" s="1648">
        <v>453326</v>
      </c>
      <c r="ICX366" s="1648">
        <v>298813</v>
      </c>
      <c r="ICY366" s="1648">
        <v>605808</v>
      </c>
      <c r="ICZ366" s="1648">
        <v>847471</v>
      </c>
      <c r="IDA366" s="1648">
        <v>1070054</v>
      </c>
      <c r="IDB366" s="1648">
        <v>1003687</v>
      </c>
      <c r="IDC366" s="635">
        <v>6373312</v>
      </c>
      <c r="IDD366" s="633">
        <f>SUM(ICQ366:IDB366)</f>
        <v>6373312</v>
      </c>
      <c r="IDE366" s="919" t="s">
        <v>1839</v>
      </c>
      <c r="IDF366" s="1643" t="s">
        <v>1840</v>
      </c>
      <c r="IDG366" s="1648">
        <v>603740</v>
      </c>
      <c r="IDH366" s="1648">
        <v>515055</v>
      </c>
      <c r="IDI366" s="1648">
        <v>530271</v>
      </c>
      <c r="IDJ366" s="1648">
        <v>212051</v>
      </c>
      <c r="IDK366" s="1648">
        <v>131147</v>
      </c>
      <c r="IDL366" s="1648">
        <v>101889</v>
      </c>
      <c r="IDM366" s="1648">
        <v>453326</v>
      </c>
      <c r="IDN366" s="1648">
        <v>298813</v>
      </c>
      <c r="IDO366" s="1648">
        <v>605808</v>
      </c>
      <c r="IDP366" s="1648">
        <v>847471</v>
      </c>
      <c r="IDQ366" s="1648">
        <v>1070054</v>
      </c>
      <c r="IDR366" s="1648">
        <v>1003687</v>
      </c>
      <c r="IDS366" s="635">
        <v>6373312</v>
      </c>
      <c r="IDT366" s="633">
        <f>SUM(IDG366:IDR366)</f>
        <v>6373312</v>
      </c>
      <c r="IDU366" s="919" t="s">
        <v>1839</v>
      </c>
      <c r="IDV366" s="1643" t="s">
        <v>1840</v>
      </c>
      <c r="IDW366" s="1648">
        <v>603740</v>
      </c>
      <c r="IDX366" s="1648">
        <v>515055</v>
      </c>
      <c r="IDY366" s="1648">
        <v>530271</v>
      </c>
      <c r="IDZ366" s="1648">
        <v>212051</v>
      </c>
      <c r="IEA366" s="1648">
        <v>131147</v>
      </c>
      <c r="IEB366" s="1648">
        <v>101889</v>
      </c>
      <c r="IEC366" s="1648">
        <v>453326</v>
      </c>
      <c r="IED366" s="1648">
        <v>298813</v>
      </c>
      <c r="IEE366" s="1648">
        <v>605808</v>
      </c>
      <c r="IEF366" s="1648">
        <v>847471</v>
      </c>
      <c r="IEG366" s="1648">
        <v>1070054</v>
      </c>
      <c r="IEH366" s="1648">
        <v>1003687</v>
      </c>
      <c r="IEI366" s="635">
        <v>6373312</v>
      </c>
      <c r="IEJ366" s="633">
        <f>SUM(IDW366:IEH366)</f>
        <v>6373312</v>
      </c>
      <c r="IEK366" s="919" t="s">
        <v>1839</v>
      </c>
      <c r="IEL366" s="1643" t="s">
        <v>1840</v>
      </c>
      <c r="IEM366" s="1648">
        <v>603740</v>
      </c>
      <c r="IEN366" s="1648">
        <v>515055</v>
      </c>
      <c r="IEO366" s="1648">
        <v>530271</v>
      </c>
      <c r="IEP366" s="1648">
        <v>212051</v>
      </c>
      <c r="IEQ366" s="1648">
        <v>131147</v>
      </c>
      <c r="IER366" s="1648">
        <v>101889</v>
      </c>
      <c r="IES366" s="1648">
        <v>453326</v>
      </c>
      <c r="IET366" s="1648">
        <v>298813</v>
      </c>
      <c r="IEU366" s="1648">
        <v>605808</v>
      </c>
      <c r="IEV366" s="1648">
        <v>847471</v>
      </c>
      <c r="IEW366" s="1648">
        <v>1070054</v>
      </c>
      <c r="IEX366" s="1648">
        <v>1003687</v>
      </c>
      <c r="IEY366" s="635">
        <v>6373312</v>
      </c>
      <c r="IEZ366" s="633">
        <f>SUM(IEM366:IEX366)</f>
        <v>6373312</v>
      </c>
      <c r="IFA366" s="919" t="s">
        <v>1839</v>
      </c>
      <c r="IFB366" s="1643" t="s">
        <v>1840</v>
      </c>
      <c r="IFC366" s="1648">
        <v>603740</v>
      </c>
      <c r="IFD366" s="1648">
        <v>515055</v>
      </c>
      <c r="IFE366" s="1648">
        <v>530271</v>
      </c>
      <c r="IFF366" s="1648">
        <v>212051</v>
      </c>
      <c r="IFG366" s="1648">
        <v>131147</v>
      </c>
      <c r="IFH366" s="1648">
        <v>101889</v>
      </c>
      <c r="IFI366" s="1648">
        <v>453326</v>
      </c>
      <c r="IFJ366" s="1648">
        <v>298813</v>
      </c>
      <c r="IFK366" s="1648">
        <v>605808</v>
      </c>
      <c r="IFL366" s="1648">
        <v>847471</v>
      </c>
      <c r="IFM366" s="1648">
        <v>1070054</v>
      </c>
      <c r="IFN366" s="1648">
        <v>1003687</v>
      </c>
      <c r="IFO366" s="635">
        <v>6373312</v>
      </c>
      <c r="IFP366" s="633">
        <f>SUM(IFC366:IFN366)</f>
        <v>6373312</v>
      </c>
      <c r="IFQ366" s="919" t="s">
        <v>1839</v>
      </c>
      <c r="IFR366" s="1643" t="s">
        <v>1840</v>
      </c>
      <c r="IFS366" s="1648">
        <v>603740</v>
      </c>
      <c r="IFT366" s="1648">
        <v>515055</v>
      </c>
      <c r="IFU366" s="1648">
        <v>530271</v>
      </c>
      <c r="IFV366" s="1648">
        <v>212051</v>
      </c>
      <c r="IFW366" s="1648">
        <v>131147</v>
      </c>
      <c r="IFX366" s="1648">
        <v>101889</v>
      </c>
      <c r="IFY366" s="1648">
        <v>453326</v>
      </c>
      <c r="IFZ366" s="1648">
        <v>298813</v>
      </c>
      <c r="IGA366" s="1648">
        <v>605808</v>
      </c>
      <c r="IGB366" s="1648">
        <v>847471</v>
      </c>
      <c r="IGC366" s="1648">
        <v>1070054</v>
      </c>
      <c r="IGD366" s="1648">
        <v>1003687</v>
      </c>
      <c r="IGE366" s="635">
        <v>6373312</v>
      </c>
      <c r="IGF366" s="633">
        <f>SUM(IFS366:IGD366)</f>
        <v>6373312</v>
      </c>
      <c r="IGG366" s="919" t="s">
        <v>1839</v>
      </c>
      <c r="IGH366" s="1643" t="s">
        <v>1840</v>
      </c>
      <c r="IGI366" s="1648">
        <v>603740</v>
      </c>
      <c r="IGJ366" s="1648">
        <v>515055</v>
      </c>
      <c r="IGK366" s="1648">
        <v>530271</v>
      </c>
      <c r="IGL366" s="1648">
        <v>212051</v>
      </c>
      <c r="IGM366" s="1648">
        <v>131147</v>
      </c>
      <c r="IGN366" s="1648">
        <v>101889</v>
      </c>
      <c r="IGO366" s="1648">
        <v>453326</v>
      </c>
      <c r="IGP366" s="1648">
        <v>298813</v>
      </c>
      <c r="IGQ366" s="1648">
        <v>605808</v>
      </c>
      <c r="IGR366" s="1648">
        <v>847471</v>
      </c>
      <c r="IGS366" s="1648">
        <v>1070054</v>
      </c>
      <c r="IGT366" s="1648">
        <v>1003687</v>
      </c>
      <c r="IGU366" s="635">
        <v>6373312</v>
      </c>
      <c r="IGV366" s="633">
        <f>SUM(IGI366:IGT366)</f>
        <v>6373312</v>
      </c>
      <c r="IGW366" s="919" t="s">
        <v>1839</v>
      </c>
      <c r="IGX366" s="1643" t="s">
        <v>1840</v>
      </c>
      <c r="IGY366" s="1648">
        <v>603740</v>
      </c>
      <c r="IGZ366" s="1648">
        <v>515055</v>
      </c>
      <c r="IHA366" s="1648">
        <v>530271</v>
      </c>
      <c r="IHB366" s="1648">
        <v>212051</v>
      </c>
      <c r="IHC366" s="1648">
        <v>131147</v>
      </c>
      <c r="IHD366" s="1648">
        <v>101889</v>
      </c>
      <c r="IHE366" s="1648">
        <v>453326</v>
      </c>
      <c r="IHF366" s="1648">
        <v>298813</v>
      </c>
      <c r="IHG366" s="1648">
        <v>605808</v>
      </c>
      <c r="IHH366" s="1648">
        <v>847471</v>
      </c>
      <c r="IHI366" s="1648">
        <v>1070054</v>
      </c>
      <c r="IHJ366" s="1648">
        <v>1003687</v>
      </c>
      <c r="IHK366" s="635">
        <v>6373312</v>
      </c>
      <c r="IHL366" s="633">
        <f>SUM(IGY366:IHJ366)</f>
        <v>6373312</v>
      </c>
      <c r="IHM366" s="919" t="s">
        <v>1839</v>
      </c>
      <c r="IHN366" s="1643" t="s">
        <v>1840</v>
      </c>
      <c r="IHO366" s="1648">
        <v>603740</v>
      </c>
      <c r="IHP366" s="1648">
        <v>515055</v>
      </c>
      <c r="IHQ366" s="1648">
        <v>530271</v>
      </c>
      <c r="IHR366" s="1648">
        <v>212051</v>
      </c>
      <c r="IHS366" s="1648">
        <v>131147</v>
      </c>
      <c r="IHT366" s="1648">
        <v>101889</v>
      </c>
      <c r="IHU366" s="1648">
        <v>453326</v>
      </c>
      <c r="IHV366" s="1648">
        <v>298813</v>
      </c>
      <c r="IHW366" s="1648">
        <v>605808</v>
      </c>
      <c r="IHX366" s="1648">
        <v>847471</v>
      </c>
      <c r="IHY366" s="1648">
        <v>1070054</v>
      </c>
      <c r="IHZ366" s="1648">
        <v>1003687</v>
      </c>
      <c r="IIA366" s="635">
        <v>6373312</v>
      </c>
      <c r="IIB366" s="633">
        <f>SUM(IHO366:IHZ366)</f>
        <v>6373312</v>
      </c>
      <c r="IIC366" s="919" t="s">
        <v>1839</v>
      </c>
      <c r="IID366" s="1643" t="s">
        <v>1840</v>
      </c>
      <c r="IIE366" s="1648">
        <v>603740</v>
      </c>
      <c r="IIF366" s="1648">
        <v>515055</v>
      </c>
      <c r="IIG366" s="1648">
        <v>530271</v>
      </c>
      <c r="IIH366" s="1648">
        <v>212051</v>
      </c>
      <c r="III366" s="1648">
        <v>131147</v>
      </c>
      <c r="IIJ366" s="1648">
        <v>101889</v>
      </c>
      <c r="IIK366" s="1648">
        <v>453326</v>
      </c>
      <c r="IIL366" s="1648">
        <v>298813</v>
      </c>
      <c r="IIM366" s="1648">
        <v>605808</v>
      </c>
      <c r="IIN366" s="1648">
        <v>847471</v>
      </c>
      <c r="IIO366" s="1648">
        <v>1070054</v>
      </c>
      <c r="IIP366" s="1648">
        <v>1003687</v>
      </c>
      <c r="IIQ366" s="635">
        <v>6373312</v>
      </c>
      <c r="IIR366" s="633">
        <f>SUM(IIE366:IIP366)</f>
        <v>6373312</v>
      </c>
      <c r="IIS366" s="919" t="s">
        <v>1839</v>
      </c>
      <c r="IIT366" s="1643" t="s">
        <v>1840</v>
      </c>
      <c r="IIU366" s="1648">
        <v>603740</v>
      </c>
      <c r="IIV366" s="1648">
        <v>515055</v>
      </c>
      <c r="IIW366" s="1648">
        <v>530271</v>
      </c>
      <c r="IIX366" s="1648">
        <v>212051</v>
      </c>
      <c r="IIY366" s="1648">
        <v>131147</v>
      </c>
      <c r="IIZ366" s="1648">
        <v>101889</v>
      </c>
      <c r="IJA366" s="1648">
        <v>453326</v>
      </c>
      <c r="IJB366" s="1648">
        <v>298813</v>
      </c>
      <c r="IJC366" s="1648">
        <v>605808</v>
      </c>
      <c r="IJD366" s="1648">
        <v>847471</v>
      </c>
      <c r="IJE366" s="1648">
        <v>1070054</v>
      </c>
      <c r="IJF366" s="1648">
        <v>1003687</v>
      </c>
      <c r="IJG366" s="635">
        <v>6373312</v>
      </c>
      <c r="IJH366" s="633">
        <f>SUM(IIU366:IJF366)</f>
        <v>6373312</v>
      </c>
      <c r="IJI366" s="919" t="s">
        <v>1839</v>
      </c>
      <c r="IJJ366" s="1643" t="s">
        <v>1840</v>
      </c>
      <c r="IJK366" s="1648">
        <v>603740</v>
      </c>
      <c r="IJL366" s="1648">
        <v>515055</v>
      </c>
      <c r="IJM366" s="1648">
        <v>530271</v>
      </c>
      <c r="IJN366" s="1648">
        <v>212051</v>
      </c>
      <c r="IJO366" s="1648">
        <v>131147</v>
      </c>
      <c r="IJP366" s="1648">
        <v>101889</v>
      </c>
      <c r="IJQ366" s="1648">
        <v>453326</v>
      </c>
      <c r="IJR366" s="1648">
        <v>298813</v>
      </c>
      <c r="IJS366" s="1648">
        <v>605808</v>
      </c>
      <c r="IJT366" s="1648">
        <v>847471</v>
      </c>
      <c r="IJU366" s="1648">
        <v>1070054</v>
      </c>
      <c r="IJV366" s="1648">
        <v>1003687</v>
      </c>
      <c r="IJW366" s="635">
        <v>6373312</v>
      </c>
      <c r="IJX366" s="633">
        <f>SUM(IJK366:IJV366)</f>
        <v>6373312</v>
      </c>
      <c r="IJY366" s="919" t="s">
        <v>1839</v>
      </c>
      <c r="IJZ366" s="1643" t="s">
        <v>1840</v>
      </c>
      <c r="IKA366" s="1648">
        <v>603740</v>
      </c>
      <c r="IKB366" s="1648">
        <v>515055</v>
      </c>
      <c r="IKC366" s="1648">
        <v>530271</v>
      </c>
      <c r="IKD366" s="1648">
        <v>212051</v>
      </c>
      <c r="IKE366" s="1648">
        <v>131147</v>
      </c>
      <c r="IKF366" s="1648">
        <v>101889</v>
      </c>
      <c r="IKG366" s="1648">
        <v>453326</v>
      </c>
      <c r="IKH366" s="1648">
        <v>298813</v>
      </c>
      <c r="IKI366" s="1648">
        <v>605808</v>
      </c>
      <c r="IKJ366" s="1648">
        <v>847471</v>
      </c>
      <c r="IKK366" s="1648">
        <v>1070054</v>
      </c>
      <c r="IKL366" s="1648">
        <v>1003687</v>
      </c>
      <c r="IKM366" s="635">
        <v>6373312</v>
      </c>
      <c r="IKN366" s="633">
        <f>SUM(IKA366:IKL366)</f>
        <v>6373312</v>
      </c>
      <c r="IKO366" s="919" t="s">
        <v>1839</v>
      </c>
      <c r="IKP366" s="1643" t="s">
        <v>1840</v>
      </c>
      <c r="IKQ366" s="1648">
        <v>603740</v>
      </c>
      <c r="IKR366" s="1648">
        <v>515055</v>
      </c>
      <c r="IKS366" s="1648">
        <v>530271</v>
      </c>
      <c r="IKT366" s="1648">
        <v>212051</v>
      </c>
      <c r="IKU366" s="1648">
        <v>131147</v>
      </c>
      <c r="IKV366" s="1648">
        <v>101889</v>
      </c>
      <c r="IKW366" s="1648">
        <v>453326</v>
      </c>
      <c r="IKX366" s="1648">
        <v>298813</v>
      </c>
      <c r="IKY366" s="1648">
        <v>605808</v>
      </c>
      <c r="IKZ366" s="1648">
        <v>847471</v>
      </c>
      <c r="ILA366" s="1648">
        <v>1070054</v>
      </c>
      <c r="ILB366" s="1648">
        <v>1003687</v>
      </c>
      <c r="ILC366" s="635">
        <v>6373312</v>
      </c>
      <c r="ILD366" s="633">
        <f>SUM(IKQ366:ILB366)</f>
        <v>6373312</v>
      </c>
      <c r="ILE366" s="919" t="s">
        <v>1839</v>
      </c>
      <c r="ILF366" s="1643" t="s">
        <v>1840</v>
      </c>
      <c r="ILG366" s="1648">
        <v>603740</v>
      </c>
      <c r="ILH366" s="1648">
        <v>515055</v>
      </c>
      <c r="ILI366" s="1648">
        <v>530271</v>
      </c>
      <c r="ILJ366" s="1648">
        <v>212051</v>
      </c>
      <c r="ILK366" s="1648">
        <v>131147</v>
      </c>
      <c r="ILL366" s="1648">
        <v>101889</v>
      </c>
      <c r="ILM366" s="1648">
        <v>453326</v>
      </c>
      <c r="ILN366" s="1648">
        <v>298813</v>
      </c>
      <c r="ILO366" s="1648">
        <v>605808</v>
      </c>
      <c r="ILP366" s="1648">
        <v>847471</v>
      </c>
      <c r="ILQ366" s="1648">
        <v>1070054</v>
      </c>
      <c r="ILR366" s="1648">
        <v>1003687</v>
      </c>
      <c r="ILS366" s="635">
        <v>6373312</v>
      </c>
      <c r="ILT366" s="633">
        <f>SUM(ILG366:ILR366)</f>
        <v>6373312</v>
      </c>
      <c r="ILU366" s="919" t="s">
        <v>1839</v>
      </c>
      <c r="ILV366" s="1643" t="s">
        <v>1840</v>
      </c>
      <c r="ILW366" s="1648">
        <v>603740</v>
      </c>
      <c r="ILX366" s="1648">
        <v>515055</v>
      </c>
      <c r="ILY366" s="1648">
        <v>530271</v>
      </c>
      <c r="ILZ366" s="1648">
        <v>212051</v>
      </c>
      <c r="IMA366" s="1648">
        <v>131147</v>
      </c>
      <c r="IMB366" s="1648">
        <v>101889</v>
      </c>
      <c r="IMC366" s="1648">
        <v>453326</v>
      </c>
      <c r="IMD366" s="1648">
        <v>298813</v>
      </c>
      <c r="IME366" s="1648">
        <v>605808</v>
      </c>
      <c r="IMF366" s="1648">
        <v>847471</v>
      </c>
      <c r="IMG366" s="1648">
        <v>1070054</v>
      </c>
      <c r="IMH366" s="1648">
        <v>1003687</v>
      </c>
      <c r="IMI366" s="635">
        <v>6373312</v>
      </c>
      <c r="IMJ366" s="633">
        <f>SUM(ILW366:IMH366)</f>
        <v>6373312</v>
      </c>
      <c r="IMK366" s="919" t="s">
        <v>1839</v>
      </c>
      <c r="IML366" s="1643" t="s">
        <v>1840</v>
      </c>
      <c r="IMM366" s="1648">
        <v>603740</v>
      </c>
      <c r="IMN366" s="1648">
        <v>515055</v>
      </c>
      <c r="IMO366" s="1648">
        <v>530271</v>
      </c>
      <c r="IMP366" s="1648">
        <v>212051</v>
      </c>
      <c r="IMQ366" s="1648">
        <v>131147</v>
      </c>
      <c r="IMR366" s="1648">
        <v>101889</v>
      </c>
      <c r="IMS366" s="1648">
        <v>453326</v>
      </c>
      <c r="IMT366" s="1648">
        <v>298813</v>
      </c>
      <c r="IMU366" s="1648">
        <v>605808</v>
      </c>
      <c r="IMV366" s="1648">
        <v>847471</v>
      </c>
      <c r="IMW366" s="1648">
        <v>1070054</v>
      </c>
      <c r="IMX366" s="1648">
        <v>1003687</v>
      </c>
      <c r="IMY366" s="635">
        <v>6373312</v>
      </c>
      <c r="IMZ366" s="633">
        <f>SUM(IMM366:IMX366)</f>
        <v>6373312</v>
      </c>
      <c r="INA366" s="919" t="s">
        <v>1839</v>
      </c>
      <c r="INB366" s="1643" t="s">
        <v>1840</v>
      </c>
      <c r="INC366" s="1648">
        <v>603740</v>
      </c>
      <c r="IND366" s="1648">
        <v>515055</v>
      </c>
      <c r="INE366" s="1648">
        <v>530271</v>
      </c>
      <c r="INF366" s="1648">
        <v>212051</v>
      </c>
      <c r="ING366" s="1648">
        <v>131147</v>
      </c>
      <c r="INH366" s="1648">
        <v>101889</v>
      </c>
      <c r="INI366" s="1648">
        <v>453326</v>
      </c>
      <c r="INJ366" s="1648">
        <v>298813</v>
      </c>
      <c r="INK366" s="1648">
        <v>605808</v>
      </c>
      <c r="INL366" s="1648">
        <v>847471</v>
      </c>
      <c r="INM366" s="1648">
        <v>1070054</v>
      </c>
      <c r="INN366" s="1648">
        <v>1003687</v>
      </c>
      <c r="INO366" s="635">
        <v>6373312</v>
      </c>
      <c r="INP366" s="633">
        <f>SUM(INC366:INN366)</f>
        <v>6373312</v>
      </c>
      <c r="INQ366" s="919" t="s">
        <v>1839</v>
      </c>
      <c r="INR366" s="1643" t="s">
        <v>1840</v>
      </c>
      <c r="INS366" s="1648">
        <v>603740</v>
      </c>
      <c r="INT366" s="1648">
        <v>515055</v>
      </c>
      <c r="INU366" s="1648">
        <v>530271</v>
      </c>
      <c r="INV366" s="1648">
        <v>212051</v>
      </c>
      <c r="INW366" s="1648">
        <v>131147</v>
      </c>
      <c r="INX366" s="1648">
        <v>101889</v>
      </c>
      <c r="INY366" s="1648">
        <v>453326</v>
      </c>
      <c r="INZ366" s="1648">
        <v>298813</v>
      </c>
      <c r="IOA366" s="1648">
        <v>605808</v>
      </c>
      <c r="IOB366" s="1648">
        <v>847471</v>
      </c>
      <c r="IOC366" s="1648">
        <v>1070054</v>
      </c>
      <c r="IOD366" s="1648">
        <v>1003687</v>
      </c>
      <c r="IOE366" s="635">
        <v>6373312</v>
      </c>
      <c r="IOF366" s="633">
        <f>SUM(INS366:IOD366)</f>
        <v>6373312</v>
      </c>
      <c r="IOG366" s="919" t="s">
        <v>1839</v>
      </c>
      <c r="IOH366" s="1643" t="s">
        <v>1840</v>
      </c>
      <c r="IOI366" s="1648">
        <v>603740</v>
      </c>
      <c r="IOJ366" s="1648">
        <v>515055</v>
      </c>
      <c r="IOK366" s="1648">
        <v>530271</v>
      </c>
      <c r="IOL366" s="1648">
        <v>212051</v>
      </c>
      <c r="IOM366" s="1648">
        <v>131147</v>
      </c>
      <c r="ION366" s="1648">
        <v>101889</v>
      </c>
      <c r="IOO366" s="1648">
        <v>453326</v>
      </c>
      <c r="IOP366" s="1648">
        <v>298813</v>
      </c>
      <c r="IOQ366" s="1648">
        <v>605808</v>
      </c>
      <c r="IOR366" s="1648">
        <v>847471</v>
      </c>
      <c r="IOS366" s="1648">
        <v>1070054</v>
      </c>
      <c r="IOT366" s="1648">
        <v>1003687</v>
      </c>
      <c r="IOU366" s="635">
        <v>6373312</v>
      </c>
      <c r="IOV366" s="633">
        <f>SUM(IOI366:IOT366)</f>
        <v>6373312</v>
      </c>
      <c r="IOW366" s="919" t="s">
        <v>1839</v>
      </c>
      <c r="IOX366" s="1643" t="s">
        <v>1840</v>
      </c>
      <c r="IOY366" s="1648">
        <v>603740</v>
      </c>
      <c r="IOZ366" s="1648">
        <v>515055</v>
      </c>
      <c r="IPA366" s="1648">
        <v>530271</v>
      </c>
      <c r="IPB366" s="1648">
        <v>212051</v>
      </c>
      <c r="IPC366" s="1648">
        <v>131147</v>
      </c>
      <c r="IPD366" s="1648">
        <v>101889</v>
      </c>
      <c r="IPE366" s="1648">
        <v>453326</v>
      </c>
      <c r="IPF366" s="1648">
        <v>298813</v>
      </c>
      <c r="IPG366" s="1648">
        <v>605808</v>
      </c>
      <c r="IPH366" s="1648">
        <v>847471</v>
      </c>
      <c r="IPI366" s="1648">
        <v>1070054</v>
      </c>
      <c r="IPJ366" s="1648">
        <v>1003687</v>
      </c>
      <c r="IPK366" s="635">
        <v>6373312</v>
      </c>
      <c r="IPL366" s="633">
        <f>SUM(IOY366:IPJ366)</f>
        <v>6373312</v>
      </c>
      <c r="IPM366" s="919" t="s">
        <v>1839</v>
      </c>
      <c r="IPN366" s="1643" t="s">
        <v>1840</v>
      </c>
      <c r="IPO366" s="1648">
        <v>603740</v>
      </c>
      <c r="IPP366" s="1648">
        <v>515055</v>
      </c>
      <c r="IPQ366" s="1648">
        <v>530271</v>
      </c>
      <c r="IPR366" s="1648">
        <v>212051</v>
      </c>
      <c r="IPS366" s="1648">
        <v>131147</v>
      </c>
      <c r="IPT366" s="1648">
        <v>101889</v>
      </c>
      <c r="IPU366" s="1648">
        <v>453326</v>
      </c>
      <c r="IPV366" s="1648">
        <v>298813</v>
      </c>
      <c r="IPW366" s="1648">
        <v>605808</v>
      </c>
      <c r="IPX366" s="1648">
        <v>847471</v>
      </c>
      <c r="IPY366" s="1648">
        <v>1070054</v>
      </c>
      <c r="IPZ366" s="1648">
        <v>1003687</v>
      </c>
      <c r="IQA366" s="635">
        <v>6373312</v>
      </c>
      <c r="IQB366" s="633">
        <f>SUM(IPO366:IPZ366)</f>
        <v>6373312</v>
      </c>
      <c r="IQC366" s="919" t="s">
        <v>1839</v>
      </c>
      <c r="IQD366" s="1643" t="s">
        <v>1840</v>
      </c>
      <c r="IQE366" s="1648">
        <v>603740</v>
      </c>
      <c r="IQF366" s="1648">
        <v>515055</v>
      </c>
      <c r="IQG366" s="1648">
        <v>530271</v>
      </c>
      <c r="IQH366" s="1648">
        <v>212051</v>
      </c>
      <c r="IQI366" s="1648">
        <v>131147</v>
      </c>
      <c r="IQJ366" s="1648">
        <v>101889</v>
      </c>
      <c r="IQK366" s="1648">
        <v>453326</v>
      </c>
      <c r="IQL366" s="1648">
        <v>298813</v>
      </c>
      <c r="IQM366" s="1648">
        <v>605808</v>
      </c>
      <c r="IQN366" s="1648">
        <v>847471</v>
      </c>
      <c r="IQO366" s="1648">
        <v>1070054</v>
      </c>
      <c r="IQP366" s="1648">
        <v>1003687</v>
      </c>
      <c r="IQQ366" s="635">
        <v>6373312</v>
      </c>
      <c r="IQR366" s="633">
        <f>SUM(IQE366:IQP366)</f>
        <v>6373312</v>
      </c>
      <c r="IQS366" s="919" t="s">
        <v>1839</v>
      </c>
      <c r="IQT366" s="1643" t="s">
        <v>1840</v>
      </c>
      <c r="IQU366" s="1648">
        <v>603740</v>
      </c>
      <c r="IQV366" s="1648">
        <v>515055</v>
      </c>
      <c r="IQW366" s="1648">
        <v>530271</v>
      </c>
      <c r="IQX366" s="1648">
        <v>212051</v>
      </c>
      <c r="IQY366" s="1648">
        <v>131147</v>
      </c>
      <c r="IQZ366" s="1648">
        <v>101889</v>
      </c>
      <c r="IRA366" s="1648">
        <v>453326</v>
      </c>
      <c r="IRB366" s="1648">
        <v>298813</v>
      </c>
      <c r="IRC366" s="1648">
        <v>605808</v>
      </c>
      <c r="IRD366" s="1648">
        <v>847471</v>
      </c>
      <c r="IRE366" s="1648">
        <v>1070054</v>
      </c>
      <c r="IRF366" s="1648">
        <v>1003687</v>
      </c>
      <c r="IRG366" s="635">
        <v>6373312</v>
      </c>
      <c r="IRH366" s="633">
        <f>SUM(IQU366:IRF366)</f>
        <v>6373312</v>
      </c>
      <c r="IRI366" s="919" t="s">
        <v>1839</v>
      </c>
      <c r="IRJ366" s="1643" t="s">
        <v>1840</v>
      </c>
      <c r="IRK366" s="1648">
        <v>603740</v>
      </c>
      <c r="IRL366" s="1648">
        <v>515055</v>
      </c>
      <c r="IRM366" s="1648">
        <v>530271</v>
      </c>
      <c r="IRN366" s="1648">
        <v>212051</v>
      </c>
      <c r="IRO366" s="1648">
        <v>131147</v>
      </c>
      <c r="IRP366" s="1648">
        <v>101889</v>
      </c>
      <c r="IRQ366" s="1648">
        <v>453326</v>
      </c>
      <c r="IRR366" s="1648">
        <v>298813</v>
      </c>
      <c r="IRS366" s="1648">
        <v>605808</v>
      </c>
      <c r="IRT366" s="1648">
        <v>847471</v>
      </c>
      <c r="IRU366" s="1648">
        <v>1070054</v>
      </c>
      <c r="IRV366" s="1648">
        <v>1003687</v>
      </c>
      <c r="IRW366" s="635">
        <v>6373312</v>
      </c>
      <c r="IRX366" s="633">
        <f>SUM(IRK366:IRV366)</f>
        <v>6373312</v>
      </c>
      <c r="IRY366" s="919" t="s">
        <v>1839</v>
      </c>
      <c r="IRZ366" s="1643" t="s">
        <v>1840</v>
      </c>
      <c r="ISA366" s="1648">
        <v>603740</v>
      </c>
      <c r="ISB366" s="1648">
        <v>515055</v>
      </c>
      <c r="ISC366" s="1648">
        <v>530271</v>
      </c>
      <c r="ISD366" s="1648">
        <v>212051</v>
      </c>
      <c r="ISE366" s="1648">
        <v>131147</v>
      </c>
      <c r="ISF366" s="1648">
        <v>101889</v>
      </c>
      <c r="ISG366" s="1648">
        <v>453326</v>
      </c>
      <c r="ISH366" s="1648">
        <v>298813</v>
      </c>
      <c r="ISI366" s="1648">
        <v>605808</v>
      </c>
      <c r="ISJ366" s="1648">
        <v>847471</v>
      </c>
      <c r="ISK366" s="1648">
        <v>1070054</v>
      </c>
      <c r="ISL366" s="1648">
        <v>1003687</v>
      </c>
      <c r="ISM366" s="635">
        <v>6373312</v>
      </c>
      <c r="ISN366" s="633">
        <f>SUM(ISA366:ISL366)</f>
        <v>6373312</v>
      </c>
      <c r="ISO366" s="919" t="s">
        <v>1839</v>
      </c>
      <c r="ISP366" s="1643" t="s">
        <v>1840</v>
      </c>
      <c r="ISQ366" s="1648">
        <v>603740</v>
      </c>
      <c r="ISR366" s="1648">
        <v>515055</v>
      </c>
      <c r="ISS366" s="1648">
        <v>530271</v>
      </c>
      <c r="IST366" s="1648">
        <v>212051</v>
      </c>
      <c r="ISU366" s="1648">
        <v>131147</v>
      </c>
      <c r="ISV366" s="1648">
        <v>101889</v>
      </c>
      <c r="ISW366" s="1648">
        <v>453326</v>
      </c>
      <c r="ISX366" s="1648">
        <v>298813</v>
      </c>
      <c r="ISY366" s="1648">
        <v>605808</v>
      </c>
      <c r="ISZ366" s="1648">
        <v>847471</v>
      </c>
      <c r="ITA366" s="1648">
        <v>1070054</v>
      </c>
      <c r="ITB366" s="1648">
        <v>1003687</v>
      </c>
      <c r="ITC366" s="635">
        <v>6373312</v>
      </c>
      <c r="ITD366" s="633">
        <f>SUM(ISQ366:ITB366)</f>
        <v>6373312</v>
      </c>
      <c r="ITE366" s="919" t="s">
        <v>1839</v>
      </c>
      <c r="ITF366" s="1643" t="s">
        <v>1840</v>
      </c>
      <c r="ITG366" s="1648">
        <v>603740</v>
      </c>
      <c r="ITH366" s="1648">
        <v>515055</v>
      </c>
      <c r="ITI366" s="1648">
        <v>530271</v>
      </c>
      <c r="ITJ366" s="1648">
        <v>212051</v>
      </c>
      <c r="ITK366" s="1648">
        <v>131147</v>
      </c>
      <c r="ITL366" s="1648">
        <v>101889</v>
      </c>
      <c r="ITM366" s="1648">
        <v>453326</v>
      </c>
      <c r="ITN366" s="1648">
        <v>298813</v>
      </c>
      <c r="ITO366" s="1648">
        <v>605808</v>
      </c>
      <c r="ITP366" s="1648">
        <v>847471</v>
      </c>
      <c r="ITQ366" s="1648">
        <v>1070054</v>
      </c>
      <c r="ITR366" s="1648">
        <v>1003687</v>
      </c>
      <c r="ITS366" s="635">
        <v>6373312</v>
      </c>
      <c r="ITT366" s="633">
        <f>SUM(ITG366:ITR366)</f>
        <v>6373312</v>
      </c>
      <c r="ITU366" s="919" t="s">
        <v>1839</v>
      </c>
      <c r="ITV366" s="1643" t="s">
        <v>1840</v>
      </c>
      <c r="ITW366" s="1648">
        <v>603740</v>
      </c>
      <c r="ITX366" s="1648">
        <v>515055</v>
      </c>
      <c r="ITY366" s="1648">
        <v>530271</v>
      </c>
      <c r="ITZ366" s="1648">
        <v>212051</v>
      </c>
      <c r="IUA366" s="1648">
        <v>131147</v>
      </c>
      <c r="IUB366" s="1648">
        <v>101889</v>
      </c>
      <c r="IUC366" s="1648">
        <v>453326</v>
      </c>
      <c r="IUD366" s="1648">
        <v>298813</v>
      </c>
      <c r="IUE366" s="1648">
        <v>605808</v>
      </c>
      <c r="IUF366" s="1648">
        <v>847471</v>
      </c>
      <c r="IUG366" s="1648">
        <v>1070054</v>
      </c>
      <c r="IUH366" s="1648">
        <v>1003687</v>
      </c>
      <c r="IUI366" s="635">
        <v>6373312</v>
      </c>
      <c r="IUJ366" s="633">
        <f>SUM(ITW366:IUH366)</f>
        <v>6373312</v>
      </c>
      <c r="IUK366" s="919" t="s">
        <v>1839</v>
      </c>
      <c r="IUL366" s="1643" t="s">
        <v>1840</v>
      </c>
      <c r="IUM366" s="1648">
        <v>603740</v>
      </c>
      <c r="IUN366" s="1648">
        <v>515055</v>
      </c>
      <c r="IUO366" s="1648">
        <v>530271</v>
      </c>
      <c r="IUP366" s="1648">
        <v>212051</v>
      </c>
      <c r="IUQ366" s="1648">
        <v>131147</v>
      </c>
      <c r="IUR366" s="1648">
        <v>101889</v>
      </c>
      <c r="IUS366" s="1648">
        <v>453326</v>
      </c>
      <c r="IUT366" s="1648">
        <v>298813</v>
      </c>
      <c r="IUU366" s="1648">
        <v>605808</v>
      </c>
      <c r="IUV366" s="1648">
        <v>847471</v>
      </c>
      <c r="IUW366" s="1648">
        <v>1070054</v>
      </c>
      <c r="IUX366" s="1648">
        <v>1003687</v>
      </c>
      <c r="IUY366" s="635">
        <v>6373312</v>
      </c>
      <c r="IUZ366" s="633">
        <f>SUM(IUM366:IUX366)</f>
        <v>6373312</v>
      </c>
      <c r="IVA366" s="919" t="s">
        <v>1839</v>
      </c>
      <c r="IVB366" s="1643" t="s">
        <v>1840</v>
      </c>
      <c r="IVC366" s="1648">
        <v>603740</v>
      </c>
      <c r="IVD366" s="1648">
        <v>515055</v>
      </c>
      <c r="IVE366" s="1648">
        <v>530271</v>
      </c>
      <c r="IVF366" s="1648">
        <v>212051</v>
      </c>
      <c r="IVG366" s="1648">
        <v>131147</v>
      </c>
      <c r="IVH366" s="1648">
        <v>101889</v>
      </c>
      <c r="IVI366" s="1648">
        <v>453326</v>
      </c>
      <c r="IVJ366" s="1648">
        <v>298813</v>
      </c>
      <c r="IVK366" s="1648">
        <v>605808</v>
      </c>
      <c r="IVL366" s="1648">
        <v>847471</v>
      </c>
      <c r="IVM366" s="1648">
        <v>1070054</v>
      </c>
      <c r="IVN366" s="1648">
        <v>1003687</v>
      </c>
      <c r="IVO366" s="635">
        <v>6373312</v>
      </c>
      <c r="IVP366" s="633">
        <f>SUM(IVC366:IVN366)</f>
        <v>6373312</v>
      </c>
      <c r="IVQ366" s="919" t="s">
        <v>1839</v>
      </c>
      <c r="IVR366" s="1643" t="s">
        <v>1840</v>
      </c>
      <c r="IVS366" s="1648">
        <v>603740</v>
      </c>
      <c r="IVT366" s="1648">
        <v>515055</v>
      </c>
      <c r="IVU366" s="1648">
        <v>530271</v>
      </c>
      <c r="IVV366" s="1648">
        <v>212051</v>
      </c>
      <c r="IVW366" s="1648">
        <v>131147</v>
      </c>
      <c r="IVX366" s="1648">
        <v>101889</v>
      </c>
      <c r="IVY366" s="1648">
        <v>453326</v>
      </c>
      <c r="IVZ366" s="1648">
        <v>298813</v>
      </c>
      <c r="IWA366" s="1648">
        <v>605808</v>
      </c>
      <c r="IWB366" s="1648">
        <v>847471</v>
      </c>
      <c r="IWC366" s="1648">
        <v>1070054</v>
      </c>
      <c r="IWD366" s="1648">
        <v>1003687</v>
      </c>
      <c r="IWE366" s="635">
        <v>6373312</v>
      </c>
      <c r="IWF366" s="633">
        <f>SUM(IVS366:IWD366)</f>
        <v>6373312</v>
      </c>
      <c r="IWG366" s="919" t="s">
        <v>1839</v>
      </c>
      <c r="IWH366" s="1643" t="s">
        <v>1840</v>
      </c>
      <c r="IWI366" s="1648">
        <v>603740</v>
      </c>
      <c r="IWJ366" s="1648">
        <v>515055</v>
      </c>
      <c r="IWK366" s="1648">
        <v>530271</v>
      </c>
      <c r="IWL366" s="1648">
        <v>212051</v>
      </c>
      <c r="IWM366" s="1648">
        <v>131147</v>
      </c>
      <c r="IWN366" s="1648">
        <v>101889</v>
      </c>
      <c r="IWO366" s="1648">
        <v>453326</v>
      </c>
      <c r="IWP366" s="1648">
        <v>298813</v>
      </c>
      <c r="IWQ366" s="1648">
        <v>605808</v>
      </c>
      <c r="IWR366" s="1648">
        <v>847471</v>
      </c>
      <c r="IWS366" s="1648">
        <v>1070054</v>
      </c>
      <c r="IWT366" s="1648">
        <v>1003687</v>
      </c>
      <c r="IWU366" s="635">
        <v>6373312</v>
      </c>
      <c r="IWV366" s="633">
        <f>SUM(IWI366:IWT366)</f>
        <v>6373312</v>
      </c>
      <c r="IWW366" s="919" t="s">
        <v>1839</v>
      </c>
      <c r="IWX366" s="1643" t="s">
        <v>1840</v>
      </c>
      <c r="IWY366" s="1648">
        <v>603740</v>
      </c>
      <c r="IWZ366" s="1648">
        <v>515055</v>
      </c>
      <c r="IXA366" s="1648">
        <v>530271</v>
      </c>
      <c r="IXB366" s="1648">
        <v>212051</v>
      </c>
      <c r="IXC366" s="1648">
        <v>131147</v>
      </c>
      <c r="IXD366" s="1648">
        <v>101889</v>
      </c>
      <c r="IXE366" s="1648">
        <v>453326</v>
      </c>
      <c r="IXF366" s="1648">
        <v>298813</v>
      </c>
      <c r="IXG366" s="1648">
        <v>605808</v>
      </c>
      <c r="IXH366" s="1648">
        <v>847471</v>
      </c>
      <c r="IXI366" s="1648">
        <v>1070054</v>
      </c>
      <c r="IXJ366" s="1648">
        <v>1003687</v>
      </c>
      <c r="IXK366" s="635">
        <v>6373312</v>
      </c>
      <c r="IXL366" s="633">
        <f>SUM(IWY366:IXJ366)</f>
        <v>6373312</v>
      </c>
      <c r="IXM366" s="919" t="s">
        <v>1839</v>
      </c>
      <c r="IXN366" s="1643" t="s">
        <v>1840</v>
      </c>
      <c r="IXO366" s="1648">
        <v>603740</v>
      </c>
      <c r="IXP366" s="1648">
        <v>515055</v>
      </c>
      <c r="IXQ366" s="1648">
        <v>530271</v>
      </c>
      <c r="IXR366" s="1648">
        <v>212051</v>
      </c>
      <c r="IXS366" s="1648">
        <v>131147</v>
      </c>
      <c r="IXT366" s="1648">
        <v>101889</v>
      </c>
      <c r="IXU366" s="1648">
        <v>453326</v>
      </c>
      <c r="IXV366" s="1648">
        <v>298813</v>
      </c>
      <c r="IXW366" s="1648">
        <v>605808</v>
      </c>
      <c r="IXX366" s="1648">
        <v>847471</v>
      </c>
      <c r="IXY366" s="1648">
        <v>1070054</v>
      </c>
      <c r="IXZ366" s="1648">
        <v>1003687</v>
      </c>
      <c r="IYA366" s="635">
        <v>6373312</v>
      </c>
      <c r="IYB366" s="633">
        <f>SUM(IXO366:IXZ366)</f>
        <v>6373312</v>
      </c>
      <c r="IYC366" s="919" t="s">
        <v>1839</v>
      </c>
      <c r="IYD366" s="1643" t="s">
        <v>1840</v>
      </c>
      <c r="IYE366" s="1648">
        <v>603740</v>
      </c>
      <c r="IYF366" s="1648">
        <v>515055</v>
      </c>
      <c r="IYG366" s="1648">
        <v>530271</v>
      </c>
      <c r="IYH366" s="1648">
        <v>212051</v>
      </c>
      <c r="IYI366" s="1648">
        <v>131147</v>
      </c>
      <c r="IYJ366" s="1648">
        <v>101889</v>
      </c>
      <c r="IYK366" s="1648">
        <v>453326</v>
      </c>
      <c r="IYL366" s="1648">
        <v>298813</v>
      </c>
      <c r="IYM366" s="1648">
        <v>605808</v>
      </c>
      <c r="IYN366" s="1648">
        <v>847471</v>
      </c>
      <c r="IYO366" s="1648">
        <v>1070054</v>
      </c>
      <c r="IYP366" s="1648">
        <v>1003687</v>
      </c>
      <c r="IYQ366" s="635">
        <v>6373312</v>
      </c>
      <c r="IYR366" s="633">
        <f>SUM(IYE366:IYP366)</f>
        <v>6373312</v>
      </c>
      <c r="IYS366" s="919" t="s">
        <v>1839</v>
      </c>
      <c r="IYT366" s="1643" t="s">
        <v>1840</v>
      </c>
      <c r="IYU366" s="1648">
        <v>603740</v>
      </c>
      <c r="IYV366" s="1648">
        <v>515055</v>
      </c>
      <c r="IYW366" s="1648">
        <v>530271</v>
      </c>
      <c r="IYX366" s="1648">
        <v>212051</v>
      </c>
      <c r="IYY366" s="1648">
        <v>131147</v>
      </c>
      <c r="IYZ366" s="1648">
        <v>101889</v>
      </c>
      <c r="IZA366" s="1648">
        <v>453326</v>
      </c>
      <c r="IZB366" s="1648">
        <v>298813</v>
      </c>
      <c r="IZC366" s="1648">
        <v>605808</v>
      </c>
      <c r="IZD366" s="1648">
        <v>847471</v>
      </c>
      <c r="IZE366" s="1648">
        <v>1070054</v>
      </c>
      <c r="IZF366" s="1648">
        <v>1003687</v>
      </c>
      <c r="IZG366" s="635">
        <v>6373312</v>
      </c>
      <c r="IZH366" s="633">
        <f>SUM(IYU366:IZF366)</f>
        <v>6373312</v>
      </c>
      <c r="IZI366" s="919" t="s">
        <v>1839</v>
      </c>
      <c r="IZJ366" s="1643" t="s">
        <v>1840</v>
      </c>
      <c r="IZK366" s="1648">
        <v>603740</v>
      </c>
      <c r="IZL366" s="1648">
        <v>515055</v>
      </c>
      <c r="IZM366" s="1648">
        <v>530271</v>
      </c>
      <c r="IZN366" s="1648">
        <v>212051</v>
      </c>
      <c r="IZO366" s="1648">
        <v>131147</v>
      </c>
      <c r="IZP366" s="1648">
        <v>101889</v>
      </c>
      <c r="IZQ366" s="1648">
        <v>453326</v>
      </c>
      <c r="IZR366" s="1648">
        <v>298813</v>
      </c>
      <c r="IZS366" s="1648">
        <v>605808</v>
      </c>
      <c r="IZT366" s="1648">
        <v>847471</v>
      </c>
      <c r="IZU366" s="1648">
        <v>1070054</v>
      </c>
      <c r="IZV366" s="1648">
        <v>1003687</v>
      </c>
      <c r="IZW366" s="635">
        <v>6373312</v>
      </c>
      <c r="IZX366" s="633">
        <f>SUM(IZK366:IZV366)</f>
        <v>6373312</v>
      </c>
      <c r="IZY366" s="919" t="s">
        <v>1839</v>
      </c>
      <c r="IZZ366" s="1643" t="s">
        <v>1840</v>
      </c>
      <c r="JAA366" s="1648">
        <v>603740</v>
      </c>
      <c r="JAB366" s="1648">
        <v>515055</v>
      </c>
      <c r="JAC366" s="1648">
        <v>530271</v>
      </c>
      <c r="JAD366" s="1648">
        <v>212051</v>
      </c>
      <c r="JAE366" s="1648">
        <v>131147</v>
      </c>
      <c r="JAF366" s="1648">
        <v>101889</v>
      </c>
      <c r="JAG366" s="1648">
        <v>453326</v>
      </c>
      <c r="JAH366" s="1648">
        <v>298813</v>
      </c>
      <c r="JAI366" s="1648">
        <v>605808</v>
      </c>
      <c r="JAJ366" s="1648">
        <v>847471</v>
      </c>
      <c r="JAK366" s="1648">
        <v>1070054</v>
      </c>
      <c r="JAL366" s="1648">
        <v>1003687</v>
      </c>
      <c r="JAM366" s="635">
        <v>6373312</v>
      </c>
      <c r="JAN366" s="633">
        <f>SUM(JAA366:JAL366)</f>
        <v>6373312</v>
      </c>
      <c r="JAO366" s="919" t="s">
        <v>1839</v>
      </c>
      <c r="JAP366" s="1643" t="s">
        <v>1840</v>
      </c>
      <c r="JAQ366" s="1648">
        <v>603740</v>
      </c>
      <c r="JAR366" s="1648">
        <v>515055</v>
      </c>
      <c r="JAS366" s="1648">
        <v>530271</v>
      </c>
      <c r="JAT366" s="1648">
        <v>212051</v>
      </c>
      <c r="JAU366" s="1648">
        <v>131147</v>
      </c>
      <c r="JAV366" s="1648">
        <v>101889</v>
      </c>
      <c r="JAW366" s="1648">
        <v>453326</v>
      </c>
      <c r="JAX366" s="1648">
        <v>298813</v>
      </c>
      <c r="JAY366" s="1648">
        <v>605808</v>
      </c>
      <c r="JAZ366" s="1648">
        <v>847471</v>
      </c>
      <c r="JBA366" s="1648">
        <v>1070054</v>
      </c>
      <c r="JBB366" s="1648">
        <v>1003687</v>
      </c>
      <c r="JBC366" s="635">
        <v>6373312</v>
      </c>
      <c r="JBD366" s="633">
        <f>SUM(JAQ366:JBB366)</f>
        <v>6373312</v>
      </c>
      <c r="JBE366" s="919" t="s">
        <v>1839</v>
      </c>
      <c r="JBF366" s="1643" t="s">
        <v>1840</v>
      </c>
      <c r="JBG366" s="1648">
        <v>603740</v>
      </c>
      <c r="JBH366" s="1648">
        <v>515055</v>
      </c>
      <c r="JBI366" s="1648">
        <v>530271</v>
      </c>
      <c r="JBJ366" s="1648">
        <v>212051</v>
      </c>
      <c r="JBK366" s="1648">
        <v>131147</v>
      </c>
      <c r="JBL366" s="1648">
        <v>101889</v>
      </c>
      <c r="JBM366" s="1648">
        <v>453326</v>
      </c>
      <c r="JBN366" s="1648">
        <v>298813</v>
      </c>
      <c r="JBO366" s="1648">
        <v>605808</v>
      </c>
      <c r="JBP366" s="1648">
        <v>847471</v>
      </c>
      <c r="JBQ366" s="1648">
        <v>1070054</v>
      </c>
      <c r="JBR366" s="1648">
        <v>1003687</v>
      </c>
      <c r="JBS366" s="635">
        <v>6373312</v>
      </c>
      <c r="JBT366" s="633">
        <f>SUM(JBG366:JBR366)</f>
        <v>6373312</v>
      </c>
      <c r="JBU366" s="919" t="s">
        <v>1839</v>
      </c>
      <c r="JBV366" s="1643" t="s">
        <v>1840</v>
      </c>
      <c r="JBW366" s="1648">
        <v>603740</v>
      </c>
      <c r="JBX366" s="1648">
        <v>515055</v>
      </c>
      <c r="JBY366" s="1648">
        <v>530271</v>
      </c>
      <c r="JBZ366" s="1648">
        <v>212051</v>
      </c>
      <c r="JCA366" s="1648">
        <v>131147</v>
      </c>
      <c r="JCB366" s="1648">
        <v>101889</v>
      </c>
      <c r="JCC366" s="1648">
        <v>453326</v>
      </c>
      <c r="JCD366" s="1648">
        <v>298813</v>
      </c>
      <c r="JCE366" s="1648">
        <v>605808</v>
      </c>
      <c r="JCF366" s="1648">
        <v>847471</v>
      </c>
      <c r="JCG366" s="1648">
        <v>1070054</v>
      </c>
      <c r="JCH366" s="1648">
        <v>1003687</v>
      </c>
      <c r="JCI366" s="635">
        <v>6373312</v>
      </c>
      <c r="JCJ366" s="633">
        <f>SUM(JBW366:JCH366)</f>
        <v>6373312</v>
      </c>
      <c r="JCK366" s="919" t="s">
        <v>1839</v>
      </c>
      <c r="JCL366" s="1643" t="s">
        <v>1840</v>
      </c>
      <c r="JCM366" s="1648">
        <v>603740</v>
      </c>
      <c r="JCN366" s="1648">
        <v>515055</v>
      </c>
      <c r="JCO366" s="1648">
        <v>530271</v>
      </c>
      <c r="JCP366" s="1648">
        <v>212051</v>
      </c>
      <c r="JCQ366" s="1648">
        <v>131147</v>
      </c>
      <c r="JCR366" s="1648">
        <v>101889</v>
      </c>
      <c r="JCS366" s="1648">
        <v>453326</v>
      </c>
      <c r="JCT366" s="1648">
        <v>298813</v>
      </c>
      <c r="JCU366" s="1648">
        <v>605808</v>
      </c>
      <c r="JCV366" s="1648">
        <v>847471</v>
      </c>
      <c r="JCW366" s="1648">
        <v>1070054</v>
      </c>
      <c r="JCX366" s="1648">
        <v>1003687</v>
      </c>
      <c r="JCY366" s="635">
        <v>6373312</v>
      </c>
      <c r="JCZ366" s="633">
        <f>SUM(JCM366:JCX366)</f>
        <v>6373312</v>
      </c>
      <c r="JDA366" s="919" t="s">
        <v>1839</v>
      </c>
      <c r="JDB366" s="1643" t="s">
        <v>1840</v>
      </c>
      <c r="JDC366" s="1648">
        <v>603740</v>
      </c>
      <c r="JDD366" s="1648">
        <v>515055</v>
      </c>
      <c r="JDE366" s="1648">
        <v>530271</v>
      </c>
      <c r="JDF366" s="1648">
        <v>212051</v>
      </c>
      <c r="JDG366" s="1648">
        <v>131147</v>
      </c>
      <c r="JDH366" s="1648">
        <v>101889</v>
      </c>
      <c r="JDI366" s="1648">
        <v>453326</v>
      </c>
      <c r="JDJ366" s="1648">
        <v>298813</v>
      </c>
      <c r="JDK366" s="1648">
        <v>605808</v>
      </c>
      <c r="JDL366" s="1648">
        <v>847471</v>
      </c>
      <c r="JDM366" s="1648">
        <v>1070054</v>
      </c>
      <c r="JDN366" s="1648">
        <v>1003687</v>
      </c>
      <c r="JDO366" s="635">
        <v>6373312</v>
      </c>
      <c r="JDP366" s="633">
        <f>SUM(JDC366:JDN366)</f>
        <v>6373312</v>
      </c>
      <c r="JDQ366" s="919" t="s">
        <v>1839</v>
      </c>
      <c r="JDR366" s="1643" t="s">
        <v>1840</v>
      </c>
      <c r="JDS366" s="1648">
        <v>603740</v>
      </c>
      <c r="JDT366" s="1648">
        <v>515055</v>
      </c>
      <c r="JDU366" s="1648">
        <v>530271</v>
      </c>
      <c r="JDV366" s="1648">
        <v>212051</v>
      </c>
      <c r="JDW366" s="1648">
        <v>131147</v>
      </c>
      <c r="JDX366" s="1648">
        <v>101889</v>
      </c>
      <c r="JDY366" s="1648">
        <v>453326</v>
      </c>
      <c r="JDZ366" s="1648">
        <v>298813</v>
      </c>
      <c r="JEA366" s="1648">
        <v>605808</v>
      </c>
      <c r="JEB366" s="1648">
        <v>847471</v>
      </c>
      <c r="JEC366" s="1648">
        <v>1070054</v>
      </c>
      <c r="JED366" s="1648">
        <v>1003687</v>
      </c>
      <c r="JEE366" s="635">
        <v>6373312</v>
      </c>
      <c r="JEF366" s="633">
        <f>SUM(JDS366:JED366)</f>
        <v>6373312</v>
      </c>
      <c r="JEG366" s="919" t="s">
        <v>1839</v>
      </c>
      <c r="JEH366" s="1643" t="s">
        <v>1840</v>
      </c>
      <c r="JEI366" s="1648">
        <v>603740</v>
      </c>
      <c r="JEJ366" s="1648">
        <v>515055</v>
      </c>
      <c r="JEK366" s="1648">
        <v>530271</v>
      </c>
      <c r="JEL366" s="1648">
        <v>212051</v>
      </c>
      <c r="JEM366" s="1648">
        <v>131147</v>
      </c>
      <c r="JEN366" s="1648">
        <v>101889</v>
      </c>
      <c r="JEO366" s="1648">
        <v>453326</v>
      </c>
      <c r="JEP366" s="1648">
        <v>298813</v>
      </c>
      <c r="JEQ366" s="1648">
        <v>605808</v>
      </c>
      <c r="JER366" s="1648">
        <v>847471</v>
      </c>
      <c r="JES366" s="1648">
        <v>1070054</v>
      </c>
      <c r="JET366" s="1648">
        <v>1003687</v>
      </c>
      <c r="JEU366" s="635">
        <v>6373312</v>
      </c>
      <c r="JEV366" s="633">
        <f>SUM(JEI366:JET366)</f>
        <v>6373312</v>
      </c>
      <c r="JEW366" s="919" t="s">
        <v>1839</v>
      </c>
      <c r="JEX366" s="1643" t="s">
        <v>1840</v>
      </c>
      <c r="JEY366" s="1648">
        <v>603740</v>
      </c>
      <c r="JEZ366" s="1648">
        <v>515055</v>
      </c>
      <c r="JFA366" s="1648">
        <v>530271</v>
      </c>
      <c r="JFB366" s="1648">
        <v>212051</v>
      </c>
      <c r="JFC366" s="1648">
        <v>131147</v>
      </c>
      <c r="JFD366" s="1648">
        <v>101889</v>
      </c>
      <c r="JFE366" s="1648">
        <v>453326</v>
      </c>
      <c r="JFF366" s="1648">
        <v>298813</v>
      </c>
      <c r="JFG366" s="1648">
        <v>605808</v>
      </c>
      <c r="JFH366" s="1648">
        <v>847471</v>
      </c>
      <c r="JFI366" s="1648">
        <v>1070054</v>
      </c>
      <c r="JFJ366" s="1648">
        <v>1003687</v>
      </c>
      <c r="JFK366" s="635">
        <v>6373312</v>
      </c>
      <c r="JFL366" s="633">
        <f>SUM(JEY366:JFJ366)</f>
        <v>6373312</v>
      </c>
      <c r="JFM366" s="919" t="s">
        <v>1839</v>
      </c>
      <c r="JFN366" s="1643" t="s">
        <v>1840</v>
      </c>
      <c r="JFO366" s="1648">
        <v>603740</v>
      </c>
      <c r="JFP366" s="1648">
        <v>515055</v>
      </c>
      <c r="JFQ366" s="1648">
        <v>530271</v>
      </c>
      <c r="JFR366" s="1648">
        <v>212051</v>
      </c>
      <c r="JFS366" s="1648">
        <v>131147</v>
      </c>
      <c r="JFT366" s="1648">
        <v>101889</v>
      </c>
      <c r="JFU366" s="1648">
        <v>453326</v>
      </c>
      <c r="JFV366" s="1648">
        <v>298813</v>
      </c>
      <c r="JFW366" s="1648">
        <v>605808</v>
      </c>
      <c r="JFX366" s="1648">
        <v>847471</v>
      </c>
      <c r="JFY366" s="1648">
        <v>1070054</v>
      </c>
      <c r="JFZ366" s="1648">
        <v>1003687</v>
      </c>
      <c r="JGA366" s="635">
        <v>6373312</v>
      </c>
      <c r="JGB366" s="633">
        <f>SUM(JFO366:JFZ366)</f>
        <v>6373312</v>
      </c>
      <c r="JGC366" s="919" t="s">
        <v>1839</v>
      </c>
      <c r="JGD366" s="1643" t="s">
        <v>1840</v>
      </c>
      <c r="JGE366" s="1648">
        <v>603740</v>
      </c>
      <c r="JGF366" s="1648">
        <v>515055</v>
      </c>
      <c r="JGG366" s="1648">
        <v>530271</v>
      </c>
      <c r="JGH366" s="1648">
        <v>212051</v>
      </c>
      <c r="JGI366" s="1648">
        <v>131147</v>
      </c>
      <c r="JGJ366" s="1648">
        <v>101889</v>
      </c>
      <c r="JGK366" s="1648">
        <v>453326</v>
      </c>
      <c r="JGL366" s="1648">
        <v>298813</v>
      </c>
      <c r="JGM366" s="1648">
        <v>605808</v>
      </c>
      <c r="JGN366" s="1648">
        <v>847471</v>
      </c>
      <c r="JGO366" s="1648">
        <v>1070054</v>
      </c>
      <c r="JGP366" s="1648">
        <v>1003687</v>
      </c>
      <c r="JGQ366" s="635">
        <v>6373312</v>
      </c>
      <c r="JGR366" s="633">
        <f>SUM(JGE366:JGP366)</f>
        <v>6373312</v>
      </c>
      <c r="JGS366" s="919" t="s">
        <v>1839</v>
      </c>
      <c r="JGT366" s="1643" t="s">
        <v>1840</v>
      </c>
      <c r="JGU366" s="1648">
        <v>603740</v>
      </c>
      <c r="JGV366" s="1648">
        <v>515055</v>
      </c>
      <c r="JGW366" s="1648">
        <v>530271</v>
      </c>
      <c r="JGX366" s="1648">
        <v>212051</v>
      </c>
      <c r="JGY366" s="1648">
        <v>131147</v>
      </c>
      <c r="JGZ366" s="1648">
        <v>101889</v>
      </c>
      <c r="JHA366" s="1648">
        <v>453326</v>
      </c>
      <c r="JHB366" s="1648">
        <v>298813</v>
      </c>
      <c r="JHC366" s="1648">
        <v>605808</v>
      </c>
      <c r="JHD366" s="1648">
        <v>847471</v>
      </c>
      <c r="JHE366" s="1648">
        <v>1070054</v>
      </c>
      <c r="JHF366" s="1648">
        <v>1003687</v>
      </c>
      <c r="JHG366" s="635">
        <v>6373312</v>
      </c>
      <c r="JHH366" s="633">
        <f>SUM(JGU366:JHF366)</f>
        <v>6373312</v>
      </c>
      <c r="JHI366" s="919" t="s">
        <v>1839</v>
      </c>
      <c r="JHJ366" s="1643" t="s">
        <v>1840</v>
      </c>
      <c r="JHK366" s="1648">
        <v>603740</v>
      </c>
      <c r="JHL366" s="1648">
        <v>515055</v>
      </c>
      <c r="JHM366" s="1648">
        <v>530271</v>
      </c>
      <c r="JHN366" s="1648">
        <v>212051</v>
      </c>
      <c r="JHO366" s="1648">
        <v>131147</v>
      </c>
      <c r="JHP366" s="1648">
        <v>101889</v>
      </c>
      <c r="JHQ366" s="1648">
        <v>453326</v>
      </c>
      <c r="JHR366" s="1648">
        <v>298813</v>
      </c>
      <c r="JHS366" s="1648">
        <v>605808</v>
      </c>
      <c r="JHT366" s="1648">
        <v>847471</v>
      </c>
      <c r="JHU366" s="1648">
        <v>1070054</v>
      </c>
      <c r="JHV366" s="1648">
        <v>1003687</v>
      </c>
      <c r="JHW366" s="635">
        <v>6373312</v>
      </c>
      <c r="JHX366" s="633">
        <f>SUM(JHK366:JHV366)</f>
        <v>6373312</v>
      </c>
      <c r="JHY366" s="919" t="s">
        <v>1839</v>
      </c>
      <c r="JHZ366" s="1643" t="s">
        <v>1840</v>
      </c>
      <c r="JIA366" s="1648">
        <v>603740</v>
      </c>
      <c r="JIB366" s="1648">
        <v>515055</v>
      </c>
      <c r="JIC366" s="1648">
        <v>530271</v>
      </c>
      <c r="JID366" s="1648">
        <v>212051</v>
      </c>
      <c r="JIE366" s="1648">
        <v>131147</v>
      </c>
      <c r="JIF366" s="1648">
        <v>101889</v>
      </c>
      <c r="JIG366" s="1648">
        <v>453326</v>
      </c>
      <c r="JIH366" s="1648">
        <v>298813</v>
      </c>
      <c r="JII366" s="1648">
        <v>605808</v>
      </c>
      <c r="JIJ366" s="1648">
        <v>847471</v>
      </c>
      <c r="JIK366" s="1648">
        <v>1070054</v>
      </c>
      <c r="JIL366" s="1648">
        <v>1003687</v>
      </c>
      <c r="JIM366" s="635">
        <v>6373312</v>
      </c>
      <c r="JIN366" s="633">
        <f>SUM(JIA366:JIL366)</f>
        <v>6373312</v>
      </c>
      <c r="JIO366" s="919" t="s">
        <v>1839</v>
      </c>
      <c r="JIP366" s="1643" t="s">
        <v>1840</v>
      </c>
      <c r="JIQ366" s="1648">
        <v>603740</v>
      </c>
      <c r="JIR366" s="1648">
        <v>515055</v>
      </c>
      <c r="JIS366" s="1648">
        <v>530271</v>
      </c>
      <c r="JIT366" s="1648">
        <v>212051</v>
      </c>
      <c r="JIU366" s="1648">
        <v>131147</v>
      </c>
      <c r="JIV366" s="1648">
        <v>101889</v>
      </c>
      <c r="JIW366" s="1648">
        <v>453326</v>
      </c>
      <c r="JIX366" s="1648">
        <v>298813</v>
      </c>
      <c r="JIY366" s="1648">
        <v>605808</v>
      </c>
      <c r="JIZ366" s="1648">
        <v>847471</v>
      </c>
      <c r="JJA366" s="1648">
        <v>1070054</v>
      </c>
      <c r="JJB366" s="1648">
        <v>1003687</v>
      </c>
      <c r="JJC366" s="635">
        <v>6373312</v>
      </c>
      <c r="JJD366" s="633">
        <f>SUM(JIQ366:JJB366)</f>
        <v>6373312</v>
      </c>
      <c r="JJE366" s="919" t="s">
        <v>1839</v>
      </c>
      <c r="JJF366" s="1643" t="s">
        <v>1840</v>
      </c>
      <c r="JJG366" s="1648">
        <v>603740</v>
      </c>
      <c r="JJH366" s="1648">
        <v>515055</v>
      </c>
      <c r="JJI366" s="1648">
        <v>530271</v>
      </c>
      <c r="JJJ366" s="1648">
        <v>212051</v>
      </c>
      <c r="JJK366" s="1648">
        <v>131147</v>
      </c>
      <c r="JJL366" s="1648">
        <v>101889</v>
      </c>
      <c r="JJM366" s="1648">
        <v>453326</v>
      </c>
      <c r="JJN366" s="1648">
        <v>298813</v>
      </c>
      <c r="JJO366" s="1648">
        <v>605808</v>
      </c>
      <c r="JJP366" s="1648">
        <v>847471</v>
      </c>
      <c r="JJQ366" s="1648">
        <v>1070054</v>
      </c>
      <c r="JJR366" s="1648">
        <v>1003687</v>
      </c>
      <c r="JJS366" s="635">
        <v>6373312</v>
      </c>
      <c r="JJT366" s="633">
        <f>SUM(JJG366:JJR366)</f>
        <v>6373312</v>
      </c>
      <c r="JJU366" s="919" t="s">
        <v>1839</v>
      </c>
      <c r="JJV366" s="1643" t="s">
        <v>1840</v>
      </c>
      <c r="JJW366" s="1648">
        <v>603740</v>
      </c>
      <c r="JJX366" s="1648">
        <v>515055</v>
      </c>
      <c r="JJY366" s="1648">
        <v>530271</v>
      </c>
      <c r="JJZ366" s="1648">
        <v>212051</v>
      </c>
      <c r="JKA366" s="1648">
        <v>131147</v>
      </c>
      <c r="JKB366" s="1648">
        <v>101889</v>
      </c>
      <c r="JKC366" s="1648">
        <v>453326</v>
      </c>
      <c r="JKD366" s="1648">
        <v>298813</v>
      </c>
      <c r="JKE366" s="1648">
        <v>605808</v>
      </c>
      <c r="JKF366" s="1648">
        <v>847471</v>
      </c>
      <c r="JKG366" s="1648">
        <v>1070054</v>
      </c>
      <c r="JKH366" s="1648">
        <v>1003687</v>
      </c>
      <c r="JKI366" s="635">
        <v>6373312</v>
      </c>
      <c r="JKJ366" s="633">
        <f>SUM(JJW366:JKH366)</f>
        <v>6373312</v>
      </c>
      <c r="JKK366" s="919" t="s">
        <v>1839</v>
      </c>
      <c r="JKL366" s="1643" t="s">
        <v>1840</v>
      </c>
      <c r="JKM366" s="1648">
        <v>603740</v>
      </c>
      <c r="JKN366" s="1648">
        <v>515055</v>
      </c>
      <c r="JKO366" s="1648">
        <v>530271</v>
      </c>
      <c r="JKP366" s="1648">
        <v>212051</v>
      </c>
      <c r="JKQ366" s="1648">
        <v>131147</v>
      </c>
      <c r="JKR366" s="1648">
        <v>101889</v>
      </c>
      <c r="JKS366" s="1648">
        <v>453326</v>
      </c>
      <c r="JKT366" s="1648">
        <v>298813</v>
      </c>
      <c r="JKU366" s="1648">
        <v>605808</v>
      </c>
      <c r="JKV366" s="1648">
        <v>847471</v>
      </c>
      <c r="JKW366" s="1648">
        <v>1070054</v>
      </c>
      <c r="JKX366" s="1648">
        <v>1003687</v>
      </c>
      <c r="JKY366" s="635">
        <v>6373312</v>
      </c>
      <c r="JKZ366" s="633">
        <f>SUM(JKM366:JKX366)</f>
        <v>6373312</v>
      </c>
      <c r="JLA366" s="919" t="s">
        <v>1839</v>
      </c>
      <c r="JLB366" s="1643" t="s">
        <v>1840</v>
      </c>
      <c r="JLC366" s="1648">
        <v>603740</v>
      </c>
      <c r="JLD366" s="1648">
        <v>515055</v>
      </c>
      <c r="JLE366" s="1648">
        <v>530271</v>
      </c>
      <c r="JLF366" s="1648">
        <v>212051</v>
      </c>
      <c r="JLG366" s="1648">
        <v>131147</v>
      </c>
      <c r="JLH366" s="1648">
        <v>101889</v>
      </c>
      <c r="JLI366" s="1648">
        <v>453326</v>
      </c>
      <c r="JLJ366" s="1648">
        <v>298813</v>
      </c>
      <c r="JLK366" s="1648">
        <v>605808</v>
      </c>
      <c r="JLL366" s="1648">
        <v>847471</v>
      </c>
      <c r="JLM366" s="1648">
        <v>1070054</v>
      </c>
      <c r="JLN366" s="1648">
        <v>1003687</v>
      </c>
      <c r="JLO366" s="635">
        <v>6373312</v>
      </c>
      <c r="JLP366" s="633">
        <f>SUM(JLC366:JLN366)</f>
        <v>6373312</v>
      </c>
      <c r="JLQ366" s="919" t="s">
        <v>1839</v>
      </c>
      <c r="JLR366" s="1643" t="s">
        <v>1840</v>
      </c>
      <c r="JLS366" s="1648">
        <v>603740</v>
      </c>
      <c r="JLT366" s="1648">
        <v>515055</v>
      </c>
      <c r="JLU366" s="1648">
        <v>530271</v>
      </c>
      <c r="JLV366" s="1648">
        <v>212051</v>
      </c>
      <c r="JLW366" s="1648">
        <v>131147</v>
      </c>
      <c r="JLX366" s="1648">
        <v>101889</v>
      </c>
      <c r="JLY366" s="1648">
        <v>453326</v>
      </c>
      <c r="JLZ366" s="1648">
        <v>298813</v>
      </c>
      <c r="JMA366" s="1648">
        <v>605808</v>
      </c>
      <c r="JMB366" s="1648">
        <v>847471</v>
      </c>
      <c r="JMC366" s="1648">
        <v>1070054</v>
      </c>
      <c r="JMD366" s="1648">
        <v>1003687</v>
      </c>
      <c r="JME366" s="635">
        <v>6373312</v>
      </c>
      <c r="JMF366" s="633">
        <f>SUM(JLS366:JMD366)</f>
        <v>6373312</v>
      </c>
      <c r="JMG366" s="919" t="s">
        <v>1839</v>
      </c>
      <c r="JMH366" s="1643" t="s">
        <v>1840</v>
      </c>
      <c r="JMI366" s="1648">
        <v>603740</v>
      </c>
      <c r="JMJ366" s="1648">
        <v>515055</v>
      </c>
      <c r="JMK366" s="1648">
        <v>530271</v>
      </c>
      <c r="JML366" s="1648">
        <v>212051</v>
      </c>
      <c r="JMM366" s="1648">
        <v>131147</v>
      </c>
      <c r="JMN366" s="1648">
        <v>101889</v>
      </c>
      <c r="JMO366" s="1648">
        <v>453326</v>
      </c>
      <c r="JMP366" s="1648">
        <v>298813</v>
      </c>
      <c r="JMQ366" s="1648">
        <v>605808</v>
      </c>
      <c r="JMR366" s="1648">
        <v>847471</v>
      </c>
      <c r="JMS366" s="1648">
        <v>1070054</v>
      </c>
      <c r="JMT366" s="1648">
        <v>1003687</v>
      </c>
      <c r="JMU366" s="635">
        <v>6373312</v>
      </c>
      <c r="JMV366" s="633">
        <f>SUM(JMI366:JMT366)</f>
        <v>6373312</v>
      </c>
      <c r="JMW366" s="919" t="s">
        <v>1839</v>
      </c>
      <c r="JMX366" s="1643" t="s">
        <v>1840</v>
      </c>
      <c r="JMY366" s="1648">
        <v>603740</v>
      </c>
      <c r="JMZ366" s="1648">
        <v>515055</v>
      </c>
      <c r="JNA366" s="1648">
        <v>530271</v>
      </c>
      <c r="JNB366" s="1648">
        <v>212051</v>
      </c>
      <c r="JNC366" s="1648">
        <v>131147</v>
      </c>
      <c r="JND366" s="1648">
        <v>101889</v>
      </c>
      <c r="JNE366" s="1648">
        <v>453326</v>
      </c>
      <c r="JNF366" s="1648">
        <v>298813</v>
      </c>
      <c r="JNG366" s="1648">
        <v>605808</v>
      </c>
      <c r="JNH366" s="1648">
        <v>847471</v>
      </c>
      <c r="JNI366" s="1648">
        <v>1070054</v>
      </c>
      <c r="JNJ366" s="1648">
        <v>1003687</v>
      </c>
      <c r="JNK366" s="635">
        <v>6373312</v>
      </c>
      <c r="JNL366" s="633">
        <f>SUM(JMY366:JNJ366)</f>
        <v>6373312</v>
      </c>
      <c r="JNM366" s="919" t="s">
        <v>1839</v>
      </c>
      <c r="JNN366" s="1643" t="s">
        <v>1840</v>
      </c>
      <c r="JNO366" s="1648">
        <v>603740</v>
      </c>
      <c r="JNP366" s="1648">
        <v>515055</v>
      </c>
      <c r="JNQ366" s="1648">
        <v>530271</v>
      </c>
      <c r="JNR366" s="1648">
        <v>212051</v>
      </c>
      <c r="JNS366" s="1648">
        <v>131147</v>
      </c>
      <c r="JNT366" s="1648">
        <v>101889</v>
      </c>
      <c r="JNU366" s="1648">
        <v>453326</v>
      </c>
      <c r="JNV366" s="1648">
        <v>298813</v>
      </c>
      <c r="JNW366" s="1648">
        <v>605808</v>
      </c>
      <c r="JNX366" s="1648">
        <v>847471</v>
      </c>
      <c r="JNY366" s="1648">
        <v>1070054</v>
      </c>
      <c r="JNZ366" s="1648">
        <v>1003687</v>
      </c>
      <c r="JOA366" s="635">
        <v>6373312</v>
      </c>
      <c r="JOB366" s="633">
        <f>SUM(JNO366:JNZ366)</f>
        <v>6373312</v>
      </c>
      <c r="JOC366" s="919" t="s">
        <v>1839</v>
      </c>
      <c r="JOD366" s="1643" t="s">
        <v>1840</v>
      </c>
      <c r="JOE366" s="1648">
        <v>603740</v>
      </c>
      <c r="JOF366" s="1648">
        <v>515055</v>
      </c>
      <c r="JOG366" s="1648">
        <v>530271</v>
      </c>
      <c r="JOH366" s="1648">
        <v>212051</v>
      </c>
      <c r="JOI366" s="1648">
        <v>131147</v>
      </c>
      <c r="JOJ366" s="1648">
        <v>101889</v>
      </c>
      <c r="JOK366" s="1648">
        <v>453326</v>
      </c>
      <c r="JOL366" s="1648">
        <v>298813</v>
      </c>
      <c r="JOM366" s="1648">
        <v>605808</v>
      </c>
      <c r="JON366" s="1648">
        <v>847471</v>
      </c>
      <c r="JOO366" s="1648">
        <v>1070054</v>
      </c>
      <c r="JOP366" s="1648">
        <v>1003687</v>
      </c>
      <c r="JOQ366" s="635">
        <v>6373312</v>
      </c>
      <c r="JOR366" s="633">
        <f>SUM(JOE366:JOP366)</f>
        <v>6373312</v>
      </c>
      <c r="JOS366" s="919" t="s">
        <v>1839</v>
      </c>
      <c r="JOT366" s="1643" t="s">
        <v>1840</v>
      </c>
      <c r="JOU366" s="1648">
        <v>603740</v>
      </c>
      <c r="JOV366" s="1648">
        <v>515055</v>
      </c>
      <c r="JOW366" s="1648">
        <v>530271</v>
      </c>
      <c r="JOX366" s="1648">
        <v>212051</v>
      </c>
      <c r="JOY366" s="1648">
        <v>131147</v>
      </c>
      <c r="JOZ366" s="1648">
        <v>101889</v>
      </c>
      <c r="JPA366" s="1648">
        <v>453326</v>
      </c>
      <c r="JPB366" s="1648">
        <v>298813</v>
      </c>
      <c r="JPC366" s="1648">
        <v>605808</v>
      </c>
      <c r="JPD366" s="1648">
        <v>847471</v>
      </c>
      <c r="JPE366" s="1648">
        <v>1070054</v>
      </c>
      <c r="JPF366" s="1648">
        <v>1003687</v>
      </c>
      <c r="JPG366" s="635">
        <v>6373312</v>
      </c>
      <c r="JPH366" s="633">
        <f>SUM(JOU366:JPF366)</f>
        <v>6373312</v>
      </c>
      <c r="JPI366" s="919" t="s">
        <v>1839</v>
      </c>
      <c r="JPJ366" s="1643" t="s">
        <v>1840</v>
      </c>
      <c r="JPK366" s="1648">
        <v>603740</v>
      </c>
      <c r="JPL366" s="1648">
        <v>515055</v>
      </c>
      <c r="JPM366" s="1648">
        <v>530271</v>
      </c>
      <c r="JPN366" s="1648">
        <v>212051</v>
      </c>
      <c r="JPO366" s="1648">
        <v>131147</v>
      </c>
      <c r="JPP366" s="1648">
        <v>101889</v>
      </c>
      <c r="JPQ366" s="1648">
        <v>453326</v>
      </c>
      <c r="JPR366" s="1648">
        <v>298813</v>
      </c>
      <c r="JPS366" s="1648">
        <v>605808</v>
      </c>
      <c r="JPT366" s="1648">
        <v>847471</v>
      </c>
      <c r="JPU366" s="1648">
        <v>1070054</v>
      </c>
      <c r="JPV366" s="1648">
        <v>1003687</v>
      </c>
      <c r="JPW366" s="635">
        <v>6373312</v>
      </c>
      <c r="JPX366" s="633">
        <f>SUM(JPK366:JPV366)</f>
        <v>6373312</v>
      </c>
      <c r="JPY366" s="919" t="s">
        <v>1839</v>
      </c>
      <c r="JPZ366" s="1643" t="s">
        <v>1840</v>
      </c>
      <c r="JQA366" s="1648">
        <v>603740</v>
      </c>
      <c r="JQB366" s="1648">
        <v>515055</v>
      </c>
      <c r="JQC366" s="1648">
        <v>530271</v>
      </c>
      <c r="JQD366" s="1648">
        <v>212051</v>
      </c>
      <c r="JQE366" s="1648">
        <v>131147</v>
      </c>
      <c r="JQF366" s="1648">
        <v>101889</v>
      </c>
      <c r="JQG366" s="1648">
        <v>453326</v>
      </c>
      <c r="JQH366" s="1648">
        <v>298813</v>
      </c>
      <c r="JQI366" s="1648">
        <v>605808</v>
      </c>
      <c r="JQJ366" s="1648">
        <v>847471</v>
      </c>
      <c r="JQK366" s="1648">
        <v>1070054</v>
      </c>
      <c r="JQL366" s="1648">
        <v>1003687</v>
      </c>
      <c r="JQM366" s="635">
        <v>6373312</v>
      </c>
      <c r="JQN366" s="633">
        <f>SUM(JQA366:JQL366)</f>
        <v>6373312</v>
      </c>
      <c r="JQO366" s="919" t="s">
        <v>1839</v>
      </c>
      <c r="JQP366" s="1643" t="s">
        <v>1840</v>
      </c>
      <c r="JQQ366" s="1648">
        <v>603740</v>
      </c>
      <c r="JQR366" s="1648">
        <v>515055</v>
      </c>
      <c r="JQS366" s="1648">
        <v>530271</v>
      </c>
      <c r="JQT366" s="1648">
        <v>212051</v>
      </c>
      <c r="JQU366" s="1648">
        <v>131147</v>
      </c>
      <c r="JQV366" s="1648">
        <v>101889</v>
      </c>
      <c r="JQW366" s="1648">
        <v>453326</v>
      </c>
      <c r="JQX366" s="1648">
        <v>298813</v>
      </c>
      <c r="JQY366" s="1648">
        <v>605808</v>
      </c>
      <c r="JQZ366" s="1648">
        <v>847471</v>
      </c>
      <c r="JRA366" s="1648">
        <v>1070054</v>
      </c>
      <c r="JRB366" s="1648">
        <v>1003687</v>
      </c>
      <c r="JRC366" s="635">
        <v>6373312</v>
      </c>
      <c r="JRD366" s="633">
        <f>SUM(JQQ366:JRB366)</f>
        <v>6373312</v>
      </c>
      <c r="JRE366" s="919" t="s">
        <v>1839</v>
      </c>
      <c r="JRF366" s="1643" t="s">
        <v>1840</v>
      </c>
      <c r="JRG366" s="1648">
        <v>603740</v>
      </c>
      <c r="JRH366" s="1648">
        <v>515055</v>
      </c>
      <c r="JRI366" s="1648">
        <v>530271</v>
      </c>
      <c r="JRJ366" s="1648">
        <v>212051</v>
      </c>
      <c r="JRK366" s="1648">
        <v>131147</v>
      </c>
      <c r="JRL366" s="1648">
        <v>101889</v>
      </c>
      <c r="JRM366" s="1648">
        <v>453326</v>
      </c>
      <c r="JRN366" s="1648">
        <v>298813</v>
      </c>
      <c r="JRO366" s="1648">
        <v>605808</v>
      </c>
      <c r="JRP366" s="1648">
        <v>847471</v>
      </c>
      <c r="JRQ366" s="1648">
        <v>1070054</v>
      </c>
      <c r="JRR366" s="1648">
        <v>1003687</v>
      </c>
      <c r="JRS366" s="635">
        <v>6373312</v>
      </c>
      <c r="JRT366" s="633">
        <f>SUM(JRG366:JRR366)</f>
        <v>6373312</v>
      </c>
      <c r="JRU366" s="919" t="s">
        <v>1839</v>
      </c>
      <c r="JRV366" s="1643" t="s">
        <v>1840</v>
      </c>
      <c r="JRW366" s="1648">
        <v>603740</v>
      </c>
      <c r="JRX366" s="1648">
        <v>515055</v>
      </c>
      <c r="JRY366" s="1648">
        <v>530271</v>
      </c>
      <c r="JRZ366" s="1648">
        <v>212051</v>
      </c>
      <c r="JSA366" s="1648">
        <v>131147</v>
      </c>
      <c r="JSB366" s="1648">
        <v>101889</v>
      </c>
      <c r="JSC366" s="1648">
        <v>453326</v>
      </c>
      <c r="JSD366" s="1648">
        <v>298813</v>
      </c>
      <c r="JSE366" s="1648">
        <v>605808</v>
      </c>
      <c r="JSF366" s="1648">
        <v>847471</v>
      </c>
      <c r="JSG366" s="1648">
        <v>1070054</v>
      </c>
      <c r="JSH366" s="1648">
        <v>1003687</v>
      </c>
      <c r="JSI366" s="635">
        <v>6373312</v>
      </c>
      <c r="JSJ366" s="633">
        <f>SUM(JRW366:JSH366)</f>
        <v>6373312</v>
      </c>
      <c r="JSK366" s="919" t="s">
        <v>1839</v>
      </c>
      <c r="JSL366" s="1643" t="s">
        <v>1840</v>
      </c>
      <c r="JSM366" s="1648">
        <v>603740</v>
      </c>
      <c r="JSN366" s="1648">
        <v>515055</v>
      </c>
      <c r="JSO366" s="1648">
        <v>530271</v>
      </c>
      <c r="JSP366" s="1648">
        <v>212051</v>
      </c>
      <c r="JSQ366" s="1648">
        <v>131147</v>
      </c>
      <c r="JSR366" s="1648">
        <v>101889</v>
      </c>
      <c r="JSS366" s="1648">
        <v>453326</v>
      </c>
      <c r="JST366" s="1648">
        <v>298813</v>
      </c>
      <c r="JSU366" s="1648">
        <v>605808</v>
      </c>
      <c r="JSV366" s="1648">
        <v>847471</v>
      </c>
      <c r="JSW366" s="1648">
        <v>1070054</v>
      </c>
      <c r="JSX366" s="1648">
        <v>1003687</v>
      </c>
      <c r="JSY366" s="635">
        <v>6373312</v>
      </c>
      <c r="JSZ366" s="633">
        <f>SUM(JSM366:JSX366)</f>
        <v>6373312</v>
      </c>
      <c r="JTA366" s="919" t="s">
        <v>1839</v>
      </c>
      <c r="JTB366" s="1643" t="s">
        <v>1840</v>
      </c>
      <c r="JTC366" s="1648">
        <v>603740</v>
      </c>
      <c r="JTD366" s="1648">
        <v>515055</v>
      </c>
      <c r="JTE366" s="1648">
        <v>530271</v>
      </c>
      <c r="JTF366" s="1648">
        <v>212051</v>
      </c>
      <c r="JTG366" s="1648">
        <v>131147</v>
      </c>
      <c r="JTH366" s="1648">
        <v>101889</v>
      </c>
      <c r="JTI366" s="1648">
        <v>453326</v>
      </c>
      <c r="JTJ366" s="1648">
        <v>298813</v>
      </c>
      <c r="JTK366" s="1648">
        <v>605808</v>
      </c>
      <c r="JTL366" s="1648">
        <v>847471</v>
      </c>
      <c r="JTM366" s="1648">
        <v>1070054</v>
      </c>
      <c r="JTN366" s="1648">
        <v>1003687</v>
      </c>
      <c r="JTO366" s="635">
        <v>6373312</v>
      </c>
      <c r="JTP366" s="633">
        <f>SUM(JTC366:JTN366)</f>
        <v>6373312</v>
      </c>
      <c r="JTQ366" s="919" t="s">
        <v>1839</v>
      </c>
      <c r="JTR366" s="1643" t="s">
        <v>1840</v>
      </c>
      <c r="JTS366" s="1648">
        <v>603740</v>
      </c>
      <c r="JTT366" s="1648">
        <v>515055</v>
      </c>
      <c r="JTU366" s="1648">
        <v>530271</v>
      </c>
      <c r="JTV366" s="1648">
        <v>212051</v>
      </c>
      <c r="JTW366" s="1648">
        <v>131147</v>
      </c>
      <c r="JTX366" s="1648">
        <v>101889</v>
      </c>
      <c r="JTY366" s="1648">
        <v>453326</v>
      </c>
      <c r="JTZ366" s="1648">
        <v>298813</v>
      </c>
      <c r="JUA366" s="1648">
        <v>605808</v>
      </c>
      <c r="JUB366" s="1648">
        <v>847471</v>
      </c>
      <c r="JUC366" s="1648">
        <v>1070054</v>
      </c>
      <c r="JUD366" s="1648">
        <v>1003687</v>
      </c>
      <c r="JUE366" s="635">
        <v>6373312</v>
      </c>
      <c r="JUF366" s="633">
        <f>SUM(JTS366:JUD366)</f>
        <v>6373312</v>
      </c>
      <c r="JUG366" s="919" t="s">
        <v>1839</v>
      </c>
      <c r="JUH366" s="1643" t="s">
        <v>1840</v>
      </c>
      <c r="JUI366" s="1648">
        <v>603740</v>
      </c>
      <c r="JUJ366" s="1648">
        <v>515055</v>
      </c>
      <c r="JUK366" s="1648">
        <v>530271</v>
      </c>
      <c r="JUL366" s="1648">
        <v>212051</v>
      </c>
      <c r="JUM366" s="1648">
        <v>131147</v>
      </c>
      <c r="JUN366" s="1648">
        <v>101889</v>
      </c>
      <c r="JUO366" s="1648">
        <v>453326</v>
      </c>
      <c r="JUP366" s="1648">
        <v>298813</v>
      </c>
      <c r="JUQ366" s="1648">
        <v>605808</v>
      </c>
      <c r="JUR366" s="1648">
        <v>847471</v>
      </c>
      <c r="JUS366" s="1648">
        <v>1070054</v>
      </c>
      <c r="JUT366" s="1648">
        <v>1003687</v>
      </c>
      <c r="JUU366" s="635">
        <v>6373312</v>
      </c>
      <c r="JUV366" s="633">
        <f>SUM(JUI366:JUT366)</f>
        <v>6373312</v>
      </c>
      <c r="JUW366" s="919" t="s">
        <v>1839</v>
      </c>
      <c r="JUX366" s="1643" t="s">
        <v>1840</v>
      </c>
      <c r="JUY366" s="1648">
        <v>603740</v>
      </c>
      <c r="JUZ366" s="1648">
        <v>515055</v>
      </c>
      <c r="JVA366" s="1648">
        <v>530271</v>
      </c>
      <c r="JVB366" s="1648">
        <v>212051</v>
      </c>
      <c r="JVC366" s="1648">
        <v>131147</v>
      </c>
      <c r="JVD366" s="1648">
        <v>101889</v>
      </c>
      <c r="JVE366" s="1648">
        <v>453326</v>
      </c>
      <c r="JVF366" s="1648">
        <v>298813</v>
      </c>
      <c r="JVG366" s="1648">
        <v>605808</v>
      </c>
      <c r="JVH366" s="1648">
        <v>847471</v>
      </c>
      <c r="JVI366" s="1648">
        <v>1070054</v>
      </c>
      <c r="JVJ366" s="1648">
        <v>1003687</v>
      </c>
      <c r="JVK366" s="635">
        <v>6373312</v>
      </c>
      <c r="JVL366" s="633">
        <f>SUM(JUY366:JVJ366)</f>
        <v>6373312</v>
      </c>
      <c r="JVM366" s="919" t="s">
        <v>1839</v>
      </c>
      <c r="JVN366" s="1643" t="s">
        <v>1840</v>
      </c>
      <c r="JVO366" s="1648">
        <v>603740</v>
      </c>
      <c r="JVP366" s="1648">
        <v>515055</v>
      </c>
      <c r="JVQ366" s="1648">
        <v>530271</v>
      </c>
      <c r="JVR366" s="1648">
        <v>212051</v>
      </c>
      <c r="JVS366" s="1648">
        <v>131147</v>
      </c>
      <c r="JVT366" s="1648">
        <v>101889</v>
      </c>
      <c r="JVU366" s="1648">
        <v>453326</v>
      </c>
      <c r="JVV366" s="1648">
        <v>298813</v>
      </c>
      <c r="JVW366" s="1648">
        <v>605808</v>
      </c>
      <c r="JVX366" s="1648">
        <v>847471</v>
      </c>
      <c r="JVY366" s="1648">
        <v>1070054</v>
      </c>
      <c r="JVZ366" s="1648">
        <v>1003687</v>
      </c>
      <c r="JWA366" s="635">
        <v>6373312</v>
      </c>
      <c r="JWB366" s="633">
        <f>SUM(JVO366:JVZ366)</f>
        <v>6373312</v>
      </c>
      <c r="JWC366" s="919" t="s">
        <v>1839</v>
      </c>
      <c r="JWD366" s="1643" t="s">
        <v>1840</v>
      </c>
      <c r="JWE366" s="1648">
        <v>603740</v>
      </c>
      <c r="JWF366" s="1648">
        <v>515055</v>
      </c>
      <c r="JWG366" s="1648">
        <v>530271</v>
      </c>
      <c r="JWH366" s="1648">
        <v>212051</v>
      </c>
      <c r="JWI366" s="1648">
        <v>131147</v>
      </c>
      <c r="JWJ366" s="1648">
        <v>101889</v>
      </c>
      <c r="JWK366" s="1648">
        <v>453326</v>
      </c>
      <c r="JWL366" s="1648">
        <v>298813</v>
      </c>
      <c r="JWM366" s="1648">
        <v>605808</v>
      </c>
      <c r="JWN366" s="1648">
        <v>847471</v>
      </c>
      <c r="JWO366" s="1648">
        <v>1070054</v>
      </c>
      <c r="JWP366" s="1648">
        <v>1003687</v>
      </c>
      <c r="JWQ366" s="635">
        <v>6373312</v>
      </c>
      <c r="JWR366" s="633">
        <f>SUM(JWE366:JWP366)</f>
        <v>6373312</v>
      </c>
      <c r="JWS366" s="919" t="s">
        <v>1839</v>
      </c>
      <c r="JWT366" s="1643" t="s">
        <v>1840</v>
      </c>
      <c r="JWU366" s="1648">
        <v>603740</v>
      </c>
      <c r="JWV366" s="1648">
        <v>515055</v>
      </c>
      <c r="JWW366" s="1648">
        <v>530271</v>
      </c>
      <c r="JWX366" s="1648">
        <v>212051</v>
      </c>
      <c r="JWY366" s="1648">
        <v>131147</v>
      </c>
      <c r="JWZ366" s="1648">
        <v>101889</v>
      </c>
      <c r="JXA366" s="1648">
        <v>453326</v>
      </c>
      <c r="JXB366" s="1648">
        <v>298813</v>
      </c>
      <c r="JXC366" s="1648">
        <v>605808</v>
      </c>
      <c r="JXD366" s="1648">
        <v>847471</v>
      </c>
      <c r="JXE366" s="1648">
        <v>1070054</v>
      </c>
      <c r="JXF366" s="1648">
        <v>1003687</v>
      </c>
      <c r="JXG366" s="635">
        <v>6373312</v>
      </c>
      <c r="JXH366" s="633">
        <f>SUM(JWU366:JXF366)</f>
        <v>6373312</v>
      </c>
      <c r="JXI366" s="919" t="s">
        <v>1839</v>
      </c>
      <c r="JXJ366" s="1643" t="s">
        <v>1840</v>
      </c>
      <c r="JXK366" s="1648">
        <v>603740</v>
      </c>
      <c r="JXL366" s="1648">
        <v>515055</v>
      </c>
      <c r="JXM366" s="1648">
        <v>530271</v>
      </c>
      <c r="JXN366" s="1648">
        <v>212051</v>
      </c>
      <c r="JXO366" s="1648">
        <v>131147</v>
      </c>
      <c r="JXP366" s="1648">
        <v>101889</v>
      </c>
      <c r="JXQ366" s="1648">
        <v>453326</v>
      </c>
      <c r="JXR366" s="1648">
        <v>298813</v>
      </c>
      <c r="JXS366" s="1648">
        <v>605808</v>
      </c>
      <c r="JXT366" s="1648">
        <v>847471</v>
      </c>
      <c r="JXU366" s="1648">
        <v>1070054</v>
      </c>
      <c r="JXV366" s="1648">
        <v>1003687</v>
      </c>
      <c r="JXW366" s="635">
        <v>6373312</v>
      </c>
      <c r="JXX366" s="633">
        <f>SUM(JXK366:JXV366)</f>
        <v>6373312</v>
      </c>
      <c r="JXY366" s="919" t="s">
        <v>1839</v>
      </c>
      <c r="JXZ366" s="1643" t="s">
        <v>1840</v>
      </c>
      <c r="JYA366" s="1648">
        <v>603740</v>
      </c>
      <c r="JYB366" s="1648">
        <v>515055</v>
      </c>
      <c r="JYC366" s="1648">
        <v>530271</v>
      </c>
      <c r="JYD366" s="1648">
        <v>212051</v>
      </c>
      <c r="JYE366" s="1648">
        <v>131147</v>
      </c>
      <c r="JYF366" s="1648">
        <v>101889</v>
      </c>
      <c r="JYG366" s="1648">
        <v>453326</v>
      </c>
      <c r="JYH366" s="1648">
        <v>298813</v>
      </c>
      <c r="JYI366" s="1648">
        <v>605808</v>
      </c>
      <c r="JYJ366" s="1648">
        <v>847471</v>
      </c>
      <c r="JYK366" s="1648">
        <v>1070054</v>
      </c>
      <c r="JYL366" s="1648">
        <v>1003687</v>
      </c>
      <c r="JYM366" s="635">
        <v>6373312</v>
      </c>
      <c r="JYN366" s="633">
        <f>SUM(JYA366:JYL366)</f>
        <v>6373312</v>
      </c>
      <c r="JYO366" s="919" t="s">
        <v>1839</v>
      </c>
      <c r="JYP366" s="1643" t="s">
        <v>1840</v>
      </c>
      <c r="JYQ366" s="1648">
        <v>603740</v>
      </c>
      <c r="JYR366" s="1648">
        <v>515055</v>
      </c>
      <c r="JYS366" s="1648">
        <v>530271</v>
      </c>
      <c r="JYT366" s="1648">
        <v>212051</v>
      </c>
      <c r="JYU366" s="1648">
        <v>131147</v>
      </c>
      <c r="JYV366" s="1648">
        <v>101889</v>
      </c>
      <c r="JYW366" s="1648">
        <v>453326</v>
      </c>
      <c r="JYX366" s="1648">
        <v>298813</v>
      </c>
      <c r="JYY366" s="1648">
        <v>605808</v>
      </c>
      <c r="JYZ366" s="1648">
        <v>847471</v>
      </c>
      <c r="JZA366" s="1648">
        <v>1070054</v>
      </c>
      <c r="JZB366" s="1648">
        <v>1003687</v>
      </c>
      <c r="JZC366" s="635">
        <v>6373312</v>
      </c>
      <c r="JZD366" s="633">
        <f>SUM(JYQ366:JZB366)</f>
        <v>6373312</v>
      </c>
      <c r="JZE366" s="919" t="s">
        <v>1839</v>
      </c>
      <c r="JZF366" s="1643" t="s">
        <v>1840</v>
      </c>
      <c r="JZG366" s="1648">
        <v>603740</v>
      </c>
      <c r="JZH366" s="1648">
        <v>515055</v>
      </c>
      <c r="JZI366" s="1648">
        <v>530271</v>
      </c>
      <c r="JZJ366" s="1648">
        <v>212051</v>
      </c>
      <c r="JZK366" s="1648">
        <v>131147</v>
      </c>
      <c r="JZL366" s="1648">
        <v>101889</v>
      </c>
      <c r="JZM366" s="1648">
        <v>453326</v>
      </c>
      <c r="JZN366" s="1648">
        <v>298813</v>
      </c>
      <c r="JZO366" s="1648">
        <v>605808</v>
      </c>
      <c r="JZP366" s="1648">
        <v>847471</v>
      </c>
      <c r="JZQ366" s="1648">
        <v>1070054</v>
      </c>
      <c r="JZR366" s="1648">
        <v>1003687</v>
      </c>
      <c r="JZS366" s="635">
        <v>6373312</v>
      </c>
      <c r="JZT366" s="633">
        <f>SUM(JZG366:JZR366)</f>
        <v>6373312</v>
      </c>
      <c r="JZU366" s="919" t="s">
        <v>1839</v>
      </c>
      <c r="JZV366" s="1643" t="s">
        <v>1840</v>
      </c>
      <c r="JZW366" s="1648">
        <v>603740</v>
      </c>
      <c r="JZX366" s="1648">
        <v>515055</v>
      </c>
      <c r="JZY366" s="1648">
        <v>530271</v>
      </c>
      <c r="JZZ366" s="1648">
        <v>212051</v>
      </c>
      <c r="KAA366" s="1648">
        <v>131147</v>
      </c>
      <c r="KAB366" s="1648">
        <v>101889</v>
      </c>
      <c r="KAC366" s="1648">
        <v>453326</v>
      </c>
      <c r="KAD366" s="1648">
        <v>298813</v>
      </c>
      <c r="KAE366" s="1648">
        <v>605808</v>
      </c>
      <c r="KAF366" s="1648">
        <v>847471</v>
      </c>
      <c r="KAG366" s="1648">
        <v>1070054</v>
      </c>
      <c r="KAH366" s="1648">
        <v>1003687</v>
      </c>
      <c r="KAI366" s="635">
        <v>6373312</v>
      </c>
      <c r="KAJ366" s="633">
        <f>SUM(JZW366:KAH366)</f>
        <v>6373312</v>
      </c>
      <c r="KAK366" s="919" t="s">
        <v>1839</v>
      </c>
      <c r="KAL366" s="1643" t="s">
        <v>1840</v>
      </c>
      <c r="KAM366" s="1648">
        <v>603740</v>
      </c>
      <c r="KAN366" s="1648">
        <v>515055</v>
      </c>
      <c r="KAO366" s="1648">
        <v>530271</v>
      </c>
      <c r="KAP366" s="1648">
        <v>212051</v>
      </c>
      <c r="KAQ366" s="1648">
        <v>131147</v>
      </c>
      <c r="KAR366" s="1648">
        <v>101889</v>
      </c>
      <c r="KAS366" s="1648">
        <v>453326</v>
      </c>
      <c r="KAT366" s="1648">
        <v>298813</v>
      </c>
      <c r="KAU366" s="1648">
        <v>605808</v>
      </c>
      <c r="KAV366" s="1648">
        <v>847471</v>
      </c>
      <c r="KAW366" s="1648">
        <v>1070054</v>
      </c>
      <c r="KAX366" s="1648">
        <v>1003687</v>
      </c>
      <c r="KAY366" s="635">
        <v>6373312</v>
      </c>
      <c r="KAZ366" s="633">
        <f>SUM(KAM366:KAX366)</f>
        <v>6373312</v>
      </c>
      <c r="KBA366" s="919" t="s">
        <v>1839</v>
      </c>
      <c r="KBB366" s="1643" t="s">
        <v>1840</v>
      </c>
      <c r="KBC366" s="1648">
        <v>603740</v>
      </c>
      <c r="KBD366" s="1648">
        <v>515055</v>
      </c>
      <c r="KBE366" s="1648">
        <v>530271</v>
      </c>
      <c r="KBF366" s="1648">
        <v>212051</v>
      </c>
      <c r="KBG366" s="1648">
        <v>131147</v>
      </c>
      <c r="KBH366" s="1648">
        <v>101889</v>
      </c>
      <c r="KBI366" s="1648">
        <v>453326</v>
      </c>
      <c r="KBJ366" s="1648">
        <v>298813</v>
      </c>
      <c r="KBK366" s="1648">
        <v>605808</v>
      </c>
      <c r="KBL366" s="1648">
        <v>847471</v>
      </c>
      <c r="KBM366" s="1648">
        <v>1070054</v>
      </c>
      <c r="KBN366" s="1648">
        <v>1003687</v>
      </c>
      <c r="KBO366" s="635">
        <v>6373312</v>
      </c>
      <c r="KBP366" s="633">
        <f>SUM(KBC366:KBN366)</f>
        <v>6373312</v>
      </c>
      <c r="KBQ366" s="919" t="s">
        <v>1839</v>
      </c>
      <c r="KBR366" s="1643" t="s">
        <v>1840</v>
      </c>
      <c r="KBS366" s="1648">
        <v>603740</v>
      </c>
      <c r="KBT366" s="1648">
        <v>515055</v>
      </c>
      <c r="KBU366" s="1648">
        <v>530271</v>
      </c>
      <c r="KBV366" s="1648">
        <v>212051</v>
      </c>
      <c r="KBW366" s="1648">
        <v>131147</v>
      </c>
      <c r="KBX366" s="1648">
        <v>101889</v>
      </c>
      <c r="KBY366" s="1648">
        <v>453326</v>
      </c>
      <c r="KBZ366" s="1648">
        <v>298813</v>
      </c>
      <c r="KCA366" s="1648">
        <v>605808</v>
      </c>
      <c r="KCB366" s="1648">
        <v>847471</v>
      </c>
      <c r="KCC366" s="1648">
        <v>1070054</v>
      </c>
      <c r="KCD366" s="1648">
        <v>1003687</v>
      </c>
      <c r="KCE366" s="635">
        <v>6373312</v>
      </c>
      <c r="KCF366" s="633">
        <f>SUM(KBS366:KCD366)</f>
        <v>6373312</v>
      </c>
      <c r="KCG366" s="919" t="s">
        <v>1839</v>
      </c>
      <c r="KCH366" s="1643" t="s">
        <v>1840</v>
      </c>
      <c r="KCI366" s="1648">
        <v>603740</v>
      </c>
      <c r="KCJ366" s="1648">
        <v>515055</v>
      </c>
      <c r="KCK366" s="1648">
        <v>530271</v>
      </c>
      <c r="KCL366" s="1648">
        <v>212051</v>
      </c>
      <c r="KCM366" s="1648">
        <v>131147</v>
      </c>
      <c r="KCN366" s="1648">
        <v>101889</v>
      </c>
      <c r="KCO366" s="1648">
        <v>453326</v>
      </c>
      <c r="KCP366" s="1648">
        <v>298813</v>
      </c>
      <c r="KCQ366" s="1648">
        <v>605808</v>
      </c>
      <c r="KCR366" s="1648">
        <v>847471</v>
      </c>
      <c r="KCS366" s="1648">
        <v>1070054</v>
      </c>
      <c r="KCT366" s="1648">
        <v>1003687</v>
      </c>
      <c r="KCU366" s="635">
        <v>6373312</v>
      </c>
      <c r="KCV366" s="633">
        <f>SUM(KCI366:KCT366)</f>
        <v>6373312</v>
      </c>
      <c r="KCW366" s="919" t="s">
        <v>1839</v>
      </c>
      <c r="KCX366" s="1643" t="s">
        <v>1840</v>
      </c>
      <c r="KCY366" s="1648">
        <v>603740</v>
      </c>
      <c r="KCZ366" s="1648">
        <v>515055</v>
      </c>
      <c r="KDA366" s="1648">
        <v>530271</v>
      </c>
      <c r="KDB366" s="1648">
        <v>212051</v>
      </c>
      <c r="KDC366" s="1648">
        <v>131147</v>
      </c>
      <c r="KDD366" s="1648">
        <v>101889</v>
      </c>
      <c r="KDE366" s="1648">
        <v>453326</v>
      </c>
      <c r="KDF366" s="1648">
        <v>298813</v>
      </c>
      <c r="KDG366" s="1648">
        <v>605808</v>
      </c>
      <c r="KDH366" s="1648">
        <v>847471</v>
      </c>
      <c r="KDI366" s="1648">
        <v>1070054</v>
      </c>
      <c r="KDJ366" s="1648">
        <v>1003687</v>
      </c>
      <c r="KDK366" s="635">
        <v>6373312</v>
      </c>
      <c r="KDL366" s="633">
        <f>SUM(KCY366:KDJ366)</f>
        <v>6373312</v>
      </c>
      <c r="KDM366" s="919" t="s">
        <v>1839</v>
      </c>
      <c r="KDN366" s="1643" t="s">
        <v>1840</v>
      </c>
      <c r="KDO366" s="1648">
        <v>603740</v>
      </c>
      <c r="KDP366" s="1648">
        <v>515055</v>
      </c>
      <c r="KDQ366" s="1648">
        <v>530271</v>
      </c>
      <c r="KDR366" s="1648">
        <v>212051</v>
      </c>
      <c r="KDS366" s="1648">
        <v>131147</v>
      </c>
      <c r="KDT366" s="1648">
        <v>101889</v>
      </c>
      <c r="KDU366" s="1648">
        <v>453326</v>
      </c>
      <c r="KDV366" s="1648">
        <v>298813</v>
      </c>
      <c r="KDW366" s="1648">
        <v>605808</v>
      </c>
      <c r="KDX366" s="1648">
        <v>847471</v>
      </c>
      <c r="KDY366" s="1648">
        <v>1070054</v>
      </c>
      <c r="KDZ366" s="1648">
        <v>1003687</v>
      </c>
      <c r="KEA366" s="635">
        <v>6373312</v>
      </c>
      <c r="KEB366" s="633">
        <f>SUM(KDO366:KDZ366)</f>
        <v>6373312</v>
      </c>
      <c r="KEC366" s="919" t="s">
        <v>1839</v>
      </c>
      <c r="KED366" s="1643" t="s">
        <v>1840</v>
      </c>
      <c r="KEE366" s="1648">
        <v>603740</v>
      </c>
      <c r="KEF366" s="1648">
        <v>515055</v>
      </c>
      <c r="KEG366" s="1648">
        <v>530271</v>
      </c>
      <c r="KEH366" s="1648">
        <v>212051</v>
      </c>
      <c r="KEI366" s="1648">
        <v>131147</v>
      </c>
      <c r="KEJ366" s="1648">
        <v>101889</v>
      </c>
      <c r="KEK366" s="1648">
        <v>453326</v>
      </c>
      <c r="KEL366" s="1648">
        <v>298813</v>
      </c>
      <c r="KEM366" s="1648">
        <v>605808</v>
      </c>
      <c r="KEN366" s="1648">
        <v>847471</v>
      </c>
      <c r="KEO366" s="1648">
        <v>1070054</v>
      </c>
      <c r="KEP366" s="1648">
        <v>1003687</v>
      </c>
      <c r="KEQ366" s="635">
        <v>6373312</v>
      </c>
      <c r="KER366" s="633">
        <f>SUM(KEE366:KEP366)</f>
        <v>6373312</v>
      </c>
      <c r="KES366" s="919" t="s">
        <v>1839</v>
      </c>
      <c r="KET366" s="1643" t="s">
        <v>1840</v>
      </c>
      <c r="KEU366" s="1648">
        <v>603740</v>
      </c>
      <c r="KEV366" s="1648">
        <v>515055</v>
      </c>
      <c r="KEW366" s="1648">
        <v>530271</v>
      </c>
      <c r="KEX366" s="1648">
        <v>212051</v>
      </c>
      <c r="KEY366" s="1648">
        <v>131147</v>
      </c>
      <c r="KEZ366" s="1648">
        <v>101889</v>
      </c>
      <c r="KFA366" s="1648">
        <v>453326</v>
      </c>
      <c r="KFB366" s="1648">
        <v>298813</v>
      </c>
      <c r="KFC366" s="1648">
        <v>605808</v>
      </c>
      <c r="KFD366" s="1648">
        <v>847471</v>
      </c>
      <c r="KFE366" s="1648">
        <v>1070054</v>
      </c>
      <c r="KFF366" s="1648">
        <v>1003687</v>
      </c>
      <c r="KFG366" s="635">
        <v>6373312</v>
      </c>
      <c r="KFH366" s="633">
        <f>SUM(KEU366:KFF366)</f>
        <v>6373312</v>
      </c>
      <c r="KFI366" s="919" t="s">
        <v>1839</v>
      </c>
      <c r="KFJ366" s="1643" t="s">
        <v>1840</v>
      </c>
      <c r="KFK366" s="1648">
        <v>603740</v>
      </c>
      <c r="KFL366" s="1648">
        <v>515055</v>
      </c>
      <c r="KFM366" s="1648">
        <v>530271</v>
      </c>
      <c r="KFN366" s="1648">
        <v>212051</v>
      </c>
      <c r="KFO366" s="1648">
        <v>131147</v>
      </c>
      <c r="KFP366" s="1648">
        <v>101889</v>
      </c>
      <c r="KFQ366" s="1648">
        <v>453326</v>
      </c>
      <c r="KFR366" s="1648">
        <v>298813</v>
      </c>
      <c r="KFS366" s="1648">
        <v>605808</v>
      </c>
      <c r="KFT366" s="1648">
        <v>847471</v>
      </c>
      <c r="KFU366" s="1648">
        <v>1070054</v>
      </c>
      <c r="KFV366" s="1648">
        <v>1003687</v>
      </c>
      <c r="KFW366" s="635">
        <v>6373312</v>
      </c>
      <c r="KFX366" s="633">
        <f>SUM(KFK366:KFV366)</f>
        <v>6373312</v>
      </c>
      <c r="KFY366" s="919" t="s">
        <v>1839</v>
      </c>
      <c r="KFZ366" s="1643" t="s">
        <v>1840</v>
      </c>
      <c r="KGA366" s="1648">
        <v>603740</v>
      </c>
      <c r="KGB366" s="1648">
        <v>515055</v>
      </c>
      <c r="KGC366" s="1648">
        <v>530271</v>
      </c>
      <c r="KGD366" s="1648">
        <v>212051</v>
      </c>
      <c r="KGE366" s="1648">
        <v>131147</v>
      </c>
      <c r="KGF366" s="1648">
        <v>101889</v>
      </c>
      <c r="KGG366" s="1648">
        <v>453326</v>
      </c>
      <c r="KGH366" s="1648">
        <v>298813</v>
      </c>
      <c r="KGI366" s="1648">
        <v>605808</v>
      </c>
      <c r="KGJ366" s="1648">
        <v>847471</v>
      </c>
      <c r="KGK366" s="1648">
        <v>1070054</v>
      </c>
      <c r="KGL366" s="1648">
        <v>1003687</v>
      </c>
      <c r="KGM366" s="635">
        <v>6373312</v>
      </c>
      <c r="KGN366" s="633">
        <f>SUM(KGA366:KGL366)</f>
        <v>6373312</v>
      </c>
      <c r="KGO366" s="919" t="s">
        <v>1839</v>
      </c>
      <c r="KGP366" s="1643" t="s">
        <v>1840</v>
      </c>
      <c r="KGQ366" s="1648">
        <v>603740</v>
      </c>
      <c r="KGR366" s="1648">
        <v>515055</v>
      </c>
      <c r="KGS366" s="1648">
        <v>530271</v>
      </c>
      <c r="KGT366" s="1648">
        <v>212051</v>
      </c>
      <c r="KGU366" s="1648">
        <v>131147</v>
      </c>
      <c r="KGV366" s="1648">
        <v>101889</v>
      </c>
      <c r="KGW366" s="1648">
        <v>453326</v>
      </c>
      <c r="KGX366" s="1648">
        <v>298813</v>
      </c>
      <c r="KGY366" s="1648">
        <v>605808</v>
      </c>
      <c r="KGZ366" s="1648">
        <v>847471</v>
      </c>
      <c r="KHA366" s="1648">
        <v>1070054</v>
      </c>
      <c r="KHB366" s="1648">
        <v>1003687</v>
      </c>
      <c r="KHC366" s="635">
        <v>6373312</v>
      </c>
      <c r="KHD366" s="633">
        <f>SUM(KGQ366:KHB366)</f>
        <v>6373312</v>
      </c>
      <c r="KHE366" s="919" t="s">
        <v>1839</v>
      </c>
      <c r="KHF366" s="1643" t="s">
        <v>1840</v>
      </c>
      <c r="KHG366" s="1648">
        <v>603740</v>
      </c>
      <c r="KHH366" s="1648">
        <v>515055</v>
      </c>
      <c r="KHI366" s="1648">
        <v>530271</v>
      </c>
      <c r="KHJ366" s="1648">
        <v>212051</v>
      </c>
      <c r="KHK366" s="1648">
        <v>131147</v>
      </c>
      <c r="KHL366" s="1648">
        <v>101889</v>
      </c>
      <c r="KHM366" s="1648">
        <v>453326</v>
      </c>
      <c r="KHN366" s="1648">
        <v>298813</v>
      </c>
      <c r="KHO366" s="1648">
        <v>605808</v>
      </c>
      <c r="KHP366" s="1648">
        <v>847471</v>
      </c>
      <c r="KHQ366" s="1648">
        <v>1070054</v>
      </c>
      <c r="KHR366" s="1648">
        <v>1003687</v>
      </c>
      <c r="KHS366" s="635">
        <v>6373312</v>
      </c>
      <c r="KHT366" s="633">
        <f>SUM(KHG366:KHR366)</f>
        <v>6373312</v>
      </c>
      <c r="KHU366" s="919" t="s">
        <v>1839</v>
      </c>
      <c r="KHV366" s="1643" t="s">
        <v>1840</v>
      </c>
      <c r="KHW366" s="1648">
        <v>603740</v>
      </c>
      <c r="KHX366" s="1648">
        <v>515055</v>
      </c>
      <c r="KHY366" s="1648">
        <v>530271</v>
      </c>
      <c r="KHZ366" s="1648">
        <v>212051</v>
      </c>
      <c r="KIA366" s="1648">
        <v>131147</v>
      </c>
      <c r="KIB366" s="1648">
        <v>101889</v>
      </c>
      <c r="KIC366" s="1648">
        <v>453326</v>
      </c>
      <c r="KID366" s="1648">
        <v>298813</v>
      </c>
      <c r="KIE366" s="1648">
        <v>605808</v>
      </c>
      <c r="KIF366" s="1648">
        <v>847471</v>
      </c>
      <c r="KIG366" s="1648">
        <v>1070054</v>
      </c>
      <c r="KIH366" s="1648">
        <v>1003687</v>
      </c>
      <c r="KII366" s="635">
        <v>6373312</v>
      </c>
      <c r="KIJ366" s="633">
        <f>SUM(KHW366:KIH366)</f>
        <v>6373312</v>
      </c>
      <c r="KIK366" s="919" t="s">
        <v>1839</v>
      </c>
      <c r="KIL366" s="1643" t="s">
        <v>1840</v>
      </c>
      <c r="KIM366" s="1648">
        <v>603740</v>
      </c>
      <c r="KIN366" s="1648">
        <v>515055</v>
      </c>
      <c r="KIO366" s="1648">
        <v>530271</v>
      </c>
      <c r="KIP366" s="1648">
        <v>212051</v>
      </c>
      <c r="KIQ366" s="1648">
        <v>131147</v>
      </c>
      <c r="KIR366" s="1648">
        <v>101889</v>
      </c>
      <c r="KIS366" s="1648">
        <v>453326</v>
      </c>
      <c r="KIT366" s="1648">
        <v>298813</v>
      </c>
      <c r="KIU366" s="1648">
        <v>605808</v>
      </c>
      <c r="KIV366" s="1648">
        <v>847471</v>
      </c>
      <c r="KIW366" s="1648">
        <v>1070054</v>
      </c>
      <c r="KIX366" s="1648">
        <v>1003687</v>
      </c>
      <c r="KIY366" s="635">
        <v>6373312</v>
      </c>
      <c r="KIZ366" s="633">
        <f>SUM(KIM366:KIX366)</f>
        <v>6373312</v>
      </c>
      <c r="KJA366" s="919" t="s">
        <v>1839</v>
      </c>
      <c r="KJB366" s="1643" t="s">
        <v>1840</v>
      </c>
      <c r="KJC366" s="1648">
        <v>603740</v>
      </c>
      <c r="KJD366" s="1648">
        <v>515055</v>
      </c>
      <c r="KJE366" s="1648">
        <v>530271</v>
      </c>
      <c r="KJF366" s="1648">
        <v>212051</v>
      </c>
      <c r="KJG366" s="1648">
        <v>131147</v>
      </c>
      <c r="KJH366" s="1648">
        <v>101889</v>
      </c>
      <c r="KJI366" s="1648">
        <v>453326</v>
      </c>
      <c r="KJJ366" s="1648">
        <v>298813</v>
      </c>
      <c r="KJK366" s="1648">
        <v>605808</v>
      </c>
      <c r="KJL366" s="1648">
        <v>847471</v>
      </c>
      <c r="KJM366" s="1648">
        <v>1070054</v>
      </c>
      <c r="KJN366" s="1648">
        <v>1003687</v>
      </c>
      <c r="KJO366" s="635">
        <v>6373312</v>
      </c>
      <c r="KJP366" s="633">
        <f>SUM(KJC366:KJN366)</f>
        <v>6373312</v>
      </c>
      <c r="KJQ366" s="919" t="s">
        <v>1839</v>
      </c>
      <c r="KJR366" s="1643" t="s">
        <v>1840</v>
      </c>
      <c r="KJS366" s="1648">
        <v>603740</v>
      </c>
      <c r="KJT366" s="1648">
        <v>515055</v>
      </c>
      <c r="KJU366" s="1648">
        <v>530271</v>
      </c>
      <c r="KJV366" s="1648">
        <v>212051</v>
      </c>
      <c r="KJW366" s="1648">
        <v>131147</v>
      </c>
      <c r="KJX366" s="1648">
        <v>101889</v>
      </c>
      <c r="KJY366" s="1648">
        <v>453326</v>
      </c>
      <c r="KJZ366" s="1648">
        <v>298813</v>
      </c>
      <c r="KKA366" s="1648">
        <v>605808</v>
      </c>
      <c r="KKB366" s="1648">
        <v>847471</v>
      </c>
      <c r="KKC366" s="1648">
        <v>1070054</v>
      </c>
      <c r="KKD366" s="1648">
        <v>1003687</v>
      </c>
      <c r="KKE366" s="635">
        <v>6373312</v>
      </c>
      <c r="KKF366" s="633">
        <f>SUM(KJS366:KKD366)</f>
        <v>6373312</v>
      </c>
      <c r="KKG366" s="919" t="s">
        <v>1839</v>
      </c>
      <c r="KKH366" s="1643" t="s">
        <v>1840</v>
      </c>
      <c r="KKI366" s="1648">
        <v>603740</v>
      </c>
      <c r="KKJ366" s="1648">
        <v>515055</v>
      </c>
      <c r="KKK366" s="1648">
        <v>530271</v>
      </c>
      <c r="KKL366" s="1648">
        <v>212051</v>
      </c>
      <c r="KKM366" s="1648">
        <v>131147</v>
      </c>
      <c r="KKN366" s="1648">
        <v>101889</v>
      </c>
      <c r="KKO366" s="1648">
        <v>453326</v>
      </c>
      <c r="KKP366" s="1648">
        <v>298813</v>
      </c>
      <c r="KKQ366" s="1648">
        <v>605808</v>
      </c>
      <c r="KKR366" s="1648">
        <v>847471</v>
      </c>
      <c r="KKS366" s="1648">
        <v>1070054</v>
      </c>
      <c r="KKT366" s="1648">
        <v>1003687</v>
      </c>
      <c r="KKU366" s="635">
        <v>6373312</v>
      </c>
      <c r="KKV366" s="633">
        <f>SUM(KKI366:KKT366)</f>
        <v>6373312</v>
      </c>
      <c r="KKW366" s="919" t="s">
        <v>1839</v>
      </c>
      <c r="KKX366" s="1643" t="s">
        <v>1840</v>
      </c>
      <c r="KKY366" s="1648">
        <v>603740</v>
      </c>
      <c r="KKZ366" s="1648">
        <v>515055</v>
      </c>
      <c r="KLA366" s="1648">
        <v>530271</v>
      </c>
      <c r="KLB366" s="1648">
        <v>212051</v>
      </c>
      <c r="KLC366" s="1648">
        <v>131147</v>
      </c>
      <c r="KLD366" s="1648">
        <v>101889</v>
      </c>
      <c r="KLE366" s="1648">
        <v>453326</v>
      </c>
      <c r="KLF366" s="1648">
        <v>298813</v>
      </c>
      <c r="KLG366" s="1648">
        <v>605808</v>
      </c>
      <c r="KLH366" s="1648">
        <v>847471</v>
      </c>
      <c r="KLI366" s="1648">
        <v>1070054</v>
      </c>
      <c r="KLJ366" s="1648">
        <v>1003687</v>
      </c>
      <c r="KLK366" s="635">
        <v>6373312</v>
      </c>
      <c r="KLL366" s="633">
        <f>SUM(KKY366:KLJ366)</f>
        <v>6373312</v>
      </c>
      <c r="KLM366" s="919" t="s">
        <v>1839</v>
      </c>
      <c r="KLN366" s="1643" t="s">
        <v>1840</v>
      </c>
      <c r="KLO366" s="1648">
        <v>603740</v>
      </c>
      <c r="KLP366" s="1648">
        <v>515055</v>
      </c>
      <c r="KLQ366" s="1648">
        <v>530271</v>
      </c>
      <c r="KLR366" s="1648">
        <v>212051</v>
      </c>
      <c r="KLS366" s="1648">
        <v>131147</v>
      </c>
      <c r="KLT366" s="1648">
        <v>101889</v>
      </c>
      <c r="KLU366" s="1648">
        <v>453326</v>
      </c>
      <c r="KLV366" s="1648">
        <v>298813</v>
      </c>
      <c r="KLW366" s="1648">
        <v>605808</v>
      </c>
      <c r="KLX366" s="1648">
        <v>847471</v>
      </c>
      <c r="KLY366" s="1648">
        <v>1070054</v>
      </c>
      <c r="KLZ366" s="1648">
        <v>1003687</v>
      </c>
      <c r="KMA366" s="635">
        <v>6373312</v>
      </c>
      <c r="KMB366" s="633">
        <f>SUM(KLO366:KLZ366)</f>
        <v>6373312</v>
      </c>
      <c r="KMC366" s="919" t="s">
        <v>1839</v>
      </c>
      <c r="KMD366" s="1643" t="s">
        <v>1840</v>
      </c>
      <c r="KME366" s="1648">
        <v>603740</v>
      </c>
      <c r="KMF366" s="1648">
        <v>515055</v>
      </c>
      <c r="KMG366" s="1648">
        <v>530271</v>
      </c>
      <c r="KMH366" s="1648">
        <v>212051</v>
      </c>
      <c r="KMI366" s="1648">
        <v>131147</v>
      </c>
      <c r="KMJ366" s="1648">
        <v>101889</v>
      </c>
      <c r="KMK366" s="1648">
        <v>453326</v>
      </c>
      <c r="KML366" s="1648">
        <v>298813</v>
      </c>
      <c r="KMM366" s="1648">
        <v>605808</v>
      </c>
      <c r="KMN366" s="1648">
        <v>847471</v>
      </c>
      <c r="KMO366" s="1648">
        <v>1070054</v>
      </c>
      <c r="KMP366" s="1648">
        <v>1003687</v>
      </c>
      <c r="KMQ366" s="635">
        <v>6373312</v>
      </c>
      <c r="KMR366" s="633">
        <f>SUM(KME366:KMP366)</f>
        <v>6373312</v>
      </c>
      <c r="KMS366" s="919" t="s">
        <v>1839</v>
      </c>
      <c r="KMT366" s="1643" t="s">
        <v>1840</v>
      </c>
      <c r="KMU366" s="1648">
        <v>603740</v>
      </c>
      <c r="KMV366" s="1648">
        <v>515055</v>
      </c>
      <c r="KMW366" s="1648">
        <v>530271</v>
      </c>
      <c r="KMX366" s="1648">
        <v>212051</v>
      </c>
      <c r="KMY366" s="1648">
        <v>131147</v>
      </c>
      <c r="KMZ366" s="1648">
        <v>101889</v>
      </c>
      <c r="KNA366" s="1648">
        <v>453326</v>
      </c>
      <c r="KNB366" s="1648">
        <v>298813</v>
      </c>
      <c r="KNC366" s="1648">
        <v>605808</v>
      </c>
      <c r="KND366" s="1648">
        <v>847471</v>
      </c>
      <c r="KNE366" s="1648">
        <v>1070054</v>
      </c>
      <c r="KNF366" s="1648">
        <v>1003687</v>
      </c>
      <c r="KNG366" s="635">
        <v>6373312</v>
      </c>
      <c r="KNH366" s="633">
        <f>SUM(KMU366:KNF366)</f>
        <v>6373312</v>
      </c>
      <c r="KNI366" s="919" t="s">
        <v>1839</v>
      </c>
      <c r="KNJ366" s="1643" t="s">
        <v>1840</v>
      </c>
      <c r="KNK366" s="1648">
        <v>603740</v>
      </c>
      <c r="KNL366" s="1648">
        <v>515055</v>
      </c>
      <c r="KNM366" s="1648">
        <v>530271</v>
      </c>
      <c r="KNN366" s="1648">
        <v>212051</v>
      </c>
      <c r="KNO366" s="1648">
        <v>131147</v>
      </c>
      <c r="KNP366" s="1648">
        <v>101889</v>
      </c>
      <c r="KNQ366" s="1648">
        <v>453326</v>
      </c>
      <c r="KNR366" s="1648">
        <v>298813</v>
      </c>
      <c r="KNS366" s="1648">
        <v>605808</v>
      </c>
      <c r="KNT366" s="1648">
        <v>847471</v>
      </c>
      <c r="KNU366" s="1648">
        <v>1070054</v>
      </c>
      <c r="KNV366" s="1648">
        <v>1003687</v>
      </c>
      <c r="KNW366" s="635">
        <v>6373312</v>
      </c>
      <c r="KNX366" s="633">
        <f>SUM(KNK366:KNV366)</f>
        <v>6373312</v>
      </c>
      <c r="KNY366" s="919" t="s">
        <v>1839</v>
      </c>
      <c r="KNZ366" s="1643" t="s">
        <v>1840</v>
      </c>
      <c r="KOA366" s="1648">
        <v>603740</v>
      </c>
      <c r="KOB366" s="1648">
        <v>515055</v>
      </c>
      <c r="KOC366" s="1648">
        <v>530271</v>
      </c>
      <c r="KOD366" s="1648">
        <v>212051</v>
      </c>
      <c r="KOE366" s="1648">
        <v>131147</v>
      </c>
      <c r="KOF366" s="1648">
        <v>101889</v>
      </c>
      <c r="KOG366" s="1648">
        <v>453326</v>
      </c>
      <c r="KOH366" s="1648">
        <v>298813</v>
      </c>
      <c r="KOI366" s="1648">
        <v>605808</v>
      </c>
      <c r="KOJ366" s="1648">
        <v>847471</v>
      </c>
      <c r="KOK366" s="1648">
        <v>1070054</v>
      </c>
      <c r="KOL366" s="1648">
        <v>1003687</v>
      </c>
      <c r="KOM366" s="635">
        <v>6373312</v>
      </c>
      <c r="KON366" s="633">
        <f>SUM(KOA366:KOL366)</f>
        <v>6373312</v>
      </c>
      <c r="KOO366" s="919" t="s">
        <v>1839</v>
      </c>
      <c r="KOP366" s="1643" t="s">
        <v>1840</v>
      </c>
      <c r="KOQ366" s="1648">
        <v>603740</v>
      </c>
      <c r="KOR366" s="1648">
        <v>515055</v>
      </c>
      <c r="KOS366" s="1648">
        <v>530271</v>
      </c>
      <c r="KOT366" s="1648">
        <v>212051</v>
      </c>
      <c r="KOU366" s="1648">
        <v>131147</v>
      </c>
      <c r="KOV366" s="1648">
        <v>101889</v>
      </c>
      <c r="KOW366" s="1648">
        <v>453326</v>
      </c>
      <c r="KOX366" s="1648">
        <v>298813</v>
      </c>
      <c r="KOY366" s="1648">
        <v>605808</v>
      </c>
      <c r="KOZ366" s="1648">
        <v>847471</v>
      </c>
      <c r="KPA366" s="1648">
        <v>1070054</v>
      </c>
      <c r="KPB366" s="1648">
        <v>1003687</v>
      </c>
      <c r="KPC366" s="635">
        <v>6373312</v>
      </c>
      <c r="KPD366" s="633">
        <f>SUM(KOQ366:KPB366)</f>
        <v>6373312</v>
      </c>
      <c r="KPE366" s="919" t="s">
        <v>1839</v>
      </c>
      <c r="KPF366" s="1643" t="s">
        <v>1840</v>
      </c>
      <c r="KPG366" s="1648">
        <v>603740</v>
      </c>
      <c r="KPH366" s="1648">
        <v>515055</v>
      </c>
      <c r="KPI366" s="1648">
        <v>530271</v>
      </c>
      <c r="KPJ366" s="1648">
        <v>212051</v>
      </c>
      <c r="KPK366" s="1648">
        <v>131147</v>
      </c>
      <c r="KPL366" s="1648">
        <v>101889</v>
      </c>
      <c r="KPM366" s="1648">
        <v>453326</v>
      </c>
      <c r="KPN366" s="1648">
        <v>298813</v>
      </c>
      <c r="KPO366" s="1648">
        <v>605808</v>
      </c>
      <c r="KPP366" s="1648">
        <v>847471</v>
      </c>
      <c r="KPQ366" s="1648">
        <v>1070054</v>
      </c>
      <c r="KPR366" s="1648">
        <v>1003687</v>
      </c>
      <c r="KPS366" s="635">
        <v>6373312</v>
      </c>
      <c r="KPT366" s="633">
        <f>SUM(KPG366:KPR366)</f>
        <v>6373312</v>
      </c>
      <c r="KPU366" s="919" t="s">
        <v>1839</v>
      </c>
      <c r="KPV366" s="1643" t="s">
        <v>1840</v>
      </c>
      <c r="KPW366" s="1648">
        <v>603740</v>
      </c>
      <c r="KPX366" s="1648">
        <v>515055</v>
      </c>
      <c r="KPY366" s="1648">
        <v>530271</v>
      </c>
      <c r="KPZ366" s="1648">
        <v>212051</v>
      </c>
      <c r="KQA366" s="1648">
        <v>131147</v>
      </c>
      <c r="KQB366" s="1648">
        <v>101889</v>
      </c>
      <c r="KQC366" s="1648">
        <v>453326</v>
      </c>
      <c r="KQD366" s="1648">
        <v>298813</v>
      </c>
      <c r="KQE366" s="1648">
        <v>605808</v>
      </c>
      <c r="KQF366" s="1648">
        <v>847471</v>
      </c>
      <c r="KQG366" s="1648">
        <v>1070054</v>
      </c>
      <c r="KQH366" s="1648">
        <v>1003687</v>
      </c>
      <c r="KQI366" s="635">
        <v>6373312</v>
      </c>
      <c r="KQJ366" s="633">
        <f>SUM(KPW366:KQH366)</f>
        <v>6373312</v>
      </c>
      <c r="KQK366" s="919" t="s">
        <v>1839</v>
      </c>
      <c r="KQL366" s="1643" t="s">
        <v>1840</v>
      </c>
      <c r="KQM366" s="1648">
        <v>603740</v>
      </c>
      <c r="KQN366" s="1648">
        <v>515055</v>
      </c>
      <c r="KQO366" s="1648">
        <v>530271</v>
      </c>
      <c r="KQP366" s="1648">
        <v>212051</v>
      </c>
      <c r="KQQ366" s="1648">
        <v>131147</v>
      </c>
      <c r="KQR366" s="1648">
        <v>101889</v>
      </c>
      <c r="KQS366" s="1648">
        <v>453326</v>
      </c>
      <c r="KQT366" s="1648">
        <v>298813</v>
      </c>
      <c r="KQU366" s="1648">
        <v>605808</v>
      </c>
      <c r="KQV366" s="1648">
        <v>847471</v>
      </c>
      <c r="KQW366" s="1648">
        <v>1070054</v>
      </c>
      <c r="KQX366" s="1648">
        <v>1003687</v>
      </c>
      <c r="KQY366" s="635">
        <v>6373312</v>
      </c>
      <c r="KQZ366" s="633">
        <f>SUM(KQM366:KQX366)</f>
        <v>6373312</v>
      </c>
      <c r="KRA366" s="919" t="s">
        <v>1839</v>
      </c>
      <c r="KRB366" s="1643" t="s">
        <v>1840</v>
      </c>
      <c r="KRC366" s="1648">
        <v>603740</v>
      </c>
      <c r="KRD366" s="1648">
        <v>515055</v>
      </c>
      <c r="KRE366" s="1648">
        <v>530271</v>
      </c>
      <c r="KRF366" s="1648">
        <v>212051</v>
      </c>
      <c r="KRG366" s="1648">
        <v>131147</v>
      </c>
      <c r="KRH366" s="1648">
        <v>101889</v>
      </c>
      <c r="KRI366" s="1648">
        <v>453326</v>
      </c>
      <c r="KRJ366" s="1648">
        <v>298813</v>
      </c>
      <c r="KRK366" s="1648">
        <v>605808</v>
      </c>
      <c r="KRL366" s="1648">
        <v>847471</v>
      </c>
      <c r="KRM366" s="1648">
        <v>1070054</v>
      </c>
      <c r="KRN366" s="1648">
        <v>1003687</v>
      </c>
      <c r="KRO366" s="635">
        <v>6373312</v>
      </c>
      <c r="KRP366" s="633">
        <f>SUM(KRC366:KRN366)</f>
        <v>6373312</v>
      </c>
      <c r="KRQ366" s="919" t="s">
        <v>1839</v>
      </c>
      <c r="KRR366" s="1643" t="s">
        <v>1840</v>
      </c>
      <c r="KRS366" s="1648">
        <v>603740</v>
      </c>
      <c r="KRT366" s="1648">
        <v>515055</v>
      </c>
      <c r="KRU366" s="1648">
        <v>530271</v>
      </c>
      <c r="KRV366" s="1648">
        <v>212051</v>
      </c>
      <c r="KRW366" s="1648">
        <v>131147</v>
      </c>
      <c r="KRX366" s="1648">
        <v>101889</v>
      </c>
      <c r="KRY366" s="1648">
        <v>453326</v>
      </c>
      <c r="KRZ366" s="1648">
        <v>298813</v>
      </c>
      <c r="KSA366" s="1648">
        <v>605808</v>
      </c>
      <c r="KSB366" s="1648">
        <v>847471</v>
      </c>
      <c r="KSC366" s="1648">
        <v>1070054</v>
      </c>
      <c r="KSD366" s="1648">
        <v>1003687</v>
      </c>
      <c r="KSE366" s="635">
        <v>6373312</v>
      </c>
      <c r="KSF366" s="633">
        <f>SUM(KRS366:KSD366)</f>
        <v>6373312</v>
      </c>
      <c r="KSG366" s="919" t="s">
        <v>1839</v>
      </c>
      <c r="KSH366" s="1643" t="s">
        <v>1840</v>
      </c>
      <c r="KSI366" s="1648">
        <v>603740</v>
      </c>
      <c r="KSJ366" s="1648">
        <v>515055</v>
      </c>
      <c r="KSK366" s="1648">
        <v>530271</v>
      </c>
      <c r="KSL366" s="1648">
        <v>212051</v>
      </c>
      <c r="KSM366" s="1648">
        <v>131147</v>
      </c>
      <c r="KSN366" s="1648">
        <v>101889</v>
      </c>
      <c r="KSO366" s="1648">
        <v>453326</v>
      </c>
      <c r="KSP366" s="1648">
        <v>298813</v>
      </c>
      <c r="KSQ366" s="1648">
        <v>605808</v>
      </c>
      <c r="KSR366" s="1648">
        <v>847471</v>
      </c>
      <c r="KSS366" s="1648">
        <v>1070054</v>
      </c>
      <c r="KST366" s="1648">
        <v>1003687</v>
      </c>
      <c r="KSU366" s="635">
        <v>6373312</v>
      </c>
      <c r="KSV366" s="633">
        <f>SUM(KSI366:KST366)</f>
        <v>6373312</v>
      </c>
      <c r="KSW366" s="919" t="s">
        <v>1839</v>
      </c>
      <c r="KSX366" s="1643" t="s">
        <v>1840</v>
      </c>
      <c r="KSY366" s="1648">
        <v>603740</v>
      </c>
      <c r="KSZ366" s="1648">
        <v>515055</v>
      </c>
      <c r="KTA366" s="1648">
        <v>530271</v>
      </c>
      <c r="KTB366" s="1648">
        <v>212051</v>
      </c>
      <c r="KTC366" s="1648">
        <v>131147</v>
      </c>
      <c r="KTD366" s="1648">
        <v>101889</v>
      </c>
      <c r="KTE366" s="1648">
        <v>453326</v>
      </c>
      <c r="KTF366" s="1648">
        <v>298813</v>
      </c>
      <c r="KTG366" s="1648">
        <v>605808</v>
      </c>
      <c r="KTH366" s="1648">
        <v>847471</v>
      </c>
      <c r="KTI366" s="1648">
        <v>1070054</v>
      </c>
      <c r="KTJ366" s="1648">
        <v>1003687</v>
      </c>
      <c r="KTK366" s="635">
        <v>6373312</v>
      </c>
      <c r="KTL366" s="633">
        <f>SUM(KSY366:KTJ366)</f>
        <v>6373312</v>
      </c>
      <c r="KTM366" s="919" t="s">
        <v>1839</v>
      </c>
      <c r="KTN366" s="1643" t="s">
        <v>1840</v>
      </c>
      <c r="KTO366" s="1648">
        <v>603740</v>
      </c>
      <c r="KTP366" s="1648">
        <v>515055</v>
      </c>
      <c r="KTQ366" s="1648">
        <v>530271</v>
      </c>
      <c r="KTR366" s="1648">
        <v>212051</v>
      </c>
      <c r="KTS366" s="1648">
        <v>131147</v>
      </c>
      <c r="KTT366" s="1648">
        <v>101889</v>
      </c>
      <c r="KTU366" s="1648">
        <v>453326</v>
      </c>
      <c r="KTV366" s="1648">
        <v>298813</v>
      </c>
      <c r="KTW366" s="1648">
        <v>605808</v>
      </c>
      <c r="KTX366" s="1648">
        <v>847471</v>
      </c>
      <c r="KTY366" s="1648">
        <v>1070054</v>
      </c>
      <c r="KTZ366" s="1648">
        <v>1003687</v>
      </c>
      <c r="KUA366" s="635">
        <v>6373312</v>
      </c>
      <c r="KUB366" s="633">
        <f>SUM(KTO366:KTZ366)</f>
        <v>6373312</v>
      </c>
      <c r="KUC366" s="919" t="s">
        <v>1839</v>
      </c>
      <c r="KUD366" s="1643" t="s">
        <v>1840</v>
      </c>
      <c r="KUE366" s="1648">
        <v>603740</v>
      </c>
      <c r="KUF366" s="1648">
        <v>515055</v>
      </c>
      <c r="KUG366" s="1648">
        <v>530271</v>
      </c>
      <c r="KUH366" s="1648">
        <v>212051</v>
      </c>
      <c r="KUI366" s="1648">
        <v>131147</v>
      </c>
      <c r="KUJ366" s="1648">
        <v>101889</v>
      </c>
      <c r="KUK366" s="1648">
        <v>453326</v>
      </c>
      <c r="KUL366" s="1648">
        <v>298813</v>
      </c>
      <c r="KUM366" s="1648">
        <v>605808</v>
      </c>
      <c r="KUN366" s="1648">
        <v>847471</v>
      </c>
      <c r="KUO366" s="1648">
        <v>1070054</v>
      </c>
      <c r="KUP366" s="1648">
        <v>1003687</v>
      </c>
      <c r="KUQ366" s="635">
        <v>6373312</v>
      </c>
      <c r="KUR366" s="633">
        <f>SUM(KUE366:KUP366)</f>
        <v>6373312</v>
      </c>
      <c r="KUS366" s="919" t="s">
        <v>1839</v>
      </c>
      <c r="KUT366" s="1643" t="s">
        <v>1840</v>
      </c>
      <c r="KUU366" s="1648">
        <v>603740</v>
      </c>
      <c r="KUV366" s="1648">
        <v>515055</v>
      </c>
      <c r="KUW366" s="1648">
        <v>530271</v>
      </c>
      <c r="KUX366" s="1648">
        <v>212051</v>
      </c>
      <c r="KUY366" s="1648">
        <v>131147</v>
      </c>
      <c r="KUZ366" s="1648">
        <v>101889</v>
      </c>
      <c r="KVA366" s="1648">
        <v>453326</v>
      </c>
      <c r="KVB366" s="1648">
        <v>298813</v>
      </c>
      <c r="KVC366" s="1648">
        <v>605808</v>
      </c>
      <c r="KVD366" s="1648">
        <v>847471</v>
      </c>
      <c r="KVE366" s="1648">
        <v>1070054</v>
      </c>
      <c r="KVF366" s="1648">
        <v>1003687</v>
      </c>
      <c r="KVG366" s="635">
        <v>6373312</v>
      </c>
      <c r="KVH366" s="633">
        <f>SUM(KUU366:KVF366)</f>
        <v>6373312</v>
      </c>
      <c r="KVI366" s="919" t="s">
        <v>1839</v>
      </c>
      <c r="KVJ366" s="1643" t="s">
        <v>1840</v>
      </c>
      <c r="KVK366" s="1648">
        <v>603740</v>
      </c>
      <c r="KVL366" s="1648">
        <v>515055</v>
      </c>
      <c r="KVM366" s="1648">
        <v>530271</v>
      </c>
      <c r="KVN366" s="1648">
        <v>212051</v>
      </c>
      <c r="KVO366" s="1648">
        <v>131147</v>
      </c>
      <c r="KVP366" s="1648">
        <v>101889</v>
      </c>
      <c r="KVQ366" s="1648">
        <v>453326</v>
      </c>
      <c r="KVR366" s="1648">
        <v>298813</v>
      </c>
      <c r="KVS366" s="1648">
        <v>605808</v>
      </c>
      <c r="KVT366" s="1648">
        <v>847471</v>
      </c>
      <c r="KVU366" s="1648">
        <v>1070054</v>
      </c>
      <c r="KVV366" s="1648">
        <v>1003687</v>
      </c>
      <c r="KVW366" s="635">
        <v>6373312</v>
      </c>
      <c r="KVX366" s="633">
        <f>SUM(KVK366:KVV366)</f>
        <v>6373312</v>
      </c>
      <c r="KVY366" s="919" t="s">
        <v>1839</v>
      </c>
      <c r="KVZ366" s="1643" t="s">
        <v>1840</v>
      </c>
      <c r="KWA366" s="1648">
        <v>603740</v>
      </c>
      <c r="KWB366" s="1648">
        <v>515055</v>
      </c>
      <c r="KWC366" s="1648">
        <v>530271</v>
      </c>
      <c r="KWD366" s="1648">
        <v>212051</v>
      </c>
      <c r="KWE366" s="1648">
        <v>131147</v>
      </c>
      <c r="KWF366" s="1648">
        <v>101889</v>
      </c>
      <c r="KWG366" s="1648">
        <v>453326</v>
      </c>
      <c r="KWH366" s="1648">
        <v>298813</v>
      </c>
      <c r="KWI366" s="1648">
        <v>605808</v>
      </c>
      <c r="KWJ366" s="1648">
        <v>847471</v>
      </c>
      <c r="KWK366" s="1648">
        <v>1070054</v>
      </c>
      <c r="KWL366" s="1648">
        <v>1003687</v>
      </c>
      <c r="KWM366" s="635">
        <v>6373312</v>
      </c>
      <c r="KWN366" s="633">
        <f>SUM(KWA366:KWL366)</f>
        <v>6373312</v>
      </c>
      <c r="KWO366" s="919" t="s">
        <v>1839</v>
      </c>
      <c r="KWP366" s="1643" t="s">
        <v>1840</v>
      </c>
      <c r="KWQ366" s="1648">
        <v>603740</v>
      </c>
      <c r="KWR366" s="1648">
        <v>515055</v>
      </c>
      <c r="KWS366" s="1648">
        <v>530271</v>
      </c>
      <c r="KWT366" s="1648">
        <v>212051</v>
      </c>
      <c r="KWU366" s="1648">
        <v>131147</v>
      </c>
      <c r="KWV366" s="1648">
        <v>101889</v>
      </c>
      <c r="KWW366" s="1648">
        <v>453326</v>
      </c>
      <c r="KWX366" s="1648">
        <v>298813</v>
      </c>
      <c r="KWY366" s="1648">
        <v>605808</v>
      </c>
      <c r="KWZ366" s="1648">
        <v>847471</v>
      </c>
      <c r="KXA366" s="1648">
        <v>1070054</v>
      </c>
      <c r="KXB366" s="1648">
        <v>1003687</v>
      </c>
      <c r="KXC366" s="635">
        <v>6373312</v>
      </c>
      <c r="KXD366" s="633">
        <f>SUM(KWQ366:KXB366)</f>
        <v>6373312</v>
      </c>
      <c r="KXE366" s="919" t="s">
        <v>1839</v>
      </c>
      <c r="KXF366" s="1643" t="s">
        <v>1840</v>
      </c>
      <c r="KXG366" s="1648">
        <v>603740</v>
      </c>
      <c r="KXH366" s="1648">
        <v>515055</v>
      </c>
      <c r="KXI366" s="1648">
        <v>530271</v>
      </c>
      <c r="KXJ366" s="1648">
        <v>212051</v>
      </c>
      <c r="KXK366" s="1648">
        <v>131147</v>
      </c>
      <c r="KXL366" s="1648">
        <v>101889</v>
      </c>
      <c r="KXM366" s="1648">
        <v>453326</v>
      </c>
      <c r="KXN366" s="1648">
        <v>298813</v>
      </c>
      <c r="KXO366" s="1648">
        <v>605808</v>
      </c>
      <c r="KXP366" s="1648">
        <v>847471</v>
      </c>
      <c r="KXQ366" s="1648">
        <v>1070054</v>
      </c>
      <c r="KXR366" s="1648">
        <v>1003687</v>
      </c>
      <c r="KXS366" s="635">
        <v>6373312</v>
      </c>
      <c r="KXT366" s="633">
        <f>SUM(KXG366:KXR366)</f>
        <v>6373312</v>
      </c>
      <c r="KXU366" s="919" t="s">
        <v>1839</v>
      </c>
      <c r="KXV366" s="1643" t="s">
        <v>1840</v>
      </c>
      <c r="KXW366" s="1648">
        <v>603740</v>
      </c>
      <c r="KXX366" s="1648">
        <v>515055</v>
      </c>
      <c r="KXY366" s="1648">
        <v>530271</v>
      </c>
      <c r="KXZ366" s="1648">
        <v>212051</v>
      </c>
      <c r="KYA366" s="1648">
        <v>131147</v>
      </c>
      <c r="KYB366" s="1648">
        <v>101889</v>
      </c>
      <c r="KYC366" s="1648">
        <v>453326</v>
      </c>
      <c r="KYD366" s="1648">
        <v>298813</v>
      </c>
      <c r="KYE366" s="1648">
        <v>605808</v>
      </c>
      <c r="KYF366" s="1648">
        <v>847471</v>
      </c>
      <c r="KYG366" s="1648">
        <v>1070054</v>
      </c>
      <c r="KYH366" s="1648">
        <v>1003687</v>
      </c>
      <c r="KYI366" s="635">
        <v>6373312</v>
      </c>
      <c r="KYJ366" s="633">
        <f>SUM(KXW366:KYH366)</f>
        <v>6373312</v>
      </c>
      <c r="KYK366" s="919" t="s">
        <v>1839</v>
      </c>
      <c r="KYL366" s="1643" t="s">
        <v>1840</v>
      </c>
      <c r="KYM366" s="1648">
        <v>603740</v>
      </c>
      <c r="KYN366" s="1648">
        <v>515055</v>
      </c>
      <c r="KYO366" s="1648">
        <v>530271</v>
      </c>
      <c r="KYP366" s="1648">
        <v>212051</v>
      </c>
      <c r="KYQ366" s="1648">
        <v>131147</v>
      </c>
      <c r="KYR366" s="1648">
        <v>101889</v>
      </c>
      <c r="KYS366" s="1648">
        <v>453326</v>
      </c>
      <c r="KYT366" s="1648">
        <v>298813</v>
      </c>
      <c r="KYU366" s="1648">
        <v>605808</v>
      </c>
      <c r="KYV366" s="1648">
        <v>847471</v>
      </c>
      <c r="KYW366" s="1648">
        <v>1070054</v>
      </c>
      <c r="KYX366" s="1648">
        <v>1003687</v>
      </c>
      <c r="KYY366" s="635">
        <v>6373312</v>
      </c>
      <c r="KYZ366" s="633">
        <f>SUM(KYM366:KYX366)</f>
        <v>6373312</v>
      </c>
      <c r="KZA366" s="919" t="s">
        <v>1839</v>
      </c>
      <c r="KZB366" s="1643" t="s">
        <v>1840</v>
      </c>
      <c r="KZC366" s="1648">
        <v>603740</v>
      </c>
      <c r="KZD366" s="1648">
        <v>515055</v>
      </c>
      <c r="KZE366" s="1648">
        <v>530271</v>
      </c>
      <c r="KZF366" s="1648">
        <v>212051</v>
      </c>
      <c r="KZG366" s="1648">
        <v>131147</v>
      </c>
      <c r="KZH366" s="1648">
        <v>101889</v>
      </c>
      <c r="KZI366" s="1648">
        <v>453326</v>
      </c>
      <c r="KZJ366" s="1648">
        <v>298813</v>
      </c>
      <c r="KZK366" s="1648">
        <v>605808</v>
      </c>
      <c r="KZL366" s="1648">
        <v>847471</v>
      </c>
      <c r="KZM366" s="1648">
        <v>1070054</v>
      </c>
      <c r="KZN366" s="1648">
        <v>1003687</v>
      </c>
      <c r="KZO366" s="635">
        <v>6373312</v>
      </c>
      <c r="KZP366" s="633">
        <f>SUM(KZC366:KZN366)</f>
        <v>6373312</v>
      </c>
      <c r="KZQ366" s="919" t="s">
        <v>1839</v>
      </c>
      <c r="KZR366" s="1643" t="s">
        <v>1840</v>
      </c>
      <c r="KZS366" s="1648">
        <v>603740</v>
      </c>
      <c r="KZT366" s="1648">
        <v>515055</v>
      </c>
      <c r="KZU366" s="1648">
        <v>530271</v>
      </c>
      <c r="KZV366" s="1648">
        <v>212051</v>
      </c>
      <c r="KZW366" s="1648">
        <v>131147</v>
      </c>
      <c r="KZX366" s="1648">
        <v>101889</v>
      </c>
      <c r="KZY366" s="1648">
        <v>453326</v>
      </c>
      <c r="KZZ366" s="1648">
        <v>298813</v>
      </c>
      <c r="LAA366" s="1648">
        <v>605808</v>
      </c>
      <c r="LAB366" s="1648">
        <v>847471</v>
      </c>
      <c r="LAC366" s="1648">
        <v>1070054</v>
      </c>
      <c r="LAD366" s="1648">
        <v>1003687</v>
      </c>
      <c r="LAE366" s="635">
        <v>6373312</v>
      </c>
      <c r="LAF366" s="633">
        <f>SUM(KZS366:LAD366)</f>
        <v>6373312</v>
      </c>
      <c r="LAG366" s="919" t="s">
        <v>1839</v>
      </c>
      <c r="LAH366" s="1643" t="s">
        <v>1840</v>
      </c>
      <c r="LAI366" s="1648">
        <v>603740</v>
      </c>
      <c r="LAJ366" s="1648">
        <v>515055</v>
      </c>
      <c r="LAK366" s="1648">
        <v>530271</v>
      </c>
      <c r="LAL366" s="1648">
        <v>212051</v>
      </c>
      <c r="LAM366" s="1648">
        <v>131147</v>
      </c>
      <c r="LAN366" s="1648">
        <v>101889</v>
      </c>
      <c r="LAO366" s="1648">
        <v>453326</v>
      </c>
      <c r="LAP366" s="1648">
        <v>298813</v>
      </c>
      <c r="LAQ366" s="1648">
        <v>605808</v>
      </c>
      <c r="LAR366" s="1648">
        <v>847471</v>
      </c>
      <c r="LAS366" s="1648">
        <v>1070054</v>
      </c>
      <c r="LAT366" s="1648">
        <v>1003687</v>
      </c>
      <c r="LAU366" s="635">
        <v>6373312</v>
      </c>
      <c r="LAV366" s="633">
        <f>SUM(LAI366:LAT366)</f>
        <v>6373312</v>
      </c>
      <c r="LAW366" s="919" t="s">
        <v>1839</v>
      </c>
      <c r="LAX366" s="1643" t="s">
        <v>1840</v>
      </c>
      <c r="LAY366" s="1648">
        <v>603740</v>
      </c>
      <c r="LAZ366" s="1648">
        <v>515055</v>
      </c>
      <c r="LBA366" s="1648">
        <v>530271</v>
      </c>
      <c r="LBB366" s="1648">
        <v>212051</v>
      </c>
      <c r="LBC366" s="1648">
        <v>131147</v>
      </c>
      <c r="LBD366" s="1648">
        <v>101889</v>
      </c>
      <c r="LBE366" s="1648">
        <v>453326</v>
      </c>
      <c r="LBF366" s="1648">
        <v>298813</v>
      </c>
      <c r="LBG366" s="1648">
        <v>605808</v>
      </c>
      <c r="LBH366" s="1648">
        <v>847471</v>
      </c>
      <c r="LBI366" s="1648">
        <v>1070054</v>
      </c>
      <c r="LBJ366" s="1648">
        <v>1003687</v>
      </c>
      <c r="LBK366" s="635">
        <v>6373312</v>
      </c>
      <c r="LBL366" s="633">
        <f>SUM(LAY366:LBJ366)</f>
        <v>6373312</v>
      </c>
      <c r="LBM366" s="919" t="s">
        <v>1839</v>
      </c>
      <c r="LBN366" s="1643" t="s">
        <v>1840</v>
      </c>
      <c r="LBO366" s="1648">
        <v>603740</v>
      </c>
      <c r="LBP366" s="1648">
        <v>515055</v>
      </c>
      <c r="LBQ366" s="1648">
        <v>530271</v>
      </c>
      <c r="LBR366" s="1648">
        <v>212051</v>
      </c>
      <c r="LBS366" s="1648">
        <v>131147</v>
      </c>
      <c r="LBT366" s="1648">
        <v>101889</v>
      </c>
      <c r="LBU366" s="1648">
        <v>453326</v>
      </c>
      <c r="LBV366" s="1648">
        <v>298813</v>
      </c>
      <c r="LBW366" s="1648">
        <v>605808</v>
      </c>
      <c r="LBX366" s="1648">
        <v>847471</v>
      </c>
      <c r="LBY366" s="1648">
        <v>1070054</v>
      </c>
      <c r="LBZ366" s="1648">
        <v>1003687</v>
      </c>
      <c r="LCA366" s="635">
        <v>6373312</v>
      </c>
      <c r="LCB366" s="633">
        <f>SUM(LBO366:LBZ366)</f>
        <v>6373312</v>
      </c>
      <c r="LCC366" s="919" t="s">
        <v>1839</v>
      </c>
      <c r="LCD366" s="1643" t="s">
        <v>1840</v>
      </c>
      <c r="LCE366" s="1648">
        <v>603740</v>
      </c>
      <c r="LCF366" s="1648">
        <v>515055</v>
      </c>
      <c r="LCG366" s="1648">
        <v>530271</v>
      </c>
      <c r="LCH366" s="1648">
        <v>212051</v>
      </c>
      <c r="LCI366" s="1648">
        <v>131147</v>
      </c>
      <c r="LCJ366" s="1648">
        <v>101889</v>
      </c>
      <c r="LCK366" s="1648">
        <v>453326</v>
      </c>
      <c r="LCL366" s="1648">
        <v>298813</v>
      </c>
      <c r="LCM366" s="1648">
        <v>605808</v>
      </c>
      <c r="LCN366" s="1648">
        <v>847471</v>
      </c>
      <c r="LCO366" s="1648">
        <v>1070054</v>
      </c>
      <c r="LCP366" s="1648">
        <v>1003687</v>
      </c>
      <c r="LCQ366" s="635">
        <v>6373312</v>
      </c>
      <c r="LCR366" s="633">
        <f>SUM(LCE366:LCP366)</f>
        <v>6373312</v>
      </c>
      <c r="LCS366" s="919" t="s">
        <v>1839</v>
      </c>
      <c r="LCT366" s="1643" t="s">
        <v>1840</v>
      </c>
      <c r="LCU366" s="1648">
        <v>603740</v>
      </c>
      <c r="LCV366" s="1648">
        <v>515055</v>
      </c>
      <c r="LCW366" s="1648">
        <v>530271</v>
      </c>
      <c r="LCX366" s="1648">
        <v>212051</v>
      </c>
      <c r="LCY366" s="1648">
        <v>131147</v>
      </c>
      <c r="LCZ366" s="1648">
        <v>101889</v>
      </c>
      <c r="LDA366" s="1648">
        <v>453326</v>
      </c>
      <c r="LDB366" s="1648">
        <v>298813</v>
      </c>
      <c r="LDC366" s="1648">
        <v>605808</v>
      </c>
      <c r="LDD366" s="1648">
        <v>847471</v>
      </c>
      <c r="LDE366" s="1648">
        <v>1070054</v>
      </c>
      <c r="LDF366" s="1648">
        <v>1003687</v>
      </c>
      <c r="LDG366" s="635">
        <v>6373312</v>
      </c>
      <c r="LDH366" s="633">
        <f>SUM(LCU366:LDF366)</f>
        <v>6373312</v>
      </c>
      <c r="LDI366" s="919" t="s">
        <v>1839</v>
      </c>
      <c r="LDJ366" s="1643" t="s">
        <v>1840</v>
      </c>
      <c r="LDK366" s="1648">
        <v>603740</v>
      </c>
      <c r="LDL366" s="1648">
        <v>515055</v>
      </c>
      <c r="LDM366" s="1648">
        <v>530271</v>
      </c>
      <c r="LDN366" s="1648">
        <v>212051</v>
      </c>
      <c r="LDO366" s="1648">
        <v>131147</v>
      </c>
      <c r="LDP366" s="1648">
        <v>101889</v>
      </c>
      <c r="LDQ366" s="1648">
        <v>453326</v>
      </c>
      <c r="LDR366" s="1648">
        <v>298813</v>
      </c>
      <c r="LDS366" s="1648">
        <v>605808</v>
      </c>
      <c r="LDT366" s="1648">
        <v>847471</v>
      </c>
      <c r="LDU366" s="1648">
        <v>1070054</v>
      </c>
      <c r="LDV366" s="1648">
        <v>1003687</v>
      </c>
      <c r="LDW366" s="635">
        <v>6373312</v>
      </c>
      <c r="LDX366" s="633">
        <f>SUM(LDK366:LDV366)</f>
        <v>6373312</v>
      </c>
      <c r="LDY366" s="919" t="s">
        <v>1839</v>
      </c>
      <c r="LDZ366" s="1643" t="s">
        <v>1840</v>
      </c>
      <c r="LEA366" s="1648">
        <v>603740</v>
      </c>
      <c r="LEB366" s="1648">
        <v>515055</v>
      </c>
      <c r="LEC366" s="1648">
        <v>530271</v>
      </c>
      <c r="LED366" s="1648">
        <v>212051</v>
      </c>
      <c r="LEE366" s="1648">
        <v>131147</v>
      </c>
      <c r="LEF366" s="1648">
        <v>101889</v>
      </c>
      <c r="LEG366" s="1648">
        <v>453326</v>
      </c>
      <c r="LEH366" s="1648">
        <v>298813</v>
      </c>
      <c r="LEI366" s="1648">
        <v>605808</v>
      </c>
      <c r="LEJ366" s="1648">
        <v>847471</v>
      </c>
      <c r="LEK366" s="1648">
        <v>1070054</v>
      </c>
      <c r="LEL366" s="1648">
        <v>1003687</v>
      </c>
      <c r="LEM366" s="635">
        <v>6373312</v>
      </c>
      <c r="LEN366" s="633">
        <f>SUM(LEA366:LEL366)</f>
        <v>6373312</v>
      </c>
      <c r="LEO366" s="919" t="s">
        <v>1839</v>
      </c>
      <c r="LEP366" s="1643" t="s">
        <v>1840</v>
      </c>
      <c r="LEQ366" s="1648">
        <v>603740</v>
      </c>
      <c r="LER366" s="1648">
        <v>515055</v>
      </c>
      <c r="LES366" s="1648">
        <v>530271</v>
      </c>
      <c r="LET366" s="1648">
        <v>212051</v>
      </c>
      <c r="LEU366" s="1648">
        <v>131147</v>
      </c>
      <c r="LEV366" s="1648">
        <v>101889</v>
      </c>
      <c r="LEW366" s="1648">
        <v>453326</v>
      </c>
      <c r="LEX366" s="1648">
        <v>298813</v>
      </c>
      <c r="LEY366" s="1648">
        <v>605808</v>
      </c>
      <c r="LEZ366" s="1648">
        <v>847471</v>
      </c>
      <c r="LFA366" s="1648">
        <v>1070054</v>
      </c>
      <c r="LFB366" s="1648">
        <v>1003687</v>
      </c>
      <c r="LFC366" s="635">
        <v>6373312</v>
      </c>
      <c r="LFD366" s="633">
        <f>SUM(LEQ366:LFB366)</f>
        <v>6373312</v>
      </c>
      <c r="LFE366" s="919" t="s">
        <v>1839</v>
      </c>
      <c r="LFF366" s="1643" t="s">
        <v>1840</v>
      </c>
      <c r="LFG366" s="1648">
        <v>603740</v>
      </c>
      <c r="LFH366" s="1648">
        <v>515055</v>
      </c>
      <c r="LFI366" s="1648">
        <v>530271</v>
      </c>
      <c r="LFJ366" s="1648">
        <v>212051</v>
      </c>
      <c r="LFK366" s="1648">
        <v>131147</v>
      </c>
      <c r="LFL366" s="1648">
        <v>101889</v>
      </c>
      <c r="LFM366" s="1648">
        <v>453326</v>
      </c>
      <c r="LFN366" s="1648">
        <v>298813</v>
      </c>
      <c r="LFO366" s="1648">
        <v>605808</v>
      </c>
      <c r="LFP366" s="1648">
        <v>847471</v>
      </c>
      <c r="LFQ366" s="1648">
        <v>1070054</v>
      </c>
      <c r="LFR366" s="1648">
        <v>1003687</v>
      </c>
      <c r="LFS366" s="635">
        <v>6373312</v>
      </c>
      <c r="LFT366" s="633">
        <f>SUM(LFG366:LFR366)</f>
        <v>6373312</v>
      </c>
      <c r="LFU366" s="919" t="s">
        <v>1839</v>
      </c>
      <c r="LFV366" s="1643" t="s">
        <v>1840</v>
      </c>
      <c r="LFW366" s="1648">
        <v>603740</v>
      </c>
      <c r="LFX366" s="1648">
        <v>515055</v>
      </c>
      <c r="LFY366" s="1648">
        <v>530271</v>
      </c>
      <c r="LFZ366" s="1648">
        <v>212051</v>
      </c>
      <c r="LGA366" s="1648">
        <v>131147</v>
      </c>
      <c r="LGB366" s="1648">
        <v>101889</v>
      </c>
      <c r="LGC366" s="1648">
        <v>453326</v>
      </c>
      <c r="LGD366" s="1648">
        <v>298813</v>
      </c>
      <c r="LGE366" s="1648">
        <v>605808</v>
      </c>
      <c r="LGF366" s="1648">
        <v>847471</v>
      </c>
      <c r="LGG366" s="1648">
        <v>1070054</v>
      </c>
      <c r="LGH366" s="1648">
        <v>1003687</v>
      </c>
      <c r="LGI366" s="635">
        <v>6373312</v>
      </c>
      <c r="LGJ366" s="633">
        <f>SUM(LFW366:LGH366)</f>
        <v>6373312</v>
      </c>
      <c r="LGK366" s="919" t="s">
        <v>1839</v>
      </c>
      <c r="LGL366" s="1643" t="s">
        <v>1840</v>
      </c>
      <c r="LGM366" s="1648">
        <v>603740</v>
      </c>
      <c r="LGN366" s="1648">
        <v>515055</v>
      </c>
      <c r="LGO366" s="1648">
        <v>530271</v>
      </c>
      <c r="LGP366" s="1648">
        <v>212051</v>
      </c>
      <c r="LGQ366" s="1648">
        <v>131147</v>
      </c>
      <c r="LGR366" s="1648">
        <v>101889</v>
      </c>
      <c r="LGS366" s="1648">
        <v>453326</v>
      </c>
      <c r="LGT366" s="1648">
        <v>298813</v>
      </c>
      <c r="LGU366" s="1648">
        <v>605808</v>
      </c>
      <c r="LGV366" s="1648">
        <v>847471</v>
      </c>
      <c r="LGW366" s="1648">
        <v>1070054</v>
      </c>
      <c r="LGX366" s="1648">
        <v>1003687</v>
      </c>
      <c r="LGY366" s="635">
        <v>6373312</v>
      </c>
      <c r="LGZ366" s="633">
        <f>SUM(LGM366:LGX366)</f>
        <v>6373312</v>
      </c>
      <c r="LHA366" s="919" t="s">
        <v>1839</v>
      </c>
      <c r="LHB366" s="1643" t="s">
        <v>1840</v>
      </c>
      <c r="LHC366" s="1648">
        <v>603740</v>
      </c>
      <c r="LHD366" s="1648">
        <v>515055</v>
      </c>
      <c r="LHE366" s="1648">
        <v>530271</v>
      </c>
      <c r="LHF366" s="1648">
        <v>212051</v>
      </c>
      <c r="LHG366" s="1648">
        <v>131147</v>
      </c>
      <c r="LHH366" s="1648">
        <v>101889</v>
      </c>
      <c r="LHI366" s="1648">
        <v>453326</v>
      </c>
      <c r="LHJ366" s="1648">
        <v>298813</v>
      </c>
      <c r="LHK366" s="1648">
        <v>605808</v>
      </c>
      <c r="LHL366" s="1648">
        <v>847471</v>
      </c>
      <c r="LHM366" s="1648">
        <v>1070054</v>
      </c>
      <c r="LHN366" s="1648">
        <v>1003687</v>
      </c>
      <c r="LHO366" s="635">
        <v>6373312</v>
      </c>
      <c r="LHP366" s="633">
        <f>SUM(LHC366:LHN366)</f>
        <v>6373312</v>
      </c>
      <c r="LHQ366" s="919" t="s">
        <v>1839</v>
      </c>
      <c r="LHR366" s="1643" t="s">
        <v>1840</v>
      </c>
      <c r="LHS366" s="1648">
        <v>603740</v>
      </c>
      <c r="LHT366" s="1648">
        <v>515055</v>
      </c>
      <c r="LHU366" s="1648">
        <v>530271</v>
      </c>
      <c r="LHV366" s="1648">
        <v>212051</v>
      </c>
      <c r="LHW366" s="1648">
        <v>131147</v>
      </c>
      <c r="LHX366" s="1648">
        <v>101889</v>
      </c>
      <c r="LHY366" s="1648">
        <v>453326</v>
      </c>
      <c r="LHZ366" s="1648">
        <v>298813</v>
      </c>
      <c r="LIA366" s="1648">
        <v>605808</v>
      </c>
      <c r="LIB366" s="1648">
        <v>847471</v>
      </c>
      <c r="LIC366" s="1648">
        <v>1070054</v>
      </c>
      <c r="LID366" s="1648">
        <v>1003687</v>
      </c>
      <c r="LIE366" s="635">
        <v>6373312</v>
      </c>
      <c r="LIF366" s="633">
        <f>SUM(LHS366:LID366)</f>
        <v>6373312</v>
      </c>
      <c r="LIG366" s="919" t="s">
        <v>1839</v>
      </c>
      <c r="LIH366" s="1643" t="s">
        <v>1840</v>
      </c>
      <c r="LII366" s="1648">
        <v>603740</v>
      </c>
      <c r="LIJ366" s="1648">
        <v>515055</v>
      </c>
      <c r="LIK366" s="1648">
        <v>530271</v>
      </c>
      <c r="LIL366" s="1648">
        <v>212051</v>
      </c>
      <c r="LIM366" s="1648">
        <v>131147</v>
      </c>
      <c r="LIN366" s="1648">
        <v>101889</v>
      </c>
      <c r="LIO366" s="1648">
        <v>453326</v>
      </c>
      <c r="LIP366" s="1648">
        <v>298813</v>
      </c>
      <c r="LIQ366" s="1648">
        <v>605808</v>
      </c>
      <c r="LIR366" s="1648">
        <v>847471</v>
      </c>
      <c r="LIS366" s="1648">
        <v>1070054</v>
      </c>
      <c r="LIT366" s="1648">
        <v>1003687</v>
      </c>
      <c r="LIU366" s="635">
        <v>6373312</v>
      </c>
      <c r="LIV366" s="633">
        <f>SUM(LII366:LIT366)</f>
        <v>6373312</v>
      </c>
      <c r="LIW366" s="919" t="s">
        <v>1839</v>
      </c>
      <c r="LIX366" s="1643" t="s">
        <v>1840</v>
      </c>
      <c r="LIY366" s="1648">
        <v>603740</v>
      </c>
      <c r="LIZ366" s="1648">
        <v>515055</v>
      </c>
      <c r="LJA366" s="1648">
        <v>530271</v>
      </c>
      <c r="LJB366" s="1648">
        <v>212051</v>
      </c>
      <c r="LJC366" s="1648">
        <v>131147</v>
      </c>
      <c r="LJD366" s="1648">
        <v>101889</v>
      </c>
      <c r="LJE366" s="1648">
        <v>453326</v>
      </c>
      <c r="LJF366" s="1648">
        <v>298813</v>
      </c>
      <c r="LJG366" s="1648">
        <v>605808</v>
      </c>
      <c r="LJH366" s="1648">
        <v>847471</v>
      </c>
      <c r="LJI366" s="1648">
        <v>1070054</v>
      </c>
      <c r="LJJ366" s="1648">
        <v>1003687</v>
      </c>
      <c r="LJK366" s="635">
        <v>6373312</v>
      </c>
      <c r="LJL366" s="633">
        <f>SUM(LIY366:LJJ366)</f>
        <v>6373312</v>
      </c>
      <c r="LJM366" s="919" t="s">
        <v>1839</v>
      </c>
      <c r="LJN366" s="1643" t="s">
        <v>1840</v>
      </c>
      <c r="LJO366" s="1648">
        <v>603740</v>
      </c>
      <c r="LJP366" s="1648">
        <v>515055</v>
      </c>
      <c r="LJQ366" s="1648">
        <v>530271</v>
      </c>
      <c r="LJR366" s="1648">
        <v>212051</v>
      </c>
      <c r="LJS366" s="1648">
        <v>131147</v>
      </c>
      <c r="LJT366" s="1648">
        <v>101889</v>
      </c>
      <c r="LJU366" s="1648">
        <v>453326</v>
      </c>
      <c r="LJV366" s="1648">
        <v>298813</v>
      </c>
      <c r="LJW366" s="1648">
        <v>605808</v>
      </c>
      <c r="LJX366" s="1648">
        <v>847471</v>
      </c>
      <c r="LJY366" s="1648">
        <v>1070054</v>
      </c>
      <c r="LJZ366" s="1648">
        <v>1003687</v>
      </c>
      <c r="LKA366" s="635">
        <v>6373312</v>
      </c>
      <c r="LKB366" s="633">
        <f>SUM(LJO366:LJZ366)</f>
        <v>6373312</v>
      </c>
      <c r="LKC366" s="919" t="s">
        <v>1839</v>
      </c>
      <c r="LKD366" s="1643" t="s">
        <v>1840</v>
      </c>
      <c r="LKE366" s="1648">
        <v>603740</v>
      </c>
      <c r="LKF366" s="1648">
        <v>515055</v>
      </c>
      <c r="LKG366" s="1648">
        <v>530271</v>
      </c>
      <c r="LKH366" s="1648">
        <v>212051</v>
      </c>
      <c r="LKI366" s="1648">
        <v>131147</v>
      </c>
      <c r="LKJ366" s="1648">
        <v>101889</v>
      </c>
      <c r="LKK366" s="1648">
        <v>453326</v>
      </c>
      <c r="LKL366" s="1648">
        <v>298813</v>
      </c>
      <c r="LKM366" s="1648">
        <v>605808</v>
      </c>
      <c r="LKN366" s="1648">
        <v>847471</v>
      </c>
      <c r="LKO366" s="1648">
        <v>1070054</v>
      </c>
      <c r="LKP366" s="1648">
        <v>1003687</v>
      </c>
      <c r="LKQ366" s="635">
        <v>6373312</v>
      </c>
      <c r="LKR366" s="633">
        <f>SUM(LKE366:LKP366)</f>
        <v>6373312</v>
      </c>
      <c r="LKS366" s="919" t="s">
        <v>1839</v>
      </c>
      <c r="LKT366" s="1643" t="s">
        <v>1840</v>
      </c>
      <c r="LKU366" s="1648">
        <v>603740</v>
      </c>
      <c r="LKV366" s="1648">
        <v>515055</v>
      </c>
      <c r="LKW366" s="1648">
        <v>530271</v>
      </c>
      <c r="LKX366" s="1648">
        <v>212051</v>
      </c>
      <c r="LKY366" s="1648">
        <v>131147</v>
      </c>
      <c r="LKZ366" s="1648">
        <v>101889</v>
      </c>
      <c r="LLA366" s="1648">
        <v>453326</v>
      </c>
      <c r="LLB366" s="1648">
        <v>298813</v>
      </c>
      <c r="LLC366" s="1648">
        <v>605808</v>
      </c>
      <c r="LLD366" s="1648">
        <v>847471</v>
      </c>
      <c r="LLE366" s="1648">
        <v>1070054</v>
      </c>
      <c r="LLF366" s="1648">
        <v>1003687</v>
      </c>
      <c r="LLG366" s="635">
        <v>6373312</v>
      </c>
      <c r="LLH366" s="633">
        <f>SUM(LKU366:LLF366)</f>
        <v>6373312</v>
      </c>
      <c r="LLI366" s="919" t="s">
        <v>1839</v>
      </c>
      <c r="LLJ366" s="1643" t="s">
        <v>1840</v>
      </c>
      <c r="LLK366" s="1648">
        <v>603740</v>
      </c>
      <c r="LLL366" s="1648">
        <v>515055</v>
      </c>
      <c r="LLM366" s="1648">
        <v>530271</v>
      </c>
      <c r="LLN366" s="1648">
        <v>212051</v>
      </c>
      <c r="LLO366" s="1648">
        <v>131147</v>
      </c>
      <c r="LLP366" s="1648">
        <v>101889</v>
      </c>
      <c r="LLQ366" s="1648">
        <v>453326</v>
      </c>
      <c r="LLR366" s="1648">
        <v>298813</v>
      </c>
      <c r="LLS366" s="1648">
        <v>605808</v>
      </c>
      <c r="LLT366" s="1648">
        <v>847471</v>
      </c>
      <c r="LLU366" s="1648">
        <v>1070054</v>
      </c>
      <c r="LLV366" s="1648">
        <v>1003687</v>
      </c>
      <c r="LLW366" s="635">
        <v>6373312</v>
      </c>
      <c r="LLX366" s="633">
        <f>SUM(LLK366:LLV366)</f>
        <v>6373312</v>
      </c>
      <c r="LLY366" s="919" t="s">
        <v>1839</v>
      </c>
      <c r="LLZ366" s="1643" t="s">
        <v>1840</v>
      </c>
      <c r="LMA366" s="1648">
        <v>603740</v>
      </c>
      <c r="LMB366" s="1648">
        <v>515055</v>
      </c>
      <c r="LMC366" s="1648">
        <v>530271</v>
      </c>
      <c r="LMD366" s="1648">
        <v>212051</v>
      </c>
      <c r="LME366" s="1648">
        <v>131147</v>
      </c>
      <c r="LMF366" s="1648">
        <v>101889</v>
      </c>
      <c r="LMG366" s="1648">
        <v>453326</v>
      </c>
      <c r="LMH366" s="1648">
        <v>298813</v>
      </c>
      <c r="LMI366" s="1648">
        <v>605808</v>
      </c>
      <c r="LMJ366" s="1648">
        <v>847471</v>
      </c>
      <c r="LMK366" s="1648">
        <v>1070054</v>
      </c>
      <c r="LML366" s="1648">
        <v>1003687</v>
      </c>
      <c r="LMM366" s="635">
        <v>6373312</v>
      </c>
      <c r="LMN366" s="633">
        <f>SUM(LMA366:LML366)</f>
        <v>6373312</v>
      </c>
      <c r="LMO366" s="919" t="s">
        <v>1839</v>
      </c>
      <c r="LMP366" s="1643" t="s">
        <v>1840</v>
      </c>
      <c r="LMQ366" s="1648">
        <v>603740</v>
      </c>
      <c r="LMR366" s="1648">
        <v>515055</v>
      </c>
      <c r="LMS366" s="1648">
        <v>530271</v>
      </c>
      <c r="LMT366" s="1648">
        <v>212051</v>
      </c>
      <c r="LMU366" s="1648">
        <v>131147</v>
      </c>
      <c r="LMV366" s="1648">
        <v>101889</v>
      </c>
      <c r="LMW366" s="1648">
        <v>453326</v>
      </c>
      <c r="LMX366" s="1648">
        <v>298813</v>
      </c>
      <c r="LMY366" s="1648">
        <v>605808</v>
      </c>
      <c r="LMZ366" s="1648">
        <v>847471</v>
      </c>
      <c r="LNA366" s="1648">
        <v>1070054</v>
      </c>
      <c r="LNB366" s="1648">
        <v>1003687</v>
      </c>
      <c r="LNC366" s="635">
        <v>6373312</v>
      </c>
      <c r="LND366" s="633">
        <f>SUM(LMQ366:LNB366)</f>
        <v>6373312</v>
      </c>
      <c r="LNE366" s="919" t="s">
        <v>1839</v>
      </c>
      <c r="LNF366" s="1643" t="s">
        <v>1840</v>
      </c>
      <c r="LNG366" s="1648">
        <v>603740</v>
      </c>
      <c r="LNH366" s="1648">
        <v>515055</v>
      </c>
      <c r="LNI366" s="1648">
        <v>530271</v>
      </c>
      <c r="LNJ366" s="1648">
        <v>212051</v>
      </c>
      <c r="LNK366" s="1648">
        <v>131147</v>
      </c>
      <c r="LNL366" s="1648">
        <v>101889</v>
      </c>
      <c r="LNM366" s="1648">
        <v>453326</v>
      </c>
      <c r="LNN366" s="1648">
        <v>298813</v>
      </c>
      <c r="LNO366" s="1648">
        <v>605808</v>
      </c>
      <c r="LNP366" s="1648">
        <v>847471</v>
      </c>
      <c r="LNQ366" s="1648">
        <v>1070054</v>
      </c>
      <c r="LNR366" s="1648">
        <v>1003687</v>
      </c>
      <c r="LNS366" s="635">
        <v>6373312</v>
      </c>
      <c r="LNT366" s="633">
        <f>SUM(LNG366:LNR366)</f>
        <v>6373312</v>
      </c>
      <c r="LNU366" s="919" t="s">
        <v>1839</v>
      </c>
      <c r="LNV366" s="1643" t="s">
        <v>1840</v>
      </c>
      <c r="LNW366" s="1648">
        <v>603740</v>
      </c>
      <c r="LNX366" s="1648">
        <v>515055</v>
      </c>
      <c r="LNY366" s="1648">
        <v>530271</v>
      </c>
      <c r="LNZ366" s="1648">
        <v>212051</v>
      </c>
      <c r="LOA366" s="1648">
        <v>131147</v>
      </c>
      <c r="LOB366" s="1648">
        <v>101889</v>
      </c>
      <c r="LOC366" s="1648">
        <v>453326</v>
      </c>
      <c r="LOD366" s="1648">
        <v>298813</v>
      </c>
      <c r="LOE366" s="1648">
        <v>605808</v>
      </c>
      <c r="LOF366" s="1648">
        <v>847471</v>
      </c>
      <c r="LOG366" s="1648">
        <v>1070054</v>
      </c>
      <c r="LOH366" s="1648">
        <v>1003687</v>
      </c>
      <c r="LOI366" s="635">
        <v>6373312</v>
      </c>
      <c r="LOJ366" s="633">
        <f>SUM(LNW366:LOH366)</f>
        <v>6373312</v>
      </c>
      <c r="LOK366" s="919" t="s">
        <v>1839</v>
      </c>
      <c r="LOL366" s="1643" t="s">
        <v>1840</v>
      </c>
      <c r="LOM366" s="1648">
        <v>603740</v>
      </c>
      <c r="LON366" s="1648">
        <v>515055</v>
      </c>
      <c r="LOO366" s="1648">
        <v>530271</v>
      </c>
      <c r="LOP366" s="1648">
        <v>212051</v>
      </c>
      <c r="LOQ366" s="1648">
        <v>131147</v>
      </c>
      <c r="LOR366" s="1648">
        <v>101889</v>
      </c>
      <c r="LOS366" s="1648">
        <v>453326</v>
      </c>
      <c r="LOT366" s="1648">
        <v>298813</v>
      </c>
      <c r="LOU366" s="1648">
        <v>605808</v>
      </c>
      <c r="LOV366" s="1648">
        <v>847471</v>
      </c>
      <c r="LOW366" s="1648">
        <v>1070054</v>
      </c>
      <c r="LOX366" s="1648">
        <v>1003687</v>
      </c>
      <c r="LOY366" s="635">
        <v>6373312</v>
      </c>
      <c r="LOZ366" s="633">
        <f>SUM(LOM366:LOX366)</f>
        <v>6373312</v>
      </c>
      <c r="LPA366" s="919" t="s">
        <v>1839</v>
      </c>
      <c r="LPB366" s="1643" t="s">
        <v>1840</v>
      </c>
      <c r="LPC366" s="1648">
        <v>603740</v>
      </c>
      <c r="LPD366" s="1648">
        <v>515055</v>
      </c>
      <c r="LPE366" s="1648">
        <v>530271</v>
      </c>
      <c r="LPF366" s="1648">
        <v>212051</v>
      </c>
      <c r="LPG366" s="1648">
        <v>131147</v>
      </c>
      <c r="LPH366" s="1648">
        <v>101889</v>
      </c>
      <c r="LPI366" s="1648">
        <v>453326</v>
      </c>
      <c r="LPJ366" s="1648">
        <v>298813</v>
      </c>
      <c r="LPK366" s="1648">
        <v>605808</v>
      </c>
      <c r="LPL366" s="1648">
        <v>847471</v>
      </c>
      <c r="LPM366" s="1648">
        <v>1070054</v>
      </c>
      <c r="LPN366" s="1648">
        <v>1003687</v>
      </c>
      <c r="LPO366" s="635">
        <v>6373312</v>
      </c>
      <c r="LPP366" s="633">
        <f>SUM(LPC366:LPN366)</f>
        <v>6373312</v>
      </c>
      <c r="LPQ366" s="919" t="s">
        <v>1839</v>
      </c>
      <c r="LPR366" s="1643" t="s">
        <v>1840</v>
      </c>
      <c r="LPS366" s="1648">
        <v>603740</v>
      </c>
      <c r="LPT366" s="1648">
        <v>515055</v>
      </c>
      <c r="LPU366" s="1648">
        <v>530271</v>
      </c>
      <c r="LPV366" s="1648">
        <v>212051</v>
      </c>
      <c r="LPW366" s="1648">
        <v>131147</v>
      </c>
      <c r="LPX366" s="1648">
        <v>101889</v>
      </c>
      <c r="LPY366" s="1648">
        <v>453326</v>
      </c>
      <c r="LPZ366" s="1648">
        <v>298813</v>
      </c>
      <c r="LQA366" s="1648">
        <v>605808</v>
      </c>
      <c r="LQB366" s="1648">
        <v>847471</v>
      </c>
      <c r="LQC366" s="1648">
        <v>1070054</v>
      </c>
      <c r="LQD366" s="1648">
        <v>1003687</v>
      </c>
      <c r="LQE366" s="635">
        <v>6373312</v>
      </c>
      <c r="LQF366" s="633">
        <f>SUM(LPS366:LQD366)</f>
        <v>6373312</v>
      </c>
      <c r="LQG366" s="919" t="s">
        <v>1839</v>
      </c>
      <c r="LQH366" s="1643" t="s">
        <v>1840</v>
      </c>
      <c r="LQI366" s="1648">
        <v>603740</v>
      </c>
      <c r="LQJ366" s="1648">
        <v>515055</v>
      </c>
      <c r="LQK366" s="1648">
        <v>530271</v>
      </c>
      <c r="LQL366" s="1648">
        <v>212051</v>
      </c>
      <c r="LQM366" s="1648">
        <v>131147</v>
      </c>
      <c r="LQN366" s="1648">
        <v>101889</v>
      </c>
      <c r="LQO366" s="1648">
        <v>453326</v>
      </c>
      <c r="LQP366" s="1648">
        <v>298813</v>
      </c>
      <c r="LQQ366" s="1648">
        <v>605808</v>
      </c>
      <c r="LQR366" s="1648">
        <v>847471</v>
      </c>
      <c r="LQS366" s="1648">
        <v>1070054</v>
      </c>
      <c r="LQT366" s="1648">
        <v>1003687</v>
      </c>
      <c r="LQU366" s="635">
        <v>6373312</v>
      </c>
      <c r="LQV366" s="633">
        <f>SUM(LQI366:LQT366)</f>
        <v>6373312</v>
      </c>
      <c r="LQW366" s="919" t="s">
        <v>1839</v>
      </c>
      <c r="LQX366" s="1643" t="s">
        <v>1840</v>
      </c>
      <c r="LQY366" s="1648">
        <v>603740</v>
      </c>
      <c r="LQZ366" s="1648">
        <v>515055</v>
      </c>
      <c r="LRA366" s="1648">
        <v>530271</v>
      </c>
      <c r="LRB366" s="1648">
        <v>212051</v>
      </c>
      <c r="LRC366" s="1648">
        <v>131147</v>
      </c>
      <c r="LRD366" s="1648">
        <v>101889</v>
      </c>
      <c r="LRE366" s="1648">
        <v>453326</v>
      </c>
      <c r="LRF366" s="1648">
        <v>298813</v>
      </c>
      <c r="LRG366" s="1648">
        <v>605808</v>
      </c>
      <c r="LRH366" s="1648">
        <v>847471</v>
      </c>
      <c r="LRI366" s="1648">
        <v>1070054</v>
      </c>
      <c r="LRJ366" s="1648">
        <v>1003687</v>
      </c>
      <c r="LRK366" s="635">
        <v>6373312</v>
      </c>
      <c r="LRL366" s="633">
        <f>SUM(LQY366:LRJ366)</f>
        <v>6373312</v>
      </c>
      <c r="LRM366" s="919" t="s">
        <v>1839</v>
      </c>
      <c r="LRN366" s="1643" t="s">
        <v>1840</v>
      </c>
      <c r="LRO366" s="1648">
        <v>603740</v>
      </c>
      <c r="LRP366" s="1648">
        <v>515055</v>
      </c>
      <c r="LRQ366" s="1648">
        <v>530271</v>
      </c>
      <c r="LRR366" s="1648">
        <v>212051</v>
      </c>
      <c r="LRS366" s="1648">
        <v>131147</v>
      </c>
      <c r="LRT366" s="1648">
        <v>101889</v>
      </c>
      <c r="LRU366" s="1648">
        <v>453326</v>
      </c>
      <c r="LRV366" s="1648">
        <v>298813</v>
      </c>
      <c r="LRW366" s="1648">
        <v>605808</v>
      </c>
      <c r="LRX366" s="1648">
        <v>847471</v>
      </c>
      <c r="LRY366" s="1648">
        <v>1070054</v>
      </c>
      <c r="LRZ366" s="1648">
        <v>1003687</v>
      </c>
      <c r="LSA366" s="635">
        <v>6373312</v>
      </c>
      <c r="LSB366" s="633">
        <f>SUM(LRO366:LRZ366)</f>
        <v>6373312</v>
      </c>
      <c r="LSC366" s="919" t="s">
        <v>1839</v>
      </c>
      <c r="LSD366" s="1643" t="s">
        <v>1840</v>
      </c>
      <c r="LSE366" s="1648">
        <v>603740</v>
      </c>
      <c r="LSF366" s="1648">
        <v>515055</v>
      </c>
      <c r="LSG366" s="1648">
        <v>530271</v>
      </c>
      <c r="LSH366" s="1648">
        <v>212051</v>
      </c>
      <c r="LSI366" s="1648">
        <v>131147</v>
      </c>
      <c r="LSJ366" s="1648">
        <v>101889</v>
      </c>
      <c r="LSK366" s="1648">
        <v>453326</v>
      </c>
      <c r="LSL366" s="1648">
        <v>298813</v>
      </c>
      <c r="LSM366" s="1648">
        <v>605808</v>
      </c>
      <c r="LSN366" s="1648">
        <v>847471</v>
      </c>
      <c r="LSO366" s="1648">
        <v>1070054</v>
      </c>
      <c r="LSP366" s="1648">
        <v>1003687</v>
      </c>
      <c r="LSQ366" s="635">
        <v>6373312</v>
      </c>
      <c r="LSR366" s="633">
        <f>SUM(LSE366:LSP366)</f>
        <v>6373312</v>
      </c>
      <c r="LSS366" s="919" t="s">
        <v>1839</v>
      </c>
      <c r="LST366" s="1643" t="s">
        <v>1840</v>
      </c>
      <c r="LSU366" s="1648">
        <v>603740</v>
      </c>
      <c r="LSV366" s="1648">
        <v>515055</v>
      </c>
      <c r="LSW366" s="1648">
        <v>530271</v>
      </c>
      <c r="LSX366" s="1648">
        <v>212051</v>
      </c>
      <c r="LSY366" s="1648">
        <v>131147</v>
      </c>
      <c r="LSZ366" s="1648">
        <v>101889</v>
      </c>
      <c r="LTA366" s="1648">
        <v>453326</v>
      </c>
      <c r="LTB366" s="1648">
        <v>298813</v>
      </c>
      <c r="LTC366" s="1648">
        <v>605808</v>
      </c>
      <c r="LTD366" s="1648">
        <v>847471</v>
      </c>
      <c r="LTE366" s="1648">
        <v>1070054</v>
      </c>
      <c r="LTF366" s="1648">
        <v>1003687</v>
      </c>
      <c r="LTG366" s="635">
        <v>6373312</v>
      </c>
      <c r="LTH366" s="633">
        <f>SUM(LSU366:LTF366)</f>
        <v>6373312</v>
      </c>
      <c r="LTI366" s="919" t="s">
        <v>1839</v>
      </c>
      <c r="LTJ366" s="1643" t="s">
        <v>1840</v>
      </c>
      <c r="LTK366" s="1648">
        <v>603740</v>
      </c>
      <c r="LTL366" s="1648">
        <v>515055</v>
      </c>
      <c r="LTM366" s="1648">
        <v>530271</v>
      </c>
      <c r="LTN366" s="1648">
        <v>212051</v>
      </c>
      <c r="LTO366" s="1648">
        <v>131147</v>
      </c>
      <c r="LTP366" s="1648">
        <v>101889</v>
      </c>
      <c r="LTQ366" s="1648">
        <v>453326</v>
      </c>
      <c r="LTR366" s="1648">
        <v>298813</v>
      </c>
      <c r="LTS366" s="1648">
        <v>605808</v>
      </c>
      <c r="LTT366" s="1648">
        <v>847471</v>
      </c>
      <c r="LTU366" s="1648">
        <v>1070054</v>
      </c>
      <c r="LTV366" s="1648">
        <v>1003687</v>
      </c>
      <c r="LTW366" s="635">
        <v>6373312</v>
      </c>
      <c r="LTX366" s="633">
        <f>SUM(LTK366:LTV366)</f>
        <v>6373312</v>
      </c>
      <c r="LTY366" s="919" t="s">
        <v>1839</v>
      </c>
      <c r="LTZ366" s="1643" t="s">
        <v>1840</v>
      </c>
      <c r="LUA366" s="1648">
        <v>603740</v>
      </c>
      <c r="LUB366" s="1648">
        <v>515055</v>
      </c>
      <c r="LUC366" s="1648">
        <v>530271</v>
      </c>
      <c r="LUD366" s="1648">
        <v>212051</v>
      </c>
      <c r="LUE366" s="1648">
        <v>131147</v>
      </c>
      <c r="LUF366" s="1648">
        <v>101889</v>
      </c>
      <c r="LUG366" s="1648">
        <v>453326</v>
      </c>
      <c r="LUH366" s="1648">
        <v>298813</v>
      </c>
      <c r="LUI366" s="1648">
        <v>605808</v>
      </c>
      <c r="LUJ366" s="1648">
        <v>847471</v>
      </c>
      <c r="LUK366" s="1648">
        <v>1070054</v>
      </c>
      <c r="LUL366" s="1648">
        <v>1003687</v>
      </c>
      <c r="LUM366" s="635">
        <v>6373312</v>
      </c>
      <c r="LUN366" s="633">
        <f>SUM(LUA366:LUL366)</f>
        <v>6373312</v>
      </c>
      <c r="LUO366" s="919" t="s">
        <v>1839</v>
      </c>
      <c r="LUP366" s="1643" t="s">
        <v>1840</v>
      </c>
      <c r="LUQ366" s="1648">
        <v>603740</v>
      </c>
      <c r="LUR366" s="1648">
        <v>515055</v>
      </c>
      <c r="LUS366" s="1648">
        <v>530271</v>
      </c>
      <c r="LUT366" s="1648">
        <v>212051</v>
      </c>
      <c r="LUU366" s="1648">
        <v>131147</v>
      </c>
      <c r="LUV366" s="1648">
        <v>101889</v>
      </c>
      <c r="LUW366" s="1648">
        <v>453326</v>
      </c>
      <c r="LUX366" s="1648">
        <v>298813</v>
      </c>
      <c r="LUY366" s="1648">
        <v>605808</v>
      </c>
      <c r="LUZ366" s="1648">
        <v>847471</v>
      </c>
      <c r="LVA366" s="1648">
        <v>1070054</v>
      </c>
      <c r="LVB366" s="1648">
        <v>1003687</v>
      </c>
      <c r="LVC366" s="635">
        <v>6373312</v>
      </c>
      <c r="LVD366" s="633">
        <f>SUM(LUQ366:LVB366)</f>
        <v>6373312</v>
      </c>
      <c r="LVE366" s="919" t="s">
        <v>1839</v>
      </c>
      <c r="LVF366" s="1643" t="s">
        <v>1840</v>
      </c>
      <c r="LVG366" s="1648">
        <v>603740</v>
      </c>
      <c r="LVH366" s="1648">
        <v>515055</v>
      </c>
      <c r="LVI366" s="1648">
        <v>530271</v>
      </c>
      <c r="LVJ366" s="1648">
        <v>212051</v>
      </c>
      <c r="LVK366" s="1648">
        <v>131147</v>
      </c>
      <c r="LVL366" s="1648">
        <v>101889</v>
      </c>
      <c r="LVM366" s="1648">
        <v>453326</v>
      </c>
      <c r="LVN366" s="1648">
        <v>298813</v>
      </c>
      <c r="LVO366" s="1648">
        <v>605808</v>
      </c>
      <c r="LVP366" s="1648">
        <v>847471</v>
      </c>
      <c r="LVQ366" s="1648">
        <v>1070054</v>
      </c>
      <c r="LVR366" s="1648">
        <v>1003687</v>
      </c>
      <c r="LVS366" s="635">
        <v>6373312</v>
      </c>
      <c r="LVT366" s="633">
        <f>SUM(LVG366:LVR366)</f>
        <v>6373312</v>
      </c>
      <c r="LVU366" s="919" t="s">
        <v>1839</v>
      </c>
      <c r="LVV366" s="1643" t="s">
        <v>1840</v>
      </c>
      <c r="LVW366" s="1648">
        <v>603740</v>
      </c>
      <c r="LVX366" s="1648">
        <v>515055</v>
      </c>
      <c r="LVY366" s="1648">
        <v>530271</v>
      </c>
      <c r="LVZ366" s="1648">
        <v>212051</v>
      </c>
      <c r="LWA366" s="1648">
        <v>131147</v>
      </c>
      <c r="LWB366" s="1648">
        <v>101889</v>
      </c>
      <c r="LWC366" s="1648">
        <v>453326</v>
      </c>
      <c r="LWD366" s="1648">
        <v>298813</v>
      </c>
      <c r="LWE366" s="1648">
        <v>605808</v>
      </c>
      <c r="LWF366" s="1648">
        <v>847471</v>
      </c>
      <c r="LWG366" s="1648">
        <v>1070054</v>
      </c>
      <c r="LWH366" s="1648">
        <v>1003687</v>
      </c>
      <c r="LWI366" s="635">
        <v>6373312</v>
      </c>
      <c r="LWJ366" s="633">
        <f>SUM(LVW366:LWH366)</f>
        <v>6373312</v>
      </c>
      <c r="LWK366" s="919" t="s">
        <v>1839</v>
      </c>
      <c r="LWL366" s="1643" t="s">
        <v>1840</v>
      </c>
      <c r="LWM366" s="1648">
        <v>603740</v>
      </c>
      <c r="LWN366" s="1648">
        <v>515055</v>
      </c>
      <c r="LWO366" s="1648">
        <v>530271</v>
      </c>
      <c r="LWP366" s="1648">
        <v>212051</v>
      </c>
      <c r="LWQ366" s="1648">
        <v>131147</v>
      </c>
      <c r="LWR366" s="1648">
        <v>101889</v>
      </c>
      <c r="LWS366" s="1648">
        <v>453326</v>
      </c>
      <c r="LWT366" s="1648">
        <v>298813</v>
      </c>
      <c r="LWU366" s="1648">
        <v>605808</v>
      </c>
      <c r="LWV366" s="1648">
        <v>847471</v>
      </c>
      <c r="LWW366" s="1648">
        <v>1070054</v>
      </c>
      <c r="LWX366" s="1648">
        <v>1003687</v>
      </c>
      <c r="LWY366" s="635">
        <v>6373312</v>
      </c>
      <c r="LWZ366" s="633">
        <f>SUM(LWM366:LWX366)</f>
        <v>6373312</v>
      </c>
      <c r="LXA366" s="919" t="s">
        <v>1839</v>
      </c>
      <c r="LXB366" s="1643" t="s">
        <v>1840</v>
      </c>
      <c r="LXC366" s="1648">
        <v>603740</v>
      </c>
      <c r="LXD366" s="1648">
        <v>515055</v>
      </c>
      <c r="LXE366" s="1648">
        <v>530271</v>
      </c>
      <c r="LXF366" s="1648">
        <v>212051</v>
      </c>
      <c r="LXG366" s="1648">
        <v>131147</v>
      </c>
      <c r="LXH366" s="1648">
        <v>101889</v>
      </c>
      <c r="LXI366" s="1648">
        <v>453326</v>
      </c>
      <c r="LXJ366" s="1648">
        <v>298813</v>
      </c>
      <c r="LXK366" s="1648">
        <v>605808</v>
      </c>
      <c r="LXL366" s="1648">
        <v>847471</v>
      </c>
      <c r="LXM366" s="1648">
        <v>1070054</v>
      </c>
      <c r="LXN366" s="1648">
        <v>1003687</v>
      </c>
      <c r="LXO366" s="635">
        <v>6373312</v>
      </c>
      <c r="LXP366" s="633">
        <f>SUM(LXC366:LXN366)</f>
        <v>6373312</v>
      </c>
      <c r="LXQ366" s="919" t="s">
        <v>1839</v>
      </c>
      <c r="LXR366" s="1643" t="s">
        <v>1840</v>
      </c>
      <c r="LXS366" s="1648">
        <v>603740</v>
      </c>
      <c r="LXT366" s="1648">
        <v>515055</v>
      </c>
      <c r="LXU366" s="1648">
        <v>530271</v>
      </c>
      <c r="LXV366" s="1648">
        <v>212051</v>
      </c>
      <c r="LXW366" s="1648">
        <v>131147</v>
      </c>
      <c r="LXX366" s="1648">
        <v>101889</v>
      </c>
      <c r="LXY366" s="1648">
        <v>453326</v>
      </c>
      <c r="LXZ366" s="1648">
        <v>298813</v>
      </c>
      <c r="LYA366" s="1648">
        <v>605808</v>
      </c>
      <c r="LYB366" s="1648">
        <v>847471</v>
      </c>
      <c r="LYC366" s="1648">
        <v>1070054</v>
      </c>
      <c r="LYD366" s="1648">
        <v>1003687</v>
      </c>
      <c r="LYE366" s="635">
        <v>6373312</v>
      </c>
      <c r="LYF366" s="633">
        <f>SUM(LXS366:LYD366)</f>
        <v>6373312</v>
      </c>
      <c r="LYG366" s="919" t="s">
        <v>1839</v>
      </c>
      <c r="LYH366" s="1643" t="s">
        <v>1840</v>
      </c>
      <c r="LYI366" s="1648">
        <v>603740</v>
      </c>
      <c r="LYJ366" s="1648">
        <v>515055</v>
      </c>
      <c r="LYK366" s="1648">
        <v>530271</v>
      </c>
      <c r="LYL366" s="1648">
        <v>212051</v>
      </c>
      <c r="LYM366" s="1648">
        <v>131147</v>
      </c>
      <c r="LYN366" s="1648">
        <v>101889</v>
      </c>
      <c r="LYO366" s="1648">
        <v>453326</v>
      </c>
      <c r="LYP366" s="1648">
        <v>298813</v>
      </c>
      <c r="LYQ366" s="1648">
        <v>605808</v>
      </c>
      <c r="LYR366" s="1648">
        <v>847471</v>
      </c>
      <c r="LYS366" s="1648">
        <v>1070054</v>
      </c>
      <c r="LYT366" s="1648">
        <v>1003687</v>
      </c>
      <c r="LYU366" s="635">
        <v>6373312</v>
      </c>
      <c r="LYV366" s="633">
        <f>SUM(LYI366:LYT366)</f>
        <v>6373312</v>
      </c>
      <c r="LYW366" s="919" t="s">
        <v>1839</v>
      </c>
      <c r="LYX366" s="1643" t="s">
        <v>1840</v>
      </c>
      <c r="LYY366" s="1648">
        <v>603740</v>
      </c>
      <c r="LYZ366" s="1648">
        <v>515055</v>
      </c>
      <c r="LZA366" s="1648">
        <v>530271</v>
      </c>
      <c r="LZB366" s="1648">
        <v>212051</v>
      </c>
      <c r="LZC366" s="1648">
        <v>131147</v>
      </c>
      <c r="LZD366" s="1648">
        <v>101889</v>
      </c>
      <c r="LZE366" s="1648">
        <v>453326</v>
      </c>
      <c r="LZF366" s="1648">
        <v>298813</v>
      </c>
      <c r="LZG366" s="1648">
        <v>605808</v>
      </c>
      <c r="LZH366" s="1648">
        <v>847471</v>
      </c>
      <c r="LZI366" s="1648">
        <v>1070054</v>
      </c>
      <c r="LZJ366" s="1648">
        <v>1003687</v>
      </c>
      <c r="LZK366" s="635">
        <v>6373312</v>
      </c>
      <c r="LZL366" s="633">
        <f>SUM(LYY366:LZJ366)</f>
        <v>6373312</v>
      </c>
      <c r="LZM366" s="919" t="s">
        <v>1839</v>
      </c>
      <c r="LZN366" s="1643" t="s">
        <v>1840</v>
      </c>
      <c r="LZO366" s="1648">
        <v>603740</v>
      </c>
      <c r="LZP366" s="1648">
        <v>515055</v>
      </c>
      <c r="LZQ366" s="1648">
        <v>530271</v>
      </c>
      <c r="LZR366" s="1648">
        <v>212051</v>
      </c>
      <c r="LZS366" s="1648">
        <v>131147</v>
      </c>
      <c r="LZT366" s="1648">
        <v>101889</v>
      </c>
      <c r="LZU366" s="1648">
        <v>453326</v>
      </c>
      <c r="LZV366" s="1648">
        <v>298813</v>
      </c>
      <c r="LZW366" s="1648">
        <v>605808</v>
      </c>
      <c r="LZX366" s="1648">
        <v>847471</v>
      </c>
      <c r="LZY366" s="1648">
        <v>1070054</v>
      </c>
      <c r="LZZ366" s="1648">
        <v>1003687</v>
      </c>
      <c r="MAA366" s="635">
        <v>6373312</v>
      </c>
      <c r="MAB366" s="633">
        <f>SUM(LZO366:LZZ366)</f>
        <v>6373312</v>
      </c>
      <c r="MAC366" s="919" t="s">
        <v>1839</v>
      </c>
      <c r="MAD366" s="1643" t="s">
        <v>1840</v>
      </c>
      <c r="MAE366" s="1648">
        <v>603740</v>
      </c>
      <c r="MAF366" s="1648">
        <v>515055</v>
      </c>
      <c r="MAG366" s="1648">
        <v>530271</v>
      </c>
      <c r="MAH366" s="1648">
        <v>212051</v>
      </c>
      <c r="MAI366" s="1648">
        <v>131147</v>
      </c>
      <c r="MAJ366" s="1648">
        <v>101889</v>
      </c>
      <c r="MAK366" s="1648">
        <v>453326</v>
      </c>
      <c r="MAL366" s="1648">
        <v>298813</v>
      </c>
      <c r="MAM366" s="1648">
        <v>605808</v>
      </c>
      <c r="MAN366" s="1648">
        <v>847471</v>
      </c>
      <c r="MAO366" s="1648">
        <v>1070054</v>
      </c>
      <c r="MAP366" s="1648">
        <v>1003687</v>
      </c>
      <c r="MAQ366" s="635">
        <v>6373312</v>
      </c>
      <c r="MAR366" s="633">
        <f>SUM(MAE366:MAP366)</f>
        <v>6373312</v>
      </c>
      <c r="MAS366" s="919" t="s">
        <v>1839</v>
      </c>
      <c r="MAT366" s="1643" t="s">
        <v>1840</v>
      </c>
      <c r="MAU366" s="1648">
        <v>603740</v>
      </c>
      <c r="MAV366" s="1648">
        <v>515055</v>
      </c>
      <c r="MAW366" s="1648">
        <v>530271</v>
      </c>
      <c r="MAX366" s="1648">
        <v>212051</v>
      </c>
      <c r="MAY366" s="1648">
        <v>131147</v>
      </c>
      <c r="MAZ366" s="1648">
        <v>101889</v>
      </c>
      <c r="MBA366" s="1648">
        <v>453326</v>
      </c>
      <c r="MBB366" s="1648">
        <v>298813</v>
      </c>
      <c r="MBC366" s="1648">
        <v>605808</v>
      </c>
      <c r="MBD366" s="1648">
        <v>847471</v>
      </c>
      <c r="MBE366" s="1648">
        <v>1070054</v>
      </c>
      <c r="MBF366" s="1648">
        <v>1003687</v>
      </c>
      <c r="MBG366" s="635">
        <v>6373312</v>
      </c>
      <c r="MBH366" s="633">
        <f>SUM(MAU366:MBF366)</f>
        <v>6373312</v>
      </c>
      <c r="MBI366" s="919" t="s">
        <v>1839</v>
      </c>
      <c r="MBJ366" s="1643" t="s">
        <v>1840</v>
      </c>
      <c r="MBK366" s="1648">
        <v>603740</v>
      </c>
      <c r="MBL366" s="1648">
        <v>515055</v>
      </c>
      <c r="MBM366" s="1648">
        <v>530271</v>
      </c>
      <c r="MBN366" s="1648">
        <v>212051</v>
      </c>
      <c r="MBO366" s="1648">
        <v>131147</v>
      </c>
      <c r="MBP366" s="1648">
        <v>101889</v>
      </c>
      <c r="MBQ366" s="1648">
        <v>453326</v>
      </c>
      <c r="MBR366" s="1648">
        <v>298813</v>
      </c>
      <c r="MBS366" s="1648">
        <v>605808</v>
      </c>
      <c r="MBT366" s="1648">
        <v>847471</v>
      </c>
      <c r="MBU366" s="1648">
        <v>1070054</v>
      </c>
      <c r="MBV366" s="1648">
        <v>1003687</v>
      </c>
      <c r="MBW366" s="635">
        <v>6373312</v>
      </c>
      <c r="MBX366" s="633">
        <f>SUM(MBK366:MBV366)</f>
        <v>6373312</v>
      </c>
      <c r="MBY366" s="919" t="s">
        <v>1839</v>
      </c>
      <c r="MBZ366" s="1643" t="s">
        <v>1840</v>
      </c>
      <c r="MCA366" s="1648">
        <v>603740</v>
      </c>
      <c r="MCB366" s="1648">
        <v>515055</v>
      </c>
      <c r="MCC366" s="1648">
        <v>530271</v>
      </c>
      <c r="MCD366" s="1648">
        <v>212051</v>
      </c>
      <c r="MCE366" s="1648">
        <v>131147</v>
      </c>
      <c r="MCF366" s="1648">
        <v>101889</v>
      </c>
      <c r="MCG366" s="1648">
        <v>453326</v>
      </c>
      <c r="MCH366" s="1648">
        <v>298813</v>
      </c>
      <c r="MCI366" s="1648">
        <v>605808</v>
      </c>
      <c r="MCJ366" s="1648">
        <v>847471</v>
      </c>
      <c r="MCK366" s="1648">
        <v>1070054</v>
      </c>
      <c r="MCL366" s="1648">
        <v>1003687</v>
      </c>
      <c r="MCM366" s="635">
        <v>6373312</v>
      </c>
      <c r="MCN366" s="633">
        <f>SUM(MCA366:MCL366)</f>
        <v>6373312</v>
      </c>
      <c r="MCO366" s="919" t="s">
        <v>1839</v>
      </c>
      <c r="MCP366" s="1643" t="s">
        <v>1840</v>
      </c>
      <c r="MCQ366" s="1648">
        <v>603740</v>
      </c>
      <c r="MCR366" s="1648">
        <v>515055</v>
      </c>
      <c r="MCS366" s="1648">
        <v>530271</v>
      </c>
      <c r="MCT366" s="1648">
        <v>212051</v>
      </c>
      <c r="MCU366" s="1648">
        <v>131147</v>
      </c>
      <c r="MCV366" s="1648">
        <v>101889</v>
      </c>
      <c r="MCW366" s="1648">
        <v>453326</v>
      </c>
      <c r="MCX366" s="1648">
        <v>298813</v>
      </c>
      <c r="MCY366" s="1648">
        <v>605808</v>
      </c>
      <c r="MCZ366" s="1648">
        <v>847471</v>
      </c>
      <c r="MDA366" s="1648">
        <v>1070054</v>
      </c>
      <c r="MDB366" s="1648">
        <v>1003687</v>
      </c>
      <c r="MDC366" s="635">
        <v>6373312</v>
      </c>
      <c r="MDD366" s="633">
        <f>SUM(MCQ366:MDB366)</f>
        <v>6373312</v>
      </c>
      <c r="MDE366" s="919" t="s">
        <v>1839</v>
      </c>
      <c r="MDF366" s="1643" t="s">
        <v>1840</v>
      </c>
      <c r="MDG366" s="1648">
        <v>603740</v>
      </c>
      <c r="MDH366" s="1648">
        <v>515055</v>
      </c>
      <c r="MDI366" s="1648">
        <v>530271</v>
      </c>
      <c r="MDJ366" s="1648">
        <v>212051</v>
      </c>
      <c r="MDK366" s="1648">
        <v>131147</v>
      </c>
      <c r="MDL366" s="1648">
        <v>101889</v>
      </c>
      <c r="MDM366" s="1648">
        <v>453326</v>
      </c>
      <c r="MDN366" s="1648">
        <v>298813</v>
      </c>
      <c r="MDO366" s="1648">
        <v>605808</v>
      </c>
      <c r="MDP366" s="1648">
        <v>847471</v>
      </c>
      <c r="MDQ366" s="1648">
        <v>1070054</v>
      </c>
      <c r="MDR366" s="1648">
        <v>1003687</v>
      </c>
      <c r="MDS366" s="635">
        <v>6373312</v>
      </c>
      <c r="MDT366" s="633">
        <f>SUM(MDG366:MDR366)</f>
        <v>6373312</v>
      </c>
      <c r="MDU366" s="919" t="s">
        <v>1839</v>
      </c>
      <c r="MDV366" s="1643" t="s">
        <v>1840</v>
      </c>
      <c r="MDW366" s="1648">
        <v>603740</v>
      </c>
      <c r="MDX366" s="1648">
        <v>515055</v>
      </c>
      <c r="MDY366" s="1648">
        <v>530271</v>
      </c>
      <c r="MDZ366" s="1648">
        <v>212051</v>
      </c>
      <c r="MEA366" s="1648">
        <v>131147</v>
      </c>
      <c r="MEB366" s="1648">
        <v>101889</v>
      </c>
      <c r="MEC366" s="1648">
        <v>453326</v>
      </c>
      <c r="MED366" s="1648">
        <v>298813</v>
      </c>
      <c r="MEE366" s="1648">
        <v>605808</v>
      </c>
      <c r="MEF366" s="1648">
        <v>847471</v>
      </c>
      <c r="MEG366" s="1648">
        <v>1070054</v>
      </c>
      <c r="MEH366" s="1648">
        <v>1003687</v>
      </c>
      <c r="MEI366" s="635">
        <v>6373312</v>
      </c>
      <c r="MEJ366" s="633">
        <f>SUM(MDW366:MEH366)</f>
        <v>6373312</v>
      </c>
      <c r="MEK366" s="919" t="s">
        <v>1839</v>
      </c>
      <c r="MEL366" s="1643" t="s">
        <v>1840</v>
      </c>
      <c r="MEM366" s="1648">
        <v>603740</v>
      </c>
      <c r="MEN366" s="1648">
        <v>515055</v>
      </c>
      <c r="MEO366" s="1648">
        <v>530271</v>
      </c>
      <c r="MEP366" s="1648">
        <v>212051</v>
      </c>
      <c r="MEQ366" s="1648">
        <v>131147</v>
      </c>
      <c r="MER366" s="1648">
        <v>101889</v>
      </c>
      <c r="MES366" s="1648">
        <v>453326</v>
      </c>
      <c r="MET366" s="1648">
        <v>298813</v>
      </c>
      <c r="MEU366" s="1648">
        <v>605808</v>
      </c>
      <c r="MEV366" s="1648">
        <v>847471</v>
      </c>
      <c r="MEW366" s="1648">
        <v>1070054</v>
      </c>
      <c r="MEX366" s="1648">
        <v>1003687</v>
      </c>
      <c r="MEY366" s="635">
        <v>6373312</v>
      </c>
      <c r="MEZ366" s="633">
        <f>SUM(MEM366:MEX366)</f>
        <v>6373312</v>
      </c>
      <c r="MFA366" s="919" t="s">
        <v>1839</v>
      </c>
      <c r="MFB366" s="1643" t="s">
        <v>1840</v>
      </c>
      <c r="MFC366" s="1648">
        <v>603740</v>
      </c>
      <c r="MFD366" s="1648">
        <v>515055</v>
      </c>
      <c r="MFE366" s="1648">
        <v>530271</v>
      </c>
      <c r="MFF366" s="1648">
        <v>212051</v>
      </c>
      <c r="MFG366" s="1648">
        <v>131147</v>
      </c>
      <c r="MFH366" s="1648">
        <v>101889</v>
      </c>
      <c r="MFI366" s="1648">
        <v>453326</v>
      </c>
      <c r="MFJ366" s="1648">
        <v>298813</v>
      </c>
      <c r="MFK366" s="1648">
        <v>605808</v>
      </c>
      <c r="MFL366" s="1648">
        <v>847471</v>
      </c>
      <c r="MFM366" s="1648">
        <v>1070054</v>
      </c>
      <c r="MFN366" s="1648">
        <v>1003687</v>
      </c>
      <c r="MFO366" s="635">
        <v>6373312</v>
      </c>
      <c r="MFP366" s="633">
        <f>SUM(MFC366:MFN366)</f>
        <v>6373312</v>
      </c>
      <c r="MFQ366" s="919" t="s">
        <v>1839</v>
      </c>
      <c r="MFR366" s="1643" t="s">
        <v>1840</v>
      </c>
      <c r="MFS366" s="1648">
        <v>603740</v>
      </c>
      <c r="MFT366" s="1648">
        <v>515055</v>
      </c>
      <c r="MFU366" s="1648">
        <v>530271</v>
      </c>
      <c r="MFV366" s="1648">
        <v>212051</v>
      </c>
      <c r="MFW366" s="1648">
        <v>131147</v>
      </c>
      <c r="MFX366" s="1648">
        <v>101889</v>
      </c>
      <c r="MFY366" s="1648">
        <v>453326</v>
      </c>
      <c r="MFZ366" s="1648">
        <v>298813</v>
      </c>
      <c r="MGA366" s="1648">
        <v>605808</v>
      </c>
      <c r="MGB366" s="1648">
        <v>847471</v>
      </c>
      <c r="MGC366" s="1648">
        <v>1070054</v>
      </c>
      <c r="MGD366" s="1648">
        <v>1003687</v>
      </c>
      <c r="MGE366" s="635">
        <v>6373312</v>
      </c>
      <c r="MGF366" s="633">
        <f>SUM(MFS366:MGD366)</f>
        <v>6373312</v>
      </c>
      <c r="MGG366" s="919" t="s">
        <v>1839</v>
      </c>
      <c r="MGH366" s="1643" t="s">
        <v>1840</v>
      </c>
      <c r="MGI366" s="1648">
        <v>603740</v>
      </c>
      <c r="MGJ366" s="1648">
        <v>515055</v>
      </c>
      <c r="MGK366" s="1648">
        <v>530271</v>
      </c>
      <c r="MGL366" s="1648">
        <v>212051</v>
      </c>
      <c r="MGM366" s="1648">
        <v>131147</v>
      </c>
      <c r="MGN366" s="1648">
        <v>101889</v>
      </c>
      <c r="MGO366" s="1648">
        <v>453326</v>
      </c>
      <c r="MGP366" s="1648">
        <v>298813</v>
      </c>
      <c r="MGQ366" s="1648">
        <v>605808</v>
      </c>
      <c r="MGR366" s="1648">
        <v>847471</v>
      </c>
      <c r="MGS366" s="1648">
        <v>1070054</v>
      </c>
      <c r="MGT366" s="1648">
        <v>1003687</v>
      </c>
      <c r="MGU366" s="635">
        <v>6373312</v>
      </c>
      <c r="MGV366" s="633">
        <f>SUM(MGI366:MGT366)</f>
        <v>6373312</v>
      </c>
      <c r="MGW366" s="919" t="s">
        <v>1839</v>
      </c>
      <c r="MGX366" s="1643" t="s">
        <v>1840</v>
      </c>
      <c r="MGY366" s="1648">
        <v>603740</v>
      </c>
      <c r="MGZ366" s="1648">
        <v>515055</v>
      </c>
      <c r="MHA366" s="1648">
        <v>530271</v>
      </c>
      <c r="MHB366" s="1648">
        <v>212051</v>
      </c>
      <c r="MHC366" s="1648">
        <v>131147</v>
      </c>
      <c r="MHD366" s="1648">
        <v>101889</v>
      </c>
      <c r="MHE366" s="1648">
        <v>453326</v>
      </c>
      <c r="MHF366" s="1648">
        <v>298813</v>
      </c>
      <c r="MHG366" s="1648">
        <v>605808</v>
      </c>
      <c r="MHH366" s="1648">
        <v>847471</v>
      </c>
      <c r="MHI366" s="1648">
        <v>1070054</v>
      </c>
      <c r="MHJ366" s="1648">
        <v>1003687</v>
      </c>
      <c r="MHK366" s="635">
        <v>6373312</v>
      </c>
      <c r="MHL366" s="633">
        <f>SUM(MGY366:MHJ366)</f>
        <v>6373312</v>
      </c>
      <c r="MHM366" s="919" t="s">
        <v>1839</v>
      </c>
      <c r="MHN366" s="1643" t="s">
        <v>1840</v>
      </c>
      <c r="MHO366" s="1648">
        <v>603740</v>
      </c>
      <c r="MHP366" s="1648">
        <v>515055</v>
      </c>
      <c r="MHQ366" s="1648">
        <v>530271</v>
      </c>
      <c r="MHR366" s="1648">
        <v>212051</v>
      </c>
      <c r="MHS366" s="1648">
        <v>131147</v>
      </c>
      <c r="MHT366" s="1648">
        <v>101889</v>
      </c>
      <c r="MHU366" s="1648">
        <v>453326</v>
      </c>
      <c r="MHV366" s="1648">
        <v>298813</v>
      </c>
      <c r="MHW366" s="1648">
        <v>605808</v>
      </c>
      <c r="MHX366" s="1648">
        <v>847471</v>
      </c>
      <c r="MHY366" s="1648">
        <v>1070054</v>
      </c>
      <c r="MHZ366" s="1648">
        <v>1003687</v>
      </c>
      <c r="MIA366" s="635">
        <v>6373312</v>
      </c>
      <c r="MIB366" s="633">
        <f>SUM(MHO366:MHZ366)</f>
        <v>6373312</v>
      </c>
      <c r="MIC366" s="919" t="s">
        <v>1839</v>
      </c>
      <c r="MID366" s="1643" t="s">
        <v>1840</v>
      </c>
      <c r="MIE366" s="1648">
        <v>603740</v>
      </c>
      <c r="MIF366" s="1648">
        <v>515055</v>
      </c>
      <c r="MIG366" s="1648">
        <v>530271</v>
      </c>
      <c r="MIH366" s="1648">
        <v>212051</v>
      </c>
      <c r="MII366" s="1648">
        <v>131147</v>
      </c>
      <c r="MIJ366" s="1648">
        <v>101889</v>
      </c>
      <c r="MIK366" s="1648">
        <v>453326</v>
      </c>
      <c r="MIL366" s="1648">
        <v>298813</v>
      </c>
      <c r="MIM366" s="1648">
        <v>605808</v>
      </c>
      <c r="MIN366" s="1648">
        <v>847471</v>
      </c>
      <c r="MIO366" s="1648">
        <v>1070054</v>
      </c>
      <c r="MIP366" s="1648">
        <v>1003687</v>
      </c>
      <c r="MIQ366" s="635">
        <v>6373312</v>
      </c>
      <c r="MIR366" s="633">
        <f>SUM(MIE366:MIP366)</f>
        <v>6373312</v>
      </c>
      <c r="MIS366" s="919" t="s">
        <v>1839</v>
      </c>
      <c r="MIT366" s="1643" t="s">
        <v>1840</v>
      </c>
      <c r="MIU366" s="1648">
        <v>603740</v>
      </c>
      <c r="MIV366" s="1648">
        <v>515055</v>
      </c>
      <c r="MIW366" s="1648">
        <v>530271</v>
      </c>
      <c r="MIX366" s="1648">
        <v>212051</v>
      </c>
      <c r="MIY366" s="1648">
        <v>131147</v>
      </c>
      <c r="MIZ366" s="1648">
        <v>101889</v>
      </c>
      <c r="MJA366" s="1648">
        <v>453326</v>
      </c>
      <c r="MJB366" s="1648">
        <v>298813</v>
      </c>
      <c r="MJC366" s="1648">
        <v>605808</v>
      </c>
      <c r="MJD366" s="1648">
        <v>847471</v>
      </c>
      <c r="MJE366" s="1648">
        <v>1070054</v>
      </c>
      <c r="MJF366" s="1648">
        <v>1003687</v>
      </c>
      <c r="MJG366" s="635">
        <v>6373312</v>
      </c>
      <c r="MJH366" s="633">
        <f>SUM(MIU366:MJF366)</f>
        <v>6373312</v>
      </c>
      <c r="MJI366" s="919" t="s">
        <v>1839</v>
      </c>
      <c r="MJJ366" s="1643" t="s">
        <v>1840</v>
      </c>
      <c r="MJK366" s="1648">
        <v>603740</v>
      </c>
      <c r="MJL366" s="1648">
        <v>515055</v>
      </c>
      <c r="MJM366" s="1648">
        <v>530271</v>
      </c>
      <c r="MJN366" s="1648">
        <v>212051</v>
      </c>
      <c r="MJO366" s="1648">
        <v>131147</v>
      </c>
      <c r="MJP366" s="1648">
        <v>101889</v>
      </c>
      <c r="MJQ366" s="1648">
        <v>453326</v>
      </c>
      <c r="MJR366" s="1648">
        <v>298813</v>
      </c>
      <c r="MJS366" s="1648">
        <v>605808</v>
      </c>
      <c r="MJT366" s="1648">
        <v>847471</v>
      </c>
      <c r="MJU366" s="1648">
        <v>1070054</v>
      </c>
      <c r="MJV366" s="1648">
        <v>1003687</v>
      </c>
      <c r="MJW366" s="635">
        <v>6373312</v>
      </c>
      <c r="MJX366" s="633">
        <f>SUM(MJK366:MJV366)</f>
        <v>6373312</v>
      </c>
      <c r="MJY366" s="919" t="s">
        <v>1839</v>
      </c>
      <c r="MJZ366" s="1643" t="s">
        <v>1840</v>
      </c>
      <c r="MKA366" s="1648">
        <v>603740</v>
      </c>
      <c r="MKB366" s="1648">
        <v>515055</v>
      </c>
      <c r="MKC366" s="1648">
        <v>530271</v>
      </c>
      <c r="MKD366" s="1648">
        <v>212051</v>
      </c>
      <c r="MKE366" s="1648">
        <v>131147</v>
      </c>
      <c r="MKF366" s="1648">
        <v>101889</v>
      </c>
      <c r="MKG366" s="1648">
        <v>453326</v>
      </c>
      <c r="MKH366" s="1648">
        <v>298813</v>
      </c>
      <c r="MKI366" s="1648">
        <v>605808</v>
      </c>
      <c r="MKJ366" s="1648">
        <v>847471</v>
      </c>
      <c r="MKK366" s="1648">
        <v>1070054</v>
      </c>
      <c r="MKL366" s="1648">
        <v>1003687</v>
      </c>
      <c r="MKM366" s="635">
        <v>6373312</v>
      </c>
      <c r="MKN366" s="633">
        <f>SUM(MKA366:MKL366)</f>
        <v>6373312</v>
      </c>
      <c r="MKO366" s="919" t="s">
        <v>1839</v>
      </c>
      <c r="MKP366" s="1643" t="s">
        <v>1840</v>
      </c>
      <c r="MKQ366" s="1648">
        <v>603740</v>
      </c>
      <c r="MKR366" s="1648">
        <v>515055</v>
      </c>
      <c r="MKS366" s="1648">
        <v>530271</v>
      </c>
      <c r="MKT366" s="1648">
        <v>212051</v>
      </c>
      <c r="MKU366" s="1648">
        <v>131147</v>
      </c>
      <c r="MKV366" s="1648">
        <v>101889</v>
      </c>
      <c r="MKW366" s="1648">
        <v>453326</v>
      </c>
      <c r="MKX366" s="1648">
        <v>298813</v>
      </c>
      <c r="MKY366" s="1648">
        <v>605808</v>
      </c>
      <c r="MKZ366" s="1648">
        <v>847471</v>
      </c>
      <c r="MLA366" s="1648">
        <v>1070054</v>
      </c>
      <c r="MLB366" s="1648">
        <v>1003687</v>
      </c>
      <c r="MLC366" s="635">
        <v>6373312</v>
      </c>
      <c r="MLD366" s="633">
        <f>SUM(MKQ366:MLB366)</f>
        <v>6373312</v>
      </c>
      <c r="MLE366" s="919" t="s">
        <v>1839</v>
      </c>
      <c r="MLF366" s="1643" t="s">
        <v>1840</v>
      </c>
      <c r="MLG366" s="1648">
        <v>603740</v>
      </c>
      <c r="MLH366" s="1648">
        <v>515055</v>
      </c>
      <c r="MLI366" s="1648">
        <v>530271</v>
      </c>
      <c r="MLJ366" s="1648">
        <v>212051</v>
      </c>
      <c r="MLK366" s="1648">
        <v>131147</v>
      </c>
      <c r="MLL366" s="1648">
        <v>101889</v>
      </c>
      <c r="MLM366" s="1648">
        <v>453326</v>
      </c>
      <c r="MLN366" s="1648">
        <v>298813</v>
      </c>
      <c r="MLO366" s="1648">
        <v>605808</v>
      </c>
      <c r="MLP366" s="1648">
        <v>847471</v>
      </c>
      <c r="MLQ366" s="1648">
        <v>1070054</v>
      </c>
      <c r="MLR366" s="1648">
        <v>1003687</v>
      </c>
      <c r="MLS366" s="635">
        <v>6373312</v>
      </c>
      <c r="MLT366" s="633">
        <f>SUM(MLG366:MLR366)</f>
        <v>6373312</v>
      </c>
      <c r="MLU366" s="919" t="s">
        <v>1839</v>
      </c>
      <c r="MLV366" s="1643" t="s">
        <v>1840</v>
      </c>
      <c r="MLW366" s="1648">
        <v>603740</v>
      </c>
      <c r="MLX366" s="1648">
        <v>515055</v>
      </c>
      <c r="MLY366" s="1648">
        <v>530271</v>
      </c>
      <c r="MLZ366" s="1648">
        <v>212051</v>
      </c>
      <c r="MMA366" s="1648">
        <v>131147</v>
      </c>
      <c r="MMB366" s="1648">
        <v>101889</v>
      </c>
      <c r="MMC366" s="1648">
        <v>453326</v>
      </c>
      <c r="MMD366" s="1648">
        <v>298813</v>
      </c>
      <c r="MME366" s="1648">
        <v>605808</v>
      </c>
      <c r="MMF366" s="1648">
        <v>847471</v>
      </c>
      <c r="MMG366" s="1648">
        <v>1070054</v>
      </c>
      <c r="MMH366" s="1648">
        <v>1003687</v>
      </c>
      <c r="MMI366" s="635">
        <v>6373312</v>
      </c>
      <c r="MMJ366" s="633">
        <f>SUM(MLW366:MMH366)</f>
        <v>6373312</v>
      </c>
      <c r="MMK366" s="919" t="s">
        <v>1839</v>
      </c>
      <c r="MML366" s="1643" t="s">
        <v>1840</v>
      </c>
      <c r="MMM366" s="1648">
        <v>603740</v>
      </c>
      <c r="MMN366" s="1648">
        <v>515055</v>
      </c>
      <c r="MMO366" s="1648">
        <v>530271</v>
      </c>
      <c r="MMP366" s="1648">
        <v>212051</v>
      </c>
      <c r="MMQ366" s="1648">
        <v>131147</v>
      </c>
      <c r="MMR366" s="1648">
        <v>101889</v>
      </c>
      <c r="MMS366" s="1648">
        <v>453326</v>
      </c>
      <c r="MMT366" s="1648">
        <v>298813</v>
      </c>
      <c r="MMU366" s="1648">
        <v>605808</v>
      </c>
      <c r="MMV366" s="1648">
        <v>847471</v>
      </c>
      <c r="MMW366" s="1648">
        <v>1070054</v>
      </c>
      <c r="MMX366" s="1648">
        <v>1003687</v>
      </c>
      <c r="MMY366" s="635">
        <v>6373312</v>
      </c>
      <c r="MMZ366" s="633">
        <f>SUM(MMM366:MMX366)</f>
        <v>6373312</v>
      </c>
      <c r="MNA366" s="919" t="s">
        <v>1839</v>
      </c>
      <c r="MNB366" s="1643" t="s">
        <v>1840</v>
      </c>
      <c r="MNC366" s="1648">
        <v>603740</v>
      </c>
      <c r="MND366" s="1648">
        <v>515055</v>
      </c>
      <c r="MNE366" s="1648">
        <v>530271</v>
      </c>
      <c r="MNF366" s="1648">
        <v>212051</v>
      </c>
      <c r="MNG366" s="1648">
        <v>131147</v>
      </c>
      <c r="MNH366" s="1648">
        <v>101889</v>
      </c>
      <c r="MNI366" s="1648">
        <v>453326</v>
      </c>
      <c r="MNJ366" s="1648">
        <v>298813</v>
      </c>
      <c r="MNK366" s="1648">
        <v>605808</v>
      </c>
      <c r="MNL366" s="1648">
        <v>847471</v>
      </c>
      <c r="MNM366" s="1648">
        <v>1070054</v>
      </c>
      <c r="MNN366" s="1648">
        <v>1003687</v>
      </c>
      <c r="MNO366" s="635">
        <v>6373312</v>
      </c>
      <c r="MNP366" s="633">
        <f>SUM(MNC366:MNN366)</f>
        <v>6373312</v>
      </c>
      <c r="MNQ366" s="919" t="s">
        <v>1839</v>
      </c>
      <c r="MNR366" s="1643" t="s">
        <v>1840</v>
      </c>
      <c r="MNS366" s="1648">
        <v>603740</v>
      </c>
      <c r="MNT366" s="1648">
        <v>515055</v>
      </c>
      <c r="MNU366" s="1648">
        <v>530271</v>
      </c>
      <c r="MNV366" s="1648">
        <v>212051</v>
      </c>
      <c r="MNW366" s="1648">
        <v>131147</v>
      </c>
      <c r="MNX366" s="1648">
        <v>101889</v>
      </c>
      <c r="MNY366" s="1648">
        <v>453326</v>
      </c>
      <c r="MNZ366" s="1648">
        <v>298813</v>
      </c>
      <c r="MOA366" s="1648">
        <v>605808</v>
      </c>
      <c r="MOB366" s="1648">
        <v>847471</v>
      </c>
      <c r="MOC366" s="1648">
        <v>1070054</v>
      </c>
      <c r="MOD366" s="1648">
        <v>1003687</v>
      </c>
      <c r="MOE366" s="635">
        <v>6373312</v>
      </c>
      <c r="MOF366" s="633">
        <f>SUM(MNS366:MOD366)</f>
        <v>6373312</v>
      </c>
      <c r="MOG366" s="919" t="s">
        <v>1839</v>
      </c>
      <c r="MOH366" s="1643" t="s">
        <v>1840</v>
      </c>
      <c r="MOI366" s="1648">
        <v>603740</v>
      </c>
      <c r="MOJ366" s="1648">
        <v>515055</v>
      </c>
      <c r="MOK366" s="1648">
        <v>530271</v>
      </c>
      <c r="MOL366" s="1648">
        <v>212051</v>
      </c>
      <c r="MOM366" s="1648">
        <v>131147</v>
      </c>
      <c r="MON366" s="1648">
        <v>101889</v>
      </c>
      <c r="MOO366" s="1648">
        <v>453326</v>
      </c>
      <c r="MOP366" s="1648">
        <v>298813</v>
      </c>
      <c r="MOQ366" s="1648">
        <v>605808</v>
      </c>
      <c r="MOR366" s="1648">
        <v>847471</v>
      </c>
      <c r="MOS366" s="1648">
        <v>1070054</v>
      </c>
      <c r="MOT366" s="1648">
        <v>1003687</v>
      </c>
      <c r="MOU366" s="635">
        <v>6373312</v>
      </c>
      <c r="MOV366" s="633">
        <f>SUM(MOI366:MOT366)</f>
        <v>6373312</v>
      </c>
      <c r="MOW366" s="919" t="s">
        <v>1839</v>
      </c>
      <c r="MOX366" s="1643" t="s">
        <v>1840</v>
      </c>
      <c r="MOY366" s="1648">
        <v>603740</v>
      </c>
      <c r="MOZ366" s="1648">
        <v>515055</v>
      </c>
      <c r="MPA366" s="1648">
        <v>530271</v>
      </c>
      <c r="MPB366" s="1648">
        <v>212051</v>
      </c>
      <c r="MPC366" s="1648">
        <v>131147</v>
      </c>
      <c r="MPD366" s="1648">
        <v>101889</v>
      </c>
      <c r="MPE366" s="1648">
        <v>453326</v>
      </c>
      <c r="MPF366" s="1648">
        <v>298813</v>
      </c>
      <c r="MPG366" s="1648">
        <v>605808</v>
      </c>
      <c r="MPH366" s="1648">
        <v>847471</v>
      </c>
      <c r="MPI366" s="1648">
        <v>1070054</v>
      </c>
      <c r="MPJ366" s="1648">
        <v>1003687</v>
      </c>
      <c r="MPK366" s="635">
        <v>6373312</v>
      </c>
      <c r="MPL366" s="633">
        <f>SUM(MOY366:MPJ366)</f>
        <v>6373312</v>
      </c>
      <c r="MPM366" s="919" t="s">
        <v>1839</v>
      </c>
      <c r="MPN366" s="1643" t="s">
        <v>1840</v>
      </c>
      <c r="MPO366" s="1648">
        <v>603740</v>
      </c>
      <c r="MPP366" s="1648">
        <v>515055</v>
      </c>
      <c r="MPQ366" s="1648">
        <v>530271</v>
      </c>
      <c r="MPR366" s="1648">
        <v>212051</v>
      </c>
      <c r="MPS366" s="1648">
        <v>131147</v>
      </c>
      <c r="MPT366" s="1648">
        <v>101889</v>
      </c>
      <c r="MPU366" s="1648">
        <v>453326</v>
      </c>
      <c r="MPV366" s="1648">
        <v>298813</v>
      </c>
      <c r="MPW366" s="1648">
        <v>605808</v>
      </c>
      <c r="MPX366" s="1648">
        <v>847471</v>
      </c>
      <c r="MPY366" s="1648">
        <v>1070054</v>
      </c>
      <c r="MPZ366" s="1648">
        <v>1003687</v>
      </c>
      <c r="MQA366" s="635">
        <v>6373312</v>
      </c>
      <c r="MQB366" s="633">
        <f>SUM(MPO366:MPZ366)</f>
        <v>6373312</v>
      </c>
      <c r="MQC366" s="919" t="s">
        <v>1839</v>
      </c>
      <c r="MQD366" s="1643" t="s">
        <v>1840</v>
      </c>
      <c r="MQE366" s="1648">
        <v>603740</v>
      </c>
      <c r="MQF366" s="1648">
        <v>515055</v>
      </c>
      <c r="MQG366" s="1648">
        <v>530271</v>
      </c>
      <c r="MQH366" s="1648">
        <v>212051</v>
      </c>
      <c r="MQI366" s="1648">
        <v>131147</v>
      </c>
      <c r="MQJ366" s="1648">
        <v>101889</v>
      </c>
      <c r="MQK366" s="1648">
        <v>453326</v>
      </c>
      <c r="MQL366" s="1648">
        <v>298813</v>
      </c>
      <c r="MQM366" s="1648">
        <v>605808</v>
      </c>
      <c r="MQN366" s="1648">
        <v>847471</v>
      </c>
      <c r="MQO366" s="1648">
        <v>1070054</v>
      </c>
      <c r="MQP366" s="1648">
        <v>1003687</v>
      </c>
      <c r="MQQ366" s="635">
        <v>6373312</v>
      </c>
      <c r="MQR366" s="633">
        <f>SUM(MQE366:MQP366)</f>
        <v>6373312</v>
      </c>
      <c r="MQS366" s="919" t="s">
        <v>1839</v>
      </c>
      <c r="MQT366" s="1643" t="s">
        <v>1840</v>
      </c>
      <c r="MQU366" s="1648">
        <v>603740</v>
      </c>
      <c r="MQV366" s="1648">
        <v>515055</v>
      </c>
      <c r="MQW366" s="1648">
        <v>530271</v>
      </c>
      <c r="MQX366" s="1648">
        <v>212051</v>
      </c>
      <c r="MQY366" s="1648">
        <v>131147</v>
      </c>
      <c r="MQZ366" s="1648">
        <v>101889</v>
      </c>
      <c r="MRA366" s="1648">
        <v>453326</v>
      </c>
      <c r="MRB366" s="1648">
        <v>298813</v>
      </c>
      <c r="MRC366" s="1648">
        <v>605808</v>
      </c>
      <c r="MRD366" s="1648">
        <v>847471</v>
      </c>
      <c r="MRE366" s="1648">
        <v>1070054</v>
      </c>
      <c r="MRF366" s="1648">
        <v>1003687</v>
      </c>
      <c r="MRG366" s="635">
        <v>6373312</v>
      </c>
      <c r="MRH366" s="633">
        <f>SUM(MQU366:MRF366)</f>
        <v>6373312</v>
      </c>
      <c r="MRI366" s="919" t="s">
        <v>1839</v>
      </c>
      <c r="MRJ366" s="1643" t="s">
        <v>1840</v>
      </c>
      <c r="MRK366" s="1648">
        <v>603740</v>
      </c>
      <c r="MRL366" s="1648">
        <v>515055</v>
      </c>
      <c r="MRM366" s="1648">
        <v>530271</v>
      </c>
      <c r="MRN366" s="1648">
        <v>212051</v>
      </c>
      <c r="MRO366" s="1648">
        <v>131147</v>
      </c>
      <c r="MRP366" s="1648">
        <v>101889</v>
      </c>
      <c r="MRQ366" s="1648">
        <v>453326</v>
      </c>
      <c r="MRR366" s="1648">
        <v>298813</v>
      </c>
      <c r="MRS366" s="1648">
        <v>605808</v>
      </c>
      <c r="MRT366" s="1648">
        <v>847471</v>
      </c>
      <c r="MRU366" s="1648">
        <v>1070054</v>
      </c>
      <c r="MRV366" s="1648">
        <v>1003687</v>
      </c>
      <c r="MRW366" s="635">
        <v>6373312</v>
      </c>
      <c r="MRX366" s="633">
        <f>SUM(MRK366:MRV366)</f>
        <v>6373312</v>
      </c>
      <c r="MRY366" s="919" t="s">
        <v>1839</v>
      </c>
      <c r="MRZ366" s="1643" t="s">
        <v>1840</v>
      </c>
      <c r="MSA366" s="1648">
        <v>603740</v>
      </c>
      <c r="MSB366" s="1648">
        <v>515055</v>
      </c>
      <c r="MSC366" s="1648">
        <v>530271</v>
      </c>
      <c r="MSD366" s="1648">
        <v>212051</v>
      </c>
      <c r="MSE366" s="1648">
        <v>131147</v>
      </c>
      <c r="MSF366" s="1648">
        <v>101889</v>
      </c>
      <c r="MSG366" s="1648">
        <v>453326</v>
      </c>
      <c r="MSH366" s="1648">
        <v>298813</v>
      </c>
      <c r="MSI366" s="1648">
        <v>605808</v>
      </c>
      <c r="MSJ366" s="1648">
        <v>847471</v>
      </c>
      <c r="MSK366" s="1648">
        <v>1070054</v>
      </c>
      <c r="MSL366" s="1648">
        <v>1003687</v>
      </c>
      <c r="MSM366" s="635">
        <v>6373312</v>
      </c>
      <c r="MSN366" s="633">
        <f>SUM(MSA366:MSL366)</f>
        <v>6373312</v>
      </c>
      <c r="MSO366" s="919" t="s">
        <v>1839</v>
      </c>
      <c r="MSP366" s="1643" t="s">
        <v>1840</v>
      </c>
      <c r="MSQ366" s="1648">
        <v>603740</v>
      </c>
      <c r="MSR366" s="1648">
        <v>515055</v>
      </c>
      <c r="MSS366" s="1648">
        <v>530271</v>
      </c>
      <c r="MST366" s="1648">
        <v>212051</v>
      </c>
      <c r="MSU366" s="1648">
        <v>131147</v>
      </c>
      <c r="MSV366" s="1648">
        <v>101889</v>
      </c>
      <c r="MSW366" s="1648">
        <v>453326</v>
      </c>
      <c r="MSX366" s="1648">
        <v>298813</v>
      </c>
      <c r="MSY366" s="1648">
        <v>605808</v>
      </c>
      <c r="MSZ366" s="1648">
        <v>847471</v>
      </c>
      <c r="MTA366" s="1648">
        <v>1070054</v>
      </c>
      <c r="MTB366" s="1648">
        <v>1003687</v>
      </c>
      <c r="MTC366" s="635">
        <v>6373312</v>
      </c>
      <c r="MTD366" s="633">
        <f>SUM(MSQ366:MTB366)</f>
        <v>6373312</v>
      </c>
      <c r="MTE366" s="919" t="s">
        <v>1839</v>
      </c>
      <c r="MTF366" s="1643" t="s">
        <v>1840</v>
      </c>
      <c r="MTG366" s="1648">
        <v>603740</v>
      </c>
      <c r="MTH366" s="1648">
        <v>515055</v>
      </c>
      <c r="MTI366" s="1648">
        <v>530271</v>
      </c>
      <c r="MTJ366" s="1648">
        <v>212051</v>
      </c>
      <c r="MTK366" s="1648">
        <v>131147</v>
      </c>
      <c r="MTL366" s="1648">
        <v>101889</v>
      </c>
      <c r="MTM366" s="1648">
        <v>453326</v>
      </c>
      <c r="MTN366" s="1648">
        <v>298813</v>
      </c>
      <c r="MTO366" s="1648">
        <v>605808</v>
      </c>
      <c r="MTP366" s="1648">
        <v>847471</v>
      </c>
      <c r="MTQ366" s="1648">
        <v>1070054</v>
      </c>
      <c r="MTR366" s="1648">
        <v>1003687</v>
      </c>
      <c r="MTS366" s="635">
        <v>6373312</v>
      </c>
      <c r="MTT366" s="633">
        <f>SUM(MTG366:MTR366)</f>
        <v>6373312</v>
      </c>
      <c r="MTU366" s="919" t="s">
        <v>1839</v>
      </c>
      <c r="MTV366" s="1643" t="s">
        <v>1840</v>
      </c>
      <c r="MTW366" s="1648">
        <v>603740</v>
      </c>
      <c r="MTX366" s="1648">
        <v>515055</v>
      </c>
      <c r="MTY366" s="1648">
        <v>530271</v>
      </c>
      <c r="MTZ366" s="1648">
        <v>212051</v>
      </c>
      <c r="MUA366" s="1648">
        <v>131147</v>
      </c>
      <c r="MUB366" s="1648">
        <v>101889</v>
      </c>
      <c r="MUC366" s="1648">
        <v>453326</v>
      </c>
      <c r="MUD366" s="1648">
        <v>298813</v>
      </c>
      <c r="MUE366" s="1648">
        <v>605808</v>
      </c>
      <c r="MUF366" s="1648">
        <v>847471</v>
      </c>
      <c r="MUG366" s="1648">
        <v>1070054</v>
      </c>
      <c r="MUH366" s="1648">
        <v>1003687</v>
      </c>
      <c r="MUI366" s="635">
        <v>6373312</v>
      </c>
      <c r="MUJ366" s="633">
        <f>SUM(MTW366:MUH366)</f>
        <v>6373312</v>
      </c>
      <c r="MUK366" s="919" t="s">
        <v>1839</v>
      </c>
      <c r="MUL366" s="1643" t="s">
        <v>1840</v>
      </c>
      <c r="MUM366" s="1648">
        <v>603740</v>
      </c>
      <c r="MUN366" s="1648">
        <v>515055</v>
      </c>
      <c r="MUO366" s="1648">
        <v>530271</v>
      </c>
      <c r="MUP366" s="1648">
        <v>212051</v>
      </c>
      <c r="MUQ366" s="1648">
        <v>131147</v>
      </c>
      <c r="MUR366" s="1648">
        <v>101889</v>
      </c>
      <c r="MUS366" s="1648">
        <v>453326</v>
      </c>
      <c r="MUT366" s="1648">
        <v>298813</v>
      </c>
      <c r="MUU366" s="1648">
        <v>605808</v>
      </c>
      <c r="MUV366" s="1648">
        <v>847471</v>
      </c>
      <c r="MUW366" s="1648">
        <v>1070054</v>
      </c>
      <c r="MUX366" s="1648">
        <v>1003687</v>
      </c>
      <c r="MUY366" s="635">
        <v>6373312</v>
      </c>
      <c r="MUZ366" s="633">
        <f>SUM(MUM366:MUX366)</f>
        <v>6373312</v>
      </c>
      <c r="MVA366" s="919" t="s">
        <v>1839</v>
      </c>
      <c r="MVB366" s="1643" t="s">
        <v>1840</v>
      </c>
      <c r="MVC366" s="1648">
        <v>603740</v>
      </c>
      <c r="MVD366" s="1648">
        <v>515055</v>
      </c>
      <c r="MVE366" s="1648">
        <v>530271</v>
      </c>
      <c r="MVF366" s="1648">
        <v>212051</v>
      </c>
      <c r="MVG366" s="1648">
        <v>131147</v>
      </c>
      <c r="MVH366" s="1648">
        <v>101889</v>
      </c>
      <c r="MVI366" s="1648">
        <v>453326</v>
      </c>
      <c r="MVJ366" s="1648">
        <v>298813</v>
      </c>
      <c r="MVK366" s="1648">
        <v>605808</v>
      </c>
      <c r="MVL366" s="1648">
        <v>847471</v>
      </c>
      <c r="MVM366" s="1648">
        <v>1070054</v>
      </c>
      <c r="MVN366" s="1648">
        <v>1003687</v>
      </c>
      <c r="MVO366" s="635">
        <v>6373312</v>
      </c>
      <c r="MVP366" s="633">
        <f>SUM(MVC366:MVN366)</f>
        <v>6373312</v>
      </c>
      <c r="MVQ366" s="919" t="s">
        <v>1839</v>
      </c>
      <c r="MVR366" s="1643" t="s">
        <v>1840</v>
      </c>
      <c r="MVS366" s="1648">
        <v>603740</v>
      </c>
      <c r="MVT366" s="1648">
        <v>515055</v>
      </c>
      <c r="MVU366" s="1648">
        <v>530271</v>
      </c>
      <c r="MVV366" s="1648">
        <v>212051</v>
      </c>
      <c r="MVW366" s="1648">
        <v>131147</v>
      </c>
      <c r="MVX366" s="1648">
        <v>101889</v>
      </c>
      <c r="MVY366" s="1648">
        <v>453326</v>
      </c>
      <c r="MVZ366" s="1648">
        <v>298813</v>
      </c>
      <c r="MWA366" s="1648">
        <v>605808</v>
      </c>
      <c r="MWB366" s="1648">
        <v>847471</v>
      </c>
      <c r="MWC366" s="1648">
        <v>1070054</v>
      </c>
      <c r="MWD366" s="1648">
        <v>1003687</v>
      </c>
      <c r="MWE366" s="635">
        <v>6373312</v>
      </c>
      <c r="MWF366" s="633">
        <f>SUM(MVS366:MWD366)</f>
        <v>6373312</v>
      </c>
      <c r="MWG366" s="919" t="s">
        <v>1839</v>
      </c>
      <c r="MWH366" s="1643" t="s">
        <v>1840</v>
      </c>
      <c r="MWI366" s="1648">
        <v>603740</v>
      </c>
      <c r="MWJ366" s="1648">
        <v>515055</v>
      </c>
      <c r="MWK366" s="1648">
        <v>530271</v>
      </c>
      <c r="MWL366" s="1648">
        <v>212051</v>
      </c>
      <c r="MWM366" s="1648">
        <v>131147</v>
      </c>
      <c r="MWN366" s="1648">
        <v>101889</v>
      </c>
      <c r="MWO366" s="1648">
        <v>453326</v>
      </c>
      <c r="MWP366" s="1648">
        <v>298813</v>
      </c>
      <c r="MWQ366" s="1648">
        <v>605808</v>
      </c>
      <c r="MWR366" s="1648">
        <v>847471</v>
      </c>
      <c r="MWS366" s="1648">
        <v>1070054</v>
      </c>
      <c r="MWT366" s="1648">
        <v>1003687</v>
      </c>
      <c r="MWU366" s="635">
        <v>6373312</v>
      </c>
      <c r="MWV366" s="633">
        <f>SUM(MWI366:MWT366)</f>
        <v>6373312</v>
      </c>
      <c r="MWW366" s="919" t="s">
        <v>1839</v>
      </c>
      <c r="MWX366" s="1643" t="s">
        <v>1840</v>
      </c>
      <c r="MWY366" s="1648">
        <v>603740</v>
      </c>
      <c r="MWZ366" s="1648">
        <v>515055</v>
      </c>
      <c r="MXA366" s="1648">
        <v>530271</v>
      </c>
      <c r="MXB366" s="1648">
        <v>212051</v>
      </c>
      <c r="MXC366" s="1648">
        <v>131147</v>
      </c>
      <c r="MXD366" s="1648">
        <v>101889</v>
      </c>
      <c r="MXE366" s="1648">
        <v>453326</v>
      </c>
      <c r="MXF366" s="1648">
        <v>298813</v>
      </c>
      <c r="MXG366" s="1648">
        <v>605808</v>
      </c>
      <c r="MXH366" s="1648">
        <v>847471</v>
      </c>
      <c r="MXI366" s="1648">
        <v>1070054</v>
      </c>
      <c r="MXJ366" s="1648">
        <v>1003687</v>
      </c>
      <c r="MXK366" s="635">
        <v>6373312</v>
      </c>
      <c r="MXL366" s="633">
        <f>SUM(MWY366:MXJ366)</f>
        <v>6373312</v>
      </c>
      <c r="MXM366" s="919" t="s">
        <v>1839</v>
      </c>
      <c r="MXN366" s="1643" t="s">
        <v>1840</v>
      </c>
      <c r="MXO366" s="1648">
        <v>603740</v>
      </c>
      <c r="MXP366" s="1648">
        <v>515055</v>
      </c>
      <c r="MXQ366" s="1648">
        <v>530271</v>
      </c>
      <c r="MXR366" s="1648">
        <v>212051</v>
      </c>
      <c r="MXS366" s="1648">
        <v>131147</v>
      </c>
      <c r="MXT366" s="1648">
        <v>101889</v>
      </c>
      <c r="MXU366" s="1648">
        <v>453326</v>
      </c>
      <c r="MXV366" s="1648">
        <v>298813</v>
      </c>
      <c r="MXW366" s="1648">
        <v>605808</v>
      </c>
      <c r="MXX366" s="1648">
        <v>847471</v>
      </c>
      <c r="MXY366" s="1648">
        <v>1070054</v>
      </c>
      <c r="MXZ366" s="1648">
        <v>1003687</v>
      </c>
      <c r="MYA366" s="635">
        <v>6373312</v>
      </c>
      <c r="MYB366" s="633">
        <f>SUM(MXO366:MXZ366)</f>
        <v>6373312</v>
      </c>
      <c r="MYC366" s="919" t="s">
        <v>1839</v>
      </c>
      <c r="MYD366" s="1643" t="s">
        <v>1840</v>
      </c>
      <c r="MYE366" s="1648">
        <v>603740</v>
      </c>
      <c r="MYF366" s="1648">
        <v>515055</v>
      </c>
      <c r="MYG366" s="1648">
        <v>530271</v>
      </c>
      <c r="MYH366" s="1648">
        <v>212051</v>
      </c>
      <c r="MYI366" s="1648">
        <v>131147</v>
      </c>
      <c r="MYJ366" s="1648">
        <v>101889</v>
      </c>
      <c r="MYK366" s="1648">
        <v>453326</v>
      </c>
      <c r="MYL366" s="1648">
        <v>298813</v>
      </c>
      <c r="MYM366" s="1648">
        <v>605808</v>
      </c>
      <c r="MYN366" s="1648">
        <v>847471</v>
      </c>
      <c r="MYO366" s="1648">
        <v>1070054</v>
      </c>
      <c r="MYP366" s="1648">
        <v>1003687</v>
      </c>
      <c r="MYQ366" s="635">
        <v>6373312</v>
      </c>
      <c r="MYR366" s="633">
        <f>SUM(MYE366:MYP366)</f>
        <v>6373312</v>
      </c>
      <c r="MYS366" s="919" t="s">
        <v>1839</v>
      </c>
      <c r="MYT366" s="1643" t="s">
        <v>1840</v>
      </c>
      <c r="MYU366" s="1648">
        <v>603740</v>
      </c>
      <c r="MYV366" s="1648">
        <v>515055</v>
      </c>
      <c r="MYW366" s="1648">
        <v>530271</v>
      </c>
      <c r="MYX366" s="1648">
        <v>212051</v>
      </c>
      <c r="MYY366" s="1648">
        <v>131147</v>
      </c>
      <c r="MYZ366" s="1648">
        <v>101889</v>
      </c>
      <c r="MZA366" s="1648">
        <v>453326</v>
      </c>
      <c r="MZB366" s="1648">
        <v>298813</v>
      </c>
      <c r="MZC366" s="1648">
        <v>605808</v>
      </c>
      <c r="MZD366" s="1648">
        <v>847471</v>
      </c>
      <c r="MZE366" s="1648">
        <v>1070054</v>
      </c>
      <c r="MZF366" s="1648">
        <v>1003687</v>
      </c>
      <c r="MZG366" s="635">
        <v>6373312</v>
      </c>
      <c r="MZH366" s="633">
        <f>SUM(MYU366:MZF366)</f>
        <v>6373312</v>
      </c>
      <c r="MZI366" s="919" t="s">
        <v>1839</v>
      </c>
      <c r="MZJ366" s="1643" t="s">
        <v>1840</v>
      </c>
      <c r="MZK366" s="1648">
        <v>603740</v>
      </c>
      <c r="MZL366" s="1648">
        <v>515055</v>
      </c>
      <c r="MZM366" s="1648">
        <v>530271</v>
      </c>
      <c r="MZN366" s="1648">
        <v>212051</v>
      </c>
      <c r="MZO366" s="1648">
        <v>131147</v>
      </c>
      <c r="MZP366" s="1648">
        <v>101889</v>
      </c>
      <c r="MZQ366" s="1648">
        <v>453326</v>
      </c>
      <c r="MZR366" s="1648">
        <v>298813</v>
      </c>
      <c r="MZS366" s="1648">
        <v>605808</v>
      </c>
      <c r="MZT366" s="1648">
        <v>847471</v>
      </c>
      <c r="MZU366" s="1648">
        <v>1070054</v>
      </c>
      <c r="MZV366" s="1648">
        <v>1003687</v>
      </c>
      <c r="MZW366" s="635">
        <v>6373312</v>
      </c>
      <c r="MZX366" s="633">
        <f>SUM(MZK366:MZV366)</f>
        <v>6373312</v>
      </c>
      <c r="MZY366" s="919" t="s">
        <v>1839</v>
      </c>
      <c r="MZZ366" s="1643" t="s">
        <v>1840</v>
      </c>
      <c r="NAA366" s="1648">
        <v>603740</v>
      </c>
      <c r="NAB366" s="1648">
        <v>515055</v>
      </c>
      <c r="NAC366" s="1648">
        <v>530271</v>
      </c>
      <c r="NAD366" s="1648">
        <v>212051</v>
      </c>
      <c r="NAE366" s="1648">
        <v>131147</v>
      </c>
      <c r="NAF366" s="1648">
        <v>101889</v>
      </c>
      <c r="NAG366" s="1648">
        <v>453326</v>
      </c>
      <c r="NAH366" s="1648">
        <v>298813</v>
      </c>
      <c r="NAI366" s="1648">
        <v>605808</v>
      </c>
      <c r="NAJ366" s="1648">
        <v>847471</v>
      </c>
      <c r="NAK366" s="1648">
        <v>1070054</v>
      </c>
      <c r="NAL366" s="1648">
        <v>1003687</v>
      </c>
      <c r="NAM366" s="635">
        <v>6373312</v>
      </c>
      <c r="NAN366" s="633">
        <f>SUM(NAA366:NAL366)</f>
        <v>6373312</v>
      </c>
      <c r="NAO366" s="919" t="s">
        <v>1839</v>
      </c>
      <c r="NAP366" s="1643" t="s">
        <v>1840</v>
      </c>
      <c r="NAQ366" s="1648">
        <v>603740</v>
      </c>
      <c r="NAR366" s="1648">
        <v>515055</v>
      </c>
      <c r="NAS366" s="1648">
        <v>530271</v>
      </c>
      <c r="NAT366" s="1648">
        <v>212051</v>
      </c>
      <c r="NAU366" s="1648">
        <v>131147</v>
      </c>
      <c r="NAV366" s="1648">
        <v>101889</v>
      </c>
      <c r="NAW366" s="1648">
        <v>453326</v>
      </c>
      <c r="NAX366" s="1648">
        <v>298813</v>
      </c>
      <c r="NAY366" s="1648">
        <v>605808</v>
      </c>
      <c r="NAZ366" s="1648">
        <v>847471</v>
      </c>
      <c r="NBA366" s="1648">
        <v>1070054</v>
      </c>
      <c r="NBB366" s="1648">
        <v>1003687</v>
      </c>
      <c r="NBC366" s="635">
        <v>6373312</v>
      </c>
      <c r="NBD366" s="633">
        <f>SUM(NAQ366:NBB366)</f>
        <v>6373312</v>
      </c>
      <c r="NBE366" s="919" t="s">
        <v>1839</v>
      </c>
      <c r="NBF366" s="1643" t="s">
        <v>1840</v>
      </c>
      <c r="NBG366" s="1648">
        <v>603740</v>
      </c>
      <c r="NBH366" s="1648">
        <v>515055</v>
      </c>
      <c r="NBI366" s="1648">
        <v>530271</v>
      </c>
      <c r="NBJ366" s="1648">
        <v>212051</v>
      </c>
      <c r="NBK366" s="1648">
        <v>131147</v>
      </c>
      <c r="NBL366" s="1648">
        <v>101889</v>
      </c>
      <c r="NBM366" s="1648">
        <v>453326</v>
      </c>
      <c r="NBN366" s="1648">
        <v>298813</v>
      </c>
      <c r="NBO366" s="1648">
        <v>605808</v>
      </c>
      <c r="NBP366" s="1648">
        <v>847471</v>
      </c>
      <c r="NBQ366" s="1648">
        <v>1070054</v>
      </c>
      <c r="NBR366" s="1648">
        <v>1003687</v>
      </c>
      <c r="NBS366" s="635">
        <v>6373312</v>
      </c>
      <c r="NBT366" s="633">
        <f>SUM(NBG366:NBR366)</f>
        <v>6373312</v>
      </c>
      <c r="NBU366" s="919" t="s">
        <v>1839</v>
      </c>
      <c r="NBV366" s="1643" t="s">
        <v>1840</v>
      </c>
      <c r="NBW366" s="1648">
        <v>603740</v>
      </c>
      <c r="NBX366" s="1648">
        <v>515055</v>
      </c>
      <c r="NBY366" s="1648">
        <v>530271</v>
      </c>
      <c r="NBZ366" s="1648">
        <v>212051</v>
      </c>
      <c r="NCA366" s="1648">
        <v>131147</v>
      </c>
      <c r="NCB366" s="1648">
        <v>101889</v>
      </c>
      <c r="NCC366" s="1648">
        <v>453326</v>
      </c>
      <c r="NCD366" s="1648">
        <v>298813</v>
      </c>
      <c r="NCE366" s="1648">
        <v>605808</v>
      </c>
      <c r="NCF366" s="1648">
        <v>847471</v>
      </c>
      <c r="NCG366" s="1648">
        <v>1070054</v>
      </c>
      <c r="NCH366" s="1648">
        <v>1003687</v>
      </c>
      <c r="NCI366" s="635">
        <v>6373312</v>
      </c>
      <c r="NCJ366" s="633">
        <f>SUM(NBW366:NCH366)</f>
        <v>6373312</v>
      </c>
      <c r="NCK366" s="919" t="s">
        <v>1839</v>
      </c>
      <c r="NCL366" s="1643" t="s">
        <v>1840</v>
      </c>
      <c r="NCM366" s="1648">
        <v>603740</v>
      </c>
      <c r="NCN366" s="1648">
        <v>515055</v>
      </c>
      <c r="NCO366" s="1648">
        <v>530271</v>
      </c>
      <c r="NCP366" s="1648">
        <v>212051</v>
      </c>
      <c r="NCQ366" s="1648">
        <v>131147</v>
      </c>
      <c r="NCR366" s="1648">
        <v>101889</v>
      </c>
      <c r="NCS366" s="1648">
        <v>453326</v>
      </c>
      <c r="NCT366" s="1648">
        <v>298813</v>
      </c>
      <c r="NCU366" s="1648">
        <v>605808</v>
      </c>
      <c r="NCV366" s="1648">
        <v>847471</v>
      </c>
      <c r="NCW366" s="1648">
        <v>1070054</v>
      </c>
      <c r="NCX366" s="1648">
        <v>1003687</v>
      </c>
      <c r="NCY366" s="635">
        <v>6373312</v>
      </c>
      <c r="NCZ366" s="633">
        <f>SUM(NCM366:NCX366)</f>
        <v>6373312</v>
      </c>
      <c r="NDA366" s="919" t="s">
        <v>1839</v>
      </c>
      <c r="NDB366" s="1643" t="s">
        <v>1840</v>
      </c>
      <c r="NDC366" s="1648">
        <v>603740</v>
      </c>
      <c r="NDD366" s="1648">
        <v>515055</v>
      </c>
      <c r="NDE366" s="1648">
        <v>530271</v>
      </c>
      <c r="NDF366" s="1648">
        <v>212051</v>
      </c>
      <c r="NDG366" s="1648">
        <v>131147</v>
      </c>
      <c r="NDH366" s="1648">
        <v>101889</v>
      </c>
      <c r="NDI366" s="1648">
        <v>453326</v>
      </c>
      <c r="NDJ366" s="1648">
        <v>298813</v>
      </c>
      <c r="NDK366" s="1648">
        <v>605808</v>
      </c>
      <c r="NDL366" s="1648">
        <v>847471</v>
      </c>
      <c r="NDM366" s="1648">
        <v>1070054</v>
      </c>
      <c r="NDN366" s="1648">
        <v>1003687</v>
      </c>
      <c r="NDO366" s="635">
        <v>6373312</v>
      </c>
      <c r="NDP366" s="633">
        <f>SUM(NDC366:NDN366)</f>
        <v>6373312</v>
      </c>
      <c r="NDQ366" s="919" t="s">
        <v>1839</v>
      </c>
      <c r="NDR366" s="1643" t="s">
        <v>1840</v>
      </c>
      <c r="NDS366" s="1648">
        <v>603740</v>
      </c>
      <c r="NDT366" s="1648">
        <v>515055</v>
      </c>
      <c r="NDU366" s="1648">
        <v>530271</v>
      </c>
      <c r="NDV366" s="1648">
        <v>212051</v>
      </c>
      <c r="NDW366" s="1648">
        <v>131147</v>
      </c>
      <c r="NDX366" s="1648">
        <v>101889</v>
      </c>
      <c r="NDY366" s="1648">
        <v>453326</v>
      </c>
      <c r="NDZ366" s="1648">
        <v>298813</v>
      </c>
      <c r="NEA366" s="1648">
        <v>605808</v>
      </c>
      <c r="NEB366" s="1648">
        <v>847471</v>
      </c>
      <c r="NEC366" s="1648">
        <v>1070054</v>
      </c>
      <c r="NED366" s="1648">
        <v>1003687</v>
      </c>
      <c r="NEE366" s="635">
        <v>6373312</v>
      </c>
      <c r="NEF366" s="633">
        <f>SUM(NDS366:NED366)</f>
        <v>6373312</v>
      </c>
      <c r="NEG366" s="919" t="s">
        <v>1839</v>
      </c>
      <c r="NEH366" s="1643" t="s">
        <v>1840</v>
      </c>
      <c r="NEI366" s="1648">
        <v>603740</v>
      </c>
      <c r="NEJ366" s="1648">
        <v>515055</v>
      </c>
      <c r="NEK366" s="1648">
        <v>530271</v>
      </c>
      <c r="NEL366" s="1648">
        <v>212051</v>
      </c>
      <c r="NEM366" s="1648">
        <v>131147</v>
      </c>
      <c r="NEN366" s="1648">
        <v>101889</v>
      </c>
      <c r="NEO366" s="1648">
        <v>453326</v>
      </c>
      <c r="NEP366" s="1648">
        <v>298813</v>
      </c>
      <c r="NEQ366" s="1648">
        <v>605808</v>
      </c>
      <c r="NER366" s="1648">
        <v>847471</v>
      </c>
      <c r="NES366" s="1648">
        <v>1070054</v>
      </c>
      <c r="NET366" s="1648">
        <v>1003687</v>
      </c>
      <c r="NEU366" s="635">
        <v>6373312</v>
      </c>
      <c r="NEV366" s="633">
        <f>SUM(NEI366:NET366)</f>
        <v>6373312</v>
      </c>
      <c r="NEW366" s="919" t="s">
        <v>1839</v>
      </c>
      <c r="NEX366" s="1643" t="s">
        <v>1840</v>
      </c>
      <c r="NEY366" s="1648">
        <v>603740</v>
      </c>
      <c r="NEZ366" s="1648">
        <v>515055</v>
      </c>
      <c r="NFA366" s="1648">
        <v>530271</v>
      </c>
      <c r="NFB366" s="1648">
        <v>212051</v>
      </c>
      <c r="NFC366" s="1648">
        <v>131147</v>
      </c>
      <c r="NFD366" s="1648">
        <v>101889</v>
      </c>
      <c r="NFE366" s="1648">
        <v>453326</v>
      </c>
      <c r="NFF366" s="1648">
        <v>298813</v>
      </c>
      <c r="NFG366" s="1648">
        <v>605808</v>
      </c>
      <c r="NFH366" s="1648">
        <v>847471</v>
      </c>
      <c r="NFI366" s="1648">
        <v>1070054</v>
      </c>
      <c r="NFJ366" s="1648">
        <v>1003687</v>
      </c>
      <c r="NFK366" s="635">
        <v>6373312</v>
      </c>
      <c r="NFL366" s="633">
        <f>SUM(NEY366:NFJ366)</f>
        <v>6373312</v>
      </c>
      <c r="NFM366" s="919" t="s">
        <v>1839</v>
      </c>
      <c r="NFN366" s="1643" t="s">
        <v>1840</v>
      </c>
      <c r="NFO366" s="1648">
        <v>603740</v>
      </c>
      <c r="NFP366" s="1648">
        <v>515055</v>
      </c>
      <c r="NFQ366" s="1648">
        <v>530271</v>
      </c>
      <c r="NFR366" s="1648">
        <v>212051</v>
      </c>
      <c r="NFS366" s="1648">
        <v>131147</v>
      </c>
      <c r="NFT366" s="1648">
        <v>101889</v>
      </c>
      <c r="NFU366" s="1648">
        <v>453326</v>
      </c>
      <c r="NFV366" s="1648">
        <v>298813</v>
      </c>
      <c r="NFW366" s="1648">
        <v>605808</v>
      </c>
      <c r="NFX366" s="1648">
        <v>847471</v>
      </c>
      <c r="NFY366" s="1648">
        <v>1070054</v>
      </c>
      <c r="NFZ366" s="1648">
        <v>1003687</v>
      </c>
      <c r="NGA366" s="635">
        <v>6373312</v>
      </c>
      <c r="NGB366" s="633">
        <f>SUM(NFO366:NFZ366)</f>
        <v>6373312</v>
      </c>
      <c r="NGC366" s="919" t="s">
        <v>1839</v>
      </c>
      <c r="NGD366" s="1643" t="s">
        <v>1840</v>
      </c>
      <c r="NGE366" s="1648">
        <v>603740</v>
      </c>
      <c r="NGF366" s="1648">
        <v>515055</v>
      </c>
      <c r="NGG366" s="1648">
        <v>530271</v>
      </c>
      <c r="NGH366" s="1648">
        <v>212051</v>
      </c>
      <c r="NGI366" s="1648">
        <v>131147</v>
      </c>
      <c r="NGJ366" s="1648">
        <v>101889</v>
      </c>
      <c r="NGK366" s="1648">
        <v>453326</v>
      </c>
      <c r="NGL366" s="1648">
        <v>298813</v>
      </c>
      <c r="NGM366" s="1648">
        <v>605808</v>
      </c>
      <c r="NGN366" s="1648">
        <v>847471</v>
      </c>
      <c r="NGO366" s="1648">
        <v>1070054</v>
      </c>
      <c r="NGP366" s="1648">
        <v>1003687</v>
      </c>
      <c r="NGQ366" s="635">
        <v>6373312</v>
      </c>
      <c r="NGR366" s="633">
        <f>SUM(NGE366:NGP366)</f>
        <v>6373312</v>
      </c>
      <c r="NGS366" s="919" t="s">
        <v>1839</v>
      </c>
      <c r="NGT366" s="1643" t="s">
        <v>1840</v>
      </c>
      <c r="NGU366" s="1648">
        <v>603740</v>
      </c>
      <c r="NGV366" s="1648">
        <v>515055</v>
      </c>
      <c r="NGW366" s="1648">
        <v>530271</v>
      </c>
      <c r="NGX366" s="1648">
        <v>212051</v>
      </c>
      <c r="NGY366" s="1648">
        <v>131147</v>
      </c>
      <c r="NGZ366" s="1648">
        <v>101889</v>
      </c>
      <c r="NHA366" s="1648">
        <v>453326</v>
      </c>
      <c r="NHB366" s="1648">
        <v>298813</v>
      </c>
      <c r="NHC366" s="1648">
        <v>605808</v>
      </c>
      <c r="NHD366" s="1648">
        <v>847471</v>
      </c>
      <c r="NHE366" s="1648">
        <v>1070054</v>
      </c>
      <c r="NHF366" s="1648">
        <v>1003687</v>
      </c>
      <c r="NHG366" s="635">
        <v>6373312</v>
      </c>
      <c r="NHH366" s="633">
        <f>SUM(NGU366:NHF366)</f>
        <v>6373312</v>
      </c>
      <c r="NHI366" s="919" t="s">
        <v>1839</v>
      </c>
      <c r="NHJ366" s="1643" t="s">
        <v>1840</v>
      </c>
      <c r="NHK366" s="1648">
        <v>603740</v>
      </c>
      <c r="NHL366" s="1648">
        <v>515055</v>
      </c>
      <c r="NHM366" s="1648">
        <v>530271</v>
      </c>
      <c r="NHN366" s="1648">
        <v>212051</v>
      </c>
      <c r="NHO366" s="1648">
        <v>131147</v>
      </c>
      <c r="NHP366" s="1648">
        <v>101889</v>
      </c>
      <c r="NHQ366" s="1648">
        <v>453326</v>
      </c>
      <c r="NHR366" s="1648">
        <v>298813</v>
      </c>
      <c r="NHS366" s="1648">
        <v>605808</v>
      </c>
      <c r="NHT366" s="1648">
        <v>847471</v>
      </c>
      <c r="NHU366" s="1648">
        <v>1070054</v>
      </c>
      <c r="NHV366" s="1648">
        <v>1003687</v>
      </c>
      <c r="NHW366" s="635">
        <v>6373312</v>
      </c>
      <c r="NHX366" s="633">
        <f>SUM(NHK366:NHV366)</f>
        <v>6373312</v>
      </c>
      <c r="NHY366" s="919" t="s">
        <v>1839</v>
      </c>
      <c r="NHZ366" s="1643" t="s">
        <v>1840</v>
      </c>
      <c r="NIA366" s="1648">
        <v>603740</v>
      </c>
      <c r="NIB366" s="1648">
        <v>515055</v>
      </c>
      <c r="NIC366" s="1648">
        <v>530271</v>
      </c>
      <c r="NID366" s="1648">
        <v>212051</v>
      </c>
      <c r="NIE366" s="1648">
        <v>131147</v>
      </c>
      <c r="NIF366" s="1648">
        <v>101889</v>
      </c>
      <c r="NIG366" s="1648">
        <v>453326</v>
      </c>
      <c r="NIH366" s="1648">
        <v>298813</v>
      </c>
      <c r="NII366" s="1648">
        <v>605808</v>
      </c>
      <c r="NIJ366" s="1648">
        <v>847471</v>
      </c>
      <c r="NIK366" s="1648">
        <v>1070054</v>
      </c>
      <c r="NIL366" s="1648">
        <v>1003687</v>
      </c>
      <c r="NIM366" s="635">
        <v>6373312</v>
      </c>
      <c r="NIN366" s="633">
        <f>SUM(NIA366:NIL366)</f>
        <v>6373312</v>
      </c>
      <c r="NIO366" s="919" t="s">
        <v>1839</v>
      </c>
      <c r="NIP366" s="1643" t="s">
        <v>1840</v>
      </c>
      <c r="NIQ366" s="1648">
        <v>603740</v>
      </c>
      <c r="NIR366" s="1648">
        <v>515055</v>
      </c>
      <c r="NIS366" s="1648">
        <v>530271</v>
      </c>
      <c r="NIT366" s="1648">
        <v>212051</v>
      </c>
      <c r="NIU366" s="1648">
        <v>131147</v>
      </c>
      <c r="NIV366" s="1648">
        <v>101889</v>
      </c>
      <c r="NIW366" s="1648">
        <v>453326</v>
      </c>
      <c r="NIX366" s="1648">
        <v>298813</v>
      </c>
      <c r="NIY366" s="1648">
        <v>605808</v>
      </c>
      <c r="NIZ366" s="1648">
        <v>847471</v>
      </c>
      <c r="NJA366" s="1648">
        <v>1070054</v>
      </c>
      <c r="NJB366" s="1648">
        <v>1003687</v>
      </c>
      <c r="NJC366" s="635">
        <v>6373312</v>
      </c>
      <c r="NJD366" s="633">
        <f>SUM(NIQ366:NJB366)</f>
        <v>6373312</v>
      </c>
      <c r="NJE366" s="919" t="s">
        <v>1839</v>
      </c>
      <c r="NJF366" s="1643" t="s">
        <v>1840</v>
      </c>
      <c r="NJG366" s="1648">
        <v>603740</v>
      </c>
      <c r="NJH366" s="1648">
        <v>515055</v>
      </c>
      <c r="NJI366" s="1648">
        <v>530271</v>
      </c>
      <c r="NJJ366" s="1648">
        <v>212051</v>
      </c>
      <c r="NJK366" s="1648">
        <v>131147</v>
      </c>
      <c r="NJL366" s="1648">
        <v>101889</v>
      </c>
      <c r="NJM366" s="1648">
        <v>453326</v>
      </c>
      <c r="NJN366" s="1648">
        <v>298813</v>
      </c>
      <c r="NJO366" s="1648">
        <v>605808</v>
      </c>
      <c r="NJP366" s="1648">
        <v>847471</v>
      </c>
      <c r="NJQ366" s="1648">
        <v>1070054</v>
      </c>
      <c r="NJR366" s="1648">
        <v>1003687</v>
      </c>
      <c r="NJS366" s="635">
        <v>6373312</v>
      </c>
      <c r="NJT366" s="633">
        <f>SUM(NJG366:NJR366)</f>
        <v>6373312</v>
      </c>
      <c r="NJU366" s="919" t="s">
        <v>1839</v>
      </c>
      <c r="NJV366" s="1643" t="s">
        <v>1840</v>
      </c>
      <c r="NJW366" s="1648">
        <v>603740</v>
      </c>
      <c r="NJX366" s="1648">
        <v>515055</v>
      </c>
      <c r="NJY366" s="1648">
        <v>530271</v>
      </c>
      <c r="NJZ366" s="1648">
        <v>212051</v>
      </c>
      <c r="NKA366" s="1648">
        <v>131147</v>
      </c>
      <c r="NKB366" s="1648">
        <v>101889</v>
      </c>
      <c r="NKC366" s="1648">
        <v>453326</v>
      </c>
      <c r="NKD366" s="1648">
        <v>298813</v>
      </c>
      <c r="NKE366" s="1648">
        <v>605808</v>
      </c>
      <c r="NKF366" s="1648">
        <v>847471</v>
      </c>
      <c r="NKG366" s="1648">
        <v>1070054</v>
      </c>
      <c r="NKH366" s="1648">
        <v>1003687</v>
      </c>
      <c r="NKI366" s="635">
        <v>6373312</v>
      </c>
      <c r="NKJ366" s="633">
        <f>SUM(NJW366:NKH366)</f>
        <v>6373312</v>
      </c>
      <c r="NKK366" s="919" t="s">
        <v>1839</v>
      </c>
      <c r="NKL366" s="1643" t="s">
        <v>1840</v>
      </c>
      <c r="NKM366" s="1648">
        <v>603740</v>
      </c>
      <c r="NKN366" s="1648">
        <v>515055</v>
      </c>
      <c r="NKO366" s="1648">
        <v>530271</v>
      </c>
      <c r="NKP366" s="1648">
        <v>212051</v>
      </c>
      <c r="NKQ366" s="1648">
        <v>131147</v>
      </c>
      <c r="NKR366" s="1648">
        <v>101889</v>
      </c>
      <c r="NKS366" s="1648">
        <v>453326</v>
      </c>
      <c r="NKT366" s="1648">
        <v>298813</v>
      </c>
      <c r="NKU366" s="1648">
        <v>605808</v>
      </c>
      <c r="NKV366" s="1648">
        <v>847471</v>
      </c>
      <c r="NKW366" s="1648">
        <v>1070054</v>
      </c>
      <c r="NKX366" s="1648">
        <v>1003687</v>
      </c>
      <c r="NKY366" s="635">
        <v>6373312</v>
      </c>
      <c r="NKZ366" s="633">
        <f>SUM(NKM366:NKX366)</f>
        <v>6373312</v>
      </c>
      <c r="NLA366" s="919" t="s">
        <v>1839</v>
      </c>
      <c r="NLB366" s="1643" t="s">
        <v>1840</v>
      </c>
      <c r="NLC366" s="1648">
        <v>603740</v>
      </c>
      <c r="NLD366" s="1648">
        <v>515055</v>
      </c>
      <c r="NLE366" s="1648">
        <v>530271</v>
      </c>
      <c r="NLF366" s="1648">
        <v>212051</v>
      </c>
      <c r="NLG366" s="1648">
        <v>131147</v>
      </c>
      <c r="NLH366" s="1648">
        <v>101889</v>
      </c>
      <c r="NLI366" s="1648">
        <v>453326</v>
      </c>
      <c r="NLJ366" s="1648">
        <v>298813</v>
      </c>
      <c r="NLK366" s="1648">
        <v>605808</v>
      </c>
      <c r="NLL366" s="1648">
        <v>847471</v>
      </c>
      <c r="NLM366" s="1648">
        <v>1070054</v>
      </c>
      <c r="NLN366" s="1648">
        <v>1003687</v>
      </c>
      <c r="NLO366" s="635">
        <v>6373312</v>
      </c>
      <c r="NLP366" s="633">
        <f>SUM(NLC366:NLN366)</f>
        <v>6373312</v>
      </c>
      <c r="NLQ366" s="919" t="s">
        <v>1839</v>
      </c>
      <c r="NLR366" s="1643" t="s">
        <v>1840</v>
      </c>
      <c r="NLS366" s="1648">
        <v>603740</v>
      </c>
      <c r="NLT366" s="1648">
        <v>515055</v>
      </c>
      <c r="NLU366" s="1648">
        <v>530271</v>
      </c>
      <c r="NLV366" s="1648">
        <v>212051</v>
      </c>
      <c r="NLW366" s="1648">
        <v>131147</v>
      </c>
      <c r="NLX366" s="1648">
        <v>101889</v>
      </c>
      <c r="NLY366" s="1648">
        <v>453326</v>
      </c>
      <c r="NLZ366" s="1648">
        <v>298813</v>
      </c>
      <c r="NMA366" s="1648">
        <v>605808</v>
      </c>
      <c r="NMB366" s="1648">
        <v>847471</v>
      </c>
      <c r="NMC366" s="1648">
        <v>1070054</v>
      </c>
      <c r="NMD366" s="1648">
        <v>1003687</v>
      </c>
      <c r="NME366" s="635">
        <v>6373312</v>
      </c>
      <c r="NMF366" s="633">
        <f>SUM(NLS366:NMD366)</f>
        <v>6373312</v>
      </c>
      <c r="NMG366" s="919" t="s">
        <v>1839</v>
      </c>
      <c r="NMH366" s="1643" t="s">
        <v>1840</v>
      </c>
      <c r="NMI366" s="1648">
        <v>603740</v>
      </c>
      <c r="NMJ366" s="1648">
        <v>515055</v>
      </c>
      <c r="NMK366" s="1648">
        <v>530271</v>
      </c>
      <c r="NML366" s="1648">
        <v>212051</v>
      </c>
      <c r="NMM366" s="1648">
        <v>131147</v>
      </c>
      <c r="NMN366" s="1648">
        <v>101889</v>
      </c>
      <c r="NMO366" s="1648">
        <v>453326</v>
      </c>
      <c r="NMP366" s="1648">
        <v>298813</v>
      </c>
      <c r="NMQ366" s="1648">
        <v>605808</v>
      </c>
      <c r="NMR366" s="1648">
        <v>847471</v>
      </c>
      <c r="NMS366" s="1648">
        <v>1070054</v>
      </c>
      <c r="NMT366" s="1648">
        <v>1003687</v>
      </c>
      <c r="NMU366" s="635">
        <v>6373312</v>
      </c>
      <c r="NMV366" s="633">
        <f>SUM(NMI366:NMT366)</f>
        <v>6373312</v>
      </c>
      <c r="NMW366" s="919" t="s">
        <v>1839</v>
      </c>
      <c r="NMX366" s="1643" t="s">
        <v>1840</v>
      </c>
      <c r="NMY366" s="1648">
        <v>603740</v>
      </c>
      <c r="NMZ366" s="1648">
        <v>515055</v>
      </c>
      <c r="NNA366" s="1648">
        <v>530271</v>
      </c>
      <c r="NNB366" s="1648">
        <v>212051</v>
      </c>
      <c r="NNC366" s="1648">
        <v>131147</v>
      </c>
      <c r="NND366" s="1648">
        <v>101889</v>
      </c>
      <c r="NNE366" s="1648">
        <v>453326</v>
      </c>
      <c r="NNF366" s="1648">
        <v>298813</v>
      </c>
      <c r="NNG366" s="1648">
        <v>605808</v>
      </c>
      <c r="NNH366" s="1648">
        <v>847471</v>
      </c>
      <c r="NNI366" s="1648">
        <v>1070054</v>
      </c>
      <c r="NNJ366" s="1648">
        <v>1003687</v>
      </c>
      <c r="NNK366" s="635">
        <v>6373312</v>
      </c>
      <c r="NNL366" s="633">
        <f>SUM(NMY366:NNJ366)</f>
        <v>6373312</v>
      </c>
      <c r="NNM366" s="919" t="s">
        <v>1839</v>
      </c>
      <c r="NNN366" s="1643" t="s">
        <v>1840</v>
      </c>
      <c r="NNO366" s="1648">
        <v>603740</v>
      </c>
      <c r="NNP366" s="1648">
        <v>515055</v>
      </c>
      <c r="NNQ366" s="1648">
        <v>530271</v>
      </c>
      <c r="NNR366" s="1648">
        <v>212051</v>
      </c>
      <c r="NNS366" s="1648">
        <v>131147</v>
      </c>
      <c r="NNT366" s="1648">
        <v>101889</v>
      </c>
      <c r="NNU366" s="1648">
        <v>453326</v>
      </c>
      <c r="NNV366" s="1648">
        <v>298813</v>
      </c>
      <c r="NNW366" s="1648">
        <v>605808</v>
      </c>
      <c r="NNX366" s="1648">
        <v>847471</v>
      </c>
      <c r="NNY366" s="1648">
        <v>1070054</v>
      </c>
      <c r="NNZ366" s="1648">
        <v>1003687</v>
      </c>
      <c r="NOA366" s="635">
        <v>6373312</v>
      </c>
      <c r="NOB366" s="633">
        <f>SUM(NNO366:NNZ366)</f>
        <v>6373312</v>
      </c>
      <c r="NOC366" s="919" t="s">
        <v>1839</v>
      </c>
      <c r="NOD366" s="1643" t="s">
        <v>1840</v>
      </c>
      <c r="NOE366" s="1648">
        <v>603740</v>
      </c>
      <c r="NOF366" s="1648">
        <v>515055</v>
      </c>
      <c r="NOG366" s="1648">
        <v>530271</v>
      </c>
      <c r="NOH366" s="1648">
        <v>212051</v>
      </c>
      <c r="NOI366" s="1648">
        <v>131147</v>
      </c>
      <c r="NOJ366" s="1648">
        <v>101889</v>
      </c>
      <c r="NOK366" s="1648">
        <v>453326</v>
      </c>
      <c r="NOL366" s="1648">
        <v>298813</v>
      </c>
      <c r="NOM366" s="1648">
        <v>605808</v>
      </c>
      <c r="NON366" s="1648">
        <v>847471</v>
      </c>
      <c r="NOO366" s="1648">
        <v>1070054</v>
      </c>
      <c r="NOP366" s="1648">
        <v>1003687</v>
      </c>
      <c r="NOQ366" s="635">
        <v>6373312</v>
      </c>
      <c r="NOR366" s="633">
        <f>SUM(NOE366:NOP366)</f>
        <v>6373312</v>
      </c>
      <c r="NOS366" s="919" t="s">
        <v>1839</v>
      </c>
      <c r="NOT366" s="1643" t="s">
        <v>1840</v>
      </c>
      <c r="NOU366" s="1648">
        <v>603740</v>
      </c>
      <c r="NOV366" s="1648">
        <v>515055</v>
      </c>
      <c r="NOW366" s="1648">
        <v>530271</v>
      </c>
      <c r="NOX366" s="1648">
        <v>212051</v>
      </c>
      <c r="NOY366" s="1648">
        <v>131147</v>
      </c>
      <c r="NOZ366" s="1648">
        <v>101889</v>
      </c>
      <c r="NPA366" s="1648">
        <v>453326</v>
      </c>
      <c r="NPB366" s="1648">
        <v>298813</v>
      </c>
      <c r="NPC366" s="1648">
        <v>605808</v>
      </c>
      <c r="NPD366" s="1648">
        <v>847471</v>
      </c>
      <c r="NPE366" s="1648">
        <v>1070054</v>
      </c>
      <c r="NPF366" s="1648">
        <v>1003687</v>
      </c>
      <c r="NPG366" s="635">
        <v>6373312</v>
      </c>
      <c r="NPH366" s="633">
        <f>SUM(NOU366:NPF366)</f>
        <v>6373312</v>
      </c>
      <c r="NPI366" s="919" t="s">
        <v>1839</v>
      </c>
      <c r="NPJ366" s="1643" t="s">
        <v>1840</v>
      </c>
      <c r="NPK366" s="1648">
        <v>603740</v>
      </c>
      <c r="NPL366" s="1648">
        <v>515055</v>
      </c>
      <c r="NPM366" s="1648">
        <v>530271</v>
      </c>
      <c r="NPN366" s="1648">
        <v>212051</v>
      </c>
      <c r="NPO366" s="1648">
        <v>131147</v>
      </c>
      <c r="NPP366" s="1648">
        <v>101889</v>
      </c>
      <c r="NPQ366" s="1648">
        <v>453326</v>
      </c>
      <c r="NPR366" s="1648">
        <v>298813</v>
      </c>
      <c r="NPS366" s="1648">
        <v>605808</v>
      </c>
      <c r="NPT366" s="1648">
        <v>847471</v>
      </c>
      <c r="NPU366" s="1648">
        <v>1070054</v>
      </c>
      <c r="NPV366" s="1648">
        <v>1003687</v>
      </c>
      <c r="NPW366" s="635">
        <v>6373312</v>
      </c>
      <c r="NPX366" s="633">
        <f>SUM(NPK366:NPV366)</f>
        <v>6373312</v>
      </c>
      <c r="NPY366" s="919" t="s">
        <v>1839</v>
      </c>
      <c r="NPZ366" s="1643" t="s">
        <v>1840</v>
      </c>
      <c r="NQA366" s="1648">
        <v>603740</v>
      </c>
      <c r="NQB366" s="1648">
        <v>515055</v>
      </c>
      <c r="NQC366" s="1648">
        <v>530271</v>
      </c>
      <c r="NQD366" s="1648">
        <v>212051</v>
      </c>
      <c r="NQE366" s="1648">
        <v>131147</v>
      </c>
      <c r="NQF366" s="1648">
        <v>101889</v>
      </c>
      <c r="NQG366" s="1648">
        <v>453326</v>
      </c>
      <c r="NQH366" s="1648">
        <v>298813</v>
      </c>
      <c r="NQI366" s="1648">
        <v>605808</v>
      </c>
      <c r="NQJ366" s="1648">
        <v>847471</v>
      </c>
      <c r="NQK366" s="1648">
        <v>1070054</v>
      </c>
      <c r="NQL366" s="1648">
        <v>1003687</v>
      </c>
      <c r="NQM366" s="635">
        <v>6373312</v>
      </c>
      <c r="NQN366" s="633">
        <f>SUM(NQA366:NQL366)</f>
        <v>6373312</v>
      </c>
      <c r="NQO366" s="919" t="s">
        <v>1839</v>
      </c>
      <c r="NQP366" s="1643" t="s">
        <v>1840</v>
      </c>
      <c r="NQQ366" s="1648">
        <v>603740</v>
      </c>
      <c r="NQR366" s="1648">
        <v>515055</v>
      </c>
      <c r="NQS366" s="1648">
        <v>530271</v>
      </c>
      <c r="NQT366" s="1648">
        <v>212051</v>
      </c>
      <c r="NQU366" s="1648">
        <v>131147</v>
      </c>
      <c r="NQV366" s="1648">
        <v>101889</v>
      </c>
      <c r="NQW366" s="1648">
        <v>453326</v>
      </c>
      <c r="NQX366" s="1648">
        <v>298813</v>
      </c>
      <c r="NQY366" s="1648">
        <v>605808</v>
      </c>
      <c r="NQZ366" s="1648">
        <v>847471</v>
      </c>
      <c r="NRA366" s="1648">
        <v>1070054</v>
      </c>
      <c r="NRB366" s="1648">
        <v>1003687</v>
      </c>
      <c r="NRC366" s="635">
        <v>6373312</v>
      </c>
      <c r="NRD366" s="633">
        <f>SUM(NQQ366:NRB366)</f>
        <v>6373312</v>
      </c>
      <c r="NRE366" s="919" t="s">
        <v>1839</v>
      </c>
      <c r="NRF366" s="1643" t="s">
        <v>1840</v>
      </c>
      <c r="NRG366" s="1648">
        <v>603740</v>
      </c>
      <c r="NRH366" s="1648">
        <v>515055</v>
      </c>
      <c r="NRI366" s="1648">
        <v>530271</v>
      </c>
      <c r="NRJ366" s="1648">
        <v>212051</v>
      </c>
      <c r="NRK366" s="1648">
        <v>131147</v>
      </c>
      <c r="NRL366" s="1648">
        <v>101889</v>
      </c>
      <c r="NRM366" s="1648">
        <v>453326</v>
      </c>
      <c r="NRN366" s="1648">
        <v>298813</v>
      </c>
      <c r="NRO366" s="1648">
        <v>605808</v>
      </c>
      <c r="NRP366" s="1648">
        <v>847471</v>
      </c>
      <c r="NRQ366" s="1648">
        <v>1070054</v>
      </c>
      <c r="NRR366" s="1648">
        <v>1003687</v>
      </c>
      <c r="NRS366" s="635">
        <v>6373312</v>
      </c>
      <c r="NRT366" s="633">
        <f>SUM(NRG366:NRR366)</f>
        <v>6373312</v>
      </c>
      <c r="NRU366" s="919" t="s">
        <v>1839</v>
      </c>
      <c r="NRV366" s="1643" t="s">
        <v>1840</v>
      </c>
      <c r="NRW366" s="1648">
        <v>603740</v>
      </c>
      <c r="NRX366" s="1648">
        <v>515055</v>
      </c>
      <c r="NRY366" s="1648">
        <v>530271</v>
      </c>
      <c r="NRZ366" s="1648">
        <v>212051</v>
      </c>
      <c r="NSA366" s="1648">
        <v>131147</v>
      </c>
      <c r="NSB366" s="1648">
        <v>101889</v>
      </c>
      <c r="NSC366" s="1648">
        <v>453326</v>
      </c>
      <c r="NSD366" s="1648">
        <v>298813</v>
      </c>
      <c r="NSE366" s="1648">
        <v>605808</v>
      </c>
      <c r="NSF366" s="1648">
        <v>847471</v>
      </c>
      <c r="NSG366" s="1648">
        <v>1070054</v>
      </c>
      <c r="NSH366" s="1648">
        <v>1003687</v>
      </c>
      <c r="NSI366" s="635">
        <v>6373312</v>
      </c>
      <c r="NSJ366" s="633">
        <f>SUM(NRW366:NSH366)</f>
        <v>6373312</v>
      </c>
      <c r="NSK366" s="919" t="s">
        <v>1839</v>
      </c>
      <c r="NSL366" s="1643" t="s">
        <v>1840</v>
      </c>
      <c r="NSM366" s="1648">
        <v>603740</v>
      </c>
      <c r="NSN366" s="1648">
        <v>515055</v>
      </c>
      <c r="NSO366" s="1648">
        <v>530271</v>
      </c>
      <c r="NSP366" s="1648">
        <v>212051</v>
      </c>
      <c r="NSQ366" s="1648">
        <v>131147</v>
      </c>
      <c r="NSR366" s="1648">
        <v>101889</v>
      </c>
      <c r="NSS366" s="1648">
        <v>453326</v>
      </c>
      <c r="NST366" s="1648">
        <v>298813</v>
      </c>
      <c r="NSU366" s="1648">
        <v>605808</v>
      </c>
      <c r="NSV366" s="1648">
        <v>847471</v>
      </c>
      <c r="NSW366" s="1648">
        <v>1070054</v>
      </c>
      <c r="NSX366" s="1648">
        <v>1003687</v>
      </c>
      <c r="NSY366" s="635">
        <v>6373312</v>
      </c>
      <c r="NSZ366" s="633">
        <f>SUM(NSM366:NSX366)</f>
        <v>6373312</v>
      </c>
      <c r="NTA366" s="919" t="s">
        <v>1839</v>
      </c>
      <c r="NTB366" s="1643" t="s">
        <v>1840</v>
      </c>
      <c r="NTC366" s="1648">
        <v>603740</v>
      </c>
      <c r="NTD366" s="1648">
        <v>515055</v>
      </c>
      <c r="NTE366" s="1648">
        <v>530271</v>
      </c>
      <c r="NTF366" s="1648">
        <v>212051</v>
      </c>
      <c r="NTG366" s="1648">
        <v>131147</v>
      </c>
      <c r="NTH366" s="1648">
        <v>101889</v>
      </c>
      <c r="NTI366" s="1648">
        <v>453326</v>
      </c>
      <c r="NTJ366" s="1648">
        <v>298813</v>
      </c>
      <c r="NTK366" s="1648">
        <v>605808</v>
      </c>
      <c r="NTL366" s="1648">
        <v>847471</v>
      </c>
      <c r="NTM366" s="1648">
        <v>1070054</v>
      </c>
      <c r="NTN366" s="1648">
        <v>1003687</v>
      </c>
      <c r="NTO366" s="635">
        <v>6373312</v>
      </c>
      <c r="NTP366" s="633">
        <f>SUM(NTC366:NTN366)</f>
        <v>6373312</v>
      </c>
      <c r="NTQ366" s="919" t="s">
        <v>1839</v>
      </c>
      <c r="NTR366" s="1643" t="s">
        <v>1840</v>
      </c>
      <c r="NTS366" s="1648">
        <v>603740</v>
      </c>
      <c r="NTT366" s="1648">
        <v>515055</v>
      </c>
      <c r="NTU366" s="1648">
        <v>530271</v>
      </c>
      <c r="NTV366" s="1648">
        <v>212051</v>
      </c>
      <c r="NTW366" s="1648">
        <v>131147</v>
      </c>
      <c r="NTX366" s="1648">
        <v>101889</v>
      </c>
      <c r="NTY366" s="1648">
        <v>453326</v>
      </c>
      <c r="NTZ366" s="1648">
        <v>298813</v>
      </c>
      <c r="NUA366" s="1648">
        <v>605808</v>
      </c>
      <c r="NUB366" s="1648">
        <v>847471</v>
      </c>
      <c r="NUC366" s="1648">
        <v>1070054</v>
      </c>
      <c r="NUD366" s="1648">
        <v>1003687</v>
      </c>
      <c r="NUE366" s="635">
        <v>6373312</v>
      </c>
      <c r="NUF366" s="633">
        <f>SUM(NTS366:NUD366)</f>
        <v>6373312</v>
      </c>
      <c r="NUG366" s="919" t="s">
        <v>1839</v>
      </c>
      <c r="NUH366" s="1643" t="s">
        <v>1840</v>
      </c>
      <c r="NUI366" s="1648">
        <v>603740</v>
      </c>
      <c r="NUJ366" s="1648">
        <v>515055</v>
      </c>
      <c r="NUK366" s="1648">
        <v>530271</v>
      </c>
      <c r="NUL366" s="1648">
        <v>212051</v>
      </c>
      <c r="NUM366" s="1648">
        <v>131147</v>
      </c>
      <c r="NUN366" s="1648">
        <v>101889</v>
      </c>
      <c r="NUO366" s="1648">
        <v>453326</v>
      </c>
      <c r="NUP366" s="1648">
        <v>298813</v>
      </c>
      <c r="NUQ366" s="1648">
        <v>605808</v>
      </c>
      <c r="NUR366" s="1648">
        <v>847471</v>
      </c>
      <c r="NUS366" s="1648">
        <v>1070054</v>
      </c>
      <c r="NUT366" s="1648">
        <v>1003687</v>
      </c>
      <c r="NUU366" s="635">
        <v>6373312</v>
      </c>
      <c r="NUV366" s="633">
        <f>SUM(NUI366:NUT366)</f>
        <v>6373312</v>
      </c>
      <c r="NUW366" s="919" t="s">
        <v>1839</v>
      </c>
      <c r="NUX366" s="1643" t="s">
        <v>1840</v>
      </c>
      <c r="NUY366" s="1648">
        <v>603740</v>
      </c>
      <c r="NUZ366" s="1648">
        <v>515055</v>
      </c>
      <c r="NVA366" s="1648">
        <v>530271</v>
      </c>
      <c r="NVB366" s="1648">
        <v>212051</v>
      </c>
      <c r="NVC366" s="1648">
        <v>131147</v>
      </c>
      <c r="NVD366" s="1648">
        <v>101889</v>
      </c>
      <c r="NVE366" s="1648">
        <v>453326</v>
      </c>
      <c r="NVF366" s="1648">
        <v>298813</v>
      </c>
      <c r="NVG366" s="1648">
        <v>605808</v>
      </c>
      <c r="NVH366" s="1648">
        <v>847471</v>
      </c>
      <c r="NVI366" s="1648">
        <v>1070054</v>
      </c>
      <c r="NVJ366" s="1648">
        <v>1003687</v>
      </c>
      <c r="NVK366" s="635">
        <v>6373312</v>
      </c>
      <c r="NVL366" s="633">
        <f>SUM(NUY366:NVJ366)</f>
        <v>6373312</v>
      </c>
      <c r="NVM366" s="919" t="s">
        <v>1839</v>
      </c>
      <c r="NVN366" s="1643" t="s">
        <v>1840</v>
      </c>
      <c r="NVO366" s="1648">
        <v>603740</v>
      </c>
      <c r="NVP366" s="1648">
        <v>515055</v>
      </c>
      <c r="NVQ366" s="1648">
        <v>530271</v>
      </c>
      <c r="NVR366" s="1648">
        <v>212051</v>
      </c>
      <c r="NVS366" s="1648">
        <v>131147</v>
      </c>
      <c r="NVT366" s="1648">
        <v>101889</v>
      </c>
      <c r="NVU366" s="1648">
        <v>453326</v>
      </c>
      <c r="NVV366" s="1648">
        <v>298813</v>
      </c>
      <c r="NVW366" s="1648">
        <v>605808</v>
      </c>
      <c r="NVX366" s="1648">
        <v>847471</v>
      </c>
      <c r="NVY366" s="1648">
        <v>1070054</v>
      </c>
      <c r="NVZ366" s="1648">
        <v>1003687</v>
      </c>
      <c r="NWA366" s="635">
        <v>6373312</v>
      </c>
      <c r="NWB366" s="633">
        <f>SUM(NVO366:NVZ366)</f>
        <v>6373312</v>
      </c>
      <c r="NWC366" s="919" t="s">
        <v>1839</v>
      </c>
      <c r="NWD366" s="1643" t="s">
        <v>1840</v>
      </c>
      <c r="NWE366" s="1648">
        <v>603740</v>
      </c>
      <c r="NWF366" s="1648">
        <v>515055</v>
      </c>
      <c r="NWG366" s="1648">
        <v>530271</v>
      </c>
      <c r="NWH366" s="1648">
        <v>212051</v>
      </c>
      <c r="NWI366" s="1648">
        <v>131147</v>
      </c>
      <c r="NWJ366" s="1648">
        <v>101889</v>
      </c>
      <c r="NWK366" s="1648">
        <v>453326</v>
      </c>
      <c r="NWL366" s="1648">
        <v>298813</v>
      </c>
      <c r="NWM366" s="1648">
        <v>605808</v>
      </c>
      <c r="NWN366" s="1648">
        <v>847471</v>
      </c>
      <c r="NWO366" s="1648">
        <v>1070054</v>
      </c>
      <c r="NWP366" s="1648">
        <v>1003687</v>
      </c>
      <c r="NWQ366" s="635">
        <v>6373312</v>
      </c>
      <c r="NWR366" s="633">
        <f>SUM(NWE366:NWP366)</f>
        <v>6373312</v>
      </c>
      <c r="NWS366" s="919" t="s">
        <v>1839</v>
      </c>
      <c r="NWT366" s="1643" t="s">
        <v>1840</v>
      </c>
      <c r="NWU366" s="1648">
        <v>603740</v>
      </c>
      <c r="NWV366" s="1648">
        <v>515055</v>
      </c>
      <c r="NWW366" s="1648">
        <v>530271</v>
      </c>
      <c r="NWX366" s="1648">
        <v>212051</v>
      </c>
      <c r="NWY366" s="1648">
        <v>131147</v>
      </c>
      <c r="NWZ366" s="1648">
        <v>101889</v>
      </c>
      <c r="NXA366" s="1648">
        <v>453326</v>
      </c>
      <c r="NXB366" s="1648">
        <v>298813</v>
      </c>
      <c r="NXC366" s="1648">
        <v>605808</v>
      </c>
      <c r="NXD366" s="1648">
        <v>847471</v>
      </c>
      <c r="NXE366" s="1648">
        <v>1070054</v>
      </c>
      <c r="NXF366" s="1648">
        <v>1003687</v>
      </c>
      <c r="NXG366" s="635">
        <v>6373312</v>
      </c>
      <c r="NXH366" s="633">
        <f>SUM(NWU366:NXF366)</f>
        <v>6373312</v>
      </c>
      <c r="NXI366" s="919" t="s">
        <v>1839</v>
      </c>
      <c r="NXJ366" s="1643" t="s">
        <v>1840</v>
      </c>
      <c r="NXK366" s="1648">
        <v>603740</v>
      </c>
      <c r="NXL366" s="1648">
        <v>515055</v>
      </c>
      <c r="NXM366" s="1648">
        <v>530271</v>
      </c>
      <c r="NXN366" s="1648">
        <v>212051</v>
      </c>
      <c r="NXO366" s="1648">
        <v>131147</v>
      </c>
      <c r="NXP366" s="1648">
        <v>101889</v>
      </c>
      <c r="NXQ366" s="1648">
        <v>453326</v>
      </c>
      <c r="NXR366" s="1648">
        <v>298813</v>
      </c>
      <c r="NXS366" s="1648">
        <v>605808</v>
      </c>
      <c r="NXT366" s="1648">
        <v>847471</v>
      </c>
      <c r="NXU366" s="1648">
        <v>1070054</v>
      </c>
      <c r="NXV366" s="1648">
        <v>1003687</v>
      </c>
      <c r="NXW366" s="635">
        <v>6373312</v>
      </c>
      <c r="NXX366" s="633">
        <f>SUM(NXK366:NXV366)</f>
        <v>6373312</v>
      </c>
      <c r="NXY366" s="919" t="s">
        <v>1839</v>
      </c>
      <c r="NXZ366" s="1643" t="s">
        <v>1840</v>
      </c>
      <c r="NYA366" s="1648">
        <v>603740</v>
      </c>
      <c r="NYB366" s="1648">
        <v>515055</v>
      </c>
      <c r="NYC366" s="1648">
        <v>530271</v>
      </c>
      <c r="NYD366" s="1648">
        <v>212051</v>
      </c>
      <c r="NYE366" s="1648">
        <v>131147</v>
      </c>
      <c r="NYF366" s="1648">
        <v>101889</v>
      </c>
      <c r="NYG366" s="1648">
        <v>453326</v>
      </c>
      <c r="NYH366" s="1648">
        <v>298813</v>
      </c>
      <c r="NYI366" s="1648">
        <v>605808</v>
      </c>
      <c r="NYJ366" s="1648">
        <v>847471</v>
      </c>
      <c r="NYK366" s="1648">
        <v>1070054</v>
      </c>
      <c r="NYL366" s="1648">
        <v>1003687</v>
      </c>
      <c r="NYM366" s="635">
        <v>6373312</v>
      </c>
      <c r="NYN366" s="633">
        <f>SUM(NYA366:NYL366)</f>
        <v>6373312</v>
      </c>
      <c r="NYO366" s="919" t="s">
        <v>1839</v>
      </c>
      <c r="NYP366" s="1643" t="s">
        <v>1840</v>
      </c>
      <c r="NYQ366" s="1648">
        <v>603740</v>
      </c>
      <c r="NYR366" s="1648">
        <v>515055</v>
      </c>
      <c r="NYS366" s="1648">
        <v>530271</v>
      </c>
      <c r="NYT366" s="1648">
        <v>212051</v>
      </c>
      <c r="NYU366" s="1648">
        <v>131147</v>
      </c>
      <c r="NYV366" s="1648">
        <v>101889</v>
      </c>
      <c r="NYW366" s="1648">
        <v>453326</v>
      </c>
      <c r="NYX366" s="1648">
        <v>298813</v>
      </c>
      <c r="NYY366" s="1648">
        <v>605808</v>
      </c>
      <c r="NYZ366" s="1648">
        <v>847471</v>
      </c>
      <c r="NZA366" s="1648">
        <v>1070054</v>
      </c>
      <c r="NZB366" s="1648">
        <v>1003687</v>
      </c>
      <c r="NZC366" s="635">
        <v>6373312</v>
      </c>
      <c r="NZD366" s="633">
        <f>SUM(NYQ366:NZB366)</f>
        <v>6373312</v>
      </c>
      <c r="NZE366" s="919" t="s">
        <v>1839</v>
      </c>
      <c r="NZF366" s="1643" t="s">
        <v>1840</v>
      </c>
      <c r="NZG366" s="1648">
        <v>603740</v>
      </c>
      <c r="NZH366" s="1648">
        <v>515055</v>
      </c>
      <c r="NZI366" s="1648">
        <v>530271</v>
      </c>
      <c r="NZJ366" s="1648">
        <v>212051</v>
      </c>
      <c r="NZK366" s="1648">
        <v>131147</v>
      </c>
      <c r="NZL366" s="1648">
        <v>101889</v>
      </c>
      <c r="NZM366" s="1648">
        <v>453326</v>
      </c>
      <c r="NZN366" s="1648">
        <v>298813</v>
      </c>
      <c r="NZO366" s="1648">
        <v>605808</v>
      </c>
      <c r="NZP366" s="1648">
        <v>847471</v>
      </c>
      <c r="NZQ366" s="1648">
        <v>1070054</v>
      </c>
      <c r="NZR366" s="1648">
        <v>1003687</v>
      </c>
      <c r="NZS366" s="635">
        <v>6373312</v>
      </c>
      <c r="NZT366" s="633">
        <f>SUM(NZG366:NZR366)</f>
        <v>6373312</v>
      </c>
      <c r="NZU366" s="919" t="s">
        <v>1839</v>
      </c>
      <c r="NZV366" s="1643" t="s">
        <v>1840</v>
      </c>
      <c r="NZW366" s="1648">
        <v>603740</v>
      </c>
      <c r="NZX366" s="1648">
        <v>515055</v>
      </c>
      <c r="NZY366" s="1648">
        <v>530271</v>
      </c>
      <c r="NZZ366" s="1648">
        <v>212051</v>
      </c>
      <c r="OAA366" s="1648">
        <v>131147</v>
      </c>
      <c r="OAB366" s="1648">
        <v>101889</v>
      </c>
      <c r="OAC366" s="1648">
        <v>453326</v>
      </c>
      <c r="OAD366" s="1648">
        <v>298813</v>
      </c>
      <c r="OAE366" s="1648">
        <v>605808</v>
      </c>
      <c r="OAF366" s="1648">
        <v>847471</v>
      </c>
      <c r="OAG366" s="1648">
        <v>1070054</v>
      </c>
      <c r="OAH366" s="1648">
        <v>1003687</v>
      </c>
      <c r="OAI366" s="635">
        <v>6373312</v>
      </c>
      <c r="OAJ366" s="633">
        <f>SUM(NZW366:OAH366)</f>
        <v>6373312</v>
      </c>
      <c r="OAK366" s="919" t="s">
        <v>1839</v>
      </c>
      <c r="OAL366" s="1643" t="s">
        <v>1840</v>
      </c>
      <c r="OAM366" s="1648">
        <v>603740</v>
      </c>
      <c r="OAN366" s="1648">
        <v>515055</v>
      </c>
      <c r="OAO366" s="1648">
        <v>530271</v>
      </c>
      <c r="OAP366" s="1648">
        <v>212051</v>
      </c>
      <c r="OAQ366" s="1648">
        <v>131147</v>
      </c>
      <c r="OAR366" s="1648">
        <v>101889</v>
      </c>
      <c r="OAS366" s="1648">
        <v>453326</v>
      </c>
      <c r="OAT366" s="1648">
        <v>298813</v>
      </c>
      <c r="OAU366" s="1648">
        <v>605808</v>
      </c>
      <c r="OAV366" s="1648">
        <v>847471</v>
      </c>
      <c r="OAW366" s="1648">
        <v>1070054</v>
      </c>
      <c r="OAX366" s="1648">
        <v>1003687</v>
      </c>
      <c r="OAY366" s="635">
        <v>6373312</v>
      </c>
      <c r="OAZ366" s="633">
        <f>SUM(OAM366:OAX366)</f>
        <v>6373312</v>
      </c>
      <c r="OBA366" s="919" t="s">
        <v>1839</v>
      </c>
      <c r="OBB366" s="1643" t="s">
        <v>1840</v>
      </c>
      <c r="OBC366" s="1648">
        <v>603740</v>
      </c>
      <c r="OBD366" s="1648">
        <v>515055</v>
      </c>
      <c r="OBE366" s="1648">
        <v>530271</v>
      </c>
      <c r="OBF366" s="1648">
        <v>212051</v>
      </c>
      <c r="OBG366" s="1648">
        <v>131147</v>
      </c>
      <c r="OBH366" s="1648">
        <v>101889</v>
      </c>
      <c r="OBI366" s="1648">
        <v>453326</v>
      </c>
      <c r="OBJ366" s="1648">
        <v>298813</v>
      </c>
      <c r="OBK366" s="1648">
        <v>605808</v>
      </c>
      <c r="OBL366" s="1648">
        <v>847471</v>
      </c>
      <c r="OBM366" s="1648">
        <v>1070054</v>
      </c>
      <c r="OBN366" s="1648">
        <v>1003687</v>
      </c>
      <c r="OBO366" s="635">
        <v>6373312</v>
      </c>
      <c r="OBP366" s="633">
        <f>SUM(OBC366:OBN366)</f>
        <v>6373312</v>
      </c>
      <c r="OBQ366" s="919" t="s">
        <v>1839</v>
      </c>
      <c r="OBR366" s="1643" t="s">
        <v>1840</v>
      </c>
      <c r="OBS366" s="1648">
        <v>603740</v>
      </c>
      <c r="OBT366" s="1648">
        <v>515055</v>
      </c>
      <c r="OBU366" s="1648">
        <v>530271</v>
      </c>
      <c r="OBV366" s="1648">
        <v>212051</v>
      </c>
      <c r="OBW366" s="1648">
        <v>131147</v>
      </c>
      <c r="OBX366" s="1648">
        <v>101889</v>
      </c>
      <c r="OBY366" s="1648">
        <v>453326</v>
      </c>
      <c r="OBZ366" s="1648">
        <v>298813</v>
      </c>
      <c r="OCA366" s="1648">
        <v>605808</v>
      </c>
      <c r="OCB366" s="1648">
        <v>847471</v>
      </c>
      <c r="OCC366" s="1648">
        <v>1070054</v>
      </c>
      <c r="OCD366" s="1648">
        <v>1003687</v>
      </c>
      <c r="OCE366" s="635">
        <v>6373312</v>
      </c>
      <c r="OCF366" s="633">
        <f>SUM(OBS366:OCD366)</f>
        <v>6373312</v>
      </c>
      <c r="OCG366" s="919" t="s">
        <v>1839</v>
      </c>
      <c r="OCH366" s="1643" t="s">
        <v>1840</v>
      </c>
      <c r="OCI366" s="1648">
        <v>603740</v>
      </c>
      <c r="OCJ366" s="1648">
        <v>515055</v>
      </c>
      <c r="OCK366" s="1648">
        <v>530271</v>
      </c>
      <c r="OCL366" s="1648">
        <v>212051</v>
      </c>
      <c r="OCM366" s="1648">
        <v>131147</v>
      </c>
      <c r="OCN366" s="1648">
        <v>101889</v>
      </c>
      <c r="OCO366" s="1648">
        <v>453326</v>
      </c>
      <c r="OCP366" s="1648">
        <v>298813</v>
      </c>
      <c r="OCQ366" s="1648">
        <v>605808</v>
      </c>
      <c r="OCR366" s="1648">
        <v>847471</v>
      </c>
      <c r="OCS366" s="1648">
        <v>1070054</v>
      </c>
      <c r="OCT366" s="1648">
        <v>1003687</v>
      </c>
      <c r="OCU366" s="635">
        <v>6373312</v>
      </c>
      <c r="OCV366" s="633">
        <f>SUM(OCI366:OCT366)</f>
        <v>6373312</v>
      </c>
      <c r="OCW366" s="919" t="s">
        <v>1839</v>
      </c>
      <c r="OCX366" s="1643" t="s">
        <v>1840</v>
      </c>
      <c r="OCY366" s="1648">
        <v>603740</v>
      </c>
      <c r="OCZ366" s="1648">
        <v>515055</v>
      </c>
      <c r="ODA366" s="1648">
        <v>530271</v>
      </c>
      <c r="ODB366" s="1648">
        <v>212051</v>
      </c>
      <c r="ODC366" s="1648">
        <v>131147</v>
      </c>
      <c r="ODD366" s="1648">
        <v>101889</v>
      </c>
      <c r="ODE366" s="1648">
        <v>453326</v>
      </c>
      <c r="ODF366" s="1648">
        <v>298813</v>
      </c>
      <c r="ODG366" s="1648">
        <v>605808</v>
      </c>
      <c r="ODH366" s="1648">
        <v>847471</v>
      </c>
      <c r="ODI366" s="1648">
        <v>1070054</v>
      </c>
      <c r="ODJ366" s="1648">
        <v>1003687</v>
      </c>
      <c r="ODK366" s="635">
        <v>6373312</v>
      </c>
      <c r="ODL366" s="633">
        <f>SUM(OCY366:ODJ366)</f>
        <v>6373312</v>
      </c>
      <c r="ODM366" s="919" t="s">
        <v>1839</v>
      </c>
      <c r="ODN366" s="1643" t="s">
        <v>1840</v>
      </c>
      <c r="ODO366" s="1648">
        <v>603740</v>
      </c>
      <c r="ODP366" s="1648">
        <v>515055</v>
      </c>
      <c r="ODQ366" s="1648">
        <v>530271</v>
      </c>
      <c r="ODR366" s="1648">
        <v>212051</v>
      </c>
      <c r="ODS366" s="1648">
        <v>131147</v>
      </c>
      <c r="ODT366" s="1648">
        <v>101889</v>
      </c>
      <c r="ODU366" s="1648">
        <v>453326</v>
      </c>
      <c r="ODV366" s="1648">
        <v>298813</v>
      </c>
      <c r="ODW366" s="1648">
        <v>605808</v>
      </c>
      <c r="ODX366" s="1648">
        <v>847471</v>
      </c>
      <c r="ODY366" s="1648">
        <v>1070054</v>
      </c>
      <c r="ODZ366" s="1648">
        <v>1003687</v>
      </c>
      <c r="OEA366" s="635">
        <v>6373312</v>
      </c>
      <c r="OEB366" s="633">
        <f>SUM(ODO366:ODZ366)</f>
        <v>6373312</v>
      </c>
      <c r="OEC366" s="919" t="s">
        <v>1839</v>
      </c>
      <c r="OED366" s="1643" t="s">
        <v>1840</v>
      </c>
      <c r="OEE366" s="1648">
        <v>603740</v>
      </c>
      <c r="OEF366" s="1648">
        <v>515055</v>
      </c>
      <c r="OEG366" s="1648">
        <v>530271</v>
      </c>
      <c r="OEH366" s="1648">
        <v>212051</v>
      </c>
      <c r="OEI366" s="1648">
        <v>131147</v>
      </c>
      <c r="OEJ366" s="1648">
        <v>101889</v>
      </c>
      <c r="OEK366" s="1648">
        <v>453326</v>
      </c>
      <c r="OEL366" s="1648">
        <v>298813</v>
      </c>
      <c r="OEM366" s="1648">
        <v>605808</v>
      </c>
      <c r="OEN366" s="1648">
        <v>847471</v>
      </c>
      <c r="OEO366" s="1648">
        <v>1070054</v>
      </c>
      <c r="OEP366" s="1648">
        <v>1003687</v>
      </c>
      <c r="OEQ366" s="635">
        <v>6373312</v>
      </c>
      <c r="OER366" s="633">
        <f>SUM(OEE366:OEP366)</f>
        <v>6373312</v>
      </c>
      <c r="OES366" s="919" t="s">
        <v>1839</v>
      </c>
      <c r="OET366" s="1643" t="s">
        <v>1840</v>
      </c>
      <c r="OEU366" s="1648">
        <v>603740</v>
      </c>
      <c r="OEV366" s="1648">
        <v>515055</v>
      </c>
      <c r="OEW366" s="1648">
        <v>530271</v>
      </c>
      <c r="OEX366" s="1648">
        <v>212051</v>
      </c>
      <c r="OEY366" s="1648">
        <v>131147</v>
      </c>
      <c r="OEZ366" s="1648">
        <v>101889</v>
      </c>
      <c r="OFA366" s="1648">
        <v>453326</v>
      </c>
      <c r="OFB366" s="1648">
        <v>298813</v>
      </c>
      <c r="OFC366" s="1648">
        <v>605808</v>
      </c>
      <c r="OFD366" s="1648">
        <v>847471</v>
      </c>
      <c r="OFE366" s="1648">
        <v>1070054</v>
      </c>
      <c r="OFF366" s="1648">
        <v>1003687</v>
      </c>
      <c r="OFG366" s="635">
        <v>6373312</v>
      </c>
      <c r="OFH366" s="633">
        <f>SUM(OEU366:OFF366)</f>
        <v>6373312</v>
      </c>
      <c r="OFI366" s="919" t="s">
        <v>1839</v>
      </c>
      <c r="OFJ366" s="1643" t="s">
        <v>1840</v>
      </c>
      <c r="OFK366" s="1648">
        <v>603740</v>
      </c>
      <c r="OFL366" s="1648">
        <v>515055</v>
      </c>
      <c r="OFM366" s="1648">
        <v>530271</v>
      </c>
      <c r="OFN366" s="1648">
        <v>212051</v>
      </c>
      <c r="OFO366" s="1648">
        <v>131147</v>
      </c>
      <c r="OFP366" s="1648">
        <v>101889</v>
      </c>
      <c r="OFQ366" s="1648">
        <v>453326</v>
      </c>
      <c r="OFR366" s="1648">
        <v>298813</v>
      </c>
      <c r="OFS366" s="1648">
        <v>605808</v>
      </c>
      <c r="OFT366" s="1648">
        <v>847471</v>
      </c>
      <c r="OFU366" s="1648">
        <v>1070054</v>
      </c>
      <c r="OFV366" s="1648">
        <v>1003687</v>
      </c>
      <c r="OFW366" s="635">
        <v>6373312</v>
      </c>
      <c r="OFX366" s="633">
        <f>SUM(OFK366:OFV366)</f>
        <v>6373312</v>
      </c>
      <c r="OFY366" s="919" t="s">
        <v>1839</v>
      </c>
      <c r="OFZ366" s="1643" t="s">
        <v>1840</v>
      </c>
      <c r="OGA366" s="1648">
        <v>603740</v>
      </c>
      <c r="OGB366" s="1648">
        <v>515055</v>
      </c>
      <c r="OGC366" s="1648">
        <v>530271</v>
      </c>
      <c r="OGD366" s="1648">
        <v>212051</v>
      </c>
      <c r="OGE366" s="1648">
        <v>131147</v>
      </c>
      <c r="OGF366" s="1648">
        <v>101889</v>
      </c>
      <c r="OGG366" s="1648">
        <v>453326</v>
      </c>
      <c r="OGH366" s="1648">
        <v>298813</v>
      </c>
      <c r="OGI366" s="1648">
        <v>605808</v>
      </c>
      <c r="OGJ366" s="1648">
        <v>847471</v>
      </c>
      <c r="OGK366" s="1648">
        <v>1070054</v>
      </c>
      <c r="OGL366" s="1648">
        <v>1003687</v>
      </c>
      <c r="OGM366" s="635">
        <v>6373312</v>
      </c>
      <c r="OGN366" s="633">
        <f>SUM(OGA366:OGL366)</f>
        <v>6373312</v>
      </c>
      <c r="OGO366" s="919" t="s">
        <v>1839</v>
      </c>
      <c r="OGP366" s="1643" t="s">
        <v>1840</v>
      </c>
      <c r="OGQ366" s="1648">
        <v>603740</v>
      </c>
      <c r="OGR366" s="1648">
        <v>515055</v>
      </c>
      <c r="OGS366" s="1648">
        <v>530271</v>
      </c>
      <c r="OGT366" s="1648">
        <v>212051</v>
      </c>
      <c r="OGU366" s="1648">
        <v>131147</v>
      </c>
      <c r="OGV366" s="1648">
        <v>101889</v>
      </c>
      <c r="OGW366" s="1648">
        <v>453326</v>
      </c>
      <c r="OGX366" s="1648">
        <v>298813</v>
      </c>
      <c r="OGY366" s="1648">
        <v>605808</v>
      </c>
      <c r="OGZ366" s="1648">
        <v>847471</v>
      </c>
      <c r="OHA366" s="1648">
        <v>1070054</v>
      </c>
      <c r="OHB366" s="1648">
        <v>1003687</v>
      </c>
      <c r="OHC366" s="635">
        <v>6373312</v>
      </c>
      <c r="OHD366" s="633">
        <f>SUM(OGQ366:OHB366)</f>
        <v>6373312</v>
      </c>
      <c r="OHE366" s="919" t="s">
        <v>1839</v>
      </c>
      <c r="OHF366" s="1643" t="s">
        <v>1840</v>
      </c>
      <c r="OHG366" s="1648">
        <v>603740</v>
      </c>
      <c r="OHH366" s="1648">
        <v>515055</v>
      </c>
      <c r="OHI366" s="1648">
        <v>530271</v>
      </c>
      <c r="OHJ366" s="1648">
        <v>212051</v>
      </c>
      <c r="OHK366" s="1648">
        <v>131147</v>
      </c>
      <c r="OHL366" s="1648">
        <v>101889</v>
      </c>
      <c r="OHM366" s="1648">
        <v>453326</v>
      </c>
      <c r="OHN366" s="1648">
        <v>298813</v>
      </c>
      <c r="OHO366" s="1648">
        <v>605808</v>
      </c>
      <c r="OHP366" s="1648">
        <v>847471</v>
      </c>
      <c r="OHQ366" s="1648">
        <v>1070054</v>
      </c>
      <c r="OHR366" s="1648">
        <v>1003687</v>
      </c>
      <c r="OHS366" s="635">
        <v>6373312</v>
      </c>
      <c r="OHT366" s="633">
        <f>SUM(OHG366:OHR366)</f>
        <v>6373312</v>
      </c>
      <c r="OHU366" s="919" t="s">
        <v>1839</v>
      </c>
      <c r="OHV366" s="1643" t="s">
        <v>1840</v>
      </c>
      <c r="OHW366" s="1648">
        <v>603740</v>
      </c>
      <c r="OHX366" s="1648">
        <v>515055</v>
      </c>
      <c r="OHY366" s="1648">
        <v>530271</v>
      </c>
      <c r="OHZ366" s="1648">
        <v>212051</v>
      </c>
      <c r="OIA366" s="1648">
        <v>131147</v>
      </c>
      <c r="OIB366" s="1648">
        <v>101889</v>
      </c>
      <c r="OIC366" s="1648">
        <v>453326</v>
      </c>
      <c r="OID366" s="1648">
        <v>298813</v>
      </c>
      <c r="OIE366" s="1648">
        <v>605808</v>
      </c>
      <c r="OIF366" s="1648">
        <v>847471</v>
      </c>
      <c r="OIG366" s="1648">
        <v>1070054</v>
      </c>
      <c r="OIH366" s="1648">
        <v>1003687</v>
      </c>
      <c r="OII366" s="635">
        <v>6373312</v>
      </c>
      <c r="OIJ366" s="633">
        <f>SUM(OHW366:OIH366)</f>
        <v>6373312</v>
      </c>
      <c r="OIK366" s="919" t="s">
        <v>1839</v>
      </c>
      <c r="OIL366" s="1643" t="s">
        <v>1840</v>
      </c>
      <c r="OIM366" s="1648">
        <v>603740</v>
      </c>
      <c r="OIN366" s="1648">
        <v>515055</v>
      </c>
      <c r="OIO366" s="1648">
        <v>530271</v>
      </c>
      <c r="OIP366" s="1648">
        <v>212051</v>
      </c>
      <c r="OIQ366" s="1648">
        <v>131147</v>
      </c>
      <c r="OIR366" s="1648">
        <v>101889</v>
      </c>
      <c r="OIS366" s="1648">
        <v>453326</v>
      </c>
      <c r="OIT366" s="1648">
        <v>298813</v>
      </c>
      <c r="OIU366" s="1648">
        <v>605808</v>
      </c>
      <c r="OIV366" s="1648">
        <v>847471</v>
      </c>
      <c r="OIW366" s="1648">
        <v>1070054</v>
      </c>
      <c r="OIX366" s="1648">
        <v>1003687</v>
      </c>
      <c r="OIY366" s="635">
        <v>6373312</v>
      </c>
      <c r="OIZ366" s="633">
        <f>SUM(OIM366:OIX366)</f>
        <v>6373312</v>
      </c>
      <c r="OJA366" s="919" t="s">
        <v>1839</v>
      </c>
      <c r="OJB366" s="1643" t="s">
        <v>1840</v>
      </c>
      <c r="OJC366" s="1648">
        <v>603740</v>
      </c>
      <c r="OJD366" s="1648">
        <v>515055</v>
      </c>
      <c r="OJE366" s="1648">
        <v>530271</v>
      </c>
      <c r="OJF366" s="1648">
        <v>212051</v>
      </c>
      <c r="OJG366" s="1648">
        <v>131147</v>
      </c>
      <c r="OJH366" s="1648">
        <v>101889</v>
      </c>
      <c r="OJI366" s="1648">
        <v>453326</v>
      </c>
      <c r="OJJ366" s="1648">
        <v>298813</v>
      </c>
      <c r="OJK366" s="1648">
        <v>605808</v>
      </c>
      <c r="OJL366" s="1648">
        <v>847471</v>
      </c>
      <c r="OJM366" s="1648">
        <v>1070054</v>
      </c>
      <c r="OJN366" s="1648">
        <v>1003687</v>
      </c>
      <c r="OJO366" s="635">
        <v>6373312</v>
      </c>
      <c r="OJP366" s="633">
        <f>SUM(OJC366:OJN366)</f>
        <v>6373312</v>
      </c>
      <c r="OJQ366" s="919" t="s">
        <v>1839</v>
      </c>
      <c r="OJR366" s="1643" t="s">
        <v>1840</v>
      </c>
      <c r="OJS366" s="1648">
        <v>603740</v>
      </c>
      <c r="OJT366" s="1648">
        <v>515055</v>
      </c>
      <c r="OJU366" s="1648">
        <v>530271</v>
      </c>
      <c r="OJV366" s="1648">
        <v>212051</v>
      </c>
      <c r="OJW366" s="1648">
        <v>131147</v>
      </c>
      <c r="OJX366" s="1648">
        <v>101889</v>
      </c>
      <c r="OJY366" s="1648">
        <v>453326</v>
      </c>
      <c r="OJZ366" s="1648">
        <v>298813</v>
      </c>
      <c r="OKA366" s="1648">
        <v>605808</v>
      </c>
      <c r="OKB366" s="1648">
        <v>847471</v>
      </c>
      <c r="OKC366" s="1648">
        <v>1070054</v>
      </c>
      <c r="OKD366" s="1648">
        <v>1003687</v>
      </c>
      <c r="OKE366" s="635">
        <v>6373312</v>
      </c>
      <c r="OKF366" s="633">
        <f>SUM(OJS366:OKD366)</f>
        <v>6373312</v>
      </c>
      <c r="OKG366" s="919" t="s">
        <v>1839</v>
      </c>
      <c r="OKH366" s="1643" t="s">
        <v>1840</v>
      </c>
      <c r="OKI366" s="1648">
        <v>603740</v>
      </c>
      <c r="OKJ366" s="1648">
        <v>515055</v>
      </c>
      <c r="OKK366" s="1648">
        <v>530271</v>
      </c>
      <c r="OKL366" s="1648">
        <v>212051</v>
      </c>
      <c r="OKM366" s="1648">
        <v>131147</v>
      </c>
      <c r="OKN366" s="1648">
        <v>101889</v>
      </c>
      <c r="OKO366" s="1648">
        <v>453326</v>
      </c>
      <c r="OKP366" s="1648">
        <v>298813</v>
      </c>
      <c r="OKQ366" s="1648">
        <v>605808</v>
      </c>
      <c r="OKR366" s="1648">
        <v>847471</v>
      </c>
      <c r="OKS366" s="1648">
        <v>1070054</v>
      </c>
      <c r="OKT366" s="1648">
        <v>1003687</v>
      </c>
      <c r="OKU366" s="635">
        <v>6373312</v>
      </c>
      <c r="OKV366" s="633">
        <f>SUM(OKI366:OKT366)</f>
        <v>6373312</v>
      </c>
      <c r="OKW366" s="919" t="s">
        <v>1839</v>
      </c>
      <c r="OKX366" s="1643" t="s">
        <v>1840</v>
      </c>
      <c r="OKY366" s="1648">
        <v>603740</v>
      </c>
      <c r="OKZ366" s="1648">
        <v>515055</v>
      </c>
      <c r="OLA366" s="1648">
        <v>530271</v>
      </c>
      <c r="OLB366" s="1648">
        <v>212051</v>
      </c>
      <c r="OLC366" s="1648">
        <v>131147</v>
      </c>
      <c r="OLD366" s="1648">
        <v>101889</v>
      </c>
      <c r="OLE366" s="1648">
        <v>453326</v>
      </c>
      <c r="OLF366" s="1648">
        <v>298813</v>
      </c>
      <c r="OLG366" s="1648">
        <v>605808</v>
      </c>
      <c r="OLH366" s="1648">
        <v>847471</v>
      </c>
      <c r="OLI366" s="1648">
        <v>1070054</v>
      </c>
      <c r="OLJ366" s="1648">
        <v>1003687</v>
      </c>
      <c r="OLK366" s="635">
        <v>6373312</v>
      </c>
      <c r="OLL366" s="633">
        <f>SUM(OKY366:OLJ366)</f>
        <v>6373312</v>
      </c>
      <c r="OLM366" s="919" t="s">
        <v>1839</v>
      </c>
      <c r="OLN366" s="1643" t="s">
        <v>1840</v>
      </c>
      <c r="OLO366" s="1648">
        <v>603740</v>
      </c>
      <c r="OLP366" s="1648">
        <v>515055</v>
      </c>
      <c r="OLQ366" s="1648">
        <v>530271</v>
      </c>
      <c r="OLR366" s="1648">
        <v>212051</v>
      </c>
      <c r="OLS366" s="1648">
        <v>131147</v>
      </c>
      <c r="OLT366" s="1648">
        <v>101889</v>
      </c>
      <c r="OLU366" s="1648">
        <v>453326</v>
      </c>
      <c r="OLV366" s="1648">
        <v>298813</v>
      </c>
      <c r="OLW366" s="1648">
        <v>605808</v>
      </c>
      <c r="OLX366" s="1648">
        <v>847471</v>
      </c>
      <c r="OLY366" s="1648">
        <v>1070054</v>
      </c>
      <c r="OLZ366" s="1648">
        <v>1003687</v>
      </c>
      <c r="OMA366" s="635">
        <v>6373312</v>
      </c>
      <c r="OMB366" s="633">
        <f>SUM(OLO366:OLZ366)</f>
        <v>6373312</v>
      </c>
      <c r="OMC366" s="919" t="s">
        <v>1839</v>
      </c>
      <c r="OMD366" s="1643" t="s">
        <v>1840</v>
      </c>
      <c r="OME366" s="1648">
        <v>603740</v>
      </c>
      <c r="OMF366" s="1648">
        <v>515055</v>
      </c>
      <c r="OMG366" s="1648">
        <v>530271</v>
      </c>
      <c r="OMH366" s="1648">
        <v>212051</v>
      </c>
      <c r="OMI366" s="1648">
        <v>131147</v>
      </c>
      <c r="OMJ366" s="1648">
        <v>101889</v>
      </c>
      <c r="OMK366" s="1648">
        <v>453326</v>
      </c>
      <c r="OML366" s="1648">
        <v>298813</v>
      </c>
      <c r="OMM366" s="1648">
        <v>605808</v>
      </c>
      <c r="OMN366" s="1648">
        <v>847471</v>
      </c>
      <c r="OMO366" s="1648">
        <v>1070054</v>
      </c>
      <c r="OMP366" s="1648">
        <v>1003687</v>
      </c>
      <c r="OMQ366" s="635">
        <v>6373312</v>
      </c>
      <c r="OMR366" s="633">
        <f>SUM(OME366:OMP366)</f>
        <v>6373312</v>
      </c>
      <c r="OMS366" s="919" t="s">
        <v>1839</v>
      </c>
      <c r="OMT366" s="1643" t="s">
        <v>1840</v>
      </c>
      <c r="OMU366" s="1648">
        <v>603740</v>
      </c>
      <c r="OMV366" s="1648">
        <v>515055</v>
      </c>
      <c r="OMW366" s="1648">
        <v>530271</v>
      </c>
      <c r="OMX366" s="1648">
        <v>212051</v>
      </c>
      <c r="OMY366" s="1648">
        <v>131147</v>
      </c>
      <c r="OMZ366" s="1648">
        <v>101889</v>
      </c>
      <c r="ONA366" s="1648">
        <v>453326</v>
      </c>
      <c r="ONB366" s="1648">
        <v>298813</v>
      </c>
      <c r="ONC366" s="1648">
        <v>605808</v>
      </c>
      <c r="OND366" s="1648">
        <v>847471</v>
      </c>
      <c r="ONE366" s="1648">
        <v>1070054</v>
      </c>
      <c r="ONF366" s="1648">
        <v>1003687</v>
      </c>
      <c r="ONG366" s="635">
        <v>6373312</v>
      </c>
      <c r="ONH366" s="633">
        <f>SUM(OMU366:ONF366)</f>
        <v>6373312</v>
      </c>
      <c r="ONI366" s="919" t="s">
        <v>1839</v>
      </c>
      <c r="ONJ366" s="1643" t="s">
        <v>1840</v>
      </c>
      <c r="ONK366" s="1648">
        <v>603740</v>
      </c>
      <c r="ONL366" s="1648">
        <v>515055</v>
      </c>
      <c r="ONM366" s="1648">
        <v>530271</v>
      </c>
      <c r="ONN366" s="1648">
        <v>212051</v>
      </c>
      <c r="ONO366" s="1648">
        <v>131147</v>
      </c>
      <c r="ONP366" s="1648">
        <v>101889</v>
      </c>
      <c r="ONQ366" s="1648">
        <v>453326</v>
      </c>
      <c r="ONR366" s="1648">
        <v>298813</v>
      </c>
      <c r="ONS366" s="1648">
        <v>605808</v>
      </c>
      <c r="ONT366" s="1648">
        <v>847471</v>
      </c>
      <c r="ONU366" s="1648">
        <v>1070054</v>
      </c>
      <c r="ONV366" s="1648">
        <v>1003687</v>
      </c>
      <c r="ONW366" s="635">
        <v>6373312</v>
      </c>
      <c r="ONX366" s="633">
        <f>SUM(ONK366:ONV366)</f>
        <v>6373312</v>
      </c>
      <c r="ONY366" s="919" t="s">
        <v>1839</v>
      </c>
      <c r="ONZ366" s="1643" t="s">
        <v>1840</v>
      </c>
      <c r="OOA366" s="1648">
        <v>603740</v>
      </c>
      <c r="OOB366" s="1648">
        <v>515055</v>
      </c>
      <c r="OOC366" s="1648">
        <v>530271</v>
      </c>
      <c r="OOD366" s="1648">
        <v>212051</v>
      </c>
      <c r="OOE366" s="1648">
        <v>131147</v>
      </c>
      <c r="OOF366" s="1648">
        <v>101889</v>
      </c>
      <c r="OOG366" s="1648">
        <v>453326</v>
      </c>
      <c r="OOH366" s="1648">
        <v>298813</v>
      </c>
      <c r="OOI366" s="1648">
        <v>605808</v>
      </c>
      <c r="OOJ366" s="1648">
        <v>847471</v>
      </c>
      <c r="OOK366" s="1648">
        <v>1070054</v>
      </c>
      <c r="OOL366" s="1648">
        <v>1003687</v>
      </c>
      <c r="OOM366" s="635">
        <v>6373312</v>
      </c>
      <c r="OON366" s="633">
        <f>SUM(OOA366:OOL366)</f>
        <v>6373312</v>
      </c>
      <c r="OOO366" s="919" t="s">
        <v>1839</v>
      </c>
      <c r="OOP366" s="1643" t="s">
        <v>1840</v>
      </c>
      <c r="OOQ366" s="1648">
        <v>603740</v>
      </c>
      <c r="OOR366" s="1648">
        <v>515055</v>
      </c>
      <c r="OOS366" s="1648">
        <v>530271</v>
      </c>
      <c r="OOT366" s="1648">
        <v>212051</v>
      </c>
      <c r="OOU366" s="1648">
        <v>131147</v>
      </c>
      <c r="OOV366" s="1648">
        <v>101889</v>
      </c>
      <c r="OOW366" s="1648">
        <v>453326</v>
      </c>
      <c r="OOX366" s="1648">
        <v>298813</v>
      </c>
      <c r="OOY366" s="1648">
        <v>605808</v>
      </c>
      <c r="OOZ366" s="1648">
        <v>847471</v>
      </c>
      <c r="OPA366" s="1648">
        <v>1070054</v>
      </c>
      <c r="OPB366" s="1648">
        <v>1003687</v>
      </c>
      <c r="OPC366" s="635">
        <v>6373312</v>
      </c>
      <c r="OPD366" s="633">
        <f>SUM(OOQ366:OPB366)</f>
        <v>6373312</v>
      </c>
      <c r="OPE366" s="919" t="s">
        <v>1839</v>
      </c>
      <c r="OPF366" s="1643" t="s">
        <v>1840</v>
      </c>
      <c r="OPG366" s="1648">
        <v>603740</v>
      </c>
      <c r="OPH366" s="1648">
        <v>515055</v>
      </c>
      <c r="OPI366" s="1648">
        <v>530271</v>
      </c>
      <c r="OPJ366" s="1648">
        <v>212051</v>
      </c>
      <c r="OPK366" s="1648">
        <v>131147</v>
      </c>
      <c r="OPL366" s="1648">
        <v>101889</v>
      </c>
      <c r="OPM366" s="1648">
        <v>453326</v>
      </c>
      <c r="OPN366" s="1648">
        <v>298813</v>
      </c>
      <c r="OPO366" s="1648">
        <v>605808</v>
      </c>
      <c r="OPP366" s="1648">
        <v>847471</v>
      </c>
      <c r="OPQ366" s="1648">
        <v>1070054</v>
      </c>
      <c r="OPR366" s="1648">
        <v>1003687</v>
      </c>
      <c r="OPS366" s="635">
        <v>6373312</v>
      </c>
      <c r="OPT366" s="633">
        <f>SUM(OPG366:OPR366)</f>
        <v>6373312</v>
      </c>
      <c r="OPU366" s="919" t="s">
        <v>1839</v>
      </c>
      <c r="OPV366" s="1643" t="s">
        <v>1840</v>
      </c>
      <c r="OPW366" s="1648">
        <v>603740</v>
      </c>
      <c r="OPX366" s="1648">
        <v>515055</v>
      </c>
      <c r="OPY366" s="1648">
        <v>530271</v>
      </c>
      <c r="OPZ366" s="1648">
        <v>212051</v>
      </c>
      <c r="OQA366" s="1648">
        <v>131147</v>
      </c>
      <c r="OQB366" s="1648">
        <v>101889</v>
      </c>
      <c r="OQC366" s="1648">
        <v>453326</v>
      </c>
      <c r="OQD366" s="1648">
        <v>298813</v>
      </c>
      <c r="OQE366" s="1648">
        <v>605808</v>
      </c>
      <c r="OQF366" s="1648">
        <v>847471</v>
      </c>
      <c r="OQG366" s="1648">
        <v>1070054</v>
      </c>
      <c r="OQH366" s="1648">
        <v>1003687</v>
      </c>
      <c r="OQI366" s="635">
        <v>6373312</v>
      </c>
      <c r="OQJ366" s="633">
        <f>SUM(OPW366:OQH366)</f>
        <v>6373312</v>
      </c>
      <c r="OQK366" s="919" t="s">
        <v>1839</v>
      </c>
      <c r="OQL366" s="1643" t="s">
        <v>1840</v>
      </c>
      <c r="OQM366" s="1648">
        <v>603740</v>
      </c>
      <c r="OQN366" s="1648">
        <v>515055</v>
      </c>
      <c r="OQO366" s="1648">
        <v>530271</v>
      </c>
      <c r="OQP366" s="1648">
        <v>212051</v>
      </c>
      <c r="OQQ366" s="1648">
        <v>131147</v>
      </c>
      <c r="OQR366" s="1648">
        <v>101889</v>
      </c>
      <c r="OQS366" s="1648">
        <v>453326</v>
      </c>
      <c r="OQT366" s="1648">
        <v>298813</v>
      </c>
      <c r="OQU366" s="1648">
        <v>605808</v>
      </c>
      <c r="OQV366" s="1648">
        <v>847471</v>
      </c>
      <c r="OQW366" s="1648">
        <v>1070054</v>
      </c>
      <c r="OQX366" s="1648">
        <v>1003687</v>
      </c>
      <c r="OQY366" s="635">
        <v>6373312</v>
      </c>
      <c r="OQZ366" s="633">
        <f>SUM(OQM366:OQX366)</f>
        <v>6373312</v>
      </c>
      <c r="ORA366" s="919" t="s">
        <v>1839</v>
      </c>
      <c r="ORB366" s="1643" t="s">
        <v>1840</v>
      </c>
      <c r="ORC366" s="1648">
        <v>603740</v>
      </c>
      <c r="ORD366" s="1648">
        <v>515055</v>
      </c>
      <c r="ORE366" s="1648">
        <v>530271</v>
      </c>
      <c r="ORF366" s="1648">
        <v>212051</v>
      </c>
      <c r="ORG366" s="1648">
        <v>131147</v>
      </c>
      <c r="ORH366" s="1648">
        <v>101889</v>
      </c>
      <c r="ORI366" s="1648">
        <v>453326</v>
      </c>
      <c r="ORJ366" s="1648">
        <v>298813</v>
      </c>
      <c r="ORK366" s="1648">
        <v>605808</v>
      </c>
      <c r="ORL366" s="1648">
        <v>847471</v>
      </c>
      <c r="ORM366" s="1648">
        <v>1070054</v>
      </c>
      <c r="ORN366" s="1648">
        <v>1003687</v>
      </c>
      <c r="ORO366" s="635">
        <v>6373312</v>
      </c>
      <c r="ORP366" s="633">
        <f>SUM(ORC366:ORN366)</f>
        <v>6373312</v>
      </c>
      <c r="ORQ366" s="919" t="s">
        <v>1839</v>
      </c>
      <c r="ORR366" s="1643" t="s">
        <v>1840</v>
      </c>
      <c r="ORS366" s="1648">
        <v>603740</v>
      </c>
      <c r="ORT366" s="1648">
        <v>515055</v>
      </c>
      <c r="ORU366" s="1648">
        <v>530271</v>
      </c>
      <c r="ORV366" s="1648">
        <v>212051</v>
      </c>
      <c r="ORW366" s="1648">
        <v>131147</v>
      </c>
      <c r="ORX366" s="1648">
        <v>101889</v>
      </c>
      <c r="ORY366" s="1648">
        <v>453326</v>
      </c>
      <c r="ORZ366" s="1648">
        <v>298813</v>
      </c>
      <c r="OSA366" s="1648">
        <v>605808</v>
      </c>
      <c r="OSB366" s="1648">
        <v>847471</v>
      </c>
      <c r="OSC366" s="1648">
        <v>1070054</v>
      </c>
      <c r="OSD366" s="1648">
        <v>1003687</v>
      </c>
      <c r="OSE366" s="635">
        <v>6373312</v>
      </c>
      <c r="OSF366" s="633">
        <f>SUM(ORS366:OSD366)</f>
        <v>6373312</v>
      </c>
      <c r="OSG366" s="919" t="s">
        <v>1839</v>
      </c>
      <c r="OSH366" s="1643" t="s">
        <v>1840</v>
      </c>
      <c r="OSI366" s="1648">
        <v>603740</v>
      </c>
      <c r="OSJ366" s="1648">
        <v>515055</v>
      </c>
      <c r="OSK366" s="1648">
        <v>530271</v>
      </c>
      <c r="OSL366" s="1648">
        <v>212051</v>
      </c>
      <c r="OSM366" s="1648">
        <v>131147</v>
      </c>
      <c r="OSN366" s="1648">
        <v>101889</v>
      </c>
      <c r="OSO366" s="1648">
        <v>453326</v>
      </c>
      <c r="OSP366" s="1648">
        <v>298813</v>
      </c>
      <c r="OSQ366" s="1648">
        <v>605808</v>
      </c>
      <c r="OSR366" s="1648">
        <v>847471</v>
      </c>
      <c r="OSS366" s="1648">
        <v>1070054</v>
      </c>
      <c r="OST366" s="1648">
        <v>1003687</v>
      </c>
      <c r="OSU366" s="635">
        <v>6373312</v>
      </c>
      <c r="OSV366" s="633">
        <f>SUM(OSI366:OST366)</f>
        <v>6373312</v>
      </c>
      <c r="OSW366" s="919" t="s">
        <v>1839</v>
      </c>
      <c r="OSX366" s="1643" t="s">
        <v>1840</v>
      </c>
      <c r="OSY366" s="1648">
        <v>603740</v>
      </c>
      <c r="OSZ366" s="1648">
        <v>515055</v>
      </c>
      <c r="OTA366" s="1648">
        <v>530271</v>
      </c>
      <c r="OTB366" s="1648">
        <v>212051</v>
      </c>
      <c r="OTC366" s="1648">
        <v>131147</v>
      </c>
      <c r="OTD366" s="1648">
        <v>101889</v>
      </c>
      <c r="OTE366" s="1648">
        <v>453326</v>
      </c>
      <c r="OTF366" s="1648">
        <v>298813</v>
      </c>
      <c r="OTG366" s="1648">
        <v>605808</v>
      </c>
      <c r="OTH366" s="1648">
        <v>847471</v>
      </c>
      <c r="OTI366" s="1648">
        <v>1070054</v>
      </c>
      <c r="OTJ366" s="1648">
        <v>1003687</v>
      </c>
      <c r="OTK366" s="635">
        <v>6373312</v>
      </c>
      <c r="OTL366" s="633">
        <f>SUM(OSY366:OTJ366)</f>
        <v>6373312</v>
      </c>
      <c r="OTM366" s="919" t="s">
        <v>1839</v>
      </c>
      <c r="OTN366" s="1643" t="s">
        <v>1840</v>
      </c>
      <c r="OTO366" s="1648">
        <v>603740</v>
      </c>
      <c r="OTP366" s="1648">
        <v>515055</v>
      </c>
      <c r="OTQ366" s="1648">
        <v>530271</v>
      </c>
      <c r="OTR366" s="1648">
        <v>212051</v>
      </c>
      <c r="OTS366" s="1648">
        <v>131147</v>
      </c>
      <c r="OTT366" s="1648">
        <v>101889</v>
      </c>
      <c r="OTU366" s="1648">
        <v>453326</v>
      </c>
      <c r="OTV366" s="1648">
        <v>298813</v>
      </c>
      <c r="OTW366" s="1648">
        <v>605808</v>
      </c>
      <c r="OTX366" s="1648">
        <v>847471</v>
      </c>
      <c r="OTY366" s="1648">
        <v>1070054</v>
      </c>
      <c r="OTZ366" s="1648">
        <v>1003687</v>
      </c>
      <c r="OUA366" s="635">
        <v>6373312</v>
      </c>
      <c r="OUB366" s="633">
        <f>SUM(OTO366:OTZ366)</f>
        <v>6373312</v>
      </c>
      <c r="OUC366" s="919" t="s">
        <v>1839</v>
      </c>
      <c r="OUD366" s="1643" t="s">
        <v>1840</v>
      </c>
      <c r="OUE366" s="1648">
        <v>603740</v>
      </c>
      <c r="OUF366" s="1648">
        <v>515055</v>
      </c>
      <c r="OUG366" s="1648">
        <v>530271</v>
      </c>
      <c r="OUH366" s="1648">
        <v>212051</v>
      </c>
      <c r="OUI366" s="1648">
        <v>131147</v>
      </c>
      <c r="OUJ366" s="1648">
        <v>101889</v>
      </c>
      <c r="OUK366" s="1648">
        <v>453326</v>
      </c>
      <c r="OUL366" s="1648">
        <v>298813</v>
      </c>
      <c r="OUM366" s="1648">
        <v>605808</v>
      </c>
      <c r="OUN366" s="1648">
        <v>847471</v>
      </c>
      <c r="OUO366" s="1648">
        <v>1070054</v>
      </c>
      <c r="OUP366" s="1648">
        <v>1003687</v>
      </c>
      <c r="OUQ366" s="635">
        <v>6373312</v>
      </c>
      <c r="OUR366" s="633">
        <f>SUM(OUE366:OUP366)</f>
        <v>6373312</v>
      </c>
      <c r="OUS366" s="919" t="s">
        <v>1839</v>
      </c>
      <c r="OUT366" s="1643" t="s">
        <v>1840</v>
      </c>
      <c r="OUU366" s="1648">
        <v>603740</v>
      </c>
      <c r="OUV366" s="1648">
        <v>515055</v>
      </c>
      <c r="OUW366" s="1648">
        <v>530271</v>
      </c>
      <c r="OUX366" s="1648">
        <v>212051</v>
      </c>
      <c r="OUY366" s="1648">
        <v>131147</v>
      </c>
      <c r="OUZ366" s="1648">
        <v>101889</v>
      </c>
      <c r="OVA366" s="1648">
        <v>453326</v>
      </c>
      <c r="OVB366" s="1648">
        <v>298813</v>
      </c>
      <c r="OVC366" s="1648">
        <v>605808</v>
      </c>
      <c r="OVD366" s="1648">
        <v>847471</v>
      </c>
      <c r="OVE366" s="1648">
        <v>1070054</v>
      </c>
      <c r="OVF366" s="1648">
        <v>1003687</v>
      </c>
      <c r="OVG366" s="635">
        <v>6373312</v>
      </c>
      <c r="OVH366" s="633">
        <f>SUM(OUU366:OVF366)</f>
        <v>6373312</v>
      </c>
      <c r="OVI366" s="919" t="s">
        <v>1839</v>
      </c>
      <c r="OVJ366" s="1643" t="s">
        <v>1840</v>
      </c>
      <c r="OVK366" s="1648">
        <v>603740</v>
      </c>
      <c r="OVL366" s="1648">
        <v>515055</v>
      </c>
      <c r="OVM366" s="1648">
        <v>530271</v>
      </c>
      <c r="OVN366" s="1648">
        <v>212051</v>
      </c>
      <c r="OVO366" s="1648">
        <v>131147</v>
      </c>
      <c r="OVP366" s="1648">
        <v>101889</v>
      </c>
      <c r="OVQ366" s="1648">
        <v>453326</v>
      </c>
      <c r="OVR366" s="1648">
        <v>298813</v>
      </c>
      <c r="OVS366" s="1648">
        <v>605808</v>
      </c>
      <c r="OVT366" s="1648">
        <v>847471</v>
      </c>
      <c r="OVU366" s="1648">
        <v>1070054</v>
      </c>
      <c r="OVV366" s="1648">
        <v>1003687</v>
      </c>
      <c r="OVW366" s="635">
        <v>6373312</v>
      </c>
      <c r="OVX366" s="633">
        <f>SUM(OVK366:OVV366)</f>
        <v>6373312</v>
      </c>
      <c r="OVY366" s="919" t="s">
        <v>1839</v>
      </c>
      <c r="OVZ366" s="1643" t="s">
        <v>1840</v>
      </c>
      <c r="OWA366" s="1648">
        <v>603740</v>
      </c>
      <c r="OWB366" s="1648">
        <v>515055</v>
      </c>
      <c r="OWC366" s="1648">
        <v>530271</v>
      </c>
      <c r="OWD366" s="1648">
        <v>212051</v>
      </c>
      <c r="OWE366" s="1648">
        <v>131147</v>
      </c>
      <c r="OWF366" s="1648">
        <v>101889</v>
      </c>
      <c r="OWG366" s="1648">
        <v>453326</v>
      </c>
      <c r="OWH366" s="1648">
        <v>298813</v>
      </c>
      <c r="OWI366" s="1648">
        <v>605808</v>
      </c>
      <c r="OWJ366" s="1648">
        <v>847471</v>
      </c>
      <c r="OWK366" s="1648">
        <v>1070054</v>
      </c>
      <c r="OWL366" s="1648">
        <v>1003687</v>
      </c>
      <c r="OWM366" s="635">
        <v>6373312</v>
      </c>
      <c r="OWN366" s="633">
        <f>SUM(OWA366:OWL366)</f>
        <v>6373312</v>
      </c>
      <c r="OWO366" s="919" t="s">
        <v>1839</v>
      </c>
      <c r="OWP366" s="1643" t="s">
        <v>1840</v>
      </c>
      <c r="OWQ366" s="1648">
        <v>603740</v>
      </c>
      <c r="OWR366" s="1648">
        <v>515055</v>
      </c>
      <c r="OWS366" s="1648">
        <v>530271</v>
      </c>
      <c r="OWT366" s="1648">
        <v>212051</v>
      </c>
      <c r="OWU366" s="1648">
        <v>131147</v>
      </c>
      <c r="OWV366" s="1648">
        <v>101889</v>
      </c>
      <c r="OWW366" s="1648">
        <v>453326</v>
      </c>
      <c r="OWX366" s="1648">
        <v>298813</v>
      </c>
      <c r="OWY366" s="1648">
        <v>605808</v>
      </c>
      <c r="OWZ366" s="1648">
        <v>847471</v>
      </c>
      <c r="OXA366" s="1648">
        <v>1070054</v>
      </c>
      <c r="OXB366" s="1648">
        <v>1003687</v>
      </c>
      <c r="OXC366" s="635">
        <v>6373312</v>
      </c>
      <c r="OXD366" s="633">
        <f>SUM(OWQ366:OXB366)</f>
        <v>6373312</v>
      </c>
      <c r="OXE366" s="919" t="s">
        <v>1839</v>
      </c>
      <c r="OXF366" s="1643" t="s">
        <v>1840</v>
      </c>
      <c r="OXG366" s="1648">
        <v>603740</v>
      </c>
      <c r="OXH366" s="1648">
        <v>515055</v>
      </c>
      <c r="OXI366" s="1648">
        <v>530271</v>
      </c>
      <c r="OXJ366" s="1648">
        <v>212051</v>
      </c>
      <c r="OXK366" s="1648">
        <v>131147</v>
      </c>
      <c r="OXL366" s="1648">
        <v>101889</v>
      </c>
      <c r="OXM366" s="1648">
        <v>453326</v>
      </c>
      <c r="OXN366" s="1648">
        <v>298813</v>
      </c>
      <c r="OXO366" s="1648">
        <v>605808</v>
      </c>
      <c r="OXP366" s="1648">
        <v>847471</v>
      </c>
      <c r="OXQ366" s="1648">
        <v>1070054</v>
      </c>
      <c r="OXR366" s="1648">
        <v>1003687</v>
      </c>
      <c r="OXS366" s="635">
        <v>6373312</v>
      </c>
      <c r="OXT366" s="633">
        <f>SUM(OXG366:OXR366)</f>
        <v>6373312</v>
      </c>
      <c r="OXU366" s="919" t="s">
        <v>1839</v>
      </c>
      <c r="OXV366" s="1643" t="s">
        <v>1840</v>
      </c>
      <c r="OXW366" s="1648">
        <v>603740</v>
      </c>
      <c r="OXX366" s="1648">
        <v>515055</v>
      </c>
      <c r="OXY366" s="1648">
        <v>530271</v>
      </c>
      <c r="OXZ366" s="1648">
        <v>212051</v>
      </c>
      <c r="OYA366" s="1648">
        <v>131147</v>
      </c>
      <c r="OYB366" s="1648">
        <v>101889</v>
      </c>
      <c r="OYC366" s="1648">
        <v>453326</v>
      </c>
      <c r="OYD366" s="1648">
        <v>298813</v>
      </c>
      <c r="OYE366" s="1648">
        <v>605808</v>
      </c>
      <c r="OYF366" s="1648">
        <v>847471</v>
      </c>
      <c r="OYG366" s="1648">
        <v>1070054</v>
      </c>
      <c r="OYH366" s="1648">
        <v>1003687</v>
      </c>
      <c r="OYI366" s="635">
        <v>6373312</v>
      </c>
      <c r="OYJ366" s="633">
        <f>SUM(OXW366:OYH366)</f>
        <v>6373312</v>
      </c>
      <c r="OYK366" s="919" t="s">
        <v>1839</v>
      </c>
      <c r="OYL366" s="1643" t="s">
        <v>1840</v>
      </c>
      <c r="OYM366" s="1648">
        <v>603740</v>
      </c>
      <c r="OYN366" s="1648">
        <v>515055</v>
      </c>
      <c r="OYO366" s="1648">
        <v>530271</v>
      </c>
      <c r="OYP366" s="1648">
        <v>212051</v>
      </c>
      <c r="OYQ366" s="1648">
        <v>131147</v>
      </c>
      <c r="OYR366" s="1648">
        <v>101889</v>
      </c>
      <c r="OYS366" s="1648">
        <v>453326</v>
      </c>
      <c r="OYT366" s="1648">
        <v>298813</v>
      </c>
      <c r="OYU366" s="1648">
        <v>605808</v>
      </c>
      <c r="OYV366" s="1648">
        <v>847471</v>
      </c>
      <c r="OYW366" s="1648">
        <v>1070054</v>
      </c>
      <c r="OYX366" s="1648">
        <v>1003687</v>
      </c>
      <c r="OYY366" s="635">
        <v>6373312</v>
      </c>
      <c r="OYZ366" s="633">
        <f>SUM(OYM366:OYX366)</f>
        <v>6373312</v>
      </c>
      <c r="OZA366" s="919" t="s">
        <v>1839</v>
      </c>
      <c r="OZB366" s="1643" t="s">
        <v>1840</v>
      </c>
      <c r="OZC366" s="1648">
        <v>603740</v>
      </c>
      <c r="OZD366" s="1648">
        <v>515055</v>
      </c>
      <c r="OZE366" s="1648">
        <v>530271</v>
      </c>
      <c r="OZF366" s="1648">
        <v>212051</v>
      </c>
      <c r="OZG366" s="1648">
        <v>131147</v>
      </c>
      <c r="OZH366" s="1648">
        <v>101889</v>
      </c>
      <c r="OZI366" s="1648">
        <v>453326</v>
      </c>
      <c r="OZJ366" s="1648">
        <v>298813</v>
      </c>
      <c r="OZK366" s="1648">
        <v>605808</v>
      </c>
      <c r="OZL366" s="1648">
        <v>847471</v>
      </c>
      <c r="OZM366" s="1648">
        <v>1070054</v>
      </c>
      <c r="OZN366" s="1648">
        <v>1003687</v>
      </c>
      <c r="OZO366" s="635">
        <v>6373312</v>
      </c>
      <c r="OZP366" s="633">
        <f>SUM(OZC366:OZN366)</f>
        <v>6373312</v>
      </c>
      <c r="OZQ366" s="919" t="s">
        <v>1839</v>
      </c>
      <c r="OZR366" s="1643" t="s">
        <v>1840</v>
      </c>
      <c r="OZS366" s="1648">
        <v>603740</v>
      </c>
      <c r="OZT366" s="1648">
        <v>515055</v>
      </c>
      <c r="OZU366" s="1648">
        <v>530271</v>
      </c>
      <c r="OZV366" s="1648">
        <v>212051</v>
      </c>
      <c r="OZW366" s="1648">
        <v>131147</v>
      </c>
      <c r="OZX366" s="1648">
        <v>101889</v>
      </c>
      <c r="OZY366" s="1648">
        <v>453326</v>
      </c>
      <c r="OZZ366" s="1648">
        <v>298813</v>
      </c>
      <c r="PAA366" s="1648">
        <v>605808</v>
      </c>
      <c r="PAB366" s="1648">
        <v>847471</v>
      </c>
      <c r="PAC366" s="1648">
        <v>1070054</v>
      </c>
      <c r="PAD366" s="1648">
        <v>1003687</v>
      </c>
      <c r="PAE366" s="635">
        <v>6373312</v>
      </c>
      <c r="PAF366" s="633">
        <f>SUM(OZS366:PAD366)</f>
        <v>6373312</v>
      </c>
      <c r="PAG366" s="919" t="s">
        <v>1839</v>
      </c>
      <c r="PAH366" s="1643" t="s">
        <v>1840</v>
      </c>
      <c r="PAI366" s="1648">
        <v>603740</v>
      </c>
      <c r="PAJ366" s="1648">
        <v>515055</v>
      </c>
      <c r="PAK366" s="1648">
        <v>530271</v>
      </c>
      <c r="PAL366" s="1648">
        <v>212051</v>
      </c>
      <c r="PAM366" s="1648">
        <v>131147</v>
      </c>
      <c r="PAN366" s="1648">
        <v>101889</v>
      </c>
      <c r="PAO366" s="1648">
        <v>453326</v>
      </c>
      <c r="PAP366" s="1648">
        <v>298813</v>
      </c>
      <c r="PAQ366" s="1648">
        <v>605808</v>
      </c>
      <c r="PAR366" s="1648">
        <v>847471</v>
      </c>
      <c r="PAS366" s="1648">
        <v>1070054</v>
      </c>
      <c r="PAT366" s="1648">
        <v>1003687</v>
      </c>
      <c r="PAU366" s="635">
        <v>6373312</v>
      </c>
      <c r="PAV366" s="633">
        <f>SUM(PAI366:PAT366)</f>
        <v>6373312</v>
      </c>
      <c r="PAW366" s="919" t="s">
        <v>1839</v>
      </c>
      <c r="PAX366" s="1643" t="s">
        <v>1840</v>
      </c>
      <c r="PAY366" s="1648">
        <v>603740</v>
      </c>
      <c r="PAZ366" s="1648">
        <v>515055</v>
      </c>
      <c r="PBA366" s="1648">
        <v>530271</v>
      </c>
      <c r="PBB366" s="1648">
        <v>212051</v>
      </c>
      <c r="PBC366" s="1648">
        <v>131147</v>
      </c>
      <c r="PBD366" s="1648">
        <v>101889</v>
      </c>
      <c r="PBE366" s="1648">
        <v>453326</v>
      </c>
      <c r="PBF366" s="1648">
        <v>298813</v>
      </c>
      <c r="PBG366" s="1648">
        <v>605808</v>
      </c>
      <c r="PBH366" s="1648">
        <v>847471</v>
      </c>
      <c r="PBI366" s="1648">
        <v>1070054</v>
      </c>
      <c r="PBJ366" s="1648">
        <v>1003687</v>
      </c>
      <c r="PBK366" s="635">
        <v>6373312</v>
      </c>
      <c r="PBL366" s="633">
        <f>SUM(PAY366:PBJ366)</f>
        <v>6373312</v>
      </c>
      <c r="PBM366" s="919" t="s">
        <v>1839</v>
      </c>
      <c r="PBN366" s="1643" t="s">
        <v>1840</v>
      </c>
      <c r="PBO366" s="1648">
        <v>603740</v>
      </c>
      <c r="PBP366" s="1648">
        <v>515055</v>
      </c>
      <c r="PBQ366" s="1648">
        <v>530271</v>
      </c>
      <c r="PBR366" s="1648">
        <v>212051</v>
      </c>
      <c r="PBS366" s="1648">
        <v>131147</v>
      </c>
      <c r="PBT366" s="1648">
        <v>101889</v>
      </c>
      <c r="PBU366" s="1648">
        <v>453326</v>
      </c>
      <c r="PBV366" s="1648">
        <v>298813</v>
      </c>
      <c r="PBW366" s="1648">
        <v>605808</v>
      </c>
      <c r="PBX366" s="1648">
        <v>847471</v>
      </c>
      <c r="PBY366" s="1648">
        <v>1070054</v>
      </c>
      <c r="PBZ366" s="1648">
        <v>1003687</v>
      </c>
      <c r="PCA366" s="635">
        <v>6373312</v>
      </c>
      <c r="PCB366" s="633">
        <f>SUM(PBO366:PBZ366)</f>
        <v>6373312</v>
      </c>
      <c r="PCC366" s="919" t="s">
        <v>1839</v>
      </c>
      <c r="PCD366" s="1643" t="s">
        <v>1840</v>
      </c>
      <c r="PCE366" s="1648">
        <v>603740</v>
      </c>
      <c r="PCF366" s="1648">
        <v>515055</v>
      </c>
      <c r="PCG366" s="1648">
        <v>530271</v>
      </c>
      <c r="PCH366" s="1648">
        <v>212051</v>
      </c>
      <c r="PCI366" s="1648">
        <v>131147</v>
      </c>
      <c r="PCJ366" s="1648">
        <v>101889</v>
      </c>
      <c r="PCK366" s="1648">
        <v>453326</v>
      </c>
      <c r="PCL366" s="1648">
        <v>298813</v>
      </c>
      <c r="PCM366" s="1648">
        <v>605808</v>
      </c>
      <c r="PCN366" s="1648">
        <v>847471</v>
      </c>
      <c r="PCO366" s="1648">
        <v>1070054</v>
      </c>
      <c r="PCP366" s="1648">
        <v>1003687</v>
      </c>
      <c r="PCQ366" s="635">
        <v>6373312</v>
      </c>
      <c r="PCR366" s="633">
        <f>SUM(PCE366:PCP366)</f>
        <v>6373312</v>
      </c>
      <c r="PCS366" s="919" t="s">
        <v>1839</v>
      </c>
      <c r="PCT366" s="1643" t="s">
        <v>1840</v>
      </c>
      <c r="PCU366" s="1648">
        <v>603740</v>
      </c>
      <c r="PCV366" s="1648">
        <v>515055</v>
      </c>
      <c r="PCW366" s="1648">
        <v>530271</v>
      </c>
      <c r="PCX366" s="1648">
        <v>212051</v>
      </c>
      <c r="PCY366" s="1648">
        <v>131147</v>
      </c>
      <c r="PCZ366" s="1648">
        <v>101889</v>
      </c>
      <c r="PDA366" s="1648">
        <v>453326</v>
      </c>
      <c r="PDB366" s="1648">
        <v>298813</v>
      </c>
      <c r="PDC366" s="1648">
        <v>605808</v>
      </c>
      <c r="PDD366" s="1648">
        <v>847471</v>
      </c>
      <c r="PDE366" s="1648">
        <v>1070054</v>
      </c>
      <c r="PDF366" s="1648">
        <v>1003687</v>
      </c>
      <c r="PDG366" s="635">
        <v>6373312</v>
      </c>
      <c r="PDH366" s="633">
        <f>SUM(PCU366:PDF366)</f>
        <v>6373312</v>
      </c>
      <c r="PDI366" s="919" t="s">
        <v>1839</v>
      </c>
      <c r="PDJ366" s="1643" t="s">
        <v>1840</v>
      </c>
      <c r="PDK366" s="1648">
        <v>603740</v>
      </c>
      <c r="PDL366" s="1648">
        <v>515055</v>
      </c>
      <c r="PDM366" s="1648">
        <v>530271</v>
      </c>
      <c r="PDN366" s="1648">
        <v>212051</v>
      </c>
      <c r="PDO366" s="1648">
        <v>131147</v>
      </c>
      <c r="PDP366" s="1648">
        <v>101889</v>
      </c>
      <c r="PDQ366" s="1648">
        <v>453326</v>
      </c>
      <c r="PDR366" s="1648">
        <v>298813</v>
      </c>
      <c r="PDS366" s="1648">
        <v>605808</v>
      </c>
      <c r="PDT366" s="1648">
        <v>847471</v>
      </c>
      <c r="PDU366" s="1648">
        <v>1070054</v>
      </c>
      <c r="PDV366" s="1648">
        <v>1003687</v>
      </c>
      <c r="PDW366" s="635">
        <v>6373312</v>
      </c>
      <c r="PDX366" s="633">
        <f>SUM(PDK366:PDV366)</f>
        <v>6373312</v>
      </c>
      <c r="PDY366" s="919" t="s">
        <v>1839</v>
      </c>
      <c r="PDZ366" s="1643" t="s">
        <v>1840</v>
      </c>
      <c r="PEA366" s="1648">
        <v>603740</v>
      </c>
      <c r="PEB366" s="1648">
        <v>515055</v>
      </c>
      <c r="PEC366" s="1648">
        <v>530271</v>
      </c>
      <c r="PED366" s="1648">
        <v>212051</v>
      </c>
      <c r="PEE366" s="1648">
        <v>131147</v>
      </c>
      <c r="PEF366" s="1648">
        <v>101889</v>
      </c>
      <c r="PEG366" s="1648">
        <v>453326</v>
      </c>
      <c r="PEH366" s="1648">
        <v>298813</v>
      </c>
      <c r="PEI366" s="1648">
        <v>605808</v>
      </c>
      <c r="PEJ366" s="1648">
        <v>847471</v>
      </c>
      <c r="PEK366" s="1648">
        <v>1070054</v>
      </c>
      <c r="PEL366" s="1648">
        <v>1003687</v>
      </c>
      <c r="PEM366" s="635">
        <v>6373312</v>
      </c>
      <c r="PEN366" s="633">
        <f>SUM(PEA366:PEL366)</f>
        <v>6373312</v>
      </c>
      <c r="PEO366" s="919" t="s">
        <v>1839</v>
      </c>
      <c r="PEP366" s="1643" t="s">
        <v>1840</v>
      </c>
      <c r="PEQ366" s="1648">
        <v>603740</v>
      </c>
      <c r="PER366" s="1648">
        <v>515055</v>
      </c>
      <c r="PES366" s="1648">
        <v>530271</v>
      </c>
      <c r="PET366" s="1648">
        <v>212051</v>
      </c>
      <c r="PEU366" s="1648">
        <v>131147</v>
      </c>
      <c r="PEV366" s="1648">
        <v>101889</v>
      </c>
      <c r="PEW366" s="1648">
        <v>453326</v>
      </c>
      <c r="PEX366" s="1648">
        <v>298813</v>
      </c>
      <c r="PEY366" s="1648">
        <v>605808</v>
      </c>
      <c r="PEZ366" s="1648">
        <v>847471</v>
      </c>
      <c r="PFA366" s="1648">
        <v>1070054</v>
      </c>
      <c r="PFB366" s="1648">
        <v>1003687</v>
      </c>
      <c r="PFC366" s="635">
        <v>6373312</v>
      </c>
      <c r="PFD366" s="633">
        <f>SUM(PEQ366:PFB366)</f>
        <v>6373312</v>
      </c>
      <c r="PFE366" s="919" t="s">
        <v>1839</v>
      </c>
      <c r="PFF366" s="1643" t="s">
        <v>1840</v>
      </c>
      <c r="PFG366" s="1648">
        <v>603740</v>
      </c>
      <c r="PFH366" s="1648">
        <v>515055</v>
      </c>
      <c r="PFI366" s="1648">
        <v>530271</v>
      </c>
      <c r="PFJ366" s="1648">
        <v>212051</v>
      </c>
      <c r="PFK366" s="1648">
        <v>131147</v>
      </c>
      <c r="PFL366" s="1648">
        <v>101889</v>
      </c>
      <c r="PFM366" s="1648">
        <v>453326</v>
      </c>
      <c r="PFN366" s="1648">
        <v>298813</v>
      </c>
      <c r="PFO366" s="1648">
        <v>605808</v>
      </c>
      <c r="PFP366" s="1648">
        <v>847471</v>
      </c>
      <c r="PFQ366" s="1648">
        <v>1070054</v>
      </c>
      <c r="PFR366" s="1648">
        <v>1003687</v>
      </c>
      <c r="PFS366" s="635">
        <v>6373312</v>
      </c>
      <c r="PFT366" s="633">
        <f>SUM(PFG366:PFR366)</f>
        <v>6373312</v>
      </c>
      <c r="PFU366" s="919" t="s">
        <v>1839</v>
      </c>
      <c r="PFV366" s="1643" t="s">
        <v>1840</v>
      </c>
      <c r="PFW366" s="1648">
        <v>603740</v>
      </c>
      <c r="PFX366" s="1648">
        <v>515055</v>
      </c>
      <c r="PFY366" s="1648">
        <v>530271</v>
      </c>
      <c r="PFZ366" s="1648">
        <v>212051</v>
      </c>
      <c r="PGA366" s="1648">
        <v>131147</v>
      </c>
      <c r="PGB366" s="1648">
        <v>101889</v>
      </c>
      <c r="PGC366" s="1648">
        <v>453326</v>
      </c>
      <c r="PGD366" s="1648">
        <v>298813</v>
      </c>
      <c r="PGE366" s="1648">
        <v>605808</v>
      </c>
      <c r="PGF366" s="1648">
        <v>847471</v>
      </c>
      <c r="PGG366" s="1648">
        <v>1070054</v>
      </c>
      <c r="PGH366" s="1648">
        <v>1003687</v>
      </c>
      <c r="PGI366" s="635">
        <v>6373312</v>
      </c>
      <c r="PGJ366" s="633">
        <f>SUM(PFW366:PGH366)</f>
        <v>6373312</v>
      </c>
      <c r="PGK366" s="919" t="s">
        <v>1839</v>
      </c>
      <c r="PGL366" s="1643" t="s">
        <v>1840</v>
      </c>
      <c r="PGM366" s="1648">
        <v>603740</v>
      </c>
      <c r="PGN366" s="1648">
        <v>515055</v>
      </c>
      <c r="PGO366" s="1648">
        <v>530271</v>
      </c>
      <c r="PGP366" s="1648">
        <v>212051</v>
      </c>
      <c r="PGQ366" s="1648">
        <v>131147</v>
      </c>
      <c r="PGR366" s="1648">
        <v>101889</v>
      </c>
      <c r="PGS366" s="1648">
        <v>453326</v>
      </c>
      <c r="PGT366" s="1648">
        <v>298813</v>
      </c>
      <c r="PGU366" s="1648">
        <v>605808</v>
      </c>
      <c r="PGV366" s="1648">
        <v>847471</v>
      </c>
      <c r="PGW366" s="1648">
        <v>1070054</v>
      </c>
      <c r="PGX366" s="1648">
        <v>1003687</v>
      </c>
      <c r="PGY366" s="635">
        <v>6373312</v>
      </c>
      <c r="PGZ366" s="633">
        <f>SUM(PGM366:PGX366)</f>
        <v>6373312</v>
      </c>
      <c r="PHA366" s="919" t="s">
        <v>1839</v>
      </c>
      <c r="PHB366" s="1643" t="s">
        <v>1840</v>
      </c>
      <c r="PHC366" s="1648">
        <v>603740</v>
      </c>
      <c r="PHD366" s="1648">
        <v>515055</v>
      </c>
      <c r="PHE366" s="1648">
        <v>530271</v>
      </c>
      <c r="PHF366" s="1648">
        <v>212051</v>
      </c>
      <c r="PHG366" s="1648">
        <v>131147</v>
      </c>
      <c r="PHH366" s="1648">
        <v>101889</v>
      </c>
      <c r="PHI366" s="1648">
        <v>453326</v>
      </c>
      <c r="PHJ366" s="1648">
        <v>298813</v>
      </c>
      <c r="PHK366" s="1648">
        <v>605808</v>
      </c>
      <c r="PHL366" s="1648">
        <v>847471</v>
      </c>
      <c r="PHM366" s="1648">
        <v>1070054</v>
      </c>
      <c r="PHN366" s="1648">
        <v>1003687</v>
      </c>
      <c r="PHO366" s="635">
        <v>6373312</v>
      </c>
      <c r="PHP366" s="633">
        <f>SUM(PHC366:PHN366)</f>
        <v>6373312</v>
      </c>
      <c r="PHQ366" s="919" t="s">
        <v>1839</v>
      </c>
      <c r="PHR366" s="1643" t="s">
        <v>1840</v>
      </c>
      <c r="PHS366" s="1648">
        <v>603740</v>
      </c>
      <c r="PHT366" s="1648">
        <v>515055</v>
      </c>
      <c r="PHU366" s="1648">
        <v>530271</v>
      </c>
      <c r="PHV366" s="1648">
        <v>212051</v>
      </c>
      <c r="PHW366" s="1648">
        <v>131147</v>
      </c>
      <c r="PHX366" s="1648">
        <v>101889</v>
      </c>
      <c r="PHY366" s="1648">
        <v>453326</v>
      </c>
      <c r="PHZ366" s="1648">
        <v>298813</v>
      </c>
      <c r="PIA366" s="1648">
        <v>605808</v>
      </c>
      <c r="PIB366" s="1648">
        <v>847471</v>
      </c>
      <c r="PIC366" s="1648">
        <v>1070054</v>
      </c>
      <c r="PID366" s="1648">
        <v>1003687</v>
      </c>
      <c r="PIE366" s="635">
        <v>6373312</v>
      </c>
      <c r="PIF366" s="633">
        <f>SUM(PHS366:PID366)</f>
        <v>6373312</v>
      </c>
      <c r="PIG366" s="919" t="s">
        <v>1839</v>
      </c>
      <c r="PIH366" s="1643" t="s">
        <v>1840</v>
      </c>
      <c r="PII366" s="1648">
        <v>603740</v>
      </c>
      <c r="PIJ366" s="1648">
        <v>515055</v>
      </c>
      <c r="PIK366" s="1648">
        <v>530271</v>
      </c>
      <c r="PIL366" s="1648">
        <v>212051</v>
      </c>
      <c r="PIM366" s="1648">
        <v>131147</v>
      </c>
      <c r="PIN366" s="1648">
        <v>101889</v>
      </c>
      <c r="PIO366" s="1648">
        <v>453326</v>
      </c>
      <c r="PIP366" s="1648">
        <v>298813</v>
      </c>
      <c r="PIQ366" s="1648">
        <v>605808</v>
      </c>
      <c r="PIR366" s="1648">
        <v>847471</v>
      </c>
      <c r="PIS366" s="1648">
        <v>1070054</v>
      </c>
      <c r="PIT366" s="1648">
        <v>1003687</v>
      </c>
      <c r="PIU366" s="635">
        <v>6373312</v>
      </c>
      <c r="PIV366" s="633">
        <f>SUM(PII366:PIT366)</f>
        <v>6373312</v>
      </c>
      <c r="PIW366" s="919" t="s">
        <v>1839</v>
      </c>
      <c r="PIX366" s="1643" t="s">
        <v>1840</v>
      </c>
      <c r="PIY366" s="1648">
        <v>603740</v>
      </c>
      <c r="PIZ366" s="1648">
        <v>515055</v>
      </c>
      <c r="PJA366" s="1648">
        <v>530271</v>
      </c>
      <c r="PJB366" s="1648">
        <v>212051</v>
      </c>
      <c r="PJC366" s="1648">
        <v>131147</v>
      </c>
      <c r="PJD366" s="1648">
        <v>101889</v>
      </c>
      <c r="PJE366" s="1648">
        <v>453326</v>
      </c>
      <c r="PJF366" s="1648">
        <v>298813</v>
      </c>
      <c r="PJG366" s="1648">
        <v>605808</v>
      </c>
      <c r="PJH366" s="1648">
        <v>847471</v>
      </c>
      <c r="PJI366" s="1648">
        <v>1070054</v>
      </c>
      <c r="PJJ366" s="1648">
        <v>1003687</v>
      </c>
      <c r="PJK366" s="635">
        <v>6373312</v>
      </c>
      <c r="PJL366" s="633">
        <f>SUM(PIY366:PJJ366)</f>
        <v>6373312</v>
      </c>
      <c r="PJM366" s="919" t="s">
        <v>1839</v>
      </c>
      <c r="PJN366" s="1643" t="s">
        <v>1840</v>
      </c>
      <c r="PJO366" s="1648">
        <v>603740</v>
      </c>
      <c r="PJP366" s="1648">
        <v>515055</v>
      </c>
      <c r="PJQ366" s="1648">
        <v>530271</v>
      </c>
      <c r="PJR366" s="1648">
        <v>212051</v>
      </c>
      <c r="PJS366" s="1648">
        <v>131147</v>
      </c>
      <c r="PJT366" s="1648">
        <v>101889</v>
      </c>
      <c r="PJU366" s="1648">
        <v>453326</v>
      </c>
      <c r="PJV366" s="1648">
        <v>298813</v>
      </c>
      <c r="PJW366" s="1648">
        <v>605808</v>
      </c>
      <c r="PJX366" s="1648">
        <v>847471</v>
      </c>
      <c r="PJY366" s="1648">
        <v>1070054</v>
      </c>
      <c r="PJZ366" s="1648">
        <v>1003687</v>
      </c>
      <c r="PKA366" s="635">
        <v>6373312</v>
      </c>
      <c r="PKB366" s="633">
        <f>SUM(PJO366:PJZ366)</f>
        <v>6373312</v>
      </c>
      <c r="PKC366" s="919" t="s">
        <v>1839</v>
      </c>
      <c r="PKD366" s="1643" t="s">
        <v>1840</v>
      </c>
      <c r="PKE366" s="1648">
        <v>603740</v>
      </c>
      <c r="PKF366" s="1648">
        <v>515055</v>
      </c>
      <c r="PKG366" s="1648">
        <v>530271</v>
      </c>
      <c r="PKH366" s="1648">
        <v>212051</v>
      </c>
      <c r="PKI366" s="1648">
        <v>131147</v>
      </c>
      <c r="PKJ366" s="1648">
        <v>101889</v>
      </c>
      <c r="PKK366" s="1648">
        <v>453326</v>
      </c>
      <c r="PKL366" s="1648">
        <v>298813</v>
      </c>
      <c r="PKM366" s="1648">
        <v>605808</v>
      </c>
      <c r="PKN366" s="1648">
        <v>847471</v>
      </c>
      <c r="PKO366" s="1648">
        <v>1070054</v>
      </c>
      <c r="PKP366" s="1648">
        <v>1003687</v>
      </c>
      <c r="PKQ366" s="635">
        <v>6373312</v>
      </c>
      <c r="PKR366" s="633">
        <f>SUM(PKE366:PKP366)</f>
        <v>6373312</v>
      </c>
      <c r="PKS366" s="919" t="s">
        <v>1839</v>
      </c>
      <c r="PKT366" s="1643" t="s">
        <v>1840</v>
      </c>
      <c r="PKU366" s="1648">
        <v>603740</v>
      </c>
      <c r="PKV366" s="1648">
        <v>515055</v>
      </c>
      <c r="PKW366" s="1648">
        <v>530271</v>
      </c>
      <c r="PKX366" s="1648">
        <v>212051</v>
      </c>
      <c r="PKY366" s="1648">
        <v>131147</v>
      </c>
      <c r="PKZ366" s="1648">
        <v>101889</v>
      </c>
      <c r="PLA366" s="1648">
        <v>453326</v>
      </c>
      <c r="PLB366" s="1648">
        <v>298813</v>
      </c>
      <c r="PLC366" s="1648">
        <v>605808</v>
      </c>
      <c r="PLD366" s="1648">
        <v>847471</v>
      </c>
      <c r="PLE366" s="1648">
        <v>1070054</v>
      </c>
      <c r="PLF366" s="1648">
        <v>1003687</v>
      </c>
      <c r="PLG366" s="635">
        <v>6373312</v>
      </c>
      <c r="PLH366" s="633">
        <f>SUM(PKU366:PLF366)</f>
        <v>6373312</v>
      </c>
      <c r="PLI366" s="919" t="s">
        <v>1839</v>
      </c>
      <c r="PLJ366" s="1643" t="s">
        <v>1840</v>
      </c>
      <c r="PLK366" s="1648">
        <v>603740</v>
      </c>
      <c r="PLL366" s="1648">
        <v>515055</v>
      </c>
      <c r="PLM366" s="1648">
        <v>530271</v>
      </c>
      <c r="PLN366" s="1648">
        <v>212051</v>
      </c>
      <c r="PLO366" s="1648">
        <v>131147</v>
      </c>
      <c r="PLP366" s="1648">
        <v>101889</v>
      </c>
      <c r="PLQ366" s="1648">
        <v>453326</v>
      </c>
      <c r="PLR366" s="1648">
        <v>298813</v>
      </c>
      <c r="PLS366" s="1648">
        <v>605808</v>
      </c>
      <c r="PLT366" s="1648">
        <v>847471</v>
      </c>
      <c r="PLU366" s="1648">
        <v>1070054</v>
      </c>
      <c r="PLV366" s="1648">
        <v>1003687</v>
      </c>
      <c r="PLW366" s="635">
        <v>6373312</v>
      </c>
      <c r="PLX366" s="633">
        <f>SUM(PLK366:PLV366)</f>
        <v>6373312</v>
      </c>
      <c r="PLY366" s="919" t="s">
        <v>1839</v>
      </c>
      <c r="PLZ366" s="1643" t="s">
        <v>1840</v>
      </c>
      <c r="PMA366" s="1648">
        <v>603740</v>
      </c>
      <c r="PMB366" s="1648">
        <v>515055</v>
      </c>
      <c r="PMC366" s="1648">
        <v>530271</v>
      </c>
      <c r="PMD366" s="1648">
        <v>212051</v>
      </c>
      <c r="PME366" s="1648">
        <v>131147</v>
      </c>
      <c r="PMF366" s="1648">
        <v>101889</v>
      </c>
      <c r="PMG366" s="1648">
        <v>453326</v>
      </c>
      <c r="PMH366" s="1648">
        <v>298813</v>
      </c>
      <c r="PMI366" s="1648">
        <v>605808</v>
      </c>
      <c r="PMJ366" s="1648">
        <v>847471</v>
      </c>
      <c r="PMK366" s="1648">
        <v>1070054</v>
      </c>
      <c r="PML366" s="1648">
        <v>1003687</v>
      </c>
      <c r="PMM366" s="635">
        <v>6373312</v>
      </c>
      <c r="PMN366" s="633">
        <f>SUM(PMA366:PML366)</f>
        <v>6373312</v>
      </c>
      <c r="PMO366" s="919" t="s">
        <v>1839</v>
      </c>
      <c r="PMP366" s="1643" t="s">
        <v>1840</v>
      </c>
      <c r="PMQ366" s="1648">
        <v>603740</v>
      </c>
      <c r="PMR366" s="1648">
        <v>515055</v>
      </c>
      <c r="PMS366" s="1648">
        <v>530271</v>
      </c>
      <c r="PMT366" s="1648">
        <v>212051</v>
      </c>
      <c r="PMU366" s="1648">
        <v>131147</v>
      </c>
      <c r="PMV366" s="1648">
        <v>101889</v>
      </c>
      <c r="PMW366" s="1648">
        <v>453326</v>
      </c>
      <c r="PMX366" s="1648">
        <v>298813</v>
      </c>
      <c r="PMY366" s="1648">
        <v>605808</v>
      </c>
      <c r="PMZ366" s="1648">
        <v>847471</v>
      </c>
      <c r="PNA366" s="1648">
        <v>1070054</v>
      </c>
      <c r="PNB366" s="1648">
        <v>1003687</v>
      </c>
      <c r="PNC366" s="635">
        <v>6373312</v>
      </c>
      <c r="PND366" s="633">
        <f>SUM(PMQ366:PNB366)</f>
        <v>6373312</v>
      </c>
      <c r="PNE366" s="919" t="s">
        <v>1839</v>
      </c>
      <c r="PNF366" s="1643" t="s">
        <v>1840</v>
      </c>
      <c r="PNG366" s="1648">
        <v>603740</v>
      </c>
      <c r="PNH366" s="1648">
        <v>515055</v>
      </c>
      <c r="PNI366" s="1648">
        <v>530271</v>
      </c>
      <c r="PNJ366" s="1648">
        <v>212051</v>
      </c>
      <c r="PNK366" s="1648">
        <v>131147</v>
      </c>
      <c r="PNL366" s="1648">
        <v>101889</v>
      </c>
      <c r="PNM366" s="1648">
        <v>453326</v>
      </c>
      <c r="PNN366" s="1648">
        <v>298813</v>
      </c>
      <c r="PNO366" s="1648">
        <v>605808</v>
      </c>
      <c r="PNP366" s="1648">
        <v>847471</v>
      </c>
      <c r="PNQ366" s="1648">
        <v>1070054</v>
      </c>
      <c r="PNR366" s="1648">
        <v>1003687</v>
      </c>
      <c r="PNS366" s="635">
        <v>6373312</v>
      </c>
      <c r="PNT366" s="633">
        <f>SUM(PNG366:PNR366)</f>
        <v>6373312</v>
      </c>
      <c r="PNU366" s="919" t="s">
        <v>1839</v>
      </c>
      <c r="PNV366" s="1643" t="s">
        <v>1840</v>
      </c>
      <c r="PNW366" s="1648">
        <v>603740</v>
      </c>
      <c r="PNX366" s="1648">
        <v>515055</v>
      </c>
      <c r="PNY366" s="1648">
        <v>530271</v>
      </c>
      <c r="PNZ366" s="1648">
        <v>212051</v>
      </c>
      <c r="POA366" s="1648">
        <v>131147</v>
      </c>
      <c r="POB366" s="1648">
        <v>101889</v>
      </c>
      <c r="POC366" s="1648">
        <v>453326</v>
      </c>
      <c r="POD366" s="1648">
        <v>298813</v>
      </c>
      <c r="POE366" s="1648">
        <v>605808</v>
      </c>
      <c r="POF366" s="1648">
        <v>847471</v>
      </c>
      <c r="POG366" s="1648">
        <v>1070054</v>
      </c>
      <c r="POH366" s="1648">
        <v>1003687</v>
      </c>
      <c r="POI366" s="635">
        <v>6373312</v>
      </c>
      <c r="POJ366" s="633">
        <f>SUM(PNW366:POH366)</f>
        <v>6373312</v>
      </c>
      <c r="POK366" s="919" t="s">
        <v>1839</v>
      </c>
      <c r="POL366" s="1643" t="s">
        <v>1840</v>
      </c>
      <c r="POM366" s="1648">
        <v>603740</v>
      </c>
      <c r="PON366" s="1648">
        <v>515055</v>
      </c>
      <c r="POO366" s="1648">
        <v>530271</v>
      </c>
      <c r="POP366" s="1648">
        <v>212051</v>
      </c>
      <c r="POQ366" s="1648">
        <v>131147</v>
      </c>
      <c r="POR366" s="1648">
        <v>101889</v>
      </c>
      <c r="POS366" s="1648">
        <v>453326</v>
      </c>
      <c r="POT366" s="1648">
        <v>298813</v>
      </c>
      <c r="POU366" s="1648">
        <v>605808</v>
      </c>
      <c r="POV366" s="1648">
        <v>847471</v>
      </c>
      <c r="POW366" s="1648">
        <v>1070054</v>
      </c>
      <c r="POX366" s="1648">
        <v>1003687</v>
      </c>
      <c r="POY366" s="635">
        <v>6373312</v>
      </c>
      <c r="POZ366" s="633">
        <f>SUM(POM366:POX366)</f>
        <v>6373312</v>
      </c>
      <c r="PPA366" s="919" t="s">
        <v>1839</v>
      </c>
      <c r="PPB366" s="1643" t="s">
        <v>1840</v>
      </c>
      <c r="PPC366" s="1648">
        <v>603740</v>
      </c>
      <c r="PPD366" s="1648">
        <v>515055</v>
      </c>
      <c r="PPE366" s="1648">
        <v>530271</v>
      </c>
      <c r="PPF366" s="1648">
        <v>212051</v>
      </c>
      <c r="PPG366" s="1648">
        <v>131147</v>
      </c>
      <c r="PPH366" s="1648">
        <v>101889</v>
      </c>
      <c r="PPI366" s="1648">
        <v>453326</v>
      </c>
      <c r="PPJ366" s="1648">
        <v>298813</v>
      </c>
      <c r="PPK366" s="1648">
        <v>605808</v>
      </c>
      <c r="PPL366" s="1648">
        <v>847471</v>
      </c>
      <c r="PPM366" s="1648">
        <v>1070054</v>
      </c>
      <c r="PPN366" s="1648">
        <v>1003687</v>
      </c>
      <c r="PPO366" s="635">
        <v>6373312</v>
      </c>
      <c r="PPP366" s="633">
        <f>SUM(PPC366:PPN366)</f>
        <v>6373312</v>
      </c>
      <c r="PPQ366" s="919" t="s">
        <v>1839</v>
      </c>
      <c r="PPR366" s="1643" t="s">
        <v>1840</v>
      </c>
      <c r="PPS366" s="1648">
        <v>603740</v>
      </c>
      <c r="PPT366" s="1648">
        <v>515055</v>
      </c>
      <c r="PPU366" s="1648">
        <v>530271</v>
      </c>
      <c r="PPV366" s="1648">
        <v>212051</v>
      </c>
      <c r="PPW366" s="1648">
        <v>131147</v>
      </c>
      <c r="PPX366" s="1648">
        <v>101889</v>
      </c>
      <c r="PPY366" s="1648">
        <v>453326</v>
      </c>
      <c r="PPZ366" s="1648">
        <v>298813</v>
      </c>
      <c r="PQA366" s="1648">
        <v>605808</v>
      </c>
      <c r="PQB366" s="1648">
        <v>847471</v>
      </c>
      <c r="PQC366" s="1648">
        <v>1070054</v>
      </c>
      <c r="PQD366" s="1648">
        <v>1003687</v>
      </c>
      <c r="PQE366" s="635">
        <v>6373312</v>
      </c>
      <c r="PQF366" s="633">
        <f>SUM(PPS366:PQD366)</f>
        <v>6373312</v>
      </c>
      <c r="PQG366" s="919" t="s">
        <v>1839</v>
      </c>
      <c r="PQH366" s="1643" t="s">
        <v>1840</v>
      </c>
      <c r="PQI366" s="1648">
        <v>603740</v>
      </c>
      <c r="PQJ366" s="1648">
        <v>515055</v>
      </c>
      <c r="PQK366" s="1648">
        <v>530271</v>
      </c>
      <c r="PQL366" s="1648">
        <v>212051</v>
      </c>
      <c r="PQM366" s="1648">
        <v>131147</v>
      </c>
      <c r="PQN366" s="1648">
        <v>101889</v>
      </c>
      <c r="PQO366" s="1648">
        <v>453326</v>
      </c>
      <c r="PQP366" s="1648">
        <v>298813</v>
      </c>
      <c r="PQQ366" s="1648">
        <v>605808</v>
      </c>
      <c r="PQR366" s="1648">
        <v>847471</v>
      </c>
      <c r="PQS366" s="1648">
        <v>1070054</v>
      </c>
      <c r="PQT366" s="1648">
        <v>1003687</v>
      </c>
      <c r="PQU366" s="635">
        <v>6373312</v>
      </c>
      <c r="PQV366" s="633">
        <f>SUM(PQI366:PQT366)</f>
        <v>6373312</v>
      </c>
      <c r="PQW366" s="919" t="s">
        <v>1839</v>
      </c>
      <c r="PQX366" s="1643" t="s">
        <v>1840</v>
      </c>
      <c r="PQY366" s="1648">
        <v>603740</v>
      </c>
      <c r="PQZ366" s="1648">
        <v>515055</v>
      </c>
      <c r="PRA366" s="1648">
        <v>530271</v>
      </c>
      <c r="PRB366" s="1648">
        <v>212051</v>
      </c>
      <c r="PRC366" s="1648">
        <v>131147</v>
      </c>
      <c r="PRD366" s="1648">
        <v>101889</v>
      </c>
      <c r="PRE366" s="1648">
        <v>453326</v>
      </c>
      <c r="PRF366" s="1648">
        <v>298813</v>
      </c>
      <c r="PRG366" s="1648">
        <v>605808</v>
      </c>
      <c r="PRH366" s="1648">
        <v>847471</v>
      </c>
      <c r="PRI366" s="1648">
        <v>1070054</v>
      </c>
      <c r="PRJ366" s="1648">
        <v>1003687</v>
      </c>
      <c r="PRK366" s="635">
        <v>6373312</v>
      </c>
      <c r="PRL366" s="633">
        <f>SUM(PQY366:PRJ366)</f>
        <v>6373312</v>
      </c>
      <c r="PRM366" s="919" t="s">
        <v>1839</v>
      </c>
      <c r="PRN366" s="1643" t="s">
        <v>1840</v>
      </c>
      <c r="PRO366" s="1648">
        <v>603740</v>
      </c>
      <c r="PRP366" s="1648">
        <v>515055</v>
      </c>
      <c r="PRQ366" s="1648">
        <v>530271</v>
      </c>
      <c r="PRR366" s="1648">
        <v>212051</v>
      </c>
      <c r="PRS366" s="1648">
        <v>131147</v>
      </c>
      <c r="PRT366" s="1648">
        <v>101889</v>
      </c>
      <c r="PRU366" s="1648">
        <v>453326</v>
      </c>
      <c r="PRV366" s="1648">
        <v>298813</v>
      </c>
      <c r="PRW366" s="1648">
        <v>605808</v>
      </c>
      <c r="PRX366" s="1648">
        <v>847471</v>
      </c>
      <c r="PRY366" s="1648">
        <v>1070054</v>
      </c>
      <c r="PRZ366" s="1648">
        <v>1003687</v>
      </c>
      <c r="PSA366" s="635">
        <v>6373312</v>
      </c>
      <c r="PSB366" s="633">
        <f>SUM(PRO366:PRZ366)</f>
        <v>6373312</v>
      </c>
      <c r="PSC366" s="919" t="s">
        <v>1839</v>
      </c>
      <c r="PSD366" s="1643" t="s">
        <v>1840</v>
      </c>
      <c r="PSE366" s="1648">
        <v>603740</v>
      </c>
      <c r="PSF366" s="1648">
        <v>515055</v>
      </c>
      <c r="PSG366" s="1648">
        <v>530271</v>
      </c>
      <c r="PSH366" s="1648">
        <v>212051</v>
      </c>
      <c r="PSI366" s="1648">
        <v>131147</v>
      </c>
      <c r="PSJ366" s="1648">
        <v>101889</v>
      </c>
      <c r="PSK366" s="1648">
        <v>453326</v>
      </c>
      <c r="PSL366" s="1648">
        <v>298813</v>
      </c>
      <c r="PSM366" s="1648">
        <v>605808</v>
      </c>
      <c r="PSN366" s="1648">
        <v>847471</v>
      </c>
      <c r="PSO366" s="1648">
        <v>1070054</v>
      </c>
      <c r="PSP366" s="1648">
        <v>1003687</v>
      </c>
      <c r="PSQ366" s="635">
        <v>6373312</v>
      </c>
      <c r="PSR366" s="633">
        <f>SUM(PSE366:PSP366)</f>
        <v>6373312</v>
      </c>
      <c r="PSS366" s="919" t="s">
        <v>1839</v>
      </c>
      <c r="PST366" s="1643" t="s">
        <v>1840</v>
      </c>
      <c r="PSU366" s="1648">
        <v>603740</v>
      </c>
      <c r="PSV366" s="1648">
        <v>515055</v>
      </c>
      <c r="PSW366" s="1648">
        <v>530271</v>
      </c>
      <c r="PSX366" s="1648">
        <v>212051</v>
      </c>
      <c r="PSY366" s="1648">
        <v>131147</v>
      </c>
      <c r="PSZ366" s="1648">
        <v>101889</v>
      </c>
      <c r="PTA366" s="1648">
        <v>453326</v>
      </c>
      <c r="PTB366" s="1648">
        <v>298813</v>
      </c>
      <c r="PTC366" s="1648">
        <v>605808</v>
      </c>
      <c r="PTD366" s="1648">
        <v>847471</v>
      </c>
      <c r="PTE366" s="1648">
        <v>1070054</v>
      </c>
      <c r="PTF366" s="1648">
        <v>1003687</v>
      </c>
      <c r="PTG366" s="635">
        <v>6373312</v>
      </c>
      <c r="PTH366" s="633">
        <f>SUM(PSU366:PTF366)</f>
        <v>6373312</v>
      </c>
      <c r="PTI366" s="919" t="s">
        <v>1839</v>
      </c>
      <c r="PTJ366" s="1643" t="s">
        <v>1840</v>
      </c>
      <c r="PTK366" s="1648">
        <v>603740</v>
      </c>
      <c r="PTL366" s="1648">
        <v>515055</v>
      </c>
      <c r="PTM366" s="1648">
        <v>530271</v>
      </c>
      <c r="PTN366" s="1648">
        <v>212051</v>
      </c>
      <c r="PTO366" s="1648">
        <v>131147</v>
      </c>
      <c r="PTP366" s="1648">
        <v>101889</v>
      </c>
      <c r="PTQ366" s="1648">
        <v>453326</v>
      </c>
      <c r="PTR366" s="1648">
        <v>298813</v>
      </c>
      <c r="PTS366" s="1648">
        <v>605808</v>
      </c>
      <c r="PTT366" s="1648">
        <v>847471</v>
      </c>
      <c r="PTU366" s="1648">
        <v>1070054</v>
      </c>
      <c r="PTV366" s="1648">
        <v>1003687</v>
      </c>
      <c r="PTW366" s="635">
        <v>6373312</v>
      </c>
      <c r="PTX366" s="633">
        <f>SUM(PTK366:PTV366)</f>
        <v>6373312</v>
      </c>
      <c r="PTY366" s="919" t="s">
        <v>1839</v>
      </c>
      <c r="PTZ366" s="1643" t="s">
        <v>1840</v>
      </c>
      <c r="PUA366" s="1648">
        <v>603740</v>
      </c>
      <c r="PUB366" s="1648">
        <v>515055</v>
      </c>
      <c r="PUC366" s="1648">
        <v>530271</v>
      </c>
      <c r="PUD366" s="1648">
        <v>212051</v>
      </c>
      <c r="PUE366" s="1648">
        <v>131147</v>
      </c>
      <c r="PUF366" s="1648">
        <v>101889</v>
      </c>
      <c r="PUG366" s="1648">
        <v>453326</v>
      </c>
      <c r="PUH366" s="1648">
        <v>298813</v>
      </c>
      <c r="PUI366" s="1648">
        <v>605808</v>
      </c>
      <c r="PUJ366" s="1648">
        <v>847471</v>
      </c>
      <c r="PUK366" s="1648">
        <v>1070054</v>
      </c>
      <c r="PUL366" s="1648">
        <v>1003687</v>
      </c>
      <c r="PUM366" s="635">
        <v>6373312</v>
      </c>
      <c r="PUN366" s="633">
        <f>SUM(PUA366:PUL366)</f>
        <v>6373312</v>
      </c>
      <c r="PUO366" s="919" t="s">
        <v>1839</v>
      </c>
      <c r="PUP366" s="1643" t="s">
        <v>1840</v>
      </c>
      <c r="PUQ366" s="1648">
        <v>603740</v>
      </c>
      <c r="PUR366" s="1648">
        <v>515055</v>
      </c>
      <c r="PUS366" s="1648">
        <v>530271</v>
      </c>
      <c r="PUT366" s="1648">
        <v>212051</v>
      </c>
      <c r="PUU366" s="1648">
        <v>131147</v>
      </c>
      <c r="PUV366" s="1648">
        <v>101889</v>
      </c>
      <c r="PUW366" s="1648">
        <v>453326</v>
      </c>
      <c r="PUX366" s="1648">
        <v>298813</v>
      </c>
      <c r="PUY366" s="1648">
        <v>605808</v>
      </c>
      <c r="PUZ366" s="1648">
        <v>847471</v>
      </c>
      <c r="PVA366" s="1648">
        <v>1070054</v>
      </c>
      <c r="PVB366" s="1648">
        <v>1003687</v>
      </c>
      <c r="PVC366" s="635">
        <v>6373312</v>
      </c>
      <c r="PVD366" s="633">
        <f>SUM(PUQ366:PVB366)</f>
        <v>6373312</v>
      </c>
      <c r="PVE366" s="919" t="s">
        <v>1839</v>
      </c>
      <c r="PVF366" s="1643" t="s">
        <v>1840</v>
      </c>
      <c r="PVG366" s="1648">
        <v>603740</v>
      </c>
      <c r="PVH366" s="1648">
        <v>515055</v>
      </c>
      <c r="PVI366" s="1648">
        <v>530271</v>
      </c>
      <c r="PVJ366" s="1648">
        <v>212051</v>
      </c>
      <c r="PVK366" s="1648">
        <v>131147</v>
      </c>
      <c r="PVL366" s="1648">
        <v>101889</v>
      </c>
      <c r="PVM366" s="1648">
        <v>453326</v>
      </c>
      <c r="PVN366" s="1648">
        <v>298813</v>
      </c>
      <c r="PVO366" s="1648">
        <v>605808</v>
      </c>
      <c r="PVP366" s="1648">
        <v>847471</v>
      </c>
      <c r="PVQ366" s="1648">
        <v>1070054</v>
      </c>
      <c r="PVR366" s="1648">
        <v>1003687</v>
      </c>
      <c r="PVS366" s="635">
        <v>6373312</v>
      </c>
      <c r="PVT366" s="633">
        <f>SUM(PVG366:PVR366)</f>
        <v>6373312</v>
      </c>
      <c r="PVU366" s="919" t="s">
        <v>1839</v>
      </c>
      <c r="PVV366" s="1643" t="s">
        <v>1840</v>
      </c>
      <c r="PVW366" s="1648">
        <v>603740</v>
      </c>
      <c r="PVX366" s="1648">
        <v>515055</v>
      </c>
      <c r="PVY366" s="1648">
        <v>530271</v>
      </c>
      <c r="PVZ366" s="1648">
        <v>212051</v>
      </c>
      <c r="PWA366" s="1648">
        <v>131147</v>
      </c>
      <c r="PWB366" s="1648">
        <v>101889</v>
      </c>
      <c r="PWC366" s="1648">
        <v>453326</v>
      </c>
      <c r="PWD366" s="1648">
        <v>298813</v>
      </c>
      <c r="PWE366" s="1648">
        <v>605808</v>
      </c>
      <c r="PWF366" s="1648">
        <v>847471</v>
      </c>
      <c r="PWG366" s="1648">
        <v>1070054</v>
      </c>
      <c r="PWH366" s="1648">
        <v>1003687</v>
      </c>
      <c r="PWI366" s="635">
        <v>6373312</v>
      </c>
      <c r="PWJ366" s="633">
        <f>SUM(PVW366:PWH366)</f>
        <v>6373312</v>
      </c>
      <c r="PWK366" s="919" t="s">
        <v>1839</v>
      </c>
      <c r="PWL366" s="1643" t="s">
        <v>1840</v>
      </c>
      <c r="PWM366" s="1648">
        <v>603740</v>
      </c>
      <c r="PWN366" s="1648">
        <v>515055</v>
      </c>
      <c r="PWO366" s="1648">
        <v>530271</v>
      </c>
      <c r="PWP366" s="1648">
        <v>212051</v>
      </c>
      <c r="PWQ366" s="1648">
        <v>131147</v>
      </c>
      <c r="PWR366" s="1648">
        <v>101889</v>
      </c>
      <c r="PWS366" s="1648">
        <v>453326</v>
      </c>
      <c r="PWT366" s="1648">
        <v>298813</v>
      </c>
      <c r="PWU366" s="1648">
        <v>605808</v>
      </c>
      <c r="PWV366" s="1648">
        <v>847471</v>
      </c>
      <c r="PWW366" s="1648">
        <v>1070054</v>
      </c>
      <c r="PWX366" s="1648">
        <v>1003687</v>
      </c>
      <c r="PWY366" s="635">
        <v>6373312</v>
      </c>
      <c r="PWZ366" s="633">
        <f>SUM(PWM366:PWX366)</f>
        <v>6373312</v>
      </c>
      <c r="PXA366" s="919" t="s">
        <v>1839</v>
      </c>
      <c r="PXB366" s="1643" t="s">
        <v>1840</v>
      </c>
      <c r="PXC366" s="1648">
        <v>603740</v>
      </c>
      <c r="PXD366" s="1648">
        <v>515055</v>
      </c>
      <c r="PXE366" s="1648">
        <v>530271</v>
      </c>
      <c r="PXF366" s="1648">
        <v>212051</v>
      </c>
      <c r="PXG366" s="1648">
        <v>131147</v>
      </c>
      <c r="PXH366" s="1648">
        <v>101889</v>
      </c>
      <c r="PXI366" s="1648">
        <v>453326</v>
      </c>
      <c r="PXJ366" s="1648">
        <v>298813</v>
      </c>
      <c r="PXK366" s="1648">
        <v>605808</v>
      </c>
      <c r="PXL366" s="1648">
        <v>847471</v>
      </c>
      <c r="PXM366" s="1648">
        <v>1070054</v>
      </c>
      <c r="PXN366" s="1648">
        <v>1003687</v>
      </c>
      <c r="PXO366" s="635">
        <v>6373312</v>
      </c>
      <c r="PXP366" s="633">
        <f>SUM(PXC366:PXN366)</f>
        <v>6373312</v>
      </c>
      <c r="PXQ366" s="919" t="s">
        <v>1839</v>
      </c>
      <c r="PXR366" s="1643" t="s">
        <v>1840</v>
      </c>
      <c r="PXS366" s="1648">
        <v>603740</v>
      </c>
      <c r="PXT366" s="1648">
        <v>515055</v>
      </c>
      <c r="PXU366" s="1648">
        <v>530271</v>
      </c>
      <c r="PXV366" s="1648">
        <v>212051</v>
      </c>
      <c r="PXW366" s="1648">
        <v>131147</v>
      </c>
      <c r="PXX366" s="1648">
        <v>101889</v>
      </c>
      <c r="PXY366" s="1648">
        <v>453326</v>
      </c>
      <c r="PXZ366" s="1648">
        <v>298813</v>
      </c>
      <c r="PYA366" s="1648">
        <v>605808</v>
      </c>
      <c r="PYB366" s="1648">
        <v>847471</v>
      </c>
      <c r="PYC366" s="1648">
        <v>1070054</v>
      </c>
      <c r="PYD366" s="1648">
        <v>1003687</v>
      </c>
      <c r="PYE366" s="635">
        <v>6373312</v>
      </c>
      <c r="PYF366" s="633">
        <f>SUM(PXS366:PYD366)</f>
        <v>6373312</v>
      </c>
      <c r="PYG366" s="919" t="s">
        <v>1839</v>
      </c>
      <c r="PYH366" s="1643" t="s">
        <v>1840</v>
      </c>
      <c r="PYI366" s="1648">
        <v>603740</v>
      </c>
      <c r="PYJ366" s="1648">
        <v>515055</v>
      </c>
      <c r="PYK366" s="1648">
        <v>530271</v>
      </c>
      <c r="PYL366" s="1648">
        <v>212051</v>
      </c>
      <c r="PYM366" s="1648">
        <v>131147</v>
      </c>
      <c r="PYN366" s="1648">
        <v>101889</v>
      </c>
      <c r="PYO366" s="1648">
        <v>453326</v>
      </c>
      <c r="PYP366" s="1648">
        <v>298813</v>
      </c>
      <c r="PYQ366" s="1648">
        <v>605808</v>
      </c>
      <c r="PYR366" s="1648">
        <v>847471</v>
      </c>
      <c r="PYS366" s="1648">
        <v>1070054</v>
      </c>
      <c r="PYT366" s="1648">
        <v>1003687</v>
      </c>
      <c r="PYU366" s="635">
        <v>6373312</v>
      </c>
      <c r="PYV366" s="633">
        <f>SUM(PYI366:PYT366)</f>
        <v>6373312</v>
      </c>
      <c r="PYW366" s="919" t="s">
        <v>1839</v>
      </c>
      <c r="PYX366" s="1643" t="s">
        <v>1840</v>
      </c>
      <c r="PYY366" s="1648">
        <v>603740</v>
      </c>
      <c r="PYZ366" s="1648">
        <v>515055</v>
      </c>
      <c r="PZA366" s="1648">
        <v>530271</v>
      </c>
      <c r="PZB366" s="1648">
        <v>212051</v>
      </c>
      <c r="PZC366" s="1648">
        <v>131147</v>
      </c>
      <c r="PZD366" s="1648">
        <v>101889</v>
      </c>
      <c r="PZE366" s="1648">
        <v>453326</v>
      </c>
      <c r="PZF366" s="1648">
        <v>298813</v>
      </c>
      <c r="PZG366" s="1648">
        <v>605808</v>
      </c>
      <c r="PZH366" s="1648">
        <v>847471</v>
      </c>
      <c r="PZI366" s="1648">
        <v>1070054</v>
      </c>
      <c r="PZJ366" s="1648">
        <v>1003687</v>
      </c>
      <c r="PZK366" s="635">
        <v>6373312</v>
      </c>
      <c r="PZL366" s="633">
        <f>SUM(PYY366:PZJ366)</f>
        <v>6373312</v>
      </c>
      <c r="PZM366" s="919" t="s">
        <v>1839</v>
      </c>
      <c r="PZN366" s="1643" t="s">
        <v>1840</v>
      </c>
      <c r="PZO366" s="1648">
        <v>603740</v>
      </c>
      <c r="PZP366" s="1648">
        <v>515055</v>
      </c>
      <c r="PZQ366" s="1648">
        <v>530271</v>
      </c>
      <c r="PZR366" s="1648">
        <v>212051</v>
      </c>
      <c r="PZS366" s="1648">
        <v>131147</v>
      </c>
      <c r="PZT366" s="1648">
        <v>101889</v>
      </c>
      <c r="PZU366" s="1648">
        <v>453326</v>
      </c>
      <c r="PZV366" s="1648">
        <v>298813</v>
      </c>
      <c r="PZW366" s="1648">
        <v>605808</v>
      </c>
      <c r="PZX366" s="1648">
        <v>847471</v>
      </c>
      <c r="PZY366" s="1648">
        <v>1070054</v>
      </c>
      <c r="PZZ366" s="1648">
        <v>1003687</v>
      </c>
      <c r="QAA366" s="635">
        <v>6373312</v>
      </c>
      <c r="QAB366" s="633">
        <f>SUM(PZO366:PZZ366)</f>
        <v>6373312</v>
      </c>
      <c r="QAC366" s="919" t="s">
        <v>1839</v>
      </c>
      <c r="QAD366" s="1643" t="s">
        <v>1840</v>
      </c>
      <c r="QAE366" s="1648">
        <v>603740</v>
      </c>
      <c r="QAF366" s="1648">
        <v>515055</v>
      </c>
      <c r="QAG366" s="1648">
        <v>530271</v>
      </c>
      <c r="QAH366" s="1648">
        <v>212051</v>
      </c>
      <c r="QAI366" s="1648">
        <v>131147</v>
      </c>
      <c r="QAJ366" s="1648">
        <v>101889</v>
      </c>
      <c r="QAK366" s="1648">
        <v>453326</v>
      </c>
      <c r="QAL366" s="1648">
        <v>298813</v>
      </c>
      <c r="QAM366" s="1648">
        <v>605808</v>
      </c>
      <c r="QAN366" s="1648">
        <v>847471</v>
      </c>
      <c r="QAO366" s="1648">
        <v>1070054</v>
      </c>
      <c r="QAP366" s="1648">
        <v>1003687</v>
      </c>
      <c r="QAQ366" s="635">
        <v>6373312</v>
      </c>
      <c r="QAR366" s="633">
        <f>SUM(QAE366:QAP366)</f>
        <v>6373312</v>
      </c>
      <c r="QAS366" s="919" t="s">
        <v>1839</v>
      </c>
      <c r="QAT366" s="1643" t="s">
        <v>1840</v>
      </c>
      <c r="QAU366" s="1648">
        <v>603740</v>
      </c>
      <c r="QAV366" s="1648">
        <v>515055</v>
      </c>
      <c r="QAW366" s="1648">
        <v>530271</v>
      </c>
      <c r="QAX366" s="1648">
        <v>212051</v>
      </c>
      <c r="QAY366" s="1648">
        <v>131147</v>
      </c>
      <c r="QAZ366" s="1648">
        <v>101889</v>
      </c>
      <c r="QBA366" s="1648">
        <v>453326</v>
      </c>
      <c r="QBB366" s="1648">
        <v>298813</v>
      </c>
      <c r="QBC366" s="1648">
        <v>605808</v>
      </c>
      <c r="QBD366" s="1648">
        <v>847471</v>
      </c>
      <c r="QBE366" s="1648">
        <v>1070054</v>
      </c>
      <c r="QBF366" s="1648">
        <v>1003687</v>
      </c>
      <c r="QBG366" s="635">
        <v>6373312</v>
      </c>
      <c r="QBH366" s="633">
        <f>SUM(QAU366:QBF366)</f>
        <v>6373312</v>
      </c>
      <c r="QBI366" s="919" t="s">
        <v>1839</v>
      </c>
      <c r="QBJ366" s="1643" t="s">
        <v>1840</v>
      </c>
      <c r="QBK366" s="1648">
        <v>603740</v>
      </c>
      <c r="QBL366" s="1648">
        <v>515055</v>
      </c>
      <c r="QBM366" s="1648">
        <v>530271</v>
      </c>
      <c r="QBN366" s="1648">
        <v>212051</v>
      </c>
      <c r="QBO366" s="1648">
        <v>131147</v>
      </c>
      <c r="QBP366" s="1648">
        <v>101889</v>
      </c>
      <c r="QBQ366" s="1648">
        <v>453326</v>
      </c>
      <c r="QBR366" s="1648">
        <v>298813</v>
      </c>
      <c r="QBS366" s="1648">
        <v>605808</v>
      </c>
      <c r="QBT366" s="1648">
        <v>847471</v>
      </c>
      <c r="QBU366" s="1648">
        <v>1070054</v>
      </c>
      <c r="QBV366" s="1648">
        <v>1003687</v>
      </c>
      <c r="QBW366" s="635">
        <v>6373312</v>
      </c>
      <c r="QBX366" s="633">
        <f>SUM(QBK366:QBV366)</f>
        <v>6373312</v>
      </c>
      <c r="QBY366" s="919" t="s">
        <v>1839</v>
      </c>
      <c r="QBZ366" s="1643" t="s">
        <v>1840</v>
      </c>
      <c r="QCA366" s="1648">
        <v>603740</v>
      </c>
      <c r="QCB366" s="1648">
        <v>515055</v>
      </c>
      <c r="QCC366" s="1648">
        <v>530271</v>
      </c>
      <c r="QCD366" s="1648">
        <v>212051</v>
      </c>
      <c r="QCE366" s="1648">
        <v>131147</v>
      </c>
      <c r="QCF366" s="1648">
        <v>101889</v>
      </c>
      <c r="QCG366" s="1648">
        <v>453326</v>
      </c>
      <c r="QCH366" s="1648">
        <v>298813</v>
      </c>
      <c r="QCI366" s="1648">
        <v>605808</v>
      </c>
      <c r="QCJ366" s="1648">
        <v>847471</v>
      </c>
      <c r="QCK366" s="1648">
        <v>1070054</v>
      </c>
      <c r="QCL366" s="1648">
        <v>1003687</v>
      </c>
      <c r="QCM366" s="635">
        <v>6373312</v>
      </c>
      <c r="QCN366" s="633">
        <f>SUM(QCA366:QCL366)</f>
        <v>6373312</v>
      </c>
      <c r="QCO366" s="919" t="s">
        <v>1839</v>
      </c>
      <c r="QCP366" s="1643" t="s">
        <v>1840</v>
      </c>
      <c r="QCQ366" s="1648">
        <v>603740</v>
      </c>
      <c r="QCR366" s="1648">
        <v>515055</v>
      </c>
      <c r="QCS366" s="1648">
        <v>530271</v>
      </c>
      <c r="QCT366" s="1648">
        <v>212051</v>
      </c>
      <c r="QCU366" s="1648">
        <v>131147</v>
      </c>
      <c r="QCV366" s="1648">
        <v>101889</v>
      </c>
      <c r="QCW366" s="1648">
        <v>453326</v>
      </c>
      <c r="QCX366" s="1648">
        <v>298813</v>
      </c>
      <c r="QCY366" s="1648">
        <v>605808</v>
      </c>
      <c r="QCZ366" s="1648">
        <v>847471</v>
      </c>
      <c r="QDA366" s="1648">
        <v>1070054</v>
      </c>
      <c r="QDB366" s="1648">
        <v>1003687</v>
      </c>
      <c r="QDC366" s="635">
        <v>6373312</v>
      </c>
      <c r="QDD366" s="633">
        <f>SUM(QCQ366:QDB366)</f>
        <v>6373312</v>
      </c>
      <c r="QDE366" s="919" t="s">
        <v>1839</v>
      </c>
      <c r="QDF366" s="1643" t="s">
        <v>1840</v>
      </c>
      <c r="QDG366" s="1648">
        <v>603740</v>
      </c>
      <c r="QDH366" s="1648">
        <v>515055</v>
      </c>
      <c r="QDI366" s="1648">
        <v>530271</v>
      </c>
      <c r="QDJ366" s="1648">
        <v>212051</v>
      </c>
      <c r="QDK366" s="1648">
        <v>131147</v>
      </c>
      <c r="QDL366" s="1648">
        <v>101889</v>
      </c>
      <c r="QDM366" s="1648">
        <v>453326</v>
      </c>
      <c r="QDN366" s="1648">
        <v>298813</v>
      </c>
      <c r="QDO366" s="1648">
        <v>605808</v>
      </c>
      <c r="QDP366" s="1648">
        <v>847471</v>
      </c>
      <c r="QDQ366" s="1648">
        <v>1070054</v>
      </c>
      <c r="QDR366" s="1648">
        <v>1003687</v>
      </c>
      <c r="QDS366" s="635">
        <v>6373312</v>
      </c>
      <c r="QDT366" s="633">
        <f>SUM(QDG366:QDR366)</f>
        <v>6373312</v>
      </c>
      <c r="QDU366" s="919" t="s">
        <v>1839</v>
      </c>
      <c r="QDV366" s="1643" t="s">
        <v>1840</v>
      </c>
      <c r="QDW366" s="1648">
        <v>603740</v>
      </c>
      <c r="QDX366" s="1648">
        <v>515055</v>
      </c>
      <c r="QDY366" s="1648">
        <v>530271</v>
      </c>
      <c r="QDZ366" s="1648">
        <v>212051</v>
      </c>
      <c r="QEA366" s="1648">
        <v>131147</v>
      </c>
      <c r="QEB366" s="1648">
        <v>101889</v>
      </c>
      <c r="QEC366" s="1648">
        <v>453326</v>
      </c>
      <c r="QED366" s="1648">
        <v>298813</v>
      </c>
      <c r="QEE366" s="1648">
        <v>605808</v>
      </c>
      <c r="QEF366" s="1648">
        <v>847471</v>
      </c>
      <c r="QEG366" s="1648">
        <v>1070054</v>
      </c>
      <c r="QEH366" s="1648">
        <v>1003687</v>
      </c>
      <c r="QEI366" s="635">
        <v>6373312</v>
      </c>
      <c r="QEJ366" s="633">
        <f>SUM(QDW366:QEH366)</f>
        <v>6373312</v>
      </c>
      <c r="QEK366" s="919" t="s">
        <v>1839</v>
      </c>
      <c r="QEL366" s="1643" t="s">
        <v>1840</v>
      </c>
      <c r="QEM366" s="1648">
        <v>603740</v>
      </c>
      <c r="QEN366" s="1648">
        <v>515055</v>
      </c>
      <c r="QEO366" s="1648">
        <v>530271</v>
      </c>
      <c r="QEP366" s="1648">
        <v>212051</v>
      </c>
      <c r="QEQ366" s="1648">
        <v>131147</v>
      </c>
      <c r="QER366" s="1648">
        <v>101889</v>
      </c>
      <c r="QES366" s="1648">
        <v>453326</v>
      </c>
      <c r="QET366" s="1648">
        <v>298813</v>
      </c>
      <c r="QEU366" s="1648">
        <v>605808</v>
      </c>
      <c r="QEV366" s="1648">
        <v>847471</v>
      </c>
      <c r="QEW366" s="1648">
        <v>1070054</v>
      </c>
      <c r="QEX366" s="1648">
        <v>1003687</v>
      </c>
      <c r="QEY366" s="635">
        <v>6373312</v>
      </c>
      <c r="QEZ366" s="633">
        <f>SUM(QEM366:QEX366)</f>
        <v>6373312</v>
      </c>
      <c r="QFA366" s="919" t="s">
        <v>1839</v>
      </c>
      <c r="QFB366" s="1643" t="s">
        <v>1840</v>
      </c>
      <c r="QFC366" s="1648">
        <v>603740</v>
      </c>
      <c r="QFD366" s="1648">
        <v>515055</v>
      </c>
      <c r="QFE366" s="1648">
        <v>530271</v>
      </c>
      <c r="QFF366" s="1648">
        <v>212051</v>
      </c>
      <c r="QFG366" s="1648">
        <v>131147</v>
      </c>
      <c r="QFH366" s="1648">
        <v>101889</v>
      </c>
      <c r="QFI366" s="1648">
        <v>453326</v>
      </c>
      <c r="QFJ366" s="1648">
        <v>298813</v>
      </c>
      <c r="QFK366" s="1648">
        <v>605808</v>
      </c>
      <c r="QFL366" s="1648">
        <v>847471</v>
      </c>
      <c r="QFM366" s="1648">
        <v>1070054</v>
      </c>
      <c r="QFN366" s="1648">
        <v>1003687</v>
      </c>
      <c r="QFO366" s="635">
        <v>6373312</v>
      </c>
      <c r="QFP366" s="633">
        <f>SUM(QFC366:QFN366)</f>
        <v>6373312</v>
      </c>
      <c r="QFQ366" s="919" t="s">
        <v>1839</v>
      </c>
      <c r="QFR366" s="1643" t="s">
        <v>1840</v>
      </c>
      <c r="QFS366" s="1648">
        <v>603740</v>
      </c>
      <c r="QFT366" s="1648">
        <v>515055</v>
      </c>
      <c r="QFU366" s="1648">
        <v>530271</v>
      </c>
      <c r="QFV366" s="1648">
        <v>212051</v>
      </c>
      <c r="QFW366" s="1648">
        <v>131147</v>
      </c>
      <c r="QFX366" s="1648">
        <v>101889</v>
      </c>
      <c r="QFY366" s="1648">
        <v>453326</v>
      </c>
      <c r="QFZ366" s="1648">
        <v>298813</v>
      </c>
      <c r="QGA366" s="1648">
        <v>605808</v>
      </c>
      <c r="QGB366" s="1648">
        <v>847471</v>
      </c>
      <c r="QGC366" s="1648">
        <v>1070054</v>
      </c>
      <c r="QGD366" s="1648">
        <v>1003687</v>
      </c>
      <c r="QGE366" s="635">
        <v>6373312</v>
      </c>
      <c r="QGF366" s="633">
        <f>SUM(QFS366:QGD366)</f>
        <v>6373312</v>
      </c>
      <c r="QGG366" s="919" t="s">
        <v>1839</v>
      </c>
      <c r="QGH366" s="1643" t="s">
        <v>1840</v>
      </c>
      <c r="QGI366" s="1648">
        <v>603740</v>
      </c>
      <c r="QGJ366" s="1648">
        <v>515055</v>
      </c>
      <c r="QGK366" s="1648">
        <v>530271</v>
      </c>
      <c r="QGL366" s="1648">
        <v>212051</v>
      </c>
      <c r="QGM366" s="1648">
        <v>131147</v>
      </c>
      <c r="QGN366" s="1648">
        <v>101889</v>
      </c>
      <c r="QGO366" s="1648">
        <v>453326</v>
      </c>
      <c r="QGP366" s="1648">
        <v>298813</v>
      </c>
      <c r="QGQ366" s="1648">
        <v>605808</v>
      </c>
      <c r="QGR366" s="1648">
        <v>847471</v>
      </c>
      <c r="QGS366" s="1648">
        <v>1070054</v>
      </c>
      <c r="QGT366" s="1648">
        <v>1003687</v>
      </c>
      <c r="QGU366" s="635">
        <v>6373312</v>
      </c>
      <c r="QGV366" s="633">
        <f>SUM(QGI366:QGT366)</f>
        <v>6373312</v>
      </c>
      <c r="QGW366" s="919" t="s">
        <v>1839</v>
      </c>
      <c r="QGX366" s="1643" t="s">
        <v>1840</v>
      </c>
      <c r="QGY366" s="1648">
        <v>603740</v>
      </c>
      <c r="QGZ366" s="1648">
        <v>515055</v>
      </c>
      <c r="QHA366" s="1648">
        <v>530271</v>
      </c>
      <c r="QHB366" s="1648">
        <v>212051</v>
      </c>
      <c r="QHC366" s="1648">
        <v>131147</v>
      </c>
      <c r="QHD366" s="1648">
        <v>101889</v>
      </c>
      <c r="QHE366" s="1648">
        <v>453326</v>
      </c>
      <c r="QHF366" s="1648">
        <v>298813</v>
      </c>
      <c r="QHG366" s="1648">
        <v>605808</v>
      </c>
      <c r="QHH366" s="1648">
        <v>847471</v>
      </c>
      <c r="QHI366" s="1648">
        <v>1070054</v>
      </c>
      <c r="QHJ366" s="1648">
        <v>1003687</v>
      </c>
      <c r="QHK366" s="635">
        <v>6373312</v>
      </c>
      <c r="QHL366" s="633">
        <f>SUM(QGY366:QHJ366)</f>
        <v>6373312</v>
      </c>
      <c r="QHM366" s="919" t="s">
        <v>1839</v>
      </c>
      <c r="QHN366" s="1643" t="s">
        <v>1840</v>
      </c>
      <c r="QHO366" s="1648">
        <v>603740</v>
      </c>
      <c r="QHP366" s="1648">
        <v>515055</v>
      </c>
      <c r="QHQ366" s="1648">
        <v>530271</v>
      </c>
      <c r="QHR366" s="1648">
        <v>212051</v>
      </c>
      <c r="QHS366" s="1648">
        <v>131147</v>
      </c>
      <c r="QHT366" s="1648">
        <v>101889</v>
      </c>
      <c r="QHU366" s="1648">
        <v>453326</v>
      </c>
      <c r="QHV366" s="1648">
        <v>298813</v>
      </c>
      <c r="QHW366" s="1648">
        <v>605808</v>
      </c>
      <c r="QHX366" s="1648">
        <v>847471</v>
      </c>
      <c r="QHY366" s="1648">
        <v>1070054</v>
      </c>
      <c r="QHZ366" s="1648">
        <v>1003687</v>
      </c>
      <c r="QIA366" s="635">
        <v>6373312</v>
      </c>
      <c r="QIB366" s="633">
        <f>SUM(QHO366:QHZ366)</f>
        <v>6373312</v>
      </c>
      <c r="QIC366" s="919" t="s">
        <v>1839</v>
      </c>
      <c r="QID366" s="1643" t="s">
        <v>1840</v>
      </c>
      <c r="QIE366" s="1648">
        <v>603740</v>
      </c>
      <c r="QIF366" s="1648">
        <v>515055</v>
      </c>
      <c r="QIG366" s="1648">
        <v>530271</v>
      </c>
      <c r="QIH366" s="1648">
        <v>212051</v>
      </c>
      <c r="QII366" s="1648">
        <v>131147</v>
      </c>
      <c r="QIJ366" s="1648">
        <v>101889</v>
      </c>
      <c r="QIK366" s="1648">
        <v>453326</v>
      </c>
      <c r="QIL366" s="1648">
        <v>298813</v>
      </c>
      <c r="QIM366" s="1648">
        <v>605808</v>
      </c>
      <c r="QIN366" s="1648">
        <v>847471</v>
      </c>
      <c r="QIO366" s="1648">
        <v>1070054</v>
      </c>
      <c r="QIP366" s="1648">
        <v>1003687</v>
      </c>
      <c r="QIQ366" s="635">
        <v>6373312</v>
      </c>
      <c r="QIR366" s="633">
        <f>SUM(QIE366:QIP366)</f>
        <v>6373312</v>
      </c>
      <c r="QIS366" s="919" t="s">
        <v>1839</v>
      </c>
      <c r="QIT366" s="1643" t="s">
        <v>1840</v>
      </c>
      <c r="QIU366" s="1648">
        <v>603740</v>
      </c>
      <c r="QIV366" s="1648">
        <v>515055</v>
      </c>
      <c r="QIW366" s="1648">
        <v>530271</v>
      </c>
      <c r="QIX366" s="1648">
        <v>212051</v>
      </c>
      <c r="QIY366" s="1648">
        <v>131147</v>
      </c>
      <c r="QIZ366" s="1648">
        <v>101889</v>
      </c>
      <c r="QJA366" s="1648">
        <v>453326</v>
      </c>
      <c r="QJB366" s="1648">
        <v>298813</v>
      </c>
      <c r="QJC366" s="1648">
        <v>605808</v>
      </c>
      <c r="QJD366" s="1648">
        <v>847471</v>
      </c>
      <c r="QJE366" s="1648">
        <v>1070054</v>
      </c>
      <c r="QJF366" s="1648">
        <v>1003687</v>
      </c>
      <c r="QJG366" s="635">
        <v>6373312</v>
      </c>
      <c r="QJH366" s="633">
        <f>SUM(QIU366:QJF366)</f>
        <v>6373312</v>
      </c>
      <c r="QJI366" s="919" t="s">
        <v>1839</v>
      </c>
      <c r="QJJ366" s="1643" t="s">
        <v>1840</v>
      </c>
      <c r="QJK366" s="1648">
        <v>603740</v>
      </c>
      <c r="QJL366" s="1648">
        <v>515055</v>
      </c>
      <c r="QJM366" s="1648">
        <v>530271</v>
      </c>
      <c r="QJN366" s="1648">
        <v>212051</v>
      </c>
      <c r="QJO366" s="1648">
        <v>131147</v>
      </c>
      <c r="QJP366" s="1648">
        <v>101889</v>
      </c>
      <c r="QJQ366" s="1648">
        <v>453326</v>
      </c>
      <c r="QJR366" s="1648">
        <v>298813</v>
      </c>
      <c r="QJS366" s="1648">
        <v>605808</v>
      </c>
      <c r="QJT366" s="1648">
        <v>847471</v>
      </c>
      <c r="QJU366" s="1648">
        <v>1070054</v>
      </c>
      <c r="QJV366" s="1648">
        <v>1003687</v>
      </c>
      <c r="QJW366" s="635">
        <v>6373312</v>
      </c>
      <c r="QJX366" s="633">
        <f>SUM(QJK366:QJV366)</f>
        <v>6373312</v>
      </c>
      <c r="QJY366" s="919" t="s">
        <v>1839</v>
      </c>
      <c r="QJZ366" s="1643" t="s">
        <v>1840</v>
      </c>
      <c r="QKA366" s="1648">
        <v>603740</v>
      </c>
      <c r="QKB366" s="1648">
        <v>515055</v>
      </c>
      <c r="QKC366" s="1648">
        <v>530271</v>
      </c>
      <c r="QKD366" s="1648">
        <v>212051</v>
      </c>
      <c r="QKE366" s="1648">
        <v>131147</v>
      </c>
      <c r="QKF366" s="1648">
        <v>101889</v>
      </c>
      <c r="QKG366" s="1648">
        <v>453326</v>
      </c>
      <c r="QKH366" s="1648">
        <v>298813</v>
      </c>
      <c r="QKI366" s="1648">
        <v>605808</v>
      </c>
      <c r="QKJ366" s="1648">
        <v>847471</v>
      </c>
      <c r="QKK366" s="1648">
        <v>1070054</v>
      </c>
      <c r="QKL366" s="1648">
        <v>1003687</v>
      </c>
      <c r="QKM366" s="635">
        <v>6373312</v>
      </c>
      <c r="QKN366" s="633">
        <f>SUM(QKA366:QKL366)</f>
        <v>6373312</v>
      </c>
      <c r="QKO366" s="919" t="s">
        <v>1839</v>
      </c>
      <c r="QKP366" s="1643" t="s">
        <v>1840</v>
      </c>
      <c r="QKQ366" s="1648">
        <v>603740</v>
      </c>
      <c r="QKR366" s="1648">
        <v>515055</v>
      </c>
      <c r="QKS366" s="1648">
        <v>530271</v>
      </c>
      <c r="QKT366" s="1648">
        <v>212051</v>
      </c>
      <c r="QKU366" s="1648">
        <v>131147</v>
      </c>
      <c r="QKV366" s="1648">
        <v>101889</v>
      </c>
      <c r="QKW366" s="1648">
        <v>453326</v>
      </c>
      <c r="QKX366" s="1648">
        <v>298813</v>
      </c>
      <c r="QKY366" s="1648">
        <v>605808</v>
      </c>
      <c r="QKZ366" s="1648">
        <v>847471</v>
      </c>
      <c r="QLA366" s="1648">
        <v>1070054</v>
      </c>
      <c r="QLB366" s="1648">
        <v>1003687</v>
      </c>
      <c r="QLC366" s="635">
        <v>6373312</v>
      </c>
      <c r="QLD366" s="633">
        <f>SUM(QKQ366:QLB366)</f>
        <v>6373312</v>
      </c>
      <c r="QLE366" s="919" t="s">
        <v>1839</v>
      </c>
      <c r="QLF366" s="1643" t="s">
        <v>1840</v>
      </c>
      <c r="QLG366" s="1648">
        <v>603740</v>
      </c>
      <c r="QLH366" s="1648">
        <v>515055</v>
      </c>
      <c r="QLI366" s="1648">
        <v>530271</v>
      </c>
      <c r="QLJ366" s="1648">
        <v>212051</v>
      </c>
      <c r="QLK366" s="1648">
        <v>131147</v>
      </c>
      <c r="QLL366" s="1648">
        <v>101889</v>
      </c>
      <c r="QLM366" s="1648">
        <v>453326</v>
      </c>
      <c r="QLN366" s="1648">
        <v>298813</v>
      </c>
      <c r="QLO366" s="1648">
        <v>605808</v>
      </c>
      <c r="QLP366" s="1648">
        <v>847471</v>
      </c>
      <c r="QLQ366" s="1648">
        <v>1070054</v>
      </c>
      <c r="QLR366" s="1648">
        <v>1003687</v>
      </c>
      <c r="QLS366" s="635">
        <v>6373312</v>
      </c>
      <c r="QLT366" s="633">
        <f>SUM(QLG366:QLR366)</f>
        <v>6373312</v>
      </c>
      <c r="QLU366" s="919" t="s">
        <v>1839</v>
      </c>
      <c r="QLV366" s="1643" t="s">
        <v>1840</v>
      </c>
      <c r="QLW366" s="1648">
        <v>603740</v>
      </c>
      <c r="QLX366" s="1648">
        <v>515055</v>
      </c>
      <c r="QLY366" s="1648">
        <v>530271</v>
      </c>
      <c r="QLZ366" s="1648">
        <v>212051</v>
      </c>
      <c r="QMA366" s="1648">
        <v>131147</v>
      </c>
      <c r="QMB366" s="1648">
        <v>101889</v>
      </c>
      <c r="QMC366" s="1648">
        <v>453326</v>
      </c>
      <c r="QMD366" s="1648">
        <v>298813</v>
      </c>
      <c r="QME366" s="1648">
        <v>605808</v>
      </c>
      <c r="QMF366" s="1648">
        <v>847471</v>
      </c>
      <c r="QMG366" s="1648">
        <v>1070054</v>
      </c>
      <c r="QMH366" s="1648">
        <v>1003687</v>
      </c>
      <c r="QMI366" s="635">
        <v>6373312</v>
      </c>
      <c r="QMJ366" s="633">
        <f>SUM(QLW366:QMH366)</f>
        <v>6373312</v>
      </c>
      <c r="QMK366" s="919" t="s">
        <v>1839</v>
      </c>
      <c r="QML366" s="1643" t="s">
        <v>1840</v>
      </c>
      <c r="QMM366" s="1648">
        <v>603740</v>
      </c>
      <c r="QMN366" s="1648">
        <v>515055</v>
      </c>
      <c r="QMO366" s="1648">
        <v>530271</v>
      </c>
      <c r="QMP366" s="1648">
        <v>212051</v>
      </c>
      <c r="QMQ366" s="1648">
        <v>131147</v>
      </c>
      <c r="QMR366" s="1648">
        <v>101889</v>
      </c>
      <c r="QMS366" s="1648">
        <v>453326</v>
      </c>
      <c r="QMT366" s="1648">
        <v>298813</v>
      </c>
      <c r="QMU366" s="1648">
        <v>605808</v>
      </c>
      <c r="QMV366" s="1648">
        <v>847471</v>
      </c>
      <c r="QMW366" s="1648">
        <v>1070054</v>
      </c>
      <c r="QMX366" s="1648">
        <v>1003687</v>
      </c>
      <c r="QMY366" s="635">
        <v>6373312</v>
      </c>
      <c r="QMZ366" s="633">
        <f>SUM(QMM366:QMX366)</f>
        <v>6373312</v>
      </c>
      <c r="QNA366" s="919" t="s">
        <v>1839</v>
      </c>
      <c r="QNB366" s="1643" t="s">
        <v>1840</v>
      </c>
      <c r="QNC366" s="1648">
        <v>603740</v>
      </c>
      <c r="QND366" s="1648">
        <v>515055</v>
      </c>
      <c r="QNE366" s="1648">
        <v>530271</v>
      </c>
      <c r="QNF366" s="1648">
        <v>212051</v>
      </c>
      <c r="QNG366" s="1648">
        <v>131147</v>
      </c>
      <c r="QNH366" s="1648">
        <v>101889</v>
      </c>
      <c r="QNI366" s="1648">
        <v>453326</v>
      </c>
      <c r="QNJ366" s="1648">
        <v>298813</v>
      </c>
      <c r="QNK366" s="1648">
        <v>605808</v>
      </c>
      <c r="QNL366" s="1648">
        <v>847471</v>
      </c>
      <c r="QNM366" s="1648">
        <v>1070054</v>
      </c>
      <c r="QNN366" s="1648">
        <v>1003687</v>
      </c>
      <c r="QNO366" s="635">
        <v>6373312</v>
      </c>
      <c r="QNP366" s="633">
        <f>SUM(QNC366:QNN366)</f>
        <v>6373312</v>
      </c>
      <c r="QNQ366" s="919" t="s">
        <v>1839</v>
      </c>
      <c r="QNR366" s="1643" t="s">
        <v>1840</v>
      </c>
      <c r="QNS366" s="1648">
        <v>603740</v>
      </c>
      <c r="QNT366" s="1648">
        <v>515055</v>
      </c>
      <c r="QNU366" s="1648">
        <v>530271</v>
      </c>
      <c r="QNV366" s="1648">
        <v>212051</v>
      </c>
      <c r="QNW366" s="1648">
        <v>131147</v>
      </c>
      <c r="QNX366" s="1648">
        <v>101889</v>
      </c>
      <c r="QNY366" s="1648">
        <v>453326</v>
      </c>
      <c r="QNZ366" s="1648">
        <v>298813</v>
      </c>
      <c r="QOA366" s="1648">
        <v>605808</v>
      </c>
      <c r="QOB366" s="1648">
        <v>847471</v>
      </c>
      <c r="QOC366" s="1648">
        <v>1070054</v>
      </c>
      <c r="QOD366" s="1648">
        <v>1003687</v>
      </c>
      <c r="QOE366" s="635">
        <v>6373312</v>
      </c>
      <c r="QOF366" s="633">
        <f>SUM(QNS366:QOD366)</f>
        <v>6373312</v>
      </c>
      <c r="QOG366" s="919" t="s">
        <v>1839</v>
      </c>
      <c r="QOH366" s="1643" t="s">
        <v>1840</v>
      </c>
      <c r="QOI366" s="1648">
        <v>603740</v>
      </c>
      <c r="QOJ366" s="1648">
        <v>515055</v>
      </c>
      <c r="QOK366" s="1648">
        <v>530271</v>
      </c>
      <c r="QOL366" s="1648">
        <v>212051</v>
      </c>
      <c r="QOM366" s="1648">
        <v>131147</v>
      </c>
      <c r="QON366" s="1648">
        <v>101889</v>
      </c>
      <c r="QOO366" s="1648">
        <v>453326</v>
      </c>
      <c r="QOP366" s="1648">
        <v>298813</v>
      </c>
      <c r="QOQ366" s="1648">
        <v>605808</v>
      </c>
      <c r="QOR366" s="1648">
        <v>847471</v>
      </c>
      <c r="QOS366" s="1648">
        <v>1070054</v>
      </c>
      <c r="QOT366" s="1648">
        <v>1003687</v>
      </c>
      <c r="QOU366" s="635">
        <v>6373312</v>
      </c>
      <c r="QOV366" s="633">
        <f>SUM(QOI366:QOT366)</f>
        <v>6373312</v>
      </c>
      <c r="QOW366" s="919" t="s">
        <v>1839</v>
      </c>
      <c r="QOX366" s="1643" t="s">
        <v>1840</v>
      </c>
      <c r="QOY366" s="1648">
        <v>603740</v>
      </c>
      <c r="QOZ366" s="1648">
        <v>515055</v>
      </c>
      <c r="QPA366" s="1648">
        <v>530271</v>
      </c>
      <c r="QPB366" s="1648">
        <v>212051</v>
      </c>
      <c r="QPC366" s="1648">
        <v>131147</v>
      </c>
      <c r="QPD366" s="1648">
        <v>101889</v>
      </c>
      <c r="QPE366" s="1648">
        <v>453326</v>
      </c>
      <c r="QPF366" s="1648">
        <v>298813</v>
      </c>
      <c r="QPG366" s="1648">
        <v>605808</v>
      </c>
      <c r="QPH366" s="1648">
        <v>847471</v>
      </c>
      <c r="QPI366" s="1648">
        <v>1070054</v>
      </c>
      <c r="QPJ366" s="1648">
        <v>1003687</v>
      </c>
      <c r="QPK366" s="635">
        <v>6373312</v>
      </c>
      <c r="QPL366" s="633">
        <f>SUM(QOY366:QPJ366)</f>
        <v>6373312</v>
      </c>
      <c r="QPM366" s="919" t="s">
        <v>1839</v>
      </c>
      <c r="QPN366" s="1643" t="s">
        <v>1840</v>
      </c>
      <c r="QPO366" s="1648">
        <v>603740</v>
      </c>
      <c r="QPP366" s="1648">
        <v>515055</v>
      </c>
      <c r="QPQ366" s="1648">
        <v>530271</v>
      </c>
      <c r="QPR366" s="1648">
        <v>212051</v>
      </c>
      <c r="QPS366" s="1648">
        <v>131147</v>
      </c>
      <c r="QPT366" s="1648">
        <v>101889</v>
      </c>
      <c r="QPU366" s="1648">
        <v>453326</v>
      </c>
      <c r="QPV366" s="1648">
        <v>298813</v>
      </c>
      <c r="QPW366" s="1648">
        <v>605808</v>
      </c>
      <c r="QPX366" s="1648">
        <v>847471</v>
      </c>
      <c r="QPY366" s="1648">
        <v>1070054</v>
      </c>
      <c r="QPZ366" s="1648">
        <v>1003687</v>
      </c>
      <c r="QQA366" s="635">
        <v>6373312</v>
      </c>
      <c r="QQB366" s="633">
        <f>SUM(QPO366:QPZ366)</f>
        <v>6373312</v>
      </c>
      <c r="QQC366" s="919" t="s">
        <v>1839</v>
      </c>
      <c r="QQD366" s="1643" t="s">
        <v>1840</v>
      </c>
      <c r="QQE366" s="1648">
        <v>603740</v>
      </c>
      <c r="QQF366" s="1648">
        <v>515055</v>
      </c>
      <c r="QQG366" s="1648">
        <v>530271</v>
      </c>
      <c r="QQH366" s="1648">
        <v>212051</v>
      </c>
      <c r="QQI366" s="1648">
        <v>131147</v>
      </c>
      <c r="QQJ366" s="1648">
        <v>101889</v>
      </c>
      <c r="QQK366" s="1648">
        <v>453326</v>
      </c>
      <c r="QQL366" s="1648">
        <v>298813</v>
      </c>
      <c r="QQM366" s="1648">
        <v>605808</v>
      </c>
      <c r="QQN366" s="1648">
        <v>847471</v>
      </c>
      <c r="QQO366" s="1648">
        <v>1070054</v>
      </c>
      <c r="QQP366" s="1648">
        <v>1003687</v>
      </c>
      <c r="QQQ366" s="635">
        <v>6373312</v>
      </c>
      <c r="QQR366" s="633">
        <f>SUM(QQE366:QQP366)</f>
        <v>6373312</v>
      </c>
      <c r="QQS366" s="919" t="s">
        <v>1839</v>
      </c>
      <c r="QQT366" s="1643" t="s">
        <v>1840</v>
      </c>
      <c r="QQU366" s="1648">
        <v>603740</v>
      </c>
      <c r="QQV366" s="1648">
        <v>515055</v>
      </c>
      <c r="QQW366" s="1648">
        <v>530271</v>
      </c>
      <c r="QQX366" s="1648">
        <v>212051</v>
      </c>
      <c r="QQY366" s="1648">
        <v>131147</v>
      </c>
      <c r="QQZ366" s="1648">
        <v>101889</v>
      </c>
      <c r="QRA366" s="1648">
        <v>453326</v>
      </c>
      <c r="QRB366" s="1648">
        <v>298813</v>
      </c>
      <c r="QRC366" s="1648">
        <v>605808</v>
      </c>
      <c r="QRD366" s="1648">
        <v>847471</v>
      </c>
      <c r="QRE366" s="1648">
        <v>1070054</v>
      </c>
      <c r="QRF366" s="1648">
        <v>1003687</v>
      </c>
      <c r="QRG366" s="635">
        <v>6373312</v>
      </c>
      <c r="QRH366" s="633">
        <f>SUM(QQU366:QRF366)</f>
        <v>6373312</v>
      </c>
      <c r="QRI366" s="919" t="s">
        <v>1839</v>
      </c>
      <c r="QRJ366" s="1643" t="s">
        <v>1840</v>
      </c>
      <c r="QRK366" s="1648">
        <v>603740</v>
      </c>
      <c r="QRL366" s="1648">
        <v>515055</v>
      </c>
      <c r="QRM366" s="1648">
        <v>530271</v>
      </c>
      <c r="QRN366" s="1648">
        <v>212051</v>
      </c>
      <c r="QRO366" s="1648">
        <v>131147</v>
      </c>
      <c r="QRP366" s="1648">
        <v>101889</v>
      </c>
      <c r="QRQ366" s="1648">
        <v>453326</v>
      </c>
      <c r="QRR366" s="1648">
        <v>298813</v>
      </c>
      <c r="QRS366" s="1648">
        <v>605808</v>
      </c>
      <c r="QRT366" s="1648">
        <v>847471</v>
      </c>
      <c r="QRU366" s="1648">
        <v>1070054</v>
      </c>
      <c r="QRV366" s="1648">
        <v>1003687</v>
      </c>
      <c r="QRW366" s="635">
        <v>6373312</v>
      </c>
      <c r="QRX366" s="633">
        <f>SUM(QRK366:QRV366)</f>
        <v>6373312</v>
      </c>
      <c r="QRY366" s="919" t="s">
        <v>1839</v>
      </c>
      <c r="QRZ366" s="1643" t="s">
        <v>1840</v>
      </c>
      <c r="QSA366" s="1648">
        <v>603740</v>
      </c>
      <c r="QSB366" s="1648">
        <v>515055</v>
      </c>
      <c r="QSC366" s="1648">
        <v>530271</v>
      </c>
      <c r="QSD366" s="1648">
        <v>212051</v>
      </c>
      <c r="QSE366" s="1648">
        <v>131147</v>
      </c>
      <c r="QSF366" s="1648">
        <v>101889</v>
      </c>
      <c r="QSG366" s="1648">
        <v>453326</v>
      </c>
      <c r="QSH366" s="1648">
        <v>298813</v>
      </c>
      <c r="QSI366" s="1648">
        <v>605808</v>
      </c>
      <c r="QSJ366" s="1648">
        <v>847471</v>
      </c>
      <c r="QSK366" s="1648">
        <v>1070054</v>
      </c>
      <c r="QSL366" s="1648">
        <v>1003687</v>
      </c>
      <c r="QSM366" s="635">
        <v>6373312</v>
      </c>
      <c r="QSN366" s="633">
        <f>SUM(QSA366:QSL366)</f>
        <v>6373312</v>
      </c>
      <c r="QSO366" s="919" t="s">
        <v>1839</v>
      </c>
      <c r="QSP366" s="1643" t="s">
        <v>1840</v>
      </c>
      <c r="QSQ366" s="1648">
        <v>603740</v>
      </c>
      <c r="QSR366" s="1648">
        <v>515055</v>
      </c>
      <c r="QSS366" s="1648">
        <v>530271</v>
      </c>
      <c r="QST366" s="1648">
        <v>212051</v>
      </c>
      <c r="QSU366" s="1648">
        <v>131147</v>
      </c>
      <c r="QSV366" s="1648">
        <v>101889</v>
      </c>
      <c r="QSW366" s="1648">
        <v>453326</v>
      </c>
      <c r="QSX366" s="1648">
        <v>298813</v>
      </c>
      <c r="QSY366" s="1648">
        <v>605808</v>
      </c>
      <c r="QSZ366" s="1648">
        <v>847471</v>
      </c>
      <c r="QTA366" s="1648">
        <v>1070054</v>
      </c>
      <c r="QTB366" s="1648">
        <v>1003687</v>
      </c>
      <c r="QTC366" s="635">
        <v>6373312</v>
      </c>
      <c r="QTD366" s="633">
        <f>SUM(QSQ366:QTB366)</f>
        <v>6373312</v>
      </c>
      <c r="QTE366" s="919" t="s">
        <v>1839</v>
      </c>
      <c r="QTF366" s="1643" t="s">
        <v>1840</v>
      </c>
      <c r="QTG366" s="1648">
        <v>603740</v>
      </c>
      <c r="QTH366" s="1648">
        <v>515055</v>
      </c>
      <c r="QTI366" s="1648">
        <v>530271</v>
      </c>
      <c r="QTJ366" s="1648">
        <v>212051</v>
      </c>
      <c r="QTK366" s="1648">
        <v>131147</v>
      </c>
      <c r="QTL366" s="1648">
        <v>101889</v>
      </c>
      <c r="QTM366" s="1648">
        <v>453326</v>
      </c>
      <c r="QTN366" s="1648">
        <v>298813</v>
      </c>
      <c r="QTO366" s="1648">
        <v>605808</v>
      </c>
      <c r="QTP366" s="1648">
        <v>847471</v>
      </c>
      <c r="QTQ366" s="1648">
        <v>1070054</v>
      </c>
      <c r="QTR366" s="1648">
        <v>1003687</v>
      </c>
      <c r="QTS366" s="635">
        <v>6373312</v>
      </c>
      <c r="QTT366" s="633">
        <f>SUM(QTG366:QTR366)</f>
        <v>6373312</v>
      </c>
      <c r="QTU366" s="919" t="s">
        <v>1839</v>
      </c>
      <c r="QTV366" s="1643" t="s">
        <v>1840</v>
      </c>
      <c r="QTW366" s="1648">
        <v>603740</v>
      </c>
      <c r="QTX366" s="1648">
        <v>515055</v>
      </c>
      <c r="QTY366" s="1648">
        <v>530271</v>
      </c>
      <c r="QTZ366" s="1648">
        <v>212051</v>
      </c>
      <c r="QUA366" s="1648">
        <v>131147</v>
      </c>
      <c r="QUB366" s="1648">
        <v>101889</v>
      </c>
      <c r="QUC366" s="1648">
        <v>453326</v>
      </c>
      <c r="QUD366" s="1648">
        <v>298813</v>
      </c>
      <c r="QUE366" s="1648">
        <v>605808</v>
      </c>
      <c r="QUF366" s="1648">
        <v>847471</v>
      </c>
      <c r="QUG366" s="1648">
        <v>1070054</v>
      </c>
      <c r="QUH366" s="1648">
        <v>1003687</v>
      </c>
      <c r="QUI366" s="635">
        <v>6373312</v>
      </c>
      <c r="QUJ366" s="633">
        <f>SUM(QTW366:QUH366)</f>
        <v>6373312</v>
      </c>
      <c r="QUK366" s="919" t="s">
        <v>1839</v>
      </c>
      <c r="QUL366" s="1643" t="s">
        <v>1840</v>
      </c>
      <c r="QUM366" s="1648">
        <v>603740</v>
      </c>
      <c r="QUN366" s="1648">
        <v>515055</v>
      </c>
      <c r="QUO366" s="1648">
        <v>530271</v>
      </c>
      <c r="QUP366" s="1648">
        <v>212051</v>
      </c>
      <c r="QUQ366" s="1648">
        <v>131147</v>
      </c>
      <c r="QUR366" s="1648">
        <v>101889</v>
      </c>
      <c r="QUS366" s="1648">
        <v>453326</v>
      </c>
      <c r="QUT366" s="1648">
        <v>298813</v>
      </c>
      <c r="QUU366" s="1648">
        <v>605808</v>
      </c>
      <c r="QUV366" s="1648">
        <v>847471</v>
      </c>
      <c r="QUW366" s="1648">
        <v>1070054</v>
      </c>
      <c r="QUX366" s="1648">
        <v>1003687</v>
      </c>
      <c r="QUY366" s="635">
        <v>6373312</v>
      </c>
      <c r="QUZ366" s="633">
        <f>SUM(QUM366:QUX366)</f>
        <v>6373312</v>
      </c>
      <c r="QVA366" s="919" t="s">
        <v>1839</v>
      </c>
      <c r="QVB366" s="1643" t="s">
        <v>1840</v>
      </c>
      <c r="QVC366" s="1648">
        <v>603740</v>
      </c>
      <c r="QVD366" s="1648">
        <v>515055</v>
      </c>
      <c r="QVE366" s="1648">
        <v>530271</v>
      </c>
      <c r="QVF366" s="1648">
        <v>212051</v>
      </c>
      <c r="QVG366" s="1648">
        <v>131147</v>
      </c>
      <c r="QVH366" s="1648">
        <v>101889</v>
      </c>
      <c r="QVI366" s="1648">
        <v>453326</v>
      </c>
      <c r="QVJ366" s="1648">
        <v>298813</v>
      </c>
      <c r="QVK366" s="1648">
        <v>605808</v>
      </c>
      <c r="QVL366" s="1648">
        <v>847471</v>
      </c>
      <c r="QVM366" s="1648">
        <v>1070054</v>
      </c>
      <c r="QVN366" s="1648">
        <v>1003687</v>
      </c>
      <c r="QVO366" s="635">
        <v>6373312</v>
      </c>
      <c r="QVP366" s="633">
        <f>SUM(QVC366:QVN366)</f>
        <v>6373312</v>
      </c>
      <c r="QVQ366" s="919" t="s">
        <v>1839</v>
      </c>
      <c r="QVR366" s="1643" t="s">
        <v>1840</v>
      </c>
      <c r="QVS366" s="1648">
        <v>603740</v>
      </c>
      <c r="QVT366" s="1648">
        <v>515055</v>
      </c>
      <c r="QVU366" s="1648">
        <v>530271</v>
      </c>
      <c r="QVV366" s="1648">
        <v>212051</v>
      </c>
      <c r="QVW366" s="1648">
        <v>131147</v>
      </c>
      <c r="QVX366" s="1648">
        <v>101889</v>
      </c>
      <c r="QVY366" s="1648">
        <v>453326</v>
      </c>
      <c r="QVZ366" s="1648">
        <v>298813</v>
      </c>
      <c r="QWA366" s="1648">
        <v>605808</v>
      </c>
      <c r="QWB366" s="1648">
        <v>847471</v>
      </c>
      <c r="QWC366" s="1648">
        <v>1070054</v>
      </c>
      <c r="QWD366" s="1648">
        <v>1003687</v>
      </c>
      <c r="QWE366" s="635">
        <v>6373312</v>
      </c>
      <c r="QWF366" s="633">
        <f>SUM(QVS366:QWD366)</f>
        <v>6373312</v>
      </c>
      <c r="QWG366" s="919" t="s">
        <v>1839</v>
      </c>
      <c r="QWH366" s="1643" t="s">
        <v>1840</v>
      </c>
      <c r="QWI366" s="1648">
        <v>603740</v>
      </c>
      <c r="QWJ366" s="1648">
        <v>515055</v>
      </c>
      <c r="QWK366" s="1648">
        <v>530271</v>
      </c>
      <c r="QWL366" s="1648">
        <v>212051</v>
      </c>
      <c r="QWM366" s="1648">
        <v>131147</v>
      </c>
      <c r="QWN366" s="1648">
        <v>101889</v>
      </c>
      <c r="QWO366" s="1648">
        <v>453326</v>
      </c>
      <c r="QWP366" s="1648">
        <v>298813</v>
      </c>
      <c r="QWQ366" s="1648">
        <v>605808</v>
      </c>
      <c r="QWR366" s="1648">
        <v>847471</v>
      </c>
      <c r="QWS366" s="1648">
        <v>1070054</v>
      </c>
      <c r="QWT366" s="1648">
        <v>1003687</v>
      </c>
      <c r="QWU366" s="635">
        <v>6373312</v>
      </c>
      <c r="QWV366" s="633">
        <f>SUM(QWI366:QWT366)</f>
        <v>6373312</v>
      </c>
      <c r="QWW366" s="919" t="s">
        <v>1839</v>
      </c>
      <c r="QWX366" s="1643" t="s">
        <v>1840</v>
      </c>
      <c r="QWY366" s="1648">
        <v>603740</v>
      </c>
      <c r="QWZ366" s="1648">
        <v>515055</v>
      </c>
      <c r="QXA366" s="1648">
        <v>530271</v>
      </c>
      <c r="QXB366" s="1648">
        <v>212051</v>
      </c>
      <c r="QXC366" s="1648">
        <v>131147</v>
      </c>
      <c r="QXD366" s="1648">
        <v>101889</v>
      </c>
      <c r="QXE366" s="1648">
        <v>453326</v>
      </c>
      <c r="QXF366" s="1648">
        <v>298813</v>
      </c>
      <c r="QXG366" s="1648">
        <v>605808</v>
      </c>
      <c r="QXH366" s="1648">
        <v>847471</v>
      </c>
      <c r="QXI366" s="1648">
        <v>1070054</v>
      </c>
      <c r="QXJ366" s="1648">
        <v>1003687</v>
      </c>
      <c r="QXK366" s="635">
        <v>6373312</v>
      </c>
      <c r="QXL366" s="633">
        <f>SUM(QWY366:QXJ366)</f>
        <v>6373312</v>
      </c>
      <c r="QXM366" s="919" t="s">
        <v>1839</v>
      </c>
      <c r="QXN366" s="1643" t="s">
        <v>1840</v>
      </c>
      <c r="QXO366" s="1648">
        <v>603740</v>
      </c>
      <c r="QXP366" s="1648">
        <v>515055</v>
      </c>
      <c r="QXQ366" s="1648">
        <v>530271</v>
      </c>
      <c r="QXR366" s="1648">
        <v>212051</v>
      </c>
      <c r="QXS366" s="1648">
        <v>131147</v>
      </c>
      <c r="QXT366" s="1648">
        <v>101889</v>
      </c>
      <c r="QXU366" s="1648">
        <v>453326</v>
      </c>
      <c r="QXV366" s="1648">
        <v>298813</v>
      </c>
      <c r="QXW366" s="1648">
        <v>605808</v>
      </c>
      <c r="QXX366" s="1648">
        <v>847471</v>
      </c>
      <c r="QXY366" s="1648">
        <v>1070054</v>
      </c>
      <c r="QXZ366" s="1648">
        <v>1003687</v>
      </c>
      <c r="QYA366" s="635">
        <v>6373312</v>
      </c>
      <c r="QYB366" s="633">
        <f>SUM(QXO366:QXZ366)</f>
        <v>6373312</v>
      </c>
      <c r="QYC366" s="919" t="s">
        <v>1839</v>
      </c>
      <c r="QYD366" s="1643" t="s">
        <v>1840</v>
      </c>
      <c r="QYE366" s="1648">
        <v>603740</v>
      </c>
      <c r="QYF366" s="1648">
        <v>515055</v>
      </c>
      <c r="QYG366" s="1648">
        <v>530271</v>
      </c>
      <c r="QYH366" s="1648">
        <v>212051</v>
      </c>
      <c r="QYI366" s="1648">
        <v>131147</v>
      </c>
      <c r="QYJ366" s="1648">
        <v>101889</v>
      </c>
      <c r="QYK366" s="1648">
        <v>453326</v>
      </c>
      <c r="QYL366" s="1648">
        <v>298813</v>
      </c>
      <c r="QYM366" s="1648">
        <v>605808</v>
      </c>
      <c r="QYN366" s="1648">
        <v>847471</v>
      </c>
      <c r="QYO366" s="1648">
        <v>1070054</v>
      </c>
      <c r="QYP366" s="1648">
        <v>1003687</v>
      </c>
      <c r="QYQ366" s="635">
        <v>6373312</v>
      </c>
      <c r="QYR366" s="633">
        <f>SUM(QYE366:QYP366)</f>
        <v>6373312</v>
      </c>
      <c r="QYS366" s="919" t="s">
        <v>1839</v>
      </c>
      <c r="QYT366" s="1643" t="s">
        <v>1840</v>
      </c>
      <c r="QYU366" s="1648">
        <v>603740</v>
      </c>
      <c r="QYV366" s="1648">
        <v>515055</v>
      </c>
      <c r="QYW366" s="1648">
        <v>530271</v>
      </c>
      <c r="QYX366" s="1648">
        <v>212051</v>
      </c>
      <c r="QYY366" s="1648">
        <v>131147</v>
      </c>
      <c r="QYZ366" s="1648">
        <v>101889</v>
      </c>
      <c r="QZA366" s="1648">
        <v>453326</v>
      </c>
      <c r="QZB366" s="1648">
        <v>298813</v>
      </c>
      <c r="QZC366" s="1648">
        <v>605808</v>
      </c>
      <c r="QZD366" s="1648">
        <v>847471</v>
      </c>
      <c r="QZE366" s="1648">
        <v>1070054</v>
      </c>
      <c r="QZF366" s="1648">
        <v>1003687</v>
      </c>
      <c r="QZG366" s="635">
        <v>6373312</v>
      </c>
      <c r="QZH366" s="633">
        <f>SUM(QYU366:QZF366)</f>
        <v>6373312</v>
      </c>
      <c r="QZI366" s="919" t="s">
        <v>1839</v>
      </c>
      <c r="QZJ366" s="1643" t="s">
        <v>1840</v>
      </c>
      <c r="QZK366" s="1648">
        <v>603740</v>
      </c>
      <c r="QZL366" s="1648">
        <v>515055</v>
      </c>
      <c r="QZM366" s="1648">
        <v>530271</v>
      </c>
      <c r="QZN366" s="1648">
        <v>212051</v>
      </c>
      <c r="QZO366" s="1648">
        <v>131147</v>
      </c>
      <c r="QZP366" s="1648">
        <v>101889</v>
      </c>
      <c r="QZQ366" s="1648">
        <v>453326</v>
      </c>
      <c r="QZR366" s="1648">
        <v>298813</v>
      </c>
      <c r="QZS366" s="1648">
        <v>605808</v>
      </c>
      <c r="QZT366" s="1648">
        <v>847471</v>
      </c>
      <c r="QZU366" s="1648">
        <v>1070054</v>
      </c>
      <c r="QZV366" s="1648">
        <v>1003687</v>
      </c>
      <c r="QZW366" s="635">
        <v>6373312</v>
      </c>
      <c r="QZX366" s="633">
        <f>SUM(QZK366:QZV366)</f>
        <v>6373312</v>
      </c>
      <c r="QZY366" s="919" t="s">
        <v>1839</v>
      </c>
      <c r="QZZ366" s="1643" t="s">
        <v>1840</v>
      </c>
      <c r="RAA366" s="1648">
        <v>603740</v>
      </c>
      <c r="RAB366" s="1648">
        <v>515055</v>
      </c>
      <c r="RAC366" s="1648">
        <v>530271</v>
      </c>
      <c r="RAD366" s="1648">
        <v>212051</v>
      </c>
      <c r="RAE366" s="1648">
        <v>131147</v>
      </c>
      <c r="RAF366" s="1648">
        <v>101889</v>
      </c>
      <c r="RAG366" s="1648">
        <v>453326</v>
      </c>
      <c r="RAH366" s="1648">
        <v>298813</v>
      </c>
      <c r="RAI366" s="1648">
        <v>605808</v>
      </c>
      <c r="RAJ366" s="1648">
        <v>847471</v>
      </c>
      <c r="RAK366" s="1648">
        <v>1070054</v>
      </c>
      <c r="RAL366" s="1648">
        <v>1003687</v>
      </c>
      <c r="RAM366" s="635">
        <v>6373312</v>
      </c>
      <c r="RAN366" s="633">
        <f>SUM(RAA366:RAL366)</f>
        <v>6373312</v>
      </c>
      <c r="RAO366" s="919" t="s">
        <v>1839</v>
      </c>
      <c r="RAP366" s="1643" t="s">
        <v>1840</v>
      </c>
      <c r="RAQ366" s="1648">
        <v>603740</v>
      </c>
      <c r="RAR366" s="1648">
        <v>515055</v>
      </c>
      <c r="RAS366" s="1648">
        <v>530271</v>
      </c>
      <c r="RAT366" s="1648">
        <v>212051</v>
      </c>
      <c r="RAU366" s="1648">
        <v>131147</v>
      </c>
      <c r="RAV366" s="1648">
        <v>101889</v>
      </c>
      <c r="RAW366" s="1648">
        <v>453326</v>
      </c>
      <c r="RAX366" s="1648">
        <v>298813</v>
      </c>
      <c r="RAY366" s="1648">
        <v>605808</v>
      </c>
      <c r="RAZ366" s="1648">
        <v>847471</v>
      </c>
      <c r="RBA366" s="1648">
        <v>1070054</v>
      </c>
      <c r="RBB366" s="1648">
        <v>1003687</v>
      </c>
      <c r="RBC366" s="635">
        <v>6373312</v>
      </c>
      <c r="RBD366" s="633">
        <f>SUM(RAQ366:RBB366)</f>
        <v>6373312</v>
      </c>
      <c r="RBE366" s="919" t="s">
        <v>1839</v>
      </c>
      <c r="RBF366" s="1643" t="s">
        <v>1840</v>
      </c>
      <c r="RBG366" s="1648">
        <v>603740</v>
      </c>
      <c r="RBH366" s="1648">
        <v>515055</v>
      </c>
      <c r="RBI366" s="1648">
        <v>530271</v>
      </c>
      <c r="RBJ366" s="1648">
        <v>212051</v>
      </c>
      <c r="RBK366" s="1648">
        <v>131147</v>
      </c>
      <c r="RBL366" s="1648">
        <v>101889</v>
      </c>
      <c r="RBM366" s="1648">
        <v>453326</v>
      </c>
      <c r="RBN366" s="1648">
        <v>298813</v>
      </c>
      <c r="RBO366" s="1648">
        <v>605808</v>
      </c>
      <c r="RBP366" s="1648">
        <v>847471</v>
      </c>
      <c r="RBQ366" s="1648">
        <v>1070054</v>
      </c>
      <c r="RBR366" s="1648">
        <v>1003687</v>
      </c>
      <c r="RBS366" s="635">
        <v>6373312</v>
      </c>
      <c r="RBT366" s="633">
        <f>SUM(RBG366:RBR366)</f>
        <v>6373312</v>
      </c>
      <c r="RBU366" s="919" t="s">
        <v>1839</v>
      </c>
      <c r="RBV366" s="1643" t="s">
        <v>1840</v>
      </c>
      <c r="RBW366" s="1648">
        <v>603740</v>
      </c>
      <c r="RBX366" s="1648">
        <v>515055</v>
      </c>
      <c r="RBY366" s="1648">
        <v>530271</v>
      </c>
      <c r="RBZ366" s="1648">
        <v>212051</v>
      </c>
      <c r="RCA366" s="1648">
        <v>131147</v>
      </c>
      <c r="RCB366" s="1648">
        <v>101889</v>
      </c>
      <c r="RCC366" s="1648">
        <v>453326</v>
      </c>
      <c r="RCD366" s="1648">
        <v>298813</v>
      </c>
      <c r="RCE366" s="1648">
        <v>605808</v>
      </c>
      <c r="RCF366" s="1648">
        <v>847471</v>
      </c>
      <c r="RCG366" s="1648">
        <v>1070054</v>
      </c>
      <c r="RCH366" s="1648">
        <v>1003687</v>
      </c>
      <c r="RCI366" s="635">
        <v>6373312</v>
      </c>
      <c r="RCJ366" s="633">
        <f>SUM(RBW366:RCH366)</f>
        <v>6373312</v>
      </c>
      <c r="RCK366" s="919" t="s">
        <v>1839</v>
      </c>
      <c r="RCL366" s="1643" t="s">
        <v>1840</v>
      </c>
      <c r="RCM366" s="1648">
        <v>603740</v>
      </c>
      <c r="RCN366" s="1648">
        <v>515055</v>
      </c>
      <c r="RCO366" s="1648">
        <v>530271</v>
      </c>
      <c r="RCP366" s="1648">
        <v>212051</v>
      </c>
      <c r="RCQ366" s="1648">
        <v>131147</v>
      </c>
      <c r="RCR366" s="1648">
        <v>101889</v>
      </c>
      <c r="RCS366" s="1648">
        <v>453326</v>
      </c>
      <c r="RCT366" s="1648">
        <v>298813</v>
      </c>
      <c r="RCU366" s="1648">
        <v>605808</v>
      </c>
      <c r="RCV366" s="1648">
        <v>847471</v>
      </c>
      <c r="RCW366" s="1648">
        <v>1070054</v>
      </c>
      <c r="RCX366" s="1648">
        <v>1003687</v>
      </c>
      <c r="RCY366" s="635">
        <v>6373312</v>
      </c>
      <c r="RCZ366" s="633">
        <f>SUM(RCM366:RCX366)</f>
        <v>6373312</v>
      </c>
      <c r="RDA366" s="919" t="s">
        <v>1839</v>
      </c>
      <c r="RDB366" s="1643" t="s">
        <v>1840</v>
      </c>
      <c r="RDC366" s="1648">
        <v>603740</v>
      </c>
      <c r="RDD366" s="1648">
        <v>515055</v>
      </c>
      <c r="RDE366" s="1648">
        <v>530271</v>
      </c>
      <c r="RDF366" s="1648">
        <v>212051</v>
      </c>
      <c r="RDG366" s="1648">
        <v>131147</v>
      </c>
      <c r="RDH366" s="1648">
        <v>101889</v>
      </c>
      <c r="RDI366" s="1648">
        <v>453326</v>
      </c>
      <c r="RDJ366" s="1648">
        <v>298813</v>
      </c>
      <c r="RDK366" s="1648">
        <v>605808</v>
      </c>
      <c r="RDL366" s="1648">
        <v>847471</v>
      </c>
      <c r="RDM366" s="1648">
        <v>1070054</v>
      </c>
      <c r="RDN366" s="1648">
        <v>1003687</v>
      </c>
      <c r="RDO366" s="635">
        <v>6373312</v>
      </c>
      <c r="RDP366" s="633">
        <f>SUM(RDC366:RDN366)</f>
        <v>6373312</v>
      </c>
      <c r="RDQ366" s="919" t="s">
        <v>1839</v>
      </c>
      <c r="RDR366" s="1643" t="s">
        <v>1840</v>
      </c>
      <c r="RDS366" s="1648">
        <v>603740</v>
      </c>
      <c r="RDT366" s="1648">
        <v>515055</v>
      </c>
      <c r="RDU366" s="1648">
        <v>530271</v>
      </c>
      <c r="RDV366" s="1648">
        <v>212051</v>
      </c>
      <c r="RDW366" s="1648">
        <v>131147</v>
      </c>
      <c r="RDX366" s="1648">
        <v>101889</v>
      </c>
      <c r="RDY366" s="1648">
        <v>453326</v>
      </c>
      <c r="RDZ366" s="1648">
        <v>298813</v>
      </c>
      <c r="REA366" s="1648">
        <v>605808</v>
      </c>
      <c r="REB366" s="1648">
        <v>847471</v>
      </c>
      <c r="REC366" s="1648">
        <v>1070054</v>
      </c>
      <c r="RED366" s="1648">
        <v>1003687</v>
      </c>
      <c r="REE366" s="635">
        <v>6373312</v>
      </c>
      <c r="REF366" s="633">
        <f>SUM(RDS366:RED366)</f>
        <v>6373312</v>
      </c>
      <c r="REG366" s="919" t="s">
        <v>1839</v>
      </c>
      <c r="REH366" s="1643" t="s">
        <v>1840</v>
      </c>
      <c r="REI366" s="1648">
        <v>603740</v>
      </c>
      <c r="REJ366" s="1648">
        <v>515055</v>
      </c>
      <c r="REK366" s="1648">
        <v>530271</v>
      </c>
      <c r="REL366" s="1648">
        <v>212051</v>
      </c>
      <c r="REM366" s="1648">
        <v>131147</v>
      </c>
      <c r="REN366" s="1648">
        <v>101889</v>
      </c>
      <c r="REO366" s="1648">
        <v>453326</v>
      </c>
      <c r="REP366" s="1648">
        <v>298813</v>
      </c>
      <c r="REQ366" s="1648">
        <v>605808</v>
      </c>
      <c r="RER366" s="1648">
        <v>847471</v>
      </c>
      <c r="RES366" s="1648">
        <v>1070054</v>
      </c>
      <c r="RET366" s="1648">
        <v>1003687</v>
      </c>
      <c r="REU366" s="635">
        <v>6373312</v>
      </c>
      <c r="REV366" s="633">
        <f>SUM(REI366:RET366)</f>
        <v>6373312</v>
      </c>
      <c r="REW366" s="919" t="s">
        <v>1839</v>
      </c>
      <c r="REX366" s="1643" t="s">
        <v>1840</v>
      </c>
      <c r="REY366" s="1648">
        <v>603740</v>
      </c>
      <c r="REZ366" s="1648">
        <v>515055</v>
      </c>
      <c r="RFA366" s="1648">
        <v>530271</v>
      </c>
      <c r="RFB366" s="1648">
        <v>212051</v>
      </c>
      <c r="RFC366" s="1648">
        <v>131147</v>
      </c>
      <c r="RFD366" s="1648">
        <v>101889</v>
      </c>
      <c r="RFE366" s="1648">
        <v>453326</v>
      </c>
      <c r="RFF366" s="1648">
        <v>298813</v>
      </c>
      <c r="RFG366" s="1648">
        <v>605808</v>
      </c>
      <c r="RFH366" s="1648">
        <v>847471</v>
      </c>
      <c r="RFI366" s="1648">
        <v>1070054</v>
      </c>
      <c r="RFJ366" s="1648">
        <v>1003687</v>
      </c>
      <c r="RFK366" s="635">
        <v>6373312</v>
      </c>
      <c r="RFL366" s="633">
        <f>SUM(REY366:RFJ366)</f>
        <v>6373312</v>
      </c>
      <c r="RFM366" s="919" t="s">
        <v>1839</v>
      </c>
      <c r="RFN366" s="1643" t="s">
        <v>1840</v>
      </c>
      <c r="RFO366" s="1648">
        <v>603740</v>
      </c>
      <c r="RFP366" s="1648">
        <v>515055</v>
      </c>
      <c r="RFQ366" s="1648">
        <v>530271</v>
      </c>
      <c r="RFR366" s="1648">
        <v>212051</v>
      </c>
      <c r="RFS366" s="1648">
        <v>131147</v>
      </c>
      <c r="RFT366" s="1648">
        <v>101889</v>
      </c>
      <c r="RFU366" s="1648">
        <v>453326</v>
      </c>
      <c r="RFV366" s="1648">
        <v>298813</v>
      </c>
      <c r="RFW366" s="1648">
        <v>605808</v>
      </c>
      <c r="RFX366" s="1648">
        <v>847471</v>
      </c>
      <c r="RFY366" s="1648">
        <v>1070054</v>
      </c>
      <c r="RFZ366" s="1648">
        <v>1003687</v>
      </c>
      <c r="RGA366" s="635">
        <v>6373312</v>
      </c>
      <c r="RGB366" s="633">
        <f>SUM(RFO366:RFZ366)</f>
        <v>6373312</v>
      </c>
      <c r="RGC366" s="919" t="s">
        <v>1839</v>
      </c>
      <c r="RGD366" s="1643" t="s">
        <v>1840</v>
      </c>
      <c r="RGE366" s="1648">
        <v>603740</v>
      </c>
      <c r="RGF366" s="1648">
        <v>515055</v>
      </c>
      <c r="RGG366" s="1648">
        <v>530271</v>
      </c>
      <c r="RGH366" s="1648">
        <v>212051</v>
      </c>
      <c r="RGI366" s="1648">
        <v>131147</v>
      </c>
      <c r="RGJ366" s="1648">
        <v>101889</v>
      </c>
      <c r="RGK366" s="1648">
        <v>453326</v>
      </c>
      <c r="RGL366" s="1648">
        <v>298813</v>
      </c>
      <c r="RGM366" s="1648">
        <v>605808</v>
      </c>
      <c r="RGN366" s="1648">
        <v>847471</v>
      </c>
      <c r="RGO366" s="1648">
        <v>1070054</v>
      </c>
      <c r="RGP366" s="1648">
        <v>1003687</v>
      </c>
      <c r="RGQ366" s="635">
        <v>6373312</v>
      </c>
      <c r="RGR366" s="633">
        <f>SUM(RGE366:RGP366)</f>
        <v>6373312</v>
      </c>
      <c r="RGS366" s="919" t="s">
        <v>1839</v>
      </c>
      <c r="RGT366" s="1643" t="s">
        <v>1840</v>
      </c>
      <c r="RGU366" s="1648">
        <v>603740</v>
      </c>
      <c r="RGV366" s="1648">
        <v>515055</v>
      </c>
      <c r="RGW366" s="1648">
        <v>530271</v>
      </c>
      <c r="RGX366" s="1648">
        <v>212051</v>
      </c>
      <c r="RGY366" s="1648">
        <v>131147</v>
      </c>
      <c r="RGZ366" s="1648">
        <v>101889</v>
      </c>
      <c r="RHA366" s="1648">
        <v>453326</v>
      </c>
      <c r="RHB366" s="1648">
        <v>298813</v>
      </c>
      <c r="RHC366" s="1648">
        <v>605808</v>
      </c>
      <c r="RHD366" s="1648">
        <v>847471</v>
      </c>
      <c r="RHE366" s="1648">
        <v>1070054</v>
      </c>
      <c r="RHF366" s="1648">
        <v>1003687</v>
      </c>
      <c r="RHG366" s="635">
        <v>6373312</v>
      </c>
      <c r="RHH366" s="633">
        <f>SUM(RGU366:RHF366)</f>
        <v>6373312</v>
      </c>
      <c r="RHI366" s="919" t="s">
        <v>1839</v>
      </c>
      <c r="RHJ366" s="1643" t="s">
        <v>1840</v>
      </c>
      <c r="RHK366" s="1648">
        <v>603740</v>
      </c>
      <c r="RHL366" s="1648">
        <v>515055</v>
      </c>
      <c r="RHM366" s="1648">
        <v>530271</v>
      </c>
      <c r="RHN366" s="1648">
        <v>212051</v>
      </c>
      <c r="RHO366" s="1648">
        <v>131147</v>
      </c>
      <c r="RHP366" s="1648">
        <v>101889</v>
      </c>
      <c r="RHQ366" s="1648">
        <v>453326</v>
      </c>
      <c r="RHR366" s="1648">
        <v>298813</v>
      </c>
      <c r="RHS366" s="1648">
        <v>605808</v>
      </c>
      <c r="RHT366" s="1648">
        <v>847471</v>
      </c>
      <c r="RHU366" s="1648">
        <v>1070054</v>
      </c>
      <c r="RHV366" s="1648">
        <v>1003687</v>
      </c>
      <c r="RHW366" s="635">
        <v>6373312</v>
      </c>
      <c r="RHX366" s="633">
        <f>SUM(RHK366:RHV366)</f>
        <v>6373312</v>
      </c>
      <c r="RHY366" s="919" t="s">
        <v>1839</v>
      </c>
      <c r="RHZ366" s="1643" t="s">
        <v>1840</v>
      </c>
      <c r="RIA366" s="1648">
        <v>603740</v>
      </c>
      <c r="RIB366" s="1648">
        <v>515055</v>
      </c>
      <c r="RIC366" s="1648">
        <v>530271</v>
      </c>
      <c r="RID366" s="1648">
        <v>212051</v>
      </c>
      <c r="RIE366" s="1648">
        <v>131147</v>
      </c>
      <c r="RIF366" s="1648">
        <v>101889</v>
      </c>
      <c r="RIG366" s="1648">
        <v>453326</v>
      </c>
      <c r="RIH366" s="1648">
        <v>298813</v>
      </c>
      <c r="RII366" s="1648">
        <v>605808</v>
      </c>
      <c r="RIJ366" s="1648">
        <v>847471</v>
      </c>
      <c r="RIK366" s="1648">
        <v>1070054</v>
      </c>
      <c r="RIL366" s="1648">
        <v>1003687</v>
      </c>
      <c r="RIM366" s="635">
        <v>6373312</v>
      </c>
      <c r="RIN366" s="633">
        <f>SUM(RIA366:RIL366)</f>
        <v>6373312</v>
      </c>
      <c r="RIO366" s="919" t="s">
        <v>1839</v>
      </c>
      <c r="RIP366" s="1643" t="s">
        <v>1840</v>
      </c>
      <c r="RIQ366" s="1648">
        <v>603740</v>
      </c>
      <c r="RIR366" s="1648">
        <v>515055</v>
      </c>
      <c r="RIS366" s="1648">
        <v>530271</v>
      </c>
      <c r="RIT366" s="1648">
        <v>212051</v>
      </c>
      <c r="RIU366" s="1648">
        <v>131147</v>
      </c>
      <c r="RIV366" s="1648">
        <v>101889</v>
      </c>
      <c r="RIW366" s="1648">
        <v>453326</v>
      </c>
      <c r="RIX366" s="1648">
        <v>298813</v>
      </c>
      <c r="RIY366" s="1648">
        <v>605808</v>
      </c>
      <c r="RIZ366" s="1648">
        <v>847471</v>
      </c>
      <c r="RJA366" s="1648">
        <v>1070054</v>
      </c>
      <c r="RJB366" s="1648">
        <v>1003687</v>
      </c>
      <c r="RJC366" s="635">
        <v>6373312</v>
      </c>
      <c r="RJD366" s="633">
        <f>SUM(RIQ366:RJB366)</f>
        <v>6373312</v>
      </c>
      <c r="RJE366" s="919" t="s">
        <v>1839</v>
      </c>
      <c r="RJF366" s="1643" t="s">
        <v>1840</v>
      </c>
      <c r="RJG366" s="1648">
        <v>603740</v>
      </c>
      <c r="RJH366" s="1648">
        <v>515055</v>
      </c>
      <c r="RJI366" s="1648">
        <v>530271</v>
      </c>
      <c r="RJJ366" s="1648">
        <v>212051</v>
      </c>
      <c r="RJK366" s="1648">
        <v>131147</v>
      </c>
      <c r="RJL366" s="1648">
        <v>101889</v>
      </c>
      <c r="RJM366" s="1648">
        <v>453326</v>
      </c>
      <c r="RJN366" s="1648">
        <v>298813</v>
      </c>
      <c r="RJO366" s="1648">
        <v>605808</v>
      </c>
      <c r="RJP366" s="1648">
        <v>847471</v>
      </c>
      <c r="RJQ366" s="1648">
        <v>1070054</v>
      </c>
      <c r="RJR366" s="1648">
        <v>1003687</v>
      </c>
      <c r="RJS366" s="635">
        <v>6373312</v>
      </c>
      <c r="RJT366" s="633">
        <f>SUM(RJG366:RJR366)</f>
        <v>6373312</v>
      </c>
      <c r="RJU366" s="919" t="s">
        <v>1839</v>
      </c>
      <c r="RJV366" s="1643" t="s">
        <v>1840</v>
      </c>
      <c r="RJW366" s="1648">
        <v>603740</v>
      </c>
      <c r="RJX366" s="1648">
        <v>515055</v>
      </c>
      <c r="RJY366" s="1648">
        <v>530271</v>
      </c>
      <c r="RJZ366" s="1648">
        <v>212051</v>
      </c>
      <c r="RKA366" s="1648">
        <v>131147</v>
      </c>
      <c r="RKB366" s="1648">
        <v>101889</v>
      </c>
      <c r="RKC366" s="1648">
        <v>453326</v>
      </c>
      <c r="RKD366" s="1648">
        <v>298813</v>
      </c>
      <c r="RKE366" s="1648">
        <v>605808</v>
      </c>
      <c r="RKF366" s="1648">
        <v>847471</v>
      </c>
      <c r="RKG366" s="1648">
        <v>1070054</v>
      </c>
      <c r="RKH366" s="1648">
        <v>1003687</v>
      </c>
      <c r="RKI366" s="635">
        <v>6373312</v>
      </c>
      <c r="RKJ366" s="633">
        <f>SUM(RJW366:RKH366)</f>
        <v>6373312</v>
      </c>
      <c r="RKK366" s="919" t="s">
        <v>1839</v>
      </c>
      <c r="RKL366" s="1643" t="s">
        <v>1840</v>
      </c>
      <c r="RKM366" s="1648">
        <v>603740</v>
      </c>
      <c r="RKN366" s="1648">
        <v>515055</v>
      </c>
      <c r="RKO366" s="1648">
        <v>530271</v>
      </c>
      <c r="RKP366" s="1648">
        <v>212051</v>
      </c>
      <c r="RKQ366" s="1648">
        <v>131147</v>
      </c>
      <c r="RKR366" s="1648">
        <v>101889</v>
      </c>
      <c r="RKS366" s="1648">
        <v>453326</v>
      </c>
      <c r="RKT366" s="1648">
        <v>298813</v>
      </c>
      <c r="RKU366" s="1648">
        <v>605808</v>
      </c>
      <c r="RKV366" s="1648">
        <v>847471</v>
      </c>
      <c r="RKW366" s="1648">
        <v>1070054</v>
      </c>
      <c r="RKX366" s="1648">
        <v>1003687</v>
      </c>
      <c r="RKY366" s="635">
        <v>6373312</v>
      </c>
      <c r="RKZ366" s="633">
        <f>SUM(RKM366:RKX366)</f>
        <v>6373312</v>
      </c>
      <c r="RLA366" s="919" t="s">
        <v>1839</v>
      </c>
      <c r="RLB366" s="1643" t="s">
        <v>1840</v>
      </c>
      <c r="RLC366" s="1648">
        <v>603740</v>
      </c>
      <c r="RLD366" s="1648">
        <v>515055</v>
      </c>
      <c r="RLE366" s="1648">
        <v>530271</v>
      </c>
      <c r="RLF366" s="1648">
        <v>212051</v>
      </c>
      <c r="RLG366" s="1648">
        <v>131147</v>
      </c>
      <c r="RLH366" s="1648">
        <v>101889</v>
      </c>
      <c r="RLI366" s="1648">
        <v>453326</v>
      </c>
      <c r="RLJ366" s="1648">
        <v>298813</v>
      </c>
      <c r="RLK366" s="1648">
        <v>605808</v>
      </c>
      <c r="RLL366" s="1648">
        <v>847471</v>
      </c>
      <c r="RLM366" s="1648">
        <v>1070054</v>
      </c>
      <c r="RLN366" s="1648">
        <v>1003687</v>
      </c>
      <c r="RLO366" s="635">
        <v>6373312</v>
      </c>
      <c r="RLP366" s="633">
        <f>SUM(RLC366:RLN366)</f>
        <v>6373312</v>
      </c>
      <c r="RLQ366" s="919" t="s">
        <v>1839</v>
      </c>
      <c r="RLR366" s="1643" t="s">
        <v>1840</v>
      </c>
      <c r="RLS366" s="1648">
        <v>603740</v>
      </c>
      <c r="RLT366" s="1648">
        <v>515055</v>
      </c>
      <c r="RLU366" s="1648">
        <v>530271</v>
      </c>
      <c r="RLV366" s="1648">
        <v>212051</v>
      </c>
      <c r="RLW366" s="1648">
        <v>131147</v>
      </c>
      <c r="RLX366" s="1648">
        <v>101889</v>
      </c>
      <c r="RLY366" s="1648">
        <v>453326</v>
      </c>
      <c r="RLZ366" s="1648">
        <v>298813</v>
      </c>
      <c r="RMA366" s="1648">
        <v>605808</v>
      </c>
      <c r="RMB366" s="1648">
        <v>847471</v>
      </c>
      <c r="RMC366" s="1648">
        <v>1070054</v>
      </c>
      <c r="RMD366" s="1648">
        <v>1003687</v>
      </c>
      <c r="RME366" s="635">
        <v>6373312</v>
      </c>
      <c r="RMF366" s="633">
        <f>SUM(RLS366:RMD366)</f>
        <v>6373312</v>
      </c>
      <c r="RMG366" s="919" t="s">
        <v>1839</v>
      </c>
      <c r="RMH366" s="1643" t="s">
        <v>1840</v>
      </c>
      <c r="RMI366" s="1648">
        <v>603740</v>
      </c>
      <c r="RMJ366" s="1648">
        <v>515055</v>
      </c>
      <c r="RMK366" s="1648">
        <v>530271</v>
      </c>
      <c r="RML366" s="1648">
        <v>212051</v>
      </c>
      <c r="RMM366" s="1648">
        <v>131147</v>
      </c>
      <c r="RMN366" s="1648">
        <v>101889</v>
      </c>
      <c r="RMO366" s="1648">
        <v>453326</v>
      </c>
      <c r="RMP366" s="1648">
        <v>298813</v>
      </c>
      <c r="RMQ366" s="1648">
        <v>605808</v>
      </c>
      <c r="RMR366" s="1648">
        <v>847471</v>
      </c>
      <c r="RMS366" s="1648">
        <v>1070054</v>
      </c>
      <c r="RMT366" s="1648">
        <v>1003687</v>
      </c>
      <c r="RMU366" s="635">
        <v>6373312</v>
      </c>
      <c r="RMV366" s="633">
        <f>SUM(RMI366:RMT366)</f>
        <v>6373312</v>
      </c>
      <c r="RMW366" s="919" t="s">
        <v>1839</v>
      </c>
      <c r="RMX366" s="1643" t="s">
        <v>1840</v>
      </c>
      <c r="RMY366" s="1648">
        <v>603740</v>
      </c>
      <c r="RMZ366" s="1648">
        <v>515055</v>
      </c>
      <c r="RNA366" s="1648">
        <v>530271</v>
      </c>
      <c r="RNB366" s="1648">
        <v>212051</v>
      </c>
      <c r="RNC366" s="1648">
        <v>131147</v>
      </c>
      <c r="RND366" s="1648">
        <v>101889</v>
      </c>
      <c r="RNE366" s="1648">
        <v>453326</v>
      </c>
      <c r="RNF366" s="1648">
        <v>298813</v>
      </c>
      <c r="RNG366" s="1648">
        <v>605808</v>
      </c>
      <c r="RNH366" s="1648">
        <v>847471</v>
      </c>
      <c r="RNI366" s="1648">
        <v>1070054</v>
      </c>
      <c r="RNJ366" s="1648">
        <v>1003687</v>
      </c>
      <c r="RNK366" s="635">
        <v>6373312</v>
      </c>
      <c r="RNL366" s="633">
        <f>SUM(RMY366:RNJ366)</f>
        <v>6373312</v>
      </c>
      <c r="RNM366" s="919" t="s">
        <v>1839</v>
      </c>
      <c r="RNN366" s="1643" t="s">
        <v>1840</v>
      </c>
      <c r="RNO366" s="1648">
        <v>603740</v>
      </c>
      <c r="RNP366" s="1648">
        <v>515055</v>
      </c>
      <c r="RNQ366" s="1648">
        <v>530271</v>
      </c>
      <c r="RNR366" s="1648">
        <v>212051</v>
      </c>
      <c r="RNS366" s="1648">
        <v>131147</v>
      </c>
      <c r="RNT366" s="1648">
        <v>101889</v>
      </c>
      <c r="RNU366" s="1648">
        <v>453326</v>
      </c>
      <c r="RNV366" s="1648">
        <v>298813</v>
      </c>
      <c r="RNW366" s="1648">
        <v>605808</v>
      </c>
      <c r="RNX366" s="1648">
        <v>847471</v>
      </c>
      <c r="RNY366" s="1648">
        <v>1070054</v>
      </c>
      <c r="RNZ366" s="1648">
        <v>1003687</v>
      </c>
      <c r="ROA366" s="635">
        <v>6373312</v>
      </c>
      <c r="ROB366" s="633">
        <f>SUM(RNO366:RNZ366)</f>
        <v>6373312</v>
      </c>
      <c r="ROC366" s="919" t="s">
        <v>1839</v>
      </c>
      <c r="ROD366" s="1643" t="s">
        <v>1840</v>
      </c>
      <c r="ROE366" s="1648">
        <v>603740</v>
      </c>
      <c r="ROF366" s="1648">
        <v>515055</v>
      </c>
      <c r="ROG366" s="1648">
        <v>530271</v>
      </c>
      <c r="ROH366" s="1648">
        <v>212051</v>
      </c>
      <c r="ROI366" s="1648">
        <v>131147</v>
      </c>
      <c r="ROJ366" s="1648">
        <v>101889</v>
      </c>
      <c r="ROK366" s="1648">
        <v>453326</v>
      </c>
      <c r="ROL366" s="1648">
        <v>298813</v>
      </c>
      <c r="ROM366" s="1648">
        <v>605808</v>
      </c>
      <c r="RON366" s="1648">
        <v>847471</v>
      </c>
      <c r="ROO366" s="1648">
        <v>1070054</v>
      </c>
      <c r="ROP366" s="1648">
        <v>1003687</v>
      </c>
      <c r="ROQ366" s="635">
        <v>6373312</v>
      </c>
      <c r="ROR366" s="633">
        <f>SUM(ROE366:ROP366)</f>
        <v>6373312</v>
      </c>
      <c r="ROS366" s="919" t="s">
        <v>1839</v>
      </c>
      <c r="ROT366" s="1643" t="s">
        <v>1840</v>
      </c>
      <c r="ROU366" s="1648">
        <v>603740</v>
      </c>
      <c r="ROV366" s="1648">
        <v>515055</v>
      </c>
      <c r="ROW366" s="1648">
        <v>530271</v>
      </c>
      <c r="ROX366" s="1648">
        <v>212051</v>
      </c>
      <c r="ROY366" s="1648">
        <v>131147</v>
      </c>
      <c r="ROZ366" s="1648">
        <v>101889</v>
      </c>
      <c r="RPA366" s="1648">
        <v>453326</v>
      </c>
      <c r="RPB366" s="1648">
        <v>298813</v>
      </c>
      <c r="RPC366" s="1648">
        <v>605808</v>
      </c>
      <c r="RPD366" s="1648">
        <v>847471</v>
      </c>
      <c r="RPE366" s="1648">
        <v>1070054</v>
      </c>
      <c r="RPF366" s="1648">
        <v>1003687</v>
      </c>
      <c r="RPG366" s="635">
        <v>6373312</v>
      </c>
      <c r="RPH366" s="633">
        <f>SUM(ROU366:RPF366)</f>
        <v>6373312</v>
      </c>
      <c r="RPI366" s="919" t="s">
        <v>1839</v>
      </c>
      <c r="RPJ366" s="1643" t="s">
        <v>1840</v>
      </c>
      <c r="RPK366" s="1648">
        <v>603740</v>
      </c>
      <c r="RPL366" s="1648">
        <v>515055</v>
      </c>
      <c r="RPM366" s="1648">
        <v>530271</v>
      </c>
      <c r="RPN366" s="1648">
        <v>212051</v>
      </c>
      <c r="RPO366" s="1648">
        <v>131147</v>
      </c>
      <c r="RPP366" s="1648">
        <v>101889</v>
      </c>
      <c r="RPQ366" s="1648">
        <v>453326</v>
      </c>
      <c r="RPR366" s="1648">
        <v>298813</v>
      </c>
      <c r="RPS366" s="1648">
        <v>605808</v>
      </c>
      <c r="RPT366" s="1648">
        <v>847471</v>
      </c>
      <c r="RPU366" s="1648">
        <v>1070054</v>
      </c>
      <c r="RPV366" s="1648">
        <v>1003687</v>
      </c>
      <c r="RPW366" s="635">
        <v>6373312</v>
      </c>
      <c r="RPX366" s="633">
        <f>SUM(RPK366:RPV366)</f>
        <v>6373312</v>
      </c>
      <c r="RPY366" s="919" t="s">
        <v>1839</v>
      </c>
      <c r="RPZ366" s="1643" t="s">
        <v>1840</v>
      </c>
      <c r="RQA366" s="1648">
        <v>603740</v>
      </c>
      <c r="RQB366" s="1648">
        <v>515055</v>
      </c>
      <c r="RQC366" s="1648">
        <v>530271</v>
      </c>
      <c r="RQD366" s="1648">
        <v>212051</v>
      </c>
      <c r="RQE366" s="1648">
        <v>131147</v>
      </c>
      <c r="RQF366" s="1648">
        <v>101889</v>
      </c>
      <c r="RQG366" s="1648">
        <v>453326</v>
      </c>
      <c r="RQH366" s="1648">
        <v>298813</v>
      </c>
      <c r="RQI366" s="1648">
        <v>605808</v>
      </c>
      <c r="RQJ366" s="1648">
        <v>847471</v>
      </c>
      <c r="RQK366" s="1648">
        <v>1070054</v>
      </c>
      <c r="RQL366" s="1648">
        <v>1003687</v>
      </c>
      <c r="RQM366" s="635">
        <v>6373312</v>
      </c>
      <c r="RQN366" s="633">
        <f>SUM(RQA366:RQL366)</f>
        <v>6373312</v>
      </c>
      <c r="RQO366" s="919" t="s">
        <v>1839</v>
      </c>
      <c r="RQP366" s="1643" t="s">
        <v>1840</v>
      </c>
      <c r="RQQ366" s="1648">
        <v>603740</v>
      </c>
      <c r="RQR366" s="1648">
        <v>515055</v>
      </c>
      <c r="RQS366" s="1648">
        <v>530271</v>
      </c>
      <c r="RQT366" s="1648">
        <v>212051</v>
      </c>
      <c r="RQU366" s="1648">
        <v>131147</v>
      </c>
      <c r="RQV366" s="1648">
        <v>101889</v>
      </c>
      <c r="RQW366" s="1648">
        <v>453326</v>
      </c>
      <c r="RQX366" s="1648">
        <v>298813</v>
      </c>
      <c r="RQY366" s="1648">
        <v>605808</v>
      </c>
      <c r="RQZ366" s="1648">
        <v>847471</v>
      </c>
      <c r="RRA366" s="1648">
        <v>1070054</v>
      </c>
      <c r="RRB366" s="1648">
        <v>1003687</v>
      </c>
      <c r="RRC366" s="635">
        <v>6373312</v>
      </c>
      <c r="RRD366" s="633">
        <f>SUM(RQQ366:RRB366)</f>
        <v>6373312</v>
      </c>
      <c r="RRE366" s="919" t="s">
        <v>1839</v>
      </c>
      <c r="RRF366" s="1643" t="s">
        <v>1840</v>
      </c>
      <c r="RRG366" s="1648">
        <v>603740</v>
      </c>
      <c r="RRH366" s="1648">
        <v>515055</v>
      </c>
      <c r="RRI366" s="1648">
        <v>530271</v>
      </c>
      <c r="RRJ366" s="1648">
        <v>212051</v>
      </c>
      <c r="RRK366" s="1648">
        <v>131147</v>
      </c>
      <c r="RRL366" s="1648">
        <v>101889</v>
      </c>
      <c r="RRM366" s="1648">
        <v>453326</v>
      </c>
      <c r="RRN366" s="1648">
        <v>298813</v>
      </c>
      <c r="RRO366" s="1648">
        <v>605808</v>
      </c>
      <c r="RRP366" s="1648">
        <v>847471</v>
      </c>
      <c r="RRQ366" s="1648">
        <v>1070054</v>
      </c>
      <c r="RRR366" s="1648">
        <v>1003687</v>
      </c>
      <c r="RRS366" s="635">
        <v>6373312</v>
      </c>
      <c r="RRT366" s="633">
        <f>SUM(RRG366:RRR366)</f>
        <v>6373312</v>
      </c>
      <c r="RRU366" s="919" t="s">
        <v>1839</v>
      </c>
      <c r="RRV366" s="1643" t="s">
        <v>1840</v>
      </c>
      <c r="RRW366" s="1648">
        <v>603740</v>
      </c>
      <c r="RRX366" s="1648">
        <v>515055</v>
      </c>
      <c r="RRY366" s="1648">
        <v>530271</v>
      </c>
      <c r="RRZ366" s="1648">
        <v>212051</v>
      </c>
      <c r="RSA366" s="1648">
        <v>131147</v>
      </c>
      <c r="RSB366" s="1648">
        <v>101889</v>
      </c>
      <c r="RSC366" s="1648">
        <v>453326</v>
      </c>
      <c r="RSD366" s="1648">
        <v>298813</v>
      </c>
      <c r="RSE366" s="1648">
        <v>605808</v>
      </c>
      <c r="RSF366" s="1648">
        <v>847471</v>
      </c>
      <c r="RSG366" s="1648">
        <v>1070054</v>
      </c>
      <c r="RSH366" s="1648">
        <v>1003687</v>
      </c>
      <c r="RSI366" s="635">
        <v>6373312</v>
      </c>
      <c r="RSJ366" s="633">
        <f>SUM(RRW366:RSH366)</f>
        <v>6373312</v>
      </c>
      <c r="RSK366" s="919" t="s">
        <v>1839</v>
      </c>
      <c r="RSL366" s="1643" t="s">
        <v>1840</v>
      </c>
      <c r="RSM366" s="1648">
        <v>603740</v>
      </c>
      <c r="RSN366" s="1648">
        <v>515055</v>
      </c>
      <c r="RSO366" s="1648">
        <v>530271</v>
      </c>
      <c r="RSP366" s="1648">
        <v>212051</v>
      </c>
      <c r="RSQ366" s="1648">
        <v>131147</v>
      </c>
      <c r="RSR366" s="1648">
        <v>101889</v>
      </c>
      <c r="RSS366" s="1648">
        <v>453326</v>
      </c>
      <c r="RST366" s="1648">
        <v>298813</v>
      </c>
      <c r="RSU366" s="1648">
        <v>605808</v>
      </c>
      <c r="RSV366" s="1648">
        <v>847471</v>
      </c>
      <c r="RSW366" s="1648">
        <v>1070054</v>
      </c>
      <c r="RSX366" s="1648">
        <v>1003687</v>
      </c>
      <c r="RSY366" s="635">
        <v>6373312</v>
      </c>
      <c r="RSZ366" s="633">
        <f>SUM(RSM366:RSX366)</f>
        <v>6373312</v>
      </c>
      <c r="RTA366" s="919" t="s">
        <v>1839</v>
      </c>
      <c r="RTB366" s="1643" t="s">
        <v>1840</v>
      </c>
      <c r="RTC366" s="1648">
        <v>603740</v>
      </c>
      <c r="RTD366" s="1648">
        <v>515055</v>
      </c>
      <c r="RTE366" s="1648">
        <v>530271</v>
      </c>
      <c r="RTF366" s="1648">
        <v>212051</v>
      </c>
      <c r="RTG366" s="1648">
        <v>131147</v>
      </c>
      <c r="RTH366" s="1648">
        <v>101889</v>
      </c>
      <c r="RTI366" s="1648">
        <v>453326</v>
      </c>
      <c r="RTJ366" s="1648">
        <v>298813</v>
      </c>
      <c r="RTK366" s="1648">
        <v>605808</v>
      </c>
      <c r="RTL366" s="1648">
        <v>847471</v>
      </c>
      <c r="RTM366" s="1648">
        <v>1070054</v>
      </c>
      <c r="RTN366" s="1648">
        <v>1003687</v>
      </c>
      <c r="RTO366" s="635">
        <v>6373312</v>
      </c>
      <c r="RTP366" s="633">
        <f>SUM(RTC366:RTN366)</f>
        <v>6373312</v>
      </c>
      <c r="RTQ366" s="919" t="s">
        <v>1839</v>
      </c>
      <c r="RTR366" s="1643" t="s">
        <v>1840</v>
      </c>
      <c r="RTS366" s="1648">
        <v>603740</v>
      </c>
      <c r="RTT366" s="1648">
        <v>515055</v>
      </c>
      <c r="RTU366" s="1648">
        <v>530271</v>
      </c>
      <c r="RTV366" s="1648">
        <v>212051</v>
      </c>
      <c r="RTW366" s="1648">
        <v>131147</v>
      </c>
      <c r="RTX366" s="1648">
        <v>101889</v>
      </c>
      <c r="RTY366" s="1648">
        <v>453326</v>
      </c>
      <c r="RTZ366" s="1648">
        <v>298813</v>
      </c>
      <c r="RUA366" s="1648">
        <v>605808</v>
      </c>
      <c r="RUB366" s="1648">
        <v>847471</v>
      </c>
      <c r="RUC366" s="1648">
        <v>1070054</v>
      </c>
      <c r="RUD366" s="1648">
        <v>1003687</v>
      </c>
      <c r="RUE366" s="635">
        <v>6373312</v>
      </c>
      <c r="RUF366" s="633">
        <f>SUM(RTS366:RUD366)</f>
        <v>6373312</v>
      </c>
      <c r="RUG366" s="919" t="s">
        <v>1839</v>
      </c>
      <c r="RUH366" s="1643" t="s">
        <v>1840</v>
      </c>
      <c r="RUI366" s="1648">
        <v>603740</v>
      </c>
      <c r="RUJ366" s="1648">
        <v>515055</v>
      </c>
      <c r="RUK366" s="1648">
        <v>530271</v>
      </c>
      <c r="RUL366" s="1648">
        <v>212051</v>
      </c>
      <c r="RUM366" s="1648">
        <v>131147</v>
      </c>
      <c r="RUN366" s="1648">
        <v>101889</v>
      </c>
      <c r="RUO366" s="1648">
        <v>453326</v>
      </c>
      <c r="RUP366" s="1648">
        <v>298813</v>
      </c>
      <c r="RUQ366" s="1648">
        <v>605808</v>
      </c>
      <c r="RUR366" s="1648">
        <v>847471</v>
      </c>
      <c r="RUS366" s="1648">
        <v>1070054</v>
      </c>
      <c r="RUT366" s="1648">
        <v>1003687</v>
      </c>
      <c r="RUU366" s="635">
        <v>6373312</v>
      </c>
      <c r="RUV366" s="633">
        <f>SUM(RUI366:RUT366)</f>
        <v>6373312</v>
      </c>
      <c r="RUW366" s="919" t="s">
        <v>1839</v>
      </c>
      <c r="RUX366" s="1643" t="s">
        <v>1840</v>
      </c>
      <c r="RUY366" s="1648">
        <v>603740</v>
      </c>
      <c r="RUZ366" s="1648">
        <v>515055</v>
      </c>
      <c r="RVA366" s="1648">
        <v>530271</v>
      </c>
      <c r="RVB366" s="1648">
        <v>212051</v>
      </c>
      <c r="RVC366" s="1648">
        <v>131147</v>
      </c>
      <c r="RVD366" s="1648">
        <v>101889</v>
      </c>
      <c r="RVE366" s="1648">
        <v>453326</v>
      </c>
      <c r="RVF366" s="1648">
        <v>298813</v>
      </c>
      <c r="RVG366" s="1648">
        <v>605808</v>
      </c>
      <c r="RVH366" s="1648">
        <v>847471</v>
      </c>
      <c r="RVI366" s="1648">
        <v>1070054</v>
      </c>
      <c r="RVJ366" s="1648">
        <v>1003687</v>
      </c>
      <c r="RVK366" s="635">
        <v>6373312</v>
      </c>
      <c r="RVL366" s="633">
        <f>SUM(RUY366:RVJ366)</f>
        <v>6373312</v>
      </c>
      <c r="RVM366" s="919" t="s">
        <v>1839</v>
      </c>
      <c r="RVN366" s="1643" t="s">
        <v>1840</v>
      </c>
      <c r="RVO366" s="1648">
        <v>603740</v>
      </c>
      <c r="RVP366" s="1648">
        <v>515055</v>
      </c>
      <c r="RVQ366" s="1648">
        <v>530271</v>
      </c>
      <c r="RVR366" s="1648">
        <v>212051</v>
      </c>
      <c r="RVS366" s="1648">
        <v>131147</v>
      </c>
      <c r="RVT366" s="1648">
        <v>101889</v>
      </c>
      <c r="RVU366" s="1648">
        <v>453326</v>
      </c>
      <c r="RVV366" s="1648">
        <v>298813</v>
      </c>
      <c r="RVW366" s="1648">
        <v>605808</v>
      </c>
      <c r="RVX366" s="1648">
        <v>847471</v>
      </c>
      <c r="RVY366" s="1648">
        <v>1070054</v>
      </c>
      <c r="RVZ366" s="1648">
        <v>1003687</v>
      </c>
      <c r="RWA366" s="635">
        <v>6373312</v>
      </c>
      <c r="RWB366" s="633">
        <f>SUM(RVO366:RVZ366)</f>
        <v>6373312</v>
      </c>
      <c r="RWC366" s="919" t="s">
        <v>1839</v>
      </c>
      <c r="RWD366" s="1643" t="s">
        <v>1840</v>
      </c>
      <c r="RWE366" s="1648">
        <v>603740</v>
      </c>
      <c r="RWF366" s="1648">
        <v>515055</v>
      </c>
      <c r="RWG366" s="1648">
        <v>530271</v>
      </c>
      <c r="RWH366" s="1648">
        <v>212051</v>
      </c>
      <c r="RWI366" s="1648">
        <v>131147</v>
      </c>
      <c r="RWJ366" s="1648">
        <v>101889</v>
      </c>
      <c r="RWK366" s="1648">
        <v>453326</v>
      </c>
      <c r="RWL366" s="1648">
        <v>298813</v>
      </c>
      <c r="RWM366" s="1648">
        <v>605808</v>
      </c>
      <c r="RWN366" s="1648">
        <v>847471</v>
      </c>
      <c r="RWO366" s="1648">
        <v>1070054</v>
      </c>
      <c r="RWP366" s="1648">
        <v>1003687</v>
      </c>
      <c r="RWQ366" s="635">
        <v>6373312</v>
      </c>
      <c r="RWR366" s="633">
        <f>SUM(RWE366:RWP366)</f>
        <v>6373312</v>
      </c>
      <c r="RWS366" s="919" t="s">
        <v>1839</v>
      </c>
      <c r="RWT366" s="1643" t="s">
        <v>1840</v>
      </c>
      <c r="RWU366" s="1648">
        <v>603740</v>
      </c>
      <c r="RWV366" s="1648">
        <v>515055</v>
      </c>
      <c r="RWW366" s="1648">
        <v>530271</v>
      </c>
      <c r="RWX366" s="1648">
        <v>212051</v>
      </c>
      <c r="RWY366" s="1648">
        <v>131147</v>
      </c>
      <c r="RWZ366" s="1648">
        <v>101889</v>
      </c>
      <c r="RXA366" s="1648">
        <v>453326</v>
      </c>
      <c r="RXB366" s="1648">
        <v>298813</v>
      </c>
      <c r="RXC366" s="1648">
        <v>605808</v>
      </c>
      <c r="RXD366" s="1648">
        <v>847471</v>
      </c>
      <c r="RXE366" s="1648">
        <v>1070054</v>
      </c>
      <c r="RXF366" s="1648">
        <v>1003687</v>
      </c>
      <c r="RXG366" s="635">
        <v>6373312</v>
      </c>
      <c r="RXH366" s="633">
        <f>SUM(RWU366:RXF366)</f>
        <v>6373312</v>
      </c>
      <c r="RXI366" s="919" t="s">
        <v>1839</v>
      </c>
      <c r="RXJ366" s="1643" t="s">
        <v>1840</v>
      </c>
      <c r="RXK366" s="1648">
        <v>603740</v>
      </c>
      <c r="RXL366" s="1648">
        <v>515055</v>
      </c>
      <c r="RXM366" s="1648">
        <v>530271</v>
      </c>
      <c r="RXN366" s="1648">
        <v>212051</v>
      </c>
      <c r="RXO366" s="1648">
        <v>131147</v>
      </c>
      <c r="RXP366" s="1648">
        <v>101889</v>
      </c>
      <c r="RXQ366" s="1648">
        <v>453326</v>
      </c>
      <c r="RXR366" s="1648">
        <v>298813</v>
      </c>
      <c r="RXS366" s="1648">
        <v>605808</v>
      </c>
      <c r="RXT366" s="1648">
        <v>847471</v>
      </c>
      <c r="RXU366" s="1648">
        <v>1070054</v>
      </c>
      <c r="RXV366" s="1648">
        <v>1003687</v>
      </c>
      <c r="RXW366" s="635">
        <v>6373312</v>
      </c>
      <c r="RXX366" s="633">
        <f>SUM(RXK366:RXV366)</f>
        <v>6373312</v>
      </c>
      <c r="RXY366" s="919" t="s">
        <v>1839</v>
      </c>
      <c r="RXZ366" s="1643" t="s">
        <v>1840</v>
      </c>
      <c r="RYA366" s="1648">
        <v>603740</v>
      </c>
      <c r="RYB366" s="1648">
        <v>515055</v>
      </c>
      <c r="RYC366" s="1648">
        <v>530271</v>
      </c>
      <c r="RYD366" s="1648">
        <v>212051</v>
      </c>
      <c r="RYE366" s="1648">
        <v>131147</v>
      </c>
      <c r="RYF366" s="1648">
        <v>101889</v>
      </c>
      <c r="RYG366" s="1648">
        <v>453326</v>
      </c>
      <c r="RYH366" s="1648">
        <v>298813</v>
      </c>
      <c r="RYI366" s="1648">
        <v>605808</v>
      </c>
      <c r="RYJ366" s="1648">
        <v>847471</v>
      </c>
      <c r="RYK366" s="1648">
        <v>1070054</v>
      </c>
      <c r="RYL366" s="1648">
        <v>1003687</v>
      </c>
      <c r="RYM366" s="635">
        <v>6373312</v>
      </c>
      <c r="RYN366" s="633">
        <f>SUM(RYA366:RYL366)</f>
        <v>6373312</v>
      </c>
      <c r="RYO366" s="919" t="s">
        <v>1839</v>
      </c>
      <c r="RYP366" s="1643" t="s">
        <v>1840</v>
      </c>
      <c r="RYQ366" s="1648">
        <v>603740</v>
      </c>
      <c r="RYR366" s="1648">
        <v>515055</v>
      </c>
      <c r="RYS366" s="1648">
        <v>530271</v>
      </c>
      <c r="RYT366" s="1648">
        <v>212051</v>
      </c>
      <c r="RYU366" s="1648">
        <v>131147</v>
      </c>
      <c r="RYV366" s="1648">
        <v>101889</v>
      </c>
      <c r="RYW366" s="1648">
        <v>453326</v>
      </c>
      <c r="RYX366" s="1648">
        <v>298813</v>
      </c>
      <c r="RYY366" s="1648">
        <v>605808</v>
      </c>
      <c r="RYZ366" s="1648">
        <v>847471</v>
      </c>
      <c r="RZA366" s="1648">
        <v>1070054</v>
      </c>
      <c r="RZB366" s="1648">
        <v>1003687</v>
      </c>
      <c r="RZC366" s="635">
        <v>6373312</v>
      </c>
      <c r="RZD366" s="633">
        <f>SUM(RYQ366:RZB366)</f>
        <v>6373312</v>
      </c>
      <c r="RZE366" s="919" t="s">
        <v>1839</v>
      </c>
      <c r="RZF366" s="1643" t="s">
        <v>1840</v>
      </c>
      <c r="RZG366" s="1648">
        <v>603740</v>
      </c>
      <c r="RZH366" s="1648">
        <v>515055</v>
      </c>
      <c r="RZI366" s="1648">
        <v>530271</v>
      </c>
      <c r="RZJ366" s="1648">
        <v>212051</v>
      </c>
      <c r="RZK366" s="1648">
        <v>131147</v>
      </c>
      <c r="RZL366" s="1648">
        <v>101889</v>
      </c>
      <c r="RZM366" s="1648">
        <v>453326</v>
      </c>
      <c r="RZN366" s="1648">
        <v>298813</v>
      </c>
      <c r="RZO366" s="1648">
        <v>605808</v>
      </c>
      <c r="RZP366" s="1648">
        <v>847471</v>
      </c>
      <c r="RZQ366" s="1648">
        <v>1070054</v>
      </c>
      <c r="RZR366" s="1648">
        <v>1003687</v>
      </c>
      <c r="RZS366" s="635">
        <v>6373312</v>
      </c>
      <c r="RZT366" s="633">
        <f>SUM(RZG366:RZR366)</f>
        <v>6373312</v>
      </c>
      <c r="RZU366" s="919" t="s">
        <v>1839</v>
      </c>
      <c r="RZV366" s="1643" t="s">
        <v>1840</v>
      </c>
      <c r="RZW366" s="1648">
        <v>603740</v>
      </c>
      <c r="RZX366" s="1648">
        <v>515055</v>
      </c>
      <c r="RZY366" s="1648">
        <v>530271</v>
      </c>
      <c r="RZZ366" s="1648">
        <v>212051</v>
      </c>
      <c r="SAA366" s="1648">
        <v>131147</v>
      </c>
      <c r="SAB366" s="1648">
        <v>101889</v>
      </c>
      <c r="SAC366" s="1648">
        <v>453326</v>
      </c>
      <c r="SAD366" s="1648">
        <v>298813</v>
      </c>
      <c r="SAE366" s="1648">
        <v>605808</v>
      </c>
      <c r="SAF366" s="1648">
        <v>847471</v>
      </c>
      <c r="SAG366" s="1648">
        <v>1070054</v>
      </c>
      <c r="SAH366" s="1648">
        <v>1003687</v>
      </c>
      <c r="SAI366" s="635">
        <v>6373312</v>
      </c>
      <c r="SAJ366" s="633">
        <f>SUM(RZW366:SAH366)</f>
        <v>6373312</v>
      </c>
      <c r="SAK366" s="919" t="s">
        <v>1839</v>
      </c>
      <c r="SAL366" s="1643" t="s">
        <v>1840</v>
      </c>
      <c r="SAM366" s="1648">
        <v>603740</v>
      </c>
      <c r="SAN366" s="1648">
        <v>515055</v>
      </c>
      <c r="SAO366" s="1648">
        <v>530271</v>
      </c>
      <c r="SAP366" s="1648">
        <v>212051</v>
      </c>
      <c r="SAQ366" s="1648">
        <v>131147</v>
      </c>
      <c r="SAR366" s="1648">
        <v>101889</v>
      </c>
      <c r="SAS366" s="1648">
        <v>453326</v>
      </c>
      <c r="SAT366" s="1648">
        <v>298813</v>
      </c>
      <c r="SAU366" s="1648">
        <v>605808</v>
      </c>
      <c r="SAV366" s="1648">
        <v>847471</v>
      </c>
      <c r="SAW366" s="1648">
        <v>1070054</v>
      </c>
      <c r="SAX366" s="1648">
        <v>1003687</v>
      </c>
      <c r="SAY366" s="635">
        <v>6373312</v>
      </c>
      <c r="SAZ366" s="633">
        <f>SUM(SAM366:SAX366)</f>
        <v>6373312</v>
      </c>
      <c r="SBA366" s="919" t="s">
        <v>1839</v>
      </c>
      <c r="SBB366" s="1643" t="s">
        <v>1840</v>
      </c>
      <c r="SBC366" s="1648">
        <v>603740</v>
      </c>
      <c r="SBD366" s="1648">
        <v>515055</v>
      </c>
      <c r="SBE366" s="1648">
        <v>530271</v>
      </c>
      <c r="SBF366" s="1648">
        <v>212051</v>
      </c>
      <c r="SBG366" s="1648">
        <v>131147</v>
      </c>
      <c r="SBH366" s="1648">
        <v>101889</v>
      </c>
      <c r="SBI366" s="1648">
        <v>453326</v>
      </c>
      <c r="SBJ366" s="1648">
        <v>298813</v>
      </c>
      <c r="SBK366" s="1648">
        <v>605808</v>
      </c>
      <c r="SBL366" s="1648">
        <v>847471</v>
      </c>
      <c r="SBM366" s="1648">
        <v>1070054</v>
      </c>
      <c r="SBN366" s="1648">
        <v>1003687</v>
      </c>
      <c r="SBO366" s="635">
        <v>6373312</v>
      </c>
      <c r="SBP366" s="633">
        <f>SUM(SBC366:SBN366)</f>
        <v>6373312</v>
      </c>
      <c r="SBQ366" s="919" t="s">
        <v>1839</v>
      </c>
      <c r="SBR366" s="1643" t="s">
        <v>1840</v>
      </c>
      <c r="SBS366" s="1648">
        <v>603740</v>
      </c>
      <c r="SBT366" s="1648">
        <v>515055</v>
      </c>
      <c r="SBU366" s="1648">
        <v>530271</v>
      </c>
      <c r="SBV366" s="1648">
        <v>212051</v>
      </c>
      <c r="SBW366" s="1648">
        <v>131147</v>
      </c>
      <c r="SBX366" s="1648">
        <v>101889</v>
      </c>
      <c r="SBY366" s="1648">
        <v>453326</v>
      </c>
      <c r="SBZ366" s="1648">
        <v>298813</v>
      </c>
      <c r="SCA366" s="1648">
        <v>605808</v>
      </c>
      <c r="SCB366" s="1648">
        <v>847471</v>
      </c>
      <c r="SCC366" s="1648">
        <v>1070054</v>
      </c>
      <c r="SCD366" s="1648">
        <v>1003687</v>
      </c>
      <c r="SCE366" s="635">
        <v>6373312</v>
      </c>
      <c r="SCF366" s="633">
        <f>SUM(SBS366:SCD366)</f>
        <v>6373312</v>
      </c>
      <c r="SCG366" s="919" t="s">
        <v>1839</v>
      </c>
      <c r="SCH366" s="1643" t="s">
        <v>1840</v>
      </c>
      <c r="SCI366" s="1648">
        <v>603740</v>
      </c>
      <c r="SCJ366" s="1648">
        <v>515055</v>
      </c>
      <c r="SCK366" s="1648">
        <v>530271</v>
      </c>
      <c r="SCL366" s="1648">
        <v>212051</v>
      </c>
      <c r="SCM366" s="1648">
        <v>131147</v>
      </c>
      <c r="SCN366" s="1648">
        <v>101889</v>
      </c>
      <c r="SCO366" s="1648">
        <v>453326</v>
      </c>
      <c r="SCP366" s="1648">
        <v>298813</v>
      </c>
      <c r="SCQ366" s="1648">
        <v>605808</v>
      </c>
      <c r="SCR366" s="1648">
        <v>847471</v>
      </c>
      <c r="SCS366" s="1648">
        <v>1070054</v>
      </c>
      <c r="SCT366" s="1648">
        <v>1003687</v>
      </c>
      <c r="SCU366" s="635">
        <v>6373312</v>
      </c>
      <c r="SCV366" s="633">
        <f>SUM(SCI366:SCT366)</f>
        <v>6373312</v>
      </c>
      <c r="SCW366" s="919" t="s">
        <v>1839</v>
      </c>
      <c r="SCX366" s="1643" t="s">
        <v>1840</v>
      </c>
      <c r="SCY366" s="1648">
        <v>603740</v>
      </c>
      <c r="SCZ366" s="1648">
        <v>515055</v>
      </c>
      <c r="SDA366" s="1648">
        <v>530271</v>
      </c>
      <c r="SDB366" s="1648">
        <v>212051</v>
      </c>
      <c r="SDC366" s="1648">
        <v>131147</v>
      </c>
      <c r="SDD366" s="1648">
        <v>101889</v>
      </c>
      <c r="SDE366" s="1648">
        <v>453326</v>
      </c>
      <c r="SDF366" s="1648">
        <v>298813</v>
      </c>
      <c r="SDG366" s="1648">
        <v>605808</v>
      </c>
      <c r="SDH366" s="1648">
        <v>847471</v>
      </c>
      <c r="SDI366" s="1648">
        <v>1070054</v>
      </c>
      <c r="SDJ366" s="1648">
        <v>1003687</v>
      </c>
      <c r="SDK366" s="635">
        <v>6373312</v>
      </c>
      <c r="SDL366" s="633">
        <f>SUM(SCY366:SDJ366)</f>
        <v>6373312</v>
      </c>
      <c r="SDM366" s="919" t="s">
        <v>1839</v>
      </c>
      <c r="SDN366" s="1643" t="s">
        <v>1840</v>
      </c>
      <c r="SDO366" s="1648">
        <v>603740</v>
      </c>
      <c r="SDP366" s="1648">
        <v>515055</v>
      </c>
      <c r="SDQ366" s="1648">
        <v>530271</v>
      </c>
      <c r="SDR366" s="1648">
        <v>212051</v>
      </c>
      <c r="SDS366" s="1648">
        <v>131147</v>
      </c>
      <c r="SDT366" s="1648">
        <v>101889</v>
      </c>
      <c r="SDU366" s="1648">
        <v>453326</v>
      </c>
      <c r="SDV366" s="1648">
        <v>298813</v>
      </c>
      <c r="SDW366" s="1648">
        <v>605808</v>
      </c>
      <c r="SDX366" s="1648">
        <v>847471</v>
      </c>
      <c r="SDY366" s="1648">
        <v>1070054</v>
      </c>
      <c r="SDZ366" s="1648">
        <v>1003687</v>
      </c>
      <c r="SEA366" s="635">
        <v>6373312</v>
      </c>
      <c r="SEB366" s="633">
        <f>SUM(SDO366:SDZ366)</f>
        <v>6373312</v>
      </c>
      <c r="SEC366" s="919" t="s">
        <v>1839</v>
      </c>
      <c r="SED366" s="1643" t="s">
        <v>1840</v>
      </c>
      <c r="SEE366" s="1648">
        <v>603740</v>
      </c>
      <c r="SEF366" s="1648">
        <v>515055</v>
      </c>
      <c r="SEG366" s="1648">
        <v>530271</v>
      </c>
      <c r="SEH366" s="1648">
        <v>212051</v>
      </c>
      <c r="SEI366" s="1648">
        <v>131147</v>
      </c>
      <c r="SEJ366" s="1648">
        <v>101889</v>
      </c>
      <c r="SEK366" s="1648">
        <v>453326</v>
      </c>
      <c r="SEL366" s="1648">
        <v>298813</v>
      </c>
      <c r="SEM366" s="1648">
        <v>605808</v>
      </c>
      <c r="SEN366" s="1648">
        <v>847471</v>
      </c>
      <c r="SEO366" s="1648">
        <v>1070054</v>
      </c>
      <c r="SEP366" s="1648">
        <v>1003687</v>
      </c>
      <c r="SEQ366" s="635">
        <v>6373312</v>
      </c>
      <c r="SER366" s="633">
        <f>SUM(SEE366:SEP366)</f>
        <v>6373312</v>
      </c>
      <c r="SES366" s="919" t="s">
        <v>1839</v>
      </c>
      <c r="SET366" s="1643" t="s">
        <v>1840</v>
      </c>
      <c r="SEU366" s="1648">
        <v>603740</v>
      </c>
      <c r="SEV366" s="1648">
        <v>515055</v>
      </c>
      <c r="SEW366" s="1648">
        <v>530271</v>
      </c>
      <c r="SEX366" s="1648">
        <v>212051</v>
      </c>
      <c r="SEY366" s="1648">
        <v>131147</v>
      </c>
      <c r="SEZ366" s="1648">
        <v>101889</v>
      </c>
      <c r="SFA366" s="1648">
        <v>453326</v>
      </c>
      <c r="SFB366" s="1648">
        <v>298813</v>
      </c>
      <c r="SFC366" s="1648">
        <v>605808</v>
      </c>
      <c r="SFD366" s="1648">
        <v>847471</v>
      </c>
      <c r="SFE366" s="1648">
        <v>1070054</v>
      </c>
      <c r="SFF366" s="1648">
        <v>1003687</v>
      </c>
      <c r="SFG366" s="635">
        <v>6373312</v>
      </c>
      <c r="SFH366" s="633">
        <f>SUM(SEU366:SFF366)</f>
        <v>6373312</v>
      </c>
      <c r="SFI366" s="919" t="s">
        <v>1839</v>
      </c>
      <c r="SFJ366" s="1643" t="s">
        <v>1840</v>
      </c>
      <c r="SFK366" s="1648">
        <v>603740</v>
      </c>
      <c r="SFL366" s="1648">
        <v>515055</v>
      </c>
      <c r="SFM366" s="1648">
        <v>530271</v>
      </c>
      <c r="SFN366" s="1648">
        <v>212051</v>
      </c>
      <c r="SFO366" s="1648">
        <v>131147</v>
      </c>
      <c r="SFP366" s="1648">
        <v>101889</v>
      </c>
      <c r="SFQ366" s="1648">
        <v>453326</v>
      </c>
      <c r="SFR366" s="1648">
        <v>298813</v>
      </c>
      <c r="SFS366" s="1648">
        <v>605808</v>
      </c>
      <c r="SFT366" s="1648">
        <v>847471</v>
      </c>
      <c r="SFU366" s="1648">
        <v>1070054</v>
      </c>
      <c r="SFV366" s="1648">
        <v>1003687</v>
      </c>
      <c r="SFW366" s="635">
        <v>6373312</v>
      </c>
      <c r="SFX366" s="633">
        <f>SUM(SFK366:SFV366)</f>
        <v>6373312</v>
      </c>
      <c r="SFY366" s="919" t="s">
        <v>1839</v>
      </c>
      <c r="SFZ366" s="1643" t="s">
        <v>1840</v>
      </c>
      <c r="SGA366" s="1648">
        <v>603740</v>
      </c>
      <c r="SGB366" s="1648">
        <v>515055</v>
      </c>
      <c r="SGC366" s="1648">
        <v>530271</v>
      </c>
      <c r="SGD366" s="1648">
        <v>212051</v>
      </c>
      <c r="SGE366" s="1648">
        <v>131147</v>
      </c>
      <c r="SGF366" s="1648">
        <v>101889</v>
      </c>
      <c r="SGG366" s="1648">
        <v>453326</v>
      </c>
      <c r="SGH366" s="1648">
        <v>298813</v>
      </c>
      <c r="SGI366" s="1648">
        <v>605808</v>
      </c>
      <c r="SGJ366" s="1648">
        <v>847471</v>
      </c>
      <c r="SGK366" s="1648">
        <v>1070054</v>
      </c>
      <c r="SGL366" s="1648">
        <v>1003687</v>
      </c>
      <c r="SGM366" s="635">
        <v>6373312</v>
      </c>
      <c r="SGN366" s="633">
        <f>SUM(SGA366:SGL366)</f>
        <v>6373312</v>
      </c>
      <c r="SGO366" s="919" t="s">
        <v>1839</v>
      </c>
      <c r="SGP366" s="1643" t="s">
        <v>1840</v>
      </c>
      <c r="SGQ366" s="1648">
        <v>603740</v>
      </c>
      <c r="SGR366" s="1648">
        <v>515055</v>
      </c>
      <c r="SGS366" s="1648">
        <v>530271</v>
      </c>
      <c r="SGT366" s="1648">
        <v>212051</v>
      </c>
      <c r="SGU366" s="1648">
        <v>131147</v>
      </c>
      <c r="SGV366" s="1648">
        <v>101889</v>
      </c>
      <c r="SGW366" s="1648">
        <v>453326</v>
      </c>
      <c r="SGX366" s="1648">
        <v>298813</v>
      </c>
      <c r="SGY366" s="1648">
        <v>605808</v>
      </c>
      <c r="SGZ366" s="1648">
        <v>847471</v>
      </c>
      <c r="SHA366" s="1648">
        <v>1070054</v>
      </c>
      <c r="SHB366" s="1648">
        <v>1003687</v>
      </c>
      <c r="SHC366" s="635">
        <v>6373312</v>
      </c>
      <c r="SHD366" s="633">
        <f>SUM(SGQ366:SHB366)</f>
        <v>6373312</v>
      </c>
      <c r="SHE366" s="919" t="s">
        <v>1839</v>
      </c>
      <c r="SHF366" s="1643" t="s">
        <v>1840</v>
      </c>
      <c r="SHG366" s="1648">
        <v>603740</v>
      </c>
      <c r="SHH366" s="1648">
        <v>515055</v>
      </c>
      <c r="SHI366" s="1648">
        <v>530271</v>
      </c>
      <c r="SHJ366" s="1648">
        <v>212051</v>
      </c>
      <c r="SHK366" s="1648">
        <v>131147</v>
      </c>
      <c r="SHL366" s="1648">
        <v>101889</v>
      </c>
      <c r="SHM366" s="1648">
        <v>453326</v>
      </c>
      <c r="SHN366" s="1648">
        <v>298813</v>
      </c>
      <c r="SHO366" s="1648">
        <v>605808</v>
      </c>
      <c r="SHP366" s="1648">
        <v>847471</v>
      </c>
      <c r="SHQ366" s="1648">
        <v>1070054</v>
      </c>
      <c r="SHR366" s="1648">
        <v>1003687</v>
      </c>
      <c r="SHS366" s="635">
        <v>6373312</v>
      </c>
      <c r="SHT366" s="633">
        <f>SUM(SHG366:SHR366)</f>
        <v>6373312</v>
      </c>
      <c r="SHU366" s="919" t="s">
        <v>1839</v>
      </c>
      <c r="SHV366" s="1643" t="s">
        <v>1840</v>
      </c>
      <c r="SHW366" s="1648">
        <v>603740</v>
      </c>
      <c r="SHX366" s="1648">
        <v>515055</v>
      </c>
      <c r="SHY366" s="1648">
        <v>530271</v>
      </c>
      <c r="SHZ366" s="1648">
        <v>212051</v>
      </c>
      <c r="SIA366" s="1648">
        <v>131147</v>
      </c>
      <c r="SIB366" s="1648">
        <v>101889</v>
      </c>
      <c r="SIC366" s="1648">
        <v>453326</v>
      </c>
      <c r="SID366" s="1648">
        <v>298813</v>
      </c>
      <c r="SIE366" s="1648">
        <v>605808</v>
      </c>
      <c r="SIF366" s="1648">
        <v>847471</v>
      </c>
      <c r="SIG366" s="1648">
        <v>1070054</v>
      </c>
      <c r="SIH366" s="1648">
        <v>1003687</v>
      </c>
      <c r="SII366" s="635">
        <v>6373312</v>
      </c>
      <c r="SIJ366" s="633">
        <f>SUM(SHW366:SIH366)</f>
        <v>6373312</v>
      </c>
      <c r="SIK366" s="919" t="s">
        <v>1839</v>
      </c>
      <c r="SIL366" s="1643" t="s">
        <v>1840</v>
      </c>
      <c r="SIM366" s="1648">
        <v>603740</v>
      </c>
      <c r="SIN366" s="1648">
        <v>515055</v>
      </c>
      <c r="SIO366" s="1648">
        <v>530271</v>
      </c>
      <c r="SIP366" s="1648">
        <v>212051</v>
      </c>
      <c r="SIQ366" s="1648">
        <v>131147</v>
      </c>
      <c r="SIR366" s="1648">
        <v>101889</v>
      </c>
      <c r="SIS366" s="1648">
        <v>453326</v>
      </c>
      <c r="SIT366" s="1648">
        <v>298813</v>
      </c>
      <c r="SIU366" s="1648">
        <v>605808</v>
      </c>
      <c r="SIV366" s="1648">
        <v>847471</v>
      </c>
      <c r="SIW366" s="1648">
        <v>1070054</v>
      </c>
      <c r="SIX366" s="1648">
        <v>1003687</v>
      </c>
      <c r="SIY366" s="635">
        <v>6373312</v>
      </c>
      <c r="SIZ366" s="633">
        <f>SUM(SIM366:SIX366)</f>
        <v>6373312</v>
      </c>
      <c r="SJA366" s="919" t="s">
        <v>1839</v>
      </c>
      <c r="SJB366" s="1643" t="s">
        <v>1840</v>
      </c>
      <c r="SJC366" s="1648">
        <v>603740</v>
      </c>
      <c r="SJD366" s="1648">
        <v>515055</v>
      </c>
      <c r="SJE366" s="1648">
        <v>530271</v>
      </c>
      <c r="SJF366" s="1648">
        <v>212051</v>
      </c>
      <c r="SJG366" s="1648">
        <v>131147</v>
      </c>
      <c r="SJH366" s="1648">
        <v>101889</v>
      </c>
      <c r="SJI366" s="1648">
        <v>453326</v>
      </c>
      <c r="SJJ366" s="1648">
        <v>298813</v>
      </c>
      <c r="SJK366" s="1648">
        <v>605808</v>
      </c>
      <c r="SJL366" s="1648">
        <v>847471</v>
      </c>
      <c r="SJM366" s="1648">
        <v>1070054</v>
      </c>
      <c r="SJN366" s="1648">
        <v>1003687</v>
      </c>
      <c r="SJO366" s="635">
        <v>6373312</v>
      </c>
      <c r="SJP366" s="633">
        <f>SUM(SJC366:SJN366)</f>
        <v>6373312</v>
      </c>
      <c r="SJQ366" s="919" t="s">
        <v>1839</v>
      </c>
      <c r="SJR366" s="1643" t="s">
        <v>1840</v>
      </c>
      <c r="SJS366" s="1648">
        <v>603740</v>
      </c>
      <c r="SJT366" s="1648">
        <v>515055</v>
      </c>
      <c r="SJU366" s="1648">
        <v>530271</v>
      </c>
      <c r="SJV366" s="1648">
        <v>212051</v>
      </c>
      <c r="SJW366" s="1648">
        <v>131147</v>
      </c>
      <c r="SJX366" s="1648">
        <v>101889</v>
      </c>
      <c r="SJY366" s="1648">
        <v>453326</v>
      </c>
      <c r="SJZ366" s="1648">
        <v>298813</v>
      </c>
      <c r="SKA366" s="1648">
        <v>605808</v>
      </c>
      <c r="SKB366" s="1648">
        <v>847471</v>
      </c>
      <c r="SKC366" s="1648">
        <v>1070054</v>
      </c>
      <c r="SKD366" s="1648">
        <v>1003687</v>
      </c>
      <c r="SKE366" s="635">
        <v>6373312</v>
      </c>
      <c r="SKF366" s="633">
        <f>SUM(SJS366:SKD366)</f>
        <v>6373312</v>
      </c>
      <c r="SKG366" s="919" t="s">
        <v>1839</v>
      </c>
      <c r="SKH366" s="1643" t="s">
        <v>1840</v>
      </c>
      <c r="SKI366" s="1648">
        <v>603740</v>
      </c>
      <c r="SKJ366" s="1648">
        <v>515055</v>
      </c>
      <c r="SKK366" s="1648">
        <v>530271</v>
      </c>
      <c r="SKL366" s="1648">
        <v>212051</v>
      </c>
      <c r="SKM366" s="1648">
        <v>131147</v>
      </c>
      <c r="SKN366" s="1648">
        <v>101889</v>
      </c>
      <c r="SKO366" s="1648">
        <v>453326</v>
      </c>
      <c r="SKP366" s="1648">
        <v>298813</v>
      </c>
      <c r="SKQ366" s="1648">
        <v>605808</v>
      </c>
      <c r="SKR366" s="1648">
        <v>847471</v>
      </c>
      <c r="SKS366" s="1648">
        <v>1070054</v>
      </c>
      <c r="SKT366" s="1648">
        <v>1003687</v>
      </c>
      <c r="SKU366" s="635">
        <v>6373312</v>
      </c>
      <c r="SKV366" s="633">
        <f>SUM(SKI366:SKT366)</f>
        <v>6373312</v>
      </c>
      <c r="SKW366" s="919" t="s">
        <v>1839</v>
      </c>
      <c r="SKX366" s="1643" t="s">
        <v>1840</v>
      </c>
      <c r="SKY366" s="1648">
        <v>603740</v>
      </c>
      <c r="SKZ366" s="1648">
        <v>515055</v>
      </c>
      <c r="SLA366" s="1648">
        <v>530271</v>
      </c>
      <c r="SLB366" s="1648">
        <v>212051</v>
      </c>
      <c r="SLC366" s="1648">
        <v>131147</v>
      </c>
      <c r="SLD366" s="1648">
        <v>101889</v>
      </c>
      <c r="SLE366" s="1648">
        <v>453326</v>
      </c>
      <c r="SLF366" s="1648">
        <v>298813</v>
      </c>
      <c r="SLG366" s="1648">
        <v>605808</v>
      </c>
      <c r="SLH366" s="1648">
        <v>847471</v>
      </c>
      <c r="SLI366" s="1648">
        <v>1070054</v>
      </c>
      <c r="SLJ366" s="1648">
        <v>1003687</v>
      </c>
      <c r="SLK366" s="635">
        <v>6373312</v>
      </c>
      <c r="SLL366" s="633">
        <f>SUM(SKY366:SLJ366)</f>
        <v>6373312</v>
      </c>
      <c r="SLM366" s="919" t="s">
        <v>1839</v>
      </c>
      <c r="SLN366" s="1643" t="s">
        <v>1840</v>
      </c>
      <c r="SLO366" s="1648">
        <v>603740</v>
      </c>
      <c r="SLP366" s="1648">
        <v>515055</v>
      </c>
      <c r="SLQ366" s="1648">
        <v>530271</v>
      </c>
      <c r="SLR366" s="1648">
        <v>212051</v>
      </c>
      <c r="SLS366" s="1648">
        <v>131147</v>
      </c>
      <c r="SLT366" s="1648">
        <v>101889</v>
      </c>
      <c r="SLU366" s="1648">
        <v>453326</v>
      </c>
      <c r="SLV366" s="1648">
        <v>298813</v>
      </c>
      <c r="SLW366" s="1648">
        <v>605808</v>
      </c>
      <c r="SLX366" s="1648">
        <v>847471</v>
      </c>
      <c r="SLY366" s="1648">
        <v>1070054</v>
      </c>
      <c r="SLZ366" s="1648">
        <v>1003687</v>
      </c>
      <c r="SMA366" s="635">
        <v>6373312</v>
      </c>
      <c r="SMB366" s="633">
        <f>SUM(SLO366:SLZ366)</f>
        <v>6373312</v>
      </c>
      <c r="SMC366" s="919" t="s">
        <v>1839</v>
      </c>
      <c r="SMD366" s="1643" t="s">
        <v>1840</v>
      </c>
      <c r="SME366" s="1648">
        <v>603740</v>
      </c>
      <c r="SMF366" s="1648">
        <v>515055</v>
      </c>
      <c r="SMG366" s="1648">
        <v>530271</v>
      </c>
      <c r="SMH366" s="1648">
        <v>212051</v>
      </c>
      <c r="SMI366" s="1648">
        <v>131147</v>
      </c>
      <c r="SMJ366" s="1648">
        <v>101889</v>
      </c>
      <c r="SMK366" s="1648">
        <v>453326</v>
      </c>
      <c r="SML366" s="1648">
        <v>298813</v>
      </c>
      <c r="SMM366" s="1648">
        <v>605808</v>
      </c>
      <c r="SMN366" s="1648">
        <v>847471</v>
      </c>
      <c r="SMO366" s="1648">
        <v>1070054</v>
      </c>
      <c r="SMP366" s="1648">
        <v>1003687</v>
      </c>
      <c r="SMQ366" s="635">
        <v>6373312</v>
      </c>
      <c r="SMR366" s="633">
        <f>SUM(SME366:SMP366)</f>
        <v>6373312</v>
      </c>
      <c r="SMS366" s="919" t="s">
        <v>1839</v>
      </c>
      <c r="SMT366" s="1643" t="s">
        <v>1840</v>
      </c>
      <c r="SMU366" s="1648">
        <v>603740</v>
      </c>
      <c r="SMV366" s="1648">
        <v>515055</v>
      </c>
      <c r="SMW366" s="1648">
        <v>530271</v>
      </c>
      <c r="SMX366" s="1648">
        <v>212051</v>
      </c>
      <c r="SMY366" s="1648">
        <v>131147</v>
      </c>
      <c r="SMZ366" s="1648">
        <v>101889</v>
      </c>
      <c r="SNA366" s="1648">
        <v>453326</v>
      </c>
      <c r="SNB366" s="1648">
        <v>298813</v>
      </c>
      <c r="SNC366" s="1648">
        <v>605808</v>
      </c>
      <c r="SND366" s="1648">
        <v>847471</v>
      </c>
      <c r="SNE366" s="1648">
        <v>1070054</v>
      </c>
      <c r="SNF366" s="1648">
        <v>1003687</v>
      </c>
      <c r="SNG366" s="635">
        <v>6373312</v>
      </c>
      <c r="SNH366" s="633">
        <f>SUM(SMU366:SNF366)</f>
        <v>6373312</v>
      </c>
      <c r="SNI366" s="919" t="s">
        <v>1839</v>
      </c>
      <c r="SNJ366" s="1643" t="s">
        <v>1840</v>
      </c>
      <c r="SNK366" s="1648">
        <v>603740</v>
      </c>
      <c r="SNL366" s="1648">
        <v>515055</v>
      </c>
      <c r="SNM366" s="1648">
        <v>530271</v>
      </c>
      <c r="SNN366" s="1648">
        <v>212051</v>
      </c>
      <c r="SNO366" s="1648">
        <v>131147</v>
      </c>
      <c r="SNP366" s="1648">
        <v>101889</v>
      </c>
      <c r="SNQ366" s="1648">
        <v>453326</v>
      </c>
      <c r="SNR366" s="1648">
        <v>298813</v>
      </c>
      <c r="SNS366" s="1648">
        <v>605808</v>
      </c>
      <c r="SNT366" s="1648">
        <v>847471</v>
      </c>
      <c r="SNU366" s="1648">
        <v>1070054</v>
      </c>
      <c r="SNV366" s="1648">
        <v>1003687</v>
      </c>
      <c r="SNW366" s="635">
        <v>6373312</v>
      </c>
      <c r="SNX366" s="633">
        <f>SUM(SNK366:SNV366)</f>
        <v>6373312</v>
      </c>
      <c r="SNY366" s="919" t="s">
        <v>1839</v>
      </c>
      <c r="SNZ366" s="1643" t="s">
        <v>1840</v>
      </c>
      <c r="SOA366" s="1648">
        <v>603740</v>
      </c>
      <c r="SOB366" s="1648">
        <v>515055</v>
      </c>
      <c r="SOC366" s="1648">
        <v>530271</v>
      </c>
      <c r="SOD366" s="1648">
        <v>212051</v>
      </c>
      <c r="SOE366" s="1648">
        <v>131147</v>
      </c>
      <c r="SOF366" s="1648">
        <v>101889</v>
      </c>
      <c r="SOG366" s="1648">
        <v>453326</v>
      </c>
      <c r="SOH366" s="1648">
        <v>298813</v>
      </c>
      <c r="SOI366" s="1648">
        <v>605808</v>
      </c>
      <c r="SOJ366" s="1648">
        <v>847471</v>
      </c>
      <c r="SOK366" s="1648">
        <v>1070054</v>
      </c>
      <c r="SOL366" s="1648">
        <v>1003687</v>
      </c>
      <c r="SOM366" s="635">
        <v>6373312</v>
      </c>
      <c r="SON366" s="633">
        <f>SUM(SOA366:SOL366)</f>
        <v>6373312</v>
      </c>
      <c r="SOO366" s="919" t="s">
        <v>1839</v>
      </c>
      <c r="SOP366" s="1643" t="s">
        <v>1840</v>
      </c>
      <c r="SOQ366" s="1648">
        <v>603740</v>
      </c>
      <c r="SOR366" s="1648">
        <v>515055</v>
      </c>
      <c r="SOS366" s="1648">
        <v>530271</v>
      </c>
      <c r="SOT366" s="1648">
        <v>212051</v>
      </c>
      <c r="SOU366" s="1648">
        <v>131147</v>
      </c>
      <c r="SOV366" s="1648">
        <v>101889</v>
      </c>
      <c r="SOW366" s="1648">
        <v>453326</v>
      </c>
      <c r="SOX366" s="1648">
        <v>298813</v>
      </c>
      <c r="SOY366" s="1648">
        <v>605808</v>
      </c>
      <c r="SOZ366" s="1648">
        <v>847471</v>
      </c>
      <c r="SPA366" s="1648">
        <v>1070054</v>
      </c>
      <c r="SPB366" s="1648">
        <v>1003687</v>
      </c>
      <c r="SPC366" s="635">
        <v>6373312</v>
      </c>
      <c r="SPD366" s="633">
        <f>SUM(SOQ366:SPB366)</f>
        <v>6373312</v>
      </c>
      <c r="SPE366" s="919" t="s">
        <v>1839</v>
      </c>
      <c r="SPF366" s="1643" t="s">
        <v>1840</v>
      </c>
      <c r="SPG366" s="1648">
        <v>603740</v>
      </c>
      <c r="SPH366" s="1648">
        <v>515055</v>
      </c>
      <c r="SPI366" s="1648">
        <v>530271</v>
      </c>
      <c r="SPJ366" s="1648">
        <v>212051</v>
      </c>
      <c r="SPK366" s="1648">
        <v>131147</v>
      </c>
      <c r="SPL366" s="1648">
        <v>101889</v>
      </c>
      <c r="SPM366" s="1648">
        <v>453326</v>
      </c>
      <c r="SPN366" s="1648">
        <v>298813</v>
      </c>
      <c r="SPO366" s="1648">
        <v>605808</v>
      </c>
      <c r="SPP366" s="1648">
        <v>847471</v>
      </c>
      <c r="SPQ366" s="1648">
        <v>1070054</v>
      </c>
      <c r="SPR366" s="1648">
        <v>1003687</v>
      </c>
      <c r="SPS366" s="635">
        <v>6373312</v>
      </c>
      <c r="SPT366" s="633">
        <f>SUM(SPG366:SPR366)</f>
        <v>6373312</v>
      </c>
      <c r="SPU366" s="919" t="s">
        <v>1839</v>
      </c>
      <c r="SPV366" s="1643" t="s">
        <v>1840</v>
      </c>
      <c r="SPW366" s="1648">
        <v>603740</v>
      </c>
      <c r="SPX366" s="1648">
        <v>515055</v>
      </c>
      <c r="SPY366" s="1648">
        <v>530271</v>
      </c>
      <c r="SPZ366" s="1648">
        <v>212051</v>
      </c>
      <c r="SQA366" s="1648">
        <v>131147</v>
      </c>
      <c r="SQB366" s="1648">
        <v>101889</v>
      </c>
      <c r="SQC366" s="1648">
        <v>453326</v>
      </c>
      <c r="SQD366" s="1648">
        <v>298813</v>
      </c>
      <c r="SQE366" s="1648">
        <v>605808</v>
      </c>
      <c r="SQF366" s="1648">
        <v>847471</v>
      </c>
      <c r="SQG366" s="1648">
        <v>1070054</v>
      </c>
      <c r="SQH366" s="1648">
        <v>1003687</v>
      </c>
      <c r="SQI366" s="635">
        <v>6373312</v>
      </c>
      <c r="SQJ366" s="633">
        <f>SUM(SPW366:SQH366)</f>
        <v>6373312</v>
      </c>
      <c r="SQK366" s="919" t="s">
        <v>1839</v>
      </c>
      <c r="SQL366" s="1643" t="s">
        <v>1840</v>
      </c>
      <c r="SQM366" s="1648">
        <v>603740</v>
      </c>
      <c r="SQN366" s="1648">
        <v>515055</v>
      </c>
      <c r="SQO366" s="1648">
        <v>530271</v>
      </c>
      <c r="SQP366" s="1648">
        <v>212051</v>
      </c>
      <c r="SQQ366" s="1648">
        <v>131147</v>
      </c>
      <c r="SQR366" s="1648">
        <v>101889</v>
      </c>
      <c r="SQS366" s="1648">
        <v>453326</v>
      </c>
      <c r="SQT366" s="1648">
        <v>298813</v>
      </c>
      <c r="SQU366" s="1648">
        <v>605808</v>
      </c>
      <c r="SQV366" s="1648">
        <v>847471</v>
      </c>
      <c r="SQW366" s="1648">
        <v>1070054</v>
      </c>
      <c r="SQX366" s="1648">
        <v>1003687</v>
      </c>
      <c r="SQY366" s="635">
        <v>6373312</v>
      </c>
      <c r="SQZ366" s="633">
        <f>SUM(SQM366:SQX366)</f>
        <v>6373312</v>
      </c>
      <c r="SRA366" s="919" t="s">
        <v>1839</v>
      </c>
      <c r="SRB366" s="1643" t="s">
        <v>1840</v>
      </c>
      <c r="SRC366" s="1648">
        <v>603740</v>
      </c>
      <c r="SRD366" s="1648">
        <v>515055</v>
      </c>
      <c r="SRE366" s="1648">
        <v>530271</v>
      </c>
      <c r="SRF366" s="1648">
        <v>212051</v>
      </c>
      <c r="SRG366" s="1648">
        <v>131147</v>
      </c>
      <c r="SRH366" s="1648">
        <v>101889</v>
      </c>
      <c r="SRI366" s="1648">
        <v>453326</v>
      </c>
      <c r="SRJ366" s="1648">
        <v>298813</v>
      </c>
      <c r="SRK366" s="1648">
        <v>605808</v>
      </c>
      <c r="SRL366" s="1648">
        <v>847471</v>
      </c>
      <c r="SRM366" s="1648">
        <v>1070054</v>
      </c>
      <c r="SRN366" s="1648">
        <v>1003687</v>
      </c>
      <c r="SRO366" s="635">
        <v>6373312</v>
      </c>
      <c r="SRP366" s="633">
        <f>SUM(SRC366:SRN366)</f>
        <v>6373312</v>
      </c>
      <c r="SRQ366" s="919" t="s">
        <v>1839</v>
      </c>
      <c r="SRR366" s="1643" t="s">
        <v>1840</v>
      </c>
      <c r="SRS366" s="1648">
        <v>603740</v>
      </c>
      <c r="SRT366" s="1648">
        <v>515055</v>
      </c>
      <c r="SRU366" s="1648">
        <v>530271</v>
      </c>
      <c r="SRV366" s="1648">
        <v>212051</v>
      </c>
      <c r="SRW366" s="1648">
        <v>131147</v>
      </c>
      <c r="SRX366" s="1648">
        <v>101889</v>
      </c>
      <c r="SRY366" s="1648">
        <v>453326</v>
      </c>
      <c r="SRZ366" s="1648">
        <v>298813</v>
      </c>
      <c r="SSA366" s="1648">
        <v>605808</v>
      </c>
      <c r="SSB366" s="1648">
        <v>847471</v>
      </c>
      <c r="SSC366" s="1648">
        <v>1070054</v>
      </c>
      <c r="SSD366" s="1648">
        <v>1003687</v>
      </c>
      <c r="SSE366" s="635">
        <v>6373312</v>
      </c>
      <c r="SSF366" s="633">
        <f>SUM(SRS366:SSD366)</f>
        <v>6373312</v>
      </c>
      <c r="SSG366" s="919" t="s">
        <v>1839</v>
      </c>
      <c r="SSH366" s="1643" t="s">
        <v>1840</v>
      </c>
      <c r="SSI366" s="1648">
        <v>603740</v>
      </c>
      <c r="SSJ366" s="1648">
        <v>515055</v>
      </c>
      <c r="SSK366" s="1648">
        <v>530271</v>
      </c>
      <c r="SSL366" s="1648">
        <v>212051</v>
      </c>
      <c r="SSM366" s="1648">
        <v>131147</v>
      </c>
      <c r="SSN366" s="1648">
        <v>101889</v>
      </c>
      <c r="SSO366" s="1648">
        <v>453326</v>
      </c>
      <c r="SSP366" s="1648">
        <v>298813</v>
      </c>
      <c r="SSQ366" s="1648">
        <v>605808</v>
      </c>
      <c r="SSR366" s="1648">
        <v>847471</v>
      </c>
      <c r="SSS366" s="1648">
        <v>1070054</v>
      </c>
      <c r="SST366" s="1648">
        <v>1003687</v>
      </c>
      <c r="SSU366" s="635">
        <v>6373312</v>
      </c>
      <c r="SSV366" s="633">
        <f>SUM(SSI366:SST366)</f>
        <v>6373312</v>
      </c>
      <c r="SSW366" s="919" t="s">
        <v>1839</v>
      </c>
      <c r="SSX366" s="1643" t="s">
        <v>1840</v>
      </c>
      <c r="SSY366" s="1648">
        <v>603740</v>
      </c>
      <c r="SSZ366" s="1648">
        <v>515055</v>
      </c>
      <c r="STA366" s="1648">
        <v>530271</v>
      </c>
      <c r="STB366" s="1648">
        <v>212051</v>
      </c>
      <c r="STC366" s="1648">
        <v>131147</v>
      </c>
      <c r="STD366" s="1648">
        <v>101889</v>
      </c>
      <c r="STE366" s="1648">
        <v>453326</v>
      </c>
      <c r="STF366" s="1648">
        <v>298813</v>
      </c>
      <c r="STG366" s="1648">
        <v>605808</v>
      </c>
      <c r="STH366" s="1648">
        <v>847471</v>
      </c>
      <c r="STI366" s="1648">
        <v>1070054</v>
      </c>
      <c r="STJ366" s="1648">
        <v>1003687</v>
      </c>
      <c r="STK366" s="635">
        <v>6373312</v>
      </c>
      <c r="STL366" s="633">
        <f>SUM(SSY366:STJ366)</f>
        <v>6373312</v>
      </c>
      <c r="STM366" s="919" t="s">
        <v>1839</v>
      </c>
      <c r="STN366" s="1643" t="s">
        <v>1840</v>
      </c>
      <c r="STO366" s="1648">
        <v>603740</v>
      </c>
      <c r="STP366" s="1648">
        <v>515055</v>
      </c>
      <c r="STQ366" s="1648">
        <v>530271</v>
      </c>
      <c r="STR366" s="1648">
        <v>212051</v>
      </c>
      <c r="STS366" s="1648">
        <v>131147</v>
      </c>
      <c r="STT366" s="1648">
        <v>101889</v>
      </c>
      <c r="STU366" s="1648">
        <v>453326</v>
      </c>
      <c r="STV366" s="1648">
        <v>298813</v>
      </c>
      <c r="STW366" s="1648">
        <v>605808</v>
      </c>
      <c r="STX366" s="1648">
        <v>847471</v>
      </c>
      <c r="STY366" s="1648">
        <v>1070054</v>
      </c>
      <c r="STZ366" s="1648">
        <v>1003687</v>
      </c>
      <c r="SUA366" s="635">
        <v>6373312</v>
      </c>
      <c r="SUB366" s="633">
        <f>SUM(STO366:STZ366)</f>
        <v>6373312</v>
      </c>
    </row>
    <row r="367" spans="1:13392" s="57" customFormat="1">
      <c r="A367" s="638"/>
      <c r="B367" s="639"/>
      <c r="C367" s="153"/>
      <c r="D367" s="153"/>
      <c r="E367" s="153"/>
      <c r="F367" s="153"/>
      <c r="G367" s="153"/>
      <c r="H367" s="153"/>
      <c r="I367" s="153"/>
      <c r="J367" s="153"/>
      <c r="K367" s="153"/>
      <c r="L367" s="153"/>
      <c r="M367" s="153"/>
      <c r="N367" s="153"/>
      <c r="O367" s="640"/>
      <c r="P367" s="641"/>
      <c r="Q367" s="693"/>
      <c r="R367" s="694"/>
      <c r="S367" s="687"/>
      <c r="T367" s="687"/>
      <c r="U367" s="687"/>
      <c r="V367" s="687"/>
      <c r="W367" s="687"/>
      <c r="X367" s="687"/>
      <c r="Y367" s="687"/>
      <c r="Z367" s="687"/>
      <c r="AA367" s="687"/>
      <c r="AB367" s="687"/>
      <c r="AC367" s="687"/>
      <c r="AD367" s="687"/>
      <c r="AE367" s="699"/>
      <c r="AF367" s="692"/>
      <c r="AG367" s="638"/>
      <c r="AH367" s="639"/>
      <c r="AI367" s="153"/>
      <c r="AJ367" s="153"/>
      <c r="AK367" s="153"/>
      <c r="AL367" s="153"/>
      <c r="AM367" s="153"/>
      <c r="AN367" s="153"/>
      <c r="AO367" s="153"/>
      <c r="AP367" s="153"/>
      <c r="AQ367" s="153"/>
      <c r="AR367" s="153"/>
      <c r="AS367" s="153"/>
      <c r="AT367" s="153"/>
      <c r="AU367" s="640"/>
      <c r="AV367" s="641"/>
      <c r="AW367" s="638"/>
      <c r="AX367" s="639"/>
      <c r="AY367" s="153"/>
      <c r="AZ367" s="153"/>
      <c r="BA367" s="153"/>
      <c r="BB367" s="153"/>
      <c r="BC367" s="153"/>
      <c r="BD367" s="153"/>
      <c r="BE367" s="153"/>
      <c r="BF367" s="153"/>
      <c r="BG367" s="153"/>
      <c r="BH367" s="153"/>
      <c r="BI367" s="153"/>
      <c r="BJ367" s="153"/>
      <c r="BK367" s="640"/>
      <c r="BL367" s="641"/>
      <c r="BM367" s="638"/>
      <c r="BN367" s="639"/>
      <c r="BO367" s="153"/>
      <c r="BP367" s="153"/>
      <c r="BQ367" s="153"/>
      <c r="BR367" s="153"/>
      <c r="BS367" s="153"/>
      <c r="BT367" s="153"/>
      <c r="BU367" s="153"/>
      <c r="BV367" s="153"/>
      <c r="BW367" s="153"/>
      <c r="BX367" s="153"/>
      <c r="BY367" s="153"/>
      <c r="BZ367" s="153"/>
      <c r="CA367" s="640"/>
      <c r="CB367" s="641"/>
      <c r="CC367" s="638"/>
      <c r="CD367" s="639"/>
      <c r="CE367" s="153"/>
      <c r="CF367" s="153"/>
      <c r="CG367" s="153"/>
      <c r="CH367" s="153"/>
      <c r="CI367" s="153"/>
      <c r="CJ367" s="153"/>
      <c r="CK367" s="153"/>
      <c r="CL367" s="153"/>
      <c r="CM367" s="153"/>
      <c r="CN367" s="153"/>
      <c r="CO367" s="153"/>
      <c r="CP367" s="153"/>
      <c r="CQ367" s="640"/>
      <c r="CR367" s="641"/>
      <c r="CS367" s="638"/>
      <c r="CT367" s="639"/>
      <c r="CU367" s="153"/>
      <c r="CV367" s="153"/>
      <c r="CW367" s="153"/>
      <c r="CX367" s="153"/>
      <c r="CY367" s="153"/>
      <c r="CZ367" s="153"/>
      <c r="DA367" s="153"/>
      <c r="DB367" s="153"/>
      <c r="DC367" s="153"/>
      <c r="DD367" s="153"/>
      <c r="DE367" s="153"/>
      <c r="DF367" s="153"/>
      <c r="DG367" s="640"/>
      <c r="DH367" s="641"/>
      <c r="DI367" s="638"/>
      <c r="DJ367" s="639"/>
      <c r="DK367" s="153"/>
      <c r="DL367" s="153"/>
      <c r="DM367" s="153"/>
      <c r="DN367" s="153"/>
      <c r="DO367" s="153"/>
      <c r="DP367" s="153"/>
      <c r="DQ367" s="153"/>
      <c r="DR367" s="153"/>
      <c r="DS367" s="153"/>
      <c r="DT367" s="153"/>
      <c r="DU367" s="153"/>
      <c r="DV367" s="153"/>
      <c r="DW367" s="640"/>
      <c r="DX367" s="641"/>
      <c r="DY367" s="638"/>
      <c r="DZ367" s="639"/>
      <c r="EA367" s="153"/>
      <c r="EB367" s="153"/>
      <c r="EC367" s="153"/>
      <c r="ED367" s="153"/>
      <c r="EE367" s="153"/>
      <c r="EF367" s="153"/>
      <c r="EG367" s="153"/>
      <c r="EH367" s="153"/>
      <c r="EI367" s="153"/>
      <c r="EJ367" s="153"/>
      <c r="EK367" s="153"/>
      <c r="EL367" s="153"/>
      <c r="EM367" s="640"/>
      <c r="EN367" s="641"/>
      <c r="EO367" s="638"/>
      <c r="EP367" s="639"/>
      <c r="EQ367" s="153"/>
      <c r="ER367" s="153"/>
      <c r="ES367" s="153"/>
      <c r="ET367" s="153"/>
      <c r="EU367" s="153"/>
      <c r="EV367" s="153"/>
      <c r="EW367" s="153"/>
      <c r="EX367" s="153"/>
      <c r="EY367" s="153"/>
      <c r="EZ367" s="153"/>
      <c r="FA367" s="153"/>
      <c r="FB367" s="153"/>
      <c r="FC367" s="640"/>
      <c r="FD367" s="641"/>
      <c r="FE367" s="638"/>
      <c r="FF367" s="639"/>
      <c r="FG367" s="153"/>
      <c r="FH367" s="153"/>
      <c r="FI367" s="153"/>
      <c r="FJ367" s="153"/>
      <c r="FK367" s="153"/>
      <c r="FL367" s="153"/>
      <c r="FM367" s="153"/>
      <c r="FN367" s="153"/>
      <c r="FO367" s="153"/>
      <c r="FP367" s="153"/>
      <c r="FQ367" s="153"/>
      <c r="FR367" s="153"/>
      <c r="FS367" s="640"/>
      <c r="FT367" s="641"/>
      <c r="FU367" s="638"/>
      <c r="FV367" s="639"/>
      <c r="FW367" s="153"/>
      <c r="FX367" s="153"/>
      <c r="FY367" s="153"/>
      <c r="FZ367" s="153"/>
      <c r="GA367" s="153"/>
      <c r="GB367" s="153"/>
      <c r="GC367" s="153"/>
      <c r="GD367" s="153"/>
      <c r="GE367" s="153"/>
      <c r="GF367" s="153"/>
      <c r="GG367" s="153"/>
      <c r="GH367" s="153"/>
      <c r="GI367" s="640"/>
      <c r="GJ367" s="641"/>
      <c r="GK367" s="638"/>
      <c r="GL367" s="639"/>
      <c r="GM367" s="153"/>
      <c r="GN367" s="153"/>
      <c r="GO367" s="153"/>
      <c r="GP367" s="153"/>
      <c r="GQ367" s="153"/>
      <c r="GR367" s="153"/>
      <c r="GS367" s="153"/>
      <c r="GT367" s="153"/>
      <c r="GU367" s="153"/>
      <c r="GV367" s="153"/>
      <c r="GW367" s="153"/>
      <c r="GX367" s="153"/>
      <c r="GY367" s="640"/>
      <c r="GZ367" s="641"/>
      <c r="HA367" s="638"/>
      <c r="HB367" s="639"/>
      <c r="HC367" s="153"/>
      <c r="HD367" s="153"/>
      <c r="HE367" s="153"/>
      <c r="HF367" s="153"/>
      <c r="HG367" s="153"/>
      <c r="HH367" s="153"/>
      <c r="HI367" s="153"/>
      <c r="HJ367" s="153"/>
      <c r="HK367" s="153"/>
      <c r="HL367" s="153"/>
      <c r="HM367" s="153"/>
      <c r="HN367" s="153"/>
      <c r="HO367" s="640"/>
      <c r="HP367" s="641"/>
      <c r="HQ367" s="638"/>
      <c r="HR367" s="639"/>
      <c r="HS367" s="153"/>
      <c r="HT367" s="153"/>
      <c r="HU367" s="153"/>
      <c r="HV367" s="153"/>
      <c r="HW367" s="153"/>
      <c r="HX367" s="153"/>
      <c r="HY367" s="153"/>
      <c r="HZ367" s="153"/>
      <c r="IA367" s="153"/>
      <c r="IB367" s="153"/>
      <c r="IC367" s="153"/>
      <c r="ID367" s="153"/>
      <c r="IE367" s="640"/>
      <c r="IF367" s="641"/>
      <c r="IG367" s="638"/>
      <c r="IH367" s="639"/>
      <c r="II367" s="153"/>
      <c r="IJ367" s="153"/>
      <c r="IK367" s="153"/>
      <c r="IL367" s="153"/>
      <c r="IM367" s="153"/>
      <c r="IN367" s="153"/>
      <c r="IO367" s="153"/>
      <c r="IP367" s="153"/>
      <c r="IQ367" s="153"/>
      <c r="IR367" s="153"/>
      <c r="IS367" s="153"/>
      <c r="IT367" s="153"/>
      <c r="IU367" s="640"/>
      <c r="IV367" s="641"/>
      <c r="IW367" s="638"/>
      <c r="IX367" s="639"/>
      <c r="IY367" s="153"/>
      <c r="IZ367" s="153"/>
      <c r="JA367" s="153"/>
      <c r="JB367" s="153"/>
      <c r="JC367" s="153"/>
      <c r="JD367" s="153"/>
      <c r="JE367" s="153"/>
      <c r="JF367" s="153"/>
      <c r="JG367" s="153"/>
      <c r="JH367" s="153"/>
      <c r="JI367" s="153"/>
      <c r="JJ367" s="153"/>
      <c r="JK367" s="640"/>
      <c r="JL367" s="641"/>
      <c r="JM367" s="638"/>
      <c r="JN367" s="639"/>
      <c r="JO367" s="153"/>
      <c r="JP367" s="153"/>
      <c r="JQ367" s="153"/>
      <c r="JR367" s="153"/>
      <c r="JS367" s="153"/>
      <c r="JT367" s="153"/>
      <c r="JU367" s="153"/>
      <c r="JV367" s="153"/>
      <c r="JW367" s="153"/>
      <c r="JX367" s="153"/>
      <c r="JY367" s="153"/>
      <c r="JZ367" s="153"/>
      <c r="KA367" s="640"/>
      <c r="KB367" s="641"/>
      <c r="KC367" s="638"/>
      <c r="KD367" s="639"/>
      <c r="KE367" s="153"/>
      <c r="KF367" s="153"/>
      <c r="KG367" s="153"/>
      <c r="KH367" s="153"/>
      <c r="KI367" s="153"/>
      <c r="KJ367" s="153"/>
      <c r="KK367" s="153"/>
      <c r="KL367" s="153"/>
      <c r="KM367" s="153"/>
      <c r="KN367" s="153"/>
      <c r="KO367" s="153"/>
      <c r="KP367" s="153"/>
      <c r="KQ367" s="640"/>
      <c r="KR367" s="641"/>
      <c r="KS367" s="638"/>
      <c r="KT367" s="639"/>
      <c r="KU367" s="153"/>
      <c r="KV367" s="153"/>
      <c r="KW367" s="153"/>
      <c r="KX367" s="153"/>
      <c r="KY367" s="153"/>
      <c r="KZ367" s="153"/>
      <c r="LA367" s="153"/>
      <c r="LB367" s="153"/>
      <c r="LC367" s="153"/>
      <c r="LD367" s="153"/>
      <c r="LE367" s="153"/>
      <c r="LF367" s="153"/>
      <c r="LG367" s="640"/>
      <c r="LH367" s="641"/>
      <c r="LI367" s="638"/>
      <c r="LJ367" s="639"/>
      <c r="LK367" s="153"/>
      <c r="LL367" s="153"/>
      <c r="LM367" s="153"/>
      <c r="LN367" s="153"/>
      <c r="LO367" s="153"/>
      <c r="LP367" s="153"/>
      <c r="LQ367" s="153"/>
      <c r="LR367" s="153"/>
      <c r="LS367" s="153"/>
      <c r="LT367" s="153"/>
      <c r="LU367" s="153"/>
      <c r="LV367" s="153"/>
      <c r="LW367" s="640"/>
      <c r="LX367" s="641"/>
      <c r="LY367" s="638"/>
      <c r="LZ367" s="639"/>
      <c r="MA367" s="153"/>
      <c r="MB367" s="153"/>
      <c r="MC367" s="153"/>
      <c r="MD367" s="153"/>
      <c r="ME367" s="153"/>
      <c r="MF367" s="153"/>
      <c r="MG367" s="153"/>
      <c r="MH367" s="153"/>
      <c r="MI367" s="153"/>
      <c r="MJ367" s="153"/>
      <c r="MK367" s="153"/>
      <c r="ML367" s="153"/>
      <c r="MM367" s="640"/>
      <c r="MN367" s="641"/>
      <c r="MO367" s="638"/>
      <c r="MP367" s="639"/>
      <c r="MQ367" s="153"/>
      <c r="MR367" s="153"/>
      <c r="MS367" s="153"/>
      <c r="MT367" s="153"/>
      <c r="MU367" s="153"/>
      <c r="MV367" s="153"/>
      <c r="MW367" s="153"/>
      <c r="MX367" s="153"/>
      <c r="MY367" s="153"/>
      <c r="MZ367" s="153"/>
      <c r="NA367" s="153"/>
      <c r="NB367" s="153"/>
      <c r="NC367" s="640"/>
      <c r="ND367" s="641"/>
      <c r="NE367" s="638"/>
      <c r="NF367" s="639"/>
      <c r="NG367" s="153"/>
      <c r="NH367" s="153"/>
      <c r="NI367" s="153"/>
      <c r="NJ367" s="153"/>
      <c r="NK367" s="153"/>
      <c r="NL367" s="153"/>
      <c r="NM367" s="153"/>
      <c r="NN367" s="153"/>
      <c r="NO367" s="153"/>
      <c r="NP367" s="153"/>
      <c r="NQ367" s="153"/>
      <c r="NR367" s="153"/>
      <c r="NS367" s="640"/>
      <c r="NT367" s="641"/>
      <c r="NU367" s="638"/>
      <c r="NV367" s="639"/>
      <c r="NW367" s="153"/>
      <c r="NX367" s="153"/>
      <c r="NY367" s="153"/>
      <c r="NZ367" s="153"/>
      <c r="OA367" s="153"/>
      <c r="OB367" s="153"/>
      <c r="OC367" s="153"/>
      <c r="OD367" s="153"/>
      <c r="OE367" s="153"/>
      <c r="OF367" s="153"/>
      <c r="OG367" s="153"/>
      <c r="OH367" s="153"/>
      <c r="OI367" s="640"/>
      <c r="OJ367" s="641"/>
      <c r="OK367" s="638"/>
      <c r="OL367" s="639"/>
      <c r="OM367" s="153"/>
      <c r="ON367" s="153"/>
      <c r="OO367" s="153"/>
      <c r="OP367" s="153"/>
      <c r="OQ367" s="153"/>
      <c r="OR367" s="153"/>
      <c r="OS367" s="153"/>
      <c r="OT367" s="153"/>
      <c r="OU367" s="153"/>
      <c r="OV367" s="153"/>
      <c r="OW367" s="153"/>
      <c r="OX367" s="153"/>
      <c r="OY367" s="640"/>
      <c r="OZ367" s="641"/>
      <c r="PA367" s="638"/>
      <c r="PB367" s="639"/>
      <c r="PC367" s="153"/>
      <c r="PD367" s="153"/>
      <c r="PE367" s="153"/>
      <c r="PF367" s="153"/>
      <c r="PG367" s="153"/>
      <c r="PH367" s="153"/>
      <c r="PI367" s="153"/>
      <c r="PJ367" s="153"/>
      <c r="PK367" s="153"/>
      <c r="PL367" s="153"/>
      <c r="PM367" s="153"/>
      <c r="PN367" s="153"/>
      <c r="PO367" s="640"/>
      <c r="PP367" s="641"/>
      <c r="PQ367" s="638"/>
      <c r="PR367" s="639"/>
      <c r="PS367" s="153"/>
      <c r="PT367" s="153"/>
      <c r="PU367" s="153"/>
      <c r="PV367" s="153"/>
      <c r="PW367" s="153"/>
      <c r="PX367" s="153"/>
      <c r="PY367" s="153"/>
      <c r="PZ367" s="153"/>
      <c r="QA367" s="153"/>
      <c r="QB367" s="153"/>
      <c r="QC367" s="153"/>
      <c r="QD367" s="153"/>
      <c r="QE367" s="640"/>
      <c r="QF367" s="641"/>
      <c r="QG367" s="638"/>
      <c r="QH367" s="639"/>
      <c r="QI367" s="153"/>
      <c r="QJ367" s="153"/>
      <c r="QK367" s="153"/>
      <c r="QL367" s="153"/>
      <c r="QM367" s="153"/>
      <c r="QN367" s="153"/>
      <c r="QO367" s="153"/>
      <c r="QP367" s="153"/>
      <c r="QQ367" s="153"/>
      <c r="QR367" s="153"/>
      <c r="QS367" s="153"/>
      <c r="QT367" s="153"/>
      <c r="QU367" s="640"/>
      <c r="QV367" s="641"/>
      <c r="QW367" s="638"/>
      <c r="QX367" s="639"/>
      <c r="QY367" s="153"/>
      <c r="QZ367" s="153"/>
      <c r="RA367" s="153"/>
      <c r="RB367" s="153"/>
      <c r="RC367" s="153"/>
      <c r="RD367" s="153"/>
      <c r="RE367" s="153"/>
      <c r="RF367" s="153"/>
      <c r="RG367" s="153"/>
      <c r="RH367" s="153"/>
      <c r="RI367" s="153"/>
      <c r="RJ367" s="153"/>
      <c r="RK367" s="640"/>
      <c r="RL367" s="641"/>
      <c r="RM367" s="638"/>
      <c r="RN367" s="639"/>
      <c r="RO367" s="153"/>
      <c r="RP367" s="153"/>
      <c r="RQ367" s="153"/>
      <c r="RR367" s="153"/>
      <c r="RS367" s="153"/>
      <c r="RT367" s="153"/>
      <c r="RU367" s="153"/>
      <c r="RV367" s="153"/>
      <c r="RW367" s="153"/>
      <c r="RX367" s="153"/>
      <c r="RY367" s="153"/>
      <c r="RZ367" s="153"/>
      <c r="SA367" s="640"/>
      <c r="SB367" s="641"/>
      <c r="SC367" s="638"/>
      <c r="SD367" s="639"/>
      <c r="SE367" s="153"/>
      <c r="SF367" s="153"/>
      <c r="SG367" s="153"/>
      <c r="SH367" s="153"/>
      <c r="SI367" s="153"/>
      <c r="SJ367" s="153"/>
      <c r="SK367" s="153"/>
      <c r="SL367" s="153"/>
      <c r="SM367" s="153"/>
      <c r="SN367" s="153"/>
      <c r="SO367" s="153"/>
      <c r="SP367" s="153"/>
      <c r="SQ367" s="640"/>
      <c r="SR367" s="641"/>
      <c r="SS367" s="638"/>
      <c r="ST367" s="639"/>
      <c r="SU367" s="153"/>
      <c r="SV367" s="153"/>
      <c r="SW367" s="153"/>
      <c r="SX367" s="153"/>
      <c r="SY367" s="153"/>
      <c r="SZ367" s="153"/>
      <c r="TA367" s="153"/>
      <c r="TB367" s="153"/>
      <c r="TC367" s="153"/>
      <c r="TD367" s="153"/>
      <c r="TE367" s="153"/>
      <c r="TF367" s="153"/>
      <c r="TG367" s="640"/>
      <c r="TH367" s="641"/>
      <c r="TI367" s="638"/>
      <c r="TJ367" s="639"/>
      <c r="TK367" s="153"/>
      <c r="TL367" s="153"/>
      <c r="TM367" s="153"/>
      <c r="TN367" s="153"/>
      <c r="TO367" s="153"/>
      <c r="TP367" s="153"/>
      <c r="TQ367" s="153"/>
      <c r="TR367" s="153"/>
      <c r="TS367" s="153"/>
      <c r="TT367" s="153"/>
      <c r="TU367" s="153"/>
      <c r="TV367" s="153"/>
      <c r="TW367" s="640"/>
      <c r="TX367" s="641"/>
      <c r="TY367" s="638"/>
      <c r="TZ367" s="639"/>
      <c r="UA367" s="153"/>
      <c r="UB367" s="153"/>
      <c r="UC367" s="153"/>
      <c r="UD367" s="153"/>
      <c r="UE367" s="153"/>
      <c r="UF367" s="153"/>
      <c r="UG367" s="153"/>
      <c r="UH367" s="153"/>
      <c r="UI367" s="153"/>
      <c r="UJ367" s="153"/>
      <c r="UK367" s="153"/>
      <c r="UL367" s="153"/>
      <c r="UM367" s="640"/>
      <c r="UN367" s="641"/>
      <c r="UO367" s="638"/>
      <c r="UP367" s="639"/>
      <c r="UQ367" s="153"/>
      <c r="UR367" s="153"/>
      <c r="US367" s="153"/>
      <c r="UT367" s="153"/>
      <c r="UU367" s="153"/>
      <c r="UV367" s="153"/>
      <c r="UW367" s="153"/>
      <c r="UX367" s="153"/>
      <c r="UY367" s="153"/>
      <c r="UZ367" s="153"/>
      <c r="VA367" s="153"/>
      <c r="VB367" s="153"/>
      <c r="VC367" s="640"/>
      <c r="VD367" s="641"/>
      <c r="VE367" s="638"/>
      <c r="VF367" s="639"/>
      <c r="VG367" s="153"/>
      <c r="VH367" s="153"/>
      <c r="VI367" s="153"/>
      <c r="VJ367" s="153"/>
      <c r="VK367" s="153"/>
      <c r="VL367" s="153"/>
      <c r="VM367" s="153"/>
      <c r="VN367" s="153"/>
      <c r="VO367" s="153"/>
      <c r="VP367" s="153"/>
      <c r="VQ367" s="153"/>
      <c r="VR367" s="153"/>
      <c r="VS367" s="640"/>
      <c r="VT367" s="641"/>
      <c r="VU367" s="638"/>
      <c r="VV367" s="639"/>
      <c r="VW367" s="153"/>
      <c r="VX367" s="153"/>
      <c r="VY367" s="153"/>
      <c r="VZ367" s="153"/>
      <c r="WA367" s="153"/>
      <c r="WB367" s="153"/>
      <c r="WC367" s="153"/>
      <c r="WD367" s="153"/>
      <c r="WE367" s="153"/>
      <c r="WF367" s="153"/>
      <c r="WG367" s="153"/>
      <c r="WH367" s="153"/>
      <c r="WI367" s="640"/>
      <c r="WJ367" s="641"/>
      <c r="WK367" s="638"/>
      <c r="WL367" s="639"/>
      <c r="WM367" s="153"/>
      <c r="WN367" s="153"/>
      <c r="WO367" s="153"/>
      <c r="WP367" s="153"/>
      <c r="WQ367" s="153"/>
      <c r="WR367" s="153"/>
      <c r="WS367" s="153"/>
      <c r="WT367" s="153"/>
      <c r="WU367" s="153"/>
      <c r="WV367" s="153"/>
      <c r="WW367" s="153"/>
      <c r="WX367" s="153"/>
      <c r="WY367" s="640"/>
      <c r="WZ367" s="641"/>
      <c r="XA367" s="638"/>
      <c r="XB367" s="639"/>
      <c r="XC367" s="153"/>
      <c r="XD367" s="153"/>
      <c r="XE367" s="153"/>
      <c r="XF367" s="153"/>
      <c r="XG367" s="153"/>
      <c r="XH367" s="153"/>
      <c r="XI367" s="153"/>
      <c r="XJ367" s="153"/>
      <c r="XK367" s="153"/>
      <c r="XL367" s="153"/>
      <c r="XM367" s="153"/>
      <c r="XN367" s="153"/>
      <c r="XO367" s="640"/>
      <c r="XP367" s="641"/>
      <c r="XQ367" s="638"/>
      <c r="XR367" s="639"/>
      <c r="XS367" s="153"/>
      <c r="XT367" s="153"/>
      <c r="XU367" s="153"/>
      <c r="XV367" s="153"/>
      <c r="XW367" s="153"/>
      <c r="XX367" s="153"/>
      <c r="XY367" s="153"/>
      <c r="XZ367" s="153"/>
      <c r="YA367" s="153"/>
      <c r="YB367" s="153"/>
      <c r="YC367" s="153"/>
      <c r="YD367" s="153"/>
      <c r="YE367" s="640"/>
      <c r="YF367" s="641"/>
      <c r="YG367" s="638"/>
      <c r="YH367" s="639"/>
      <c r="YI367" s="153"/>
      <c r="YJ367" s="153"/>
      <c r="YK367" s="153"/>
      <c r="YL367" s="153"/>
      <c r="YM367" s="153"/>
      <c r="YN367" s="153"/>
      <c r="YO367" s="153"/>
      <c r="YP367" s="153"/>
      <c r="YQ367" s="153"/>
      <c r="YR367" s="153"/>
      <c r="YS367" s="153"/>
      <c r="YT367" s="153"/>
      <c r="YU367" s="640"/>
      <c r="YV367" s="641"/>
      <c r="YW367" s="638"/>
      <c r="YX367" s="639"/>
      <c r="YY367" s="153"/>
      <c r="YZ367" s="153"/>
      <c r="ZA367" s="153"/>
      <c r="ZB367" s="153"/>
      <c r="ZC367" s="153"/>
      <c r="ZD367" s="153"/>
      <c r="ZE367" s="153"/>
      <c r="ZF367" s="153"/>
      <c r="ZG367" s="153"/>
      <c r="ZH367" s="153"/>
      <c r="ZI367" s="153"/>
      <c r="ZJ367" s="153"/>
      <c r="ZK367" s="640"/>
      <c r="ZL367" s="641"/>
      <c r="ZM367" s="638"/>
      <c r="ZN367" s="639"/>
      <c r="ZO367" s="153"/>
      <c r="ZP367" s="153"/>
      <c r="ZQ367" s="153"/>
      <c r="ZR367" s="153"/>
      <c r="ZS367" s="153"/>
      <c r="ZT367" s="153"/>
      <c r="ZU367" s="153"/>
      <c r="ZV367" s="153"/>
      <c r="ZW367" s="153"/>
      <c r="ZX367" s="153"/>
      <c r="ZY367" s="153"/>
      <c r="ZZ367" s="153"/>
      <c r="AAA367" s="640"/>
      <c r="AAB367" s="641"/>
      <c r="AAC367" s="638"/>
      <c r="AAD367" s="639"/>
      <c r="AAE367" s="153"/>
      <c r="AAF367" s="153"/>
      <c r="AAG367" s="153"/>
      <c r="AAH367" s="153"/>
      <c r="AAI367" s="153"/>
      <c r="AAJ367" s="153"/>
      <c r="AAK367" s="153"/>
      <c r="AAL367" s="153"/>
      <c r="AAM367" s="153"/>
      <c r="AAN367" s="153"/>
      <c r="AAO367" s="153"/>
      <c r="AAP367" s="153"/>
      <c r="AAQ367" s="640"/>
      <c r="AAR367" s="641"/>
      <c r="AAS367" s="638"/>
      <c r="AAT367" s="639"/>
      <c r="AAU367" s="153"/>
      <c r="AAV367" s="153"/>
      <c r="AAW367" s="153"/>
      <c r="AAX367" s="153"/>
      <c r="AAY367" s="153"/>
      <c r="AAZ367" s="153"/>
      <c r="ABA367" s="153"/>
      <c r="ABB367" s="153"/>
      <c r="ABC367" s="153"/>
      <c r="ABD367" s="153"/>
      <c r="ABE367" s="153"/>
      <c r="ABF367" s="153"/>
      <c r="ABG367" s="640"/>
      <c r="ABH367" s="641"/>
      <c r="ABI367" s="638"/>
      <c r="ABJ367" s="639"/>
      <c r="ABK367" s="153"/>
      <c r="ABL367" s="153"/>
      <c r="ABM367" s="153"/>
      <c r="ABN367" s="153"/>
      <c r="ABO367" s="153"/>
      <c r="ABP367" s="153"/>
      <c r="ABQ367" s="153"/>
      <c r="ABR367" s="153"/>
      <c r="ABS367" s="153"/>
      <c r="ABT367" s="153"/>
      <c r="ABU367" s="153"/>
      <c r="ABV367" s="153"/>
      <c r="ABW367" s="640"/>
      <c r="ABX367" s="641"/>
      <c r="ABY367" s="638"/>
      <c r="ABZ367" s="639"/>
      <c r="ACA367" s="153"/>
      <c r="ACB367" s="153"/>
      <c r="ACC367" s="153"/>
      <c r="ACD367" s="153"/>
      <c r="ACE367" s="153"/>
      <c r="ACF367" s="153"/>
      <c r="ACG367" s="153"/>
      <c r="ACH367" s="153"/>
      <c r="ACI367" s="153"/>
      <c r="ACJ367" s="153"/>
      <c r="ACK367" s="153"/>
      <c r="ACL367" s="153"/>
      <c r="ACM367" s="640"/>
      <c r="ACN367" s="641"/>
      <c r="ACO367" s="638"/>
      <c r="ACP367" s="639"/>
      <c r="ACQ367" s="153"/>
      <c r="ACR367" s="153"/>
      <c r="ACS367" s="153"/>
      <c r="ACT367" s="153"/>
      <c r="ACU367" s="153"/>
      <c r="ACV367" s="153"/>
      <c r="ACW367" s="153"/>
      <c r="ACX367" s="153"/>
      <c r="ACY367" s="153"/>
      <c r="ACZ367" s="153"/>
      <c r="ADA367" s="153"/>
      <c r="ADB367" s="153"/>
      <c r="ADC367" s="640"/>
      <c r="ADD367" s="641"/>
      <c r="ADE367" s="638"/>
      <c r="ADF367" s="639"/>
      <c r="ADG367" s="153"/>
      <c r="ADH367" s="153"/>
      <c r="ADI367" s="153"/>
      <c r="ADJ367" s="153"/>
      <c r="ADK367" s="153"/>
      <c r="ADL367" s="153"/>
      <c r="ADM367" s="153"/>
      <c r="ADN367" s="153"/>
      <c r="ADO367" s="153"/>
      <c r="ADP367" s="153"/>
      <c r="ADQ367" s="153"/>
      <c r="ADR367" s="153"/>
      <c r="ADS367" s="640"/>
      <c r="ADT367" s="641"/>
      <c r="ADU367" s="638"/>
      <c r="ADV367" s="639"/>
      <c r="ADW367" s="153"/>
      <c r="ADX367" s="153"/>
      <c r="ADY367" s="153"/>
      <c r="ADZ367" s="153"/>
      <c r="AEA367" s="153"/>
      <c r="AEB367" s="153"/>
      <c r="AEC367" s="153"/>
      <c r="AED367" s="153"/>
      <c r="AEE367" s="153"/>
      <c r="AEF367" s="153"/>
      <c r="AEG367" s="153"/>
      <c r="AEH367" s="153"/>
      <c r="AEI367" s="640"/>
      <c r="AEJ367" s="641"/>
      <c r="AEK367" s="638"/>
      <c r="AEL367" s="639"/>
      <c r="AEM367" s="153"/>
      <c r="AEN367" s="153"/>
      <c r="AEO367" s="153"/>
      <c r="AEP367" s="153"/>
      <c r="AEQ367" s="153"/>
      <c r="AER367" s="153"/>
      <c r="AES367" s="153"/>
      <c r="AET367" s="153"/>
      <c r="AEU367" s="153"/>
      <c r="AEV367" s="153"/>
      <c r="AEW367" s="153"/>
      <c r="AEX367" s="153"/>
      <c r="AEY367" s="640"/>
      <c r="AEZ367" s="641"/>
      <c r="AFA367" s="638"/>
      <c r="AFB367" s="639"/>
      <c r="AFC367" s="153"/>
      <c r="AFD367" s="153"/>
      <c r="AFE367" s="153"/>
      <c r="AFF367" s="153"/>
      <c r="AFG367" s="153"/>
      <c r="AFH367" s="153"/>
      <c r="AFI367" s="153"/>
      <c r="AFJ367" s="153"/>
      <c r="AFK367" s="153"/>
      <c r="AFL367" s="153"/>
      <c r="AFM367" s="153"/>
      <c r="AFN367" s="153"/>
      <c r="AFO367" s="640"/>
      <c r="AFP367" s="641"/>
      <c r="AFQ367" s="638"/>
      <c r="AFR367" s="639"/>
      <c r="AFS367" s="153"/>
      <c r="AFT367" s="153"/>
      <c r="AFU367" s="153"/>
      <c r="AFV367" s="153"/>
      <c r="AFW367" s="153"/>
      <c r="AFX367" s="153"/>
      <c r="AFY367" s="153"/>
      <c r="AFZ367" s="153"/>
      <c r="AGA367" s="153"/>
      <c r="AGB367" s="153"/>
      <c r="AGC367" s="153"/>
      <c r="AGD367" s="153"/>
      <c r="AGE367" s="640"/>
      <c r="AGF367" s="641"/>
      <c r="AGG367" s="638"/>
      <c r="AGH367" s="639"/>
      <c r="AGI367" s="153"/>
      <c r="AGJ367" s="153"/>
      <c r="AGK367" s="153"/>
      <c r="AGL367" s="153"/>
      <c r="AGM367" s="153"/>
      <c r="AGN367" s="153"/>
      <c r="AGO367" s="153"/>
      <c r="AGP367" s="153"/>
      <c r="AGQ367" s="153"/>
      <c r="AGR367" s="153"/>
      <c r="AGS367" s="153"/>
      <c r="AGT367" s="153"/>
      <c r="AGU367" s="640"/>
      <c r="AGV367" s="641"/>
      <c r="AGW367" s="638"/>
      <c r="AGX367" s="639"/>
      <c r="AGY367" s="153"/>
      <c r="AGZ367" s="153"/>
      <c r="AHA367" s="153"/>
      <c r="AHB367" s="153"/>
      <c r="AHC367" s="153"/>
      <c r="AHD367" s="153"/>
      <c r="AHE367" s="153"/>
      <c r="AHF367" s="153"/>
      <c r="AHG367" s="153"/>
      <c r="AHH367" s="153"/>
      <c r="AHI367" s="153"/>
      <c r="AHJ367" s="153"/>
      <c r="AHK367" s="640"/>
      <c r="AHL367" s="641"/>
      <c r="AHM367" s="638"/>
      <c r="AHN367" s="639"/>
      <c r="AHO367" s="153"/>
      <c r="AHP367" s="153"/>
      <c r="AHQ367" s="153"/>
      <c r="AHR367" s="153"/>
      <c r="AHS367" s="153"/>
      <c r="AHT367" s="153"/>
      <c r="AHU367" s="153"/>
      <c r="AHV367" s="153"/>
      <c r="AHW367" s="153"/>
      <c r="AHX367" s="153"/>
      <c r="AHY367" s="153"/>
      <c r="AHZ367" s="153"/>
      <c r="AIA367" s="640"/>
      <c r="AIB367" s="641"/>
      <c r="AIC367" s="638"/>
      <c r="AID367" s="639"/>
      <c r="AIE367" s="153"/>
      <c r="AIF367" s="153"/>
      <c r="AIG367" s="153"/>
      <c r="AIH367" s="153"/>
      <c r="AII367" s="153"/>
      <c r="AIJ367" s="153"/>
      <c r="AIK367" s="153"/>
      <c r="AIL367" s="153"/>
      <c r="AIM367" s="153"/>
      <c r="AIN367" s="153"/>
      <c r="AIO367" s="153"/>
      <c r="AIP367" s="153"/>
      <c r="AIQ367" s="640"/>
      <c r="AIR367" s="641"/>
      <c r="AIS367" s="638"/>
      <c r="AIT367" s="639"/>
      <c r="AIU367" s="153"/>
      <c r="AIV367" s="153"/>
      <c r="AIW367" s="153"/>
      <c r="AIX367" s="153"/>
      <c r="AIY367" s="153"/>
      <c r="AIZ367" s="153"/>
      <c r="AJA367" s="153"/>
      <c r="AJB367" s="153"/>
      <c r="AJC367" s="153"/>
      <c r="AJD367" s="153"/>
      <c r="AJE367" s="153"/>
      <c r="AJF367" s="153"/>
      <c r="AJG367" s="640"/>
      <c r="AJH367" s="641"/>
      <c r="AJI367" s="638"/>
      <c r="AJJ367" s="639"/>
      <c r="AJK367" s="153"/>
      <c r="AJL367" s="153"/>
      <c r="AJM367" s="153"/>
      <c r="AJN367" s="153"/>
      <c r="AJO367" s="153"/>
      <c r="AJP367" s="153"/>
      <c r="AJQ367" s="153"/>
      <c r="AJR367" s="153"/>
      <c r="AJS367" s="153"/>
      <c r="AJT367" s="153"/>
      <c r="AJU367" s="153"/>
      <c r="AJV367" s="153"/>
      <c r="AJW367" s="640"/>
      <c r="AJX367" s="641"/>
      <c r="AJY367" s="638"/>
      <c r="AJZ367" s="639"/>
      <c r="AKA367" s="153"/>
      <c r="AKB367" s="153"/>
      <c r="AKC367" s="153"/>
      <c r="AKD367" s="153"/>
      <c r="AKE367" s="153"/>
      <c r="AKF367" s="153"/>
      <c r="AKG367" s="153"/>
      <c r="AKH367" s="153"/>
      <c r="AKI367" s="153"/>
      <c r="AKJ367" s="153"/>
      <c r="AKK367" s="153"/>
      <c r="AKL367" s="153"/>
      <c r="AKM367" s="640"/>
      <c r="AKN367" s="641"/>
      <c r="AKO367" s="638"/>
      <c r="AKP367" s="639"/>
      <c r="AKQ367" s="153"/>
      <c r="AKR367" s="153"/>
      <c r="AKS367" s="153"/>
      <c r="AKT367" s="153"/>
      <c r="AKU367" s="153"/>
      <c r="AKV367" s="153"/>
      <c r="AKW367" s="153"/>
      <c r="AKX367" s="153"/>
      <c r="AKY367" s="153"/>
      <c r="AKZ367" s="153"/>
      <c r="ALA367" s="153"/>
      <c r="ALB367" s="153"/>
      <c r="ALC367" s="640"/>
      <c r="ALD367" s="641"/>
      <c r="ALE367" s="638"/>
      <c r="ALF367" s="639"/>
      <c r="ALG367" s="153"/>
      <c r="ALH367" s="153"/>
      <c r="ALI367" s="153"/>
      <c r="ALJ367" s="153"/>
      <c r="ALK367" s="153"/>
      <c r="ALL367" s="153"/>
      <c r="ALM367" s="153"/>
      <c r="ALN367" s="153"/>
      <c r="ALO367" s="153"/>
      <c r="ALP367" s="153"/>
      <c r="ALQ367" s="153"/>
      <c r="ALR367" s="153"/>
      <c r="ALS367" s="640"/>
      <c r="ALT367" s="641"/>
      <c r="ALU367" s="638"/>
      <c r="ALV367" s="639"/>
      <c r="ALW367" s="153"/>
      <c r="ALX367" s="153"/>
      <c r="ALY367" s="153"/>
      <c r="ALZ367" s="153"/>
      <c r="AMA367" s="153"/>
      <c r="AMB367" s="153"/>
      <c r="AMC367" s="153"/>
      <c r="AMD367" s="153"/>
      <c r="AME367" s="153"/>
      <c r="AMF367" s="153"/>
      <c r="AMG367" s="153"/>
      <c r="AMH367" s="153"/>
      <c r="AMI367" s="640"/>
      <c r="AMJ367" s="641"/>
      <c r="AMK367" s="638"/>
      <c r="AML367" s="639"/>
      <c r="AMM367" s="153"/>
      <c r="AMN367" s="153"/>
      <c r="AMO367" s="153"/>
      <c r="AMP367" s="153"/>
      <c r="AMQ367" s="153"/>
      <c r="AMR367" s="153"/>
      <c r="AMS367" s="153"/>
      <c r="AMT367" s="153"/>
      <c r="AMU367" s="153"/>
      <c r="AMV367" s="153"/>
      <c r="AMW367" s="153"/>
      <c r="AMX367" s="153"/>
      <c r="AMY367" s="640"/>
      <c r="AMZ367" s="641"/>
      <c r="ANA367" s="638"/>
      <c r="ANB367" s="639"/>
      <c r="ANC367" s="153"/>
      <c r="AND367" s="153"/>
      <c r="ANE367" s="153"/>
      <c r="ANF367" s="153"/>
      <c r="ANG367" s="153"/>
      <c r="ANH367" s="153"/>
      <c r="ANI367" s="153"/>
      <c r="ANJ367" s="153"/>
      <c r="ANK367" s="153"/>
      <c r="ANL367" s="153"/>
      <c r="ANM367" s="153"/>
      <c r="ANN367" s="153"/>
      <c r="ANO367" s="640"/>
      <c r="ANP367" s="641"/>
      <c r="ANQ367" s="638"/>
      <c r="ANR367" s="639"/>
      <c r="ANS367" s="153"/>
      <c r="ANT367" s="153"/>
      <c r="ANU367" s="153"/>
      <c r="ANV367" s="153"/>
      <c r="ANW367" s="153"/>
      <c r="ANX367" s="153"/>
      <c r="ANY367" s="153"/>
      <c r="ANZ367" s="153"/>
      <c r="AOA367" s="153"/>
      <c r="AOB367" s="153"/>
      <c r="AOC367" s="153"/>
      <c r="AOD367" s="153"/>
      <c r="AOE367" s="640"/>
      <c r="AOF367" s="641"/>
      <c r="AOG367" s="638"/>
      <c r="AOH367" s="639"/>
      <c r="AOI367" s="153"/>
      <c r="AOJ367" s="153"/>
      <c r="AOK367" s="153"/>
      <c r="AOL367" s="153"/>
      <c r="AOM367" s="153"/>
      <c r="AON367" s="153"/>
      <c r="AOO367" s="153"/>
      <c r="AOP367" s="153"/>
      <c r="AOQ367" s="153"/>
      <c r="AOR367" s="153"/>
      <c r="AOS367" s="153"/>
      <c r="AOT367" s="153"/>
      <c r="AOU367" s="640"/>
      <c r="AOV367" s="641"/>
      <c r="AOW367" s="638"/>
      <c r="AOX367" s="639"/>
      <c r="AOY367" s="153"/>
      <c r="AOZ367" s="153"/>
      <c r="APA367" s="153"/>
      <c r="APB367" s="153"/>
      <c r="APC367" s="153"/>
      <c r="APD367" s="153"/>
      <c r="APE367" s="153"/>
      <c r="APF367" s="153"/>
      <c r="APG367" s="153"/>
      <c r="APH367" s="153"/>
      <c r="API367" s="153"/>
      <c r="APJ367" s="153"/>
      <c r="APK367" s="640"/>
      <c r="APL367" s="641"/>
      <c r="APM367" s="638"/>
      <c r="APN367" s="639"/>
      <c r="APO367" s="153"/>
      <c r="APP367" s="153"/>
      <c r="APQ367" s="153"/>
      <c r="APR367" s="153"/>
      <c r="APS367" s="153"/>
      <c r="APT367" s="153"/>
      <c r="APU367" s="153"/>
      <c r="APV367" s="153"/>
      <c r="APW367" s="153"/>
      <c r="APX367" s="153"/>
      <c r="APY367" s="153"/>
      <c r="APZ367" s="153"/>
      <c r="AQA367" s="640"/>
      <c r="AQB367" s="641"/>
      <c r="AQC367" s="638"/>
      <c r="AQD367" s="639"/>
      <c r="AQE367" s="153"/>
      <c r="AQF367" s="153"/>
      <c r="AQG367" s="153"/>
      <c r="AQH367" s="153"/>
      <c r="AQI367" s="153"/>
      <c r="AQJ367" s="153"/>
      <c r="AQK367" s="153"/>
      <c r="AQL367" s="153"/>
      <c r="AQM367" s="153"/>
      <c r="AQN367" s="153"/>
      <c r="AQO367" s="153"/>
      <c r="AQP367" s="153"/>
      <c r="AQQ367" s="640"/>
      <c r="AQR367" s="641"/>
      <c r="AQS367" s="638"/>
      <c r="AQT367" s="639"/>
      <c r="AQU367" s="153"/>
      <c r="AQV367" s="153"/>
      <c r="AQW367" s="153"/>
      <c r="AQX367" s="153"/>
      <c r="AQY367" s="153"/>
      <c r="AQZ367" s="153"/>
      <c r="ARA367" s="153"/>
      <c r="ARB367" s="153"/>
      <c r="ARC367" s="153"/>
      <c r="ARD367" s="153"/>
      <c r="ARE367" s="153"/>
      <c r="ARF367" s="153"/>
      <c r="ARG367" s="640"/>
      <c r="ARH367" s="641"/>
      <c r="ARI367" s="638"/>
      <c r="ARJ367" s="639"/>
      <c r="ARK367" s="153"/>
      <c r="ARL367" s="153"/>
      <c r="ARM367" s="153"/>
      <c r="ARN367" s="153"/>
      <c r="ARO367" s="153"/>
      <c r="ARP367" s="153"/>
      <c r="ARQ367" s="153"/>
      <c r="ARR367" s="153"/>
      <c r="ARS367" s="153"/>
      <c r="ART367" s="153"/>
      <c r="ARU367" s="153"/>
      <c r="ARV367" s="153"/>
      <c r="ARW367" s="640"/>
      <c r="ARX367" s="641"/>
      <c r="ARY367" s="638"/>
      <c r="ARZ367" s="639"/>
      <c r="ASA367" s="153"/>
      <c r="ASB367" s="153"/>
      <c r="ASC367" s="153"/>
      <c r="ASD367" s="153"/>
      <c r="ASE367" s="153"/>
      <c r="ASF367" s="153"/>
      <c r="ASG367" s="153"/>
      <c r="ASH367" s="153"/>
      <c r="ASI367" s="153"/>
      <c r="ASJ367" s="153"/>
      <c r="ASK367" s="153"/>
      <c r="ASL367" s="153"/>
      <c r="ASM367" s="640"/>
      <c r="ASN367" s="641"/>
      <c r="ASO367" s="638"/>
      <c r="ASP367" s="639"/>
      <c r="ASQ367" s="153"/>
      <c r="ASR367" s="153"/>
      <c r="ASS367" s="153"/>
      <c r="AST367" s="153"/>
      <c r="ASU367" s="153"/>
      <c r="ASV367" s="153"/>
      <c r="ASW367" s="153"/>
      <c r="ASX367" s="153"/>
      <c r="ASY367" s="153"/>
      <c r="ASZ367" s="153"/>
      <c r="ATA367" s="153"/>
      <c r="ATB367" s="153"/>
      <c r="ATC367" s="640"/>
      <c r="ATD367" s="641"/>
      <c r="ATE367" s="638"/>
      <c r="ATF367" s="639"/>
      <c r="ATG367" s="153"/>
      <c r="ATH367" s="153"/>
      <c r="ATI367" s="153"/>
      <c r="ATJ367" s="153"/>
      <c r="ATK367" s="153"/>
      <c r="ATL367" s="153"/>
      <c r="ATM367" s="153"/>
      <c r="ATN367" s="153"/>
      <c r="ATO367" s="153"/>
      <c r="ATP367" s="153"/>
      <c r="ATQ367" s="153"/>
      <c r="ATR367" s="153"/>
      <c r="ATS367" s="640"/>
      <c r="ATT367" s="641"/>
      <c r="ATU367" s="638"/>
      <c r="ATV367" s="639"/>
      <c r="ATW367" s="153"/>
      <c r="ATX367" s="153"/>
      <c r="ATY367" s="153"/>
      <c r="ATZ367" s="153"/>
      <c r="AUA367" s="153"/>
      <c r="AUB367" s="153"/>
      <c r="AUC367" s="153"/>
      <c r="AUD367" s="153"/>
      <c r="AUE367" s="153"/>
      <c r="AUF367" s="153"/>
      <c r="AUG367" s="153"/>
      <c r="AUH367" s="153"/>
      <c r="AUI367" s="640"/>
      <c r="AUJ367" s="641"/>
      <c r="AUK367" s="638"/>
      <c r="AUL367" s="639"/>
      <c r="AUM367" s="153"/>
      <c r="AUN367" s="153"/>
      <c r="AUO367" s="153"/>
      <c r="AUP367" s="153"/>
      <c r="AUQ367" s="153"/>
      <c r="AUR367" s="153"/>
      <c r="AUS367" s="153"/>
      <c r="AUT367" s="153"/>
      <c r="AUU367" s="153"/>
      <c r="AUV367" s="153"/>
      <c r="AUW367" s="153"/>
      <c r="AUX367" s="153"/>
      <c r="AUY367" s="640"/>
      <c r="AUZ367" s="641"/>
      <c r="AVA367" s="638"/>
      <c r="AVB367" s="639"/>
      <c r="AVC367" s="153"/>
      <c r="AVD367" s="153"/>
      <c r="AVE367" s="153"/>
      <c r="AVF367" s="153"/>
      <c r="AVG367" s="153"/>
      <c r="AVH367" s="153"/>
      <c r="AVI367" s="153"/>
      <c r="AVJ367" s="153"/>
      <c r="AVK367" s="153"/>
      <c r="AVL367" s="153"/>
      <c r="AVM367" s="153"/>
      <c r="AVN367" s="153"/>
      <c r="AVO367" s="640"/>
      <c r="AVP367" s="641"/>
      <c r="AVQ367" s="638"/>
      <c r="AVR367" s="639"/>
      <c r="AVS367" s="153"/>
      <c r="AVT367" s="153"/>
      <c r="AVU367" s="153"/>
      <c r="AVV367" s="153"/>
      <c r="AVW367" s="153"/>
      <c r="AVX367" s="153"/>
      <c r="AVY367" s="153"/>
      <c r="AVZ367" s="153"/>
      <c r="AWA367" s="153"/>
      <c r="AWB367" s="153"/>
      <c r="AWC367" s="153"/>
      <c r="AWD367" s="153"/>
      <c r="AWE367" s="640"/>
      <c r="AWF367" s="641"/>
      <c r="AWG367" s="638"/>
      <c r="AWH367" s="639"/>
      <c r="AWI367" s="153"/>
      <c r="AWJ367" s="153"/>
      <c r="AWK367" s="153"/>
      <c r="AWL367" s="153"/>
      <c r="AWM367" s="153"/>
      <c r="AWN367" s="153"/>
      <c r="AWO367" s="153"/>
      <c r="AWP367" s="153"/>
      <c r="AWQ367" s="153"/>
      <c r="AWR367" s="153"/>
      <c r="AWS367" s="153"/>
      <c r="AWT367" s="153"/>
      <c r="AWU367" s="640"/>
      <c r="AWV367" s="641"/>
      <c r="AWW367" s="638"/>
      <c r="AWX367" s="639"/>
      <c r="AWY367" s="153"/>
      <c r="AWZ367" s="153"/>
      <c r="AXA367" s="153"/>
      <c r="AXB367" s="153"/>
      <c r="AXC367" s="153"/>
      <c r="AXD367" s="153"/>
      <c r="AXE367" s="153"/>
      <c r="AXF367" s="153"/>
      <c r="AXG367" s="153"/>
      <c r="AXH367" s="153"/>
      <c r="AXI367" s="153"/>
      <c r="AXJ367" s="153"/>
      <c r="AXK367" s="640"/>
      <c r="AXL367" s="641"/>
      <c r="AXM367" s="638"/>
      <c r="AXN367" s="639"/>
      <c r="AXO367" s="153"/>
      <c r="AXP367" s="153"/>
      <c r="AXQ367" s="153"/>
      <c r="AXR367" s="153"/>
      <c r="AXS367" s="153"/>
      <c r="AXT367" s="153"/>
      <c r="AXU367" s="153"/>
      <c r="AXV367" s="153"/>
      <c r="AXW367" s="153"/>
      <c r="AXX367" s="153"/>
      <c r="AXY367" s="153"/>
      <c r="AXZ367" s="153"/>
      <c r="AYA367" s="640"/>
      <c r="AYB367" s="641"/>
      <c r="AYC367" s="638"/>
      <c r="AYD367" s="639"/>
      <c r="AYE367" s="153"/>
      <c r="AYF367" s="153"/>
      <c r="AYG367" s="153"/>
      <c r="AYH367" s="153"/>
      <c r="AYI367" s="153"/>
      <c r="AYJ367" s="153"/>
      <c r="AYK367" s="153"/>
      <c r="AYL367" s="153"/>
      <c r="AYM367" s="153"/>
      <c r="AYN367" s="153"/>
      <c r="AYO367" s="153"/>
      <c r="AYP367" s="153"/>
      <c r="AYQ367" s="640"/>
      <c r="AYR367" s="641"/>
      <c r="AYS367" s="638"/>
      <c r="AYT367" s="639"/>
      <c r="AYU367" s="153"/>
      <c r="AYV367" s="153"/>
      <c r="AYW367" s="153"/>
      <c r="AYX367" s="153"/>
      <c r="AYY367" s="153"/>
      <c r="AYZ367" s="153"/>
      <c r="AZA367" s="153"/>
      <c r="AZB367" s="153"/>
      <c r="AZC367" s="153"/>
      <c r="AZD367" s="153"/>
      <c r="AZE367" s="153"/>
      <c r="AZF367" s="153"/>
      <c r="AZG367" s="640"/>
      <c r="AZH367" s="641"/>
      <c r="AZI367" s="638"/>
      <c r="AZJ367" s="639"/>
      <c r="AZK367" s="153"/>
      <c r="AZL367" s="153"/>
      <c r="AZM367" s="153"/>
      <c r="AZN367" s="153"/>
      <c r="AZO367" s="153"/>
      <c r="AZP367" s="153"/>
      <c r="AZQ367" s="153"/>
      <c r="AZR367" s="153"/>
      <c r="AZS367" s="153"/>
      <c r="AZT367" s="153"/>
      <c r="AZU367" s="153"/>
      <c r="AZV367" s="153"/>
      <c r="AZW367" s="640"/>
      <c r="AZX367" s="641"/>
      <c r="AZY367" s="638"/>
      <c r="AZZ367" s="639"/>
      <c r="BAA367" s="153"/>
      <c r="BAB367" s="153"/>
      <c r="BAC367" s="153"/>
      <c r="BAD367" s="153"/>
      <c r="BAE367" s="153"/>
      <c r="BAF367" s="153"/>
      <c r="BAG367" s="153"/>
      <c r="BAH367" s="153"/>
      <c r="BAI367" s="153"/>
      <c r="BAJ367" s="153"/>
      <c r="BAK367" s="153"/>
      <c r="BAL367" s="153"/>
      <c r="BAM367" s="640"/>
      <c r="BAN367" s="641"/>
      <c r="BAO367" s="638"/>
      <c r="BAP367" s="639"/>
      <c r="BAQ367" s="153"/>
      <c r="BAR367" s="153"/>
      <c r="BAS367" s="153"/>
      <c r="BAT367" s="153"/>
      <c r="BAU367" s="153"/>
      <c r="BAV367" s="153"/>
      <c r="BAW367" s="153"/>
      <c r="BAX367" s="153"/>
      <c r="BAY367" s="153"/>
      <c r="BAZ367" s="153"/>
      <c r="BBA367" s="153"/>
      <c r="BBB367" s="153"/>
      <c r="BBC367" s="640"/>
      <c r="BBD367" s="641"/>
      <c r="BBE367" s="638"/>
      <c r="BBF367" s="639"/>
      <c r="BBG367" s="153"/>
      <c r="BBH367" s="153"/>
      <c r="BBI367" s="153"/>
      <c r="BBJ367" s="153"/>
      <c r="BBK367" s="153"/>
      <c r="BBL367" s="153"/>
      <c r="BBM367" s="153"/>
      <c r="BBN367" s="153"/>
      <c r="BBO367" s="153"/>
      <c r="BBP367" s="153"/>
      <c r="BBQ367" s="153"/>
      <c r="BBR367" s="153"/>
      <c r="BBS367" s="640"/>
      <c r="BBT367" s="641"/>
      <c r="BBU367" s="638"/>
      <c r="BBV367" s="639"/>
      <c r="BBW367" s="153"/>
      <c r="BBX367" s="153"/>
      <c r="BBY367" s="153"/>
      <c r="BBZ367" s="153"/>
      <c r="BCA367" s="153"/>
      <c r="BCB367" s="153"/>
      <c r="BCC367" s="153"/>
      <c r="BCD367" s="153"/>
      <c r="BCE367" s="153"/>
      <c r="BCF367" s="153"/>
      <c r="BCG367" s="153"/>
      <c r="BCH367" s="153"/>
      <c r="BCI367" s="640"/>
      <c r="BCJ367" s="641"/>
      <c r="BCK367" s="638"/>
      <c r="BCL367" s="639"/>
      <c r="BCM367" s="153"/>
      <c r="BCN367" s="153"/>
      <c r="BCO367" s="153"/>
      <c r="BCP367" s="153"/>
      <c r="BCQ367" s="153"/>
      <c r="BCR367" s="153"/>
      <c r="BCS367" s="153"/>
      <c r="BCT367" s="153"/>
      <c r="BCU367" s="153"/>
      <c r="BCV367" s="153"/>
      <c r="BCW367" s="153"/>
      <c r="BCX367" s="153"/>
      <c r="BCY367" s="640"/>
      <c r="BCZ367" s="641"/>
      <c r="BDA367" s="638"/>
      <c r="BDB367" s="639"/>
      <c r="BDC367" s="153"/>
      <c r="BDD367" s="153"/>
      <c r="BDE367" s="153"/>
      <c r="BDF367" s="153"/>
      <c r="BDG367" s="153"/>
      <c r="BDH367" s="153"/>
      <c r="BDI367" s="153"/>
      <c r="BDJ367" s="153"/>
      <c r="BDK367" s="153"/>
      <c r="BDL367" s="153"/>
      <c r="BDM367" s="153"/>
      <c r="BDN367" s="153"/>
      <c r="BDO367" s="640"/>
      <c r="BDP367" s="641"/>
      <c r="BDQ367" s="638"/>
      <c r="BDR367" s="639"/>
      <c r="BDS367" s="153"/>
      <c r="BDT367" s="153"/>
      <c r="BDU367" s="153"/>
      <c r="BDV367" s="153"/>
      <c r="BDW367" s="153"/>
      <c r="BDX367" s="153"/>
      <c r="BDY367" s="153"/>
      <c r="BDZ367" s="153"/>
      <c r="BEA367" s="153"/>
      <c r="BEB367" s="153"/>
      <c r="BEC367" s="153"/>
      <c r="BED367" s="153"/>
      <c r="BEE367" s="640"/>
      <c r="BEF367" s="641"/>
      <c r="BEG367" s="638"/>
      <c r="BEH367" s="639"/>
      <c r="BEI367" s="153"/>
      <c r="BEJ367" s="153"/>
      <c r="BEK367" s="153"/>
      <c r="BEL367" s="153"/>
      <c r="BEM367" s="153"/>
      <c r="BEN367" s="153"/>
      <c r="BEO367" s="153"/>
      <c r="BEP367" s="153"/>
      <c r="BEQ367" s="153"/>
      <c r="BER367" s="153"/>
      <c r="BES367" s="153"/>
      <c r="BET367" s="153"/>
      <c r="BEU367" s="640"/>
      <c r="BEV367" s="641"/>
      <c r="BEW367" s="638"/>
      <c r="BEX367" s="639"/>
      <c r="BEY367" s="153"/>
      <c r="BEZ367" s="153"/>
      <c r="BFA367" s="153"/>
      <c r="BFB367" s="153"/>
      <c r="BFC367" s="153"/>
      <c r="BFD367" s="153"/>
      <c r="BFE367" s="153"/>
      <c r="BFF367" s="153"/>
      <c r="BFG367" s="153"/>
      <c r="BFH367" s="153"/>
      <c r="BFI367" s="153"/>
      <c r="BFJ367" s="153"/>
      <c r="BFK367" s="640"/>
      <c r="BFL367" s="641"/>
      <c r="BFM367" s="638"/>
      <c r="BFN367" s="639"/>
      <c r="BFO367" s="153"/>
      <c r="BFP367" s="153"/>
      <c r="BFQ367" s="153"/>
      <c r="BFR367" s="153"/>
      <c r="BFS367" s="153"/>
      <c r="BFT367" s="153"/>
      <c r="BFU367" s="153"/>
      <c r="BFV367" s="153"/>
      <c r="BFW367" s="153"/>
      <c r="BFX367" s="153"/>
      <c r="BFY367" s="153"/>
      <c r="BFZ367" s="153"/>
      <c r="BGA367" s="640"/>
      <c r="BGB367" s="641"/>
      <c r="BGC367" s="638"/>
      <c r="BGD367" s="639"/>
      <c r="BGE367" s="153"/>
      <c r="BGF367" s="153"/>
      <c r="BGG367" s="153"/>
      <c r="BGH367" s="153"/>
      <c r="BGI367" s="153"/>
      <c r="BGJ367" s="153"/>
      <c r="BGK367" s="153"/>
      <c r="BGL367" s="153"/>
      <c r="BGM367" s="153"/>
      <c r="BGN367" s="153"/>
      <c r="BGO367" s="153"/>
      <c r="BGP367" s="153"/>
      <c r="BGQ367" s="640"/>
      <c r="BGR367" s="641"/>
      <c r="BGS367" s="638"/>
      <c r="BGT367" s="639"/>
      <c r="BGU367" s="153"/>
      <c r="BGV367" s="153"/>
      <c r="BGW367" s="153"/>
      <c r="BGX367" s="153"/>
      <c r="BGY367" s="153"/>
      <c r="BGZ367" s="153"/>
      <c r="BHA367" s="153"/>
      <c r="BHB367" s="153"/>
      <c r="BHC367" s="153"/>
      <c r="BHD367" s="153"/>
      <c r="BHE367" s="153"/>
      <c r="BHF367" s="153"/>
      <c r="BHG367" s="640"/>
      <c r="BHH367" s="641"/>
      <c r="BHI367" s="638"/>
      <c r="BHJ367" s="639"/>
      <c r="BHK367" s="153"/>
      <c r="BHL367" s="153"/>
      <c r="BHM367" s="153"/>
      <c r="BHN367" s="153"/>
      <c r="BHO367" s="153"/>
      <c r="BHP367" s="153"/>
      <c r="BHQ367" s="153"/>
      <c r="BHR367" s="153"/>
      <c r="BHS367" s="153"/>
      <c r="BHT367" s="153"/>
      <c r="BHU367" s="153"/>
      <c r="BHV367" s="153"/>
      <c r="BHW367" s="640"/>
      <c r="BHX367" s="641"/>
      <c r="BHY367" s="638"/>
      <c r="BHZ367" s="639"/>
      <c r="BIA367" s="153"/>
      <c r="BIB367" s="153"/>
      <c r="BIC367" s="153"/>
      <c r="BID367" s="153"/>
      <c r="BIE367" s="153"/>
      <c r="BIF367" s="153"/>
      <c r="BIG367" s="153"/>
      <c r="BIH367" s="153"/>
      <c r="BII367" s="153"/>
      <c r="BIJ367" s="153"/>
      <c r="BIK367" s="153"/>
      <c r="BIL367" s="153"/>
      <c r="BIM367" s="640"/>
      <c r="BIN367" s="641"/>
      <c r="BIO367" s="638"/>
      <c r="BIP367" s="639"/>
      <c r="BIQ367" s="153"/>
      <c r="BIR367" s="153"/>
      <c r="BIS367" s="153"/>
      <c r="BIT367" s="153"/>
      <c r="BIU367" s="153"/>
      <c r="BIV367" s="153"/>
      <c r="BIW367" s="153"/>
      <c r="BIX367" s="153"/>
      <c r="BIY367" s="153"/>
      <c r="BIZ367" s="153"/>
      <c r="BJA367" s="153"/>
      <c r="BJB367" s="153"/>
      <c r="BJC367" s="640"/>
      <c r="BJD367" s="641"/>
      <c r="BJE367" s="638"/>
      <c r="BJF367" s="639"/>
      <c r="BJG367" s="153"/>
      <c r="BJH367" s="153"/>
      <c r="BJI367" s="153"/>
      <c r="BJJ367" s="153"/>
      <c r="BJK367" s="153"/>
      <c r="BJL367" s="153"/>
      <c r="BJM367" s="153"/>
      <c r="BJN367" s="153"/>
      <c r="BJO367" s="153"/>
      <c r="BJP367" s="153"/>
      <c r="BJQ367" s="153"/>
      <c r="BJR367" s="153"/>
      <c r="BJS367" s="640"/>
      <c r="BJT367" s="641"/>
      <c r="BJU367" s="638"/>
      <c r="BJV367" s="639"/>
      <c r="BJW367" s="153"/>
      <c r="BJX367" s="153"/>
      <c r="BJY367" s="153"/>
      <c r="BJZ367" s="153"/>
      <c r="BKA367" s="153"/>
      <c r="BKB367" s="153"/>
      <c r="BKC367" s="153"/>
      <c r="BKD367" s="153"/>
      <c r="BKE367" s="153"/>
      <c r="BKF367" s="153"/>
      <c r="BKG367" s="153"/>
      <c r="BKH367" s="153"/>
      <c r="BKI367" s="640"/>
      <c r="BKJ367" s="641"/>
      <c r="BKK367" s="638"/>
      <c r="BKL367" s="639"/>
      <c r="BKM367" s="153"/>
      <c r="BKN367" s="153"/>
      <c r="BKO367" s="153"/>
      <c r="BKP367" s="153"/>
      <c r="BKQ367" s="153"/>
      <c r="BKR367" s="153"/>
      <c r="BKS367" s="153"/>
      <c r="BKT367" s="153"/>
      <c r="BKU367" s="153"/>
      <c r="BKV367" s="153"/>
      <c r="BKW367" s="153"/>
      <c r="BKX367" s="153"/>
      <c r="BKY367" s="640"/>
      <c r="BKZ367" s="641"/>
      <c r="BLA367" s="638"/>
      <c r="BLB367" s="639"/>
      <c r="BLC367" s="153"/>
      <c r="BLD367" s="153"/>
      <c r="BLE367" s="153"/>
      <c r="BLF367" s="153"/>
      <c r="BLG367" s="153"/>
      <c r="BLH367" s="153"/>
      <c r="BLI367" s="153"/>
      <c r="BLJ367" s="153"/>
      <c r="BLK367" s="153"/>
      <c r="BLL367" s="153"/>
      <c r="BLM367" s="153"/>
      <c r="BLN367" s="153"/>
      <c r="BLO367" s="640"/>
      <c r="BLP367" s="641"/>
      <c r="BLQ367" s="638"/>
      <c r="BLR367" s="639"/>
      <c r="BLS367" s="153"/>
      <c r="BLT367" s="153"/>
      <c r="BLU367" s="153"/>
      <c r="BLV367" s="153"/>
      <c r="BLW367" s="153"/>
      <c r="BLX367" s="153"/>
      <c r="BLY367" s="153"/>
      <c r="BLZ367" s="153"/>
      <c r="BMA367" s="153"/>
      <c r="BMB367" s="153"/>
      <c r="BMC367" s="153"/>
      <c r="BMD367" s="153"/>
      <c r="BME367" s="640"/>
      <c r="BMF367" s="641"/>
      <c r="BMG367" s="638"/>
      <c r="BMH367" s="639"/>
      <c r="BMI367" s="153"/>
      <c r="BMJ367" s="153"/>
      <c r="BMK367" s="153"/>
      <c r="BML367" s="153"/>
      <c r="BMM367" s="153"/>
      <c r="BMN367" s="153"/>
      <c r="BMO367" s="153"/>
      <c r="BMP367" s="153"/>
      <c r="BMQ367" s="153"/>
      <c r="BMR367" s="153"/>
      <c r="BMS367" s="153"/>
      <c r="BMT367" s="153"/>
      <c r="BMU367" s="640"/>
      <c r="BMV367" s="641"/>
      <c r="BMW367" s="638"/>
      <c r="BMX367" s="639"/>
      <c r="BMY367" s="153"/>
      <c r="BMZ367" s="153"/>
      <c r="BNA367" s="153"/>
      <c r="BNB367" s="153"/>
      <c r="BNC367" s="153"/>
      <c r="BND367" s="153"/>
      <c r="BNE367" s="153"/>
      <c r="BNF367" s="153"/>
      <c r="BNG367" s="153"/>
      <c r="BNH367" s="153"/>
      <c r="BNI367" s="153"/>
      <c r="BNJ367" s="153"/>
      <c r="BNK367" s="640"/>
      <c r="BNL367" s="641"/>
      <c r="BNM367" s="638"/>
      <c r="BNN367" s="639"/>
      <c r="BNO367" s="153"/>
      <c r="BNP367" s="153"/>
      <c r="BNQ367" s="153"/>
      <c r="BNR367" s="153"/>
      <c r="BNS367" s="153"/>
      <c r="BNT367" s="153"/>
      <c r="BNU367" s="153"/>
      <c r="BNV367" s="153"/>
      <c r="BNW367" s="153"/>
      <c r="BNX367" s="153"/>
      <c r="BNY367" s="153"/>
      <c r="BNZ367" s="153"/>
      <c r="BOA367" s="640"/>
      <c r="BOB367" s="641"/>
      <c r="BOC367" s="638"/>
      <c r="BOD367" s="639"/>
      <c r="BOE367" s="153"/>
      <c r="BOF367" s="153"/>
      <c r="BOG367" s="153"/>
      <c r="BOH367" s="153"/>
      <c r="BOI367" s="153"/>
      <c r="BOJ367" s="153"/>
      <c r="BOK367" s="153"/>
      <c r="BOL367" s="153"/>
      <c r="BOM367" s="153"/>
      <c r="BON367" s="153"/>
      <c r="BOO367" s="153"/>
      <c r="BOP367" s="153"/>
      <c r="BOQ367" s="640"/>
      <c r="BOR367" s="641"/>
      <c r="BOS367" s="638"/>
      <c r="BOT367" s="639"/>
      <c r="BOU367" s="153"/>
      <c r="BOV367" s="153"/>
      <c r="BOW367" s="153"/>
      <c r="BOX367" s="153"/>
      <c r="BOY367" s="153"/>
      <c r="BOZ367" s="153"/>
      <c r="BPA367" s="153"/>
      <c r="BPB367" s="153"/>
      <c r="BPC367" s="153"/>
      <c r="BPD367" s="153"/>
      <c r="BPE367" s="153"/>
      <c r="BPF367" s="153"/>
      <c r="BPG367" s="640"/>
      <c r="BPH367" s="641"/>
      <c r="BPI367" s="638"/>
      <c r="BPJ367" s="639"/>
      <c r="BPK367" s="153"/>
      <c r="BPL367" s="153"/>
      <c r="BPM367" s="153"/>
      <c r="BPN367" s="153"/>
      <c r="BPO367" s="153"/>
      <c r="BPP367" s="153"/>
      <c r="BPQ367" s="153"/>
      <c r="BPR367" s="153"/>
      <c r="BPS367" s="153"/>
      <c r="BPT367" s="153"/>
      <c r="BPU367" s="153"/>
      <c r="BPV367" s="153"/>
      <c r="BPW367" s="640"/>
      <c r="BPX367" s="641"/>
      <c r="BPY367" s="638"/>
      <c r="BPZ367" s="639"/>
      <c r="BQA367" s="153"/>
      <c r="BQB367" s="153"/>
      <c r="BQC367" s="153"/>
      <c r="BQD367" s="153"/>
      <c r="BQE367" s="153"/>
      <c r="BQF367" s="153"/>
      <c r="BQG367" s="153"/>
      <c r="BQH367" s="153"/>
      <c r="BQI367" s="153"/>
      <c r="BQJ367" s="153"/>
      <c r="BQK367" s="153"/>
      <c r="BQL367" s="153"/>
      <c r="BQM367" s="640"/>
      <c r="BQN367" s="641"/>
      <c r="BQO367" s="638"/>
      <c r="BQP367" s="639"/>
      <c r="BQQ367" s="153"/>
      <c r="BQR367" s="153"/>
      <c r="BQS367" s="153"/>
      <c r="BQT367" s="153"/>
      <c r="BQU367" s="153"/>
      <c r="BQV367" s="153"/>
      <c r="BQW367" s="153"/>
      <c r="BQX367" s="153"/>
      <c r="BQY367" s="153"/>
      <c r="BQZ367" s="153"/>
      <c r="BRA367" s="153"/>
      <c r="BRB367" s="153"/>
      <c r="BRC367" s="640"/>
      <c r="BRD367" s="641"/>
      <c r="BRE367" s="638"/>
      <c r="BRF367" s="639"/>
      <c r="BRG367" s="153"/>
      <c r="BRH367" s="153"/>
      <c r="BRI367" s="153"/>
      <c r="BRJ367" s="153"/>
      <c r="BRK367" s="153"/>
      <c r="BRL367" s="153"/>
      <c r="BRM367" s="153"/>
      <c r="BRN367" s="153"/>
      <c r="BRO367" s="153"/>
      <c r="BRP367" s="153"/>
      <c r="BRQ367" s="153"/>
      <c r="BRR367" s="153"/>
      <c r="BRS367" s="640"/>
      <c r="BRT367" s="641"/>
      <c r="BRU367" s="638"/>
      <c r="BRV367" s="639"/>
      <c r="BRW367" s="153"/>
      <c r="BRX367" s="153"/>
      <c r="BRY367" s="153"/>
      <c r="BRZ367" s="153"/>
      <c r="BSA367" s="153"/>
      <c r="BSB367" s="153"/>
      <c r="BSC367" s="153"/>
      <c r="BSD367" s="153"/>
      <c r="BSE367" s="153"/>
      <c r="BSF367" s="153"/>
      <c r="BSG367" s="153"/>
      <c r="BSH367" s="153"/>
      <c r="BSI367" s="640"/>
      <c r="BSJ367" s="641"/>
      <c r="BSK367" s="638"/>
      <c r="BSL367" s="639"/>
      <c r="BSM367" s="153"/>
      <c r="BSN367" s="153"/>
      <c r="BSO367" s="153"/>
      <c r="BSP367" s="153"/>
      <c r="BSQ367" s="153"/>
      <c r="BSR367" s="153"/>
      <c r="BSS367" s="153"/>
      <c r="BST367" s="153"/>
      <c r="BSU367" s="153"/>
      <c r="BSV367" s="153"/>
      <c r="BSW367" s="153"/>
      <c r="BSX367" s="153"/>
      <c r="BSY367" s="640"/>
      <c r="BSZ367" s="641"/>
      <c r="BTA367" s="638"/>
      <c r="BTB367" s="639"/>
      <c r="BTC367" s="153"/>
      <c r="BTD367" s="153"/>
      <c r="BTE367" s="153"/>
      <c r="BTF367" s="153"/>
      <c r="BTG367" s="153"/>
      <c r="BTH367" s="153"/>
      <c r="BTI367" s="153"/>
      <c r="BTJ367" s="153"/>
      <c r="BTK367" s="153"/>
      <c r="BTL367" s="153"/>
      <c r="BTM367" s="153"/>
      <c r="BTN367" s="153"/>
      <c r="BTO367" s="640"/>
      <c r="BTP367" s="641"/>
      <c r="BTQ367" s="638"/>
      <c r="BTR367" s="639"/>
      <c r="BTS367" s="153"/>
      <c r="BTT367" s="153"/>
      <c r="BTU367" s="153"/>
      <c r="BTV367" s="153"/>
      <c r="BTW367" s="153"/>
      <c r="BTX367" s="153"/>
      <c r="BTY367" s="153"/>
      <c r="BTZ367" s="153"/>
      <c r="BUA367" s="153"/>
      <c r="BUB367" s="153"/>
      <c r="BUC367" s="153"/>
      <c r="BUD367" s="153"/>
      <c r="BUE367" s="640"/>
      <c r="BUF367" s="641"/>
      <c r="BUG367" s="638"/>
      <c r="BUH367" s="639"/>
      <c r="BUI367" s="153"/>
      <c r="BUJ367" s="153"/>
      <c r="BUK367" s="153"/>
      <c r="BUL367" s="153"/>
      <c r="BUM367" s="153"/>
      <c r="BUN367" s="153"/>
      <c r="BUO367" s="153"/>
      <c r="BUP367" s="153"/>
      <c r="BUQ367" s="153"/>
      <c r="BUR367" s="153"/>
      <c r="BUS367" s="153"/>
      <c r="BUT367" s="153"/>
      <c r="BUU367" s="640"/>
      <c r="BUV367" s="641"/>
      <c r="BUW367" s="638"/>
      <c r="BUX367" s="639"/>
      <c r="BUY367" s="153"/>
      <c r="BUZ367" s="153"/>
      <c r="BVA367" s="153"/>
      <c r="BVB367" s="153"/>
      <c r="BVC367" s="153"/>
      <c r="BVD367" s="153"/>
      <c r="BVE367" s="153"/>
      <c r="BVF367" s="153"/>
      <c r="BVG367" s="153"/>
      <c r="BVH367" s="153"/>
      <c r="BVI367" s="153"/>
      <c r="BVJ367" s="153"/>
      <c r="BVK367" s="640"/>
      <c r="BVL367" s="641"/>
      <c r="BVM367" s="638"/>
      <c r="BVN367" s="639"/>
      <c r="BVO367" s="153"/>
      <c r="BVP367" s="153"/>
      <c r="BVQ367" s="153"/>
      <c r="BVR367" s="153"/>
      <c r="BVS367" s="153"/>
      <c r="BVT367" s="153"/>
      <c r="BVU367" s="153"/>
      <c r="BVV367" s="153"/>
      <c r="BVW367" s="153"/>
      <c r="BVX367" s="153"/>
      <c r="BVY367" s="153"/>
      <c r="BVZ367" s="153"/>
      <c r="BWA367" s="640"/>
      <c r="BWB367" s="641"/>
      <c r="BWC367" s="638"/>
      <c r="BWD367" s="639"/>
      <c r="BWE367" s="153"/>
      <c r="BWF367" s="153"/>
      <c r="BWG367" s="153"/>
      <c r="BWH367" s="153"/>
      <c r="BWI367" s="153"/>
      <c r="BWJ367" s="153"/>
      <c r="BWK367" s="153"/>
      <c r="BWL367" s="153"/>
      <c r="BWM367" s="153"/>
      <c r="BWN367" s="153"/>
      <c r="BWO367" s="153"/>
      <c r="BWP367" s="153"/>
      <c r="BWQ367" s="640"/>
      <c r="BWR367" s="641"/>
      <c r="BWS367" s="638"/>
      <c r="BWT367" s="639"/>
      <c r="BWU367" s="153"/>
      <c r="BWV367" s="153"/>
      <c r="BWW367" s="153"/>
      <c r="BWX367" s="153"/>
      <c r="BWY367" s="153"/>
      <c r="BWZ367" s="153"/>
      <c r="BXA367" s="153"/>
      <c r="BXB367" s="153"/>
      <c r="BXC367" s="153"/>
      <c r="BXD367" s="153"/>
      <c r="BXE367" s="153"/>
      <c r="BXF367" s="153"/>
      <c r="BXG367" s="640"/>
      <c r="BXH367" s="641"/>
      <c r="BXI367" s="638"/>
      <c r="BXJ367" s="639"/>
      <c r="BXK367" s="153"/>
      <c r="BXL367" s="153"/>
      <c r="BXM367" s="153"/>
      <c r="BXN367" s="153"/>
      <c r="BXO367" s="153"/>
      <c r="BXP367" s="153"/>
      <c r="BXQ367" s="153"/>
      <c r="BXR367" s="153"/>
      <c r="BXS367" s="153"/>
      <c r="BXT367" s="153"/>
      <c r="BXU367" s="153"/>
      <c r="BXV367" s="153"/>
      <c r="BXW367" s="640"/>
      <c r="BXX367" s="641"/>
      <c r="BXY367" s="638"/>
      <c r="BXZ367" s="639"/>
      <c r="BYA367" s="153"/>
      <c r="BYB367" s="153"/>
      <c r="BYC367" s="153"/>
      <c r="BYD367" s="153"/>
      <c r="BYE367" s="153"/>
      <c r="BYF367" s="153"/>
      <c r="BYG367" s="153"/>
      <c r="BYH367" s="153"/>
      <c r="BYI367" s="153"/>
      <c r="BYJ367" s="153"/>
      <c r="BYK367" s="153"/>
      <c r="BYL367" s="153"/>
      <c r="BYM367" s="640"/>
      <c r="BYN367" s="641"/>
      <c r="BYO367" s="638"/>
      <c r="BYP367" s="639"/>
      <c r="BYQ367" s="153"/>
      <c r="BYR367" s="153"/>
      <c r="BYS367" s="153"/>
      <c r="BYT367" s="153"/>
      <c r="BYU367" s="153"/>
      <c r="BYV367" s="153"/>
      <c r="BYW367" s="153"/>
      <c r="BYX367" s="153"/>
      <c r="BYY367" s="153"/>
      <c r="BYZ367" s="153"/>
      <c r="BZA367" s="153"/>
      <c r="BZB367" s="153"/>
      <c r="BZC367" s="640"/>
      <c r="BZD367" s="641"/>
      <c r="BZE367" s="638"/>
      <c r="BZF367" s="639"/>
      <c r="BZG367" s="153"/>
      <c r="BZH367" s="153"/>
      <c r="BZI367" s="153"/>
      <c r="BZJ367" s="153"/>
      <c r="BZK367" s="153"/>
      <c r="BZL367" s="153"/>
      <c r="BZM367" s="153"/>
      <c r="BZN367" s="153"/>
      <c r="BZO367" s="153"/>
      <c r="BZP367" s="153"/>
      <c r="BZQ367" s="153"/>
      <c r="BZR367" s="153"/>
      <c r="BZS367" s="640"/>
      <c r="BZT367" s="641"/>
      <c r="BZU367" s="638"/>
      <c r="BZV367" s="639"/>
      <c r="BZW367" s="153"/>
      <c r="BZX367" s="153"/>
      <c r="BZY367" s="153"/>
      <c r="BZZ367" s="153"/>
      <c r="CAA367" s="153"/>
      <c r="CAB367" s="153"/>
      <c r="CAC367" s="153"/>
      <c r="CAD367" s="153"/>
      <c r="CAE367" s="153"/>
      <c r="CAF367" s="153"/>
      <c r="CAG367" s="153"/>
      <c r="CAH367" s="153"/>
      <c r="CAI367" s="640"/>
      <c r="CAJ367" s="641"/>
      <c r="CAK367" s="638"/>
      <c r="CAL367" s="639"/>
      <c r="CAM367" s="153"/>
      <c r="CAN367" s="153"/>
      <c r="CAO367" s="153"/>
      <c r="CAP367" s="153"/>
      <c r="CAQ367" s="153"/>
      <c r="CAR367" s="153"/>
      <c r="CAS367" s="153"/>
      <c r="CAT367" s="153"/>
      <c r="CAU367" s="153"/>
      <c r="CAV367" s="153"/>
      <c r="CAW367" s="153"/>
      <c r="CAX367" s="153"/>
      <c r="CAY367" s="640"/>
      <c r="CAZ367" s="641"/>
      <c r="CBA367" s="638"/>
      <c r="CBB367" s="639"/>
      <c r="CBC367" s="153"/>
      <c r="CBD367" s="153"/>
      <c r="CBE367" s="153"/>
      <c r="CBF367" s="153"/>
      <c r="CBG367" s="153"/>
      <c r="CBH367" s="153"/>
      <c r="CBI367" s="153"/>
      <c r="CBJ367" s="153"/>
      <c r="CBK367" s="153"/>
      <c r="CBL367" s="153"/>
      <c r="CBM367" s="153"/>
      <c r="CBN367" s="153"/>
      <c r="CBO367" s="640"/>
      <c r="CBP367" s="641"/>
      <c r="CBQ367" s="638"/>
      <c r="CBR367" s="639"/>
      <c r="CBS367" s="153"/>
      <c r="CBT367" s="153"/>
      <c r="CBU367" s="153"/>
      <c r="CBV367" s="153"/>
      <c r="CBW367" s="153"/>
      <c r="CBX367" s="153"/>
      <c r="CBY367" s="153"/>
      <c r="CBZ367" s="153"/>
      <c r="CCA367" s="153"/>
      <c r="CCB367" s="153"/>
      <c r="CCC367" s="153"/>
      <c r="CCD367" s="153"/>
      <c r="CCE367" s="640"/>
      <c r="CCF367" s="641"/>
      <c r="CCG367" s="638"/>
      <c r="CCH367" s="639"/>
      <c r="CCI367" s="153"/>
      <c r="CCJ367" s="153"/>
      <c r="CCK367" s="153"/>
      <c r="CCL367" s="153"/>
      <c r="CCM367" s="153"/>
      <c r="CCN367" s="153"/>
      <c r="CCO367" s="153"/>
      <c r="CCP367" s="153"/>
      <c r="CCQ367" s="153"/>
      <c r="CCR367" s="153"/>
      <c r="CCS367" s="153"/>
      <c r="CCT367" s="153"/>
      <c r="CCU367" s="640"/>
      <c r="CCV367" s="641"/>
      <c r="CCW367" s="638"/>
      <c r="CCX367" s="639"/>
      <c r="CCY367" s="153"/>
      <c r="CCZ367" s="153"/>
      <c r="CDA367" s="153"/>
      <c r="CDB367" s="153"/>
      <c r="CDC367" s="153"/>
      <c r="CDD367" s="153"/>
      <c r="CDE367" s="153"/>
      <c r="CDF367" s="153"/>
      <c r="CDG367" s="153"/>
      <c r="CDH367" s="153"/>
      <c r="CDI367" s="153"/>
      <c r="CDJ367" s="153"/>
      <c r="CDK367" s="640"/>
      <c r="CDL367" s="641"/>
      <c r="CDM367" s="638"/>
      <c r="CDN367" s="639"/>
      <c r="CDO367" s="153"/>
      <c r="CDP367" s="153"/>
      <c r="CDQ367" s="153"/>
      <c r="CDR367" s="153"/>
      <c r="CDS367" s="153"/>
      <c r="CDT367" s="153"/>
      <c r="CDU367" s="153"/>
      <c r="CDV367" s="153"/>
      <c r="CDW367" s="153"/>
      <c r="CDX367" s="153"/>
      <c r="CDY367" s="153"/>
      <c r="CDZ367" s="153"/>
      <c r="CEA367" s="640"/>
      <c r="CEB367" s="641"/>
      <c r="CEC367" s="638"/>
      <c r="CED367" s="639"/>
      <c r="CEE367" s="153"/>
      <c r="CEF367" s="153"/>
      <c r="CEG367" s="153"/>
      <c r="CEH367" s="153"/>
      <c r="CEI367" s="153"/>
      <c r="CEJ367" s="153"/>
      <c r="CEK367" s="153"/>
      <c r="CEL367" s="153"/>
      <c r="CEM367" s="153"/>
      <c r="CEN367" s="153"/>
      <c r="CEO367" s="153"/>
      <c r="CEP367" s="153"/>
      <c r="CEQ367" s="640"/>
      <c r="CER367" s="641"/>
      <c r="CES367" s="638"/>
      <c r="CET367" s="639"/>
      <c r="CEU367" s="153"/>
      <c r="CEV367" s="153"/>
      <c r="CEW367" s="153"/>
      <c r="CEX367" s="153"/>
      <c r="CEY367" s="153"/>
      <c r="CEZ367" s="153"/>
      <c r="CFA367" s="153"/>
      <c r="CFB367" s="153"/>
      <c r="CFC367" s="153"/>
      <c r="CFD367" s="153"/>
      <c r="CFE367" s="153"/>
      <c r="CFF367" s="153"/>
      <c r="CFG367" s="640"/>
      <c r="CFH367" s="641"/>
      <c r="CFI367" s="638"/>
      <c r="CFJ367" s="639"/>
      <c r="CFK367" s="153"/>
      <c r="CFL367" s="153"/>
      <c r="CFM367" s="153"/>
      <c r="CFN367" s="153"/>
      <c r="CFO367" s="153"/>
      <c r="CFP367" s="153"/>
      <c r="CFQ367" s="153"/>
      <c r="CFR367" s="153"/>
      <c r="CFS367" s="153"/>
      <c r="CFT367" s="153"/>
      <c r="CFU367" s="153"/>
      <c r="CFV367" s="153"/>
      <c r="CFW367" s="640"/>
      <c r="CFX367" s="641"/>
      <c r="CFY367" s="638"/>
      <c r="CFZ367" s="639"/>
      <c r="CGA367" s="153"/>
      <c r="CGB367" s="153"/>
      <c r="CGC367" s="153"/>
      <c r="CGD367" s="153"/>
      <c r="CGE367" s="153"/>
      <c r="CGF367" s="153"/>
      <c r="CGG367" s="153"/>
      <c r="CGH367" s="153"/>
      <c r="CGI367" s="153"/>
      <c r="CGJ367" s="153"/>
      <c r="CGK367" s="153"/>
      <c r="CGL367" s="153"/>
      <c r="CGM367" s="640"/>
      <c r="CGN367" s="641"/>
      <c r="CGO367" s="638"/>
      <c r="CGP367" s="639"/>
      <c r="CGQ367" s="153"/>
      <c r="CGR367" s="153"/>
      <c r="CGS367" s="153"/>
      <c r="CGT367" s="153"/>
      <c r="CGU367" s="153"/>
      <c r="CGV367" s="153"/>
      <c r="CGW367" s="153"/>
      <c r="CGX367" s="153"/>
      <c r="CGY367" s="153"/>
      <c r="CGZ367" s="153"/>
      <c r="CHA367" s="153"/>
      <c r="CHB367" s="153"/>
      <c r="CHC367" s="640"/>
      <c r="CHD367" s="641"/>
      <c r="CHE367" s="638"/>
      <c r="CHF367" s="639"/>
      <c r="CHG367" s="153"/>
      <c r="CHH367" s="153"/>
      <c r="CHI367" s="153"/>
      <c r="CHJ367" s="153"/>
      <c r="CHK367" s="153"/>
      <c r="CHL367" s="153"/>
      <c r="CHM367" s="153"/>
      <c r="CHN367" s="153"/>
      <c r="CHO367" s="153"/>
      <c r="CHP367" s="153"/>
      <c r="CHQ367" s="153"/>
      <c r="CHR367" s="153"/>
      <c r="CHS367" s="640"/>
      <c r="CHT367" s="641"/>
      <c r="CHU367" s="638"/>
      <c r="CHV367" s="639"/>
      <c r="CHW367" s="153"/>
      <c r="CHX367" s="153"/>
      <c r="CHY367" s="153"/>
      <c r="CHZ367" s="153"/>
      <c r="CIA367" s="153"/>
      <c r="CIB367" s="153"/>
      <c r="CIC367" s="153"/>
      <c r="CID367" s="153"/>
      <c r="CIE367" s="153"/>
      <c r="CIF367" s="153"/>
      <c r="CIG367" s="153"/>
      <c r="CIH367" s="153"/>
      <c r="CII367" s="640"/>
      <c r="CIJ367" s="641"/>
      <c r="CIK367" s="638"/>
      <c r="CIL367" s="639"/>
      <c r="CIM367" s="153"/>
      <c r="CIN367" s="153"/>
      <c r="CIO367" s="153"/>
      <c r="CIP367" s="153"/>
      <c r="CIQ367" s="153"/>
      <c r="CIR367" s="153"/>
      <c r="CIS367" s="153"/>
      <c r="CIT367" s="153"/>
      <c r="CIU367" s="153"/>
      <c r="CIV367" s="153"/>
      <c r="CIW367" s="153"/>
      <c r="CIX367" s="153"/>
      <c r="CIY367" s="640"/>
      <c r="CIZ367" s="641"/>
      <c r="CJA367" s="638"/>
      <c r="CJB367" s="639"/>
      <c r="CJC367" s="153"/>
      <c r="CJD367" s="153"/>
      <c r="CJE367" s="153"/>
      <c r="CJF367" s="153"/>
      <c r="CJG367" s="153"/>
      <c r="CJH367" s="153"/>
      <c r="CJI367" s="153"/>
      <c r="CJJ367" s="153"/>
      <c r="CJK367" s="153"/>
      <c r="CJL367" s="153"/>
      <c r="CJM367" s="153"/>
      <c r="CJN367" s="153"/>
      <c r="CJO367" s="640"/>
      <c r="CJP367" s="641"/>
      <c r="CJQ367" s="638"/>
      <c r="CJR367" s="639"/>
      <c r="CJS367" s="153"/>
      <c r="CJT367" s="153"/>
      <c r="CJU367" s="153"/>
      <c r="CJV367" s="153"/>
      <c r="CJW367" s="153"/>
      <c r="CJX367" s="153"/>
      <c r="CJY367" s="153"/>
      <c r="CJZ367" s="153"/>
      <c r="CKA367" s="153"/>
      <c r="CKB367" s="153"/>
      <c r="CKC367" s="153"/>
      <c r="CKD367" s="153"/>
      <c r="CKE367" s="640"/>
      <c r="CKF367" s="641"/>
      <c r="CKG367" s="638"/>
      <c r="CKH367" s="639"/>
      <c r="CKI367" s="153"/>
      <c r="CKJ367" s="153"/>
      <c r="CKK367" s="153"/>
      <c r="CKL367" s="153"/>
      <c r="CKM367" s="153"/>
      <c r="CKN367" s="153"/>
      <c r="CKO367" s="153"/>
      <c r="CKP367" s="153"/>
      <c r="CKQ367" s="153"/>
      <c r="CKR367" s="153"/>
      <c r="CKS367" s="153"/>
      <c r="CKT367" s="153"/>
      <c r="CKU367" s="640"/>
      <c r="CKV367" s="641"/>
      <c r="CKW367" s="638"/>
      <c r="CKX367" s="639"/>
      <c r="CKY367" s="153"/>
      <c r="CKZ367" s="153"/>
      <c r="CLA367" s="153"/>
      <c r="CLB367" s="153"/>
      <c r="CLC367" s="153"/>
      <c r="CLD367" s="153"/>
      <c r="CLE367" s="153"/>
      <c r="CLF367" s="153"/>
      <c r="CLG367" s="153"/>
      <c r="CLH367" s="153"/>
      <c r="CLI367" s="153"/>
      <c r="CLJ367" s="153"/>
      <c r="CLK367" s="640"/>
      <c r="CLL367" s="641"/>
      <c r="CLM367" s="638"/>
      <c r="CLN367" s="639"/>
      <c r="CLO367" s="153"/>
      <c r="CLP367" s="153"/>
      <c r="CLQ367" s="153"/>
      <c r="CLR367" s="153"/>
      <c r="CLS367" s="153"/>
      <c r="CLT367" s="153"/>
      <c r="CLU367" s="153"/>
      <c r="CLV367" s="153"/>
      <c r="CLW367" s="153"/>
      <c r="CLX367" s="153"/>
      <c r="CLY367" s="153"/>
      <c r="CLZ367" s="153"/>
      <c r="CMA367" s="640"/>
      <c r="CMB367" s="641"/>
      <c r="CMC367" s="638"/>
      <c r="CMD367" s="639"/>
      <c r="CME367" s="153"/>
      <c r="CMF367" s="153"/>
      <c r="CMG367" s="153"/>
      <c r="CMH367" s="153"/>
      <c r="CMI367" s="153"/>
      <c r="CMJ367" s="153"/>
      <c r="CMK367" s="153"/>
      <c r="CML367" s="153"/>
      <c r="CMM367" s="153"/>
      <c r="CMN367" s="153"/>
      <c r="CMO367" s="153"/>
      <c r="CMP367" s="153"/>
      <c r="CMQ367" s="640"/>
      <c r="CMR367" s="641"/>
      <c r="CMS367" s="638"/>
      <c r="CMT367" s="639"/>
      <c r="CMU367" s="153"/>
      <c r="CMV367" s="153"/>
      <c r="CMW367" s="153"/>
      <c r="CMX367" s="153"/>
      <c r="CMY367" s="153"/>
      <c r="CMZ367" s="153"/>
      <c r="CNA367" s="153"/>
      <c r="CNB367" s="153"/>
      <c r="CNC367" s="153"/>
      <c r="CND367" s="153"/>
      <c r="CNE367" s="153"/>
      <c r="CNF367" s="153"/>
      <c r="CNG367" s="640"/>
      <c r="CNH367" s="641"/>
      <c r="CNI367" s="638"/>
      <c r="CNJ367" s="639"/>
      <c r="CNK367" s="153"/>
      <c r="CNL367" s="153"/>
      <c r="CNM367" s="153"/>
      <c r="CNN367" s="153"/>
      <c r="CNO367" s="153"/>
      <c r="CNP367" s="153"/>
      <c r="CNQ367" s="153"/>
      <c r="CNR367" s="153"/>
      <c r="CNS367" s="153"/>
      <c r="CNT367" s="153"/>
      <c r="CNU367" s="153"/>
      <c r="CNV367" s="153"/>
      <c r="CNW367" s="640"/>
      <c r="CNX367" s="641"/>
      <c r="CNY367" s="638"/>
      <c r="CNZ367" s="639"/>
      <c r="COA367" s="153"/>
      <c r="COB367" s="153"/>
      <c r="COC367" s="153"/>
      <c r="COD367" s="153"/>
      <c r="COE367" s="153"/>
      <c r="COF367" s="153"/>
      <c r="COG367" s="153"/>
      <c r="COH367" s="153"/>
      <c r="COI367" s="153"/>
      <c r="COJ367" s="153"/>
      <c r="COK367" s="153"/>
      <c r="COL367" s="153"/>
      <c r="COM367" s="640"/>
      <c r="CON367" s="641"/>
      <c r="COO367" s="638"/>
      <c r="COP367" s="639"/>
      <c r="COQ367" s="153"/>
      <c r="COR367" s="153"/>
      <c r="COS367" s="153"/>
      <c r="COT367" s="153"/>
      <c r="COU367" s="153"/>
      <c r="COV367" s="153"/>
      <c r="COW367" s="153"/>
      <c r="COX367" s="153"/>
      <c r="COY367" s="153"/>
      <c r="COZ367" s="153"/>
      <c r="CPA367" s="153"/>
      <c r="CPB367" s="153"/>
      <c r="CPC367" s="640"/>
      <c r="CPD367" s="641"/>
      <c r="CPE367" s="638"/>
      <c r="CPF367" s="639"/>
      <c r="CPG367" s="153"/>
      <c r="CPH367" s="153"/>
      <c r="CPI367" s="153"/>
      <c r="CPJ367" s="153"/>
      <c r="CPK367" s="153"/>
      <c r="CPL367" s="153"/>
      <c r="CPM367" s="153"/>
      <c r="CPN367" s="153"/>
      <c r="CPO367" s="153"/>
      <c r="CPP367" s="153"/>
      <c r="CPQ367" s="153"/>
      <c r="CPR367" s="153"/>
      <c r="CPS367" s="640"/>
      <c r="CPT367" s="641"/>
      <c r="CPU367" s="638"/>
      <c r="CPV367" s="639"/>
      <c r="CPW367" s="153"/>
      <c r="CPX367" s="153"/>
      <c r="CPY367" s="153"/>
      <c r="CPZ367" s="153"/>
      <c r="CQA367" s="153"/>
      <c r="CQB367" s="153"/>
      <c r="CQC367" s="153"/>
      <c r="CQD367" s="153"/>
      <c r="CQE367" s="153"/>
      <c r="CQF367" s="153"/>
      <c r="CQG367" s="153"/>
      <c r="CQH367" s="153"/>
      <c r="CQI367" s="640"/>
      <c r="CQJ367" s="641"/>
      <c r="CQK367" s="638"/>
      <c r="CQL367" s="639"/>
      <c r="CQM367" s="153"/>
      <c r="CQN367" s="153"/>
      <c r="CQO367" s="153"/>
      <c r="CQP367" s="153"/>
      <c r="CQQ367" s="153"/>
      <c r="CQR367" s="153"/>
      <c r="CQS367" s="153"/>
      <c r="CQT367" s="153"/>
      <c r="CQU367" s="153"/>
      <c r="CQV367" s="153"/>
      <c r="CQW367" s="153"/>
      <c r="CQX367" s="153"/>
      <c r="CQY367" s="640"/>
      <c r="CQZ367" s="641"/>
      <c r="CRA367" s="638"/>
      <c r="CRB367" s="639"/>
      <c r="CRC367" s="153"/>
      <c r="CRD367" s="153"/>
      <c r="CRE367" s="153"/>
      <c r="CRF367" s="153"/>
      <c r="CRG367" s="153"/>
      <c r="CRH367" s="153"/>
      <c r="CRI367" s="153"/>
      <c r="CRJ367" s="153"/>
      <c r="CRK367" s="153"/>
      <c r="CRL367" s="153"/>
      <c r="CRM367" s="153"/>
      <c r="CRN367" s="153"/>
      <c r="CRO367" s="640"/>
      <c r="CRP367" s="641"/>
      <c r="CRQ367" s="638"/>
      <c r="CRR367" s="639"/>
      <c r="CRS367" s="153"/>
      <c r="CRT367" s="153"/>
      <c r="CRU367" s="153"/>
      <c r="CRV367" s="153"/>
      <c r="CRW367" s="153"/>
      <c r="CRX367" s="153"/>
      <c r="CRY367" s="153"/>
      <c r="CRZ367" s="153"/>
      <c r="CSA367" s="153"/>
      <c r="CSB367" s="153"/>
      <c r="CSC367" s="153"/>
      <c r="CSD367" s="153"/>
      <c r="CSE367" s="640"/>
      <c r="CSF367" s="641"/>
      <c r="CSG367" s="638"/>
      <c r="CSH367" s="639"/>
      <c r="CSI367" s="153"/>
      <c r="CSJ367" s="153"/>
      <c r="CSK367" s="153"/>
      <c r="CSL367" s="153"/>
      <c r="CSM367" s="153"/>
      <c r="CSN367" s="153"/>
      <c r="CSO367" s="153"/>
      <c r="CSP367" s="153"/>
      <c r="CSQ367" s="153"/>
      <c r="CSR367" s="153"/>
      <c r="CSS367" s="153"/>
      <c r="CST367" s="153"/>
      <c r="CSU367" s="640"/>
      <c r="CSV367" s="641"/>
      <c r="CSW367" s="638"/>
      <c r="CSX367" s="639"/>
      <c r="CSY367" s="153"/>
      <c r="CSZ367" s="153"/>
      <c r="CTA367" s="153"/>
      <c r="CTB367" s="153"/>
      <c r="CTC367" s="153"/>
      <c r="CTD367" s="153"/>
      <c r="CTE367" s="153"/>
      <c r="CTF367" s="153"/>
      <c r="CTG367" s="153"/>
      <c r="CTH367" s="153"/>
      <c r="CTI367" s="153"/>
      <c r="CTJ367" s="153"/>
      <c r="CTK367" s="640"/>
      <c r="CTL367" s="641"/>
      <c r="CTM367" s="638"/>
      <c r="CTN367" s="639"/>
      <c r="CTO367" s="153"/>
      <c r="CTP367" s="153"/>
      <c r="CTQ367" s="153"/>
      <c r="CTR367" s="153"/>
      <c r="CTS367" s="153"/>
      <c r="CTT367" s="153"/>
      <c r="CTU367" s="153"/>
      <c r="CTV367" s="153"/>
      <c r="CTW367" s="153"/>
      <c r="CTX367" s="153"/>
      <c r="CTY367" s="153"/>
      <c r="CTZ367" s="153"/>
      <c r="CUA367" s="640"/>
      <c r="CUB367" s="641"/>
      <c r="CUC367" s="638"/>
      <c r="CUD367" s="639"/>
      <c r="CUE367" s="153"/>
      <c r="CUF367" s="153"/>
      <c r="CUG367" s="153"/>
      <c r="CUH367" s="153"/>
      <c r="CUI367" s="153"/>
      <c r="CUJ367" s="153"/>
      <c r="CUK367" s="153"/>
      <c r="CUL367" s="153"/>
      <c r="CUM367" s="153"/>
      <c r="CUN367" s="153"/>
      <c r="CUO367" s="153"/>
      <c r="CUP367" s="153"/>
      <c r="CUQ367" s="640"/>
      <c r="CUR367" s="641"/>
      <c r="CUS367" s="638"/>
      <c r="CUT367" s="639"/>
      <c r="CUU367" s="153"/>
      <c r="CUV367" s="153"/>
      <c r="CUW367" s="153"/>
      <c r="CUX367" s="153"/>
      <c r="CUY367" s="153"/>
      <c r="CUZ367" s="153"/>
      <c r="CVA367" s="153"/>
      <c r="CVB367" s="153"/>
      <c r="CVC367" s="153"/>
      <c r="CVD367" s="153"/>
      <c r="CVE367" s="153"/>
      <c r="CVF367" s="153"/>
      <c r="CVG367" s="640"/>
      <c r="CVH367" s="641"/>
      <c r="CVI367" s="638"/>
      <c r="CVJ367" s="639"/>
      <c r="CVK367" s="153"/>
      <c r="CVL367" s="153"/>
      <c r="CVM367" s="153"/>
      <c r="CVN367" s="153"/>
      <c r="CVO367" s="153"/>
      <c r="CVP367" s="153"/>
      <c r="CVQ367" s="153"/>
      <c r="CVR367" s="153"/>
      <c r="CVS367" s="153"/>
      <c r="CVT367" s="153"/>
      <c r="CVU367" s="153"/>
      <c r="CVV367" s="153"/>
      <c r="CVW367" s="640"/>
      <c r="CVX367" s="641"/>
      <c r="CVY367" s="638"/>
      <c r="CVZ367" s="639"/>
      <c r="CWA367" s="153"/>
      <c r="CWB367" s="153"/>
      <c r="CWC367" s="153"/>
      <c r="CWD367" s="153"/>
      <c r="CWE367" s="153"/>
      <c r="CWF367" s="153"/>
      <c r="CWG367" s="153"/>
      <c r="CWH367" s="153"/>
      <c r="CWI367" s="153"/>
      <c r="CWJ367" s="153"/>
      <c r="CWK367" s="153"/>
      <c r="CWL367" s="153"/>
      <c r="CWM367" s="640"/>
      <c r="CWN367" s="641"/>
      <c r="CWO367" s="638"/>
      <c r="CWP367" s="639"/>
      <c r="CWQ367" s="153"/>
      <c r="CWR367" s="153"/>
      <c r="CWS367" s="153"/>
      <c r="CWT367" s="153"/>
      <c r="CWU367" s="153"/>
      <c r="CWV367" s="153"/>
      <c r="CWW367" s="153"/>
      <c r="CWX367" s="153"/>
      <c r="CWY367" s="153"/>
      <c r="CWZ367" s="153"/>
      <c r="CXA367" s="153"/>
      <c r="CXB367" s="153"/>
      <c r="CXC367" s="640"/>
      <c r="CXD367" s="641"/>
      <c r="CXE367" s="638"/>
      <c r="CXF367" s="639"/>
      <c r="CXG367" s="153"/>
      <c r="CXH367" s="153"/>
      <c r="CXI367" s="153"/>
      <c r="CXJ367" s="153"/>
      <c r="CXK367" s="153"/>
      <c r="CXL367" s="153"/>
      <c r="CXM367" s="153"/>
      <c r="CXN367" s="153"/>
      <c r="CXO367" s="153"/>
      <c r="CXP367" s="153"/>
      <c r="CXQ367" s="153"/>
      <c r="CXR367" s="153"/>
      <c r="CXS367" s="640"/>
      <c r="CXT367" s="641"/>
      <c r="CXU367" s="638"/>
      <c r="CXV367" s="639"/>
      <c r="CXW367" s="153"/>
      <c r="CXX367" s="153"/>
      <c r="CXY367" s="153"/>
      <c r="CXZ367" s="153"/>
      <c r="CYA367" s="153"/>
      <c r="CYB367" s="153"/>
      <c r="CYC367" s="153"/>
      <c r="CYD367" s="153"/>
      <c r="CYE367" s="153"/>
      <c r="CYF367" s="153"/>
      <c r="CYG367" s="153"/>
      <c r="CYH367" s="153"/>
      <c r="CYI367" s="640"/>
      <c r="CYJ367" s="641"/>
      <c r="CYK367" s="638"/>
      <c r="CYL367" s="639"/>
      <c r="CYM367" s="153"/>
      <c r="CYN367" s="153"/>
      <c r="CYO367" s="153"/>
      <c r="CYP367" s="153"/>
      <c r="CYQ367" s="153"/>
      <c r="CYR367" s="153"/>
      <c r="CYS367" s="153"/>
      <c r="CYT367" s="153"/>
      <c r="CYU367" s="153"/>
      <c r="CYV367" s="153"/>
      <c r="CYW367" s="153"/>
      <c r="CYX367" s="153"/>
      <c r="CYY367" s="640"/>
      <c r="CYZ367" s="641"/>
      <c r="CZA367" s="638"/>
      <c r="CZB367" s="639"/>
      <c r="CZC367" s="153"/>
      <c r="CZD367" s="153"/>
      <c r="CZE367" s="153"/>
      <c r="CZF367" s="153"/>
      <c r="CZG367" s="153"/>
      <c r="CZH367" s="153"/>
      <c r="CZI367" s="153"/>
      <c r="CZJ367" s="153"/>
      <c r="CZK367" s="153"/>
      <c r="CZL367" s="153"/>
      <c r="CZM367" s="153"/>
      <c r="CZN367" s="153"/>
      <c r="CZO367" s="640"/>
      <c r="CZP367" s="641"/>
      <c r="CZQ367" s="638"/>
      <c r="CZR367" s="639"/>
      <c r="CZS367" s="153"/>
      <c r="CZT367" s="153"/>
      <c r="CZU367" s="153"/>
      <c r="CZV367" s="153"/>
      <c r="CZW367" s="153"/>
      <c r="CZX367" s="153"/>
      <c r="CZY367" s="153"/>
      <c r="CZZ367" s="153"/>
      <c r="DAA367" s="153"/>
      <c r="DAB367" s="153"/>
      <c r="DAC367" s="153"/>
      <c r="DAD367" s="153"/>
      <c r="DAE367" s="640"/>
      <c r="DAF367" s="641"/>
      <c r="DAG367" s="638"/>
      <c r="DAH367" s="639"/>
      <c r="DAI367" s="153"/>
      <c r="DAJ367" s="153"/>
      <c r="DAK367" s="153"/>
      <c r="DAL367" s="153"/>
      <c r="DAM367" s="153"/>
      <c r="DAN367" s="153"/>
      <c r="DAO367" s="153"/>
      <c r="DAP367" s="153"/>
      <c r="DAQ367" s="153"/>
      <c r="DAR367" s="153"/>
      <c r="DAS367" s="153"/>
      <c r="DAT367" s="153"/>
      <c r="DAU367" s="640"/>
      <c r="DAV367" s="641"/>
      <c r="DAW367" s="638"/>
      <c r="DAX367" s="639"/>
      <c r="DAY367" s="153"/>
      <c r="DAZ367" s="153"/>
      <c r="DBA367" s="153"/>
      <c r="DBB367" s="153"/>
      <c r="DBC367" s="153"/>
      <c r="DBD367" s="153"/>
      <c r="DBE367" s="153"/>
      <c r="DBF367" s="153"/>
      <c r="DBG367" s="153"/>
      <c r="DBH367" s="153"/>
      <c r="DBI367" s="153"/>
      <c r="DBJ367" s="153"/>
      <c r="DBK367" s="640"/>
      <c r="DBL367" s="641"/>
      <c r="DBM367" s="638"/>
      <c r="DBN367" s="639"/>
      <c r="DBO367" s="153"/>
      <c r="DBP367" s="153"/>
      <c r="DBQ367" s="153"/>
      <c r="DBR367" s="153"/>
      <c r="DBS367" s="153"/>
      <c r="DBT367" s="153"/>
      <c r="DBU367" s="153"/>
      <c r="DBV367" s="153"/>
      <c r="DBW367" s="153"/>
      <c r="DBX367" s="153"/>
      <c r="DBY367" s="153"/>
      <c r="DBZ367" s="153"/>
      <c r="DCA367" s="640"/>
      <c r="DCB367" s="641"/>
      <c r="DCC367" s="638"/>
      <c r="DCD367" s="639"/>
      <c r="DCE367" s="153"/>
      <c r="DCF367" s="153"/>
      <c r="DCG367" s="153"/>
      <c r="DCH367" s="153"/>
      <c r="DCI367" s="153"/>
      <c r="DCJ367" s="153"/>
      <c r="DCK367" s="153"/>
      <c r="DCL367" s="153"/>
      <c r="DCM367" s="153"/>
      <c r="DCN367" s="153"/>
      <c r="DCO367" s="153"/>
      <c r="DCP367" s="153"/>
      <c r="DCQ367" s="640"/>
      <c r="DCR367" s="641"/>
      <c r="DCS367" s="638"/>
      <c r="DCT367" s="639"/>
      <c r="DCU367" s="153"/>
      <c r="DCV367" s="153"/>
      <c r="DCW367" s="153"/>
      <c r="DCX367" s="153"/>
      <c r="DCY367" s="153"/>
      <c r="DCZ367" s="153"/>
      <c r="DDA367" s="153"/>
      <c r="DDB367" s="153"/>
      <c r="DDC367" s="153"/>
      <c r="DDD367" s="153"/>
      <c r="DDE367" s="153"/>
      <c r="DDF367" s="153"/>
      <c r="DDG367" s="640"/>
      <c r="DDH367" s="641"/>
      <c r="DDI367" s="638"/>
      <c r="DDJ367" s="639"/>
      <c r="DDK367" s="153"/>
      <c r="DDL367" s="153"/>
      <c r="DDM367" s="153"/>
      <c r="DDN367" s="153"/>
      <c r="DDO367" s="153"/>
      <c r="DDP367" s="153"/>
      <c r="DDQ367" s="153"/>
      <c r="DDR367" s="153"/>
      <c r="DDS367" s="153"/>
      <c r="DDT367" s="153"/>
      <c r="DDU367" s="153"/>
      <c r="DDV367" s="153"/>
      <c r="DDW367" s="640"/>
      <c r="DDX367" s="641"/>
      <c r="DDY367" s="638"/>
      <c r="DDZ367" s="639"/>
      <c r="DEA367" s="153"/>
      <c r="DEB367" s="153"/>
      <c r="DEC367" s="153"/>
      <c r="DED367" s="153"/>
      <c r="DEE367" s="153"/>
      <c r="DEF367" s="153"/>
      <c r="DEG367" s="153"/>
      <c r="DEH367" s="153"/>
      <c r="DEI367" s="153"/>
      <c r="DEJ367" s="153"/>
      <c r="DEK367" s="153"/>
      <c r="DEL367" s="153"/>
      <c r="DEM367" s="640"/>
      <c r="DEN367" s="641"/>
      <c r="DEO367" s="638"/>
      <c r="DEP367" s="639"/>
      <c r="DEQ367" s="153"/>
      <c r="DER367" s="153"/>
      <c r="DES367" s="153"/>
      <c r="DET367" s="153"/>
      <c r="DEU367" s="153"/>
      <c r="DEV367" s="153"/>
      <c r="DEW367" s="153"/>
      <c r="DEX367" s="153"/>
      <c r="DEY367" s="153"/>
      <c r="DEZ367" s="153"/>
      <c r="DFA367" s="153"/>
      <c r="DFB367" s="153"/>
      <c r="DFC367" s="640"/>
      <c r="DFD367" s="641"/>
      <c r="DFE367" s="638"/>
      <c r="DFF367" s="639"/>
      <c r="DFG367" s="153"/>
      <c r="DFH367" s="153"/>
      <c r="DFI367" s="153"/>
      <c r="DFJ367" s="153"/>
      <c r="DFK367" s="153"/>
      <c r="DFL367" s="153"/>
      <c r="DFM367" s="153"/>
      <c r="DFN367" s="153"/>
      <c r="DFO367" s="153"/>
      <c r="DFP367" s="153"/>
      <c r="DFQ367" s="153"/>
      <c r="DFR367" s="153"/>
      <c r="DFS367" s="640"/>
      <c r="DFT367" s="641"/>
      <c r="DFU367" s="638"/>
      <c r="DFV367" s="639"/>
      <c r="DFW367" s="153"/>
      <c r="DFX367" s="153"/>
      <c r="DFY367" s="153"/>
      <c r="DFZ367" s="153"/>
      <c r="DGA367" s="153"/>
      <c r="DGB367" s="153"/>
      <c r="DGC367" s="153"/>
      <c r="DGD367" s="153"/>
      <c r="DGE367" s="153"/>
      <c r="DGF367" s="153"/>
      <c r="DGG367" s="153"/>
      <c r="DGH367" s="153"/>
      <c r="DGI367" s="640"/>
      <c r="DGJ367" s="641"/>
      <c r="DGK367" s="638"/>
      <c r="DGL367" s="639"/>
      <c r="DGM367" s="153"/>
      <c r="DGN367" s="153"/>
      <c r="DGO367" s="153"/>
      <c r="DGP367" s="153"/>
      <c r="DGQ367" s="153"/>
      <c r="DGR367" s="153"/>
      <c r="DGS367" s="153"/>
      <c r="DGT367" s="153"/>
      <c r="DGU367" s="153"/>
      <c r="DGV367" s="153"/>
      <c r="DGW367" s="153"/>
      <c r="DGX367" s="153"/>
      <c r="DGY367" s="640"/>
      <c r="DGZ367" s="641"/>
      <c r="DHA367" s="638"/>
      <c r="DHB367" s="639"/>
      <c r="DHC367" s="153"/>
      <c r="DHD367" s="153"/>
      <c r="DHE367" s="153"/>
      <c r="DHF367" s="153"/>
      <c r="DHG367" s="153"/>
      <c r="DHH367" s="153"/>
      <c r="DHI367" s="153"/>
      <c r="DHJ367" s="153"/>
      <c r="DHK367" s="153"/>
      <c r="DHL367" s="153"/>
      <c r="DHM367" s="153"/>
      <c r="DHN367" s="153"/>
      <c r="DHO367" s="640"/>
      <c r="DHP367" s="641"/>
      <c r="DHQ367" s="638"/>
      <c r="DHR367" s="639"/>
      <c r="DHS367" s="153"/>
      <c r="DHT367" s="153"/>
      <c r="DHU367" s="153"/>
      <c r="DHV367" s="153"/>
      <c r="DHW367" s="153"/>
      <c r="DHX367" s="153"/>
      <c r="DHY367" s="153"/>
      <c r="DHZ367" s="153"/>
      <c r="DIA367" s="153"/>
      <c r="DIB367" s="153"/>
      <c r="DIC367" s="153"/>
      <c r="DID367" s="153"/>
      <c r="DIE367" s="640"/>
      <c r="DIF367" s="641"/>
      <c r="DIG367" s="638"/>
      <c r="DIH367" s="639"/>
      <c r="DII367" s="153"/>
      <c r="DIJ367" s="153"/>
      <c r="DIK367" s="153"/>
      <c r="DIL367" s="153"/>
      <c r="DIM367" s="153"/>
      <c r="DIN367" s="153"/>
      <c r="DIO367" s="153"/>
      <c r="DIP367" s="153"/>
      <c r="DIQ367" s="153"/>
      <c r="DIR367" s="153"/>
      <c r="DIS367" s="153"/>
      <c r="DIT367" s="153"/>
      <c r="DIU367" s="640"/>
      <c r="DIV367" s="641"/>
      <c r="DIW367" s="638"/>
      <c r="DIX367" s="639"/>
      <c r="DIY367" s="153"/>
      <c r="DIZ367" s="153"/>
      <c r="DJA367" s="153"/>
      <c r="DJB367" s="153"/>
      <c r="DJC367" s="153"/>
      <c r="DJD367" s="153"/>
      <c r="DJE367" s="153"/>
      <c r="DJF367" s="153"/>
      <c r="DJG367" s="153"/>
      <c r="DJH367" s="153"/>
      <c r="DJI367" s="153"/>
      <c r="DJJ367" s="153"/>
      <c r="DJK367" s="640"/>
      <c r="DJL367" s="641"/>
      <c r="DJM367" s="638"/>
      <c r="DJN367" s="639"/>
      <c r="DJO367" s="153"/>
      <c r="DJP367" s="153"/>
      <c r="DJQ367" s="153"/>
      <c r="DJR367" s="153"/>
      <c r="DJS367" s="153"/>
      <c r="DJT367" s="153"/>
      <c r="DJU367" s="153"/>
      <c r="DJV367" s="153"/>
      <c r="DJW367" s="153"/>
      <c r="DJX367" s="153"/>
      <c r="DJY367" s="153"/>
      <c r="DJZ367" s="153"/>
      <c r="DKA367" s="640"/>
      <c r="DKB367" s="641"/>
      <c r="DKC367" s="638"/>
      <c r="DKD367" s="639"/>
      <c r="DKE367" s="153"/>
      <c r="DKF367" s="153"/>
      <c r="DKG367" s="153"/>
      <c r="DKH367" s="153"/>
      <c r="DKI367" s="153"/>
      <c r="DKJ367" s="153"/>
      <c r="DKK367" s="153"/>
      <c r="DKL367" s="153"/>
      <c r="DKM367" s="153"/>
      <c r="DKN367" s="153"/>
      <c r="DKO367" s="153"/>
      <c r="DKP367" s="153"/>
      <c r="DKQ367" s="640"/>
      <c r="DKR367" s="641"/>
      <c r="DKS367" s="638"/>
      <c r="DKT367" s="639"/>
      <c r="DKU367" s="153"/>
      <c r="DKV367" s="153"/>
      <c r="DKW367" s="153"/>
      <c r="DKX367" s="153"/>
      <c r="DKY367" s="153"/>
      <c r="DKZ367" s="153"/>
      <c r="DLA367" s="153"/>
      <c r="DLB367" s="153"/>
      <c r="DLC367" s="153"/>
      <c r="DLD367" s="153"/>
      <c r="DLE367" s="153"/>
      <c r="DLF367" s="153"/>
      <c r="DLG367" s="640"/>
      <c r="DLH367" s="641"/>
      <c r="DLI367" s="638"/>
      <c r="DLJ367" s="639"/>
      <c r="DLK367" s="153"/>
      <c r="DLL367" s="153"/>
      <c r="DLM367" s="153"/>
      <c r="DLN367" s="153"/>
      <c r="DLO367" s="153"/>
      <c r="DLP367" s="153"/>
      <c r="DLQ367" s="153"/>
      <c r="DLR367" s="153"/>
      <c r="DLS367" s="153"/>
      <c r="DLT367" s="153"/>
      <c r="DLU367" s="153"/>
      <c r="DLV367" s="153"/>
      <c r="DLW367" s="640"/>
      <c r="DLX367" s="641"/>
      <c r="DLY367" s="638"/>
      <c r="DLZ367" s="639"/>
      <c r="DMA367" s="153"/>
      <c r="DMB367" s="153"/>
      <c r="DMC367" s="153"/>
      <c r="DMD367" s="153"/>
      <c r="DME367" s="153"/>
      <c r="DMF367" s="153"/>
      <c r="DMG367" s="153"/>
      <c r="DMH367" s="153"/>
      <c r="DMI367" s="153"/>
      <c r="DMJ367" s="153"/>
      <c r="DMK367" s="153"/>
      <c r="DML367" s="153"/>
      <c r="DMM367" s="640"/>
      <c r="DMN367" s="641"/>
      <c r="DMO367" s="638"/>
      <c r="DMP367" s="639"/>
      <c r="DMQ367" s="153"/>
      <c r="DMR367" s="153"/>
      <c r="DMS367" s="153"/>
      <c r="DMT367" s="153"/>
      <c r="DMU367" s="153"/>
      <c r="DMV367" s="153"/>
      <c r="DMW367" s="153"/>
      <c r="DMX367" s="153"/>
      <c r="DMY367" s="153"/>
      <c r="DMZ367" s="153"/>
      <c r="DNA367" s="153"/>
      <c r="DNB367" s="153"/>
      <c r="DNC367" s="640"/>
      <c r="DND367" s="641"/>
      <c r="DNE367" s="638"/>
      <c r="DNF367" s="639"/>
      <c r="DNG367" s="153"/>
      <c r="DNH367" s="153"/>
      <c r="DNI367" s="153"/>
      <c r="DNJ367" s="153"/>
      <c r="DNK367" s="153"/>
      <c r="DNL367" s="153"/>
      <c r="DNM367" s="153"/>
      <c r="DNN367" s="153"/>
      <c r="DNO367" s="153"/>
      <c r="DNP367" s="153"/>
      <c r="DNQ367" s="153"/>
      <c r="DNR367" s="153"/>
      <c r="DNS367" s="640"/>
      <c r="DNT367" s="641"/>
      <c r="DNU367" s="638"/>
      <c r="DNV367" s="639"/>
      <c r="DNW367" s="153"/>
      <c r="DNX367" s="153"/>
      <c r="DNY367" s="153"/>
      <c r="DNZ367" s="153"/>
      <c r="DOA367" s="153"/>
      <c r="DOB367" s="153"/>
      <c r="DOC367" s="153"/>
      <c r="DOD367" s="153"/>
      <c r="DOE367" s="153"/>
      <c r="DOF367" s="153"/>
      <c r="DOG367" s="153"/>
      <c r="DOH367" s="153"/>
      <c r="DOI367" s="640"/>
      <c r="DOJ367" s="641"/>
      <c r="DOK367" s="638"/>
      <c r="DOL367" s="639"/>
      <c r="DOM367" s="153"/>
      <c r="DON367" s="153"/>
      <c r="DOO367" s="153"/>
      <c r="DOP367" s="153"/>
      <c r="DOQ367" s="153"/>
      <c r="DOR367" s="153"/>
      <c r="DOS367" s="153"/>
      <c r="DOT367" s="153"/>
      <c r="DOU367" s="153"/>
      <c r="DOV367" s="153"/>
      <c r="DOW367" s="153"/>
      <c r="DOX367" s="153"/>
      <c r="DOY367" s="640"/>
      <c r="DOZ367" s="641"/>
      <c r="DPA367" s="638"/>
      <c r="DPB367" s="639"/>
      <c r="DPC367" s="153"/>
      <c r="DPD367" s="153"/>
      <c r="DPE367" s="153"/>
      <c r="DPF367" s="153"/>
      <c r="DPG367" s="153"/>
      <c r="DPH367" s="153"/>
      <c r="DPI367" s="153"/>
      <c r="DPJ367" s="153"/>
      <c r="DPK367" s="153"/>
      <c r="DPL367" s="153"/>
      <c r="DPM367" s="153"/>
      <c r="DPN367" s="153"/>
      <c r="DPO367" s="640"/>
      <c r="DPP367" s="641"/>
      <c r="DPQ367" s="638"/>
      <c r="DPR367" s="639"/>
      <c r="DPS367" s="153"/>
      <c r="DPT367" s="153"/>
      <c r="DPU367" s="153"/>
      <c r="DPV367" s="153"/>
      <c r="DPW367" s="153"/>
      <c r="DPX367" s="153"/>
      <c r="DPY367" s="153"/>
      <c r="DPZ367" s="153"/>
      <c r="DQA367" s="153"/>
      <c r="DQB367" s="153"/>
      <c r="DQC367" s="153"/>
      <c r="DQD367" s="153"/>
      <c r="DQE367" s="640"/>
      <c r="DQF367" s="641"/>
      <c r="DQG367" s="638"/>
      <c r="DQH367" s="639"/>
      <c r="DQI367" s="153"/>
      <c r="DQJ367" s="153"/>
      <c r="DQK367" s="153"/>
      <c r="DQL367" s="153"/>
      <c r="DQM367" s="153"/>
      <c r="DQN367" s="153"/>
      <c r="DQO367" s="153"/>
      <c r="DQP367" s="153"/>
      <c r="DQQ367" s="153"/>
      <c r="DQR367" s="153"/>
      <c r="DQS367" s="153"/>
      <c r="DQT367" s="153"/>
      <c r="DQU367" s="640"/>
      <c r="DQV367" s="641"/>
      <c r="DQW367" s="638"/>
      <c r="DQX367" s="639"/>
      <c r="DQY367" s="153"/>
      <c r="DQZ367" s="153"/>
      <c r="DRA367" s="153"/>
      <c r="DRB367" s="153"/>
      <c r="DRC367" s="153"/>
      <c r="DRD367" s="153"/>
      <c r="DRE367" s="153"/>
      <c r="DRF367" s="153"/>
      <c r="DRG367" s="153"/>
      <c r="DRH367" s="153"/>
      <c r="DRI367" s="153"/>
      <c r="DRJ367" s="153"/>
      <c r="DRK367" s="640"/>
      <c r="DRL367" s="641"/>
      <c r="DRM367" s="638"/>
      <c r="DRN367" s="639"/>
      <c r="DRO367" s="153"/>
      <c r="DRP367" s="153"/>
      <c r="DRQ367" s="153"/>
      <c r="DRR367" s="153"/>
      <c r="DRS367" s="153"/>
      <c r="DRT367" s="153"/>
      <c r="DRU367" s="153"/>
      <c r="DRV367" s="153"/>
      <c r="DRW367" s="153"/>
      <c r="DRX367" s="153"/>
      <c r="DRY367" s="153"/>
      <c r="DRZ367" s="153"/>
      <c r="DSA367" s="640"/>
      <c r="DSB367" s="641"/>
      <c r="DSC367" s="638"/>
      <c r="DSD367" s="639"/>
      <c r="DSE367" s="153"/>
      <c r="DSF367" s="153"/>
      <c r="DSG367" s="153"/>
      <c r="DSH367" s="153"/>
      <c r="DSI367" s="153"/>
      <c r="DSJ367" s="153"/>
      <c r="DSK367" s="153"/>
      <c r="DSL367" s="153"/>
      <c r="DSM367" s="153"/>
      <c r="DSN367" s="153"/>
      <c r="DSO367" s="153"/>
      <c r="DSP367" s="153"/>
      <c r="DSQ367" s="640"/>
      <c r="DSR367" s="641"/>
      <c r="DSS367" s="638"/>
      <c r="DST367" s="639"/>
      <c r="DSU367" s="153"/>
      <c r="DSV367" s="153"/>
      <c r="DSW367" s="153"/>
      <c r="DSX367" s="153"/>
      <c r="DSY367" s="153"/>
      <c r="DSZ367" s="153"/>
      <c r="DTA367" s="153"/>
      <c r="DTB367" s="153"/>
      <c r="DTC367" s="153"/>
      <c r="DTD367" s="153"/>
      <c r="DTE367" s="153"/>
      <c r="DTF367" s="153"/>
      <c r="DTG367" s="640"/>
      <c r="DTH367" s="641"/>
      <c r="DTI367" s="638"/>
      <c r="DTJ367" s="639"/>
      <c r="DTK367" s="153"/>
      <c r="DTL367" s="153"/>
      <c r="DTM367" s="153"/>
      <c r="DTN367" s="153"/>
      <c r="DTO367" s="153"/>
      <c r="DTP367" s="153"/>
      <c r="DTQ367" s="153"/>
      <c r="DTR367" s="153"/>
      <c r="DTS367" s="153"/>
      <c r="DTT367" s="153"/>
      <c r="DTU367" s="153"/>
      <c r="DTV367" s="153"/>
      <c r="DTW367" s="640"/>
      <c r="DTX367" s="641"/>
      <c r="DTY367" s="638"/>
      <c r="DTZ367" s="639"/>
      <c r="DUA367" s="153"/>
      <c r="DUB367" s="153"/>
      <c r="DUC367" s="153"/>
      <c r="DUD367" s="153"/>
      <c r="DUE367" s="153"/>
      <c r="DUF367" s="153"/>
      <c r="DUG367" s="153"/>
      <c r="DUH367" s="153"/>
      <c r="DUI367" s="153"/>
      <c r="DUJ367" s="153"/>
      <c r="DUK367" s="153"/>
      <c r="DUL367" s="153"/>
      <c r="DUM367" s="640"/>
      <c r="DUN367" s="641"/>
      <c r="DUO367" s="638"/>
      <c r="DUP367" s="639"/>
      <c r="DUQ367" s="153"/>
      <c r="DUR367" s="153"/>
      <c r="DUS367" s="153"/>
      <c r="DUT367" s="153"/>
      <c r="DUU367" s="153"/>
      <c r="DUV367" s="153"/>
      <c r="DUW367" s="153"/>
      <c r="DUX367" s="153"/>
      <c r="DUY367" s="153"/>
      <c r="DUZ367" s="153"/>
      <c r="DVA367" s="153"/>
      <c r="DVB367" s="153"/>
      <c r="DVC367" s="640"/>
      <c r="DVD367" s="641"/>
      <c r="DVE367" s="638"/>
      <c r="DVF367" s="639"/>
      <c r="DVG367" s="153"/>
      <c r="DVH367" s="153"/>
      <c r="DVI367" s="153"/>
      <c r="DVJ367" s="153"/>
      <c r="DVK367" s="153"/>
      <c r="DVL367" s="153"/>
      <c r="DVM367" s="153"/>
      <c r="DVN367" s="153"/>
      <c r="DVO367" s="153"/>
      <c r="DVP367" s="153"/>
      <c r="DVQ367" s="153"/>
      <c r="DVR367" s="153"/>
      <c r="DVS367" s="640"/>
      <c r="DVT367" s="641"/>
      <c r="DVU367" s="638"/>
      <c r="DVV367" s="639"/>
      <c r="DVW367" s="153"/>
      <c r="DVX367" s="153"/>
      <c r="DVY367" s="153"/>
      <c r="DVZ367" s="153"/>
      <c r="DWA367" s="153"/>
      <c r="DWB367" s="153"/>
      <c r="DWC367" s="153"/>
      <c r="DWD367" s="153"/>
      <c r="DWE367" s="153"/>
      <c r="DWF367" s="153"/>
      <c r="DWG367" s="153"/>
      <c r="DWH367" s="153"/>
      <c r="DWI367" s="640"/>
      <c r="DWJ367" s="641"/>
      <c r="DWK367" s="638"/>
      <c r="DWL367" s="639"/>
      <c r="DWM367" s="153"/>
      <c r="DWN367" s="153"/>
      <c r="DWO367" s="153"/>
      <c r="DWP367" s="153"/>
      <c r="DWQ367" s="153"/>
      <c r="DWR367" s="153"/>
      <c r="DWS367" s="153"/>
      <c r="DWT367" s="153"/>
      <c r="DWU367" s="153"/>
      <c r="DWV367" s="153"/>
      <c r="DWW367" s="153"/>
      <c r="DWX367" s="153"/>
      <c r="DWY367" s="640"/>
      <c r="DWZ367" s="641"/>
      <c r="DXA367" s="638"/>
      <c r="DXB367" s="639"/>
      <c r="DXC367" s="153"/>
      <c r="DXD367" s="153"/>
      <c r="DXE367" s="153"/>
      <c r="DXF367" s="153"/>
      <c r="DXG367" s="153"/>
      <c r="DXH367" s="153"/>
      <c r="DXI367" s="153"/>
      <c r="DXJ367" s="153"/>
      <c r="DXK367" s="153"/>
      <c r="DXL367" s="153"/>
      <c r="DXM367" s="153"/>
      <c r="DXN367" s="153"/>
      <c r="DXO367" s="640"/>
      <c r="DXP367" s="641"/>
      <c r="DXQ367" s="638"/>
      <c r="DXR367" s="639"/>
      <c r="DXS367" s="153"/>
      <c r="DXT367" s="153"/>
      <c r="DXU367" s="153"/>
      <c r="DXV367" s="153"/>
      <c r="DXW367" s="153"/>
      <c r="DXX367" s="153"/>
      <c r="DXY367" s="153"/>
      <c r="DXZ367" s="153"/>
      <c r="DYA367" s="153"/>
      <c r="DYB367" s="153"/>
      <c r="DYC367" s="153"/>
      <c r="DYD367" s="153"/>
      <c r="DYE367" s="640"/>
      <c r="DYF367" s="641"/>
      <c r="DYG367" s="638"/>
      <c r="DYH367" s="639"/>
      <c r="DYI367" s="153"/>
      <c r="DYJ367" s="153"/>
      <c r="DYK367" s="153"/>
      <c r="DYL367" s="153"/>
      <c r="DYM367" s="153"/>
      <c r="DYN367" s="153"/>
      <c r="DYO367" s="153"/>
      <c r="DYP367" s="153"/>
      <c r="DYQ367" s="153"/>
      <c r="DYR367" s="153"/>
      <c r="DYS367" s="153"/>
      <c r="DYT367" s="153"/>
      <c r="DYU367" s="640"/>
      <c r="DYV367" s="641"/>
      <c r="DYW367" s="638"/>
      <c r="DYX367" s="639"/>
      <c r="DYY367" s="153"/>
      <c r="DYZ367" s="153"/>
      <c r="DZA367" s="153"/>
      <c r="DZB367" s="153"/>
      <c r="DZC367" s="153"/>
      <c r="DZD367" s="153"/>
      <c r="DZE367" s="153"/>
      <c r="DZF367" s="153"/>
      <c r="DZG367" s="153"/>
      <c r="DZH367" s="153"/>
      <c r="DZI367" s="153"/>
      <c r="DZJ367" s="153"/>
      <c r="DZK367" s="640"/>
      <c r="DZL367" s="641"/>
      <c r="DZM367" s="638"/>
      <c r="DZN367" s="639"/>
      <c r="DZO367" s="153"/>
      <c r="DZP367" s="153"/>
      <c r="DZQ367" s="153"/>
      <c r="DZR367" s="153"/>
      <c r="DZS367" s="153"/>
      <c r="DZT367" s="153"/>
      <c r="DZU367" s="153"/>
      <c r="DZV367" s="153"/>
      <c r="DZW367" s="153"/>
      <c r="DZX367" s="153"/>
      <c r="DZY367" s="153"/>
      <c r="DZZ367" s="153"/>
      <c r="EAA367" s="640"/>
      <c r="EAB367" s="641"/>
      <c r="EAC367" s="638"/>
      <c r="EAD367" s="639"/>
      <c r="EAE367" s="153"/>
      <c r="EAF367" s="153"/>
      <c r="EAG367" s="153"/>
      <c r="EAH367" s="153"/>
      <c r="EAI367" s="153"/>
      <c r="EAJ367" s="153"/>
      <c r="EAK367" s="153"/>
      <c r="EAL367" s="153"/>
      <c r="EAM367" s="153"/>
      <c r="EAN367" s="153"/>
      <c r="EAO367" s="153"/>
      <c r="EAP367" s="153"/>
      <c r="EAQ367" s="640"/>
      <c r="EAR367" s="641"/>
      <c r="EAS367" s="638"/>
      <c r="EAT367" s="639"/>
      <c r="EAU367" s="153"/>
      <c r="EAV367" s="153"/>
      <c r="EAW367" s="153"/>
      <c r="EAX367" s="153"/>
      <c r="EAY367" s="153"/>
      <c r="EAZ367" s="153"/>
      <c r="EBA367" s="153"/>
      <c r="EBB367" s="153"/>
      <c r="EBC367" s="153"/>
      <c r="EBD367" s="153"/>
      <c r="EBE367" s="153"/>
      <c r="EBF367" s="153"/>
      <c r="EBG367" s="640"/>
      <c r="EBH367" s="641"/>
      <c r="EBI367" s="638"/>
      <c r="EBJ367" s="639"/>
      <c r="EBK367" s="153"/>
      <c r="EBL367" s="153"/>
      <c r="EBM367" s="153"/>
      <c r="EBN367" s="153"/>
      <c r="EBO367" s="153"/>
      <c r="EBP367" s="153"/>
      <c r="EBQ367" s="153"/>
      <c r="EBR367" s="153"/>
      <c r="EBS367" s="153"/>
      <c r="EBT367" s="153"/>
      <c r="EBU367" s="153"/>
      <c r="EBV367" s="153"/>
      <c r="EBW367" s="640"/>
      <c r="EBX367" s="641"/>
      <c r="EBY367" s="638"/>
      <c r="EBZ367" s="639"/>
      <c r="ECA367" s="153"/>
      <c r="ECB367" s="153"/>
      <c r="ECC367" s="153"/>
      <c r="ECD367" s="153"/>
      <c r="ECE367" s="153"/>
      <c r="ECF367" s="153"/>
      <c r="ECG367" s="153"/>
      <c r="ECH367" s="153"/>
      <c r="ECI367" s="153"/>
      <c r="ECJ367" s="153"/>
      <c r="ECK367" s="153"/>
      <c r="ECL367" s="153"/>
      <c r="ECM367" s="640"/>
      <c r="ECN367" s="641"/>
      <c r="ECO367" s="638"/>
      <c r="ECP367" s="639"/>
      <c r="ECQ367" s="153"/>
      <c r="ECR367" s="153"/>
      <c r="ECS367" s="153"/>
      <c r="ECT367" s="153"/>
      <c r="ECU367" s="153"/>
      <c r="ECV367" s="153"/>
      <c r="ECW367" s="153"/>
      <c r="ECX367" s="153"/>
      <c r="ECY367" s="153"/>
      <c r="ECZ367" s="153"/>
      <c r="EDA367" s="153"/>
      <c r="EDB367" s="153"/>
      <c r="EDC367" s="640"/>
      <c r="EDD367" s="641"/>
      <c r="EDE367" s="638"/>
      <c r="EDF367" s="639"/>
      <c r="EDG367" s="153"/>
      <c r="EDH367" s="153"/>
      <c r="EDI367" s="153"/>
      <c r="EDJ367" s="153"/>
      <c r="EDK367" s="153"/>
      <c r="EDL367" s="153"/>
      <c r="EDM367" s="153"/>
      <c r="EDN367" s="153"/>
      <c r="EDO367" s="153"/>
      <c r="EDP367" s="153"/>
      <c r="EDQ367" s="153"/>
      <c r="EDR367" s="153"/>
      <c r="EDS367" s="640"/>
      <c r="EDT367" s="641"/>
      <c r="EDU367" s="638"/>
      <c r="EDV367" s="639"/>
      <c r="EDW367" s="153"/>
      <c r="EDX367" s="153"/>
      <c r="EDY367" s="153"/>
      <c r="EDZ367" s="153"/>
      <c r="EEA367" s="153"/>
      <c r="EEB367" s="153"/>
      <c r="EEC367" s="153"/>
      <c r="EED367" s="153"/>
      <c r="EEE367" s="153"/>
      <c r="EEF367" s="153"/>
      <c r="EEG367" s="153"/>
      <c r="EEH367" s="153"/>
      <c r="EEI367" s="640"/>
      <c r="EEJ367" s="641"/>
      <c r="EEK367" s="638"/>
      <c r="EEL367" s="639"/>
      <c r="EEM367" s="153"/>
      <c r="EEN367" s="153"/>
      <c r="EEO367" s="153"/>
      <c r="EEP367" s="153"/>
      <c r="EEQ367" s="153"/>
      <c r="EER367" s="153"/>
      <c r="EES367" s="153"/>
      <c r="EET367" s="153"/>
      <c r="EEU367" s="153"/>
      <c r="EEV367" s="153"/>
      <c r="EEW367" s="153"/>
      <c r="EEX367" s="153"/>
      <c r="EEY367" s="640"/>
      <c r="EEZ367" s="641"/>
      <c r="EFA367" s="638"/>
      <c r="EFB367" s="639"/>
      <c r="EFC367" s="153"/>
      <c r="EFD367" s="153"/>
      <c r="EFE367" s="153"/>
      <c r="EFF367" s="153"/>
      <c r="EFG367" s="153"/>
      <c r="EFH367" s="153"/>
      <c r="EFI367" s="153"/>
      <c r="EFJ367" s="153"/>
      <c r="EFK367" s="153"/>
      <c r="EFL367" s="153"/>
      <c r="EFM367" s="153"/>
      <c r="EFN367" s="153"/>
      <c r="EFO367" s="640"/>
      <c r="EFP367" s="641"/>
      <c r="EFQ367" s="638"/>
      <c r="EFR367" s="639"/>
      <c r="EFS367" s="153"/>
      <c r="EFT367" s="153"/>
      <c r="EFU367" s="153"/>
      <c r="EFV367" s="153"/>
      <c r="EFW367" s="153"/>
      <c r="EFX367" s="153"/>
      <c r="EFY367" s="153"/>
      <c r="EFZ367" s="153"/>
      <c r="EGA367" s="153"/>
      <c r="EGB367" s="153"/>
      <c r="EGC367" s="153"/>
      <c r="EGD367" s="153"/>
      <c r="EGE367" s="640"/>
      <c r="EGF367" s="641"/>
      <c r="EGG367" s="638"/>
      <c r="EGH367" s="639"/>
      <c r="EGI367" s="153"/>
      <c r="EGJ367" s="153"/>
      <c r="EGK367" s="153"/>
      <c r="EGL367" s="153"/>
      <c r="EGM367" s="153"/>
      <c r="EGN367" s="153"/>
      <c r="EGO367" s="153"/>
      <c r="EGP367" s="153"/>
      <c r="EGQ367" s="153"/>
      <c r="EGR367" s="153"/>
      <c r="EGS367" s="153"/>
      <c r="EGT367" s="153"/>
      <c r="EGU367" s="640"/>
      <c r="EGV367" s="641"/>
      <c r="EGW367" s="638"/>
      <c r="EGX367" s="639"/>
      <c r="EGY367" s="153"/>
      <c r="EGZ367" s="153"/>
      <c r="EHA367" s="153"/>
      <c r="EHB367" s="153"/>
      <c r="EHC367" s="153"/>
      <c r="EHD367" s="153"/>
      <c r="EHE367" s="153"/>
      <c r="EHF367" s="153"/>
      <c r="EHG367" s="153"/>
      <c r="EHH367" s="153"/>
      <c r="EHI367" s="153"/>
      <c r="EHJ367" s="153"/>
      <c r="EHK367" s="640"/>
      <c r="EHL367" s="641"/>
      <c r="EHM367" s="638"/>
      <c r="EHN367" s="639"/>
      <c r="EHO367" s="153"/>
      <c r="EHP367" s="153"/>
      <c r="EHQ367" s="153"/>
      <c r="EHR367" s="153"/>
      <c r="EHS367" s="153"/>
      <c r="EHT367" s="153"/>
      <c r="EHU367" s="153"/>
      <c r="EHV367" s="153"/>
      <c r="EHW367" s="153"/>
      <c r="EHX367" s="153"/>
      <c r="EHY367" s="153"/>
      <c r="EHZ367" s="153"/>
      <c r="EIA367" s="640"/>
      <c r="EIB367" s="641"/>
      <c r="EIC367" s="638"/>
      <c r="EID367" s="639"/>
      <c r="EIE367" s="153"/>
      <c r="EIF367" s="153"/>
      <c r="EIG367" s="153"/>
      <c r="EIH367" s="153"/>
      <c r="EII367" s="153"/>
      <c r="EIJ367" s="153"/>
      <c r="EIK367" s="153"/>
      <c r="EIL367" s="153"/>
      <c r="EIM367" s="153"/>
      <c r="EIN367" s="153"/>
      <c r="EIO367" s="153"/>
      <c r="EIP367" s="153"/>
      <c r="EIQ367" s="640"/>
      <c r="EIR367" s="641"/>
      <c r="EIS367" s="638"/>
      <c r="EIT367" s="639"/>
      <c r="EIU367" s="153"/>
      <c r="EIV367" s="153"/>
      <c r="EIW367" s="153"/>
      <c r="EIX367" s="153"/>
      <c r="EIY367" s="153"/>
      <c r="EIZ367" s="153"/>
      <c r="EJA367" s="153"/>
      <c r="EJB367" s="153"/>
      <c r="EJC367" s="153"/>
      <c r="EJD367" s="153"/>
      <c r="EJE367" s="153"/>
      <c r="EJF367" s="153"/>
      <c r="EJG367" s="640"/>
      <c r="EJH367" s="641"/>
      <c r="EJI367" s="638"/>
      <c r="EJJ367" s="639"/>
      <c r="EJK367" s="153"/>
      <c r="EJL367" s="153"/>
      <c r="EJM367" s="153"/>
      <c r="EJN367" s="153"/>
      <c r="EJO367" s="153"/>
      <c r="EJP367" s="153"/>
      <c r="EJQ367" s="153"/>
      <c r="EJR367" s="153"/>
      <c r="EJS367" s="153"/>
      <c r="EJT367" s="153"/>
      <c r="EJU367" s="153"/>
      <c r="EJV367" s="153"/>
      <c r="EJW367" s="640"/>
      <c r="EJX367" s="641"/>
      <c r="EJY367" s="638"/>
      <c r="EJZ367" s="639"/>
      <c r="EKA367" s="153"/>
      <c r="EKB367" s="153"/>
      <c r="EKC367" s="153"/>
      <c r="EKD367" s="153"/>
      <c r="EKE367" s="153"/>
      <c r="EKF367" s="153"/>
      <c r="EKG367" s="153"/>
      <c r="EKH367" s="153"/>
      <c r="EKI367" s="153"/>
      <c r="EKJ367" s="153"/>
      <c r="EKK367" s="153"/>
      <c r="EKL367" s="153"/>
      <c r="EKM367" s="640"/>
      <c r="EKN367" s="641"/>
      <c r="EKO367" s="638"/>
      <c r="EKP367" s="639"/>
      <c r="EKQ367" s="153"/>
      <c r="EKR367" s="153"/>
      <c r="EKS367" s="153"/>
      <c r="EKT367" s="153"/>
      <c r="EKU367" s="153"/>
      <c r="EKV367" s="153"/>
      <c r="EKW367" s="153"/>
      <c r="EKX367" s="153"/>
      <c r="EKY367" s="153"/>
      <c r="EKZ367" s="153"/>
      <c r="ELA367" s="153"/>
      <c r="ELB367" s="153"/>
      <c r="ELC367" s="640"/>
      <c r="ELD367" s="641"/>
      <c r="ELE367" s="638"/>
      <c r="ELF367" s="639"/>
      <c r="ELG367" s="153"/>
      <c r="ELH367" s="153"/>
      <c r="ELI367" s="153"/>
      <c r="ELJ367" s="153"/>
      <c r="ELK367" s="153"/>
      <c r="ELL367" s="153"/>
      <c r="ELM367" s="153"/>
      <c r="ELN367" s="153"/>
      <c r="ELO367" s="153"/>
      <c r="ELP367" s="153"/>
      <c r="ELQ367" s="153"/>
      <c r="ELR367" s="153"/>
      <c r="ELS367" s="640"/>
      <c r="ELT367" s="641"/>
      <c r="ELU367" s="638"/>
      <c r="ELV367" s="639"/>
      <c r="ELW367" s="153"/>
      <c r="ELX367" s="153"/>
      <c r="ELY367" s="153"/>
      <c r="ELZ367" s="153"/>
      <c r="EMA367" s="153"/>
      <c r="EMB367" s="153"/>
      <c r="EMC367" s="153"/>
      <c r="EMD367" s="153"/>
      <c r="EME367" s="153"/>
      <c r="EMF367" s="153"/>
      <c r="EMG367" s="153"/>
      <c r="EMH367" s="153"/>
      <c r="EMI367" s="640"/>
      <c r="EMJ367" s="641"/>
      <c r="EMK367" s="638"/>
      <c r="EML367" s="639"/>
      <c r="EMM367" s="153"/>
      <c r="EMN367" s="153"/>
      <c r="EMO367" s="153"/>
      <c r="EMP367" s="153"/>
      <c r="EMQ367" s="153"/>
      <c r="EMR367" s="153"/>
      <c r="EMS367" s="153"/>
      <c r="EMT367" s="153"/>
      <c r="EMU367" s="153"/>
      <c r="EMV367" s="153"/>
      <c r="EMW367" s="153"/>
      <c r="EMX367" s="153"/>
      <c r="EMY367" s="640"/>
      <c r="EMZ367" s="641"/>
      <c r="ENA367" s="638"/>
      <c r="ENB367" s="639"/>
      <c r="ENC367" s="153"/>
      <c r="END367" s="153"/>
      <c r="ENE367" s="153"/>
      <c r="ENF367" s="153"/>
      <c r="ENG367" s="153"/>
      <c r="ENH367" s="153"/>
      <c r="ENI367" s="153"/>
      <c r="ENJ367" s="153"/>
      <c r="ENK367" s="153"/>
      <c r="ENL367" s="153"/>
      <c r="ENM367" s="153"/>
      <c r="ENN367" s="153"/>
      <c r="ENO367" s="640"/>
      <c r="ENP367" s="641"/>
      <c r="ENQ367" s="638"/>
      <c r="ENR367" s="639"/>
      <c r="ENS367" s="153"/>
      <c r="ENT367" s="153"/>
      <c r="ENU367" s="153"/>
      <c r="ENV367" s="153"/>
      <c r="ENW367" s="153"/>
      <c r="ENX367" s="153"/>
      <c r="ENY367" s="153"/>
      <c r="ENZ367" s="153"/>
      <c r="EOA367" s="153"/>
      <c r="EOB367" s="153"/>
      <c r="EOC367" s="153"/>
      <c r="EOD367" s="153"/>
      <c r="EOE367" s="640"/>
      <c r="EOF367" s="641"/>
      <c r="EOG367" s="638"/>
      <c r="EOH367" s="639"/>
      <c r="EOI367" s="153"/>
      <c r="EOJ367" s="153"/>
      <c r="EOK367" s="153"/>
      <c r="EOL367" s="153"/>
      <c r="EOM367" s="153"/>
      <c r="EON367" s="153"/>
      <c r="EOO367" s="153"/>
      <c r="EOP367" s="153"/>
      <c r="EOQ367" s="153"/>
      <c r="EOR367" s="153"/>
      <c r="EOS367" s="153"/>
      <c r="EOT367" s="153"/>
      <c r="EOU367" s="640"/>
      <c r="EOV367" s="641"/>
      <c r="EOW367" s="638"/>
      <c r="EOX367" s="639"/>
      <c r="EOY367" s="153"/>
      <c r="EOZ367" s="153"/>
      <c r="EPA367" s="153"/>
      <c r="EPB367" s="153"/>
      <c r="EPC367" s="153"/>
      <c r="EPD367" s="153"/>
      <c r="EPE367" s="153"/>
      <c r="EPF367" s="153"/>
      <c r="EPG367" s="153"/>
      <c r="EPH367" s="153"/>
      <c r="EPI367" s="153"/>
      <c r="EPJ367" s="153"/>
      <c r="EPK367" s="640"/>
      <c r="EPL367" s="641"/>
      <c r="EPM367" s="638"/>
      <c r="EPN367" s="639"/>
      <c r="EPO367" s="153"/>
      <c r="EPP367" s="153"/>
      <c r="EPQ367" s="153"/>
      <c r="EPR367" s="153"/>
      <c r="EPS367" s="153"/>
      <c r="EPT367" s="153"/>
      <c r="EPU367" s="153"/>
      <c r="EPV367" s="153"/>
      <c r="EPW367" s="153"/>
      <c r="EPX367" s="153"/>
      <c r="EPY367" s="153"/>
      <c r="EPZ367" s="153"/>
      <c r="EQA367" s="640"/>
      <c r="EQB367" s="641"/>
      <c r="EQC367" s="638"/>
      <c r="EQD367" s="639"/>
      <c r="EQE367" s="153"/>
      <c r="EQF367" s="153"/>
      <c r="EQG367" s="153"/>
      <c r="EQH367" s="153"/>
      <c r="EQI367" s="153"/>
      <c r="EQJ367" s="153"/>
      <c r="EQK367" s="153"/>
      <c r="EQL367" s="153"/>
      <c r="EQM367" s="153"/>
      <c r="EQN367" s="153"/>
      <c r="EQO367" s="153"/>
      <c r="EQP367" s="153"/>
      <c r="EQQ367" s="640"/>
      <c r="EQR367" s="641"/>
      <c r="EQS367" s="638"/>
      <c r="EQT367" s="639"/>
      <c r="EQU367" s="153"/>
      <c r="EQV367" s="153"/>
      <c r="EQW367" s="153"/>
      <c r="EQX367" s="153"/>
      <c r="EQY367" s="153"/>
      <c r="EQZ367" s="153"/>
      <c r="ERA367" s="153"/>
      <c r="ERB367" s="153"/>
      <c r="ERC367" s="153"/>
      <c r="ERD367" s="153"/>
      <c r="ERE367" s="153"/>
      <c r="ERF367" s="153"/>
      <c r="ERG367" s="640"/>
      <c r="ERH367" s="641"/>
      <c r="ERI367" s="638"/>
      <c r="ERJ367" s="639"/>
      <c r="ERK367" s="153"/>
      <c r="ERL367" s="153"/>
      <c r="ERM367" s="153"/>
      <c r="ERN367" s="153"/>
      <c r="ERO367" s="153"/>
      <c r="ERP367" s="153"/>
      <c r="ERQ367" s="153"/>
      <c r="ERR367" s="153"/>
      <c r="ERS367" s="153"/>
      <c r="ERT367" s="153"/>
      <c r="ERU367" s="153"/>
      <c r="ERV367" s="153"/>
      <c r="ERW367" s="640"/>
      <c r="ERX367" s="641"/>
      <c r="ERY367" s="638"/>
      <c r="ERZ367" s="639"/>
      <c r="ESA367" s="153"/>
      <c r="ESB367" s="153"/>
      <c r="ESC367" s="153"/>
      <c r="ESD367" s="153"/>
      <c r="ESE367" s="153"/>
      <c r="ESF367" s="153"/>
      <c r="ESG367" s="153"/>
      <c r="ESH367" s="153"/>
      <c r="ESI367" s="153"/>
      <c r="ESJ367" s="153"/>
      <c r="ESK367" s="153"/>
      <c r="ESL367" s="153"/>
      <c r="ESM367" s="640"/>
      <c r="ESN367" s="641"/>
      <c r="ESO367" s="638"/>
      <c r="ESP367" s="639"/>
      <c r="ESQ367" s="153"/>
      <c r="ESR367" s="153"/>
      <c r="ESS367" s="153"/>
      <c r="EST367" s="153"/>
      <c r="ESU367" s="153"/>
      <c r="ESV367" s="153"/>
      <c r="ESW367" s="153"/>
      <c r="ESX367" s="153"/>
      <c r="ESY367" s="153"/>
      <c r="ESZ367" s="153"/>
      <c r="ETA367" s="153"/>
      <c r="ETB367" s="153"/>
      <c r="ETC367" s="640"/>
      <c r="ETD367" s="641"/>
      <c r="ETE367" s="638"/>
      <c r="ETF367" s="639"/>
      <c r="ETG367" s="153"/>
      <c r="ETH367" s="153"/>
      <c r="ETI367" s="153"/>
      <c r="ETJ367" s="153"/>
      <c r="ETK367" s="153"/>
      <c r="ETL367" s="153"/>
      <c r="ETM367" s="153"/>
      <c r="ETN367" s="153"/>
      <c r="ETO367" s="153"/>
      <c r="ETP367" s="153"/>
      <c r="ETQ367" s="153"/>
      <c r="ETR367" s="153"/>
      <c r="ETS367" s="640"/>
      <c r="ETT367" s="641"/>
      <c r="ETU367" s="638"/>
      <c r="ETV367" s="639"/>
      <c r="ETW367" s="153"/>
      <c r="ETX367" s="153"/>
      <c r="ETY367" s="153"/>
      <c r="ETZ367" s="153"/>
      <c r="EUA367" s="153"/>
      <c r="EUB367" s="153"/>
      <c r="EUC367" s="153"/>
      <c r="EUD367" s="153"/>
      <c r="EUE367" s="153"/>
      <c r="EUF367" s="153"/>
      <c r="EUG367" s="153"/>
      <c r="EUH367" s="153"/>
      <c r="EUI367" s="640"/>
      <c r="EUJ367" s="641"/>
      <c r="EUK367" s="638"/>
      <c r="EUL367" s="639"/>
      <c r="EUM367" s="153"/>
      <c r="EUN367" s="153"/>
      <c r="EUO367" s="153"/>
      <c r="EUP367" s="153"/>
      <c r="EUQ367" s="153"/>
      <c r="EUR367" s="153"/>
      <c r="EUS367" s="153"/>
      <c r="EUT367" s="153"/>
      <c r="EUU367" s="153"/>
      <c r="EUV367" s="153"/>
      <c r="EUW367" s="153"/>
      <c r="EUX367" s="153"/>
      <c r="EUY367" s="640"/>
      <c r="EUZ367" s="641"/>
      <c r="EVA367" s="638"/>
      <c r="EVB367" s="639"/>
      <c r="EVC367" s="153"/>
      <c r="EVD367" s="153"/>
      <c r="EVE367" s="153"/>
      <c r="EVF367" s="153"/>
      <c r="EVG367" s="153"/>
      <c r="EVH367" s="153"/>
      <c r="EVI367" s="153"/>
      <c r="EVJ367" s="153"/>
      <c r="EVK367" s="153"/>
      <c r="EVL367" s="153"/>
      <c r="EVM367" s="153"/>
      <c r="EVN367" s="153"/>
      <c r="EVO367" s="640"/>
      <c r="EVP367" s="641"/>
      <c r="EVQ367" s="638"/>
      <c r="EVR367" s="639"/>
      <c r="EVS367" s="153"/>
      <c r="EVT367" s="153"/>
      <c r="EVU367" s="153"/>
      <c r="EVV367" s="153"/>
      <c r="EVW367" s="153"/>
      <c r="EVX367" s="153"/>
      <c r="EVY367" s="153"/>
      <c r="EVZ367" s="153"/>
      <c r="EWA367" s="153"/>
      <c r="EWB367" s="153"/>
      <c r="EWC367" s="153"/>
      <c r="EWD367" s="153"/>
      <c r="EWE367" s="640"/>
      <c r="EWF367" s="641"/>
      <c r="EWG367" s="638"/>
      <c r="EWH367" s="639"/>
      <c r="EWI367" s="153"/>
      <c r="EWJ367" s="153"/>
      <c r="EWK367" s="153"/>
      <c r="EWL367" s="153"/>
      <c r="EWM367" s="153"/>
      <c r="EWN367" s="153"/>
      <c r="EWO367" s="153"/>
      <c r="EWP367" s="153"/>
      <c r="EWQ367" s="153"/>
      <c r="EWR367" s="153"/>
      <c r="EWS367" s="153"/>
      <c r="EWT367" s="153"/>
      <c r="EWU367" s="640"/>
      <c r="EWV367" s="641"/>
      <c r="EWW367" s="638"/>
      <c r="EWX367" s="639"/>
      <c r="EWY367" s="153"/>
      <c r="EWZ367" s="153"/>
      <c r="EXA367" s="153"/>
      <c r="EXB367" s="153"/>
      <c r="EXC367" s="153"/>
      <c r="EXD367" s="153"/>
      <c r="EXE367" s="153"/>
      <c r="EXF367" s="153"/>
      <c r="EXG367" s="153"/>
      <c r="EXH367" s="153"/>
      <c r="EXI367" s="153"/>
      <c r="EXJ367" s="153"/>
      <c r="EXK367" s="640"/>
      <c r="EXL367" s="641"/>
      <c r="EXM367" s="638"/>
      <c r="EXN367" s="639"/>
      <c r="EXO367" s="153"/>
      <c r="EXP367" s="153"/>
      <c r="EXQ367" s="153"/>
      <c r="EXR367" s="153"/>
      <c r="EXS367" s="153"/>
      <c r="EXT367" s="153"/>
      <c r="EXU367" s="153"/>
      <c r="EXV367" s="153"/>
      <c r="EXW367" s="153"/>
      <c r="EXX367" s="153"/>
      <c r="EXY367" s="153"/>
      <c r="EXZ367" s="153"/>
      <c r="EYA367" s="640"/>
      <c r="EYB367" s="641"/>
      <c r="EYC367" s="638"/>
      <c r="EYD367" s="639"/>
      <c r="EYE367" s="153"/>
      <c r="EYF367" s="153"/>
      <c r="EYG367" s="153"/>
      <c r="EYH367" s="153"/>
      <c r="EYI367" s="153"/>
      <c r="EYJ367" s="153"/>
      <c r="EYK367" s="153"/>
      <c r="EYL367" s="153"/>
      <c r="EYM367" s="153"/>
      <c r="EYN367" s="153"/>
      <c r="EYO367" s="153"/>
      <c r="EYP367" s="153"/>
      <c r="EYQ367" s="640"/>
      <c r="EYR367" s="641"/>
      <c r="EYS367" s="638"/>
      <c r="EYT367" s="639"/>
      <c r="EYU367" s="153"/>
      <c r="EYV367" s="153"/>
      <c r="EYW367" s="153"/>
      <c r="EYX367" s="153"/>
      <c r="EYY367" s="153"/>
      <c r="EYZ367" s="153"/>
      <c r="EZA367" s="153"/>
      <c r="EZB367" s="153"/>
      <c r="EZC367" s="153"/>
      <c r="EZD367" s="153"/>
      <c r="EZE367" s="153"/>
      <c r="EZF367" s="153"/>
      <c r="EZG367" s="640"/>
      <c r="EZH367" s="641"/>
      <c r="EZI367" s="638"/>
      <c r="EZJ367" s="639"/>
      <c r="EZK367" s="153"/>
      <c r="EZL367" s="153"/>
      <c r="EZM367" s="153"/>
      <c r="EZN367" s="153"/>
      <c r="EZO367" s="153"/>
      <c r="EZP367" s="153"/>
      <c r="EZQ367" s="153"/>
      <c r="EZR367" s="153"/>
      <c r="EZS367" s="153"/>
      <c r="EZT367" s="153"/>
      <c r="EZU367" s="153"/>
      <c r="EZV367" s="153"/>
      <c r="EZW367" s="640"/>
      <c r="EZX367" s="641"/>
      <c r="EZY367" s="638"/>
      <c r="EZZ367" s="639"/>
      <c r="FAA367" s="153"/>
      <c r="FAB367" s="153"/>
      <c r="FAC367" s="153"/>
      <c r="FAD367" s="153"/>
      <c r="FAE367" s="153"/>
      <c r="FAF367" s="153"/>
      <c r="FAG367" s="153"/>
      <c r="FAH367" s="153"/>
      <c r="FAI367" s="153"/>
      <c r="FAJ367" s="153"/>
      <c r="FAK367" s="153"/>
      <c r="FAL367" s="153"/>
      <c r="FAM367" s="640"/>
      <c r="FAN367" s="641"/>
      <c r="FAO367" s="638"/>
      <c r="FAP367" s="639"/>
      <c r="FAQ367" s="153"/>
      <c r="FAR367" s="153"/>
      <c r="FAS367" s="153"/>
      <c r="FAT367" s="153"/>
      <c r="FAU367" s="153"/>
      <c r="FAV367" s="153"/>
      <c r="FAW367" s="153"/>
      <c r="FAX367" s="153"/>
      <c r="FAY367" s="153"/>
      <c r="FAZ367" s="153"/>
      <c r="FBA367" s="153"/>
      <c r="FBB367" s="153"/>
      <c r="FBC367" s="640"/>
      <c r="FBD367" s="641"/>
      <c r="FBE367" s="638"/>
      <c r="FBF367" s="639"/>
      <c r="FBG367" s="153"/>
      <c r="FBH367" s="153"/>
      <c r="FBI367" s="153"/>
      <c r="FBJ367" s="153"/>
      <c r="FBK367" s="153"/>
      <c r="FBL367" s="153"/>
      <c r="FBM367" s="153"/>
      <c r="FBN367" s="153"/>
      <c r="FBO367" s="153"/>
      <c r="FBP367" s="153"/>
      <c r="FBQ367" s="153"/>
      <c r="FBR367" s="153"/>
      <c r="FBS367" s="640"/>
      <c r="FBT367" s="641"/>
      <c r="FBU367" s="638"/>
      <c r="FBV367" s="639"/>
      <c r="FBW367" s="153"/>
      <c r="FBX367" s="153"/>
      <c r="FBY367" s="153"/>
      <c r="FBZ367" s="153"/>
      <c r="FCA367" s="153"/>
      <c r="FCB367" s="153"/>
      <c r="FCC367" s="153"/>
      <c r="FCD367" s="153"/>
      <c r="FCE367" s="153"/>
      <c r="FCF367" s="153"/>
      <c r="FCG367" s="153"/>
      <c r="FCH367" s="153"/>
      <c r="FCI367" s="640"/>
      <c r="FCJ367" s="641"/>
      <c r="FCK367" s="638"/>
      <c r="FCL367" s="639"/>
      <c r="FCM367" s="153"/>
      <c r="FCN367" s="153"/>
      <c r="FCO367" s="153"/>
      <c r="FCP367" s="153"/>
      <c r="FCQ367" s="153"/>
      <c r="FCR367" s="153"/>
      <c r="FCS367" s="153"/>
      <c r="FCT367" s="153"/>
      <c r="FCU367" s="153"/>
      <c r="FCV367" s="153"/>
      <c r="FCW367" s="153"/>
      <c r="FCX367" s="153"/>
      <c r="FCY367" s="640"/>
      <c r="FCZ367" s="641"/>
      <c r="FDA367" s="638"/>
      <c r="FDB367" s="639"/>
      <c r="FDC367" s="153"/>
      <c r="FDD367" s="153"/>
      <c r="FDE367" s="153"/>
      <c r="FDF367" s="153"/>
      <c r="FDG367" s="153"/>
      <c r="FDH367" s="153"/>
      <c r="FDI367" s="153"/>
      <c r="FDJ367" s="153"/>
      <c r="FDK367" s="153"/>
      <c r="FDL367" s="153"/>
      <c r="FDM367" s="153"/>
      <c r="FDN367" s="153"/>
      <c r="FDO367" s="640"/>
      <c r="FDP367" s="641"/>
      <c r="FDQ367" s="638"/>
      <c r="FDR367" s="639"/>
      <c r="FDS367" s="153"/>
      <c r="FDT367" s="153"/>
      <c r="FDU367" s="153"/>
      <c r="FDV367" s="153"/>
      <c r="FDW367" s="153"/>
      <c r="FDX367" s="153"/>
      <c r="FDY367" s="153"/>
      <c r="FDZ367" s="153"/>
      <c r="FEA367" s="153"/>
      <c r="FEB367" s="153"/>
      <c r="FEC367" s="153"/>
      <c r="FED367" s="153"/>
      <c r="FEE367" s="640"/>
      <c r="FEF367" s="641"/>
      <c r="FEG367" s="638"/>
      <c r="FEH367" s="639"/>
      <c r="FEI367" s="153"/>
      <c r="FEJ367" s="153"/>
      <c r="FEK367" s="153"/>
      <c r="FEL367" s="153"/>
      <c r="FEM367" s="153"/>
      <c r="FEN367" s="153"/>
      <c r="FEO367" s="153"/>
      <c r="FEP367" s="153"/>
      <c r="FEQ367" s="153"/>
      <c r="FER367" s="153"/>
      <c r="FES367" s="153"/>
      <c r="FET367" s="153"/>
      <c r="FEU367" s="640"/>
      <c r="FEV367" s="641"/>
      <c r="FEW367" s="638"/>
      <c r="FEX367" s="639"/>
      <c r="FEY367" s="153"/>
      <c r="FEZ367" s="153"/>
      <c r="FFA367" s="153"/>
      <c r="FFB367" s="153"/>
      <c r="FFC367" s="153"/>
      <c r="FFD367" s="153"/>
      <c r="FFE367" s="153"/>
      <c r="FFF367" s="153"/>
      <c r="FFG367" s="153"/>
      <c r="FFH367" s="153"/>
      <c r="FFI367" s="153"/>
      <c r="FFJ367" s="153"/>
      <c r="FFK367" s="640"/>
      <c r="FFL367" s="641"/>
      <c r="FFM367" s="638"/>
      <c r="FFN367" s="639"/>
      <c r="FFO367" s="153"/>
      <c r="FFP367" s="153"/>
      <c r="FFQ367" s="153"/>
      <c r="FFR367" s="153"/>
      <c r="FFS367" s="153"/>
      <c r="FFT367" s="153"/>
      <c r="FFU367" s="153"/>
      <c r="FFV367" s="153"/>
      <c r="FFW367" s="153"/>
      <c r="FFX367" s="153"/>
      <c r="FFY367" s="153"/>
      <c r="FFZ367" s="153"/>
      <c r="FGA367" s="640"/>
      <c r="FGB367" s="641"/>
      <c r="FGC367" s="638"/>
      <c r="FGD367" s="639"/>
      <c r="FGE367" s="153"/>
      <c r="FGF367" s="153"/>
      <c r="FGG367" s="153"/>
      <c r="FGH367" s="153"/>
      <c r="FGI367" s="153"/>
      <c r="FGJ367" s="153"/>
      <c r="FGK367" s="153"/>
      <c r="FGL367" s="153"/>
      <c r="FGM367" s="153"/>
      <c r="FGN367" s="153"/>
      <c r="FGO367" s="153"/>
      <c r="FGP367" s="153"/>
      <c r="FGQ367" s="640"/>
      <c r="FGR367" s="641"/>
      <c r="FGS367" s="638"/>
      <c r="FGT367" s="639"/>
      <c r="FGU367" s="153"/>
      <c r="FGV367" s="153"/>
      <c r="FGW367" s="153"/>
      <c r="FGX367" s="153"/>
      <c r="FGY367" s="153"/>
      <c r="FGZ367" s="153"/>
      <c r="FHA367" s="153"/>
      <c r="FHB367" s="153"/>
      <c r="FHC367" s="153"/>
      <c r="FHD367" s="153"/>
      <c r="FHE367" s="153"/>
      <c r="FHF367" s="153"/>
      <c r="FHG367" s="640"/>
      <c r="FHH367" s="641"/>
      <c r="FHI367" s="638"/>
      <c r="FHJ367" s="639"/>
      <c r="FHK367" s="153"/>
      <c r="FHL367" s="153"/>
      <c r="FHM367" s="153"/>
      <c r="FHN367" s="153"/>
      <c r="FHO367" s="153"/>
      <c r="FHP367" s="153"/>
      <c r="FHQ367" s="153"/>
      <c r="FHR367" s="153"/>
      <c r="FHS367" s="153"/>
      <c r="FHT367" s="153"/>
      <c r="FHU367" s="153"/>
      <c r="FHV367" s="153"/>
      <c r="FHW367" s="640"/>
      <c r="FHX367" s="641"/>
      <c r="FHY367" s="638"/>
      <c r="FHZ367" s="639"/>
      <c r="FIA367" s="153"/>
      <c r="FIB367" s="153"/>
      <c r="FIC367" s="153"/>
      <c r="FID367" s="153"/>
      <c r="FIE367" s="153"/>
      <c r="FIF367" s="153"/>
      <c r="FIG367" s="153"/>
      <c r="FIH367" s="153"/>
      <c r="FII367" s="153"/>
      <c r="FIJ367" s="153"/>
      <c r="FIK367" s="153"/>
      <c r="FIL367" s="153"/>
      <c r="FIM367" s="640"/>
      <c r="FIN367" s="641"/>
      <c r="FIO367" s="638"/>
      <c r="FIP367" s="639"/>
      <c r="FIQ367" s="153"/>
      <c r="FIR367" s="153"/>
      <c r="FIS367" s="153"/>
      <c r="FIT367" s="153"/>
      <c r="FIU367" s="153"/>
      <c r="FIV367" s="153"/>
      <c r="FIW367" s="153"/>
      <c r="FIX367" s="153"/>
      <c r="FIY367" s="153"/>
      <c r="FIZ367" s="153"/>
      <c r="FJA367" s="153"/>
      <c r="FJB367" s="153"/>
      <c r="FJC367" s="640"/>
      <c r="FJD367" s="641"/>
      <c r="FJE367" s="638"/>
      <c r="FJF367" s="639"/>
      <c r="FJG367" s="153"/>
      <c r="FJH367" s="153"/>
      <c r="FJI367" s="153"/>
      <c r="FJJ367" s="153"/>
      <c r="FJK367" s="153"/>
      <c r="FJL367" s="153"/>
      <c r="FJM367" s="153"/>
      <c r="FJN367" s="153"/>
      <c r="FJO367" s="153"/>
      <c r="FJP367" s="153"/>
      <c r="FJQ367" s="153"/>
      <c r="FJR367" s="153"/>
      <c r="FJS367" s="640"/>
      <c r="FJT367" s="641"/>
      <c r="FJU367" s="638"/>
      <c r="FJV367" s="639"/>
      <c r="FJW367" s="153"/>
      <c r="FJX367" s="153"/>
      <c r="FJY367" s="153"/>
      <c r="FJZ367" s="153"/>
      <c r="FKA367" s="153"/>
      <c r="FKB367" s="153"/>
      <c r="FKC367" s="153"/>
      <c r="FKD367" s="153"/>
      <c r="FKE367" s="153"/>
      <c r="FKF367" s="153"/>
      <c r="FKG367" s="153"/>
      <c r="FKH367" s="153"/>
      <c r="FKI367" s="640"/>
      <c r="FKJ367" s="641"/>
      <c r="FKK367" s="638"/>
      <c r="FKL367" s="639"/>
      <c r="FKM367" s="153"/>
      <c r="FKN367" s="153"/>
      <c r="FKO367" s="153"/>
      <c r="FKP367" s="153"/>
      <c r="FKQ367" s="153"/>
      <c r="FKR367" s="153"/>
      <c r="FKS367" s="153"/>
      <c r="FKT367" s="153"/>
      <c r="FKU367" s="153"/>
      <c r="FKV367" s="153"/>
      <c r="FKW367" s="153"/>
      <c r="FKX367" s="153"/>
      <c r="FKY367" s="640"/>
      <c r="FKZ367" s="641"/>
      <c r="FLA367" s="638"/>
      <c r="FLB367" s="639"/>
      <c r="FLC367" s="153"/>
      <c r="FLD367" s="153"/>
      <c r="FLE367" s="153"/>
      <c r="FLF367" s="153"/>
      <c r="FLG367" s="153"/>
      <c r="FLH367" s="153"/>
      <c r="FLI367" s="153"/>
      <c r="FLJ367" s="153"/>
      <c r="FLK367" s="153"/>
      <c r="FLL367" s="153"/>
      <c r="FLM367" s="153"/>
      <c r="FLN367" s="153"/>
      <c r="FLO367" s="640"/>
      <c r="FLP367" s="641"/>
      <c r="FLQ367" s="638"/>
      <c r="FLR367" s="639"/>
      <c r="FLS367" s="153"/>
      <c r="FLT367" s="153"/>
      <c r="FLU367" s="153"/>
      <c r="FLV367" s="153"/>
      <c r="FLW367" s="153"/>
      <c r="FLX367" s="153"/>
      <c r="FLY367" s="153"/>
      <c r="FLZ367" s="153"/>
      <c r="FMA367" s="153"/>
      <c r="FMB367" s="153"/>
      <c r="FMC367" s="153"/>
      <c r="FMD367" s="153"/>
      <c r="FME367" s="640"/>
      <c r="FMF367" s="641"/>
      <c r="FMG367" s="638"/>
      <c r="FMH367" s="639"/>
      <c r="FMI367" s="153"/>
      <c r="FMJ367" s="153"/>
      <c r="FMK367" s="153"/>
      <c r="FML367" s="153"/>
      <c r="FMM367" s="153"/>
      <c r="FMN367" s="153"/>
      <c r="FMO367" s="153"/>
      <c r="FMP367" s="153"/>
      <c r="FMQ367" s="153"/>
      <c r="FMR367" s="153"/>
      <c r="FMS367" s="153"/>
      <c r="FMT367" s="153"/>
      <c r="FMU367" s="640"/>
      <c r="FMV367" s="641"/>
      <c r="FMW367" s="638"/>
      <c r="FMX367" s="639"/>
      <c r="FMY367" s="153"/>
      <c r="FMZ367" s="153"/>
      <c r="FNA367" s="153"/>
      <c r="FNB367" s="153"/>
      <c r="FNC367" s="153"/>
      <c r="FND367" s="153"/>
      <c r="FNE367" s="153"/>
      <c r="FNF367" s="153"/>
      <c r="FNG367" s="153"/>
      <c r="FNH367" s="153"/>
      <c r="FNI367" s="153"/>
      <c r="FNJ367" s="153"/>
      <c r="FNK367" s="640"/>
      <c r="FNL367" s="641"/>
      <c r="FNM367" s="638"/>
      <c r="FNN367" s="639"/>
      <c r="FNO367" s="153"/>
      <c r="FNP367" s="153"/>
      <c r="FNQ367" s="153"/>
      <c r="FNR367" s="153"/>
      <c r="FNS367" s="153"/>
      <c r="FNT367" s="153"/>
      <c r="FNU367" s="153"/>
      <c r="FNV367" s="153"/>
      <c r="FNW367" s="153"/>
      <c r="FNX367" s="153"/>
      <c r="FNY367" s="153"/>
      <c r="FNZ367" s="153"/>
      <c r="FOA367" s="640"/>
      <c r="FOB367" s="641"/>
      <c r="FOC367" s="638"/>
      <c r="FOD367" s="639"/>
      <c r="FOE367" s="153"/>
      <c r="FOF367" s="153"/>
      <c r="FOG367" s="153"/>
      <c r="FOH367" s="153"/>
      <c r="FOI367" s="153"/>
      <c r="FOJ367" s="153"/>
      <c r="FOK367" s="153"/>
      <c r="FOL367" s="153"/>
      <c r="FOM367" s="153"/>
      <c r="FON367" s="153"/>
      <c r="FOO367" s="153"/>
      <c r="FOP367" s="153"/>
      <c r="FOQ367" s="640"/>
      <c r="FOR367" s="641"/>
      <c r="FOS367" s="638"/>
      <c r="FOT367" s="639"/>
      <c r="FOU367" s="153"/>
      <c r="FOV367" s="153"/>
      <c r="FOW367" s="153"/>
      <c r="FOX367" s="153"/>
      <c r="FOY367" s="153"/>
      <c r="FOZ367" s="153"/>
      <c r="FPA367" s="153"/>
      <c r="FPB367" s="153"/>
      <c r="FPC367" s="153"/>
      <c r="FPD367" s="153"/>
      <c r="FPE367" s="153"/>
      <c r="FPF367" s="153"/>
      <c r="FPG367" s="640"/>
      <c r="FPH367" s="641"/>
      <c r="FPI367" s="638"/>
      <c r="FPJ367" s="639"/>
      <c r="FPK367" s="153"/>
      <c r="FPL367" s="153"/>
      <c r="FPM367" s="153"/>
      <c r="FPN367" s="153"/>
      <c r="FPO367" s="153"/>
      <c r="FPP367" s="153"/>
      <c r="FPQ367" s="153"/>
      <c r="FPR367" s="153"/>
      <c r="FPS367" s="153"/>
      <c r="FPT367" s="153"/>
      <c r="FPU367" s="153"/>
      <c r="FPV367" s="153"/>
      <c r="FPW367" s="640"/>
      <c r="FPX367" s="641"/>
      <c r="FPY367" s="638"/>
      <c r="FPZ367" s="639"/>
      <c r="FQA367" s="153"/>
      <c r="FQB367" s="153"/>
      <c r="FQC367" s="153"/>
      <c r="FQD367" s="153"/>
      <c r="FQE367" s="153"/>
      <c r="FQF367" s="153"/>
      <c r="FQG367" s="153"/>
      <c r="FQH367" s="153"/>
      <c r="FQI367" s="153"/>
      <c r="FQJ367" s="153"/>
      <c r="FQK367" s="153"/>
      <c r="FQL367" s="153"/>
      <c r="FQM367" s="640"/>
      <c r="FQN367" s="641"/>
      <c r="FQO367" s="638"/>
      <c r="FQP367" s="639"/>
      <c r="FQQ367" s="153"/>
      <c r="FQR367" s="153"/>
      <c r="FQS367" s="153"/>
      <c r="FQT367" s="153"/>
      <c r="FQU367" s="153"/>
      <c r="FQV367" s="153"/>
      <c r="FQW367" s="153"/>
      <c r="FQX367" s="153"/>
      <c r="FQY367" s="153"/>
      <c r="FQZ367" s="153"/>
      <c r="FRA367" s="153"/>
      <c r="FRB367" s="153"/>
      <c r="FRC367" s="640"/>
      <c r="FRD367" s="641"/>
      <c r="FRE367" s="638"/>
      <c r="FRF367" s="639"/>
      <c r="FRG367" s="153"/>
      <c r="FRH367" s="153"/>
      <c r="FRI367" s="153"/>
      <c r="FRJ367" s="153"/>
      <c r="FRK367" s="153"/>
      <c r="FRL367" s="153"/>
      <c r="FRM367" s="153"/>
      <c r="FRN367" s="153"/>
      <c r="FRO367" s="153"/>
      <c r="FRP367" s="153"/>
      <c r="FRQ367" s="153"/>
      <c r="FRR367" s="153"/>
      <c r="FRS367" s="640"/>
      <c r="FRT367" s="641"/>
      <c r="FRU367" s="638"/>
      <c r="FRV367" s="639"/>
      <c r="FRW367" s="153"/>
      <c r="FRX367" s="153"/>
      <c r="FRY367" s="153"/>
      <c r="FRZ367" s="153"/>
      <c r="FSA367" s="153"/>
      <c r="FSB367" s="153"/>
      <c r="FSC367" s="153"/>
      <c r="FSD367" s="153"/>
      <c r="FSE367" s="153"/>
      <c r="FSF367" s="153"/>
      <c r="FSG367" s="153"/>
      <c r="FSH367" s="153"/>
      <c r="FSI367" s="640"/>
      <c r="FSJ367" s="641"/>
      <c r="FSK367" s="638"/>
      <c r="FSL367" s="639"/>
      <c r="FSM367" s="153"/>
      <c r="FSN367" s="153"/>
      <c r="FSO367" s="153"/>
      <c r="FSP367" s="153"/>
      <c r="FSQ367" s="153"/>
      <c r="FSR367" s="153"/>
      <c r="FSS367" s="153"/>
      <c r="FST367" s="153"/>
      <c r="FSU367" s="153"/>
      <c r="FSV367" s="153"/>
      <c r="FSW367" s="153"/>
      <c r="FSX367" s="153"/>
      <c r="FSY367" s="640"/>
      <c r="FSZ367" s="641"/>
      <c r="FTA367" s="638"/>
      <c r="FTB367" s="639"/>
      <c r="FTC367" s="153"/>
      <c r="FTD367" s="153"/>
      <c r="FTE367" s="153"/>
      <c r="FTF367" s="153"/>
      <c r="FTG367" s="153"/>
      <c r="FTH367" s="153"/>
      <c r="FTI367" s="153"/>
      <c r="FTJ367" s="153"/>
      <c r="FTK367" s="153"/>
      <c r="FTL367" s="153"/>
      <c r="FTM367" s="153"/>
      <c r="FTN367" s="153"/>
      <c r="FTO367" s="640"/>
      <c r="FTP367" s="641"/>
      <c r="FTQ367" s="638"/>
      <c r="FTR367" s="639"/>
      <c r="FTS367" s="153"/>
      <c r="FTT367" s="153"/>
      <c r="FTU367" s="153"/>
      <c r="FTV367" s="153"/>
      <c r="FTW367" s="153"/>
      <c r="FTX367" s="153"/>
      <c r="FTY367" s="153"/>
      <c r="FTZ367" s="153"/>
      <c r="FUA367" s="153"/>
      <c r="FUB367" s="153"/>
      <c r="FUC367" s="153"/>
      <c r="FUD367" s="153"/>
      <c r="FUE367" s="640"/>
      <c r="FUF367" s="641"/>
      <c r="FUG367" s="638"/>
      <c r="FUH367" s="639"/>
      <c r="FUI367" s="153"/>
      <c r="FUJ367" s="153"/>
      <c r="FUK367" s="153"/>
      <c r="FUL367" s="153"/>
      <c r="FUM367" s="153"/>
      <c r="FUN367" s="153"/>
      <c r="FUO367" s="153"/>
      <c r="FUP367" s="153"/>
      <c r="FUQ367" s="153"/>
      <c r="FUR367" s="153"/>
      <c r="FUS367" s="153"/>
      <c r="FUT367" s="153"/>
      <c r="FUU367" s="640"/>
      <c r="FUV367" s="641"/>
      <c r="FUW367" s="638"/>
      <c r="FUX367" s="639"/>
      <c r="FUY367" s="153"/>
      <c r="FUZ367" s="153"/>
      <c r="FVA367" s="153"/>
      <c r="FVB367" s="153"/>
      <c r="FVC367" s="153"/>
      <c r="FVD367" s="153"/>
      <c r="FVE367" s="153"/>
      <c r="FVF367" s="153"/>
      <c r="FVG367" s="153"/>
      <c r="FVH367" s="153"/>
      <c r="FVI367" s="153"/>
      <c r="FVJ367" s="153"/>
      <c r="FVK367" s="640"/>
      <c r="FVL367" s="641"/>
      <c r="FVM367" s="638"/>
      <c r="FVN367" s="639"/>
      <c r="FVO367" s="153"/>
      <c r="FVP367" s="153"/>
      <c r="FVQ367" s="153"/>
      <c r="FVR367" s="153"/>
      <c r="FVS367" s="153"/>
      <c r="FVT367" s="153"/>
      <c r="FVU367" s="153"/>
      <c r="FVV367" s="153"/>
      <c r="FVW367" s="153"/>
      <c r="FVX367" s="153"/>
      <c r="FVY367" s="153"/>
      <c r="FVZ367" s="153"/>
      <c r="FWA367" s="640"/>
      <c r="FWB367" s="641"/>
      <c r="FWC367" s="638"/>
      <c r="FWD367" s="639"/>
      <c r="FWE367" s="153"/>
      <c r="FWF367" s="153"/>
      <c r="FWG367" s="153"/>
      <c r="FWH367" s="153"/>
      <c r="FWI367" s="153"/>
      <c r="FWJ367" s="153"/>
      <c r="FWK367" s="153"/>
      <c r="FWL367" s="153"/>
      <c r="FWM367" s="153"/>
      <c r="FWN367" s="153"/>
      <c r="FWO367" s="153"/>
      <c r="FWP367" s="153"/>
      <c r="FWQ367" s="640"/>
      <c r="FWR367" s="641"/>
      <c r="FWS367" s="638"/>
      <c r="FWT367" s="639"/>
      <c r="FWU367" s="153"/>
      <c r="FWV367" s="153"/>
      <c r="FWW367" s="153"/>
      <c r="FWX367" s="153"/>
      <c r="FWY367" s="153"/>
      <c r="FWZ367" s="153"/>
      <c r="FXA367" s="153"/>
      <c r="FXB367" s="153"/>
      <c r="FXC367" s="153"/>
      <c r="FXD367" s="153"/>
      <c r="FXE367" s="153"/>
      <c r="FXF367" s="153"/>
      <c r="FXG367" s="640"/>
      <c r="FXH367" s="641"/>
      <c r="FXI367" s="638"/>
      <c r="FXJ367" s="639"/>
      <c r="FXK367" s="153"/>
      <c r="FXL367" s="153"/>
      <c r="FXM367" s="153"/>
      <c r="FXN367" s="153"/>
      <c r="FXO367" s="153"/>
      <c r="FXP367" s="153"/>
      <c r="FXQ367" s="153"/>
      <c r="FXR367" s="153"/>
      <c r="FXS367" s="153"/>
      <c r="FXT367" s="153"/>
      <c r="FXU367" s="153"/>
      <c r="FXV367" s="153"/>
      <c r="FXW367" s="640"/>
      <c r="FXX367" s="641"/>
      <c r="FXY367" s="638"/>
      <c r="FXZ367" s="639"/>
      <c r="FYA367" s="153"/>
      <c r="FYB367" s="153"/>
      <c r="FYC367" s="153"/>
      <c r="FYD367" s="153"/>
      <c r="FYE367" s="153"/>
      <c r="FYF367" s="153"/>
      <c r="FYG367" s="153"/>
      <c r="FYH367" s="153"/>
      <c r="FYI367" s="153"/>
      <c r="FYJ367" s="153"/>
      <c r="FYK367" s="153"/>
      <c r="FYL367" s="153"/>
      <c r="FYM367" s="640"/>
      <c r="FYN367" s="641"/>
      <c r="FYO367" s="638"/>
      <c r="FYP367" s="639"/>
      <c r="FYQ367" s="153"/>
      <c r="FYR367" s="153"/>
      <c r="FYS367" s="153"/>
      <c r="FYT367" s="153"/>
      <c r="FYU367" s="153"/>
      <c r="FYV367" s="153"/>
      <c r="FYW367" s="153"/>
      <c r="FYX367" s="153"/>
      <c r="FYY367" s="153"/>
      <c r="FYZ367" s="153"/>
      <c r="FZA367" s="153"/>
      <c r="FZB367" s="153"/>
      <c r="FZC367" s="640"/>
      <c r="FZD367" s="641"/>
      <c r="FZE367" s="638"/>
      <c r="FZF367" s="639"/>
      <c r="FZG367" s="153"/>
      <c r="FZH367" s="153"/>
      <c r="FZI367" s="153"/>
      <c r="FZJ367" s="153"/>
      <c r="FZK367" s="153"/>
      <c r="FZL367" s="153"/>
      <c r="FZM367" s="153"/>
      <c r="FZN367" s="153"/>
      <c r="FZO367" s="153"/>
      <c r="FZP367" s="153"/>
      <c r="FZQ367" s="153"/>
      <c r="FZR367" s="153"/>
      <c r="FZS367" s="640"/>
      <c r="FZT367" s="641"/>
      <c r="FZU367" s="638"/>
      <c r="FZV367" s="639"/>
      <c r="FZW367" s="153"/>
      <c r="FZX367" s="153"/>
      <c r="FZY367" s="153"/>
      <c r="FZZ367" s="153"/>
      <c r="GAA367" s="153"/>
      <c r="GAB367" s="153"/>
      <c r="GAC367" s="153"/>
      <c r="GAD367" s="153"/>
      <c r="GAE367" s="153"/>
      <c r="GAF367" s="153"/>
      <c r="GAG367" s="153"/>
      <c r="GAH367" s="153"/>
      <c r="GAI367" s="640"/>
      <c r="GAJ367" s="641"/>
      <c r="GAK367" s="638"/>
      <c r="GAL367" s="639"/>
      <c r="GAM367" s="153"/>
      <c r="GAN367" s="153"/>
      <c r="GAO367" s="153"/>
      <c r="GAP367" s="153"/>
      <c r="GAQ367" s="153"/>
      <c r="GAR367" s="153"/>
      <c r="GAS367" s="153"/>
      <c r="GAT367" s="153"/>
      <c r="GAU367" s="153"/>
      <c r="GAV367" s="153"/>
      <c r="GAW367" s="153"/>
      <c r="GAX367" s="153"/>
      <c r="GAY367" s="640"/>
      <c r="GAZ367" s="641"/>
      <c r="GBA367" s="638"/>
      <c r="GBB367" s="639"/>
      <c r="GBC367" s="153"/>
      <c r="GBD367" s="153"/>
      <c r="GBE367" s="153"/>
      <c r="GBF367" s="153"/>
      <c r="GBG367" s="153"/>
      <c r="GBH367" s="153"/>
      <c r="GBI367" s="153"/>
      <c r="GBJ367" s="153"/>
      <c r="GBK367" s="153"/>
      <c r="GBL367" s="153"/>
      <c r="GBM367" s="153"/>
      <c r="GBN367" s="153"/>
      <c r="GBO367" s="640"/>
      <c r="GBP367" s="641"/>
      <c r="GBQ367" s="638"/>
      <c r="GBR367" s="639"/>
      <c r="GBS367" s="153"/>
      <c r="GBT367" s="153"/>
      <c r="GBU367" s="153"/>
      <c r="GBV367" s="153"/>
      <c r="GBW367" s="153"/>
      <c r="GBX367" s="153"/>
      <c r="GBY367" s="153"/>
      <c r="GBZ367" s="153"/>
      <c r="GCA367" s="153"/>
      <c r="GCB367" s="153"/>
      <c r="GCC367" s="153"/>
      <c r="GCD367" s="153"/>
      <c r="GCE367" s="640"/>
      <c r="GCF367" s="641"/>
      <c r="GCG367" s="638"/>
      <c r="GCH367" s="639"/>
      <c r="GCI367" s="153"/>
      <c r="GCJ367" s="153"/>
      <c r="GCK367" s="153"/>
      <c r="GCL367" s="153"/>
      <c r="GCM367" s="153"/>
      <c r="GCN367" s="153"/>
      <c r="GCO367" s="153"/>
      <c r="GCP367" s="153"/>
      <c r="GCQ367" s="153"/>
      <c r="GCR367" s="153"/>
      <c r="GCS367" s="153"/>
      <c r="GCT367" s="153"/>
      <c r="GCU367" s="640"/>
      <c r="GCV367" s="641"/>
      <c r="GCW367" s="638"/>
      <c r="GCX367" s="639"/>
      <c r="GCY367" s="153"/>
      <c r="GCZ367" s="153"/>
      <c r="GDA367" s="153"/>
      <c r="GDB367" s="153"/>
      <c r="GDC367" s="153"/>
      <c r="GDD367" s="153"/>
      <c r="GDE367" s="153"/>
      <c r="GDF367" s="153"/>
      <c r="GDG367" s="153"/>
      <c r="GDH367" s="153"/>
      <c r="GDI367" s="153"/>
      <c r="GDJ367" s="153"/>
      <c r="GDK367" s="640"/>
      <c r="GDL367" s="641"/>
      <c r="GDM367" s="638"/>
      <c r="GDN367" s="639"/>
      <c r="GDO367" s="153"/>
      <c r="GDP367" s="153"/>
      <c r="GDQ367" s="153"/>
      <c r="GDR367" s="153"/>
      <c r="GDS367" s="153"/>
      <c r="GDT367" s="153"/>
      <c r="GDU367" s="153"/>
      <c r="GDV367" s="153"/>
      <c r="GDW367" s="153"/>
      <c r="GDX367" s="153"/>
      <c r="GDY367" s="153"/>
      <c r="GDZ367" s="153"/>
      <c r="GEA367" s="640"/>
      <c r="GEB367" s="641"/>
      <c r="GEC367" s="638"/>
      <c r="GED367" s="639"/>
      <c r="GEE367" s="153"/>
      <c r="GEF367" s="153"/>
      <c r="GEG367" s="153"/>
      <c r="GEH367" s="153"/>
      <c r="GEI367" s="153"/>
      <c r="GEJ367" s="153"/>
      <c r="GEK367" s="153"/>
      <c r="GEL367" s="153"/>
      <c r="GEM367" s="153"/>
      <c r="GEN367" s="153"/>
      <c r="GEO367" s="153"/>
      <c r="GEP367" s="153"/>
      <c r="GEQ367" s="640"/>
      <c r="GER367" s="641"/>
      <c r="GES367" s="638"/>
      <c r="GET367" s="639"/>
      <c r="GEU367" s="153"/>
      <c r="GEV367" s="153"/>
      <c r="GEW367" s="153"/>
      <c r="GEX367" s="153"/>
      <c r="GEY367" s="153"/>
      <c r="GEZ367" s="153"/>
      <c r="GFA367" s="153"/>
      <c r="GFB367" s="153"/>
      <c r="GFC367" s="153"/>
      <c r="GFD367" s="153"/>
      <c r="GFE367" s="153"/>
      <c r="GFF367" s="153"/>
      <c r="GFG367" s="640"/>
      <c r="GFH367" s="641"/>
      <c r="GFI367" s="638"/>
      <c r="GFJ367" s="639"/>
      <c r="GFK367" s="153"/>
      <c r="GFL367" s="153"/>
      <c r="GFM367" s="153"/>
      <c r="GFN367" s="153"/>
      <c r="GFO367" s="153"/>
      <c r="GFP367" s="153"/>
      <c r="GFQ367" s="153"/>
      <c r="GFR367" s="153"/>
      <c r="GFS367" s="153"/>
      <c r="GFT367" s="153"/>
      <c r="GFU367" s="153"/>
      <c r="GFV367" s="153"/>
      <c r="GFW367" s="640"/>
      <c r="GFX367" s="641"/>
      <c r="GFY367" s="638"/>
      <c r="GFZ367" s="639"/>
      <c r="GGA367" s="153"/>
      <c r="GGB367" s="153"/>
      <c r="GGC367" s="153"/>
      <c r="GGD367" s="153"/>
      <c r="GGE367" s="153"/>
      <c r="GGF367" s="153"/>
      <c r="GGG367" s="153"/>
      <c r="GGH367" s="153"/>
      <c r="GGI367" s="153"/>
      <c r="GGJ367" s="153"/>
      <c r="GGK367" s="153"/>
      <c r="GGL367" s="153"/>
      <c r="GGM367" s="640"/>
      <c r="GGN367" s="641"/>
      <c r="GGO367" s="638"/>
      <c r="GGP367" s="639"/>
      <c r="GGQ367" s="153"/>
      <c r="GGR367" s="153"/>
      <c r="GGS367" s="153"/>
      <c r="GGT367" s="153"/>
      <c r="GGU367" s="153"/>
      <c r="GGV367" s="153"/>
      <c r="GGW367" s="153"/>
      <c r="GGX367" s="153"/>
      <c r="GGY367" s="153"/>
      <c r="GGZ367" s="153"/>
      <c r="GHA367" s="153"/>
      <c r="GHB367" s="153"/>
      <c r="GHC367" s="640"/>
      <c r="GHD367" s="641"/>
      <c r="GHE367" s="638"/>
      <c r="GHF367" s="639"/>
      <c r="GHG367" s="153"/>
      <c r="GHH367" s="153"/>
      <c r="GHI367" s="153"/>
      <c r="GHJ367" s="153"/>
      <c r="GHK367" s="153"/>
      <c r="GHL367" s="153"/>
      <c r="GHM367" s="153"/>
      <c r="GHN367" s="153"/>
      <c r="GHO367" s="153"/>
      <c r="GHP367" s="153"/>
      <c r="GHQ367" s="153"/>
      <c r="GHR367" s="153"/>
      <c r="GHS367" s="640"/>
      <c r="GHT367" s="641"/>
      <c r="GHU367" s="638"/>
      <c r="GHV367" s="639"/>
      <c r="GHW367" s="153"/>
      <c r="GHX367" s="153"/>
      <c r="GHY367" s="153"/>
      <c r="GHZ367" s="153"/>
      <c r="GIA367" s="153"/>
      <c r="GIB367" s="153"/>
      <c r="GIC367" s="153"/>
      <c r="GID367" s="153"/>
      <c r="GIE367" s="153"/>
      <c r="GIF367" s="153"/>
      <c r="GIG367" s="153"/>
      <c r="GIH367" s="153"/>
      <c r="GII367" s="640"/>
      <c r="GIJ367" s="641"/>
      <c r="GIK367" s="638"/>
      <c r="GIL367" s="639"/>
      <c r="GIM367" s="153"/>
      <c r="GIN367" s="153"/>
      <c r="GIO367" s="153"/>
      <c r="GIP367" s="153"/>
      <c r="GIQ367" s="153"/>
      <c r="GIR367" s="153"/>
      <c r="GIS367" s="153"/>
      <c r="GIT367" s="153"/>
      <c r="GIU367" s="153"/>
      <c r="GIV367" s="153"/>
      <c r="GIW367" s="153"/>
      <c r="GIX367" s="153"/>
      <c r="GIY367" s="640"/>
      <c r="GIZ367" s="641"/>
      <c r="GJA367" s="638"/>
      <c r="GJB367" s="639"/>
      <c r="GJC367" s="153"/>
      <c r="GJD367" s="153"/>
      <c r="GJE367" s="153"/>
      <c r="GJF367" s="153"/>
      <c r="GJG367" s="153"/>
      <c r="GJH367" s="153"/>
      <c r="GJI367" s="153"/>
      <c r="GJJ367" s="153"/>
      <c r="GJK367" s="153"/>
      <c r="GJL367" s="153"/>
      <c r="GJM367" s="153"/>
      <c r="GJN367" s="153"/>
      <c r="GJO367" s="640"/>
      <c r="GJP367" s="641"/>
      <c r="GJQ367" s="638"/>
      <c r="GJR367" s="639"/>
      <c r="GJS367" s="153"/>
      <c r="GJT367" s="153"/>
      <c r="GJU367" s="153"/>
      <c r="GJV367" s="153"/>
      <c r="GJW367" s="153"/>
      <c r="GJX367" s="153"/>
      <c r="GJY367" s="153"/>
      <c r="GJZ367" s="153"/>
      <c r="GKA367" s="153"/>
      <c r="GKB367" s="153"/>
      <c r="GKC367" s="153"/>
      <c r="GKD367" s="153"/>
      <c r="GKE367" s="640"/>
      <c r="GKF367" s="641"/>
      <c r="GKG367" s="638"/>
      <c r="GKH367" s="639"/>
      <c r="GKI367" s="153"/>
      <c r="GKJ367" s="153"/>
      <c r="GKK367" s="153"/>
      <c r="GKL367" s="153"/>
      <c r="GKM367" s="153"/>
      <c r="GKN367" s="153"/>
      <c r="GKO367" s="153"/>
      <c r="GKP367" s="153"/>
      <c r="GKQ367" s="153"/>
      <c r="GKR367" s="153"/>
      <c r="GKS367" s="153"/>
      <c r="GKT367" s="153"/>
      <c r="GKU367" s="640"/>
      <c r="GKV367" s="641"/>
      <c r="GKW367" s="638"/>
      <c r="GKX367" s="639"/>
      <c r="GKY367" s="153"/>
      <c r="GKZ367" s="153"/>
      <c r="GLA367" s="153"/>
      <c r="GLB367" s="153"/>
      <c r="GLC367" s="153"/>
      <c r="GLD367" s="153"/>
      <c r="GLE367" s="153"/>
      <c r="GLF367" s="153"/>
      <c r="GLG367" s="153"/>
      <c r="GLH367" s="153"/>
      <c r="GLI367" s="153"/>
      <c r="GLJ367" s="153"/>
      <c r="GLK367" s="640"/>
      <c r="GLL367" s="641"/>
      <c r="GLM367" s="638"/>
      <c r="GLN367" s="639"/>
      <c r="GLO367" s="153"/>
      <c r="GLP367" s="153"/>
      <c r="GLQ367" s="153"/>
      <c r="GLR367" s="153"/>
      <c r="GLS367" s="153"/>
      <c r="GLT367" s="153"/>
      <c r="GLU367" s="153"/>
      <c r="GLV367" s="153"/>
      <c r="GLW367" s="153"/>
      <c r="GLX367" s="153"/>
      <c r="GLY367" s="153"/>
      <c r="GLZ367" s="153"/>
      <c r="GMA367" s="640"/>
      <c r="GMB367" s="641"/>
      <c r="GMC367" s="638"/>
      <c r="GMD367" s="639"/>
      <c r="GME367" s="153"/>
      <c r="GMF367" s="153"/>
      <c r="GMG367" s="153"/>
      <c r="GMH367" s="153"/>
      <c r="GMI367" s="153"/>
      <c r="GMJ367" s="153"/>
      <c r="GMK367" s="153"/>
      <c r="GML367" s="153"/>
      <c r="GMM367" s="153"/>
      <c r="GMN367" s="153"/>
      <c r="GMO367" s="153"/>
      <c r="GMP367" s="153"/>
      <c r="GMQ367" s="640"/>
      <c r="GMR367" s="641"/>
      <c r="GMS367" s="638"/>
      <c r="GMT367" s="639"/>
      <c r="GMU367" s="153"/>
      <c r="GMV367" s="153"/>
      <c r="GMW367" s="153"/>
      <c r="GMX367" s="153"/>
      <c r="GMY367" s="153"/>
      <c r="GMZ367" s="153"/>
      <c r="GNA367" s="153"/>
      <c r="GNB367" s="153"/>
      <c r="GNC367" s="153"/>
      <c r="GND367" s="153"/>
      <c r="GNE367" s="153"/>
      <c r="GNF367" s="153"/>
      <c r="GNG367" s="640"/>
      <c r="GNH367" s="641"/>
      <c r="GNI367" s="638"/>
      <c r="GNJ367" s="639"/>
      <c r="GNK367" s="153"/>
      <c r="GNL367" s="153"/>
      <c r="GNM367" s="153"/>
      <c r="GNN367" s="153"/>
      <c r="GNO367" s="153"/>
      <c r="GNP367" s="153"/>
      <c r="GNQ367" s="153"/>
      <c r="GNR367" s="153"/>
      <c r="GNS367" s="153"/>
      <c r="GNT367" s="153"/>
      <c r="GNU367" s="153"/>
      <c r="GNV367" s="153"/>
      <c r="GNW367" s="640"/>
      <c r="GNX367" s="641"/>
      <c r="GNY367" s="638"/>
      <c r="GNZ367" s="639"/>
      <c r="GOA367" s="153"/>
      <c r="GOB367" s="153"/>
      <c r="GOC367" s="153"/>
      <c r="GOD367" s="153"/>
      <c r="GOE367" s="153"/>
      <c r="GOF367" s="153"/>
      <c r="GOG367" s="153"/>
      <c r="GOH367" s="153"/>
      <c r="GOI367" s="153"/>
      <c r="GOJ367" s="153"/>
      <c r="GOK367" s="153"/>
      <c r="GOL367" s="153"/>
      <c r="GOM367" s="640"/>
      <c r="GON367" s="641"/>
      <c r="GOO367" s="638"/>
      <c r="GOP367" s="639"/>
      <c r="GOQ367" s="153"/>
      <c r="GOR367" s="153"/>
      <c r="GOS367" s="153"/>
      <c r="GOT367" s="153"/>
      <c r="GOU367" s="153"/>
      <c r="GOV367" s="153"/>
      <c r="GOW367" s="153"/>
      <c r="GOX367" s="153"/>
      <c r="GOY367" s="153"/>
      <c r="GOZ367" s="153"/>
      <c r="GPA367" s="153"/>
      <c r="GPB367" s="153"/>
      <c r="GPC367" s="640"/>
      <c r="GPD367" s="641"/>
      <c r="GPE367" s="638"/>
      <c r="GPF367" s="639"/>
      <c r="GPG367" s="153"/>
      <c r="GPH367" s="153"/>
      <c r="GPI367" s="153"/>
      <c r="GPJ367" s="153"/>
      <c r="GPK367" s="153"/>
      <c r="GPL367" s="153"/>
      <c r="GPM367" s="153"/>
      <c r="GPN367" s="153"/>
      <c r="GPO367" s="153"/>
      <c r="GPP367" s="153"/>
      <c r="GPQ367" s="153"/>
      <c r="GPR367" s="153"/>
      <c r="GPS367" s="640"/>
      <c r="GPT367" s="641"/>
      <c r="GPU367" s="638"/>
      <c r="GPV367" s="639"/>
      <c r="GPW367" s="153"/>
      <c r="GPX367" s="153"/>
      <c r="GPY367" s="153"/>
      <c r="GPZ367" s="153"/>
      <c r="GQA367" s="153"/>
      <c r="GQB367" s="153"/>
      <c r="GQC367" s="153"/>
      <c r="GQD367" s="153"/>
      <c r="GQE367" s="153"/>
      <c r="GQF367" s="153"/>
      <c r="GQG367" s="153"/>
      <c r="GQH367" s="153"/>
      <c r="GQI367" s="640"/>
      <c r="GQJ367" s="641"/>
      <c r="GQK367" s="638"/>
      <c r="GQL367" s="639"/>
      <c r="GQM367" s="153"/>
      <c r="GQN367" s="153"/>
      <c r="GQO367" s="153"/>
      <c r="GQP367" s="153"/>
      <c r="GQQ367" s="153"/>
      <c r="GQR367" s="153"/>
      <c r="GQS367" s="153"/>
      <c r="GQT367" s="153"/>
      <c r="GQU367" s="153"/>
      <c r="GQV367" s="153"/>
      <c r="GQW367" s="153"/>
      <c r="GQX367" s="153"/>
      <c r="GQY367" s="640"/>
      <c r="GQZ367" s="641"/>
      <c r="GRA367" s="638"/>
      <c r="GRB367" s="639"/>
      <c r="GRC367" s="153"/>
      <c r="GRD367" s="153"/>
      <c r="GRE367" s="153"/>
      <c r="GRF367" s="153"/>
      <c r="GRG367" s="153"/>
      <c r="GRH367" s="153"/>
      <c r="GRI367" s="153"/>
      <c r="GRJ367" s="153"/>
      <c r="GRK367" s="153"/>
      <c r="GRL367" s="153"/>
      <c r="GRM367" s="153"/>
      <c r="GRN367" s="153"/>
      <c r="GRO367" s="640"/>
      <c r="GRP367" s="641"/>
      <c r="GRQ367" s="638"/>
      <c r="GRR367" s="639"/>
      <c r="GRS367" s="153"/>
      <c r="GRT367" s="153"/>
      <c r="GRU367" s="153"/>
      <c r="GRV367" s="153"/>
      <c r="GRW367" s="153"/>
      <c r="GRX367" s="153"/>
      <c r="GRY367" s="153"/>
      <c r="GRZ367" s="153"/>
      <c r="GSA367" s="153"/>
      <c r="GSB367" s="153"/>
      <c r="GSC367" s="153"/>
      <c r="GSD367" s="153"/>
      <c r="GSE367" s="640"/>
      <c r="GSF367" s="641"/>
      <c r="GSG367" s="638"/>
      <c r="GSH367" s="639"/>
      <c r="GSI367" s="153"/>
      <c r="GSJ367" s="153"/>
      <c r="GSK367" s="153"/>
      <c r="GSL367" s="153"/>
      <c r="GSM367" s="153"/>
      <c r="GSN367" s="153"/>
      <c r="GSO367" s="153"/>
      <c r="GSP367" s="153"/>
      <c r="GSQ367" s="153"/>
      <c r="GSR367" s="153"/>
      <c r="GSS367" s="153"/>
      <c r="GST367" s="153"/>
      <c r="GSU367" s="640"/>
      <c r="GSV367" s="641"/>
      <c r="GSW367" s="638"/>
      <c r="GSX367" s="639"/>
      <c r="GSY367" s="153"/>
      <c r="GSZ367" s="153"/>
      <c r="GTA367" s="153"/>
      <c r="GTB367" s="153"/>
      <c r="GTC367" s="153"/>
      <c r="GTD367" s="153"/>
      <c r="GTE367" s="153"/>
      <c r="GTF367" s="153"/>
      <c r="GTG367" s="153"/>
      <c r="GTH367" s="153"/>
      <c r="GTI367" s="153"/>
      <c r="GTJ367" s="153"/>
      <c r="GTK367" s="640"/>
      <c r="GTL367" s="641"/>
      <c r="GTM367" s="638"/>
      <c r="GTN367" s="639"/>
      <c r="GTO367" s="153"/>
      <c r="GTP367" s="153"/>
      <c r="GTQ367" s="153"/>
      <c r="GTR367" s="153"/>
      <c r="GTS367" s="153"/>
      <c r="GTT367" s="153"/>
      <c r="GTU367" s="153"/>
      <c r="GTV367" s="153"/>
      <c r="GTW367" s="153"/>
      <c r="GTX367" s="153"/>
      <c r="GTY367" s="153"/>
      <c r="GTZ367" s="153"/>
      <c r="GUA367" s="640"/>
      <c r="GUB367" s="641"/>
      <c r="GUC367" s="638"/>
      <c r="GUD367" s="639"/>
      <c r="GUE367" s="153"/>
      <c r="GUF367" s="153"/>
      <c r="GUG367" s="153"/>
      <c r="GUH367" s="153"/>
      <c r="GUI367" s="153"/>
      <c r="GUJ367" s="153"/>
      <c r="GUK367" s="153"/>
      <c r="GUL367" s="153"/>
      <c r="GUM367" s="153"/>
      <c r="GUN367" s="153"/>
      <c r="GUO367" s="153"/>
      <c r="GUP367" s="153"/>
      <c r="GUQ367" s="640"/>
      <c r="GUR367" s="641"/>
      <c r="GUS367" s="638"/>
      <c r="GUT367" s="639"/>
      <c r="GUU367" s="153"/>
      <c r="GUV367" s="153"/>
      <c r="GUW367" s="153"/>
      <c r="GUX367" s="153"/>
      <c r="GUY367" s="153"/>
      <c r="GUZ367" s="153"/>
      <c r="GVA367" s="153"/>
      <c r="GVB367" s="153"/>
      <c r="GVC367" s="153"/>
      <c r="GVD367" s="153"/>
      <c r="GVE367" s="153"/>
      <c r="GVF367" s="153"/>
      <c r="GVG367" s="640"/>
      <c r="GVH367" s="641"/>
      <c r="GVI367" s="638"/>
      <c r="GVJ367" s="639"/>
      <c r="GVK367" s="153"/>
      <c r="GVL367" s="153"/>
      <c r="GVM367" s="153"/>
      <c r="GVN367" s="153"/>
      <c r="GVO367" s="153"/>
      <c r="GVP367" s="153"/>
      <c r="GVQ367" s="153"/>
      <c r="GVR367" s="153"/>
      <c r="GVS367" s="153"/>
      <c r="GVT367" s="153"/>
      <c r="GVU367" s="153"/>
      <c r="GVV367" s="153"/>
      <c r="GVW367" s="640"/>
      <c r="GVX367" s="641"/>
      <c r="GVY367" s="638"/>
      <c r="GVZ367" s="639"/>
      <c r="GWA367" s="153"/>
      <c r="GWB367" s="153"/>
      <c r="GWC367" s="153"/>
      <c r="GWD367" s="153"/>
      <c r="GWE367" s="153"/>
      <c r="GWF367" s="153"/>
      <c r="GWG367" s="153"/>
      <c r="GWH367" s="153"/>
      <c r="GWI367" s="153"/>
      <c r="GWJ367" s="153"/>
      <c r="GWK367" s="153"/>
      <c r="GWL367" s="153"/>
      <c r="GWM367" s="640"/>
      <c r="GWN367" s="641"/>
      <c r="GWO367" s="638"/>
      <c r="GWP367" s="639"/>
      <c r="GWQ367" s="153"/>
      <c r="GWR367" s="153"/>
      <c r="GWS367" s="153"/>
      <c r="GWT367" s="153"/>
      <c r="GWU367" s="153"/>
      <c r="GWV367" s="153"/>
      <c r="GWW367" s="153"/>
      <c r="GWX367" s="153"/>
      <c r="GWY367" s="153"/>
      <c r="GWZ367" s="153"/>
      <c r="GXA367" s="153"/>
      <c r="GXB367" s="153"/>
      <c r="GXC367" s="640"/>
      <c r="GXD367" s="641"/>
      <c r="GXE367" s="638"/>
      <c r="GXF367" s="639"/>
      <c r="GXG367" s="153"/>
      <c r="GXH367" s="153"/>
      <c r="GXI367" s="153"/>
      <c r="GXJ367" s="153"/>
      <c r="GXK367" s="153"/>
      <c r="GXL367" s="153"/>
      <c r="GXM367" s="153"/>
      <c r="GXN367" s="153"/>
      <c r="GXO367" s="153"/>
      <c r="GXP367" s="153"/>
      <c r="GXQ367" s="153"/>
      <c r="GXR367" s="153"/>
      <c r="GXS367" s="640"/>
      <c r="GXT367" s="641"/>
      <c r="GXU367" s="638"/>
      <c r="GXV367" s="639"/>
      <c r="GXW367" s="153"/>
      <c r="GXX367" s="153"/>
      <c r="GXY367" s="153"/>
      <c r="GXZ367" s="153"/>
      <c r="GYA367" s="153"/>
      <c r="GYB367" s="153"/>
      <c r="GYC367" s="153"/>
      <c r="GYD367" s="153"/>
      <c r="GYE367" s="153"/>
      <c r="GYF367" s="153"/>
      <c r="GYG367" s="153"/>
      <c r="GYH367" s="153"/>
      <c r="GYI367" s="640"/>
      <c r="GYJ367" s="641"/>
      <c r="GYK367" s="638"/>
      <c r="GYL367" s="639"/>
      <c r="GYM367" s="153"/>
      <c r="GYN367" s="153"/>
      <c r="GYO367" s="153"/>
      <c r="GYP367" s="153"/>
      <c r="GYQ367" s="153"/>
      <c r="GYR367" s="153"/>
      <c r="GYS367" s="153"/>
      <c r="GYT367" s="153"/>
      <c r="GYU367" s="153"/>
      <c r="GYV367" s="153"/>
      <c r="GYW367" s="153"/>
      <c r="GYX367" s="153"/>
      <c r="GYY367" s="640"/>
      <c r="GYZ367" s="641"/>
      <c r="GZA367" s="638"/>
      <c r="GZB367" s="639"/>
      <c r="GZC367" s="153"/>
      <c r="GZD367" s="153"/>
      <c r="GZE367" s="153"/>
      <c r="GZF367" s="153"/>
      <c r="GZG367" s="153"/>
      <c r="GZH367" s="153"/>
      <c r="GZI367" s="153"/>
      <c r="GZJ367" s="153"/>
      <c r="GZK367" s="153"/>
      <c r="GZL367" s="153"/>
      <c r="GZM367" s="153"/>
      <c r="GZN367" s="153"/>
      <c r="GZO367" s="640"/>
      <c r="GZP367" s="641"/>
      <c r="GZQ367" s="638"/>
      <c r="GZR367" s="639"/>
      <c r="GZS367" s="153"/>
      <c r="GZT367" s="153"/>
      <c r="GZU367" s="153"/>
      <c r="GZV367" s="153"/>
      <c r="GZW367" s="153"/>
      <c r="GZX367" s="153"/>
      <c r="GZY367" s="153"/>
      <c r="GZZ367" s="153"/>
      <c r="HAA367" s="153"/>
      <c r="HAB367" s="153"/>
      <c r="HAC367" s="153"/>
      <c r="HAD367" s="153"/>
      <c r="HAE367" s="640"/>
      <c r="HAF367" s="641"/>
      <c r="HAG367" s="638"/>
      <c r="HAH367" s="639"/>
      <c r="HAI367" s="153"/>
      <c r="HAJ367" s="153"/>
      <c r="HAK367" s="153"/>
      <c r="HAL367" s="153"/>
      <c r="HAM367" s="153"/>
      <c r="HAN367" s="153"/>
      <c r="HAO367" s="153"/>
      <c r="HAP367" s="153"/>
      <c r="HAQ367" s="153"/>
      <c r="HAR367" s="153"/>
      <c r="HAS367" s="153"/>
      <c r="HAT367" s="153"/>
      <c r="HAU367" s="640"/>
      <c r="HAV367" s="641"/>
      <c r="HAW367" s="638"/>
      <c r="HAX367" s="639"/>
      <c r="HAY367" s="153"/>
      <c r="HAZ367" s="153"/>
      <c r="HBA367" s="153"/>
      <c r="HBB367" s="153"/>
      <c r="HBC367" s="153"/>
      <c r="HBD367" s="153"/>
      <c r="HBE367" s="153"/>
      <c r="HBF367" s="153"/>
      <c r="HBG367" s="153"/>
      <c r="HBH367" s="153"/>
      <c r="HBI367" s="153"/>
      <c r="HBJ367" s="153"/>
      <c r="HBK367" s="640"/>
      <c r="HBL367" s="641"/>
      <c r="HBM367" s="638"/>
      <c r="HBN367" s="639"/>
      <c r="HBO367" s="153"/>
      <c r="HBP367" s="153"/>
      <c r="HBQ367" s="153"/>
      <c r="HBR367" s="153"/>
      <c r="HBS367" s="153"/>
      <c r="HBT367" s="153"/>
      <c r="HBU367" s="153"/>
      <c r="HBV367" s="153"/>
      <c r="HBW367" s="153"/>
      <c r="HBX367" s="153"/>
      <c r="HBY367" s="153"/>
      <c r="HBZ367" s="153"/>
      <c r="HCA367" s="640"/>
      <c r="HCB367" s="641"/>
      <c r="HCC367" s="638"/>
      <c r="HCD367" s="639"/>
      <c r="HCE367" s="153"/>
      <c r="HCF367" s="153"/>
      <c r="HCG367" s="153"/>
      <c r="HCH367" s="153"/>
      <c r="HCI367" s="153"/>
      <c r="HCJ367" s="153"/>
      <c r="HCK367" s="153"/>
      <c r="HCL367" s="153"/>
      <c r="HCM367" s="153"/>
      <c r="HCN367" s="153"/>
      <c r="HCO367" s="153"/>
      <c r="HCP367" s="153"/>
      <c r="HCQ367" s="640"/>
      <c r="HCR367" s="641"/>
      <c r="HCS367" s="638"/>
      <c r="HCT367" s="639"/>
      <c r="HCU367" s="153"/>
      <c r="HCV367" s="153"/>
      <c r="HCW367" s="153"/>
      <c r="HCX367" s="153"/>
      <c r="HCY367" s="153"/>
      <c r="HCZ367" s="153"/>
      <c r="HDA367" s="153"/>
      <c r="HDB367" s="153"/>
      <c r="HDC367" s="153"/>
      <c r="HDD367" s="153"/>
      <c r="HDE367" s="153"/>
      <c r="HDF367" s="153"/>
      <c r="HDG367" s="640"/>
      <c r="HDH367" s="641"/>
      <c r="HDI367" s="638"/>
      <c r="HDJ367" s="639"/>
      <c r="HDK367" s="153"/>
      <c r="HDL367" s="153"/>
      <c r="HDM367" s="153"/>
      <c r="HDN367" s="153"/>
      <c r="HDO367" s="153"/>
      <c r="HDP367" s="153"/>
      <c r="HDQ367" s="153"/>
      <c r="HDR367" s="153"/>
      <c r="HDS367" s="153"/>
      <c r="HDT367" s="153"/>
      <c r="HDU367" s="153"/>
      <c r="HDV367" s="153"/>
      <c r="HDW367" s="640"/>
      <c r="HDX367" s="641"/>
      <c r="HDY367" s="638"/>
      <c r="HDZ367" s="639"/>
      <c r="HEA367" s="153"/>
      <c r="HEB367" s="153"/>
      <c r="HEC367" s="153"/>
      <c r="HED367" s="153"/>
      <c r="HEE367" s="153"/>
      <c r="HEF367" s="153"/>
      <c r="HEG367" s="153"/>
      <c r="HEH367" s="153"/>
      <c r="HEI367" s="153"/>
      <c r="HEJ367" s="153"/>
      <c r="HEK367" s="153"/>
      <c r="HEL367" s="153"/>
      <c r="HEM367" s="640"/>
      <c r="HEN367" s="641"/>
      <c r="HEO367" s="638"/>
      <c r="HEP367" s="639"/>
      <c r="HEQ367" s="153"/>
      <c r="HER367" s="153"/>
      <c r="HES367" s="153"/>
      <c r="HET367" s="153"/>
      <c r="HEU367" s="153"/>
      <c r="HEV367" s="153"/>
      <c r="HEW367" s="153"/>
      <c r="HEX367" s="153"/>
      <c r="HEY367" s="153"/>
      <c r="HEZ367" s="153"/>
      <c r="HFA367" s="153"/>
      <c r="HFB367" s="153"/>
      <c r="HFC367" s="640"/>
      <c r="HFD367" s="641"/>
      <c r="HFE367" s="638"/>
      <c r="HFF367" s="639"/>
      <c r="HFG367" s="153"/>
      <c r="HFH367" s="153"/>
      <c r="HFI367" s="153"/>
      <c r="HFJ367" s="153"/>
      <c r="HFK367" s="153"/>
      <c r="HFL367" s="153"/>
      <c r="HFM367" s="153"/>
      <c r="HFN367" s="153"/>
      <c r="HFO367" s="153"/>
      <c r="HFP367" s="153"/>
      <c r="HFQ367" s="153"/>
      <c r="HFR367" s="153"/>
      <c r="HFS367" s="640"/>
      <c r="HFT367" s="641"/>
      <c r="HFU367" s="638"/>
      <c r="HFV367" s="639"/>
      <c r="HFW367" s="153"/>
      <c r="HFX367" s="153"/>
      <c r="HFY367" s="153"/>
      <c r="HFZ367" s="153"/>
      <c r="HGA367" s="153"/>
      <c r="HGB367" s="153"/>
      <c r="HGC367" s="153"/>
      <c r="HGD367" s="153"/>
      <c r="HGE367" s="153"/>
      <c r="HGF367" s="153"/>
      <c r="HGG367" s="153"/>
      <c r="HGH367" s="153"/>
      <c r="HGI367" s="640"/>
      <c r="HGJ367" s="641"/>
      <c r="HGK367" s="638"/>
      <c r="HGL367" s="639"/>
      <c r="HGM367" s="153"/>
      <c r="HGN367" s="153"/>
      <c r="HGO367" s="153"/>
      <c r="HGP367" s="153"/>
      <c r="HGQ367" s="153"/>
      <c r="HGR367" s="153"/>
      <c r="HGS367" s="153"/>
      <c r="HGT367" s="153"/>
      <c r="HGU367" s="153"/>
      <c r="HGV367" s="153"/>
      <c r="HGW367" s="153"/>
      <c r="HGX367" s="153"/>
      <c r="HGY367" s="640"/>
      <c r="HGZ367" s="641"/>
      <c r="HHA367" s="638"/>
      <c r="HHB367" s="639"/>
      <c r="HHC367" s="153"/>
      <c r="HHD367" s="153"/>
      <c r="HHE367" s="153"/>
      <c r="HHF367" s="153"/>
      <c r="HHG367" s="153"/>
      <c r="HHH367" s="153"/>
      <c r="HHI367" s="153"/>
      <c r="HHJ367" s="153"/>
      <c r="HHK367" s="153"/>
      <c r="HHL367" s="153"/>
      <c r="HHM367" s="153"/>
      <c r="HHN367" s="153"/>
      <c r="HHO367" s="640"/>
      <c r="HHP367" s="641"/>
      <c r="HHQ367" s="638"/>
      <c r="HHR367" s="639"/>
      <c r="HHS367" s="153"/>
      <c r="HHT367" s="153"/>
      <c r="HHU367" s="153"/>
      <c r="HHV367" s="153"/>
      <c r="HHW367" s="153"/>
      <c r="HHX367" s="153"/>
      <c r="HHY367" s="153"/>
      <c r="HHZ367" s="153"/>
      <c r="HIA367" s="153"/>
      <c r="HIB367" s="153"/>
      <c r="HIC367" s="153"/>
      <c r="HID367" s="153"/>
      <c r="HIE367" s="640"/>
      <c r="HIF367" s="641"/>
      <c r="HIG367" s="638"/>
      <c r="HIH367" s="639"/>
      <c r="HII367" s="153"/>
      <c r="HIJ367" s="153"/>
      <c r="HIK367" s="153"/>
      <c r="HIL367" s="153"/>
      <c r="HIM367" s="153"/>
      <c r="HIN367" s="153"/>
      <c r="HIO367" s="153"/>
      <c r="HIP367" s="153"/>
      <c r="HIQ367" s="153"/>
      <c r="HIR367" s="153"/>
      <c r="HIS367" s="153"/>
      <c r="HIT367" s="153"/>
      <c r="HIU367" s="640"/>
      <c r="HIV367" s="641"/>
      <c r="HIW367" s="638"/>
      <c r="HIX367" s="639"/>
      <c r="HIY367" s="153"/>
      <c r="HIZ367" s="153"/>
      <c r="HJA367" s="153"/>
      <c r="HJB367" s="153"/>
      <c r="HJC367" s="153"/>
      <c r="HJD367" s="153"/>
      <c r="HJE367" s="153"/>
      <c r="HJF367" s="153"/>
      <c r="HJG367" s="153"/>
      <c r="HJH367" s="153"/>
      <c r="HJI367" s="153"/>
      <c r="HJJ367" s="153"/>
      <c r="HJK367" s="640"/>
      <c r="HJL367" s="641"/>
      <c r="HJM367" s="638"/>
      <c r="HJN367" s="639"/>
      <c r="HJO367" s="153"/>
      <c r="HJP367" s="153"/>
      <c r="HJQ367" s="153"/>
      <c r="HJR367" s="153"/>
      <c r="HJS367" s="153"/>
      <c r="HJT367" s="153"/>
      <c r="HJU367" s="153"/>
      <c r="HJV367" s="153"/>
      <c r="HJW367" s="153"/>
      <c r="HJX367" s="153"/>
      <c r="HJY367" s="153"/>
      <c r="HJZ367" s="153"/>
      <c r="HKA367" s="640"/>
      <c r="HKB367" s="641"/>
      <c r="HKC367" s="638"/>
      <c r="HKD367" s="639"/>
      <c r="HKE367" s="153"/>
      <c r="HKF367" s="153"/>
      <c r="HKG367" s="153"/>
      <c r="HKH367" s="153"/>
      <c r="HKI367" s="153"/>
      <c r="HKJ367" s="153"/>
      <c r="HKK367" s="153"/>
      <c r="HKL367" s="153"/>
      <c r="HKM367" s="153"/>
      <c r="HKN367" s="153"/>
      <c r="HKO367" s="153"/>
      <c r="HKP367" s="153"/>
      <c r="HKQ367" s="640"/>
      <c r="HKR367" s="641"/>
      <c r="HKS367" s="638"/>
      <c r="HKT367" s="639"/>
      <c r="HKU367" s="153"/>
      <c r="HKV367" s="153"/>
      <c r="HKW367" s="153"/>
      <c r="HKX367" s="153"/>
      <c r="HKY367" s="153"/>
      <c r="HKZ367" s="153"/>
      <c r="HLA367" s="153"/>
      <c r="HLB367" s="153"/>
      <c r="HLC367" s="153"/>
      <c r="HLD367" s="153"/>
      <c r="HLE367" s="153"/>
      <c r="HLF367" s="153"/>
      <c r="HLG367" s="640"/>
      <c r="HLH367" s="641"/>
      <c r="HLI367" s="638"/>
      <c r="HLJ367" s="639"/>
      <c r="HLK367" s="153"/>
      <c r="HLL367" s="153"/>
      <c r="HLM367" s="153"/>
      <c r="HLN367" s="153"/>
      <c r="HLO367" s="153"/>
      <c r="HLP367" s="153"/>
      <c r="HLQ367" s="153"/>
      <c r="HLR367" s="153"/>
      <c r="HLS367" s="153"/>
      <c r="HLT367" s="153"/>
      <c r="HLU367" s="153"/>
      <c r="HLV367" s="153"/>
      <c r="HLW367" s="640"/>
      <c r="HLX367" s="641"/>
      <c r="HLY367" s="638"/>
      <c r="HLZ367" s="639"/>
      <c r="HMA367" s="153"/>
      <c r="HMB367" s="153"/>
      <c r="HMC367" s="153"/>
      <c r="HMD367" s="153"/>
      <c r="HME367" s="153"/>
      <c r="HMF367" s="153"/>
      <c r="HMG367" s="153"/>
      <c r="HMH367" s="153"/>
      <c r="HMI367" s="153"/>
      <c r="HMJ367" s="153"/>
      <c r="HMK367" s="153"/>
      <c r="HML367" s="153"/>
      <c r="HMM367" s="640"/>
      <c r="HMN367" s="641"/>
      <c r="HMO367" s="638"/>
      <c r="HMP367" s="639"/>
      <c r="HMQ367" s="153"/>
      <c r="HMR367" s="153"/>
      <c r="HMS367" s="153"/>
      <c r="HMT367" s="153"/>
      <c r="HMU367" s="153"/>
      <c r="HMV367" s="153"/>
      <c r="HMW367" s="153"/>
      <c r="HMX367" s="153"/>
      <c r="HMY367" s="153"/>
      <c r="HMZ367" s="153"/>
      <c r="HNA367" s="153"/>
      <c r="HNB367" s="153"/>
      <c r="HNC367" s="640"/>
      <c r="HND367" s="641"/>
      <c r="HNE367" s="638"/>
      <c r="HNF367" s="639"/>
      <c r="HNG367" s="153"/>
      <c r="HNH367" s="153"/>
      <c r="HNI367" s="153"/>
      <c r="HNJ367" s="153"/>
      <c r="HNK367" s="153"/>
      <c r="HNL367" s="153"/>
      <c r="HNM367" s="153"/>
      <c r="HNN367" s="153"/>
      <c r="HNO367" s="153"/>
      <c r="HNP367" s="153"/>
      <c r="HNQ367" s="153"/>
      <c r="HNR367" s="153"/>
      <c r="HNS367" s="640"/>
      <c r="HNT367" s="641"/>
      <c r="HNU367" s="638"/>
      <c r="HNV367" s="639"/>
      <c r="HNW367" s="153"/>
      <c r="HNX367" s="153"/>
      <c r="HNY367" s="153"/>
      <c r="HNZ367" s="153"/>
      <c r="HOA367" s="153"/>
      <c r="HOB367" s="153"/>
      <c r="HOC367" s="153"/>
      <c r="HOD367" s="153"/>
      <c r="HOE367" s="153"/>
      <c r="HOF367" s="153"/>
      <c r="HOG367" s="153"/>
      <c r="HOH367" s="153"/>
      <c r="HOI367" s="640"/>
      <c r="HOJ367" s="641"/>
      <c r="HOK367" s="638"/>
      <c r="HOL367" s="639"/>
      <c r="HOM367" s="153"/>
      <c r="HON367" s="153"/>
      <c r="HOO367" s="153"/>
      <c r="HOP367" s="153"/>
      <c r="HOQ367" s="153"/>
      <c r="HOR367" s="153"/>
      <c r="HOS367" s="153"/>
      <c r="HOT367" s="153"/>
      <c r="HOU367" s="153"/>
      <c r="HOV367" s="153"/>
      <c r="HOW367" s="153"/>
      <c r="HOX367" s="153"/>
      <c r="HOY367" s="640"/>
      <c r="HOZ367" s="641"/>
      <c r="HPA367" s="638"/>
      <c r="HPB367" s="639"/>
      <c r="HPC367" s="153"/>
      <c r="HPD367" s="153"/>
      <c r="HPE367" s="153"/>
      <c r="HPF367" s="153"/>
      <c r="HPG367" s="153"/>
      <c r="HPH367" s="153"/>
      <c r="HPI367" s="153"/>
      <c r="HPJ367" s="153"/>
      <c r="HPK367" s="153"/>
      <c r="HPL367" s="153"/>
      <c r="HPM367" s="153"/>
      <c r="HPN367" s="153"/>
      <c r="HPO367" s="640"/>
      <c r="HPP367" s="641"/>
      <c r="HPQ367" s="638"/>
      <c r="HPR367" s="639"/>
      <c r="HPS367" s="153"/>
      <c r="HPT367" s="153"/>
      <c r="HPU367" s="153"/>
      <c r="HPV367" s="153"/>
      <c r="HPW367" s="153"/>
      <c r="HPX367" s="153"/>
      <c r="HPY367" s="153"/>
      <c r="HPZ367" s="153"/>
      <c r="HQA367" s="153"/>
      <c r="HQB367" s="153"/>
      <c r="HQC367" s="153"/>
      <c r="HQD367" s="153"/>
      <c r="HQE367" s="640"/>
      <c r="HQF367" s="641"/>
      <c r="HQG367" s="638"/>
      <c r="HQH367" s="639"/>
      <c r="HQI367" s="153"/>
      <c r="HQJ367" s="153"/>
      <c r="HQK367" s="153"/>
      <c r="HQL367" s="153"/>
      <c r="HQM367" s="153"/>
      <c r="HQN367" s="153"/>
      <c r="HQO367" s="153"/>
      <c r="HQP367" s="153"/>
      <c r="HQQ367" s="153"/>
      <c r="HQR367" s="153"/>
      <c r="HQS367" s="153"/>
      <c r="HQT367" s="153"/>
      <c r="HQU367" s="640"/>
      <c r="HQV367" s="641"/>
      <c r="HQW367" s="638"/>
      <c r="HQX367" s="639"/>
      <c r="HQY367" s="153"/>
      <c r="HQZ367" s="153"/>
      <c r="HRA367" s="153"/>
      <c r="HRB367" s="153"/>
      <c r="HRC367" s="153"/>
      <c r="HRD367" s="153"/>
      <c r="HRE367" s="153"/>
      <c r="HRF367" s="153"/>
      <c r="HRG367" s="153"/>
      <c r="HRH367" s="153"/>
      <c r="HRI367" s="153"/>
      <c r="HRJ367" s="153"/>
      <c r="HRK367" s="640"/>
      <c r="HRL367" s="641"/>
      <c r="HRM367" s="638"/>
      <c r="HRN367" s="639"/>
      <c r="HRO367" s="153"/>
      <c r="HRP367" s="153"/>
      <c r="HRQ367" s="153"/>
      <c r="HRR367" s="153"/>
      <c r="HRS367" s="153"/>
      <c r="HRT367" s="153"/>
      <c r="HRU367" s="153"/>
      <c r="HRV367" s="153"/>
      <c r="HRW367" s="153"/>
      <c r="HRX367" s="153"/>
      <c r="HRY367" s="153"/>
      <c r="HRZ367" s="153"/>
      <c r="HSA367" s="640"/>
      <c r="HSB367" s="641"/>
      <c r="HSC367" s="638"/>
      <c r="HSD367" s="639"/>
      <c r="HSE367" s="153"/>
      <c r="HSF367" s="153"/>
      <c r="HSG367" s="153"/>
      <c r="HSH367" s="153"/>
      <c r="HSI367" s="153"/>
      <c r="HSJ367" s="153"/>
      <c r="HSK367" s="153"/>
      <c r="HSL367" s="153"/>
      <c r="HSM367" s="153"/>
      <c r="HSN367" s="153"/>
      <c r="HSO367" s="153"/>
      <c r="HSP367" s="153"/>
      <c r="HSQ367" s="640"/>
      <c r="HSR367" s="641"/>
      <c r="HSS367" s="638"/>
      <c r="HST367" s="639"/>
      <c r="HSU367" s="153"/>
      <c r="HSV367" s="153"/>
      <c r="HSW367" s="153"/>
      <c r="HSX367" s="153"/>
      <c r="HSY367" s="153"/>
      <c r="HSZ367" s="153"/>
      <c r="HTA367" s="153"/>
      <c r="HTB367" s="153"/>
      <c r="HTC367" s="153"/>
      <c r="HTD367" s="153"/>
      <c r="HTE367" s="153"/>
      <c r="HTF367" s="153"/>
      <c r="HTG367" s="640"/>
      <c r="HTH367" s="641"/>
      <c r="HTI367" s="638"/>
      <c r="HTJ367" s="639"/>
      <c r="HTK367" s="153"/>
      <c r="HTL367" s="153"/>
      <c r="HTM367" s="153"/>
      <c r="HTN367" s="153"/>
      <c r="HTO367" s="153"/>
      <c r="HTP367" s="153"/>
      <c r="HTQ367" s="153"/>
      <c r="HTR367" s="153"/>
      <c r="HTS367" s="153"/>
      <c r="HTT367" s="153"/>
      <c r="HTU367" s="153"/>
      <c r="HTV367" s="153"/>
      <c r="HTW367" s="640"/>
      <c r="HTX367" s="641"/>
      <c r="HTY367" s="638"/>
      <c r="HTZ367" s="639"/>
      <c r="HUA367" s="153"/>
      <c r="HUB367" s="153"/>
      <c r="HUC367" s="153"/>
      <c r="HUD367" s="153"/>
      <c r="HUE367" s="153"/>
      <c r="HUF367" s="153"/>
      <c r="HUG367" s="153"/>
      <c r="HUH367" s="153"/>
      <c r="HUI367" s="153"/>
      <c r="HUJ367" s="153"/>
      <c r="HUK367" s="153"/>
      <c r="HUL367" s="153"/>
      <c r="HUM367" s="640"/>
      <c r="HUN367" s="641"/>
      <c r="HUO367" s="638"/>
      <c r="HUP367" s="639"/>
      <c r="HUQ367" s="153"/>
      <c r="HUR367" s="153"/>
      <c r="HUS367" s="153"/>
      <c r="HUT367" s="153"/>
      <c r="HUU367" s="153"/>
      <c r="HUV367" s="153"/>
      <c r="HUW367" s="153"/>
      <c r="HUX367" s="153"/>
      <c r="HUY367" s="153"/>
      <c r="HUZ367" s="153"/>
      <c r="HVA367" s="153"/>
      <c r="HVB367" s="153"/>
      <c r="HVC367" s="640"/>
      <c r="HVD367" s="641"/>
      <c r="HVE367" s="638"/>
      <c r="HVF367" s="639"/>
      <c r="HVG367" s="153"/>
      <c r="HVH367" s="153"/>
      <c r="HVI367" s="153"/>
      <c r="HVJ367" s="153"/>
      <c r="HVK367" s="153"/>
      <c r="HVL367" s="153"/>
      <c r="HVM367" s="153"/>
      <c r="HVN367" s="153"/>
      <c r="HVO367" s="153"/>
      <c r="HVP367" s="153"/>
      <c r="HVQ367" s="153"/>
      <c r="HVR367" s="153"/>
      <c r="HVS367" s="640"/>
      <c r="HVT367" s="641"/>
      <c r="HVU367" s="638"/>
      <c r="HVV367" s="639"/>
      <c r="HVW367" s="153"/>
      <c r="HVX367" s="153"/>
      <c r="HVY367" s="153"/>
      <c r="HVZ367" s="153"/>
      <c r="HWA367" s="153"/>
      <c r="HWB367" s="153"/>
      <c r="HWC367" s="153"/>
      <c r="HWD367" s="153"/>
      <c r="HWE367" s="153"/>
      <c r="HWF367" s="153"/>
      <c r="HWG367" s="153"/>
      <c r="HWH367" s="153"/>
      <c r="HWI367" s="640"/>
      <c r="HWJ367" s="641"/>
      <c r="HWK367" s="638"/>
      <c r="HWL367" s="639"/>
      <c r="HWM367" s="153"/>
      <c r="HWN367" s="153"/>
      <c r="HWO367" s="153"/>
      <c r="HWP367" s="153"/>
      <c r="HWQ367" s="153"/>
      <c r="HWR367" s="153"/>
      <c r="HWS367" s="153"/>
      <c r="HWT367" s="153"/>
      <c r="HWU367" s="153"/>
      <c r="HWV367" s="153"/>
      <c r="HWW367" s="153"/>
      <c r="HWX367" s="153"/>
      <c r="HWY367" s="640"/>
      <c r="HWZ367" s="641"/>
      <c r="HXA367" s="638"/>
      <c r="HXB367" s="639"/>
      <c r="HXC367" s="153"/>
      <c r="HXD367" s="153"/>
      <c r="HXE367" s="153"/>
      <c r="HXF367" s="153"/>
      <c r="HXG367" s="153"/>
      <c r="HXH367" s="153"/>
      <c r="HXI367" s="153"/>
      <c r="HXJ367" s="153"/>
      <c r="HXK367" s="153"/>
      <c r="HXL367" s="153"/>
      <c r="HXM367" s="153"/>
      <c r="HXN367" s="153"/>
      <c r="HXO367" s="640"/>
      <c r="HXP367" s="641"/>
      <c r="HXQ367" s="638"/>
      <c r="HXR367" s="639"/>
      <c r="HXS367" s="153"/>
      <c r="HXT367" s="153"/>
      <c r="HXU367" s="153"/>
      <c r="HXV367" s="153"/>
      <c r="HXW367" s="153"/>
      <c r="HXX367" s="153"/>
      <c r="HXY367" s="153"/>
      <c r="HXZ367" s="153"/>
      <c r="HYA367" s="153"/>
      <c r="HYB367" s="153"/>
      <c r="HYC367" s="153"/>
      <c r="HYD367" s="153"/>
      <c r="HYE367" s="640"/>
      <c r="HYF367" s="641"/>
      <c r="HYG367" s="638"/>
      <c r="HYH367" s="639"/>
      <c r="HYI367" s="153"/>
      <c r="HYJ367" s="153"/>
      <c r="HYK367" s="153"/>
      <c r="HYL367" s="153"/>
      <c r="HYM367" s="153"/>
      <c r="HYN367" s="153"/>
      <c r="HYO367" s="153"/>
      <c r="HYP367" s="153"/>
      <c r="HYQ367" s="153"/>
      <c r="HYR367" s="153"/>
      <c r="HYS367" s="153"/>
      <c r="HYT367" s="153"/>
      <c r="HYU367" s="640"/>
      <c r="HYV367" s="641"/>
      <c r="HYW367" s="638"/>
      <c r="HYX367" s="639"/>
      <c r="HYY367" s="153"/>
      <c r="HYZ367" s="153"/>
      <c r="HZA367" s="153"/>
      <c r="HZB367" s="153"/>
      <c r="HZC367" s="153"/>
      <c r="HZD367" s="153"/>
      <c r="HZE367" s="153"/>
      <c r="HZF367" s="153"/>
      <c r="HZG367" s="153"/>
      <c r="HZH367" s="153"/>
      <c r="HZI367" s="153"/>
      <c r="HZJ367" s="153"/>
      <c r="HZK367" s="640"/>
      <c r="HZL367" s="641"/>
      <c r="HZM367" s="638"/>
      <c r="HZN367" s="639"/>
      <c r="HZO367" s="153"/>
      <c r="HZP367" s="153"/>
      <c r="HZQ367" s="153"/>
      <c r="HZR367" s="153"/>
      <c r="HZS367" s="153"/>
      <c r="HZT367" s="153"/>
      <c r="HZU367" s="153"/>
      <c r="HZV367" s="153"/>
      <c r="HZW367" s="153"/>
      <c r="HZX367" s="153"/>
      <c r="HZY367" s="153"/>
      <c r="HZZ367" s="153"/>
      <c r="IAA367" s="640"/>
      <c r="IAB367" s="641"/>
      <c r="IAC367" s="638"/>
      <c r="IAD367" s="639"/>
      <c r="IAE367" s="153"/>
      <c r="IAF367" s="153"/>
      <c r="IAG367" s="153"/>
      <c r="IAH367" s="153"/>
      <c r="IAI367" s="153"/>
      <c r="IAJ367" s="153"/>
      <c r="IAK367" s="153"/>
      <c r="IAL367" s="153"/>
      <c r="IAM367" s="153"/>
      <c r="IAN367" s="153"/>
      <c r="IAO367" s="153"/>
      <c r="IAP367" s="153"/>
      <c r="IAQ367" s="640"/>
      <c r="IAR367" s="641"/>
      <c r="IAS367" s="638"/>
      <c r="IAT367" s="639"/>
      <c r="IAU367" s="153"/>
      <c r="IAV367" s="153"/>
      <c r="IAW367" s="153"/>
      <c r="IAX367" s="153"/>
      <c r="IAY367" s="153"/>
      <c r="IAZ367" s="153"/>
      <c r="IBA367" s="153"/>
      <c r="IBB367" s="153"/>
      <c r="IBC367" s="153"/>
      <c r="IBD367" s="153"/>
      <c r="IBE367" s="153"/>
      <c r="IBF367" s="153"/>
      <c r="IBG367" s="640"/>
      <c r="IBH367" s="641"/>
      <c r="IBI367" s="638"/>
      <c r="IBJ367" s="639"/>
      <c r="IBK367" s="153"/>
      <c r="IBL367" s="153"/>
      <c r="IBM367" s="153"/>
      <c r="IBN367" s="153"/>
      <c r="IBO367" s="153"/>
      <c r="IBP367" s="153"/>
      <c r="IBQ367" s="153"/>
      <c r="IBR367" s="153"/>
      <c r="IBS367" s="153"/>
      <c r="IBT367" s="153"/>
      <c r="IBU367" s="153"/>
      <c r="IBV367" s="153"/>
      <c r="IBW367" s="640"/>
      <c r="IBX367" s="641"/>
      <c r="IBY367" s="638"/>
      <c r="IBZ367" s="639"/>
      <c r="ICA367" s="153"/>
      <c r="ICB367" s="153"/>
      <c r="ICC367" s="153"/>
      <c r="ICD367" s="153"/>
      <c r="ICE367" s="153"/>
      <c r="ICF367" s="153"/>
      <c r="ICG367" s="153"/>
      <c r="ICH367" s="153"/>
      <c r="ICI367" s="153"/>
      <c r="ICJ367" s="153"/>
      <c r="ICK367" s="153"/>
      <c r="ICL367" s="153"/>
      <c r="ICM367" s="640"/>
      <c r="ICN367" s="641"/>
      <c r="ICO367" s="638"/>
      <c r="ICP367" s="639"/>
      <c r="ICQ367" s="153"/>
      <c r="ICR367" s="153"/>
      <c r="ICS367" s="153"/>
      <c r="ICT367" s="153"/>
      <c r="ICU367" s="153"/>
      <c r="ICV367" s="153"/>
      <c r="ICW367" s="153"/>
      <c r="ICX367" s="153"/>
      <c r="ICY367" s="153"/>
      <c r="ICZ367" s="153"/>
      <c r="IDA367" s="153"/>
      <c r="IDB367" s="153"/>
      <c r="IDC367" s="640"/>
      <c r="IDD367" s="641"/>
      <c r="IDE367" s="638"/>
      <c r="IDF367" s="639"/>
      <c r="IDG367" s="153"/>
      <c r="IDH367" s="153"/>
      <c r="IDI367" s="153"/>
      <c r="IDJ367" s="153"/>
      <c r="IDK367" s="153"/>
      <c r="IDL367" s="153"/>
      <c r="IDM367" s="153"/>
      <c r="IDN367" s="153"/>
      <c r="IDO367" s="153"/>
      <c r="IDP367" s="153"/>
      <c r="IDQ367" s="153"/>
      <c r="IDR367" s="153"/>
      <c r="IDS367" s="640"/>
      <c r="IDT367" s="641"/>
      <c r="IDU367" s="638"/>
      <c r="IDV367" s="639"/>
      <c r="IDW367" s="153"/>
      <c r="IDX367" s="153"/>
      <c r="IDY367" s="153"/>
      <c r="IDZ367" s="153"/>
      <c r="IEA367" s="153"/>
      <c r="IEB367" s="153"/>
      <c r="IEC367" s="153"/>
      <c r="IED367" s="153"/>
      <c r="IEE367" s="153"/>
      <c r="IEF367" s="153"/>
      <c r="IEG367" s="153"/>
      <c r="IEH367" s="153"/>
      <c r="IEI367" s="640"/>
      <c r="IEJ367" s="641"/>
      <c r="IEK367" s="638"/>
      <c r="IEL367" s="639"/>
      <c r="IEM367" s="153"/>
      <c r="IEN367" s="153"/>
      <c r="IEO367" s="153"/>
      <c r="IEP367" s="153"/>
      <c r="IEQ367" s="153"/>
      <c r="IER367" s="153"/>
      <c r="IES367" s="153"/>
      <c r="IET367" s="153"/>
      <c r="IEU367" s="153"/>
      <c r="IEV367" s="153"/>
      <c r="IEW367" s="153"/>
      <c r="IEX367" s="153"/>
      <c r="IEY367" s="640"/>
      <c r="IEZ367" s="641"/>
      <c r="IFA367" s="638"/>
      <c r="IFB367" s="639"/>
      <c r="IFC367" s="153"/>
      <c r="IFD367" s="153"/>
      <c r="IFE367" s="153"/>
      <c r="IFF367" s="153"/>
      <c r="IFG367" s="153"/>
      <c r="IFH367" s="153"/>
      <c r="IFI367" s="153"/>
      <c r="IFJ367" s="153"/>
      <c r="IFK367" s="153"/>
      <c r="IFL367" s="153"/>
      <c r="IFM367" s="153"/>
      <c r="IFN367" s="153"/>
      <c r="IFO367" s="640"/>
      <c r="IFP367" s="641"/>
      <c r="IFQ367" s="638"/>
      <c r="IFR367" s="639"/>
      <c r="IFS367" s="153"/>
      <c r="IFT367" s="153"/>
      <c r="IFU367" s="153"/>
      <c r="IFV367" s="153"/>
      <c r="IFW367" s="153"/>
      <c r="IFX367" s="153"/>
      <c r="IFY367" s="153"/>
      <c r="IFZ367" s="153"/>
      <c r="IGA367" s="153"/>
      <c r="IGB367" s="153"/>
      <c r="IGC367" s="153"/>
      <c r="IGD367" s="153"/>
      <c r="IGE367" s="640"/>
      <c r="IGF367" s="641"/>
      <c r="IGG367" s="638"/>
      <c r="IGH367" s="639"/>
      <c r="IGI367" s="153"/>
      <c r="IGJ367" s="153"/>
      <c r="IGK367" s="153"/>
      <c r="IGL367" s="153"/>
      <c r="IGM367" s="153"/>
      <c r="IGN367" s="153"/>
      <c r="IGO367" s="153"/>
      <c r="IGP367" s="153"/>
      <c r="IGQ367" s="153"/>
      <c r="IGR367" s="153"/>
      <c r="IGS367" s="153"/>
      <c r="IGT367" s="153"/>
      <c r="IGU367" s="640"/>
      <c r="IGV367" s="641"/>
      <c r="IGW367" s="638"/>
      <c r="IGX367" s="639"/>
      <c r="IGY367" s="153"/>
      <c r="IGZ367" s="153"/>
      <c r="IHA367" s="153"/>
      <c r="IHB367" s="153"/>
      <c r="IHC367" s="153"/>
      <c r="IHD367" s="153"/>
      <c r="IHE367" s="153"/>
      <c r="IHF367" s="153"/>
      <c r="IHG367" s="153"/>
      <c r="IHH367" s="153"/>
      <c r="IHI367" s="153"/>
      <c r="IHJ367" s="153"/>
      <c r="IHK367" s="640"/>
      <c r="IHL367" s="641"/>
      <c r="IHM367" s="638"/>
      <c r="IHN367" s="639"/>
      <c r="IHO367" s="153"/>
      <c r="IHP367" s="153"/>
      <c r="IHQ367" s="153"/>
      <c r="IHR367" s="153"/>
      <c r="IHS367" s="153"/>
      <c r="IHT367" s="153"/>
      <c r="IHU367" s="153"/>
      <c r="IHV367" s="153"/>
      <c r="IHW367" s="153"/>
      <c r="IHX367" s="153"/>
      <c r="IHY367" s="153"/>
      <c r="IHZ367" s="153"/>
      <c r="IIA367" s="640"/>
      <c r="IIB367" s="641"/>
      <c r="IIC367" s="638"/>
      <c r="IID367" s="639"/>
      <c r="IIE367" s="153"/>
      <c r="IIF367" s="153"/>
      <c r="IIG367" s="153"/>
      <c r="IIH367" s="153"/>
      <c r="III367" s="153"/>
      <c r="IIJ367" s="153"/>
      <c r="IIK367" s="153"/>
      <c r="IIL367" s="153"/>
      <c r="IIM367" s="153"/>
      <c r="IIN367" s="153"/>
      <c r="IIO367" s="153"/>
      <c r="IIP367" s="153"/>
      <c r="IIQ367" s="640"/>
      <c r="IIR367" s="641"/>
      <c r="IIS367" s="638"/>
      <c r="IIT367" s="639"/>
      <c r="IIU367" s="153"/>
      <c r="IIV367" s="153"/>
      <c r="IIW367" s="153"/>
      <c r="IIX367" s="153"/>
      <c r="IIY367" s="153"/>
      <c r="IIZ367" s="153"/>
      <c r="IJA367" s="153"/>
      <c r="IJB367" s="153"/>
      <c r="IJC367" s="153"/>
      <c r="IJD367" s="153"/>
      <c r="IJE367" s="153"/>
      <c r="IJF367" s="153"/>
      <c r="IJG367" s="640"/>
      <c r="IJH367" s="641"/>
      <c r="IJI367" s="638"/>
      <c r="IJJ367" s="639"/>
      <c r="IJK367" s="153"/>
      <c r="IJL367" s="153"/>
      <c r="IJM367" s="153"/>
      <c r="IJN367" s="153"/>
      <c r="IJO367" s="153"/>
      <c r="IJP367" s="153"/>
      <c r="IJQ367" s="153"/>
      <c r="IJR367" s="153"/>
      <c r="IJS367" s="153"/>
      <c r="IJT367" s="153"/>
      <c r="IJU367" s="153"/>
      <c r="IJV367" s="153"/>
      <c r="IJW367" s="640"/>
      <c r="IJX367" s="641"/>
      <c r="IJY367" s="638"/>
      <c r="IJZ367" s="639"/>
      <c r="IKA367" s="153"/>
      <c r="IKB367" s="153"/>
      <c r="IKC367" s="153"/>
      <c r="IKD367" s="153"/>
      <c r="IKE367" s="153"/>
      <c r="IKF367" s="153"/>
      <c r="IKG367" s="153"/>
      <c r="IKH367" s="153"/>
      <c r="IKI367" s="153"/>
      <c r="IKJ367" s="153"/>
      <c r="IKK367" s="153"/>
      <c r="IKL367" s="153"/>
      <c r="IKM367" s="640"/>
      <c r="IKN367" s="641"/>
      <c r="IKO367" s="638"/>
      <c r="IKP367" s="639"/>
      <c r="IKQ367" s="153"/>
      <c r="IKR367" s="153"/>
      <c r="IKS367" s="153"/>
      <c r="IKT367" s="153"/>
      <c r="IKU367" s="153"/>
      <c r="IKV367" s="153"/>
      <c r="IKW367" s="153"/>
      <c r="IKX367" s="153"/>
      <c r="IKY367" s="153"/>
      <c r="IKZ367" s="153"/>
      <c r="ILA367" s="153"/>
      <c r="ILB367" s="153"/>
      <c r="ILC367" s="640"/>
      <c r="ILD367" s="641"/>
      <c r="ILE367" s="638"/>
      <c r="ILF367" s="639"/>
      <c r="ILG367" s="153"/>
      <c r="ILH367" s="153"/>
      <c r="ILI367" s="153"/>
      <c r="ILJ367" s="153"/>
      <c r="ILK367" s="153"/>
      <c r="ILL367" s="153"/>
      <c r="ILM367" s="153"/>
      <c r="ILN367" s="153"/>
      <c r="ILO367" s="153"/>
      <c r="ILP367" s="153"/>
      <c r="ILQ367" s="153"/>
      <c r="ILR367" s="153"/>
      <c r="ILS367" s="640"/>
      <c r="ILT367" s="641"/>
      <c r="ILU367" s="638"/>
      <c r="ILV367" s="639"/>
      <c r="ILW367" s="153"/>
      <c r="ILX367" s="153"/>
      <c r="ILY367" s="153"/>
      <c r="ILZ367" s="153"/>
      <c r="IMA367" s="153"/>
      <c r="IMB367" s="153"/>
      <c r="IMC367" s="153"/>
      <c r="IMD367" s="153"/>
      <c r="IME367" s="153"/>
      <c r="IMF367" s="153"/>
      <c r="IMG367" s="153"/>
      <c r="IMH367" s="153"/>
      <c r="IMI367" s="640"/>
      <c r="IMJ367" s="641"/>
      <c r="IMK367" s="638"/>
      <c r="IML367" s="639"/>
      <c r="IMM367" s="153"/>
      <c r="IMN367" s="153"/>
      <c r="IMO367" s="153"/>
      <c r="IMP367" s="153"/>
      <c r="IMQ367" s="153"/>
      <c r="IMR367" s="153"/>
      <c r="IMS367" s="153"/>
      <c r="IMT367" s="153"/>
      <c r="IMU367" s="153"/>
      <c r="IMV367" s="153"/>
      <c r="IMW367" s="153"/>
      <c r="IMX367" s="153"/>
      <c r="IMY367" s="640"/>
      <c r="IMZ367" s="641"/>
      <c r="INA367" s="638"/>
      <c r="INB367" s="639"/>
      <c r="INC367" s="153"/>
      <c r="IND367" s="153"/>
      <c r="INE367" s="153"/>
      <c r="INF367" s="153"/>
      <c r="ING367" s="153"/>
      <c r="INH367" s="153"/>
      <c r="INI367" s="153"/>
      <c r="INJ367" s="153"/>
      <c r="INK367" s="153"/>
      <c r="INL367" s="153"/>
      <c r="INM367" s="153"/>
      <c r="INN367" s="153"/>
      <c r="INO367" s="640"/>
      <c r="INP367" s="641"/>
      <c r="INQ367" s="638"/>
      <c r="INR367" s="639"/>
      <c r="INS367" s="153"/>
      <c r="INT367" s="153"/>
      <c r="INU367" s="153"/>
      <c r="INV367" s="153"/>
      <c r="INW367" s="153"/>
      <c r="INX367" s="153"/>
      <c r="INY367" s="153"/>
      <c r="INZ367" s="153"/>
      <c r="IOA367" s="153"/>
      <c r="IOB367" s="153"/>
      <c r="IOC367" s="153"/>
      <c r="IOD367" s="153"/>
      <c r="IOE367" s="640"/>
      <c r="IOF367" s="641"/>
      <c r="IOG367" s="638"/>
      <c r="IOH367" s="639"/>
      <c r="IOI367" s="153"/>
      <c r="IOJ367" s="153"/>
      <c r="IOK367" s="153"/>
      <c r="IOL367" s="153"/>
      <c r="IOM367" s="153"/>
      <c r="ION367" s="153"/>
      <c r="IOO367" s="153"/>
      <c r="IOP367" s="153"/>
      <c r="IOQ367" s="153"/>
      <c r="IOR367" s="153"/>
      <c r="IOS367" s="153"/>
      <c r="IOT367" s="153"/>
      <c r="IOU367" s="640"/>
      <c r="IOV367" s="641"/>
      <c r="IOW367" s="638"/>
      <c r="IOX367" s="639"/>
      <c r="IOY367" s="153"/>
      <c r="IOZ367" s="153"/>
      <c r="IPA367" s="153"/>
      <c r="IPB367" s="153"/>
      <c r="IPC367" s="153"/>
      <c r="IPD367" s="153"/>
      <c r="IPE367" s="153"/>
      <c r="IPF367" s="153"/>
      <c r="IPG367" s="153"/>
      <c r="IPH367" s="153"/>
      <c r="IPI367" s="153"/>
      <c r="IPJ367" s="153"/>
      <c r="IPK367" s="640"/>
      <c r="IPL367" s="641"/>
      <c r="IPM367" s="638"/>
      <c r="IPN367" s="639"/>
      <c r="IPO367" s="153"/>
      <c r="IPP367" s="153"/>
      <c r="IPQ367" s="153"/>
      <c r="IPR367" s="153"/>
      <c r="IPS367" s="153"/>
      <c r="IPT367" s="153"/>
      <c r="IPU367" s="153"/>
      <c r="IPV367" s="153"/>
      <c r="IPW367" s="153"/>
      <c r="IPX367" s="153"/>
      <c r="IPY367" s="153"/>
      <c r="IPZ367" s="153"/>
      <c r="IQA367" s="640"/>
      <c r="IQB367" s="641"/>
      <c r="IQC367" s="638"/>
      <c r="IQD367" s="639"/>
      <c r="IQE367" s="153"/>
      <c r="IQF367" s="153"/>
      <c r="IQG367" s="153"/>
      <c r="IQH367" s="153"/>
      <c r="IQI367" s="153"/>
      <c r="IQJ367" s="153"/>
      <c r="IQK367" s="153"/>
      <c r="IQL367" s="153"/>
      <c r="IQM367" s="153"/>
      <c r="IQN367" s="153"/>
      <c r="IQO367" s="153"/>
      <c r="IQP367" s="153"/>
      <c r="IQQ367" s="640"/>
      <c r="IQR367" s="641"/>
      <c r="IQS367" s="638"/>
      <c r="IQT367" s="639"/>
      <c r="IQU367" s="153"/>
      <c r="IQV367" s="153"/>
      <c r="IQW367" s="153"/>
      <c r="IQX367" s="153"/>
      <c r="IQY367" s="153"/>
      <c r="IQZ367" s="153"/>
      <c r="IRA367" s="153"/>
      <c r="IRB367" s="153"/>
      <c r="IRC367" s="153"/>
      <c r="IRD367" s="153"/>
      <c r="IRE367" s="153"/>
      <c r="IRF367" s="153"/>
      <c r="IRG367" s="640"/>
      <c r="IRH367" s="641"/>
      <c r="IRI367" s="638"/>
      <c r="IRJ367" s="639"/>
      <c r="IRK367" s="153"/>
      <c r="IRL367" s="153"/>
      <c r="IRM367" s="153"/>
      <c r="IRN367" s="153"/>
      <c r="IRO367" s="153"/>
      <c r="IRP367" s="153"/>
      <c r="IRQ367" s="153"/>
      <c r="IRR367" s="153"/>
      <c r="IRS367" s="153"/>
      <c r="IRT367" s="153"/>
      <c r="IRU367" s="153"/>
      <c r="IRV367" s="153"/>
      <c r="IRW367" s="640"/>
      <c r="IRX367" s="641"/>
      <c r="IRY367" s="638"/>
      <c r="IRZ367" s="639"/>
      <c r="ISA367" s="153"/>
      <c r="ISB367" s="153"/>
      <c r="ISC367" s="153"/>
      <c r="ISD367" s="153"/>
      <c r="ISE367" s="153"/>
      <c r="ISF367" s="153"/>
      <c r="ISG367" s="153"/>
      <c r="ISH367" s="153"/>
      <c r="ISI367" s="153"/>
      <c r="ISJ367" s="153"/>
      <c r="ISK367" s="153"/>
      <c r="ISL367" s="153"/>
      <c r="ISM367" s="640"/>
      <c r="ISN367" s="641"/>
      <c r="ISO367" s="638"/>
      <c r="ISP367" s="639"/>
      <c r="ISQ367" s="153"/>
      <c r="ISR367" s="153"/>
      <c r="ISS367" s="153"/>
      <c r="IST367" s="153"/>
      <c r="ISU367" s="153"/>
      <c r="ISV367" s="153"/>
      <c r="ISW367" s="153"/>
      <c r="ISX367" s="153"/>
      <c r="ISY367" s="153"/>
      <c r="ISZ367" s="153"/>
      <c r="ITA367" s="153"/>
      <c r="ITB367" s="153"/>
      <c r="ITC367" s="640"/>
      <c r="ITD367" s="641"/>
      <c r="ITE367" s="638"/>
      <c r="ITF367" s="639"/>
      <c r="ITG367" s="153"/>
      <c r="ITH367" s="153"/>
      <c r="ITI367" s="153"/>
      <c r="ITJ367" s="153"/>
      <c r="ITK367" s="153"/>
      <c r="ITL367" s="153"/>
      <c r="ITM367" s="153"/>
      <c r="ITN367" s="153"/>
      <c r="ITO367" s="153"/>
      <c r="ITP367" s="153"/>
      <c r="ITQ367" s="153"/>
      <c r="ITR367" s="153"/>
      <c r="ITS367" s="640"/>
      <c r="ITT367" s="641"/>
      <c r="ITU367" s="638"/>
      <c r="ITV367" s="639"/>
      <c r="ITW367" s="153"/>
      <c r="ITX367" s="153"/>
      <c r="ITY367" s="153"/>
      <c r="ITZ367" s="153"/>
      <c r="IUA367" s="153"/>
      <c r="IUB367" s="153"/>
      <c r="IUC367" s="153"/>
      <c r="IUD367" s="153"/>
      <c r="IUE367" s="153"/>
      <c r="IUF367" s="153"/>
      <c r="IUG367" s="153"/>
      <c r="IUH367" s="153"/>
      <c r="IUI367" s="640"/>
      <c r="IUJ367" s="641"/>
      <c r="IUK367" s="638"/>
      <c r="IUL367" s="639"/>
      <c r="IUM367" s="153"/>
      <c r="IUN367" s="153"/>
      <c r="IUO367" s="153"/>
      <c r="IUP367" s="153"/>
      <c r="IUQ367" s="153"/>
      <c r="IUR367" s="153"/>
      <c r="IUS367" s="153"/>
      <c r="IUT367" s="153"/>
      <c r="IUU367" s="153"/>
      <c r="IUV367" s="153"/>
      <c r="IUW367" s="153"/>
      <c r="IUX367" s="153"/>
      <c r="IUY367" s="640"/>
      <c r="IUZ367" s="641"/>
      <c r="IVA367" s="638"/>
      <c r="IVB367" s="639"/>
      <c r="IVC367" s="153"/>
      <c r="IVD367" s="153"/>
      <c r="IVE367" s="153"/>
      <c r="IVF367" s="153"/>
      <c r="IVG367" s="153"/>
      <c r="IVH367" s="153"/>
      <c r="IVI367" s="153"/>
      <c r="IVJ367" s="153"/>
      <c r="IVK367" s="153"/>
      <c r="IVL367" s="153"/>
      <c r="IVM367" s="153"/>
      <c r="IVN367" s="153"/>
      <c r="IVO367" s="640"/>
      <c r="IVP367" s="641"/>
      <c r="IVQ367" s="638"/>
      <c r="IVR367" s="639"/>
      <c r="IVS367" s="153"/>
      <c r="IVT367" s="153"/>
      <c r="IVU367" s="153"/>
      <c r="IVV367" s="153"/>
      <c r="IVW367" s="153"/>
      <c r="IVX367" s="153"/>
      <c r="IVY367" s="153"/>
      <c r="IVZ367" s="153"/>
      <c r="IWA367" s="153"/>
      <c r="IWB367" s="153"/>
      <c r="IWC367" s="153"/>
      <c r="IWD367" s="153"/>
      <c r="IWE367" s="640"/>
      <c r="IWF367" s="641"/>
      <c r="IWG367" s="638"/>
      <c r="IWH367" s="639"/>
      <c r="IWI367" s="153"/>
      <c r="IWJ367" s="153"/>
      <c r="IWK367" s="153"/>
      <c r="IWL367" s="153"/>
      <c r="IWM367" s="153"/>
      <c r="IWN367" s="153"/>
      <c r="IWO367" s="153"/>
      <c r="IWP367" s="153"/>
      <c r="IWQ367" s="153"/>
      <c r="IWR367" s="153"/>
      <c r="IWS367" s="153"/>
      <c r="IWT367" s="153"/>
      <c r="IWU367" s="640"/>
      <c r="IWV367" s="641"/>
      <c r="IWW367" s="638"/>
      <c r="IWX367" s="639"/>
      <c r="IWY367" s="153"/>
      <c r="IWZ367" s="153"/>
      <c r="IXA367" s="153"/>
      <c r="IXB367" s="153"/>
      <c r="IXC367" s="153"/>
      <c r="IXD367" s="153"/>
      <c r="IXE367" s="153"/>
      <c r="IXF367" s="153"/>
      <c r="IXG367" s="153"/>
      <c r="IXH367" s="153"/>
      <c r="IXI367" s="153"/>
      <c r="IXJ367" s="153"/>
      <c r="IXK367" s="640"/>
      <c r="IXL367" s="641"/>
      <c r="IXM367" s="638"/>
      <c r="IXN367" s="639"/>
      <c r="IXO367" s="153"/>
      <c r="IXP367" s="153"/>
      <c r="IXQ367" s="153"/>
      <c r="IXR367" s="153"/>
      <c r="IXS367" s="153"/>
      <c r="IXT367" s="153"/>
      <c r="IXU367" s="153"/>
      <c r="IXV367" s="153"/>
      <c r="IXW367" s="153"/>
      <c r="IXX367" s="153"/>
      <c r="IXY367" s="153"/>
      <c r="IXZ367" s="153"/>
      <c r="IYA367" s="640"/>
      <c r="IYB367" s="641"/>
      <c r="IYC367" s="638"/>
      <c r="IYD367" s="639"/>
      <c r="IYE367" s="153"/>
      <c r="IYF367" s="153"/>
      <c r="IYG367" s="153"/>
      <c r="IYH367" s="153"/>
      <c r="IYI367" s="153"/>
      <c r="IYJ367" s="153"/>
      <c r="IYK367" s="153"/>
      <c r="IYL367" s="153"/>
      <c r="IYM367" s="153"/>
      <c r="IYN367" s="153"/>
      <c r="IYO367" s="153"/>
      <c r="IYP367" s="153"/>
      <c r="IYQ367" s="640"/>
      <c r="IYR367" s="641"/>
      <c r="IYS367" s="638"/>
      <c r="IYT367" s="639"/>
      <c r="IYU367" s="153"/>
      <c r="IYV367" s="153"/>
      <c r="IYW367" s="153"/>
      <c r="IYX367" s="153"/>
      <c r="IYY367" s="153"/>
      <c r="IYZ367" s="153"/>
      <c r="IZA367" s="153"/>
      <c r="IZB367" s="153"/>
      <c r="IZC367" s="153"/>
      <c r="IZD367" s="153"/>
      <c r="IZE367" s="153"/>
      <c r="IZF367" s="153"/>
      <c r="IZG367" s="640"/>
      <c r="IZH367" s="641"/>
      <c r="IZI367" s="638"/>
      <c r="IZJ367" s="639"/>
      <c r="IZK367" s="153"/>
      <c r="IZL367" s="153"/>
      <c r="IZM367" s="153"/>
      <c r="IZN367" s="153"/>
      <c r="IZO367" s="153"/>
      <c r="IZP367" s="153"/>
      <c r="IZQ367" s="153"/>
      <c r="IZR367" s="153"/>
      <c r="IZS367" s="153"/>
      <c r="IZT367" s="153"/>
      <c r="IZU367" s="153"/>
      <c r="IZV367" s="153"/>
      <c r="IZW367" s="640"/>
      <c r="IZX367" s="641"/>
      <c r="IZY367" s="638"/>
      <c r="IZZ367" s="639"/>
      <c r="JAA367" s="153"/>
      <c r="JAB367" s="153"/>
      <c r="JAC367" s="153"/>
      <c r="JAD367" s="153"/>
      <c r="JAE367" s="153"/>
      <c r="JAF367" s="153"/>
      <c r="JAG367" s="153"/>
      <c r="JAH367" s="153"/>
      <c r="JAI367" s="153"/>
      <c r="JAJ367" s="153"/>
      <c r="JAK367" s="153"/>
      <c r="JAL367" s="153"/>
      <c r="JAM367" s="640"/>
      <c r="JAN367" s="641"/>
      <c r="JAO367" s="638"/>
      <c r="JAP367" s="639"/>
      <c r="JAQ367" s="153"/>
      <c r="JAR367" s="153"/>
      <c r="JAS367" s="153"/>
      <c r="JAT367" s="153"/>
      <c r="JAU367" s="153"/>
      <c r="JAV367" s="153"/>
      <c r="JAW367" s="153"/>
      <c r="JAX367" s="153"/>
      <c r="JAY367" s="153"/>
      <c r="JAZ367" s="153"/>
      <c r="JBA367" s="153"/>
      <c r="JBB367" s="153"/>
      <c r="JBC367" s="640"/>
      <c r="JBD367" s="641"/>
      <c r="JBE367" s="638"/>
      <c r="JBF367" s="639"/>
      <c r="JBG367" s="153"/>
      <c r="JBH367" s="153"/>
      <c r="JBI367" s="153"/>
      <c r="JBJ367" s="153"/>
      <c r="JBK367" s="153"/>
      <c r="JBL367" s="153"/>
      <c r="JBM367" s="153"/>
      <c r="JBN367" s="153"/>
      <c r="JBO367" s="153"/>
      <c r="JBP367" s="153"/>
      <c r="JBQ367" s="153"/>
      <c r="JBR367" s="153"/>
      <c r="JBS367" s="640"/>
      <c r="JBT367" s="641"/>
      <c r="JBU367" s="638"/>
      <c r="JBV367" s="639"/>
      <c r="JBW367" s="153"/>
      <c r="JBX367" s="153"/>
      <c r="JBY367" s="153"/>
      <c r="JBZ367" s="153"/>
      <c r="JCA367" s="153"/>
      <c r="JCB367" s="153"/>
      <c r="JCC367" s="153"/>
      <c r="JCD367" s="153"/>
      <c r="JCE367" s="153"/>
      <c r="JCF367" s="153"/>
      <c r="JCG367" s="153"/>
      <c r="JCH367" s="153"/>
      <c r="JCI367" s="640"/>
      <c r="JCJ367" s="641"/>
      <c r="JCK367" s="638"/>
      <c r="JCL367" s="639"/>
      <c r="JCM367" s="153"/>
      <c r="JCN367" s="153"/>
      <c r="JCO367" s="153"/>
      <c r="JCP367" s="153"/>
      <c r="JCQ367" s="153"/>
      <c r="JCR367" s="153"/>
      <c r="JCS367" s="153"/>
      <c r="JCT367" s="153"/>
      <c r="JCU367" s="153"/>
      <c r="JCV367" s="153"/>
      <c r="JCW367" s="153"/>
      <c r="JCX367" s="153"/>
      <c r="JCY367" s="640"/>
      <c r="JCZ367" s="641"/>
      <c r="JDA367" s="638"/>
      <c r="JDB367" s="639"/>
      <c r="JDC367" s="153"/>
      <c r="JDD367" s="153"/>
      <c r="JDE367" s="153"/>
      <c r="JDF367" s="153"/>
      <c r="JDG367" s="153"/>
      <c r="JDH367" s="153"/>
      <c r="JDI367" s="153"/>
      <c r="JDJ367" s="153"/>
      <c r="JDK367" s="153"/>
      <c r="JDL367" s="153"/>
      <c r="JDM367" s="153"/>
      <c r="JDN367" s="153"/>
      <c r="JDO367" s="640"/>
      <c r="JDP367" s="641"/>
      <c r="JDQ367" s="638"/>
      <c r="JDR367" s="639"/>
      <c r="JDS367" s="153"/>
      <c r="JDT367" s="153"/>
      <c r="JDU367" s="153"/>
      <c r="JDV367" s="153"/>
      <c r="JDW367" s="153"/>
      <c r="JDX367" s="153"/>
      <c r="JDY367" s="153"/>
      <c r="JDZ367" s="153"/>
      <c r="JEA367" s="153"/>
      <c r="JEB367" s="153"/>
      <c r="JEC367" s="153"/>
      <c r="JED367" s="153"/>
      <c r="JEE367" s="640"/>
      <c r="JEF367" s="641"/>
      <c r="JEG367" s="638"/>
      <c r="JEH367" s="639"/>
      <c r="JEI367" s="153"/>
      <c r="JEJ367" s="153"/>
      <c r="JEK367" s="153"/>
      <c r="JEL367" s="153"/>
      <c r="JEM367" s="153"/>
      <c r="JEN367" s="153"/>
      <c r="JEO367" s="153"/>
      <c r="JEP367" s="153"/>
      <c r="JEQ367" s="153"/>
      <c r="JER367" s="153"/>
      <c r="JES367" s="153"/>
      <c r="JET367" s="153"/>
      <c r="JEU367" s="640"/>
      <c r="JEV367" s="641"/>
      <c r="JEW367" s="638"/>
      <c r="JEX367" s="639"/>
      <c r="JEY367" s="153"/>
      <c r="JEZ367" s="153"/>
      <c r="JFA367" s="153"/>
      <c r="JFB367" s="153"/>
      <c r="JFC367" s="153"/>
      <c r="JFD367" s="153"/>
      <c r="JFE367" s="153"/>
      <c r="JFF367" s="153"/>
      <c r="JFG367" s="153"/>
      <c r="JFH367" s="153"/>
      <c r="JFI367" s="153"/>
      <c r="JFJ367" s="153"/>
      <c r="JFK367" s="640"/>
      <c r="JFL367" s="641"/>
      <c r="JFM367" s="638"/>
      <c r="JFN367" s="639"/>
      <c r="JFO367" s="153"/>
      <c r="JFP367" s="153"/>
      <c r="JFQ367" s="153"/>
      <c r="JFR367" s="153"/>
      <c r="JFS367" s="153"/>
      <c r="JFT367" s="153"/>
      <c r="JFU367" s="153"/>
      <c r="JFV367" s="153"/>
      <c r="JFW367" s="153"/>
      <c r="JFX367" s="153"/>
      <c r="JFY367" s="153"/>
      <c r="JFZ367" s="153"/>
      <c r="JGA367" s="640"/>
      <c r="JGB367" s="641"/>
      <c r="JGC367" s="638"/>
      <c r="JGD367" s="639"/>
      <c r="JGE367" s="153"/>
      <c r="JGF367" s="153"/>
      <c r="JGG367" s="153"/>
      <c r="JGH367" s="153"/>
      <c r="JGI367" s="153"/>
      <c r="JGJ367" s="153"/>
      <c r="JGK367" s="153"/>
      <c r="JGL367" s="153"/>
      <c r="JGM367" s="153"/>
      <c r="JGN367" s="153"/>
      <c r="JGO367" s="153"/>
      <c r="JGP367" s="153"/>
      <c r="JGQ367" s="640"/>
      <c r="JGR367" s="641"/>
      <c r="JGS367" s="638"/>
      <c r="JGT367" s="639"/>
      <c r="JGU367" s="153"/>
      <c r="JGV367" s="153"/>
      <c r="JGW367" s="153"/>
      <c r="JGX367" s="153"/>
      <c r="JGY367" s="153"/>
      <c r="JGZ367" s="153"/>
      <c r="JHA367" s="153"/>
      <c r="JHB367" s="153"/>
      <c r="JHC367" s="153"/>
      <c r="JHD367" s="153"/>
      <c r="JHE367" s="153"/>
      <c r="JHF367" s="153"/>
      <c r="JHG367" s="640"/>
      <c r="JHH367" s="641"/>
      <c r="JHI367" s="638"/>
      <c r="JHJ367" s="639"/>
      <c r="JHK367" s="153"/>
      <c r="JHL367" s="153"/>
      <c r="JHM367" s="153"/>
      <c r="JHN367" s="153"/>
      <c r="JHO367" s="153"/>
      <c r="JHP367" s="153"/>
      <c r="JHQ367" s="153"/>
      <c r="JHR367" s="153"/>
      <c r="JHS367" s="153"/>
      <c r="JHT367" s="153"/>
      <c r="JHU367" s="153"/>
      <c r="JHV367" s="153"/>
      <c r="JHW367" s="640"/>
      <c r="JHX367" s="641"/>
      <c r="JHY367" s="638"/>
      <c r="JHZ367" s="639"/>
      <c r="JIA367" s="153"/>
      <c r="JIB367" s="153"/>
      <c r="JIC367" s="153"/>
      <c r="JID367" s="153"/>
      <c r="JIE367" s="153"/>
      <c r="JIF367" s="153"/>
      <c r="JIG367" s="153"/>
      <c r="JIH367" s="153"/>
      <c r="JII367" s="153"/>
      <c r="JIJ367" s="153"/>
      <c r="JIK367" s="153"/>
      <c r="JIL367" s="153"/>
      <c r="JIM367" s="640"/>
      <c r="JIN367" s="641"/>
      <c r="JIO367" s="638"/>
      <c r="JIP367" s="639"/>
      <c r="JIQ367" s="153"/>
      <c r="JIR367" s="153"/>
      <c r="JIS367" s="153"/>
      <c r="JIT367" s="153"/>
      <c r="JIU367" s="153"/>
      <c r="JIV367" s="153"/>
      <c r="JIW367" s="153"/>
      <c r="JIX367" s="153"/>
      <c r="JIY367" s="153"/>
      <c r="JIZ367" s="153"/>
      <c r="JJA367" s="153"/>
      <c r="JJB367" s="153"/>
      <c r="JJC367" s="640"/>
      <c r="JJD367" s="641"/>
      <c r="JJE367" s="638"/>
      <c r="JJF367" s="639"/>
      <c r="JJG367" s="153"/>
      <c r="JJH367" s="153"/>
      <c r="JJI367" s="153"/>
      <c r="JJJ367" s="153"/>
      <c r="JJK367" s="153"/>
      <c r="JJL367" s="153"/>
      <c r="JJM367" s="153"/>
      <c r="JJN367" s="153"/>
      <c r="JJO367" s="153"/>
      <c r="JJP367" s="153"/>
      <c r="JJQ367" s="153"/>
      <c r="JJR367" s="153"/>
      <c r="JJS367" s="640"/>
      <c r="JJT367" s="641"/>
      <c r="JJU367" s="638"/>
      <c r="JJV367" s="639"/>
      <c r="JJW367" s="153"/>
      <c r="JJX367" s="153"/>
      <c r="JJY367" s="153"/>
      <c r="JJZ367" s="153"/>
      <c r="JKA367" s="153"/>
      <c r="JKB367" s="153"/>
      <c r="JKC367" s="153"/>
      <c r="JKD367" s="153"/>
      <c r="JKE367" s="153"/>
      <c r="JKF367" s="153"/>
      <c r="JKG367" s="153"/>
      <c r="JKH367" s="153"/>
      <c r="JKI367" s="640"/>
      <c r="JKJ367" s="641"/>
      <c r="JKK367" s="638"/>
      <c r="JKL367" s="639"/>
      <c r="JKM367" s="153"/>
      <c r="JKN367" s="153"/>
      <c r="JKO367" s="153"/>
      <c r="JKP367" s="153"/>
      <c r="JKQ367" s="153"/>
      <c r="JKR367" s="153"/>
      <c r="JKS367" s="153"/>
      <c r="JKT367" s="153"/>
      <c r="JKU367" s="153"/>
      <c r="JKV367" s="153"/>
      <c r="JKW367" s="153"/>
      <c r="JKX367" s="153"/>
      <c r="JKY367" s="640"/>
      <c r="JKZ367" s="641"/>
      <c r="JLA367" s="638"/>
      <c r="JLB367" s="639"/>
      <c r="JLC367" s="153"/>
      <c r="JLD367" s="153"/>
      <c r="JLE367" s="153"/>
      <c r="JLF367" s="153"/>
      <c r="JLG367" s="153"/>
      <c r="JLH367" s="153"/>
      <c r="JLI367" s="153"/>
      <c r="JLJ367" s="153"/>
      <c r="JLK367" s="153"/>
      <c r="JLL367" s="153"/>
      <c r="JLM367" s="153"/>
      <c r="JLN367" s="153"/>
      <c r="JLO367" s="640"/>
      <c r="JLP367" s="641"/>
      <c r="JLQ367" s="638"/>
      <c r="JLR367" s="639"/>
      <c r="JLS367" s="153"/>
      <c r="JLT367" s="153"/>
      <c r="JLU367" s="153"/>
      <c r="JLV367" s="153"/>
      <c r="JLW367" s="153"/>
      <c r="JLX367" s="153"/>
      <c r="JLY367" s="153"/>
      <c r="JLZ367" s="153"/>
      <c r="JMA367" s="153"/>
      <c r="JMB367" s="153"/>
      <c r="JMC367" s="153"/>
      <c r="JMD367" s="153"/>
      <c r="JME367" s="640"/>
      <c r="JMF367" s="641"/>
      <c r="JMG367" s="638"/>
      <c r="JMH367" s="639"/>
      <c r="JMI367" s="153"/>
      <c r="JMJ367" s="153"/>
      <c r="JMK367" s="153"/>
      <c r="JML367" s="153"/>
      <c r="JMM367" s="153"/>
      <c r="JMN367" s="153"/>
      <c r="JMO367" s="153"/>
      <c r="JMP367" s="153"/>
      <c r="JMQ367" s="153"/>
      <c r="JMR367" s="153"/>
      <c r="JMS367" s="153"/>
      <c r="JMT367" s="153"/>
      <c r="JMU367" s="640"/>
      <c r="JMV367" s="641"/>
      <c r="JMW367" s="638"/>
      <c r="JMX367" s="639"/>
      <c r="JMY367" s="153"/>
      <c r="JMZ367" s="153"/>
      <c r="JNA367" s="153"/>
      <c r="JNB367" s="153"/>
      <c r="JNC367" s="153"/>
      <c r="JND367" s="153"/>
      <c r="JNE367" s="153"/>
      <c r="JNF367" s="153"/>
      <c r="JNG367" s="153"/>
      <c r="JNH367" s="153"/>
      <c r="JNI367" s="153"/>
      <c r="JNJ367" s="153"/>
      <c r="JNK367" s="640"/>
      <c r="JNL367" s="641"/>
      <c r="JNM367" s="638"/>
      <c r="JNN367" s="639"/>
      <c r="JNO367" s="153"/>
      <c r="JNP367" s="153"/>
      <c r="JNQ367" s="153"/>
      <c r="JNR367" s="153"/>
      <c r="JNS367" s="153"/>
      <c r="JNT367" s="153"/>
      <c r="JNU367" s="153"/>
      <c r="JNV367" s="153"/>
      <c r="JNW367" s="153"/>
      <c r="JNX367" s="153"/>
      <c r="JNY367" s="153"/>
      <c r="JNZ367" s="153"/>
      <c r="JOA367" s="640"/>
      <c r="JOB367" s="641"/>
      <c r="JOC367" s="638"/>
      <c r="JOD367" s="639"/>
      <c r="JOE367" s="153"/>
      <c r="JOF367" s="153"/>
      <c r="JOG367" s="153"/>
      <c r="JOH367" s="153"/>
      <c r="JOI367" s="153"/>
      <c r="JOJ367" s="153"/>
      <c r="JOK367" s="153"/>
      <c r="JOL367" s="153"/>
      <c r="JOM367" s="153"/>
      <c r="JON367" s="153"/>
      <c r="JOO367" s="153"/>
      <c r="JOP367" s="153"/>
      <c r="JOQ367" s="640"/>
      <c r="JOR367" s="641"/>
      <c r="JOS367" s="638"/>
      <c r="JOT367" s="639"/>
      <c r="JOU367" s="153"/>
      <c r="JOV367" s="153"/>
      <c r="JOW367" s="153"/>
      <c r="JOX367" s="153"/>
      <c r="JOY367" s="153"/>
      <c r="JOZ367" s="153"/>
      <c r="JPA367" s="153"/>
      <c r="JPB367" s="153"/>
      <c r="JPC367" s="153"/>
      <c r="JPD367" s="153"/>
      <c r="JPE367" s="153"/>
      <c r="JPF367" s="153"/>
      <c r="JPG367" s="640"/>
      <c r="JPH367" s="641"/>
      <c r="JPI367" s="638"/>
      <c r="JPJ367" s="639"/>
      <c r="JPK367" s="153"/>
      <c r="JPL367" s="153"/>
      <c r="JPM367" s="153"/>
      <c r="JPN367" s="153"/>
      <c r="JPO367" s="153"/>
      <c r="JPP367" s="153"/>
      <c r="JPQ367" s="153"/>
      <c r="JPR367" s="153"/>
      <c r="JPS367" s="153"/>
      <c r="JPT367" s="153"/>
      <c r="JPU367" s="153"/>
      <c r="JPV367" s="153"/>
      <c r="JPW367" s="640"/>
      <c r="JPX367" s="641"/>
      <c r="JPY367" s="638"/>
      <c r="JPZ367" s="639"/>
      <c r="JQA367" s="153"/>
      <c r="JQB367" s="153"/>
      <c r="JQC367" s="153"/>
      <c r="JQD367" s="153"/>
      <c r="JQE367" s="153"/>
      <c r="JQF367" s="153"/>
      <c r="JQG367" s="153"/>
      <c r="JQH367" s="153"/>
      <c r="JQI367" s="153"/>
      <c r="JQJ367" s="153"/>
      <c r="JQK367" s="153"/>
      <c r="JQL367" s="153"/>
      <c r="JQM367" s="640"/>
      <c r="JQN367" s="641"/>
      <c r="JQO367" s="638"/>
      <c r="JQP367" s="639"/>
      <c r="JQQ367" s="153"/>
      <c r="JQR367" s="153"/>
      <c r="JQS367" s="153"/>
      <c r="JQT367" s="153"/>
      <c r="JQU367" s="153"/>
      <c r="JQV367" s="153"/>
      <c r="JQW367" s="153"/>
      <c r="JQX367" s="153"/>
      <c r="JQY367" s="153"/>
      <c r="JQZ367" s="153"/>
      <c r="JRA367" s="153"/>
      <c r="JRB367" s="153"/>
      <c r="JRC367" s="640"/>
      <c r="JRD367" s="641"/>
      <c r="JRE367" s="638"/>
      <c r="JRF367" s="639"/>
      <c r="JRG367" s="153"/>
      <c r="JRH367" s="153"/>
      <c r="JRI367" s="153"/>
      <c r="JRJ367" s="153"/>
      <c r="JRK367" s="153"/>
      <c r="JRL367" s="153"/>
      <c r="JRM367" s="153"/>
      <c r="JRN367" s="153"/>
      <c r="JRO367" s="153"/>
      <c r="JRP367" s="153"/>
      <c r="JRQ367" s="153"/>
      <c r="JRR367" s="153"/>
      <c r="JRS367" s="640"/>
      <c r="JRT367" s="641"/>
      <c r="JRU367" s="638"/>
      <c r="JRV367" s="639"/>
      <c r="JRW367" s="153"/>
      <c r="JRX367" s="153"/>
      <c r="JRY367" s="153"/>
      <c r="JRZ367" s="153"/>
      <c r="JSA367" s="153"/>
      <c r="JSB367" s="153"/>
      <c r="JSC367" s="153"/>
      <c r="JSD367" s="153"/>
      <c r="JSE367" s="153"/>
      <c r="JSF367" s="153"/>
      <c r="JSG367" s="153"/>
      <c r="JSH367" s="153"/>
      <c r="JSI367" s="640"/>
      <c r="JSJ367" s="641"/>
      <c r="JSK367" s="638"/>
      <c r="JSL367" s="639"/>
      <c r="JSM367" s="153"/>
      <c r="JSN367" s="153"/>
      <c r="JSO367" s="153"/>
      <c r="JSP367" s="153"/>
      <c r="JSQ367" s="153"/>
      <c r="JSR367" s="153"/>
      <c r="JSS367" s="153"/>
      <c r="JST367" s="153"/>
      <c r="JSU367" s="153"/>
      <c r="JSV367" s="153"/>
      <c r="JSW367" s="153"/>
      <c r="JSX367" s="153"/>
      <c r="JSY367" s="640"/>
      <c r="JSZ367" s="641"/>
      <c r="JTA367" s="638"/>
      <c r="JTB367" s="639"/>
      <c r="JTC367" s="153"/>
      <c r="JTD367" s="153"/>
      <c r="JTE367" s="153"/>
      <c r="JTF367" s="153"/>
      <c r="JTG367" s="153"/>
      <c r="JTH367" s="153"/>
      <c r="JTI367" s="153"/>
      <c r="JTJ367" s="153"/>
      <c r="JTK367" s="153"/>
      <c r="JTL367" s="153"/>
      <c r="JTM367" s="153"/>
      <c r="JTN367" s="153"/>
      <c r="JTO367" s="640"/>
      <c r="JTP367" s="641"/>
      <c r="JTQ367" s="638"/>
      <c r="JTR367" s="639"/>
      <c r="JTS367" s="153"/>
      <c r="JTT367" s="153"/>
      <c r="JTU367" s="153"/>
      <c r="JTV367" s="153"/>
      <c r="JTW367" s="153"/>
      <c r="JTX367" s="153"/>
      <c r="JTY367" s="153"/>
      <c r="JTZ367" s="153"/>
      <c r="JUA367" s="153"/>
      <c r="JUB367" s="153"/>
      <c r="JUC367" s="153"/>
      <c r="JUD367" s="153"/>
      <c r="JUE367" s="640"/>
      <c r="JUF367" s="641"/>
      <c r="JUG367" s="638"/>
      <c r="JUH367" s="639"/>
      <c r="JUI367" s="153"/>
      <c r="JUJ367" s="153"/>
      <c r="JUK367" s="153"/>
      <c r="JUL367" s="153"/>
      <c r="JUM367" s="153"/>
      <c r="JUN367" s="153"/>
      <c r="JUO367" s="153"/>
      <c r="JUP367" s="153"/>
      <c r="JUQ367" s="153"/>
      <c r="JUR367" s="153"/>
      <c r="JUS367" s="153"/>
      <c r="JUT367" s="153"/>
      <c r="JUU367" s="640"/>
      <c r="JUV367" s="641"/>
      <c r="JUW367" s="638"/>
      <c r="JUX367" s="639"/>
      <c r="JUY367" s="153"/>
      <c r="JUZ367" s="153"/>
      <c r="JVA367" s="153"/>
      <c r="JVB367" s="153"/>
      <c r="JVC367" s="153"/>
      <c r="JVD367" s="153"/>
      <c r="JVE367" s="153"/>
      <c r="JVF367" s="153"/>
      <c r="JVG367" s="153"/>
      <c r="JVH367" s="153"/>
      <c r="JVI367" s="153"/>
      <c r="JVJ367" s="153"/>
      <c r="JVK367" s="640"/>
      <c r="JVL367" s="641"/>
      <c r="JVM367" s="638"/>
      <c r="JVN367" s="639"/>
      <c r="JVO367" s="153"/>
      <c r="JVP367" s="153"/>
      <c r="JVQ367" s="153"/>
      <c r="JVR367" s="153"/>
      <c r="JVS367" s="153"/>
      <c r="JVT367" s="153"/>
      <c r="JVU367" s="153"/>
      <c r="JVV367" s="153"/>
      <c r="JVW367" s="153"/>
      <c r="JVX367" s="153"/>
      <c r="JVY367" s="153"/>
      <c r="JVZ367" s="153"/>
      <c r="JWA367" s="640"/>
      <c r="JWB367" s="641"/>
      <c r="JWC367" s="638"/>
      <c r="JWD367" s="639"/>
      <c r="JWE367" s="153"/>
      <c r="JWF367" s="153"/>
      <c r="JWG367" s="153"/>
      <c r="JWH367" s="153"/>
      <c r="JWI367" s="153"/>
      <c r="JWJ367" s="153"/>
      <c r="JWK367" s="153"/>
      <c r="JWL367" s="153"/>
      <c r="JWM367" s="153"/>
      <c r="JWN367" s="153"/>
      <c r="JWO367" s="153"/>
      <c r="JWP367" s="153"/>
      <c r="JWQ367" s="640"/>
      <c r="JWR367" s="641"/>
      <c r="JWS367" s="638"/>
      <c r="JWT367" s="639"/>
      <c r="JWU367" s="153"/>
      <c r="JWV367" s="153"/>
      <c r="JWW367" s="153"/>
      <c r="JWX367" s="153"/>
      <c r="JWY367" s="153"/>
      <c r="JWZ367" s="153"/>
      <c r="JXA367" s="153"/>
      <c r="JXB367" s="153"/>
      <c r="JXC367" s="153"/>
      <c r="JXD367" s="153"/>
      <c r="JXE367" s="153"/>
      <c r="JXF367" s="153"/>
      <c r="JXG367" s="640"/>
      <c r="JXH367" s="641"/>
      <c r="JXI367" s="638"/>
      <c r="JXJ367" s="639"/>
      <c r="JXK367" s="153"/>
      <c r="JXL367" s="153"/>
      <c r="JXM367" s="153"/>
      <c r="JXN367" s="153"/>
      <c r="JXO367" s="153"/>
      <c r="JXP367" s="153"/>
      <c r="JXQ367" s="153"/>
      <c r="JXR367" s="153"/>
      <c r="JXS367" s="153"/>
      <c r="JXT367" s="153"/>
      <c r="JXU367" s="153"/>
      <c r="JXV367" s="153"/>
      <c r="JXW367" s="640"/>
      <c r="JXX367" s="641"/>
      <c r="JXY367" s="638"/>
      <c r="JXZ367" s="639"/>
      <c r="JYA367" s="153"/>
      <c r="JYB367" s="153"/>
      <c r="JYC367" s="153"/>
      <c r="JYD367" s="153"/>
      <c r="JYE367" s="153"/>
      <c r="JYF367" s="153"/>
      <c r="JYG367" s="153"/>
      <c r="JYH367" s="153"/>
      <c r="JYI367" s="153"/>
      <c r="JYJ367" s="153"/>
      <c r="JYK367" s="153"/>
      <c r="JYL367" s="153"/>
      <c r="JYM367" s="640"/>
      <c r="JYN367" s="641"/>
      <c r="JYO367" s="638"/>
      <c r="JYP367" s="639"/>
      <c r="JYQ367" s="153"/>
      <c r="JYR367" s="153"/>
      <c r="JYS367" s="153"/>
      <c r="JYT367" s="153"/>
      <c r="JYU367" s="153"/>
      <c r="JYV367" s="153"/>
      <c r="JYW367" s="153"/>
      <c r="JYX367" s="153"/>
      <c r="JYY367" s="153"/>
      <c r="JYZ367" s="153"/>
      <c r="JZA367" s="153"/>
      <c r="JZB367" s="153"/>
      <c r="JZC367" s="640"/>
      <c r="JZD367" s="641"/>
      <c r="JZE367" s="638"/>
      <c r="JZF367" s="639"/>
      <c r="JZG367" s="153"/>
      <c r="JZH367" s="153"/>
      <c r="JZI367" s="153"/>
      <c r="JZJ367" s="153"/>
      <c r="JZK367" s="153"/>
      <c r="JZL367" s="153"/>
      <c r="JZM367" s="153"/>
      <c r="JZN367" s="153"/>
      <c r="JZO367" s="153"/>
      <c r="JZP367" s="153"/>
      <c r="JZQ367" s="153"/>
      <c r="JZR367" s="153"/>
      <c r="JZS367" s="640"/>
      <c r="JZT367" s="641"/>
      <c r="JZU367" s="638"/>
      <c r="JZV367" s="639"/>
      <c r="JZW367" s="153"/>
      <c r="JZX367" s="153"/>
      <c r="JZY367" s="153"/>
      <c r="JZZ367" s="153"/>
      <c r="KAA367" s="153"/>
      <c r="KAB367" s="153"/>
      <c r="KAC367" s="153"/>
      <c r="KAD367" s="153"/>
      <c r="KAE367" s="153"/>
      <c r="KAF367" s="153"/>
      <c r="KAG367" s="153"/>
      <c r="KAH367" s="153"/>
      <c r="KAI367" s="640"/>
      <c r="KAJ367" s="641"/>
      <c r="KAK367" s="638"/>
      <c r="KAL367" s="639"/>
      <c r="KAM367" s="153"/>
      <c r="KAN367" s="153"/>
      <c r="KAO367" s="153"/>
      <c r="KAP367" s="153"/>
      <c r="KAQ367" s="153"/>
      <c r="KAR367" s="153"/>
      <c r="KAS367" s="153"/>
      <c r="KAT367" s="153"/>
      <c r="KAU367" s="153"/>
      <c r="KAV367" s="153"/>
      <c r="KAW367" s="153"/>
      <c r="KAX367" s="153"/>
      <c r="KAY367" s="640"/>
      <c r="KAZ367" s="641"/>
      <c r="KBA367" s="638"/>
      <c r="KBB367" s="639"/>
      <c r="KBC367" s="153"/>
      <c r="KBD367" s="153"/>
      <c r="KBE367" s="153"/>
      <c r="KBF367" s="153"/>
      <c r="KBG367" s="153"/>
      <c r="KBH367" s="153"/>
      <c r="KBI367" s="153"/>
      <c r="KBJ367" s="153"/>
      <c r="KBK367" s="153"/>
      <c r="KBL367" s="153"/>
      <c r="KBM367" s="153"/>
      <c r="KBN367" s="153"/>
      <c r="KBO367" s="640"/>
      <c r="KBP367" s="641"/>
      <c r="KBQ367" s="638"/>
      <c r="KBR367" s="639"/>
      <c r="KBS367" s="153"/>
      <c r="KBT367" s="153"/>
      <c r="KBU367" s="153"/>
      <c r="KBV367" s="153"/>
      <c r="KBW367" s="153"/>
      <c r="KBX367" s="153"/>
      <c r="KBY367" s="153"/>
      <c r="KBZ367" s="153"/>
      <c r="KCA367" s="153"/>
      <c r="KCB367" s="153"/>
      <c r="KCC367" s="153"/>
      <c r="KCD367" s="153"/>
      <c r="KCE367" s="640"/>
      <c r="KCF367" s="641"/>
      <c r="KCG367" s="638"/>
      <c r="KCH367" s="639"/>
      <c r="KCI367" s="153"/>
      <c r="KCJ367" s="153"/>
      <c r="KCK367" s="153"/>
      <c r="KCL367" s="153"/>
      <c r="KCM367" s="153"/>
      <c r="KCN367" s="153"/>
      <c r="KCO367" s="153"/>
      <c r="KCP367" s="153"/>
      <c r="KCQ367" s="153"/>
      <c r="KCR367" s="153"/>
      <c r="KCS367" s="153"/>
      <c r="KCT367" s="153"/>
      <c r="KCU367" s="640"/>
      <c r="KCV367" s="641"/>
      <c r="KCW367" s="638"/>
      <c r="KCX367" s="639"/>
      <c r="KCY367" s="153"/>
      <c r="KCZ367" s="153"/>
      <c r="KDA367" s="153"/>
      <c r="KDB367" s="153"/>
      <c r="KDC367" s="153"/>
      <c r="KDD367" s="153"/>
      <c r="KDE367" s="153"/>
      <c r="KDF367" s="153"/>
      <c r="KDG367" s="153"/>
      <c r="KDH367" s="153"/>
      <c r="KDI367" s="153"/>
      <c r="KDJ367" s="153"/>
      <c r="KDK367" s="640"/>
      <c r="KDL367" s="641"/>
      <c r="KDM367" s="638"/>
      <c r="KDN367" s="639"/>
      <c r="KDO367" s="153"/>
      <c r="KDP367" s="153"/>
      <c r="KDQ367" s="153"/>
      <c r="KDR367" s="153"/>
      <c r="KDS367" s="153"/>
      <c r="KDT367" s="153"/>
      <c r="KDU367" s="153"/>
      <c r="KDV367" s="153"/>
      <c r="KDW367" s="153"/>
      <c r="KDX367" s="153"/>
      <c r="KDY367" s="153"/>
      <c r="KDZ367" s="153"/>
      <c r="KEA367" s="640"/>
      <c r="KEB367" s="641"/>
      <c r="KEC367" s="638"/>
      <c r="KED367" s="639"/>
      <c r="KEE367" s="153"/>
      <c r="KEF367" s="153"/>
      <c r="KEG367" s="153"/>
      <c r="KEH367" s="153"/>
      <c r="KEI367" s="153"/>
      <c r="KEJ367" s="153"/>
      <c r="KEK367" s="153"/>
      <c r="KEL367" s="153"/>
      <c r="KEM367" s="153"/>
      <c r="KEN367" s="153"/>
      <c r="KEO367" s="153"/>
      <c r="KEP367" s="153"/>
      <c r="KEQ367" s="640"/>
      <c r="KER367" s="641"/>
      <c r="KES367" s="638"/>
      <c r="KET367" s="639"/>
      <c r="KEU367" s="153"/>
      <c r="KEV367" s="153"/>
      <c r="KEW367" s="153"/>
      <c r="KEX367" s="153"/>
      <c r="KEY367" s="153"/>
      <c r="KEZ367" s="153"/>
      <c r="KFA367" s="153"/>
      <c r="KFB367" s="153"/>
      <c r="KFC367" s="153"/>
      <c r="KFD367" s="153"/>
      <c r="KFE367" s="153"/>
      <c r="KFF367" s="153"/>
      <c r="KFG367" s="640"/>
      <c r="KFH367" s="641"/>
      <c r="KFI367" s="638"/>
      <c r="KFJ367" s="639"/>
      <c r="KFK367" s="153"/>
      <c r="KFL367" s="153"/>
      <c r="KFM367" s="153"/>
      <c r="KFN367" s="153"/>
      <c r="KFO367" s="153"/>
      <c r="KFP367" s="153"/>
      <c r="KFQ367" s="153"/>
      <c r="KFR367" s="153"/>
      <c r="KFS367" s="153"/>
      <c r="KFT367" s="153"/>
      <c r="KFU367" s="153"/>
      <c r="KFV367" s="153"/>
      <c r="KFW367" s="640"/>
      <c r="KFX367" s="641"/>
      <c r="KFY367" s="638"/>
      <c r="KFZ367" s="639"/>
      <c r="KGA367" s="153"/>
      <c r="KGB367" s="153"/>
      <c r="KGC367" s="153"/>
      <c r="KGD367" s="153"/>
      <c r="KGE367" s="153"/>
      <c r="KGF367" s="153"/>
      <c r="KGG367" s="153"/>
      <c r="KGH367" s="153"/>
      <c r="KGI367" s="153"/>
      <c r="KGJ367" s="153"/>
      <c r="KGK367" s="153"/>
      <c r="KGL367" s="153"/>
      <c r="KGM367" s="640"/>
      <c r="KGN367" s="641"/>
      <c r="KGO367" s="638"/>
      <c r="KGP367" s="639"/>
      <c r="KGQ367" s="153"/>
      <c r="KGR367" s="153"/>
      <c r="KGS367" s="153"/>
      <c r="KGT367" s="153"/>
      <c r="KGU367" s="153"/>
      <c r="KGV367" s="153"/>
      <c r="KGW367" s="153"/>
      <c r="KGX367" s="153"/>
      <c r="KGY367" s="153"/>
      <c r="KGZ367" s="153"/>
      <c r="KHA367" s="153"/>
      <c r="KHB367" s="153"/>
      <c r="KHC367" s="640"/>
      <c r="KHD367" s="641"/>
      <c r="KHE367" s="638"/>
      <c r="KHF367" s="639"/>
      <c r="KHG367" s="153"/>
      <c r="KHH367" s="153"/>
      <c r="KHI367" s="153"/>
      <c r="KHJ367" s="153"/>
      <c r="KHK367" s="153"/>
      <c r="KHL367" s="153"/>
      <c r="KHM367" s="153"/>
      <c r="KHN367" s="153"/>
      <c r="KHO367" s="153"/>
      <c r="KHP367" s="153"/>
      <c r="KHQ367" s="153"/>
      <c r="KHR367" s="153"/>
      <c r="KHS367" s="640"/>
      <c r="KHT367" s="641"/>
      <c r="KHU367" s="638"/>
      <c r="KHV367" s="639"/>
      <c r="KHW367" s="153"/>
      <c r="KHX367" s="153"/>
      <c r="KHY367" s="153"/>
      <c r="KHZ367" s="153"/>
      <c r="KIA367" s="153"/>
      <c r="KIB367" s="153"/>
      <c r="KIC367" s="153"/>
      <c r="KID367" s="153"/>
      <c r="KIE367" s="153"/>
      <c r="KIF367" s="153"/>
      <c r="KIG367" s="153"/>
      <c r="KIH367" s="153"/>
      <c r="KII367" s="640"/>
      <c r="KIJ367" s="641"/>
      <c r="KIK367" s="638"/>
      <c r="KIL367" s="639"/>
      <c r="KIM367" s="153"/>
      <c r="KIN367" s="153"/>
      <c r="KIO367" s="153"/>
      <c r="KIP367" s="153"/>
      <c r="KIQ367" s="153"/>
      <c r="KIR367" s="153"/>
      <c r="KIS367" s="153"/>
      <c r="KIT367" s="153"/>
      <c r="KIU367" s="153"/>
      <c r="KIV367" s="153"/>
      <c r="KIW367" s="153"/>
      <c r="KIX367" s="153"/>
      <c r="KIY367" s="640"/>
      <c r="KIZ367" s="641"/>
      <c r="KJA367" s="638"/>
      <c r="KJB367" s="639"/>
      <c r="KJC367" s="153"/>
      <c r="KJD367" s="153"/>
      <c r="KJE367" s="153"/>
      <c r="KJF367" s="153"/>
      <c r="KJG367" s="153"/>
      <c r="KJH367" s="153"/>
      <c r="KJI367" s="153"/>
      <c r="KJJ367" s="153"/>
      <c r="KJK367" s="153"/>
      <c r="KJL367" s="153"/>
      <c r="KJM367" s="153"/>
      <c r="KJN367" s="153"/>
      <c r="KJO367" s="640"/>
      <c r="KJP367" s="641"/>
      <c r="KJQ367" s="638"/>
      <c r="KJR367" s="639"/>
      <c r="KJS367" s="153"/>
      <c r="KJT367" s="153"/>
      <c r="KJU367" s="153"/>
      <c r="KJV367" s="153"/>
      <c r="KJW367" s="153"/>
      <c r="KJX367" s="153"/>
      <c r="KJY367" s="153"/>
      <c r="KJZ367" s="153"/>
      <c r="KKA367" s="153"/>
      <c r="KKB367" s="153"/>
      <c r="KKC367" s="153"/>
      <c r="KKD367" s="153"/>
      <c r="KKE367" s="640"/>
      <c r="KKF367" s="641"/>
      <c r="KKG367" s="638"/>
      <c r="KKH367" s="639"/>
      <c r="KKI367" s="153"/>
      <c r="KKJ367" s="153"/>
      <c r="KKK367" s="153"/>
      <c r="KKL367" s="153"/>
      <c r="KKM367" s="153"/>
      <c r="KKN367" s="153"/>
      <c r="KKO367" s="153"/>
      <c r="KKP367" s="153"/>
      <c r="KKQ367" s="153"/>
      <c r="KKR367" s="153"/>
      <c r="KKS367" s="153"/>
      <c r="KKT367" s="153"/>
      <c r="KKU367" s="640"/>
      <c r="KKV367" s="641"/>
      <c r="KKW367" s="638"/>
      <c r="KKX367" s="639"/>
      <c r="KKY367" s="153"/>
      <c r="KKZ367" s="153"/>
      <c r="KLA367" s="153"/>
      <c r="KLB367" s="153"/>
      <c r="KLC367" s="153"/>
      <c r="KLD367" s="153"/>
      <c r="KLE367" s="153"/>
      <c r="KLF367" s="153"/>
      <c r="KLG367" s="153"/>
      <c r="KLH367" s="153"/>
      <c r="KLI367" s="153"/>
      <c r="KLJ367" s="153"/>
      <c r="KLK367" s="640"/>
      <c r="KLL367" s="641"/>
      <c r="KLM367" s="638"/>
      <c r="KLN367" s="639"/>
      <c r="KLO367" s="153"/>
      <c r="KLP367" s="153"/>
      <c r="KLQ367" s="153"/>
      <c r="KLR367" s="153"/>
      <c r="KLS367" s="153"/>
      <c r="KLT367" s="153"/>
      <c r="KLU367" s="153"/>
      <c r="KLV367" s="153"/>
      <c r="KLW367" s="153"/>
      <c r="KLX367" s="153"/>
      <c r="KLY367" s="153"/>
      <c r="KLZ367" s="153"/>
      <c r="KMA367" s="640"/>
      <c r="KMB367" s="641"/>
      <c r="KMC367" s="638"/>
      <c r="KMD367" s="639"/>
      <c r="KME367" s="153"/>
      <c r="KMF367" s="153"/>
      <c r="KMG367" s="153"/>
      <c r="KMH367" s="153"/>
      <c r="KMI367" s="153"/>
      <c r="KMJ367" s="153"/>
      <c r="KMK367" s="153"/>
      <c r="KML367" s="153"/>
      <c r="KMM367" s="153"/>
      <c r="KMN367" s="153"/>
      <c r="KMO367" s="153"/>
      <c r="KMP367" s="153"/>
      <c r="KMQ367" s="640"/>
      <c r="KMR367" s="641"/>
      <c r="KMS367" s="638"/>
      <c r="KMT367" s="639"/>
      <c r="KMU367" s="153"/>
      <c r="KMV367" s="153"/>
      <c r="KMW367" s="153"/>
      <c r="KMX367" s="153"/>
      <c r="KMY367" s="153"/>
      <c r="KMZ367" s="153"/>
      <c r="KNA367" s="153"/>
      <c r="KNB367" s="153"/>
      <c r="KNC367" s="153"/>
      <c r="KND367" s="153"/>
      <c r="KNE367" s="153"/>
      <c r="KNF367" s="153"/>
      <c r="KNG367" s="640"/>
      <c r="KNH367" s="641"/>
      <c r="KNI367" s="638"/>
      <c r="KNJ367" s="639"/>
      <c r="KNK367" s="153"/>
      <c r="KNL367" s="153"/>
      <c r="KNM367" s="153"/>
      <c r="KNN367" s="153"/>
      <c r="KNO367" s="153"/>
      <c r="KNP367" s="153"/>
      <c r="KNQ367" s="153"/>
      <c r="KNR367" s="153"/>
      <c r="KNS367" s="153"/>
      <c r="KNT367" s="153"/>
      <c r="KNU367" s="153"/>
      <c r="KNV367" s="153"/>
      <c r="KNW367" s="640"/>
      <c r="KNX367" s="641"/>
      <c r="KNY367" s="638"/>
      <c r="KNZ367" s="639"/>
      <c r="KOA367" s="153"/>
      <c r="KOB367" s="153"/>
      <c r="KOC367" s="153"/>
      <c r="KOD367" s="153"/>
      <c r="KOE367" s="153"/>
      <c r="KOF367" s="153"/>
      <c r="KOG367" s="153"/>
      <c r="KOH367" s="153"/>
      <c r="KOI367" s="153"/>
      <c r="KOJ367" s="153"/>
      <c r="KOK367" s="153"/>
      <c r="KOL367" s="153"/>
      <c r="KOM367" s="640"/>
      <c r="KON367" s="641"/>
      <c r="KOO367" s="638"/>
      <c r="KOP367" s="639"/>
      <c r="KOQ367" s="153"/>
      <c r="KOR367" s="153"/>
      <c r="KOS367" s="153"/>
      <c r="KOT367" s="153"/>
      <c r="KOU367" s="153"/>
      <c r="KOV367" s="153"/>
      <c r="KOW367" s="153"/>
      <c r="KOX367" s="153"/>
      <c r="KOY367" s="153"/>
      <c r="KOZ367" s="153"/>
      <c r="KPA367" s="153"/>
      <c r="KPB367" s="153"/>
      <c r="KPC367" s="640"/>
      <c r="KPD367" s="641"/>
      <c r="KPE367" s="638"/>
      <c r="KPF367" s="639"/>
      <c r="KPG367" s="153"/>
      <c r="KPH367" s="153"/>
      <c r="KPI367" s="153"/>
      <c r="KPJ367" s="153"/>
      <c r="KPK367" s="153"/>
      <c r="KPL367" s="153"/>
      <c r="KPM367" s="153"/>
      <c r="KPN367" s="153"/>
      <c r="KPO367" s="153"/>
      <c r="KPP367" s="153"/>
      <c r="KPQ367" s="153"/>
      <c r="KPR367" s="153"/>
      <c r="KPS367" s="640"/>
      <c r="KPT367" s="641"/>
      <c r="KPU367" s="638"/>
      <c r="KPV367" s="639"/>
      <c r="KPW367" s="153"/>
      <c r="KPX367" s="153"/>
      <c r="KPY367" s="153"/>
      <c r="KPZ367" s="153"/>
      <c r="KQA367" s="153"/>
      <c r="KQB367" s="153"/>
      <c r="KQC367" s="153"/>
      <c r="KQD367" s="153"/>
      <c r="KQE367" s="153"/>
      <c r="KQF367" s="153"/>
      <c r="KQG367" s="153"/>
      <c r="KQH367" s="153"/>
      <c r="KQI367" s="640"/>
      <c r="KQJ367" s="641"/>
      <c r="KQK367" s="638"/>
      <c r="KQL367" s="639"/>
      <c r="KQM367" s="153"/>
      <c r="KQN367" s="153"/>
      <c r="KQO367" s="153"/>
      <c r="KQP367" s="153"/>
      <c r="KQQ367" s="153"/>
      <c r="KQR367" s="153"/>
      <c r="KQS367" s="153"/>
      <c r="KQT367" s="153"/>
      <c r="KQU367" s="153"/>
      <c r="KQV367" s="153"/>
      <c r="KQW367" s="153"/>
      <c r="KQX367" s="153"/>
      <c r="KQY367" s="640"/>
      <c r="KQZ367" s="641"/>
      <c r="KRA367" s="638"/>
      <c r="KRB367" s="639"/>
      <c r="KRC367" s="153"/>
      <c r="KRD367" s="153"/>
      <c r="KRE367" s="153"/>
      <c r="KRF367" s="153"/>
      <c r="KRG367" s="153"/>
      <c r="KRH367" s="153"/>
      <c r="KRI367" s="153"/>
      <c r="KRJ367" s="153"/>
      <c r="KRK367" s="153"/>
      <c r="KRL367" s="153"/>
      <c r="KRM367" s="153"/>
      <c r="KRN367" s="153"/>
      <c r="KRO367" s="640"/>
      <c r="KRP367" s="641"/>
      <c r="KRQ367" s="638"/>
      <c r="KRR367" s="639"/>
      <c r="KRS367" s="153"/>
      <c r="KRT367" s="153"/>
      <c r="KRU367" s="153"/>
      <c r="KRV367" s="153"/>
      <c r="KRW367" s="153"/>
      <c r="KRX367" s="153"/>
      <c r="KRY367" s="153"/>
      <c r="KRZ367" s="153"/>
      <c r="KSA367" s="153"/>
      <c r="KSB367" s="153"/>
      <c r="KSC367" s="153"/>
      <c r="KSD367" s="153"/>
      <c r="KSE367" s="640"/>
      <c r="KSF367" s="641"/>
      <c r="KSG367" s="638"/>
      <c r="KSH367" s="639"/>
      <c r="KSI367" s="153"/>
      <c r="KSJ367" s="153"/>
      <c r="KSK367" s="153"/>
      <c r="KSL367" s="153"/>
      <c r="KSM367" s="153"/>
      <c r="KSN367" s="153"/>
      <c r="KSO367" s="153"/>
      <c r="KSP367" s="153"/>
      <c r="KSQ367" s="153"/>
      <c r="KSR367" s="153"/>
      <c r="KSS367" s="153"/>
      <c r="KST367" s="153"/>
      <c r="KSU367" s="640"/>
      <c r="KSV367" s="641"/>
      <c r="KSW367" s="638"/>
      <c r="KSX367" s="639"/>
      <c r="KSY367" s="153"/>
      <c r="KSZ367" s="153"/>
      <c r="KTA367" s="153"/>
      <c r="KTB367" s="153"/>
      <c r="KTC367" s="153"/>
      <c r="KTD367" s="153"/>
      <c r="KTE367" s="153"/>
      <c r="KTF367" s="153"/>
      <c r="KTG367" s="153"/>
      <c r="KTH367" s="153"/>
      <c r="KTI367" s="153"/>
      <c r="KTJ367" s="153"/>
      <c r="KTK367" s="640"/>
      <c r="KTL367" s="641"/>
      <c r="KTM367" s="638"/>
      <c r="KTN367" s="639"/>
      <c r="KTO367" s="153"/>
      <c r="KTP367" s="153"/>
      <c r="KTQ367" s="153"/>
      <c r="KTR367" s="153"/>
      <c r="KTS367" s="153"/>
      <c r="KTT367" s="153"/>
      <c r="KTU367" s="153"/>
      <c r="KTV367" s="153"/>
      <c r="KTW367" s="153"/>
      <c r="KTX367" s="153"/>
      <c r="KTY367" s="153"/>
      <c r="KTZ367" s="153"/>
      <c r="KUA367" s="640"/>
      <c r="KUB367" s="641"/>
      <c r="KUC367" s="638"/>
      <c r="KUD367" s="639"/>
      <c r="KUE367" s="153"/>
      <c r="KUF367" s="153"/>
      <c r="KUG367" s="153"/>
      <c r="KUH367" s="153"/>
      <c r="KUI367" s="153"/>
      <c r="KUJ367" s="153"/>
      <c r="KUK367" s="153"/>
      <c r="KUL367" s="153"/>
      <c r="KUM367" s="153"/>
      <c r="KUN367" s="153"/>
      <c r="KUO367" s="153"/>
      <c r="KUP367" s="153"/>
      <c r="KUQ367" s="640"/>
      <c r="KUR367" s="641"/>
      <c r="KUS367" s="638"/>
      <c r="KUT367" s="639"/>
      <c r="KUU367" s="153"/>
      <c r="KUV367" s="153"/>
      <c r="KUW367" s="153"/>
      <c r="KUX367" s="153"/>
      <c r="KUY367" s="153"/>
      <c r="KUZ367" s="153"/>
      <c r="KVA367" s="153"/>
      <c r="KVB367" s="153"/>
      <c r="KVC367" s="153"/>
      <c r="KVD367" s="153"/>
      <c r="KVE367" s="153"/>
      <c r="KVF367" s="153"/>
      <c r="KVG367" s="640"/>
      <c r="KVH367" s="641"/>
      <c r="KVI367" s="638"/>
      <c r="KVJ367" s="639"/>
      <c r="KVK367" s="153"/>
      <c r="KVL367" s="153"/>
      <c r="KVM367" s="153"/>
      <c r="KVN367" s="153"/>
      <c r="KVO367" s="153"/>
      <c r="KVP367" s="153"/>
      <c r="KVQ367" s="153"/>
      <c r="KVR367" s="153"/>
      <c r="KVS367" s="153"/>
      <c r="KVT367" s="153"/>
      <c r="KVU367" s="153"/>
      <c r="KVV367" s="153"/>
      <c r="KVW367" s="640"/>
      <c r="KVX367" s="641"/>
      <c r="KVY367" s="638"/>
      <c r="KVZ367" s="639"/>
      <c r="KWA367" s="153"/>
      <c r="KWB367" s="153"/>
      <c r="KWC367" s="153"/>
      <c r="KWD367" s="153"/>
      <c r="KWE367" s="153"/>
      <c r="KWF367" s="153"/>
      <c r="KWG367" s="153"/>
      <c r="KWH367" s="153"/>
      <c r="KWI367" s="153"/>
      <c r="KWJ367" s="153"/>
      <c r="KWK367" s="153"/>
      <c r="KWL367" s="153"/>
      <c r="KWM367" s="640"/>
      <c r="KWN367" s="641"/>
      <c r="KWO367" s="638"/>
      <c r="KWP367" s="639"/>
      <c r="KWQ367" s="153"/>
      <c r="KWR367" s="153"/>
      <c r="KWS367" s="153"/>
      <c r="KWT367" s="153"/>
      <c r="KWU367" s="153"/>
      <c r="KWV367" s="153"/>
      <c r="KWW367" s="153"/>
      <c r="KWX367" s="153"/>
      <c r="KWY367" s="153"/>
      <c r="KWZ367" s="153"/>
      <c r="KXA367" s="153"/>
      <c r="KXB367" s="153"/>
      <c r="KXC367" s="640"/>
      <c r="KXD367" s="641"/>
      <c r="KXE367" s="638"/>
      <c r="KXF367" s="639"/>
      <c r="KXG367" s="153"/>
      <c r="KXH367" s="153"/>
      <c r="KXI367" s="153"/>
      <c r="KXJ367" s="153"/>
      <c r="KXK367" s="153"/>
      <c r="KXL367" s="153"/>
      <c r="KXM367" s="153"/>
      <c r="KXN367" s="153"/>
      <c r="KXO367" s="153"/>
      <c r="KXP367" s="153"/>
      <c r="KXQ367" s="153"/>
      <c r="KXR367" s="153"/>
      <c r="KXS367" s="640"/>
      <c r="KXT367" s="641"/>
      <c r="KXU367" s="638"/>
      <c r="KXV367" s="639"/>
      <c r="KXW367" s="153"/>
      <c r="KXX367" s="153"/>
      <c r="KXY367" s="153"/>
      <c r="KXZ367" s="153"/>
      <c r="KYA367" s="153"/>
      <c r="KYB367" s="153"/>
      <c r="KYC367" s="153"/>
      <c r="KYD367" s="153"/>
      <c r="KYE367" s="153"/>
      <c r="KYF367" s="153"/>
      <c r="KYG367" s="153"/>
      <c r="KYH367" s="153"/>
      <c r="KYI367" s="640"/>
      <c r="KYJ367" s="641"/>
      <c r="KYK367" s="638"/>
      <c r="KYL367" s="639"/>
      <c r="KYM367" s="153"/>
      <c r="KYN367" s="153"/>
      <c r="KYO367" s="153"/>
      <c r="KYP367" s="153"/>
      <c r="KYQ367" s="153"/>
      <c r="KYR367" s="153"/>
      <c r="KYS367" s="153"/>
      <c r="KYT367" s="153"/>
      <c r="KYU367" s="153"/>
      <c r="KYV367" s="153"/>
      <c r="KYW367" s="153"/>
      <c r="KYX367" s="153"/>
      <c r="KYY367" s="640"/>
      <c r="KYZ367" s="641"/>
      <c r="KZA367" s="638"/>
      <c r="KZB367" s="639"/>
      <c r="KZC367" s="153"/>
      <c r="KZD367" s="153"/>
      <c r="KZE367" s="153"/>
      <c r="KZF367" s="153"/>
      <c r="KZG367" s="153"/>
      <c r="KZH367" s="153"/>
      <c r="KZI367" s="153"/>
      <c r="KZJ367" s="153"/>
      <c r="KZK367" s="153"/>
      <c r="KZL367" s="153"/>
      <c r="KZM367" s="153"/>
      <c r="KZN367" s="153"/>
      <c r="KZO367" s="640"/>
      <c r="KZP367" s="641"/>
      <c r="KZQ367" s="638"/>
      <c r="KZR367" s="639"/>
      <c r="KZS367" s="153"/>
      <c r="KZT367" s="153"/>
      <c r="KZU367" s="153"/>
      <c r="KZV367" s="153"/>
      <c r="KZW367" s="153"/>
      <c r="KZX367" s="153"/>
      <c r="KZY367" s="153"/>
      <c r="KZZ367" s="153"/>
      <c r="LAA367" s="153"/>
      <c r="LAB367" s="153"/>
      <c r="LAC367" s="153"/>
      <c r="LAD367" s="153"/>
      <c r="LAE367" s="640"/>
      <c r="LAF367" s="641"/>
      <c r="LAG367" s="638"/>
      <c r="LAH367" s="639"/>
      <c r="LAI367" s="153"/>
      <c r="LAJ367" s="153"/>
      <c r="LAK367" s="153"/>
      <c r="LAL367" s="153"/>
      <c r="LAM367" s="153"/>
      <c r="LAN367" s="153"/>
      <c r="LAO367" s="153"/>
      <c r="LAP367" s="153"/>
      <c r="LAQ367" s="153"/>
      <c r="LAR367" s="153"/>
      <c r="LAS367" s="153"/>
      <c r="LAT367" s="153"/>
      <c r="LAU367" s="640"/>
      <c r="LAV367" s="641"/>
      <c r="LAW367" s="638"/>
      <c r="LAX367" s="639"/>
      <c r="LAY367" s="153"/>
      <c r="LAZ367" s="153"/>
      <c r="LBA367" s="153"/>
      <c r="LBB367" s="153"/>
      <c r="LBC367" s="153"/>
      <c r="LBD367" s="153"/>
      <c r="LBE367" s="153"/>
      <c r="LBF367" s="153"/>
      <c r="LBG367" s="153"/>
      <c r="LBH367" s="153"/>
      <c r="LBI367" s="153"/>
      <c r="LBJ367" s="153"/>
      <c r="LBK367" s="640"/>
      <c r="LBL367" s="641"/>
      <c r="LBM367" s="638"/>
      <c r="LBN367" s="639"/>
      <c r="LBO367" s="153"/>
      <c r="LBP367" s="153"/>
      <c r="LBQ367" s="153"/>
      <c r="LBR367" s="153"/>
      <c r="LBS367" s="153"/>
      <c r="LBT367" s="153"/>
      <c r="LBU367" s="153"/>
      <c r="LBV367" s="153"/>
      <c r="LBW367" s="153"/>
      <c r="LBX367" s="153"/>
      <c r="LBY367" s="153"/>
      <c r="LBZ367" s="153"/>
      <c r="LCA367" s="640"/>
      <c r="LCB367" s="641"/>
      <c r="LCC367" s="638"/>
      <c r="LCD367" s="639"/>
      <c r="LCE367" s="153"/>
      <c r="LCF367" s="153"/>
      <c r="LCG367" s="153"/>
      <c r="LCH367" s="153"/>
      <c r="LCI367" s="153"/>
      <c r="LCJ367" s="153"/>
      <c r="LCK367" s="153"/>
      <c r="LCL367" s="153"/>
      <c r="LCM367" s="153"/>
      <c r="LCN367" s="153"/>
      <c r="LCO367" s="153"/>
      <c r="LCP367" s="153"/>
      <c r="LCQ367" s="640"/>
      <c r="LCR367" s="641"/>
      <c r="LCS367" s="638"/>
      <c r="LCT367" s="639"/>
      <c r="LCU367" s="153"/>
      <c r="LCV367" s="153"/>
      <c r="LCW367" s="153"/>
      <c r="LCX367" s="153"/>
      <c r="LCY367" s="153"/>
      <c r="LCZ367" s="153"/>
      <c r="LDA367" s="153"/>
      <c r="LDB367" s="153"/>
      <c r="LDC367" s="153"/>
      <c r="LDD367" s="153"/>
      <c r="LDE367" s="153"/>
      <c r="LDF367" s="153"/>
      <c r="LDG367" s="640"/>
      <c r="LDH367" s="641"/>
      <c r="LDI367" s="638"/>
      <c r="LDJ367" s="639"/>
      <c r="LDK367" s="153"/>
      <c r="LDL367" s="153"/>
      <c r="LDM367" s="153"/>
      <c r="LDN367" s="153"/>
      <c r="LDO367" s="153"/>
      <c r="LDP367" s="153"/>
      <c r="LDQ367" s="153"/>
      <c r="LDR367" s="153"/>
      <c r="LDS367" s="153"/>
      <c r="LDT367" s="153"/>
      <c r="LDU367" s="153"/>
      <c r="LDV367" s="153"/>
      <c r="LDW367" s="640"/>
      <c r="LDX367" s="641"/>
      <c r="LDY367" s="638"/>
      <c r="LDZ367" s="639"/>
      <c r="LEA367" s="153"/>
      <c r="LEB367" s="153"/>
      <c r="LEC367" s="153"/>
      <c r="LED367" s="153"/>
      <c r="LEE367" s="153"/>
      <c r="LEF367" s="153"/>
      <c r="LEG367" s="153"/>
      <c r="LEH367" s="153"/>
      <c r="LEI367" s="153"/>
      <c r="LEJ367" s="153"/>
      <c r="LEK367" s="153"/>
      <c r="LEL367" s="153"/>
      <c r="LEM367" s="640"/>
      <c r="LEN367" s="641"/>
      <c r="LEO367" s="638"/>
      <c r="LEP367" s="639"/>
      <c r="LEQ367" s="153"/>
      <c r="LER367" s="153"/>
      <c r="LES367" s="153"/>
      <c r="LET367" s="153"/>
      <c r="LEU367" s="153"/>
      <c r="LEV367" s="153"/>
      <c r="LEW367" s="153"/>
      <c r="LEX367" s="153"/>
      <c r="LEY367" s="153"/>
      <c r="LEZ367" s="153"/>
      <c r="LFA367" s="153"/>
      <c r="LFB367" s="153"/>
      <c r="LFC367" s="640"/>
      <c r="LFD367" s="641"/>
      <c r="LFE367" s="638"/>
      <c r="LFF367" s="639"/>
      <c r="LFG367" s="153"/>
      <c r="LFH367" s="153"/>
      <c r="LFI367" s="153"/>
      <c r="LFJ367" s="153"/>
      <c r="LFK367" s="153"/>
      <c r="LFL367" s="153"/>
      <c r="LFM367" s="153"/>
      <c r="LFN367" s="153"/>
      <c r="LFO367" s="153"/>
      <c r="LFP367" s="153"/>
      <c r="LFQ367" s="153"/>
      <c r="LFR367" s="153"/>
      <c r="LFS367" s="640"/>
      <c r="LFT367" s="641"/>
      <c r="LFU367" s="638"/>
      <c r="LFV367" s="639"/>
      <c r="LFW367" s="153"/>
      <c r="LFX367" s="153"/>
      <c r="LFY367" s="153"/>
      <c r="LFZ367" s="153"/>
      <c r="LGA367" s="153"/>
      <c r="LGB367" s="153"/>
      <c r="LGC367" s="153"/>
      <c r="LGD367" s="153"/>
      <c r="LGE367" s="153"/>
      <c r="LGF367" s="153"/>
      <c r="LGG367" s="153"/>
      <c r="LGH367" s="153"/>
      <c r="LGI367" s="640"/>
      <c r="LGJ367" s="641"/>
      <c r="LGK367" s="638"/>
      <c r="LGL367" s="639"/>
      <c r="LGM367" s="153"/>
      <c r="LGN367" s="153"/>
      <c r="LGO367" s="153"/>
      <c r="LGP367" s="153"/>
      <c r="LGQ367" s="153"/>
      <c r="LGR367" s="153"/>
      <c r="LGS367" s="153"/>
      <c r="LGT367" s="153"/>
      <c r="LGU367" s="153"/>
      <c r="LGV367" s="153"/>
      <c r="LGW367" s="153"/>
      <c r="LGX367" s="153"/>
      <c r="LGY367" s="640"/>
      <c r="LGZ367" s="641"/>
      <c r="LHA367" s="638"/>
      <c r="LHB367" s="639"/>
      <c r="LHC367" s="153"/>
      <c r="LHD367" s="153"/>
      <c r="LHE367" s="153"/>
      <c r="LHF367" s="153"/>
      <c r="LHG367" s="153"/>
      <c r="LHH367" s="153"/>
      <c r="LHI367" s="153"/>
      <c r="LHJ367" s="153"/>
      <c r="LHK367" s="153"/>
      <c r="LHL367" s="153"/>
      <c r="LHM367" s="153"/>
      <c r="LHN367" s="153"/>
      <c r="LHO367" s="640"/>
      <c r="LHP367" s="641"/>
      <c r="LHQ367" s="638"/>
      <c r="LHR367" s="639"/>
      <c r="LHS367" s="153"/>
      <c r="LHT367" s="153"/>
      <c r="LHU367" s="153"/>
      <c r="LHV367" s="153"/>
      <c r="LHW367" s="153"/>
      <c r="LHX367" s="153"/>
      <c r="LHY367" s="153"/>
      <c r="LHZ367" s="153"/>
      <c r="LIA367" s="153"/>
      <c r="LIB367" s="153"/>
      <c r="LIC367" s="153"/>
      <c r="LID367" s="153"/>
      <c r="LIE367" s="640"/>
      <c r="LIF367" s="641"/>
      <c r="LIG367" s="638"/>
      <c r="LIH367" s="639"/>
      <c r="LII367" s="153"/>
      <c r="LIJ367" s="153"/>
      <c r="LIK367" s="153"/>
      <c r="LIL367" s="153"/>
      <c r="LIM367" s="153"/>
      <c r="LIN367" s="153"/>
      <c r="LIO367" s="153"/>
      <c r="LIP367" s="153"/>
      <c r="LIQ367" s="153"/>
      <c r="LIR367" s="153"/>
      <c r="LIS367" s="153"/>
      <c r="LIT367" s="153"/>
      <c r="LIU367" s="640"/>
      <c r="LIV367" s="641"/>
      <c r="LIW367" s="638"/>
      <c r="LIX367" s="639"/>
      <c r="LIY367" s="153"/>
      <c r="LIZ367" s="153"/>
      <c r="LJA367" s="153"/>
      <c r="LJB367" s="153"/>
      <c r="LJC367" s="153"/>
      <c r="LJD367" s="153"/>
      <c r="LJE367" s="153"/>
      <c r="LJF367" s="153"/>
      <c r="LJG367" s="153"/>
      <c r="LJH367" s="153"/>
      <c r="LJI367" s="153"/>
      <c r="LJJ367" s="153"/>
      <c r="LJK367" s="640"/>
      <c r="LJL367" s="641"/>
      <c r="LJM367" s="638"/>
      <c r="LJN367" s="639"/>
      <c r="LJO367" s="153"/>
      <c r="LJP367" s="153"/>
      <c r="LJQ367" s="153"/>
      <c r="LJR367" s="153"/>
      <c r="LJS367" s="153"/>
      <c r="LJT367" s="153"/>
      <c r="LJU367" s="153"/>
      <c r="LJV367" s="153"/>
      <c r="LJW367" s="153"/>
      <c r="LJX367" s="153"/>
      <c r="LJY367" s="153"/>
      <c r="LJZ367" s="153"/>
      <c r="LKA367" s="640"/>
      <c r="LKB367" s="641"/>
      <c r="LKC367" s="638"/>
      <c r="LKD367" s="639"/>
      <c r="LKE367" s="153"/>
      <c r="LKF367" s="153"/>
      <c r="LKG367" s="153"/>
      <c r="LKH367" s="153"/>
      <c r="LKI367" s="153"/>
      <c r="LKJ367" s="153"/>
      <c r="LKK367" s="153"/>
      <c r="LKL367" s="153"/>
      <c r="LKM367" s="153"/>
      <c r="LKN367" s="153"/>
      <c r="LKO367" s="153"/>
      <c r="LKP367" s="153"/>
      <c r="LKQ367" s="640"/>
      <c r="LKR367" s="641"/>
      <c r="LKS367" s="638"/>
      <c r="LKT367" s="639"/>
      <c r="LKU367" s="153"/>
      <c r="LKV367" s="153"/>
      <c r="LKW367" s="153"/>
      <c r="LKX367" s="153"/>
      <c r="LKY367" s="153"/>
      <c r="LKZ367" s="153"/>
      <c r="LLA367" s="153"/>
      <c r="LLB367" s="153"/>
      <c r="LLC367" s="153"/>
      <c r="LLD367" s="153"/>
      <c r="LLE367" s="153"/>
      <c r="LLF367" s="153"/>
      <c r="LLG367" s="640"/>
      <c r="LLH367" s="641"/>
      <c r="LLI367" s="638"/>
      <c r="LLJ367" s="639"/>
      <c r="LLK367" s="153"/>
      <c r="LLL367" s="153"/>
      <c r="LLM367" s="153"/>
      <c r="LLN367" s="153"/>
      <c r="LLO367" s="153"/>
      <c r="LLP367" s="153"/>
      <c r="LLQ367" s="153"/>
      <c r="LLR367" s="153"/>
      <c r="LLS367" s="153"/>
      <c r="LLT367" s="153"/>
      <c r="LLU367" s="153"/>
      <c r="LLV367" s="153"/>
      <c r="LLW367" s="640"/>
      <c r="LLX367" s="641"/>
      <c r="LLY367" s="638"/>
      <c r="LLZ367" s="639"/>
      <c r="LMA367" s="153"/>
      <c r="LMB367" s="153"/>
      <c r="LMC367" s="153"/>
      <c r="LMD367" s="153"/>
      <c r="LME367" s="153"/>
      <c r="LMF367" s="153"/>
      <c r="LMG367" s="153"/>
      <c r="LMH367" s="153"/>
      <c r="LMI367" s="153"/>
      <c r="LMJ367" s="153"/>
      <c r="LMK367" s="153"/>
      <c r="LML367" s="153"/>
      <c r="LMM367" s="640"/>
      <c r="LMN367" s="641"/>
      <c r="LMO367" s="638"/>
      <c r="LMP367" s="639"/>
      <c r="LMQ367" s="153"/>
      <c r="LMR367" s="153"/>
      <c r="LMS367" s="153"/>
      <c r="LMT367" s="153"/>
      <c r="LMU367" s="153"/>
      <c r="LMV367" s="153"/>
      <c r="LMW367" s="153"/>
      <c r="LMX367" s="153"/>
      <c r="LMY367" s="153"/>
      <c r="LMZ367" s="153"/>
      <c r="LNA367" s="153"/>
      <c r="LNB367" s="153"/>
      <c r="LNC367" s="640"/>
      <c r="LND367" s="641"/>
      <c r="LNE367" s="638"/>
      <c r="LNF367" s="639"/>
      <c r="LNG367" s="153"/>
      <c r="LNH367" s="153"/>
      <c r="LNI367" s="153"/>
      <c r="LNJ367" s="153"/>
      <c r="LNK367" s="153"/>
      <c r="LNL367" s="153"/>
      <c r="LNM367" s="153"/>
      <c r="LNN367" s="153"/>
      <c r="LNO367" s="153"/>
      <c r="LNP367" s="153"/>
      <c r="LNQ367" s="153"/>
      <c r="LNR367" s="153"/>
      <c r="LNS367" s="640"/>
      <c r="LNT367" s="641"/>
      <c r="LNU367" s="638"/>
      <c r="LNV367" s="639"/>
      <c r="LNW367" s="153"/>
      <c r="LNX367" s="153"/>
      <c r="LNY367" s="153"/>
      <c r="LNZ367" s="153"/>
      <c r="LOA367" s="153"/>
      <c r="LOB367" s="153"/>
      <c r="LOC367" s="153"/>
      <c r="LOD367" s="153"/>
      <c r="LOE367" s="153"/>
      <c r="LOF367" s="153"/>
      <c r="LOG367" s="153"/>
      <c r="LOH367" s="153"/>
      <c r="LOI367" s="640"/>
      <c r="LOJ367" s="641"/>
      <c r="LOK367" s="638"/>
      <c r="LOL367" s="639"/>
      <c r="LOM367" s="153"/>
      <c r="LON367" s="153"/>
      <c r="LOO367" s="153"/>
      <c r="LOP367" s="153"/>
      <c r="LOQ367" s="153"/>
      <c r="LOR367" s="153"/>
      <c r="LOS367" s="153"/>
      <c r="LOT367" s="153"/>
      <c r="LOU367" s="153"/>
      <c r="LOV367" s="153"/>
      <c r="LOW367" s="153"/>
      <c r="LOX367" s="153"/>
      <c r="LOY367" s="640"/>
      <c r="LOZ367" s="641"/>
      <c r="LPA367" s="638"/>
      <c r="LPB367" s="639"/>
      <c r="LPC367" s="153"/>
      <c r="LPD367" s="153"/>
      <c r="LPE367" s="153"/>
      <c r="LPF367" s="153"/>
      <c r="LPG367" s="153"/>
      <c r="LPH367" s="153"/>
      <c r="LPI367" s="153"/>
      <c r="LPJ367" s="153"/>
      <c r="LPK367" s="153"/>
      <c r="LPL367" s="153"/>
      <c r="LPM367" s="153"/>
      <c r="LPN367" s="153"/>
      <c r="LPO367" s="640"/>
      <c r="LPP367" s="641"/>
      <c r="LPQ367" s="638"/>
      <c r="LPR367" s="639"/>
      <c r="LPS367" s="153"/>
      <c r="LPT367" s="153"/>
      <c r="LPU367" s="153"/>
      <c r="LPV367" s="153"/>
      <c r="LPW367" s="153"/>
      <c r="LPX367" s="153"/>
      <c r="LPY367" s="153"/>
      <c r="LPZ367" s="153"/>
      <c r="LQA367" s="153"/>
      <c r="LQB367" s="153"/>
      <c r="LQC367" s="153"/>
      <c r="LQD367" s="153"/>
      <c r="LQE367" s="640"/>
      <c r="LQF367" s="641"/>
      <c r="LQG367" s="638"/>
      <c r="LQH367" s="639"/>
      <c r="LQI367" s="153"/>
      <c r="LQJ367" s="153"/>
      <c r="LQK367" s="153"/>
      <c r="LQL367" s="153"/>
      <c r="LQM367" s="153"/>
      <c r="LQN367" s="153"/>
      <c r="LQO367" s="153"/>
      <c r="LQP367" s="153"/>
      <c r="LQQ367" s="153"/>
      <c r="LQR367" s="153"/>
      <c r="LQS367" s="153"/>
      <c r="LQT367" s="153"/>
      <c r="LQU367" s="640"/>
      <c r="LQV367" s="641"/>
      <c r="LQW367" s="638"/>
      <c r="LQX367" s="639"/>
      <c r="LQY367" s="153"/>
      <c r="LQZ367" s="153"/>
      <c r="LRA367" s="153"/>
      <c r="LRB367" s="153"/>
      <c r="LRC367" s="153"/>
      <c r="LRD367" s="153"/>
      <c r="LRE367" s="153"/>
      <c r="LRF367" s="153"/>
      <c r="LRG367" s="153"/>
      <c r="LRH367" s="153"/>
      <c r="LRI367" s="153"/>
      <c r="LRJ367" s="153"/>
      <c r="LRK367" s="640"/>
      <c r="LRL367" s="641"/>
      <c r="LRM367" s="638"/>
      <c r="LRN367" s="639"/>
      <c r="LRO367" s="153"/>
      <c r="LRP367" s="153"/>
      <c r="LRQ367" s="153"/>
      <c r="LRR367" s="153"/>
      <c r="LRS367" s="153"/>
      <c r="LRT367" s="153"/>
      <c r="LRU367" s="153"/>
      <c r="LRV367" s="153"/>
      <c r="LRW367" s="153"/>
      <c r="LRX367" s="153"/>
      <c r="LRY367" s="153"/>
      <c r="LRZ367" s="153"/>
      <c r="LSA367" s="640"/>
      <c r="LSB367" s="641"/>
      <c r="LSC367" s="638"/>
      <c r="LSD367" s="639"/>
      <c r="LSE367" s="153"/>
      <c r="LSF367" s="153"/>
      <c r="LSG367" s="153"/>
      <c r="LSH367" s="153"/>
      <c r="LSI367" s="153"/>
      <c r="LSJ367" s="153"/>
      <c r="LSK367" s="153"/>
      <c r="LSL367" s="153"/>
      <c r="LSM367" s="153"/>
      <c r="LSN367" s="153"/>
      <c r="LSO367" s="153"/>
      <c r="LSP367" s="153"/>
      <c r="LSQ367" s="640"/>
      <c r="LSR367" s="641"/>
      <c r="LSS367" s="638"/>
      <c r="LST367" s="639"/>
      <c r="LSU367" s="153"/>
      <c r="LSV367" s="153"/>
      <c r="LSW367" s="153"/>
      <c r="LSX367" s="153"/>
      <c r="LSY367" s="153"/>
      <c r="LSZ367" s="153"/>
      <c r="LTA367" s="153"/>
      <c r="LTB367" s="153"/>
      <c r="LTC367" s="153"/>
      <c r="LTD367" s="153"/>
      <c r="LTE367" s="153"/>
      <c r="LTF367" s="153"/>
      <c r="LTG367" s="640"/>
      <c r="LTH367" s="641"/>
      <c r="LTI367" s="638"/>
      <c r="LTJ367" s="639"/>
      <c r="LTK367" s="153"/>
      <c r="LTL367" s="153"/>
      <c r="LTM367" s="153"/>
      <c r="LTN367" s="153"/>
      <c r="LTO367" s="153"/>
      <c r="LTP367" s="153"/>
      <c r="LTQ367" s="153"/>
      <c r="LTR367" s="153"/>
      <c r="LTS367" s="153"/>
      <c r="LTT367" s="153"/>
      <c r="LTU367" s="153"/>
      <c r="LTV367" s="153"/>
      <c r="LTW367" s="640"/>
      <c r="LTX367" s="641"/>
      <c r="LTY367" s="638"/>
      <c r="LTZ367" s="639"/>
      <c r="LUA367" s="153"/>
      <c r="LUB367" s="153"/>
      <c r="LUC367" s="153"/>
      <c r="LUD367" s="153"/>
      <c r="LUE367" s="153"/>
      <c r="LUF367" s="153"/>
      <c r="LUG367" s="153"/>
      <c r="LUH367" s="153"/>
      <c r="LUI367" s="153"/>
      <c r="LUJ367" s="153"/>
      <c r="LUK367" s="153"/>
      <c r="LUL367" s="153"/>
      <c r="LUM367" s="640"/>
      <c r="LUN367" s="641"/>
      <c r="LUO367" s="638"/>
      <c r="LUP367" s="639"/>
      <c r="LUQ367" s="153"/>
      <c r="LUR367" s="153"/>
      <c r="LUS367" s="153"/>
      <c r="LUT367" s="153"/>
      <c r="LUU367" s="153"/>
      <c r="LUV367" s="153"/>
      <c r="LUW367" s="153"/>
      <c r="LUX367" s="153"/>
      <c r="LUY367" s="153"/>
      <c r="LUZ367" s="153"/>
      <c r="LVA367" s="153"/>
      <c r="LVB367" s="153"/>
      <c r="LVC367" s="640"/>
      <c r="LVD367" s="641"/>
      <c r="LVE367" s="638"/>
      <c r="LVF367" s="639"/>
      <c r="LVG367" s="153"/>
      <c r="LVH367" s="153"/>
      <c r="LVI367" s="153"/>
      <c r="LVJ367" s="153"/>
      <c r="LVK367" s="153"/>
      <c r="LVL367" s="153"/>
      <c r="LVM367" s="153"/>
      <c r="LVN367" s="153"/>
      <c r="LVO367" s="153"/>
      <c r="LVP367" s="153"/>
      <c r="LVQ367" s="153"/>
      <c r="LVR367" s="153"/>
      <c r="LVS367" s="640"/>
      <c r="LVT367" s="641"/>
      <c r="LVU367" s="638"/>
      <c r="LVV367" s="639"/>
      <c r="LVW367" s="153"/>
      <c r="LVX367" s="153"/>
      <c r="LVY367" s="153"/>
      <c r="LVZ367" s="153"/>
      <c r="LWA367" s="153"/>
      <c r="LWB367" s="153"/>
      <c r="LWC367" s="153"/>
      <c r="LWD367" s="153"/>
      <c r="LWE367" s="153"/>
      <c r="LWF367" s="153"/>
      <c r="LWG367" s="153"/>
      <c r="LWH367" s="153"/>
      <c r="LWI367" s="640"/>
      <c r="LWJ367" s="641"/>
      <c r="LWK367" s="638"/>
      <c r="LWL367" s="639"/>
      <c r="LWM367" s="153"/>
      <c r="LWN367" s="153"/>
      <c r="LWO367" s="153"/>
      <c r="LWP367" s="153"/>
      <c r="LWQ367" s="153"/>
      <c r="LWR367" s="153"/>
      <c r="LWS367" s="153"/>
      <c r="LWT367" s="153"/>
      <c r="LWU367" s="153"/>
      <c r="LWV367" s="153"/>
      <c r="LWW367" s="153"/>
      <c r="LWX367" s="153"/>
      <c r="LWY367" s="640"/>
      <c r="LWZ367" s="641"/>
      <c r="LXA367" s="638"/>
      <c r="LXB367" s="639"/>
      <c r="LXC367" s="153"/>
      <c r="LXD367" s="153"/>
      <c r="LXE367" s="153"/>
      <c r="LXF367" s="153"/>
      <c r="LXG367" s="153"/>
      <c r="LXH367" s="153"/>
      <c r="LXI367" s="153"/>
      <c r="LXJ367" s="153"/>
      <c r="LXK367" s="153"/>
      <c r="LXL367" s="153"/>
      <c r="LXM367" s="153"/>
      <c r="LXN367" s="153"/>
      <c r="LXO367" s="640"/>
      <c r="LXP367" s="641"/>
      <c r="LXQ367" s="638"/>
      <c r="LXR367" s="639"/>
      <c r="LXS367" s="153"/>
      <c r="LXT367" s="153"/>
      <c r="LXU367" s="153"/>
      <c r="LXV367" s="153"/>
      <c r="LXW367" s="153"/>
      <c r="LXX367" s="153"/>
      <c r="LXY367" s="153"/>
      <c r="LXZ367" s="153"/>
      <c r="LYA367" s="153"/>
      <c r="LYB367" s="153"/>
      <c r="LYC367" s="153"/>
      <c r="LYD367" s="153"/>
      <c r="LYE367" s="640"/>
      <c r="LYF367" s="641"/>
      <c r="LYG367" s="638"/>
      <c r="LYH367" s="639"/>
      <c r="LYI367" s="153"/>
      <c r="LYJ367" s="153"/>
      <c r="LYK367" s="153"/>
      <c r="LYL367" s="153"/>
      <c r="LYM367" s="153"/>
      <c r="LYN367" s="153"/>
      <c r="LYO367" s="153"/>
      <c r="LYP367" s="153"/>
      <c r="LYQ367" s="153"/>
      <c r="LYR367" s="153"/>
      <c r="LYS367" s="153"/>
      <c r="LYT367" s="153"/>
      <c r="LYU367" s="640"/>
      <c r="LYV367" s="641"/>
      <c r="LYW367" s="638"/>
      <c r="LYX367" s="639"/>
      <c r="LYY367" s="153"/>
      <c r="LYZ367" s="153"/>
      <c r="LZA367" s="153"/>
      <c r="LZB367" s="153"/>
      <c r="LZC367" s="153"/>
      <c r="LZD367" s="153"/>
      <c r="LZE367" s="153"/>
      <c r="LZF367" s="153"/>
      <c r="LZG367" s="153"/>
      <c r="LZH367" s="153"/>
      <c r="LZI367" s="153"/>
      <c r="LZJ367" s="153"/>
      <c r="LZK367" s="640"/>
      <c r="LZL367" s="641"/>
      <c r="LZM367" s="638"/>
      <c r="LZN367" s="639"/>
      <c r="LZO367" s="153"/>
      <c r="LZP367" s="153"/>
      <c r="LZQ367" s="153"/>
      <c r="LZR367" s="153"/>
      <c r="LZS367" s="153"/>
      <c r="LZT367" s="153"/>
      <c r="LZU367" s="153"/>
      <c r="LZV367" s="153"/>
      <c r="LZW367" s="153"/>
      <c r="LZX367" s="153"/>
      <c r="LZY367" s="153"/>
      <c r="LZZ367" s="153"/>
      <c r="MAA367" s="640"/>
      <c r="MAB367" s="641"/>
      <c r="MAC367" s="638"/>
      <c r="MAD367" s="639"/>
      <c r="MAE367" s="153"/>
      <c r="MAF367" s="153"/>
      <c r="MAG367" s="153"/>
      <c r="MAH367" s="153"/>
      <c r="MAI367" s="153"/>
      <c r="MAJ367" s="153"/>
      <c r="MAK367" s="153"/>
      <c r="MAL367" s="153"/>
      <c r="MAM367" s="153"/>
      <c r="MAN367" s="153"/>
      <c r="MAO367" s="153"/>
      <c r="MAP367" s="153"/>
      <c r="MAQ367" s="640"/>
      <c r="MAR367" s="641"/>
      <c r="MAS367" s="638"/>
      <c r="MAT367" s="639"/>
      <c r="MAU367" s="153"/>
      <c r="MAV367" s="153"/>
      <c r="MAW367" s="153"/>
      <c r="MAX367" s="153"/>
      <c r="MAY367" s="153"/>
      <c r="MAZ367" s="153"/>
      <c r="MBA367" s="153"/>
      <c r="MBB367" s="153"/>
      <c r="MBC367" s="153"/>
      <c r="MBD367" s="153"/>
      <c r="MBE367" s="153"/>
      <c r="MBF367" s="153"/>
      <c r="MBG367" s="640"/>
      <c r="MBH367" s="641"/>
      <c r="MBI367" s="638"/>
      <c r="MBJ367" s="639"/>
      <c r="MBK367" s="153"/>
      <c r="MBL367" s="153"/>
      <c r="MBM367" s="153"/>
      <c r="MBN367" s="153"/>
      <c r="MBO367" s="153"/>
      <c r="MBP367" s="153"/>
      <c r="MBQ367" s="153"/>
      <c r="MBR367" s="153"/>
      <c r="MBS367" s="153"/>
      <c r="MBT367" s="153"/>
      <c r="MBU367" s="153"/>
      <c r="MBV367" s="153"/>
      <c r="MBW367" s="640"/>
      <c r="MBX367" s="641"/>
      <c r="MBY367" s="638"/>
      <c r="MBZ367" s="639"/>
      <c r="MCA367" s="153"/>
      <c r="MCB367" s="153"/>
      <c r="MCC367" s="153"/>
      <c r="MCD367" s="153"/>
      <c r="MCE367" s="153"/>
      <c r="MCF367" s="153"/>
      <c r="MCG367" s="153"/>
      <c r="MCH367" s="153"/>
      <c r="MCI367" s="153"/>
      <c r="MCJ367" s="153"/>
      <c r="MCK367" s="153"/>
      <c r="MCL367" s="153"/>
      <c r="MCM367" s="640"/>
      <c r="MCN367" s="641"/>
      <c r="MCO367" s="638"/>
      <c r="MCP367" s="639"/>
      <c r="MCQ367" s="153"/>
      <c r="MCR367" s="153"/>
      <c r="MCS367" s="153"/>
      <c r="MCT367" s="153"/>
      <c r="MCU367" s="153"/>
      <c r="MCV367" s="153"/>
      <c r="MCW367" s="153"/>
      <c r="MCX367" s="153"/>
      <c r="MCY367" s="153"/>
      <c r="MCZ367" s="153"/>
      <c r="MDA367" s="153"/>
      <c r="MDB367" s="153"/>
      <c r="MDC367" s="640"/>
      <c r="MDD367" s="641"/>
      <c r="MDE367" s="638"/>
      <c r="MDF367" s="639"/>
      <c r="MDG367" s="153"/>
      <c r="MDH367" s="153"/>
      <c r="MDI367" s="153"/>
      <c r="MDJ367" s="153"/>
      <c r="MDK367" s="153"/>
      <c r="MDL367" s="153"/>
      <c r="MDM367" s="153"/>
      <c r="MDN367" s="153"/>
      <c r="MDO367" s="153"/>
      <c r="MDP367" s="153"/>
      <c r="MDQ367" s="153"/>
      <c r="MDR367" s="153"/>
      <c r="MDS367" s="640"/>
      <c r="MDT367" s="641"/>
      <c r="MDU367" s="638"/>
      <c r="MDV367" s="639"/>
      <c r="MDW367" s="153"/>
      <c r="MDX367" s="153"/>
      <c r="MDY367" s="153"/>
      <c r="MDZ367" s="153"/>
      <c r="MEA367" s="153"/>
      <c r="MEB367" s="153"/>
      <c r="MEC367" s="153"/>
      <c r="MED367" s="153"/>
      <c r="MEE367" s="153"/>
      <c r="MEF367" s="153"/>
      <c r="MEG367" s="153"/>
      <c r="MEH367" s="153"/>
      <c r="MEI367" s="640"/>
      <c r="MEJ367" s="641"/>
      <c r="MEK367" s="638"/>
      <c r="MEL367" s="639"/>
      <c r="MEM367" s="153"/>
      <c r="MEN367" s="153"/>
      <c r="MEO367" s="153"/>
      <c r="MEP367" s="153"/>
      <c r="MEQ367" s="153"/>
      <c r="MER367" s="153"/>
      <c r="MES367" s="153"/>
      <c r="MET367" s="153"/>
      <c r="MEU367" s="153"/>
      <c r="MEV367" s="153"/>
      <c r="MEW367" s="153"/>
      <c r="MEX367" s="153"/>
      <c r="MEY367" s="640"/>
      <c r="MEZ367" s="641"/>
      <c r="MFA367" s="638"/>
      <c r="MFB367" s="639"/>
      <c r="MFC367" s="153"/>
      <c r="MFD367" s="153"/>
      <c r="MFE367" s="153"/>
      <c r="MFF367" s="153"/>
      <c r="MFG367" s="153"/>
      <c r="MFH367" s="153"/>
      <c r="MFI367" s="153"/>
      <c r="MFJ367" s="153"/>
      <c r="MFK367" s="153"/>
      <c r="MFL367" s="153"/>
      <c r="MFM367" s="153"/>
      <c r="MFN367" s="153"/>
      <c r="MFO367" s="640"/>
      <c r="MFP367" s="641"/>
      <c r="MFQ367" s="638"/>
      <c r="MFR367" s="639"/>
      <c r="MFS367" s="153"/>
      <c r="MFT367" s="153"/>
      <c r="MFU367" s="153"/>
      <c r="MFV367" s="153"/>
      <c r="MFW367" s="153"/>
      <c r="MFX367" s="153"/>
      <c r="MFY367" s="153"/>
      <c r="MFZ367" s="153"/>
      <c r="MGA367" s="153"/>
      <c r="MGB367" s="153"/>
      <c r="MGC367" s="153"/>
      <c r="MGD367" s="153"/>
      <c r="MGE367" s="640"/>
      <c r="MGF367" s="641"/>
      <c r="MGG367" s="638"/>
      <c r="MGH367" s="639"/>
      <c r="MGI367" s="153"/>
      <c r="MGJ367" s="153"/>
      <c r="MGK367" s="153"/>
      <c r="MGL367" s="153"/>
      <c r="MGM367" s="153"/>
      <c r="MGN367" s="153"/>
      <c r="MGO367" s="153"/>
      <c r="MGP367" s="153"/>
      <c r="MGQ367" s="153"/>
      <c r="MGR367" s="153"/>
      <c r="MGS367" s="153"/>
      <c r="MGT367" s="153"/>
      <c r="MGU367" s="640"/>
      <c r="MGV367" s="641"/>
      <c r="MGW367" s="638"/>
      <c r="MGX367" s="639"/>
      <c r="MGY367" s="153"/>
      <c r="MGZ367" s="153"/>
      <c r="MHA367" s="153"/>
      <c r="MHB367" s="153"/>
      <c r="MHC367" s="153"/>
      <c r="MHD367" s="153"/>
      <c r="MHE367" s="153"/>
      <c r="MHF367" s="153"/>
      <c r="MHG367" s="153"/>
      <c r="MHH367" s="153"/>
      <c r="MHI367" s="153"/>
      <c r="MHJ367" s="153"/>
      <c r="MHK367" s="640"/>
      <c r="MHL367" s="641"/>
      <c r="MHM367" s="638"/>
      <c r="MHN367" s="639"/>
      <c r="MHO367" s="153"/>
      <c r="MHP367" s="153"/>
      <c r="MHQ367" s="153"/>
      <c r="MHR367" s="153"/>
      <c r="MHS367" s="153"/>
      <c r="MHT367" s="153"/>
      <c r="MHU367" s="153"/>
      <c r="MHV367" s="153"/>
      <c r="MHW367" s="153"/>
      <c r="MHX367" s="153"/>
      <c r="MHY367" s="153"/>
      <c r="MHZ367" s="153"/>
      <c r="MIA367" s="640"/>
      <c r="MIB367" s="641"/>
      <c r="MIC367" s="638"/>
      <c r="MID367" s="639"/>
      <c r="MIE367" s="153"/>
      <c r="MIF367" s="153"/>
      <c r="MIG367" s="153"/>
      <c r="MIH367" s="153"/>
      <c r="MII367" s="153"/>
      <c r="MIJ367" s="153"/>
      <c r="MIK367" s="153"/>
      <c r="MIL367" s="153"/>
      <c r="MIM367" s="153"/>
      <c r="MIN367" s="153"/>
      <c r="MIO367" s="153"/>
      <c r="MIP367" s="153"/>
      <c r="MIQ367" s="640"/>
      <c r="MIR367" s="641"/>
      <c r="MIS367" s="638"/>
      <c r="MIT367" s="639"/>
      <c r="MIU367" s="153"/>
      <c r="MIV367" s="153"/>
      <c r="MIW367" s="153"/>
      <c r="MIX367" s="153"/>
      <c r="MIY367" s="153"/>
      <c r="MIZ367" s="153"/>
      <c r="MJA367" s="153"/>
      <c r="MJB367" s="153"/>
      <c r="MJC367" s="153"/>
      <c r="MJD367" s="153"/>
      <c r="MJE367" s="153"/>
      <c r="MJF367" s="153"/>
      <c r="MJG367" s="640"/>
      <c r="MJH367" s="641"/>
      <c r="MJI367" s="638"/>
      <c r="MJJ367" s="639"/>
      <c r="MJK367" s="153"/>
      <c r="MJL367" s="153"/>
      <c r="MJM367" s="153"/>
      <c r="MJN367" s="153"/>
      <c r="MJO367" s="153"/>
      <c r="MJP367" s="153"/>
      <c r="MJQ367" s="153"/>
      <c r="MJR367" s="153"/>
      <c r="MJS367" s="153"/>
      <c r="MJT367" s="153"/>
      <c r="MJU367" s="153"/>
      <c r="MJV367" s="153"/>
      <c r="MJW367" s="640"/>
      <c r="MJX367" s="641"/>
      <c r="MJY367" s="638"/>
      <c r="MJZ367" s="639"/>
      <c r="MKA367" s="153"/>
      <c r="MKB367" s="153"/>
      <c r="MKC367" s="153"/>
      <c r="MKD367" s="153"/>
      <c r="MKE367" s="153"/>
      <c r="MKF367" s="153"/>
      <c r="MKG367" s="153"/>
      <c r="MKH367" s="153"/>
      <c r="MKI367" s="153"/>
      <c r="MKJ367" s="153"/>
      <c r="MKK367" s="153"/>
      <c r="MKL367" s="153"/>
      <c r="MKM367" s="640"/>
      <c r="MKN367" s="641"/>
      <c r="MKO367" s="638"/>
      <c r="MKP367" s="639"/>
      <c r="MKQ367" s="153"/>
      <c r="MKR367" s="153"/>
      <c r="MKS367" s="153"/>
      <c r="MKT367" s="153"/>
      <c r="MKU367" s="153"/>
      <c r="MKV367" s="153"/>
      <c r="MKW367" s="153"/>
      <c r="MKX367" s="153"/>
      <c r="MKY367" s="153"/>
      <c r="MKZ367" s="153"/>
      <c r="MLA367" s="153"/>
      <c r="MLB367" s="153"/>
      <c r="MLC367" s="640"/>
      <c r="MLD367" s="641"/>
      <c r="MLE367" s="638"/>
      <c r="MLF367" s="639"/>
      <c r="MLG367" s="153"/>
      <c r="MLH367" s="153"/>
      <c r="MLI367" s="153"/>
      <c r="MLJ367" s="153"/>
      <c r="MLK367" s="153"/>
      <c r="MLL367" s="153"/>
      <c r="MLM367" s="153"/>
      <c r="MLN367" s="153"/>
      <c r="MLO367" s="153"/>
      <c r="MLP367" s="153"/>
      <c r="MLQ367" s="153"/>
      <c r="MLR367" s="153"/>
      <c r="MLS367" s="640"/>
      <c r="MLT367" s="641"/>
      <c r="MLU367" s="638"/>
      <c r="MLV367" s="639"/>
      <c r="MLW367" s="153"/>
      <c r="MLX367" s="153"/>
      <c r="MLY367" s="153"/>
      <c r="MLZ367" s="153"/>
      <c r="MMA367" s="153"/>
      <c r="MMB367" s="153"/>
      <c r="MMC367" s="153"/>
      <c r="MMD367" s="153"/>
      <c r="MME367" s="153"/>
      <c r="MMF367" s="153"/>
      <c r="MMG367" s="153"/>
      <c r="MMH367" s="153"/>
      <c r="MMI367" s="640"/>
      <c r="MMJ367" s="641"/>
      <c r="MMK367" s="638"/>
      <c r="MML367" s="639"/>
      <c r="MMM367" s="153"/>
      <c r="MMN367" s="153"/>
      <c r="MMO367" s="153"/>
      <c r="MMP367" s="153"/>
      <c r="MMQ367" s="153"/>
      <c r="MMR367" s="153"/>
      <c r="MMS367" s="153"/>
      <c r="MMT367" s="153"/>
      <c r="MMU367" s="153"/>
      <c r="MMV367" s="153"/>
      <c r="MMW367" s="153"/>
      <c r="MMX367" s="153"/>
      <c r="MMY367" s="640"/>
      <c r="MMZ367" s="641"/>
      <c r="MNA367" s="638"/>
      <c r="MNB367" s="639"/>
      <c r="MNC367" s="153"/>
      <c r="MND367" s="153"/>
      <c r="MNE367" s="153"/>
      <c r="MNF367" s="153"/>
      <c r="MNG367" s="153"/>
      <c r="MNH367" s="153"/>
      <c r="MNI367" s="153"/>
      <c r="MNJ367" s="153"/>
      <c r="MNK367" s="153"/>
      <c r="MNL367" s="153"/>
      <c r="MNM367" s="153"/>
      <c r="MNN367" s="153"/>
      <c r="MNO367" s="640"/>
      <c r="MNP367" s="641"/>
      <c r="MNQ367" s="638"/>
      <c r="MNR367" s="639"/>
      <c r="MNS367" s="153"/>
      <c r="MNT367" s="153"/>
      <c r="MNU367" s="153"/>
      <c r="MNV367" s="153"/>
      <c r="MNW367" s="153"/>
      <c r="MNX367" s="153"/>
      <c r="MNY367" s="153"/>
      <c r="MNZ367" s="153"/>
      <c r="MOA367" s="153"/>
      <c r="MOB367" s="153"/>
      <c r="MOC367" s="153"/>
      <c r="MOD367" s="153"/>
      <c r="MOE367" s="640"/>
      <c r="MOF367" s="641"/>
      <c r="MOG367" s="638"/>
      <c r="MOH367" s="639"/>
      <c r="MOI367" s="153"/>
      <c r="MOJ367" s="153"/>
      <c r="MOK367" s="153"/>
      <c r="MOL367" s="153"/>
      <c r="MOM367" s="153"/>
      <c r="MON367" s="153"/>
      <c r="MOO367" s="153"/>
      <c r="MOP367" s="153"/>
      <c r="MOQ367" s="153"/>
      <c r="MOR367" s="153"/>
      <c r="MOS367" s="153"/>
      <c r="MOT367" s="153"/>
      <c r="MOU367" s="640"/>
      <c r="MOV367" s="641"/>
      <c r="MOW367" s="638"/>
      <c r="MOX367" s="639"/>
      <c r="MOY367" s="153"/>
      <c r="MOZ367" s="153"/>
      <c r="MPA367" s="153"/>
      <c r="MPB367" s="153"/>
      <c r="MPC367" s="153"/>
      <c r="MPD367" s="153"/>
      <c r="MPE367" s="153"/>
      <c r="MPF367" s="153"/>
      <c r="MPG367" s="153"/>
      <c r="MPH367" s="153"/>
      <c r="MPI367" s="153"/>
      <c r="MPJ367" s="153"/>
      <c r="MPK367" s="640"/>
      <c r="MPL367" s="641"/>
      <c r="MPM367" s="638"/>
      <c r="MPN367" s="639"/>
      <c r="MPO367" s="153"/>
      <c r="MPP367" s="153"/>
      <c r="MPQ367" s="153"/>
      <c r="MPR367" s="153"/>
      <c r="MPS367" s="153"/>
      <c r="MPT367" s="153"/>
      <c r="MPU367" s="153"/>
      <c r="MPV367" s="153"/>
      <c r="MPW367" s="153"/>
      <c r="MPX367" s="153"/>
      <c r="MPY367" s="153"/>
      <c r="MPZ367" s="153"/>
      <c r="MQA367" s="640"/>
      <c r="MQB367" s="641"/>
      <c r="MQC367" s="638"/>
      <c r="MQD367" s="639"/>
      <c r="MQE367" s="153"/>
      <c r="MQF367" s="153"/>
      <c r="MQG367" s="153"/>
      <c r="MQH367" s="153"/>
      <c r="MQI367" s="153"/>
      <c r="MQJ367" s="153"/>
      <c r="MQK367" s="153"/>
      <c r="MQL367" s="153"/>
      <c r="MQM367" s="153"/>
      <c r="MQN367" s="153"/>
      <c r="MQO367" s="153"/>
      <c r="MQP367" s="153"/>
      <c r="MQQ367" s="640"/>
      <c r="MQR367" s="641"/>
      <c r="MQS367" s="638"/>
      <c r="MQT367" s="639"/>
      <c r="MQU367" s="153"/>
      <c r="MQV367" s="153"/>
      <c r="MQW367" s="153"/>
      <c r="MQX367" s="153"/>
      <c r="MQY367" s="153"/>
      <c r="MQZ367" s="153"/>
      <c r="MRA367" s="153"/>
      <c r="MRB367" s="153"/>
      <c r="MRC367" s="153"/>
      <c r="MRD367" s="153"/>
      <c r="MRE367" s="153"/>
      <c r="MRF367" s="153"/>
      <c r="MRG367" s="640"/>
      <c r="MRH367" s="641"/>
      <c r="MRI367" s="638"/>
      <c r="MRJ367" s="639"/>
      <c r="MRK367" s="153"/>
      <c r="MRL367" s="153"/>
      <c r="MRM367" s="153"/>
      <c r="MRN367" s="153"/>
      <c r="MRO367" s="153"/>
      <c r="MRP367" s="153"/>
      <c r="MRQ367" s="153"/>
      <c r="MRR367" s="153"/>
      <c r="MRS367" s="153"/>
      <c r="MRT367" s="153"/>
      <c r="MRU367" s="153"/>
      <c r="MRV367" s="153"/>
      <c r="MRW367" s="640"/>
      <c r="MRX367" s="641"/>
      <c r="MRY367" s="638"/>
      <c r="MRZ367" s="639"/>
      <c r="MSA367" s="153"/>
      <c r="MSB367" s="153"/>
      <c r="MSC367" s="153"/>
      <c r="MSD367" s="153"/>
      <c r="MSE367" s="153"/>
      <c r="MSF367" s="153"/>
      <c r="MSG367" s="153"/>
      <c r="MSH367" s="153"/>
      <c r="MSI367" s="153"/>
      <c r="MSJ367" s="153"/>
      <c r="MSK367" s="153"/>
      <c r="MSL367" s="153"/>
      <c r="MSM367" s="640"/>
      <c r="MSN367" s="641"/>
      <c r="MSO367" s="638"/>
      <c r="MSP367" s="639"/>
      <c r="MSQ367" s="153"/>
      <c r="MSR367" s="153"/>
      <c r="MSS367" s="153"/>
      <c r="MST367" s="153"/>
      <c r="MSU367" s="153"/>
      <c r="MSV367" s="153"/>
      <c r="MSW367" s="153"/>
      <c r="MSX367" s="153"/>
      <c r="MSY367" s="153"/>
      <c r="MSZ367" s="153"/>
      <c r="MTA367" s="153"/>
      <c r="MTB367" s="153"/>
      <c r="MTC367" s="640"/>
      <c r="MTD367" s="641"/>
      <c r="MTE367" s="638"/>
      <c r="MTF367" s="639"/>
      <c r="MTG367" s="153"/>
      <c r="MTH367" s="153"/>
      <c r="MTI367" s="153"/>
      <c r="MTJ367" s="153"/>
      <c r="MTK367" s="153"/>
      <c r="MTL367" s="153"/>
      <c r="MTM367" s="153"/>
      <c r="MTN367" s="153"/>
      <c r="MTO367" s="153"/>
      <c r="MTP367" s="153"/>
      <c r="MTQ367" s="153"/>
      <c r="MTR367" s="153"/>
      <c r="MTS367" s="640"/>
      <c r="MTT367" s="641"/>
      <c r="MTU367" s="638"/>
      <c r="MTV367" s="639"/>
      <c r="MTW367" s="153"/>
      <c r="MTX367" s="153"/>
      <c r="MTY367" s="153"/>
      <c r="MTZ367" s="153"/>
      <c r="MUA367" s="153"/>
      <c r="MUB367" s="153"/>
      <c r="MUC367" s="153"/>
      <c r="MUD367" s="153"/>
      <c r="MUE367" s="153"/>
      <c r="MUF367" s="153"/>
      <c r="MUG367" s="153"/>
      <c r="MUH367" s="153"/>
      <c r="MUI367" s="640"/>
      <c r="MUJ367" s="641"/>
      <c r="MUK367" s="638"/>
      <c r="MUL367" s="639"/>
      <c r="MUM367" s="153"/>
      <c r="MUN367" s="153"/>
      <c r="MUO367" s="153"/>
      <c r="MUP367" s="153"/>
      <c r="MUQ367" s="153"/>
      <c r="MUR367" s="153"/>
      <c r="MUS367" s="153"/>
      <c r="MUT367" s="153"/>
      <c r="MUU367" s="153"/>
      <c r="MUV367" s="153"/>
      <c r="MUW367" s="153"/>
      <c r="MUX367" s="153"/>
      <c r="MUY367" s="640"/>
      <c r="MUZ367" s="641"/>
      <c r="MVA367" s="638"/>
      <c r="MVB367" s="639"/>
      <c r="MVC367" s="153"/>
      <c r="MVD367" s="153"/>
      <c r="MVE367" s="153"/>
      <c r="MVF367" s="153"/>
      <c r="MVG367" s="153"/>
      <c r="MVH367" s="153"/>
      <c r="MVI367" s="153"/>
      <c r="MVJ367" s="153"/>
      <c r="MVK367" s="153"/>
      <c r="MVL367" s="153"/>
      <c r="MVM367" s="153"/>
      <c r="MVN367" s="153"/>
      <c r="MVO367" s="640"/>
      <c r="MVP367" s="641"/>
      <c r="MVQ367" s="638"/>
      <c r="MVR367" s="639"/>
      <c r="MVS367" s="153"/>
      <c r="MVT367" s="153"/>
      <c r="MVU367" s="153"/>
      <c r="MVV367" s="153"/>
      <c r="MVW367" s="153"/>
      <c r="MVX367" s="153"/>
      <c r="MVY367" s="153"/>
      <c r="MVZ367" s="153"/>
      <c r="MWA367" s="153"/>
      <c r="MWB367" s="153"/>
      <c r="MWC367" s="153"/>
      <c r="MWD367" s="153"/>
      <c r="MWE367" s="640"/>
      <c r="MWF367" s="641"/>
      <c r="MWG367" s="638"/>
      <c r="MWH367" s="639"/>
      <c r="MWI367" s="153"/>
      <c r="MWJ367" s="153"/>
      <c r="MWK367" s="153"/>
      <c r="MWL367" s="153"/>
      <c r="MWM367" s="153"/>
      <c r="MWN367" s="153"/>
      <c r="MWO367" s="153"/>
      <c r="MWP367" s="153"/>
      <c r="MWQ367" s="153"/>
      <c r="MWR367" s="153"/>
      <c r="MWS367" s="153"/>
      <c r="MWT367" s="153"/>
      <c r="MWU367" s="640"/>
      <c r="MWV367" s="641"/>
      <c r="MWW367" s="638"/>
      <c r="MWX367" s="639"/>
      <c r="MWY367" s="153"/>
      <c r="MWZ367" s="153"/>
      <c r="MXA367" s="153"/>
      <c r="MXB367" s="153"/>
      <c r="MXC367" s="153"/>
      <c r="MXD367" s="153"/>
      <c r="MXE367" s="153"/>
      <c r="MXF367" s="153"/>
      <c r="MXG367" s="153"/>
      <c r="MXH367" s="153"/>
      <c r="MXI367" s="153"/>
      <c r="MXJ367" s="153"/>
      <c r="MXK367" s="640"/>
      <c r="MXL367" s="641"/>
      <c r="MXM367" s="638"/>
      <c r="MXN367" s="639"/>
      <c r="MXO367" s="153"/>
      <c r="MXP367" s="153"/>
      <c r="MXQ367" s="153"/>
      <c r="MXR367" s="153"/>
      <c r="MXS367" s="153"/>
      <c r="MXT367" s="153"/>
      <c r="MXU367" s="153"/>
      <c r="MXV367" s="153"/>
      <c r="MXW367" s="153"/>
      <c r="MXX367" s="153"/>
      <c r="MXY367" s="153"/>
      <c r="MXZ367" s="153"/>
      <c r="MYA367" s="640"/>
      <c r="MYB367" s="641"/>
      <c r="MYC367" s="638"/>
      <c r="MYD367" s="639"/>
      <c r="MYE367" s="153"/>
      <c r="MYF367" s="153"/>
      <c r="MYG367" s="153"/>
      <c r="MYH367" s="153"/>
      <c r="MYI367" s="153"/>
      <c r="MYJ367" s="153"/>
      <c r="MYK367" s="153"/>
      <c r="MYL367" s="153"/>
      <c r="MYM367" s="153"/>
      <c r="MYN367" s="153"/>
      <c r="MYO367" s="153"/>
      <c r="MYP367" s="153"/>
      <c r="MYQ367" s="640"/>
      <c r="MYR367" s="641"/>
      <c r="MYS367" s="638"/>
      <c r="MYT367" s="639"/>
      <c r="MYU367" s="153"/>
      <c r="MYV367" s="153"/>
      <c r="MYW367" s="153"/>
      <c r="MYX367" s="153"/>
      <c r="MYY367" s="153"/>
      <c r="MYZ367" s="153"/>
      <c r="MZA367" s="153"/>
      <c r="MZB367" s="153"/>
      <c r="MZC367" s="153"/>
      <c r="MZD367" s="153"/>
      <c r="MZE367" s="153"/>
      <c r="MZF367" s="153"/>
      <c r="MZG367" s="640"/>
      <c r="MZH367" s="641"/>
      <c r="MZI367" s="638"/>
      <c r="MZJ367" s="639"/>
      <c r="MZK367" s="153"/>
      <c r="MZL367" s="153"/>
      <c r="MZM367" s="153"/>
      <c r="MZN367" s="153"/>
      <c r="MZO367" s="153"/>
      <c r="MZP367" s="153"/>
      <c r="MZQ367" s="153"/>
      <c r="MZR367" s="153"/>
      <c r="MZS367" s="153"/>
      <c r="MZT367" s="153"/>
      <c r="MZU367" s="153"/>
      <c r="MZV367" s="153"/>
      <c r="MZW367" s="640"/>
      <c r="MZX367" s="641"/>
      <c r="MZY367" s="638"/>
      <c r="MZZ367" s="639"/>
      <c r="NAA367" s="153"/>
      <c r="NAB367" s="153"/>
      <c r="NAC367" s="153"/>
      <c r="NAD367" s="153"/>
      <c r="NAE367" s="153"/>
      <c r="NAF367" s="153"/>
      <c r="NAG367" s="153"/>
      <c r="NAH367" s="153"/>
      <c r="NAI367" s="153"/>
      <c r="NAJ367" s="153"/>
      <c r="NAK367" s="153"/>
      <c r="NAL367" s="153"/>
      <c r="NAM367" s="640"/>
      <c r="NAN367" s="641"/>
      <c r="NAO367" s="638"/>
      <c r="NAP367" s="639"/>
      <c r="NAQ367" s="153"/>
      <c r="NAR367" s="153"/>
      <c r="NAS367" s="153"/>
      <c r="NAT367" s="153"/>
      <c r="NAU367" s="153"/>
      <c r="NAV367" s="153"/>
      <c r="NAW367" s="153"/>
      <c r="NAX367" s="153"/>
      <c r="NAY367" s="153"/>
      <c r="NAZ367" s="153"/>
      <c r="NBA367" s="153"/>
      <c r="NBB367" s="153"/>
      <c r="NBC367" s="640"/>
      <c r="NBD367" s="641"/>
      <c r="NBE367" s="638"/>
      <c r="NBF367" s="639"/>
      <c r="NBG367" s="153"/>
      <c r="NBH367" s="153"/>
      <c r="NBI367" s="153"/>
      <c r="NBJ367" s="153"/>
      <c r="NBK367" s="153"/>
      <c r="NBL367" s="153"/>
      <c r="NBM367" s="153"/>
      <c r="NBN367" s="153"/>
      <c r="NBO367" s="153"/>
      <c r="NBP367" s="153"/>
      <c r="NBQ367" s="153"/>
      <c r="NBR367" s="153"/>
      <c r="NBS367" s="640"/>
      <c r="NBT367" s="641"/>
      <c r="NBU367" s="638"/>
      <c r="NBV367" s="639"/>
      <c r="NBW367" s="153"/>
      <c r="NBX367" s="153"/>
      <c r="NBY367" s="153"/>
      <c r="NBZ367" s="153"/>
      <c r="NCA367" s="153"/>
      <c r="NCB367" s="153"/>
      <c r="NCC367" s="153"/>
      <c r="NCD367" s="153"/>
      <c r="NCE367" s="153"/>
      <c r="NCF367" s="153"/>
      <c r="NCG367" s="153"/>
      <c r="NCH367" s="153"/>
      <c r="NCI367" s="640"/>
      <c r="NCJ367" s="641"/>
      <c r="NCK367" s="638"/>
      <c r="NCL367" s="639"/>
      <c r="NCM367" s="153"/>
      <c r="NCN367" s="153"/>
      <c r="NCO367" s="153"/>
      <c r="NCP367" s="153"/>
      <c r="NCQ367" s="153"/>
      <c r="NCR367" s="153"/>
      <c r="NCS367" s="153"/>
      <c r="NCT367" s="153"/>
      <c r="NCU367" s="153"/>
      <c r="NCV367" s="153"/>
      <c r="NCW367" s="153"/>
      <c r="NCX367" s="153"/>
      <c r="NCY367" s="640"/>
      <c r="NCZ367" s="641"/>
      <c r="NDA367" s="638"/>
      <c r="NDB367" s="639"/>
      <c r="NDC367" s="153"/>
      <c r="NDD367" s="153"/>
      <c r="NDE367" s="153"/>
      <c r="NDF367" s="153"/>
      <c r="NDG367" s="153"/>
      <c r="NDH367" s="153"/>
      <c r="NDI367" s="153"/>
      <c r="NDJ367" s="153"/>
      <c r="NDK367" s="153"/>
      <c r="NDL367" s="153"/>
      <c r="NDM367" s="153"/>
      <c r="NDN367" s="153"/>
      <c r="NDO367" s="640"/>
      <c r="NDP367" s="641"/>
      <c r="NDQ367" s="638"/>
      <c r="NDR367" s="639"/>
      <c r="NDS367" s="153"/>
      <c r="NDT367" s="153"/>
      <c r="NDU367" s="153"/>
      <c r="NDV367" s="153"/>
      <c r="NDW367" s="153"/>
      <c r="NDX367" s="153"/>
      <c r="NDY367" s="153"/>
      <c r="NDZ367" s="153"/>
      <c r="NEA367" s="153"/>
      <c r="NEB367" s="153"/>
      <c r="NEC367" s="153"/>
      <c r="NED367" s="153"/>
      <c r="NEE367" s="640"/>
      <c r="NEF367" s="641"/>
      <c r="NEG367" s="638"/>
      <c r="NEH367" s="639"/>
      <c r="NEI367" s="153"/>
      <c r="NEJ367" s="153"/>
      <c r="NEK367" s="153"/>
      <c r="NEL367" s="153"/>
      <c r="NEM367" s="153"/>
      <c r="NEN367" s="153"/>
      <c r="NEO367" s="153"/>
      <c r="NEP367" s="153"/>
      <c r="NEQ367" s="153"/>
      <c r="NER367" s="153"/>
      <c r="NES367" s="153"/>
      <c r="NET367" s="153"/>
      <c r="NEU367" s="640"/>
      <c r="NEV367" s="641"/>
      <c r="NEW367" s="638"/>
      <c r="NEX367" s="639"/>
      <c r="NEY367" s="153"/>
      <c r="NEZ367" s="153"/>
      <c r="NFA367" s="153"/>
      <c r="NFB367" s="153"/>
      <c r="NFC367" s="153"/>
      <c r="NFD367" s="153"/>
      <c r="NFE367" s="153"/>
      <c r="NFF367" s="153"/>
      <c r="NFG367" s="153"/>
      <c r="NFH367" s="153"/>
      <c r="NFI367" s="153"/>
      <c r="NFJ367" s="153"/>
      <c r="NFK367" s="640"/>
      <c r="NFL367" s="641"/>
      <c r="NFM367" s="638"/>
      <c r="NFN367" s="639"/>
      <c r="NFO367" s="153"/>
      <c r="NFP367" s="153"/>
      <c r="NFQ367" s="153"/>
      <c r="NFR367" s="153"/>
      <c r="NFS367" s="153"/>
      <c r="NFT367" s="153"/>
      <c r="NFU367" s="153"/>
      <c r="NFV367" s="153"/>
      <c r="NFW367" s="153"/>
      <c r="NFX367" s="153"/>
      <c r="NFY367" s="153"/>
      <c r="NFZ367" s="153"/>
      <c r="NGA367" s="640"/>
      <c r="NGB367" s="641"/>
      <c r="NGC367" s="638"/>
      <c r="NGD367" s="639"/>
      <c r="NGE367" s="153"/>
      <c r="NGF367" s="153"/>
      <c r="NGG367" s="153"/>
      <c r="NGH367" s="153"/>
      <c r="NGI367" s="153"/>
      <c r="NGJ367" s="153"/>
      <c r="NGK367" s="153"/>
      <c r="NGL367" s="153"/>
      <c r="NGM367" s="153"/>
      <c r="NGN367" s="153"/>
      <c r="NGO367" s="153"/>
      <c r="NGP367" s="153"/>
      <c r="NGQ367" s="640"/>
      <c r="NGR367" s="641"/>
      <c r="NGS367" s="638"/>
      <c r="NGT367" s="639"/>
      <c r="NGU367" s="153"/>
      <c r="NGV367" s="153"/>
      <c r="NGW367" s="153"/>
      <c r="NGX367" s="153"/>
      <c r="NGY367" s="153"/>
      <c r="NGZ367" s="153"/>
      <c r="NHA367" s="153"/>
      <c r="NHB367" s="153"/>
      <c r="NHC367" s="153"/>
      <c r="NHD367" s="153"/>
      <c r="NHE367" s="153"/>
      <c r="NHF367" s="153"/>
      <c r="NHG367" s="640"/>
      <c r="NHH367" s="641"/>
      <c r="NHI367" s="638"/>
      <c r="NHJ367" s="639"/>
      <c r="NHK367" s="153"/>
      <c r="NHL367" s="153"/>
      <c r="NHM367" s="153"/>
      <c r="NHN367" s="153"/>
      <c r="NHO367" s="153"/>
      <c r="NHP367" s="153"/>
      <c r="NHQ367" s="153"/>
      <c r="NHR367" s="153"/>
      <c r="NHS367" s="153"/>
      <c r="NHT367" s="153"/>
      <c r="NHU367" s="153"/>
      <c r="NHV367" s="153"/>
      <c r="NHW367" s="640"/>
      <c r="NHX367" s="641"/>
      <c r="NHY367" s="638"/>
      <c r="NHZ367" s="639"/>
      <c r="NIA367" s="153"/>
      <c r="NIB367" s="153"/>
      <c r="NIC367" s="153"/>
      <c r="NID367" s="153"/>
      <c r="NIE367" s="153"/>
      <c r="NIF367" s="153"/>
      <c r="NIG367" s="153"/>
      <c r="NIH367" s="153"/>
      <c r="NII367" s="153"/>
      <c r="NIJ367" s="153"/>
      <c r="NIK367" s="153"/>
      <c r="NIL367" s="153"/>
      <c r="NIM367" s="640"/>
      <c r="NIN367" s="641"/>
      <c r="NIO367" s="638"/>
      <c r="NIP367" s="639"/>
      <c r="NIQ367" s="153"/>
      <c r="NIR367" s="153"/>
      <c r="NIS367" s="153"/>
      <c r="NIT367" s="153"/>
      <c r="NIU367" s="153"/>
      <c r="NIV367" s="153"/>
      <c r="NIW367" s="153"/>
      <c r="NIX367" s="153"/>
      <c r="NIY367" s="153"/>
      <c r="NIZ367" s="153"/>
      <c r="NJA367" s="153"/>
      <c r="NJB367" s="153"/>
      <c r="NJC367" s="640"/>
      <c r="NJD367" s="641"/>
      <c r="NJE367" s="638"/>
      <c r="NJF367" s="639"/>
      <c r="NJG367" s="153"/>
      <c r="NJH367" s="153"/>
      <c r="NJI367" s="153"/>
      <c r="NJJ367" s="153"/>
      <c r="NJK367" s="153"/>
      <c r="NJL367" s="153"/>
      <c r="NJM367" s="153"/>
      <c r="NJN367" s="153"/>
      <c r="NJO367" s="153"/>
      <c r="NJP367" s="153"/>
      <c r="NJQ367" s="153"/>
      <c r="NJR367" s="153"/>
      <c r="NJS367" s="640"/>
      <c r="NJT367" s="641"/>
      <c r="NJU367" s="638"/>
      <c r="NJV367" s="639"/>
      <c r="NJW367" s="153"/>
      <c r="NJX367" s="153"/>
      <c r="NJY367" s="153"/>
      <c r="NJZ367" s="153"/>
      <c r="NKA367" s="153"/>
      <c r="NKB367" s="153"/>
      <c r="NKC367" s="153"/>
      <c r="NKD367" s="153"/>
      <c r="NKE367" s="153"/>
      <c r="NKF367" s="153"/>
      <c r="NKG367" s="153"/>
      <c r="NKH367" s="153"/>
      <c r="NKI367" s="640"/>
      <c r="NKJ367" s="641"/>
      <c r="NKK367" s="638"/>
      <c r="NKL367" s="639"/>
      <c r="NKM367" s="153"/>
      <c r="NKN367" s="153"/>
      <c r="NKO367" s="153"/>
      <c r="NKP367" s="153"/>
      <c r="NKQ367" s="153"/>
      <c r="NKR367" s="153"/>
      <c r="NKS367" s="153"/>
      <c r="NKT367" s="153"/>
      <c r="NKU367" s="153"/>
      <c r="NKV367" s="153"/>
      <c r="NKW367" s="153"/>
      <c r="NKX367" s="153"/>
      <c r="NKY367" s="640"/>
      <c r="NKZ367" s="641"/>
      <c r="NLA367" s="638"/>
      <c r="NLB367" s="639"/>
      <c r="NLC367" s="153"/>
      <c r="NLD367" s="153"/>
      <c r="NLE367" s="153"/>
      <c r="NLF367" s="153"/>
      <c r="NLG367" s="153"/>
      <c r="NLH367" s="153"/>
      <c r="NLI367" s="153"/>
      <c r="NLJ367" s="153"/>
      <c r="NLK367" s="153"/>
      <c r="NLL367" s="153"/>
      <c r="NLM367" s="153"/>
      <c r="NLN367" s="153"/>
      <c r="NLO367" s="640"/>
      <c r="NLP367" s="641"/>
      <c r="NLQ367" s="638"/>
      <c r="NLR367" s="639"/>
      <c r="NLS367" s="153"/>
      <c r="NLT367" s="153"/>
      <c r="NLU367" s="153"/>
      <c r="NLV367" s="153"/>
      <c r="NLW367" s="153"/>
      <c r="NLX367" s="153"/>
      <c r="NLY367" s="153"/>
      <c r="NLZ367" s="153"/>
      <c r="NMA367" s="153"/>
      <c r="NMB367" s="153"/>
      <c r="NMC367" s="153"/>
      <c r="NMD367" s="153"/>
      <c r="NME367" s="640"/>
      <c r="NMF367" s="641"/>
      <c r="NMG367" s="638"/>
      <c r="NMH367" s="639"/>
      <c r="NMI367" s="153"/>
      <c r="NMJ367" s="153"/>
      <c r="NMK367" s="153"/>
      <c r="NML367" s="153"/>
      <c r="NMM367" s="153"/>
      <c r="NMN367" s="153"/>
      <c r="NMO367" s="153"/>
      <c r="NMP367" s="153"/>
      <c r="NMQ367" s="153"/>
      <c r="NMR367" s="153"/>
      <c r="NMS367" s="153"/>
      <c r="NMT367" s="153"/>
      <c r="NMU367" s="640"/>
      <c r="NMV367" s="641"/>
      <c r="NMW367" s="638"/>
      <c r="NMX367" s="639"/>
      <c r="NMY367" s="153"/>
      <c r="NMZ367" s="153"/>
      <c r="NNA367" s="153"/>
      <c r="NNB367" s="153"/>
      <c r="NNC367" s="153"/>
      <c r="NND367" s="153"/>
      <c r="NNE367" s="153"/>
      <c r="NNF367" s="153"/>
      <c r="NNG367" s="153"/>
      <c r="NNH367" s="153"/>
      <c r="NNI367" s="153"/>
      <c r="NNJ367" s="153"/>
      <c r="NNK367" s="640"/>
      <c r="NNL367" s="641"/>
      <c r="NNM367" s="638"/>
      <c r="NNN367" s="639"/>
      <c r="NNO367" s="153"/>
      <c r="NNP367" s="153"/>
      <c r="NNQ367" s="153"/>
      <c r="NNR367" s="153"/>
      <c r="NNS367" s="153"/>
      <c r="NNT367" s="153"/>
      <c r="NNU367" s="153"/>
      <c r="NNV367" s="153"/>
      <c r="NNW367" s="153"/>
      <c r="NNX367" s="153"/>
      <c r="NNY367" s="153"/>
      <c r="NNZ367" s="153"/>
      <c r="NOA367" s="640"/>
      <c r="NOB367" s="641"/>
      <c r="NOC367" s="638"/>
      <c r="NOD367" s="639"/>
      <c r="NOE367" s="153"/>
      <c r="NOF367" s="153"/>
      <c r="NOG367" s="153"/>
      <c r="NOH367" s="153"/>
      <c r="NOI367" s="153"/>
      <c r="NOJ367" s="153"/>
      <c r="NOK367" s="153"/>
      <c r="NOL367" s="153"/>
      <c r="NOM367" s="153"/>
      <c r="NON367" s="153"/>
      <c r="NOO367" s="153"/>
      <c r="NOP367" s="153"/>
      <c r="NOQ367" s="640"/>
      <c r="NOR367" s="641"/>
      <c r="NOS367" s="638"/>
      <c r="NOT367" s="639"/>
      <c r="NOU367" s="153"/>
      <c r="NOV367" s="153"/>
      <c r="NOW367" s="153"/>
      <c r="NOX367" s="153"/>
      <c r="NOY367" s="153"/>
      <c r="NOZ367" s="153"/>
      <c r="NPA367" s="153"/>
      <c r="NPB367" s="153"/>
      <c r="NPC367" s="153"/>
      <c r="NPD367" s="153"/>
      <c r="NPE367" s="153"/>
      <c r="NPF367" s="153"/>
      <c r="NPG367" s="640"/>
      <c r="NPH367" s="641"/>
      <c r="NPI367" s="638"/>
      <c r="NPJ367" s="639"/>
      <c r="NPK367" s="153"/>
      <c r="NPL367" s="153"/>
      <c r="NPM367" s="153"/>
      <c r="NPN367" s="153"/>
      <c r="NPO367" s="153"/>
      <c r="NPP367" s="153"/>
      <c r="NPQ367" s="153"/>
      <c r="NPR367" s="153"/>
      <c r="NPS367" s="153"/>
      <c r="NPT367" s="153"/>
      <c r="NPU367" s="153"/>
      <c r="NPV367" s="153"/>
      <c r="NPW367" s="640"/>
      <c r="NPX367" s="641"/>
      <c r="NPY367" s="638"/>
      <c r="NPZ367" s="639"/>
      <c r="NQA367" s="153"/>
      <c r="NQB367" s="153"/>
      <c r="NQC367" s="153"/>
      <c r="NQD367" s="153"/>
      <c r="NQE367" s="153"/>
      <c r="NQF367" s="153"/>
      <c r="NQG367" s="153"/>
      <c r="NQH367" s="153"/>
      <c r="NQI367" s="153"/>
      <c r="NQJ367" s="153"/>
      <c r="NQK367" s="153"/>
      <c r="NQL367" s="153"/>
      <c r="NQM367" s="640"/>
      <c r="NQN367" s="641"/>
      <c r="NQO367" s="638"/>
      <c r="NQP367" s="639"/>
      <c r="NQQ367" s="153"/>
      <c r="NQR367" s="153"/>
      <c r="NQS367" s="153"/>
      <c r="NQT367" s="153"/>
      <c r="NQU367" s="153"/>
      <c r="NQV367" s="153"/>
      <c r="NQW367" s="153"/>
      <c r="NQX367" s="153"/>
      <c r="NQY367" s="153"/>
      <c r="NQZ367" s="153"/>
      <c r="NRA367" s="153"/>
      <c r="NRB367" s="153"/>
      <c r="NRC367" s="640"/>
      <c r="NRD367" s="641"/>
      <c r="NRE367" s="638"/>
      <c r="NRF367" s="639"/>
      <c r="NRG367" s="153"/>
      <c r="NRH367" s="153"/>
      <c r="NRI367" s="153"/>
      <c r="NRJ367" s="153"/>
      <c r="NRK367" s="153"/>
      <c r="NRL367" s="153"/>
      <c r="NRM367" s="153"/>
      <c r="NRN367" s="153"/>
      <c r="NRO367" s="153"/>
      <c r="NRP367" s="153"/>
      <c r="NRQ367" s="153"/>
      <c r="NRR367" s="153"/>
      <c r="NRS367" s="640"/>
      <c r="NRT367" s="641"/>
      <c r="NRU367" s="638"/>
      <c r="NRV367" s="639"/>
      <c r="NRW367" s="153"/>
      <c r="NRX367" s="153"/>
      <c r="NRY367" s="153"/>
      <c r="NRZ367" s="153"/>
      <c r="NSA367" s="153"/>
      <c r="NSB367" s="153"/>
      <c r="NSC367" s="153"/>
      <c r="NSD367" s="153"/>
      <c r="NSE367" s="153"/>
      <c r="NSF367" s="153"/>
      <c r="NSG367" s="153"/>
      <c r="NSH367" s="153"/>
      <c r="NSI367" s="640"/>
      <c r="NSJ367" s="641"/>
      <c r="NSK367" s="638"/>
      <c r="NSL367" s="639"/>
      <c r="NSM367" s="153"/>
      <c r="NSN367" s="153"/>
      <c r="NSO367" s="153"/>
      <c r="NSP367" s="153"/>
      <c r="NSQ367" s="153"/>
      <c r="NSR367" s="153"/>
      <c r="NSS367" s="153"/>
      <c r="NST367" s="153"/>
      <c r="NSU367" s="153"/>
      <c r="NSV367" s="153"/>
      <c r="NSW367" s="153"/>
      <c r="NSX367" s="153"/>
      <c r="NSY367" s="640"/>
      <c r="NSZ367" s="641"/>
      <c r="NTA367" s="638"/>
      <c r="NTB367" s="639"/>
      <c r="NTC367" s="153"/>
      <c r="NTD367" s="153"/>
      <c r="NTE367" s="153"/>
      <c r="NTF367" s="153"/>
      <c r="NTG367" s="153"/>
      <c r="NTH367" s="153"/>
      <c r="NTI367" s="153"/>
      <c r="NTJ367" s="153"/>
      <c r="NTK367" s="153"/>
      <c r="NTL367" s="153"/>
      <c r="NTM367" s="153"/>
      <c r="NTN367" s="153"/>
      <c r="NTO367" s="640"/>
      <c r="NTP367" s="641"/>
      <c r="NTQ367" s="638"/>
      <c r="NTR367" s="639"/>
      <c r="NTS367" s="153"/>
      <c r="NTT367" s="153"/>
      <c r="NTU367" s="153"/>
      <c r="NTV367" s="153"/>
      <c r="NTW367" s="153"/>
      <c r="NTX367" s="153"/>
      <c r="NTY367" s="153"/>
      <c r="NTZ367" s="153"/>
      <c r="NUA367" s="153"/>
      <c r="NUB367" s="153"/>
      <c r="NUC367" s="153"/>
      <c r="NUD367" s="153"/>
      <c r="NUE367" s="640"/>
      <c r="NUF367" s="641"/>
      <c r="NUG367" s="638"/>
      <c r="NUH367" s="639"/>
      <c r="NUI367" s="153"/>
      <c r="NUJ367" s="153"/>
      <c r="NUK367" s="153"/>
      <c r="NUL367" s="153"/>
      <c r="NUM367" s="153"/>
      <c r="NUN367" s="153"/>
      <c r="NUO367" s="153"/>
      <c r="NUP367" s="153"/>
      <c r="NUQ367" s="153"/>
      <c r="NUR367" s="153"/>
      <c r="NUS367" s="153"/>
      <c r="NUT367" s="153"/>
      <c r="NUU367" s="640"/>
      <c r="NUV367" s="641"/>
      <c r="NUW367" s="638"/>
      <c r="NUX367" s="639"/>
      <c r="NUY367" s="153"/>
      <c r="NUZ367" s="153"/>
      <c r="NVA367" s="153"/>
      <c r="NVB367" s="153"/>
      <c r="NVC367" s="153"/>
      <c r="NVD367" s="153"/>
      <c r="NVE367" s="153"/>
      <c r="NVF367" s="153"/>
      <c r="NVG367" s="153"/>
      <c r="NVH367" s="153"/>
      <c r="NVI367" s="153"/>
      <c r="NVJ367" s="153"/>
      <c r="NVK367" s="640"/>
      <c r="NVL367" s="641"/>
      <c r="NVM367" s="638"/>
      <c r="NVN367" s="639"/>
      <c r="NVO367" s="153"/>
      <c r="NVP367" s="153"/>
      <c r="NVQ367" s="153"/>
      <c r="NVR367" s="153"/>
      <c r="NVS367" s="153"/>
      <c r="NVT367" s="153"/>
      <c r="NVU367" s="153"/>
      <c r="NVV367" s="153"/>
      <c r="NVW367" s="153"/>
      <c r="NVX367" s="153"/>
      <c r="NVY367" s="153"/>
      <c r="NVZ367" s="153"/>
      <c r="NWA367" s="640"/>
      <c r="NWB367" s="641"/>
      <c r="NWC367" s="638"/>
      <c r="NWD367" s="639"/>
      <c r="NWE367" s="153"/>
      <c r="NWF367" s="153"/>
      <c r="NWG367" s="153"/>
      <c r="NWH367" s="153"/>
      <c r="NWI367" s="153"/>
      <c r="NWJ367" s="153"/>
      <c r="NWK367" s="153"/>
      <c r="NWL367" s="153"/>
      <c r="NWM367" s="153"/>
      <c r="NWN367" s="153"/>
      <c r="NWO367" s="153"/>
      <c r="NWP367" s="153"/>
      <c r="NWQ367" s="640"/>
      <c r="NWR367" s="641"/>
      <c r="NWS367" s="638"/>
      <c r="NWT367" s="639"/>
      <c r="NWU367" s="153"/>
      <c r="NWV367" s="153"/>
      <c r="NWW367" s="153"/>
      <c r="NWX367" s="153"/>
      <c r="NWY367" s="153"/>
      <c r="NWZ367" s="153"/>
      <c r="NXA367" s="153"/>
      <c r="NXB367" s="153"/>
      <c r="NXC367" s="153"/>
      <c r="NXD367" s="153"/>
      <c r="NXE367" s="153"/>
      <c r="NXF367" s="153"/>
      <c r="NXG367" s="640"/>
      <c r="NXH367" s="641"/>
      <c r="NXI367" s="638"/>
      <c r="NXJ367" s="639"/>
      <c r="NXK367" s="153"/>
      <c r="NXL367" s="153"/>
      <c r="NXM367" s="153"/>
      <c r="NXN367" s="153"/>
      <c r="NXO367" s="153"/>
      <c r="NXP367" s="153"/>
      <c r="NXQ367" s="153"/>
      <c r="NXR367" s="153"/>
      <c r="NXS367" s="153"/>
      <c r="NXT367" s="153"/>
      <c r="NXU367" s="153"/>
      <c r="NXV367" s="153"/>
      <c r="NXW367" s="640"/>
      <c r="NXX367" s="641"/>
      <c r="NXY367" s="638"/>
      <c r="NXZ367" s="639"/>
      <c r="NYA367" s="153"/>
      <c r="NYB367" s="153"/>
      <c r="NYC367" s="153"/>
      <c r="NYD367" s="153"/>
      <c r="NYE367" s="153"/>
      <c r="NYF367" s="153"/>
      <c r="NYG367" s="153"/>
      <c r="NYH367" s="153"/>
      <c r="NYI367" s="153"/>
      <c r="NYJ367" s="153"/>
      <c r="NYK367" s="153"/>
      <c r="NYL367" s="153"/>
      <c r="NYM367" s="640"/>
      <c r="NYN367" s="641"/>
      <c r="NYO367" s="638"/>
      <c r="NYP367" s="639"/>
      <c r="NYQ367" s="153"/>
      <c r="NYR367" s="153"/>
      <c r="NYS367" s="153"/>
      <c r="NYT367" s="153"/>
      <c r="NYU367" s="153"/>
      <c r="NYV367" s="153"/>
      <c r="NYW367" s="153"/>
      <c r="NYX367" s="153"/>
      <c r="NYY367" s="153"/>
      <c r="NYZ367" s="153"/>
      <c r="NZA367" s="153"/>
      <c r="NZB367" s="153"/>
      <c r="NZC367" s="640"/>
      <c r="NZD367" s="641"/>
      <c r="NZE367" s="638"/>
      <c r="NZF367" s="639"/>
      <c r="NZG367" s="153"/>
      <c r="NZH367" s="153"/>
      <c r="NZI367" s="153"/>
      <c r="NZJ367" s="153"/>
      <c r="NZK367" s="153"/>
      <c r="NZL367" s="153"/>
      <c r="NZM367" s="153"/>
      <c r="NZN367" s="153"/>
      <c r="NZO367" s="153"/>
      <c r="NZP367" s="153"/>
      <c r="NZQ367" s="153"/>
      <c r="NZR367" s="153"/>
      <c r="NZS367" s="640"/>
      <c r="NZT367" s="641"/>
      <c r="NZU367" s="638"/>
      <c r="NZV367" s="639"/>
      <c r="NZW367" s="153"/>
      <c r="NZX367" s="153"/>
      <c r="NZY367" s="153"/>
      <c r="NZZ367" s="153"/>
      <c r="OAA367" s="153"/>
      <c r="OAB367" s="153"/>
      <c r="OAC367" s="153"/>
      <c r="OAD367" s="153"/>
      <c r="OAE367" s="153"/>
      <c r="OAF367" s="153"/>
      <c r="OAG367" s="153"/>
      <c r="OAH367" s="153"/>
      <c r="OAI367" s="640"/>
      <c r="OAJ367" s="641"/>
      <c r="OAK367" s="638"/>
      <c r="OAL367" s="639"/>
      <c r="OAM367" s="153"/>
      <c r="OAN367" s="153"/>
      <c r="OAO367" s="153"/>
      <c r="OAP367" s="153"/>
      <c r="OAQ367" s="153"/>
      <c r="OAR367" s="153"/>
      <c r="OAS367" s="153"/>
      <c r="OAT367" s="153"/>
      <c r="OAU367" s="153"/>
      <c r="OAV367" s="153"/>
      <c r="OAW367" s="153"/>
      <c r="OAX367" s="153"/>
      <c r="OAY367" s="640"/>
      <c r="OAZ367" s="641"/>
      <c r="OBA367" s="638"/>
      <c r="OBB367" s="639"/>
      <c r="OBC367" s="153"/>
      <c r="OBD367" s="153"/>
      <c r="OBE367" s="153"/>
      <c r="OBF367" s="153"/>
      <c r="OBG367" s="153"/>
      <c r="OBH367" s="153"/>
      <c r="OBI367" s="153"/>
      <c r="OBJ367" s="153"/>
      <c r="OBK367" s="153"/>
      <c r="OBL367" s="153"/>
      <c r="OBM367" s="153"/>
      <c r="OBN367" s="153"/>
      <c r="OBO367" s="640"/>
      <c r="OBP367" s="641"/>
      <c r="OBQ367" s="638"/>
      <c r="OBR367" s="639"/>
      <c r="OBS367" s="153"/>
      <c r="OBT367" s="153"/>
      <c r="OBU367" s="153"/>
      <c r="OBV367" s="153"/>
      <c r="OBW367" s="153"/>
      <c r="OBX367" s="153"/>
      <c r="OBY367" s="153"/>
      <c r="OBZ367" s="153"/>
      <c r="OCA367" s="153"/>
      <c r="OCB367" s="153"/>
      <c r="OCC367" s="153"/>
      <c r="OCD367" s="153"/>
      <c r="OCE367" s="640"/>
      <c r="OCF367" s="641"/>
      <c r="OCG367" s="638"/>
      <c r="OCH367" s="639"/>
      <c r="OCI367" s="153"/>
      <c r="OCJ367" s="153"/>
      <c r="OCK367" s="153"/>
      <c r="OCL367" s="153"/>
      <c r="OCM367" s="153"/>
      <c r="OCN367" s="153"/>
      <c r="OCO367" s="153"/>
      <c r="OCP367" s="153"/>
      <c r="OCQ367" s="153"/>
      <c r="OCR367" s="153"/>
      <c r="OCS367" s="153"/>
      <c r="OCT367" s="153"/>
      <c r="OCU367" s="640"/>
      <c r="OCV367" s="641"/>
      <c r="OCW367" s="638"/>
      <c r="OCX367" s="639"/>
      <c r="OCY367" s="153"/>
      <c r="OCZ367" s="153"/>
      <c r="ODA367" s="153"/>
      <c r="ODB367" s="153"/>
      <c r="ODC367" s="153"/>
      <c r="ODD367" s="153"/>
      <c r="ODE367" s="153"/>
      <c r="ODF367" s="153"/>
      <c r="ODG367" s="153"/>
      <c r="ODH367" s="153"/>
      <c r="ODI367" s="153"/>
      <c r="ODJ367" s="153"/>
      <c r="ODK367" s="640"/>
      <c r="ODL367" s="641"/>
      <c r="ODM367" s="638"/>
      <c r="ODN367" s="639"/>
      <c r="ODO367" s="153"/>
      <c r="ODP367" s="153"/>
      <c r="ODQ367" s="153"/>
      <c r="ODR367" s="153"/>
      <c r="ODS367" s="153"/>
      <c r="ODT367" s="153"/>
      <c r="ODU367" s="153"/>
      <c r="ODV367" s="153"/>
      <c r="ODW367" s="153"/>
      <c r="ODX367" s="153"/>
      <c r="ODY367" s="153"/>
      <c r="ODZ367" s="153"/>
      <c r="OEA367" s="640"/>
      <c r="OEB367" s="641"/>
      <c r="OEC367" s="638"/>
      <c r="OED367" s="639"/>
      <c r="OEE367" s="153"/>
      <c r="OEF367" s="153"/>
      <c r="OEG367" s="153"/>
      <c r="OEH367" s="153"/>
      <c r="OEI367" s="153"/>
      <c r="OEJ367" s="153"/>
      <c r="OEK367" s="153"/>
      <c r="OEL367" s="153"/>
      <c r="OEM367" s="153"/>
      <c r="OEN367" s="153"/>
      <c r="OEO367" s="153"/>
      <c r="OEP367" s="153"/>
      <c r="OEQ367" s="640"/>
      <c r="OER367" s="641"/>
      <c r="OES367" s="638"/>
      <c r="OET367" s="639"/>
      <c r="OEU367" s="153"/>
      <c r="OEV367" s="153"/>
      <c r="OEW367" s="153"/>
      <c r="OEX367" s="153"/>
      <c r="OEY367" s="153"/>
      <c r="OEZ367" s="153"/>
      <c r="OFA367" s="153"/>
      <c r="OFB367" s="153"/>
      <c r="OFC367" s="153"/>
      <c r="OFD367" s="153"/>
      <c r="OFE367" s="153"/>
      <c r="OFF367" s="153"/>
      <c r="OFG367" s="640"/>
      <c r="OFH367" s="641"/>
      <c r="OFI367" s="638"/>
      <c r="OFJ367" s="639"/>
      <c r="OFK367" s="153"/>
      <c r="OFL367" s="153"/>
      <c r="OFM367" s="153"/>
      <c r="OFN367" s="153"/>
      <c r="OFO367" s="153"/>
      <c r="OFP367" s="153"/>
      <c r="OFQ367" s="153"/>
      <c r="OFR367" s="153"/>
      <c r="OFS367" s="153"/>
      <c r="OFT367" s="153"/>
      <c r="OFU367" s="153"/>
      <c r="OFV367" s="153"/>
      <c r="OFW367" s="640"/>
      <c r="OFX367" s="641"/>
      <c r="OFY367" s="638"/>
      <c r="OFZ367" s="639"/>
      <c r="OGA367" s="153"/>
      <c r="OGB367" s="153"/>
      <c r="OGC367" s="153"/>
      <c r="OGD367" s="153"/>
      <c r="OGE367" s="153"/>
      <c r="OGF367" s="153"/>
      <c r="OGG367" s="153"/>
      <c r="OGH367" s="153"/>
      <c r="OGI367" s="153"/>
      <c r="OGJ367" s="153"/>
      <c r="OGK367" s="153"/>
      <c r="OGL367" s="153"/>
      <c r="OGM367" s="640"/>
      <c r="OGN367" s="641"/>
      <c r="OGO367" s="638"/>
      <c r="OGP367" s="639"/>
      <c r="OGQ367" s="153"/>
      <c r="OGR367" s="153"/>
      <c r="OGS367" s="153"/>
      <c r="OGT367" s="153"/>
      <c r="OGU367" s="153"/>
      <c r="OGV367" s="153"/>
      <c r="OGW367" s="153"/>
      <c r="OGX367" s="153"/>
      <c r="OGY367" s="153"/>
      <c r="OGZ367" s="153"/>
      <c r="OHA367" s="153"/>
      <c r="OHB367" s="153"/>
      <c r="OHC367" s="640"/>
      <c r="OHD367" s="641"/>
      <c r="OHE367" s="638"/>
      <c r="OHF367" s="639"/>
      <c r="OHG367" s="153"/>
      <c r="OHH367" s="153"/>
      <c r="OHI367" s="153"/>
      <c r="OHJ367" s="153"/>
      <c r="OHK367" s="153"/>
      <c r="OHL367" s="153"/>
      <c r="OHM367" s="153"/>
      <c r="OHN367" s="153"/>
      <c r="OHO367" s="153"/>
      <c r="OHP367" s="153"/>
      <c r="OHQ367" s="153"/>
      <c r="OHR367" s="153"/>
      <c r="OHS367" s="640"/>
      <c r="OHT367" s="641"/>
      <c r="OHU367" s="638"/>
      <c r="OHV367" s="639"/>
      <c r="OHW367" s="153"/>
      <c r="OHX367" s="153"/>
      <c r="OHY367" s="153"/>
      <c r="OHZ367" s="153"/>
      <c r="OIA367" s="153"/>
      <c r="OIB367" s="153"/>
      <c r="OIC367" s="153"/>
      <c r="OID367" s="153"/>
      <c r="OIE367" s="153"/>
      <c r="OIF367" s="153"/>
      <c r="OIG367" s="153"/>
      <c r="OIH367" s="153"/>
      <c r="OII367" s="640"/>
      <c r="OIJ367" s="641"/>
      <c r="OIK367" s="638"/>
      <c r="OIL367" s="639"/>
      <c r="OIM367" s="153"/>
      <c r="OIN367" s="153"/>
      <c r="OIO367" s="153"/>
      <c r="OIP367" s="153"/>
      <c r="OIQ367" s="153"/>
      <c r="OIR367" s="153"/>
      <c r="OIS367" s="153"/>
      <c r="OIT367" s="153"/>
      <c r="OIU367" s="153"/>
      <c r="OIV367" s="153"/>
      <c r="OIW367" s="153"/>
      <c r="OIX367" s="153"/>
      <c r="OIY367" s="640"/>
      <c r="OIZ367" s="641"/>
      <c r="OJA367" s="638"/>
      <c r="OJB367" s="639"/>
      <c r="OJC367" s="153"/>
      <c r="OJD367" s="153"/>
      <c r="OJE367" s="153"/>
      <c r="OJF367" s="153"/>
      <c r="OJG367" s="153"/>
      <c r="OJH367" s="153"/>
      <c r="OJI367" s="153"/>
      <c r="OJJ367" s="153"/>
      <c r="OJK367" s="153"/>
      <c r="OJL367" s="153"/>
      <c r="OJM367" s="153"/>
      <c r="OJN367" s="153"/>
      <c r="OJO367" s="640"/>
      <c r="OJP367" s="641"/>
      <c r="OJQ367" s="638"/>
      <c r="OJR367" s="639"/>
      <c r="OJS367" s="153"/>
      <c r="OJT367" s="153"/>
      <c r="OJU367" s="153"/>
      <c r="OJV367" s="153"/>
      <c r="OJW367" s="153"/>
      <c r="OJX367" s="153"/>
      <c r="OJY367" s="153"/>
      <c r="OJZ367" s="153"/>
      <c r="OKA367" s="153"/>
      <c r="OKB367" s="153"/>
      <c r="OKC367" s="153"/>
      <c r="OKD367" s="153"/>
      <c r="OKE367" s="640"/>
      <c r="OKF367" s="641"/>
      <c r="OKG367" s="638"/>
      <c r="OKH367" s="639"/>
      <c r="OKI367" s="153"/>
      <c r="OKJ367" s="153"/>
      <c r="OKK367" s="153"/>
      <c r="OKL367" s="153"/>
      <c r="OKM367" s="153"/>
      <c r="OKN367" s="153"/>
      <c r="OKO367" s="153"/>
      <c r="OKP367" s="153"/>
      <c r="OKQ367" s="153"/>
      <c r="OKR367" s="153"/>
      <c r="OKS367" s="153"/>
      <c r="OKT367" s="153"/>
      <c r="OKU367" s="640"/>
      <c r="OKV367" s="641"/>
      <c r="OKW367" s="638"/>
      <c r="OKX367" s="639"/>
      <c r="OKY367" s="153"/>
      <c r="OKZ367" s="153"/>
      <c r="OLA367" s="153"/>
      <c r="OLB367" s="153"/>
      <c r="OLC367" s="153"/>
      <c r="OLD367" s="153"/>
      <c r="OLE367" s="153"/>
      <c r="OLF367" s="153"/>
      <c r="OLG367" s="153"/>
      <c r="OLH367" s="153"/>
      <c r="OLI367" s="153"/>
      <c r="OLJ367" s="153"/>
      <c r="OLK367" s="640"/>
      <c r="OLL367" s="641"/>
      <c r="OLM367" s="638"/>
      <c r="OLN367" s="639"/>
      <c r="OLO367" s="153"/>
      <c r="OLP367" s="153"/>
      <c r="OLQ367" s="153"/>
      <c r="OLR367" s="153"/>
      <c r="OLS367" s="153"/>
      <c r="OLT367" s="153"/>
      <c r="OLU367" s="153"/>
      <c r="OLV367" s="153"/>
      <c r="OLW367" s="153"/>
      <c r="OLX367" s="153"/>
      <c r="OLY367" s="153"/>
      <c r="OLZ367" s="153"/>
      <c r="OMA367" s="640"/>
      <c r="OMB367" s="641"/>
      <c r="OMC367" s="638"/>
      <c r="OMD367" s="639"/>
      <c r="OME367" s="153"/>
      <c r="OMF367" s="153"/>
      <c r="OMG367" s="153"/>
      <c r="OMH367" s="153"/>
      <c r="OMI367" s="153"/>
      <c r="OMJ367" s="153"/>
      <c r="OMK367" s="153"/>
      <c r="OML367" s="153"/>
      <c r="OMM367" s="153"/>
      <c r="OMN367" s="153"/>
      <c r="OMO367" s="153"/>
      <c r="OMP367" s="153"/>
      <c r="OMQ367" s="640"/>
      <c r="OMR367" s="641"/>
      <c r="OMS367" s="638"/>
      <c r="OMT367" s="639"/>
      <c r="OMU367" s="153"/>
      <c r="OMV367" s="153"/>
      <c r="OMW367" s="153"/>
      <c r="OMX367" s="153"/>
      <c r="OMY367" s="153"/>
      <c r="OMZ367" s="153"/>
      <c r="ONA367" s="153"/>
      <c r="ONB367" s="153"/>
      <c r="ONC367" s="153"/>
      <c r="OND367" s="153"/>
      <c r="ONE367" s="153"/>
      <c r="ONF367" s="153"/>
      <c r="ONG367" s="640"/>
      <c r="ONH367" s="641"/>
      <c r="ONI367" s="638"/>
      <c r="ONJ367" s="639"/>
      <c r="ONK367" s="153"/>
      <c r="ONL367" s="153"/>
      <c r="ONM367" s="153"/>
      <c r="ONN367" s="153"/>
      <c r="ONO367" s="153"/>
      <c r="ONP367" s="153"/>
      <c r="ONQ367" s="153"/>
      <c r="ONR367" s="153"/>
      <c r="ONS367" s="153"/>
      <c r="ONT367" s="153"/>
      <c r="ONU367" s="153"/>
      <c r="ONV367" s="153"/>
      <c r="ONW367" s="640"/>
      <c r="ONX367" s="641"/>
      <c r="ONY367" s="638"/>
      <c r="ONZ367" s="639"/>
      <c r="OOA367" s="153"/>
      <c r="OOB367" s="153"/>
      <c r="OOC367" s="153"/>
      <c r="OOD367" s="153"/>
      <c r="OOE367" s="153"/>
      <c r="OOF367" s="153"/>
      <c r="OOG367" s="153"/>
      <c r="OOH367" s="153"/>
      <c r="OOI367" s="153"/>
      <c r="OOJ367" s="153"/>
      <c r="OOK367" s="153"/>
      <c r="OOL367" s="153"/>
      <c r="OOM367" s="640"/>
      <c r="OON367" s="641"/>
      <c r="OOO367" s="638"/>
      <c r="OOP367" s="639"/>
      <c r="OOQ367" s="153"/>
      <c r="OOR367" s="153"/>
      <c r="OOS367" s="153"/>
      <c r="OOT367" s="153"/>
      <c r="OOU367" s="153"/>
      <c r="OOV367" s="153"/>
      <c r="OOW367" s="153"/>
      <c r="OOX367" s="153"/>
      <c r="OOY367" s="153"/>
      <c r="OOZ367" s="153"/>
      <c r="OPA367" s="153"/>
      <c r="OPB367" s="153"/>
      <c r="OPC367" s="640"/>
      <c r="OPD367" s="641"/>
      <c r="OPE367" s="638"/>
      <c r="OPF367" s="639"/>
      <c r="OPG367" s="153"/>
      <c r="OPH367" s="153"/>
      <c r="OPI367" s="153"/>
      <c r="OPJ367" s="153"/>
      <c r="OPK367" s="153"/>
      <c r="OPL367" s="153"/>
      <c r="OPM367" s="153"/>
      <c r="OPN367" s="153"/>
      <c r="OPO367" s="153"/>
      <c r="OPP367" s="153"/>
      <c r="OPQ367" s="153"/>
      <c r="OPR367" s="153"/>
      <c r="OPS367" s="640"/>
      <c r="OPT367" s="641"/>
      <c r="OPU367" s="638"/>
      <c r="OPV367" s="639"/>
      <c r="OPW367" s="153"/>
      <c r="OPX367" s="153"/>
      <c r="OPY367" s="153"/>
      <c r="OPZ367" s="153"/>
      <c r="OQA367" s="153"/>
      <c r="OQB367" s="153"/>
      <c r="OQC367" s="153"/>
      <c r="OQD367" s="153"/>
      <c r="OQE367" s="153"/>
      <c r="OQF367" s="153"/>
      <c r="OQG367" s="153"/>
      <c r="OQH367" s="153"/>
      <c r="OQI367" s="640"/>
      <c r="OQJ367" s="641"/>
      <c r="OQK367" s="638"/>
      <c r="OQL367" s="639"/>
      <c r="OQM367" s="153"/>
      <c r="OQN367" s="153"/>
      <c r="OQO367" s="153"/>
      <c r="OQP367" s="153"/>
      <c r="OQQ367" s="153"/>
      <c r="OQR367" s="153"/>
      <c r="OQS367" s="153"/>
      <c r="OQT367" s="153"/>
      <c r="OQU367" s="153"/>
      <c r="OQV367" s="153"/>
      <c r="OQW367" s="153"/>
      <c r="OQX367" s="153"/>
      <c r="OQY367" s="640"/>
      <c r="OQZ367" s="641"/>
      <c r="ORA367" s="638"/>
      <c r="ORB367" s="639"/>
      <c r="ORC367" s="153"/>
      <c r="ORD367" s="153"/>
      <c r="ORE367" s="153"/>
      <c r="ORF367" s="153"/>
      <c r="ORG367" s="153"/>
      <c r="ORH367" s="153"/>
      <c r="ORI367" s="153"/>
      <c r="ORJ367" s="153"/>
      <c r="ORK367" s="153"/>
      <c r="ORL367" s="153"/>
      <c r="ORM367" s="153"/>
      <c r="ORN367" s="153"/>
      <c r="ORO367" s="640"/>
      <c r="ORP367" s="641"/>
      <c r="ORQ367" s="638"/>
      <c r="ORR367" s="639"/>
      <c r="ORS367" s="153"/>
      <c r="ORT367" s="153"/>
      <c r="ORU367" s="153"/>
      <c r="ORV367" s="153"/>
      <c r="ORW367" s="153"/>
      <c r="ORX367" s="153"/>
      <c r="ORY367" s="153"/>
      <c r="ORZ367" s="153"/>
      <c r="OSA367" s="153"/>
      <c r="OSB367" s="153"/>
      <c r="OSC367" s="153"/>
      <c r="OSD367" s="153"/>
      <c r="OSE367" s="640"/>
      <c r="OSF367" s="641"/>
      <c r="OSG367" s="638"/>
      <c r="OSH367" s="639"/>
      <c r="OSI367" s="153"/>
      <c r="OSJ367" s="153"/>
      <c r="OSK367" s="153"/>
      <c r="OSL367" s="153"/>
      <c r="OSM367" s="153"/>
      <c r="OSN367" s="153"/>
      <c r="OSO367" s="153"/>
      <c r="OSP367" s="153"/>
      <c r="OSQ367" s="153"/>
      <c r="OSR367" s="153"/>
      <c r="OSS367" s="153"/>
      <c r="OST367" s="153"/>
      <c r="OSU367" s="640"/>
      <c r="OSV367" s="641"/>
      <c r="OSW367" s="638"/>
      <c r="OSX367" s="639"/>
      <c r="OSY367" s="153"/>
      <c r="OSZ367" s="153"/>
      <c r="OTA367" s="153"/>
      <c r="OTB367" s="153"/>
      <c r="OTC367" s="153"/>
      <c r="OTD367" s="153"/>
      <c r="OTE367" s="153"/>
      <c r="OTF367" s="153"/>
      <c r="OTG367" s="153"/>
      <c r="OTH367" s="153"/>
      <c r="OTI367" s="153"/>
      <c r="OTJ367" s="153"/>
      <c r="OTK367" s="640"/>
      <c r="OTL367" s="641"/>
      <c r="OTM367" s="638"/>
      <c r="OTN367" s="639"/>
      <c r="OTO367" s="153"/>
      <c r="OTP367" s="153"/>
      <c r="OTQ367" s="153"/>
      <c r="OTR367" s="153"/>
      <c r="OTS367" s="153"/>
      <c r="OTT367" s="153"/>
      <c r="OTU367" s="153"/>
      <c r="OTV367" s="153"/>
      <c r="OTW367" s="153"/>
      <c r="OTX367" s="153"/>
      <c r="OTY367" s="153"/>
      <c r="OTZ367" s="153"/>
      <c r="OUA367" s="640"/>
      <c r="OUB367" s="641"/>
      <c r="OUC367" s="638"/>
      <c r="OUD367" s="639"/>
      <c r="OUE367" s="153"/>
      <c r="OUF367" s="153"/>
      <c r="OUG367" s="153"/>
      <c r="OUH367" s="153"/>
      <c r="OUI367" s="153"/>
      <c r="OUJ367" s="153"/>
      <c r="OUK367" s="153"/>
      <c r="OUL367" s="153"/>
      <c r="OUM367" s="153"/>
      <c r="OUN367" s="153"/>
      <c r="OUO367" s="153"/>
      <c r="OUP367" s="153"/>
      <c r="OUQ367" s="640"/>
      <c r="OUR367" s="641"/>
      <c r="OUS367" s="638"/>
      <c r="OUT367" s="639"/>
      <c r="OUU367" s="153"/>
      <c r="OUV367" s="153"/>
      <c r="OUW367" s="153"/>
      <c r="OUX367" s="153"/>
      <c r="OUY367" s="153"/>
      <c r="OUZ367" s="153"/>
      <c r="OVA367" s="153"/>
      <c r="OVB367" s="153"/>
      <c r="OVC367" s="153"/>
      <c r="OVD367" s="153"/>
      <c r="OVE367" s="153"/>
      <c r="OVF367" s="153"/>
      <c r="OVG367" s="640"/>
      <c r="OVH367" s="641"/>
      <c r="OVI367" s="638"/>
      <c r="OVJ367" s="639"/>
      <c r="OVK367" s="153"/>
      <c r="OVL367" s="153"/>
      <c r="OVM367" s="153"/>
      <c r="OVN367" s="153"/>
      <c r="OVO367" s="153"/>
      <c r="OVP367" s="153"/>
      <c r="OVQ367" s="153"/>
      <c r="OVR367" s="153"/>
      <c r="OVS367" s="153"/>
      <c r="OVT367" s="153"/>
      <c r="OVU367" s="153"/>
      <c r="OVV367" s="153"/>
      <c r="OVW367" s="640"/>
      <c r="OVX367" s="641"/>
      <c r="OVY367" s="638"/>
      <c r="OVZ367" s="639"/>
      <c r="OWA367" s="153"/>
      <c r="OWB367" s="153"/>
      <c r="OWC367" s="153"/>
      <c r="OWD367" s="153"/>
      <c r="OWE367" s="153"/>
      <c r="OWF367" s="153"/>
      <c r="OWG367" s="153"/>
      <c r="OWH367" s="153"/>
      <c r="OWI367" s="153"/>
      <c r="OWJ367" s="153"/>
      <c r="OWK367" s="153"/>
      <c r="OWL367" s="153"/>
      <c r="OWM367" s="640"/>
      <c r="OWN367" s="641"/>
      <c r="OWO367" s="638"/>
      <c r="OWP367" s="639"/>
      <c r="OWQ367" s="153"/>
      <c r="OWR367" s="153"/>
      <c r="OWS367" s="153"/>
      <c r="OWT367" s="153"/>
      <c r="OWU367" s="153"/>
      <c r="OWV367" s="153"/>
      <c r="OWW367" s="153"/>
      <c r="OWX367" s="153"/>
      <c r="OWY367" s="153"/>
      <c r="OWZ367" s="153"/>
      <c r="OXA367" s="153"/>
      <c r="OXB367" s="153"/>
      <c r="OXC367" s="640"/>
      <c r="OXD367" s="641"/>
      <c r="OXE367" s="638"/>
      <c r="OXF367" s="639"/>
      <c r="OXG367" s="153"/>
      <c r="OXH367" s="153"/>
      <c r="OXI367" s="153"/>
      <c r="OXJ367" s="153"/>
      <c r="OXK367" s="153"/>
      <c r="OXL367" s="153"/>
      <c r="OXM367" s="153"/>
      <c r="OXN367" s="153"/>
      <c r="OXO367" s="153"/>
      <c r="OXP367" s="153"/>
      <c r="OXQ367" s="153"/>
      <c r="OXR367" s="153"/>
      <c r="OXS367" s="640"/>
      <c r="OXT367" s="641"/>
      <c r="OXU367" s="638"/>
      <c r="OXV367" s="639"/>
      <c r="OXW367" s="153"/>
      <c r="OXX367" s="153"/>
      <c r="OXY367" s="153"/>
      <c r="OXZ367" s="153"/>
      <c r="OYA367" s="153"/>
      <c r="OYB367" s="153"/>
      <c r="OYC367" s="153"/>
      <c r="OYD367" s="153"/>
      <c r="OYE367" s="153"/>
      <c r="OYF367" s="153"/>
      <c r="OYG367" s="153"/>
      <c r="OYH367" s="153"/>
      <c r="OYI367" s="640"/>
      <c r="OYJ367" s="641"/>
      <c r="OYK367" s="638"/>
      <c r="OYL367" s="639"/>
      <c r="OYM367" s="153"/>
      <c r="OYN367" s="153"/>
      <c r="OYO367" s="153"/>
      <c r="OYP367" s="153"/>
      <c r="OYQ367" s="153"/>
      <c r="OYR367" s="153"/>
      <c r="OYS367" s="153"/>
      <c r="OYT367" s="153"/>
      <c r="OYU367" s="153"/>
      <c r="OYV367" s="153"/>
      <c r="OYW367" s="153"/>
      <c r="OYX367" s="153"/>
      <c r="OYY367" s="640"/>
      <c r="OYZ367" s="641"/>
      <c r="OZA367" s="638"/>
      <c r="OZB367" s="639"/>
      <c r="OZC367" s="153"/>
      <c r="OZD367" s="153"/>
      <c r="OZE367" s="153"/>
      <c r="OZF367" s="153"/>
      <c r="OZG367" s="153"/>
      <c r="OZH367" s="153"/>
      <c r="OZI367" s="153"/>
      <c r="OZJ367" s="153"/>
      <c r="OZK367" s="153"/>
      <c r="OZL367" s="153"/>
      <c r="OZM367" s="153"/>
      <c r="OZN367" s="153"/>
      <c r="OZO367" s="640"/>
      <c r="OZP367" s="641"/>
      <c r="OZQ367" s="638"/>
      <c r="OZR367" s="639"/>
      <c r="OZS367" s="153"/>
      <c r="OZT367" s="153"/>
      <c r="OZU367" s="153"/>
      <c r="OZV367" s="153"/>
      <c r="OZW367" s="153"/>
      <c r="OZX367" s="153"/>
      <c r="OZY367" s="153"/>
      <c r="OZZ367" s="153"/>
      <c r="PAA367" s="153"/>
      <c r="PAB367" s="153"/>
      <c r="PAC367" s="153"/>
      <c r="PAD367" s="153"/>
      <c r="PAE367" s="640"/>
      <c r="PAF367" s="641"/>
      <c r="PAG367" s="638"/>
      <c r="PAH367" s="639"/>
      <c r="PAI367" s="153"/>
      <c r="PAJ367" s="153"/>
      <c r="PAK367" s="153"/>
      <c r="PAL367" s="153"/>
      <c r="PAM367" s="153"/>
      <c r="PAN367" s="153"/>
      <c r="PAO367" s="153"/>
      <c r="PAP367" s="153"/>
      <c r="PAQ367" s="153"/>
      <c r="PAR367" s="153"/>
      <c r="PAS367" s="153"/>
      <c r="PAT367" s="153"/>
      <c r="PAU367" s="640"/>
      <c r="PAV367" s="641"/>
      <c r="PAW367" s="638"/>
      <c r="PAX367" s="639"/>
      <c r="PAY367" s="153"/>
      <c r="PAZ367" s="153"/>
      <c r="PBA367" s="153"/>
      <c r="PBB367" s="153"/>
      <c r="PBC367" s="153"/>
      <c r="PBD367" s="153"/>
      <c r="PBE367" s="153"/>
      <c r="PBF367" s="153"/>
      <c r="PBG367" s="153"/>
      <c r="PBH367" s="153"/>
      <c r="PBI367" s="153"/>
      <c r="PBJ367" s="153"/>
      <c r="PBK367" s="640"/>
      <c r="PBL367" s="641"/>
      <c r="PBM367" s="638"/>
      <c r="PBN367" s="639"/>
      <c r="PBO367" s="153"/>
      <c r="PBP367" s="153"/>
      <c r="PBQ367" s="153"/>
      <c r="PBR367" s="153"/>
      <c r="PBS367" s="153"/>
      <c r="PBT367" s="153"/>
      <c r="PBU367" s="153"/>
      <c r="PBV367" s="153"/>
      <c r="PBW367" s="153"/>
      <c r="PBX367" s="153"/>
      <c r="PBY367" s="153"/>
      <c r="PBZ367" s="153"/>
      <c r="PCA367" s="640"/>
      <c r="PCB367" s="641"/>
      <c r="PCC367" s="638"/>
      <c r="PCD367" s="639"/>
      <c r="PCE367" s="153"/>
      <c r="PCF367" s="153"/>
      <c r="PCG367" s="153"/>
      <c r="PCH367" s="153"/>
      <c r="PCI367" s="153"/>
      <c r="PCJ367" s="153"/>
      <c r="PCK367" s="153"/>
      <c r="PCL367" s="153"/>
      <c r="PCM367" s="153"/>
      <c r="PCN367" s="153"/>
      <c r="PCO367" s="153"/>
      <c r="PCP367" s="153"/>
      <c r="PCQ367" s="640"/>
      <c r="PCR367" s="641"/>
      <c r="PCS367" s="638"/>
      <c r="PCT367" s="639"/>
      <c r="PCU367" s="153"/>
      <c r="PCV367" s="153"/>
      <c r="PCW367" s="153"/>
      <c r="PCX367" s="153"/>
      <c r="PCY367" s="153"/>
      <c r="PCZ367" s="153"/>
      <c r="PDA367" s="153"/>
      <c r="PDB367" s="153"/>
      <c r="PDC367" s="153"/>
      <c r="PDD367" s="153"/>
      <c r="PDE367" s="153"/>
      <c r="PDF367" s="153"/>
      <c r="PDG367" s="640"/>
      <c r="PDH367" s="641"/>
      <c r="PDI367" s="638"/>
      <c r="PDJ367" s="639"/>
      <c r="PDK367" s="153"/>
      <c r="PDL367" s="153"/>
      <c r="PDM367" s="153"/>
      <c r="PDN367" s="153"/>
      <c r="PDO367" s="153"/>
      <c r="PDP367" s="153"/>
      <c r="PDQ367" s="153"/>
      <c r="PDR367" s="153"/>
      <c r="PDS367" s="153"/>
      <c r="PDT367" s="153"/>
      <c r="PDU367" s="153"/>
      <c r="PDV367" s="153"/>
      <c r="PDW367" s="640"/>
      <c r="PDX367" s="641"/>
      <c r="PDY367" s="638"/>
      <c r="PDZ367" s="639"/>
      <c r="PEA367" s="153"/>
      <c r="PEB367" s="153"/>
      <c r="PEC367" s="153"/>
      <c r="PED367" s="153"/>
      <c r="PEE367" s="153"/>
      <c r="PEF367" s="153"/>
      <c r="PEG367" s="153"/>
      <c r="PEH367" s="153"/>
      <c r="PEI367" s="153"/>
      <c r="PEJ367" s="153"/>
      <c r="PEK367" s="153"/>
      <c r="PEL367" s="153"/>
      <c r="PEM367" s="640"/>
      <c r="PEN367" s="641"/>
      <c r="PEO367" s="638"/>
      <c r="PEP367" s="639"/>
      <c r="PEQ367" s="153"/>
      <c r="PER367" s="153"/>
      <c r="PES367" s="153"/>
      <c r="PET367" s="153"/>
      <c r="PEU367" s="153"/>
      <c r="PEV367" s="153"/>
      <c r="PEW367" s="153"/>
      <c r="PEX367" s="153"/>
      <c r="PEY367" s="153"/>
      <c r="PEZ367" s="153"/>
      <c r="PFA367" s="153"/>
      <c r="PFB367" s="153"/>
      <c r="PFC367" s="640"/>
      <c r="PFD367" s="641"/>
      <c r="PFE367" s="638"/>
      <c r="PFF367" s="639"/>
      <c r="PFG367" s="153"/>
      <c r="PFH367" s="153"/>
      <c r="PFI367" s="153"/>
      <c r="PFJ367" s="153"/>
      <c r="PFK367" s="153"/>
      <c r="PFL367" s="153"/>
      <c r="PFM367" s="153"/>
      <c r="PFN367" s="153"/>
      <c r="PFO367" s="153"/>
      <c r="PFP367" s="153"/>
      <c r="PFQ367" s="153"/>
      <c r="PFR367" s="153"/>
      <c r="PFS367" s="640"/>
      <c r="PFT367" s="641"/>
      <c r="PFU367" s="638"/>
      <c r="PFV367" s="639"/>
      <c r="PFW367" s="153"/>
      <c r="PFX367" s="153"/>
      <c r="PFY367" s="153"/>
      <c r="PFZ367" s="153"/>
      <c r="PGA367" s="153"/>
      <c r="PGB367" s="153"/>
      <c r="PGC367" s="153"/>
      <c r="PGD367" s="153"/>
      <c r="PGE367" s="153"/>
      <c r="PGF367" s="153"/>
      <c r="PGG367" s="153"/>
      <c r="PGH367" s="153"/>
      <c r="PGI367" s="640"/>
      <c r="PGJ367" s="641"/>
      <c r="PGK367" s="638"/>
      <c r="PGL367" s="639"/>
      <c r="PGM367" s="153"/>
      <c r="PGN367" s="153"/>
      <c r="PGO367" s="153"/>
      <c r="PGP367" s="153"/>
      <c r="PGQ367" s="153"/>
      <c r="PGR367" s="153"/>
      <c r="PGS367" s="153"/>
      <c r="PGT367" s="153"/>
      <c r="PGU367" s="153"/>
      <c r="PGV367" s="153"/>
      <c r="PGW367" s="153"/>
      <c r="PGX367" s="153"/>
      <c r="PGY367" s="640"/>
      <c r="PGZ367" s="641"/>
      <c r="PHA367" s="638"/>
      <c r="PHB367" s="639"/>
      <c r="PHC367" s="153"/>
      <c r="PHD367" s="153"/>
      <c r="PHE367" s="153"/>
      <c r="PHF367" s="153"/>
      <c r="PHG367" s="153"/>
      <c r="PHH367" s="153"/>
      <c r="PHI367" s="153"/>
      <c r="PHJ367" s="153"/>
      <c r="PHK367" s="153"/>
      <c r="PHL367" s="153"/>
      <c r="PHM367" s="153"/>
      <c r="PHN367" s="153"/>
      <c r="PHO367" s="640"/>
      <c r="PHP367" s="641"/>
      <c r="PHQ367" s="638"/>
      <c r="PHR367" s="639"/>
      <c r="PHS367" s="153"/>
      <c r="PHT367" s="153"/>
      <c r="PHU367" s="153"/>
      <c r="PHV367" s="153"/>
      <c r="PHW367" s="153"/>
      <c r="PHX367" s="153"/>
      <c r="PHY367" s="153"/>
      <c r="PHZ367" s="153"/>
      <c r="PIA367" s="153"/>
      <c r="PIB367" s="153"/>
      <c r="PIC367" s="153"/>
      <c r="PID367" s="153"/>
      <c r="PIE367" s="640"/>
      <c r="PIF367" s="641"/>
      <c r="PIG367" s="638"/>
      <c r="PIH367" s="639"/>
      <c r="PII367" s="153"/>
      <c r="PIJ367" s="153"/>
      <c r="PIK367" s="153"/>
      <c r="PIL367" s="153"/>
      <c r="PIM367" s="153"/>
      <c r="PIN367" s="153"/>
      <c r="PIO367" s="153"/>
      <c r="PIP367" s="153"/>
      <c r="PIQ367" s="153"/>
      <c r="PIR367" s="153"/>
      <c r="PIS367" s="153"/>
      <c r="PIT367" s="153"/>
      <c r="PIU367" s="640"/>
      <c r="PIV367" s="641"/>
      <c r="PIW367" s="638"/>
      <c r="PIX367" s="639"/>
      <c r="PIY367" s="153"/>
      <c r="PIZ367" s="153"/>
      <c r="PJA367" s="153"/>
      <c r="PJB367" s="153"/>
      <c r="PJC367" s="153"/>
      <c r="PJD367" s="153"/>
      <c r="PJE367" s="153"/>
      <c r="PJF367" s="153"/>
      <c r="PJG367" s="153"/>
      <c r="PJH367" s="153"/>
      <c r="PJI367" s="153"/>
      <c r="PJJ367" s="153"/>
      <c r="PJK367" s="640"/>
      <c r="PJL367" s="641"/>
      <c r="PJM367" s="638"/>
      <c r="PJN367" s="639"/>
      <c r="PJO367" s="153"/>
      <c r="PJP367" s="153"/>
      <c r="PJQ367" s="153"/>
      <c r="PJR367" s="153"/>
      <c r="PJS367" s="153"/>
      <c r="PJT367" s="153"/>
      <c r="PJU367" s="153"/>
      <c r="PJV367" s="153"/>
      <c r="PJW367" s="153"/>
      <c r="PJX367" s="153"/>
      <c r="PJY367" s="153"/>
      <c r="PJZ367" s="153"/>
      <c r="PKA367" s="640"/>
      <c r="PKB367" s="641"/>
      <c r="PKC367" s="638"/>
      <c r="PKD367" s="639"/>
      <c r="PKE367" s="153"/>
      <c r="PKF367" s="153"/>
      <c r="PKG367" s="153"/>
      <c r="PKH367" s="153"/>
      <c r="PKI367" s="153"/>
      <c r="PKJ367" s="153"/>
      <c r="PKK367" s="153"/>
      <c r="PKL367" s="153"/>
      <c r="PKM367" s="153"/>
      <c r="PKN367" s="153"/>
      <c r="PKO367" s="153"/>
      <c r="PKP367" s="153"/>
      <c r="PKQ367" s="640"/>
      <c r="PKR367" s="641"/>
      <c r="PKS367" s="638"/>
      <c r="PKT367" s="639"/>
      <c r="PKU367" s="153"/>
      <c r="PKV367" s="153"/>
      <c r="PKW367" s="153"/>
      <c r="PKX367" s="153"/>
      <c r="PKY367" s="153"/>
      <c r="PKZ367" s="153"/>
      <c r="PLA367" s="153"/>
      <c r="PLB367" s="153"/>
      <c r="PLC367" s="153"/>
      <c r="PLD367" s="153"/>
      <c r="PLE367" s="153"/>
      <c r="PLF367" s="153"/>
      <c r="PLG367" s="640"/>
      <c r="PLH367" s="641"/>
      <c r="PLI367" s="638"/>
      <c r="PLJ367" s="639"/>
      <c r="PLK367" s="153"/>
      <c r="PLL367" s="153"/>
      <c r="PLM367" s="153"/>
      <c r="PLN367" s="153"/>
      <c r="PLO367" s="153"/>
      <c r="PLP367" s="153"/>
      <c r="PLQ367" s="153"/>
      <c r="PLR367" s="153"/>
      <c r="PLS367" s="153"/>
      <c r="PLT367" s="153"/>
      <c r="PLU367" s="153"/>
      <c r="PLV367" s="153"/>
      <c r="PLW367" s="640"/>
      <c r="PLX367" s="641"/>
      <c r="PLY367" s="638"/>
      <c r="PLZ367" s="639"/>
      <c r="PMA367" s="153"/>
      <c r="PMB367" s="153"/>
      <c r="PMC367" s="153"/>
      <c r="PMD367" s="153"/>
      <c r="PME367" s="153"/>
      <c r="PMF367" s="153"/>
      <c r="PMG367" s="153"/>
      <c r="PMH367" s="153"/>
      <c r="PMI367" s="153"/>
      <c r="PMJ367" s="153"/>
      <c r="PMK367" s="153"/>
      <c r="PML367" s="153"/>
      <c r="PMM367" s="640"/>
      <c r="PMN367" s="641"/>
      <c r="PMO367" s="638"/>
      <c r="PMP367" s="639"/>
      <c r="PMQ367" s="153"/>
      <c r="PMR367" s="153"/>
      <c r="PMS367" s="153"/>
      <c r="PMT367" s="153"/>
      <c r="PMU367" s="153"/>
      <c r="PMV367" s="153"/>
      <c r="PMW367" s="153"/>
      <c r="PMX367" s="153"/>
      <c r="PMY367" s="153"/>
      <c r="PMZ367" s="153"/>
      <c r="PNA367" s="153"/>
      <c r="PNB367" s="153"/>
      <c r="PNC367" s="640"/>
      <c r="PND367" s="641"/>
      <c r="PNE367" s="638"/>
      <c r="PNF367" s="639"/>
      <c r="PNG367" s="153"/>
      <c r="PNH367" s="153"/>
      <c r="PNI367" s="153"/>
      <c r="PNJ367" s="153"/>
      <c r="PNK367" s="153"/>
      <c r="PNL367" s="153"/>
      <c r="PNM367" s="153"/>
      <c r="PNN367" s="153"/>
      <c r="PNO367" s="153"/>
      <c r="PNP367" s="153"/>
      <c r="PNQ367" s="153"/>
      <c r="PNR367" s="153"/>
      <c r="PNS367" s="640"/>
      <c r="PNT367" s="641"/>
      <c r="PNU367" s="638"/>
      <c r="PNV367" s="639"/>
      <c r="PNW367" s="153"/>
      <c r="PNX367" s="153"/>
      <c r="PNY367" s="153"/>
      <c r="PNZ367" s="153"/>
      <c r="POA367" s="153"/>
      <c r="POB367" s="153"/>
      <c r="POC367" s="153"/>
      <c r="POD367" s="153"/>
      <c r="POE367" s="153"/>
      <c r="POF367" s="153"/>
      <c r="POG367" s="153"/>
      <c r="POH367" s="153"/>
      <c r="POI367" s="640"/>
      <c r="POJ367" s="641"/>
      <c r="POK367" s="638"/>
      <c r="POL367" s="639"/>
      <c r="POM367" s="153"/>
      <c r="PON367" s="153"/>
      <c r="POO367" s="153"/>
      <c r="POP367" s="153"/>
      <c r="POQ367" s="153"/>
      <c r="POR367" s="153"/>
      <c r="POS367" s="153"/>
      <c r="POT367" s="153"/>
      <c r="POU367" s="153"/>
      <c r="POV367" s="153"/>
      <c r="POW367" s="153"/>
      <c r="POX367" s="153"/>
      <c r="POY367" s="640"/>
      <c r="POZ367" s="641"/>
      <c r="PPA367" s="638"/>
      <c r="PPB367" s="639"/>
      <c r="PPC367" s="153"/>
      <c r="PPD367" s="153"/>
      <c r="PPE367" s="153"/>
      <c r="PPF367" s="153"/>
      <c r="PPG367" s="153"/>
      <c r="PPH367" s="153"/>
      <c r="PPI367" s="153"/>
      <c r="PPJ367" s="153"/>
      <c r="PPK367" s="153"/>
      <c r="PPL367" s="153"/>
      <c r="PPM367" s="153"/>
      <c r="PPN367" s="153"/>
      <c r="PPO367" s="640"/>
      <c r="PPP367" s="641"/>
      <c r="PPQ367" s="638"/>
      <c r="PPR367" s="639"/>
      <c r="PPS367" s="153"/>
      <c r="PPT367" s="153"/>
      <c r="PPU367" s="153"/>
      <c r="PPV367" s="153"/>
      <c r="PPW367" s="153"/>
      <c r="PPX367" s="153"/>
      <c r="PPY367" s="153"/>
      <c r="PPZ367" s="153"/>
      <c r="PQA367" s="153"/>
      <c r="PQB367" s="153"/>
      <c r="PQC367" s="153"/>
      <c r="PQD367" s="153"/>
      <c r="PQE367" s="640"/>
      <c r="PQF367" s="641"/>
      <c r="PQG367" s="638"/>
      <c r="PQH367" s="639"/>
      <c r="PQI367" s="153"/>
      <c r="PQJ367" s="153"/>
      <c r="PQK367" s="153"/>
      <c r="PQL367" s="153"/>
      <c r="PQM367" s="153"/>
      <c r="PQN367" s="153"/>
      <c r="PQO367" s="153"/>
      <c r="PQP367" s="153"/>
      <c r="PQQ367" s="153"/>
      <c r="PQR367" s="153"/>
      <c r="PQS367" s="153"/>
      <c r="PQT367" s="153"/>
      <c r="PQU367" s="640"/>
      <c r="PQV367" s="641"/>
      <c r="PQW367" s="638"/>
      <c r="PQX367" s="639"/>
      <c r="PQY367" s="153"/>
      <c r="PQZ367" s="153"/>
      <c r="PRA367" s="153"/>
      <c r="PRB367" s="153"/>
      <c r="PRC367" s="153"/>
      <c r="PRD367" s="153"/>
      <c r="PRE367" s="153"/>
      <c r="PRF367" s="153"/>
      <c r="PRG367" s="153"/>
      <c r="PRH367" s="153"/>
      <c r="PRI367" s="153"/>
      <c r="PRJ367" s="153"/>
      <c r="PRK367" s="640"/>
      <c r="PRL367" s="641"/>
      <c r="PRM367" s="638"/>
      <c r="PRN367" s="639"/>
      <c r="PRO367" s="153"/>
      <c r="PRP367" s="153"/>
      <c r="PRQ367" s="153"/>
      <c r="PRR367" s="153"/>
      <c r="PRS367" s="153"/>
      <c r="PRT367" s="153"/>
      <c r="PRU367" s="153"/>
      <c r="PRV367" s="153"/>
      <c r="PRW367" s="153"/>
      <c r="PRX367" s="153"/>
      <c r="PRY367" s="153"/>
      <c r="PRZ367" s="153"/>
      <c r="PSA367" s="640"/>
      <c r="PSB367" s="641"/>
      <c r="PSC367" s="638"/>
      <c r="PSD367" s="639"/>
      <c r="PSE367" s="153"/>
      <c r="PSF367" s="153"/>
      <c r="PSG367" s="153"/>
      <c r="PSH367" s="153"/>
      <c r="PSI367" s="153"/>
      <c r="PSJ367" s="153"/>
      <c r="PSK367" s="153"/>
      <c r="PSL367" s="153"/>
      <c r="PSM367" s="153"/>
      <c r="PSN367" s="153"/>
      <c r="PSO367" s="153"/>
      <c r="PSP367" s="153"/>
      <c r="PSQ367" s="640"/>
      <c r="PSR367" s="641"/>
      <c r="PSS367" s="638"/>
      <c r="PST367" s="639"/>
      <c r="PSU367" s="153"/>
      <c r="PSV367" s="153"/>
      <c r="PSW367" s="153"/>
      <c r="PSX367" s="153"/>
      <c r="PSY367" s="153"/>
      <c r="PSZ367" s="153"/>
      <c r="PTA367" s="153"/>
      <c r="PTB367" s="153"/>
      <c r="PTC367" s="153"/>
      <c r="PTD367" s="153"/>
      <c r="PTE367" s="153"/>
      <c r="PTF367" s="153"/>
      <c r="PTG367" s="640"/>
      <c r="PTH367" s="641"/>
      <c r="PTI367" s="638"/>
      <c r="PTJ367" s="639"/>
      <c r="PTK367" s="153"/>
      <c r="PTL367" s="153"/>
      <c r="PTM367" s="153"/>
      <c r="PTN367" s="153"/>
      <c r="PTO367" s="153"/>
      <c r="PTP367" s="153"/>
      <c r="PTQ367" s="153"/>
      <c r="PTR367" s="153"/>
      <c r="PTS367" s="153"/>
      <c r="PTT367" s="153"/>
      <c r="PTU367" s="153"/>
      <c r="PTV367" s="153"/>
      <c r="PTW367" s="640"/>
      <c r="PTX367" s="641"/>
      <c r="PTY367" s="638"/>
      <c r="PTZ367" s="639"/>
      <c r="PUA367" s="153"/>
      <c r="PUB367" s="153"/>
      <c r="PUC367" s="153"/>
      <c r="PUD367" s="153"/>
      <c r="PUE367" s="153"/>
      <c r="PUF367" s="153"/>
      <c r="PUG367" s="153"/>
      <c r="PUH367" s="153"/>
      <c r="PUI367" s="153"/>
      <c r="PUJ367" s="153"/>
      <c r="PUK367" s="153"/>
      <c r="PUL367" s="153"/>
      <c r="PUM367" s="640"/>
      <c r="PUN367" s="641"/>
      <c r="PUO367" s="638"/>
      <c r="PUP367" s="639"/>
      <c r="PUQ367" s="153"/>
      <c r="PUR367" s="153"/>
      <c r="PUS367" s="153"/>
      <c r="PUT367" s="153"/>
      <c r="PUU367" s="153"/>
      <c r="PUV367" s="153"/>
      <c r="PUW367" s="153"/>
      <c r="PUX367" s="153"/>
      <c r="PUY367" s="153"/>
      <c r="PUZ367" s="153"/>
      <c r="PVA367" s="153"/>
      <c r="PVB367" s="153"/>
      <c r="PVC367" s="640"/>
      <c r="PVD367" s="641"/>
      <c r="PVE367" s="638"/>
      <c r="PVF367" s="639"/>
      <c r="PVG367" s="153"/>
      <c r="PVH367" s="153"/>
      <c r="PVI367" s="153"/>
      <c r="PVJ367" s="153"/>
      <c r="PVK367" s="153"/>
      <c r="PVL367" s="153"/>
      <c r="PVM367" s="153"/>
      <c r="PVN367" s="153"/>
      <c r="PVO367" s="153"/>
      <c r="PVP367" s="153"/>
      <c r="PVQ367" s="153"/>
      <c r="PVR367" s="153"/>
      <c r="PVS367" s="640"/>
      <c r="PVT367" s="641"/>
      <c r="PVU367" s="638"/>
      <c r="PVV367" s="639"/>
      <c r="PVW367" s="153"/>
      <c r="PVX367" s="153"/>
      <c r="PVY367" s="153"/>
      <c r="PVZ367" s="153"/>
      <c r="PWA367" s="153"/>
      <c r="PWB367" s="153"/>
      <c r="PWC367" s="153"/>
      <c r="PWD367" s="153"/>
      <c r="PWE367" s="153"/>
      <c r="PWF367" s="153"/>
      <c r="PWG367" s="153"/>
      <c r="PWH367" s="153"/>
      <c r="PWI367" s="640"/>
      <c r="PWJ367" s="641"/>
      <c r="PWK367" s="638"/>
      <c r="PWL367" s="639"/>
      <c r="PWM367" s="153"/>
      <c r="PWN367" s="153"/>
      <c r="PWO367" s="153"/>
      <c r="PWP367" s="153"/>
      <c r="PWQ367" s="153"/>
      <c r="PWR367" s="153"/>
      <c r="PWS367" s="153"/>
      <c r="PWT367" s="153"/>
      <c r="PWU367" s="153"/>
      <c r="PWV367" s="153"/>
      <c r="PWW367" s="153"/>
      <c r="PWX367" s="153"/>
      <c r="PWY367" s="640"/>
      <c r="PWZ367" s="641"/>
      <c r="PXA367" s="638"/>
      <c r="PXB367" s="639"/>
      <c r="PXC367" s="153"/>
      <c r="PXD367" s="153"/>
      <c r="PXE367" s="153"/>
      <c r="PXF367" s="153"/>
      <c r="PXG367" s="153"/>
      <c r="PXH367" s="153"/>
      <c r="PXI367" s="153"/>
      <c r="PXJ367" s="153"/>
      <c r="PXK367" s="153"/>
      <c r="PXL367" s="153"/>
      <c r="PXM367" s="153"/>
      <c r="PXN367" s="153"/>
      <c r="PXO367" s="640"/>
      <c r="PXP367" s="641"/>
      <c r="PXQ367" s="638"/>
      <c r="PXR367" s="639"/>
      <c r="PXS367" s="153"/>
      <c r="PXT367" s="153"/>
      <c r="PXU367" s="153"/>
      <c r="PXV367" s="153"/>
      <c r="PXW367" s="153"/>
      <c r="PXX367" s="153"/>
      <c r="PXY367" s="153"/>
      <c r="PXZ367" s="153"/>
      <c r="PYA367" s="153"/>
      <c r="PYB367" s="153"/>
      <c r="PYC367" s="153"/>
      <c r="PYD367" s="153"/>
      <c r="PYE367" s="640"/>
      <c r="PYF367" s="641"/>
      <c r="PYG367" s="638"/>
      <c r="PYH367" s="639"/>
      <c r="PYI367" s="153"/>
      <c r="PYJ367" s="153"/>
      <c r="PYK367" s="153"/>
      <c r="PYL367" s="153"/>
      <c r="PYM367" s="153"/>
      <c r="PYN367" s="153"/>
      <c r="PYO367" s="153"/>
      <c r="PYP367" s="153"/>
      <c r="PYQ367" s="153"/>
      <c r="PYR367" s="153"/>
      <c r="PYS367" s="153"/>
      <c r="PYT367" s="153"/>
      <c r="PYU367" s="640"/>
      <c r="PYV367" s="641"/>
      <c r="PYW367" s="638"/>
      <c r="PYX367" s="639"/>
      <c r="PYY367" s="153"/>
      <c r="PYZ367" s="153"/>
      <c r="PZA367" s="153"/>
      <c r="PZB367" s="153"/>
      <c r="PZC367" s="153"/>
      <c r="PZD367" s="153"/>
      <c r="PZE367" s="153"/>
      <c r="PZF367" s="153"/>
      <c r="PZG367" s="153"/>
      <c r="PZH367" s="153"/>
      <c r="PZI367" s="153"/>
      <c r="PZJ367" s="153"/>
      <c r="PZK367" s="640"/>
      <c r="PZL367" s="641"/>
      <c r="PZM367" s="638"/>
      <c r="PZN367" s="639"/>
      <c r="PZO367" s="153"/>
      <c r="PZP367" s="153"/>
      <c r="PZQ367" s="153"/>
      <c r="PZR367" s="153"/>
      <c r="PZS367" s="153"/>
      <c r="PZT367" s="153"/>
      <c r="PZU367" s="153"/>
      <c r="PZV367" s="153"/>
      <c r="PZW367" s="153"/>
      <c r="PZX367" s="153"/>
      <c r="PZY367" s="153"/>
      <c r="PZZ367" s="153"/>
      <c r="QAA367" s="640"/>
      <c r="QAB367" s="641"/>
      <c r="QAC367" s="638"/>
      <c r="QAD367" s="639"/>
      <c r="QAE367" s="153"/>
      <c r="QAF367" s="153"/>
      <c r="QAG367" s="153"/>
      <c r="QAH367" s="153"/>
      <c r="QAI367" s="153"/>
      <c r="QAJ367" s="153"/>
      <c r="QAK367" s="153"/>
      <c r="QAL367" s="153"/>
      <c r="QAM367" s="153"/>
      <c r="QAN367" s="153"/>
      <c r="QAO367" s="153"/>
      <c r="QAP367" s="153"/>
      <c r="QAQ367" s="640"/>
      <c r="QAR367" s="641"/>
      <c r="QAS367" s="638"/>
      <c r="QAT367" s="639"/>
      <c r="QAU367" s="153"/>
      <c r="QAV367" s="153"/>
      <c r="QAW367" s="153"/>
      <c r="QAX367" s="153"/>
      <c r="QAY367" s="153"/>
      <c r="QAZ367" s="153"/>
      <c r="QBA367" s="153"/>
      <c r="QBB367" s="153"/>
      <c r="QBC367" s="153"/>
      <c r="QBD367" s="153"/>
      <c r="QBE367" s="153"/>
      <c r="QBF367" s="153"/>
      <c r="QBG367" s="640"/>
      <c r="QBH367" s="641"/>
      <c r="QBI367" s="638"/>
      <c r="QBJ367" s="639"/>
      <c r="QBK367" s="153"/>
      <c r="QBL367" s="153"/>
      <c r="QBM367" s="153"/>
      <c r="QBN367" s="153"/>
      <c r="QBO367" s="153"/>
      <c r="QBP367" s="153"/>
      <c r="QBQ367" s="153"/>
      <c r="QBR367" s="153"/>
      <c r="QBS367" s="153"/>
      <c r="QBT367" s="153"/>
      <c r="QBU367" s="153"/>
      <c r="QBV367" s="153"/>
      <c r="QBW367" s="640"/>
      <c r="QBX367" s="641"/>
      <c r="QBY367" s="638"/>
      <c r="QBZ367" s="639"/>
      <c r="QCA367" s="153"/>
      <c r="QCB367" s="153"/>
      <c r="QCC367" s="153"/>
      <c r="QCD367" s="153"/>
      <c r="QCE367" s="153"/>
      <c r="QCF367" s="153"/>
      <c r="QCG367" s="153"/>
      <c r="QCH367" s="153"/>
      <c r="QCI367" s="153"/>
      <c r="QCJ367" s="153"/>
      <c r="QCK367" s="153"/>
      <c r="QCL367" s="153"/>
      <c r="QCM367" s="640"/>
      <c r="QCN367" s="641"/>
      <c r="QCO367" s="638"/>
      <c r="QCP367" s="639"/>
      <c r="QCQ367" s="153"/>
      <c r="QCR367" s="153"/>
      <c r="QCS367" s="153"/>
      <c r="QCT367" s="153"/>
      <c r="QCU367" s="153"/>
      <c r="QCV367" s="153"/>
      <c r="QCW367" s="153"/>
      <c r="QCX367" s="153"/>
      <c r="QCY367" s="153"/>
      <c r="QCZ367" s="153"/>
      <c r="QDA367" s="153"/>
      <c r="QDB367" s="153"/>
      <c r="QDC367" s="640"/>
      <c r="QDD367" s="641"/>
      <c r="QDE367" s="638"/>
      <c r="QDF367" s="639"/>
      <c r="QDG367" s="153"/>
      <c r="QDH367" s="153"/>
      <c r="QDI367" s="153"/>
      <c r="QDJ367" s="153"/>
      <c r="QDK367" s="153"/>
      <c r="QDL367" s="153"/>
      <c r="QDM367" s="153"/>
      <c r="QDN367" s="153"/>
      <c r="QDO367" s="153"/>
      <c r="QDP367" s="153"/>
      <c r="QDQ367" s="153"/>
      <c r="QDR367" s="153"/>
      <c r="QDS367" s="640"/>
      <c r="QDT367" s="641"/>
      <c r="QDU367" s="638"/>
      <c r="QDV367" s="639"/>
      <c r="QDW367" s="153"/>
      <c r="QDX367" s="153"/>
      <c r="QDY367" s="153"/>
      <c r="QDZ367" s="153"/>
      <c r="QEA367" s="153"/>
      <c r="QEB367" s="153"/>
      <c r="QEC367" s="153"/>
      <c r="QED367" s="153"/>
      <c r="QEE367" s="153"/>
      <c r="QEF367" s="153"/>
      <c r="QEG367" s="153"/>
      <c r="QEH367" s="153"/>
      <c r="QEI367" s="640"/>
      <c r="QEJ367" s="641"/>
      <c r="QEK367" s="638"/>
      <c r="QEL367" s="639"/>
      <c r="QEM367" s="153"/>
      <c r="QEN367" s="153"/>
      <c r="QEO367" s="153"/>
      <c r="QEP367" s="153"/>
      <c r="QEQ367" s="153"/>
      <c r="QER367" s="153"/>
      <c r="QES367" s="153"/>
      <c r="QET367" s="153"/>
      <c r="QEU367" s="153"/>
      <c r="QEV367" s="153"/>
      <c r="QEW367" s="153"/>
      <c r="QEX367" s="153"/>
      <c r="QEY367" s="640"/>
      <c r="QEZ367" s="641"/>
      <c r="QFA367" s="638"/>
      <c r="QFB367" s="639"/>
      <c r="QFC367" s="153"/>
      <c r="QFD367" s="153"/>
      <c r="QFE367" s="153"/>
      <c r="QFF367" s="153"/>
      <c r="QFG367" s="153"/>
      <c r="QFH367" s="153"/>
      <c r="QFI367" s="153"/>
      <c r="QFJ367" s="153"/>
      <c r="QFK367" s="153"/>
      <c r="QFL367" s="153"/>
      <c r="QFM367" s="153"/>
      <c r="QFN367" s="153"/>
      <c r="QFO367" s="640"/>
      <c r="QFP367" s="641"/>
      <c r="QFQ367" s="638"/>
      <c r="QFR367" s="639"/>
      <c r="QFS367" s="153"/>
      <c r="QFT367" s="153"/>
      <c r="QFU367" s="153"/>
      <c r="QFV367" s="153"/>
      <c r="QFW367" s="153"/>
      <c r="QFX367" s="153"/>
      <c r="QFY367" s="153"/>
      <c r="QFZ367" s="153"/>
      <c r="QGA367" s="153"/>
      <c r="QGB367" s="153"/>
      <c r="QGC367" s="153"/>
      <c r="QGD367" s="153"/>
      <c r="QGE367" s="640"/>
      <c r="QGF367" s="641"/>
      <c r="QGG367" s="638"/>
      <c r="QGH367" s="639"/>
      <c r="QGI367" s="153"/>
      <c r="QGJ367" s="153"/>
      <c r="QGK367" s="153"/>
      <c r="QGL367" s="153"/>
      <c r="QGM367" s="153"/>
      <c r="QGN367" s="153"/>
      <c r="QGO367" s="153"/>
      <c r="QGP367" s="153"/>
      <c r="QGQ367" s="153"/>
      <c r="QGR367" s="153"/>
      <c r="QGS367" s="153"/>
      <c r="QGT367" s="153"/>
      <c r="QGU367" s="640"/>
      <c r="QGV367" s="641"/>
      <c r="QGW367" s="638"/>
      <c r="QGX367" s="639"/>
      <c r="QGY367" s="153"/>
      <c r="QGZ367" s="153"/>
      <c r="QHA367" s="153"/>
      <c r="QHB367" s="153"/>
      <c r="QHC367" s="153"/>
      <c r="QHD367" s="153"/>
      <c r="QHE367" s="153"/>
      <c r="QHF367" s="153"/>
      <c r="QHG367" s="153"/>
      <c r="QHH367" s="153"/>
      <c r="QHI367" s="153"/>
      <c r="QHJ367" s="153"/>
      <c r="QHK367" s="640"/>
      <c r="QHL367" s="641"/>
      <c r="QHM367" s="638"/>
      <c r="QHN367" s="639"/>
      <c r="QHO367" s="153"/>
      <c r="QHP367" s="153"/>
      <c r="QHQ367" s="153"/>
      <c r="QHR367" s="153"/>
      <c r="QHS367" s="153"/>
      <c r="QHT367" s="153"/>
      <c r="QHU367" s="153"/>
      <c r="QHV367" s="153"/>
      <c r="QHW367" s="153"/>
      <c r="QHX367" s="153"/>
      <c r="QHY367" s="153"/>
      <c r="QHZ367" s="153"/>
      <c r="QIA367" s="640"/>
      <c r="QIB367" s="641"/>
      <c r="QIC367" s="638"/>
      <c r="QID367" s="639"/>
      <c r="QIE367" s="153"/>
      <c r="QIF367" s="153"/>
      <c r="QIG367" s="153"/>
      <c r="QIH367" s="153"/>
      <c r="QII367" s="153"/>
      <c r="QIJ367" s="153"/>
      <c r="QIK367" s="153"/>
      <c r="QIL367" s="153"/>
      <c r="QIM367" s="153"/>
      <c r="QIN367" s="153"/>
      <c r="QIO367" s="153"/>
      <c r="QIP367" s="153"/>
      <c r="QIQ367" s="640"/>
      <c r="QIR367" s="641"/>
      <c r="QIS367" s="638"/>
      <c r="QIT367" s="639"/>
      <c r="QIU367" s="153"/>
      <c r="QIV367" s="153"/>
      <c r="QIW367" s="153"/>
      <c r="QIX367" s="153"/>
      <c r="QIY367" s="153"/>
      <c r="QIZ367" s="153"/>
      <c r="QJA367" s="153"/>
      <c r="QJB367" s="153"/>
      <c r="QJC367" s="153"/>
      <c r="QJD367" s="153"/>
      <c r="QJE367" s="153"/>
      <c r="QJF367" s="153"/>
      <c r="QJG367" s="640"/>
      <c r="QJH367" s="641"/>
      <c r="QJI367" s="638"/>
      <c r="QJJ367" s="639"/>
      <c r="QJK367" s="153"/>
      <c r="QJL367" s="153"/>
      <c r="QJM367" s="153"/>
      <c r="QJN367" s="153"/>
      <c r="QJO367" s="153"/>
      <c r="QJP367" s="153"/>
      <c r="QJQ367" s="153"/>
      <c r="QJR367" s="153"/>
      <c r="QJS367" s="153"/>
      <c r="QJT367" s="153"/>
      <c r="QJU367" s="153"/>
      <c r="QJV367" s="153"/>
      <c r="QJW367" s="640"/>
      <c r="QJX367" s="641"/>
      <c r="QJY367" s="638"/>
      <c r="QJZ367" s="639"/>
      <c r="QKA367" s="153"/>
      <c r="QKB367" s="153"/>
      <c r="QKC367" s="153"/>
      <c r="QKD367" s="153"/>
      <c r="QKE367" s="153"/>
      <c r="QKF367" s="153"/>
      <c r="QKG367" s="153"/>
      <c r="QKH367" s="153"/>
      <c r="QKI367" s="153"/>
      <c r="QKJ367" s="153"/>
      <c r="QKK367" s="153"/>
      <c r="QKL367" s="153"/>
      <c r="QKM367" s="640"/>
      <c r="QKN367" s="641"/>
      <c r="QKO367" s="638"/>
      <c r="QKP367" s="639"/>
      <c r="QKQ367" s="153"/>
      <c r="QKR367" s="153"/>
      <c r="QKS367" s="153"/>
      <c r="QKT367" s="153"/>
      <c r="QKU367" s="153"/>
      <c r="QKV367" s="153"/>
      <c r="QKW367" s="153"/>
      <c r="QKX367" s="153"/>
      <c r="QKY367" s="153"/>
      <c r="QKZ367" s="153"/>
      <c r="QLA367" s="153"/>
      <c r="QLB367" s="153"/>
      <c r="QLC367" s="640"/>
      <c r="QLD367" s="641"/>
      <c r="QLE367" s="638"/>
      <c r="QLF367" s="639"/>
      <c r="QLG367" s="153"/>
      <c r="QLH367" s="153"/>
      <c r="QLI367" s="153"/>
      <c r="QLJ367" s="153"/>
      <c r="QLK367" s="153"/>
      <c r="QLL367" s="153"/>
      <c r="QLM367" s="153"/>
      <c r="QLN367" s="153"/>
      <c r="QLO367" s="153"/>
      <c r="QLP367" s="153"/>
      <c r="QLQ367" s="153"/>
      <c r="QLR367" s="153"/>
      <c r="QLS367" s="640"/>
      <c r="QLT367" s="641"/>
      <c r="QLU367" s="638"/>
      <c r="QLV367" s="639"/>
      <c r="QLW367" s="153"/>
      <c r="QLX367" s="153"/>
      <c r="QLY367" s="153"/>
      <c r="QLZ367" s="153"/>
      <c r="QMA367" s="153"/>
      <c r="QMB367" s="153"/>
      <c r="QMC367" s="153"/>
      <c r="QMD367" s="153"/>
      <c r="QME367" s="153"/>
      <c r="QMF367" s="153"/>
      <c r="QMG367" s="153"/>
      <c r="QMH367" s="153"/>
      <c r="QMI367" s="640"/>
      <c r="QMJ367" s="641"/>
      <c r="QMK367" s="638"/>
      <c r="QML367" s="639"/>
      <c r="QMM367" s="153"/>
      <c r="QMN367" s="153"/>
      <c r="QMO367" s="153"/>
      <c r="QMP367" s="153"/>
      <c r="QMQ367" s="153"/>
      <c r="QMR367" s="153"/>
      <c r="QMS367" s="153"/>
      <c r="QMT367" s="153"/>
      <c r="QMU367" s="153"/>
      <c r="QMV367" s="153"/>
      <c r="QMW367" s="153"/>
      <c r="QMX367" s="153"/>
      <c r="QMY367" s="640"/>
      <c r="QMZ367" s="641"/>
      <c r="QNA367" s="638"/>
      <c r="QNB367" s="639"/>
      <c r="QNC367" s="153"/>
      <c r="QND367" s="153"/>
      <c r="QNE367" s="153"/>
      <c r="QNF367" s="153"/>
      <c r="QNG367" s="153"/>
      <c r="QNH367" s="153"/>
      <c r="QNI367" s="153"/>
      <c r="QNJ367" s="153"/>
      <c r="QNK367" s="153"/>
      <c r="QNL367" s="153"/>
      <c r="QNM367" s="153"/>
      <c r="QNN367" s="153"/>
      <c r="QNO367" s="640"/>
      <c r="QNP367" s="641"/>
      <c r="QNQ367" s="638"/>
      <c r="QNR367" s="639"/>
      <c r="QNS367" s="153"/>
      <c r="QNT367" s="153"/>
      <c r="QNU367" s="153"/>
      <c r="QNV367" s="153"/>
      <c r="QNW367" s="153"/>
      <c r="QNX367" s="153"/>
      <c r="QNY367" s="153"/>
      <c r="QNZ367" s="153"/>
      <c r="QOA367" s="153"/>
      <c r="QOB367" s="153"/>
      <c r="QOC367" s="153"/>
      <c r="QOD367" s="153"/>
      <c r="QOE367" s="640"/>
      <c r="QOF367" s="641"/>
      <c r="QOG367" s="638"/>
      <c r="QOH367" s="639"/>
      <c r="QOI367" s="153"/>
      <c r="QOJ367" s="153"/>
      <c r="QOK367" s="153"/>
      <c r="QOL367" s="153"/>
      <c r="QOM367" s="153"/>
      <c r="QON367" s="153"/>
      <c r="QOO367" s="153"/>
      <c r="QOP367" s="153"/>
      <c r="QOQ367" s="153"/>
      <c r="QOR367" s="153"/>
      <c r="QOS367" s="153"/>
      <c r="QOT367" s="153"/>
      <c r="QOU367" s="640"/>
      <c r="QOV367" s="641"/>
      <c r="QOW367" s="638"/>
      <c r="QOX367" s="639"/>
      <c r="QOY367" s="153"/>
      <c r="QOZ367" s="153"/>
      <c r="QPA367" s="153"/>
      <c r="QPB367" s="153"/>
      <c r="QPC367" s="153"/>
      <c r="QPD367" s="153"/>
      <c r="QPE367" s="153"/>
      <c r="QPF367" s="153"/>
      <c r="QPG367" s="153"/>
      <c r="QPH367" s="153"/>
      <c r="QPI367" s="153"/>
      <c r="QPJ367" s="153"/>
      <c r="QPK367" s="640"/>
      <c r="QPL367" s="641"/>
      <c r="QPM367" s="638"/>
      <c r="QPN367" s="639"/>
      <c r="QPO367" s="153"/>
      <c r="QPP367" s="153"/>
      <c r="QPQ367" s="153"/>
      <c r="QPR367" s="153"/>
      <c r="QPS367" s="153"/>
      <c r="QPT367" s="153"/>
      <c r="QPU367" s="153"/>
      <c r="QPV367" s="153"/>
      <c r="QPW367" s="153"/>
      <c r="QPX367" s="153"/>
      <c r="QPY367" s="153"/>
      <c r="QPZ367" s="153"/>
      <c r="QQA367" s="640"/>
      <c r="QQB367" s="641"/>
      <c r="QQC367" s="638"/>
      <c r="QQD367" s="639"/>
      <c r="QQE367" s="153"/>
      <c r="QQF367" s="153"/>
      <c r="QQG367" s="153"/>
      <c r="QQH367" s="153"/>
      <c r="QQI367" s="153"/>
      <c r="QQJ367" s="153"/>
      <c r="QQK367" s="153"/>
      <c r="QQL367" s="153"/>
      <c r="QQM367" s="153"/>
      <c r="QQN367" s="153"/>
      <c r="QQO367" s="153"/>
      <c r="QQP367" s="153"/>
      <c r="QQQ367" s="640"/>
      <c r="QQR367" s="641"/>
      <c r="QQS367" s="638"/>
      <c r="QQT367" s="639"/>
      <c r="QQU367" s="153"/>
      <c r="QQV367" s="153"/>
      <c r="QQW367" s="153"/>
      <c r="QQX367" s="153"/>
      <c r="QQY367" s="153"/>
      <c r="QQZ367" s="153"/>
      <c r="QRA367" s="153"/>
      <c r="QRB367" s="153"/>
      <c r="QRC367" s="153"/>
      <c r="QRD367" s="153"/>
      <c r="QRE367" s="153"/>
      <c r="QRF367" s="153"/>
      <c r="QRG367" s="640"/>
      <c r="QRH367" s="641"/>
      <c r="QRI367" s="638"/>
      <c r="QRJ367" s="639"/>
      <c r="QRK367" s="153"/>
      <c r="QRL367" s="153"/>
      <c r="QRM367" s="153"/>
      <c r="QRN367" s="153"/>
      <c r="QRO367" s="153"/>
      <c r="QRP367" s="153"/>
      <c r="QRQ367" s="153"/>
      <c r="QRR367" s="153"/>
      <c r="QRS367" s="153"/>
      <c r="QRT367" s="153"/>
      <c r="QRU367" s="153"/>
      <c r="QRV367" s="153"/>
      <c r="QRW367" s="640"/>
      <c r="QRX367" s="641"/>
      <c r="QRY367" s="638"/>
      <c r="QRZ367" s="639"/>
      <c r="QSA367" s="153"/>
      <c r="QSB367" s="153"/>
      <c r="QSC367" s="153"/>
      <c r="QSD367" s="153"/>
      <c r="QSE367" s="153"/>
      <c r="QSF367" s="153"/>
      <c r="QSG367" s="153"/>
      <c r="QSH367" s="153"/>
      <c r="QSI367" s="153"/>
      <c r="QSJ367" s="153"/>
      <c r="QSK367" s="153"/>
      <c r="QSL367" s="153"/>
      <c r="QSM367" s="640"/>
      <c r="QSN367" s="641"/>
      <c r="QSO367" s="638"/>
      <c r="QSP367" s="639"/>
      <c r="QSQ367" s="153"/>
      <c r="QSR367" s="153"/>
      <c r="QSS367" s="153"/>
      <c r="QST367" s="153"/>
      <c r="QSU367" s="153"/>
      <c r="QSV367" s="153"/>
      <c r="QSW367" s="153"/>
      <c r="QSX367" s="153"/>
      <c r="QSY367" s="153"/>
      <c r="QSZ367" s="153"/>
      <c r="QTA367" s="153"/>
      <c r="QTB367" s="153"/>
      <c r="QTC367" s="640"/>
      <c r="QTD367" s="641"/>
      <c r="QTE367" s="638"/>
      <c r="QTF367" s="639"/>
      <c r="QTG367" s="153"/>
      <c r="QTH367" s="153"/>
      <c r="QTI367" s="153"/>
      <c r="QTJ367" s="153"/>
      <c r="QTK367" s="153"/>
      <c r="QTL367" s="153"/>
      <c r="QTM367" s="153"/>
      <c r="QTN367" s="153"/>
      <c r="QTO367" s="153"/>
      <c r="QTP367" s="153"/>
      <c r="QTQ367" s="153"/>
      <c r="QTR367" s="153"/>
      <c r="QTS367" s="640"/>
      <c r="QTT367" s="641"/>
      <c r="QTU367" s="638"/>
      <c r="QTV367" s="639"/>
      <c r="QTW367" s="153"/>
      <c r="QTX367" s="153"/>
      <c r="QTY367" s="153"/>
      <c r="QTZ367" s="153"/>
      <c r="QUA367" s="153"/>
      <c r="QUB367" s="153"/>
      <c r="QUC367" s="153"/>
      <c r="QUD367" s="153"/>
      <c r="QUE367" s="153"/>
      <c r="QUF367" s="153"/>
      <c r="QUG367" s="153"/>
      <c r="QUH367" s="153"/>
      <c r="QUI367" s="640"/>
      <c r="QUJ367" s="641"/>
      <c r="QUK367" s="638"/>
      <c r="QUL367" s="639"/>
      <c r="QUM367" s="153"/>
      <c r="QUN367" s="153"/>
      <c r="QUO367" s="153"/>
      <c r="QUP367" s="153"/>
      <c r="QUQ367" s="153"/>
      <c r="QUR367" s="153"/>
      <c r="QUS367" s="153"/>
      <c r="QUT367" s="153"/>
      <c r="QUU367" s="153"/>
      <c r="QUV367" s="153"/>
      <c r="QUW367" s="153"/>
      <c r="QUX367" s="153"/>
      <c r="QUY367" s="640"/>
      <c r="QUZ367" s="641"/>
      <c r="QVA367" s="638"/>
      <c r="QVB367" s="639"/>
      <c r="QVC367" s="153"/>
      <c r="QVD367" s="153"/>
      <c r="QVE367" s="153"/>
      <c r="QVF367" s="153"/>
      <c r="QVG367" s="153"/>
      <c r="QVH367" s="153"/>
      <c r="QVI367" s="153"/>
      <c r="QVJ367" s="153"/>
      <c r="QVK367" s="153"/>
      <c r="QVL367" s="153"/>
      <c r="QVM367" s="153"/>
      <c r="QVN367" s="153"/>
      <c r="QVO367" s="640"/>
      <c r="QVP367" s="641"/>
      <c r="QVQ367" s="638"/>
      <c r="QVR367" s="639"/>
      <c r="QVS367" s="153"/>
      <c r="QVT367" s="153"/>
      <c r="QVU367" s="153"/>
      <c r="QVV367" s="153"/>
      <c r="QVW367" s="153"/>
      <c r="QVX367" s="153"/>
      <c r="QVY367" s="153"/>
      <c r="QVZ367" s="153"/>
      <c r="QWA367" s="153"/>
      <c r="QWB367" s="153"/>
      <c r="QWC367" s="153"/>
      <c r="QWD367" s="153"/>
      <c r="QWE367" s="640"/>
      <c r="QWF367" s="641"/>
      <c r="QWG367" s="638"/>
      <c r="QWH367" s="639"/>
      <c r="QWI367" s="153"/>
      <c r="QWJ367" s="153"/>
      <c r="QWK367" s="153"/>
      <c r="QWL367" s="153"/>
      <c r="QWM367" s="153"/>
      <c r="QWN367" s="153"/>
      <c r="QWO367" s="153"/>
      <c r="QWP367" s="153"/>
      <c r="QWQ367" s="153"/>
      <c r="QWR367" s="153"/>
      <c r="QWS367" s="153"/>
      <c r="QWT367" s="153"/>
      <c r="QWU367" s="640"/>
      <c r="QWV367" s="641"/>
      <c r="QWW367" s="638"/>
      <c r="QWX367" s="639"/>
      <c r="QWY367" s="153"/>
      <c r="QWZ367" s="153"/>
      <c r="QXA367" s="153"/>
      <c r="QXB367" s="153"/>
      <c r="QXC367" s="153"/>
      <c r="QXD367" s="153"/>
      <c r="QXE367" s="153"/>
      <c r="QXF367" s="153"/>
      <c r="QXG367" s="153"/>
      <c r="QXH367" s="153"/>
      <c r="QXI367" s="153"/>
      <c r="QXJ367" s="153"/>
      <c r="QXK367" s="640"/>
      <c r="QXL367" s="641"/>
      <c r="QXM367" s="638"/>
      <c r="QXN367" s="639"/>
      <c r="QXO367" s="153"/>
      <c r="QXP367" s="153"/>
      <c r="QXQ367" s="153"/>
      <c r="QXR367" s="153"/>
      <c r="QXS367" s="153"/>
      <c r="QXT367" s="153"/>
      <c r="QXU367" s="153"/>
      <c r="QXV367" s="153"/>
      <c r="QXW367" s="153"/>
      <c r="QXX367" s="153"/>
      <c r="QXY367" s="153"/>
      <c r="QXZ367" s="153"/>
      <c r="QYA367" s="640"/>
      <c r="QYB367" s="641"/>
      <c r="QYC367" s="638"/>
      <c r="QYD367" s="639"/>
      <c r="QYE367" s="153"/>
      <c r="QYF367" s="153"/>
      <c r="QYG367" s="153"/>
      <c r="QYH367" s="153"/>
      <c r="QYI367" s="153"/>
      <c r="QYJ367" s="153"/>
      <c r="QYK367" s="153"/>
      <c r="QYL367" s="153"/>
      <c r="QYM367" s="153"/>
      <c r="QYN367" s="153"/>
      <c r="QYO367" s="153"/>
      <c r="QYP367" s="153"/>
      <c r="QYQ367" s="640"/>
      <c r="QYR367" s="641"/>
      <c r="QYS367" s="638"/>
      <c r="QYT367" s="639"/>
      <c r="QYU367" s="153"/>
      <c r="QYV367" s="153"/>
      <c r="QYW367" s="153"/>
      <c r="QYX367" s="153"/>
      <c r="QYY367" s="153"/>
      <c r="QYZ367" s="153"/>
      <c r="QZA367" s="153"/>
      <c r="QZB367" s="153"/>
      <c r="QZC367" s="153"/>
      <c r="QZD367" s="153"/>
      <c r="QZE367" s="153"/>
      <c r="QZF367" s="153"/>
      <c r="QZG367" s="640"/>
      <c r="QZH367" s="641"/>
      <c r="QZI367" s="638"/>
      <c r="QZJ367" s="639"/>
      <c r="QZK367" s="153"/>
      <c r="QZL367" s="153"/>
      <c r="QZM367" s="153"/>
      <c r="QZN367" s="153"/>
      <c r="QZO367" s="153"/>
      <c r="QZP367" s="153"/>
      <c r="QZQ367" s="153"/>
      <c r="QZR367" s="153"/>
      <c r="QZS367" s="153"/>
      <c r="QZT367" s="153"/>
      <c r="QZU367" s="153"/>
      <c r="QZV367" s="153"/>
      <c r="QZW367" s="640"/>
      <c r="QZX367" s="641"/>
      <c r="QZY367" s="638"/>
      <c r="QZZ367" s="639"/>
      <c r="RAA367" s="153"/>
      <c r="RAB367" s="153"/>
      <c r="RAC367" s="153"/>
      <c r="RAD367" s="153"/>
      <c r="RAE367" s="153"/>
      <c r="RAF367" s="153"/>
      <c r="RAG367" s="153"/>
      <c r="RAH367" s="153"/>
      <c r="RAI367" s="153"/>
      <c r="RAJ367" s="153"/>
      <c r="RAK367" s="153"/>
      <c r="RAL367" s="153"/>
      <c r="RAM367" s="640"/>
      <c r="RAN367" s="641"/>
      <c r="RAO367" s="638"/>
      <c r="RAP367" s="639"/>
      <c r="RAQ367" s="153"/>
      <c r="RAR367" s="153"/>
      <c r="RAS367" s="153"/>
      <c r="RAT367" s="153"/>
      <c r="RAU367" s="153"/>
      <c r="RAV367" s="153"/>
      <c r="RAW367" s="153"/>
      <c r="RAX367" s="153"/>
      <c r="RAY367" s="153"/>
      <c r="RAZ367" s="153"/>
      <c r="RBA367" s="153"/>
      <c r="RBB367" s="153"/>
      <c r="RBC367" s="640"/>
      <c r="RBD367" s="641"/>
      <c r="RBE367" s="638"/>
      <c r="RBF367" s="639"/>
      <c r="RBG367" s="153"/>
      <c r="RBH367" s="153"/>
      <c r="RBI367" s="153"/>
      <c r="RBJ367" s="153"/>
      <c r="RBK367" s="153"/>
      <c r="RBL367" s="153"/>
      <c r="RBM367" s="153"/>
      <c r="RBN367" s="153"/>
      <c r="RBO367" s="153"/>
      <c r="RBP367" s="153"/>
      <c r="RBQ367" s="153"/>
      <c r="RBR367" s="153"/>
      <c r="RBS367" s="640"/>
      <c r="RBT367" s="641"/>
      <c r="RBU367" s="638"/>
      <c r="RBV367" s="639"/>
      <c r="RBW367" s="153"/>
      <c r="RBX367" s="153"/>
      <c r="RBY367" s="153"/>
      <c r="RBZ367" s="153"/>
      <c r="RCA367" s="153"/>
      <c r="RCB367" s="153"/>
      <c r="RCC367" s="153"/>
      <c r="RCD367" s="153"/>
      <c r="RCE367" s="153"/>
      <c r="RCF367" s="153"/>
      <c r="RCG367" s="153"/>
      <c r="RCH367" s="153"/>
      <c r="RCI367" s="640"/>
      <c r="RCJ367" s="641"/>
      <c r="RCK367" s="638"/>
      <c r="RCL367" s="639"/>
      <c r="RCM367" s="153"/>
      <c r="RCN367" s="153"/>
      <c r="RCO367" s="153"/>
      <c r="RCP367" s="153"/>
      <c r="RCQ367" s="153"/>
      <c r="RCR367" s="153"/>
      <c r="RCS367" s="153"/>
      <c r="RCT367" s="153"/>
      <c r="RCU367" s="153"/>
      <c r="RCV367" s="153"/>
      <c r="RCW367" s="153"/>
      <c r="RCX367" s="153"/>
      <c r="RCY367" s="640"/>
      <c r="RCZ367" s="641"/>
      <c r="RDA367" s="638"/>
      <c r="RDB367" s="639"/>
      <c r="RDC367" s="153"/>
      <c r="RDD367" s="153"/>
      <c r="RDE367" s="153"/>
      <c r="RDF367" s="153"/>
      <c r="RDG367" s="153"/>
      <c r="RDH367" s="153"/>
      <c r="RDI367" s="153"/>
      <c r="RDJ367" s="153"/>
      <c r="RDK367" s="153"/>
      <c r="RDL367" s="153"/>
      <c r="RDM367" s="153"/>
      <c r="RDN367" s="153"/>
      <c r="RDO367" s="640"/>
      <c r="RDP367" s="641"/>
      <c r="RDQ367" s="638"/>
      <c r="RDR367" s="639"/>
      <c r="RDS367" s="153"/>
      <c r="RDT367" s="153"/>
      <c r="RDU367" s="153"/>
      <c r="RDV367" s="153"/>
      <c r="RDW367" s="153"/>
      <c r="RDX367" s="153"/>
      <c r="RDY367" s="153"/>
      <c r="RDZ367" s="153"/>
      <c r="REA367" s="153"/>
      <c r="REB367" s="153"/>
      <c r="REC367" s="153"/>
      <c r="RED367" s="153"/>
      <c r="REE367" s="640"/>
      <c r="REF367" s="641"/>
      <c r="REG367" s="638"/>
      <c r="REH367" s="639"/>
      <c r="REI367" s="153"/>
      <c r="REJ367" s="153"/>
      <c r="REK367" s="153"/>
      <c r="REL367" s="153"/>
      <c r="REM367" s="153"/>
      <c r="REN367" s="153"/>
      <c r="REO367" s="153"/>
      <c r="REP367" s="153"/>
      <c r="REQ367" s="153"/>
      <c r="RER367" s="153"/>
      <c r="RES367" s="153"/>
      <c r="RET367" s="153"/>
      <c r="REU367" s="640"/>
      <c r="REV367" s="641"/>
      <c r="REW367" s="638"/>
      <c r="REX367" s="639"/>
      <c r="REY367" s="153"/>
      <c r="REZ367" s="153"/>
      <c r="RFA367" s="153"/>
      <c r="RFB367" s="153"/>
      <c r="RFC367" s="153"/>
      <c r="RFD367" s="153"/>
      <c r="RFE367" s="153"/>
      <c r="RFF367" s="153"/>
      <c r="RFG367" s="153"/>
      <c r="RFH367" s="153"/>
      <c r="RFI367" s="153"/>
      <c r="RFJ367" s="153"/>
      <c r="RFK367" s="640"/>
      <c r="RFL367" s="641"/>
      <c r="RFM367" s="638"/>
      <c r="RFN367" s="639"/>
      <c r="RFO367" s="153"/>
      <c r="RFP367" s="153"/>
      <c r="RFQ367" s="153"/>
      <c r="RFR367" s="153"/>
      <c r="RFS367" s="153"/>
      <c r="RFT367" s="153"/>
      <c r="RFU367" s="153"/>
      <c r="RFV367" s="153"/>
      <c r="RFW367" s="153"/>
      <c r="RFX367" s="153"/>
      <c r="RFY367" s="153"/>
      <c r="RFZ367" s="153"/>
      <c r="RGA367" s="640"/>
      <c r="RGB367" s="641"/>
      <c r="RGC367" s="638"/>
      <c r="RGD367" s="639"/>
      <c r="RGE367" s="153"/>
      <c r="RGF367" s="153"/>
      <c r="RGG367" s="153"/>
      <c r="RGH367" s="153"/>
      <c r="RGI367" s="153"/>
      <c r="RGJ367" s="153"/>
      <c r="RGK367" s="153"/>
      <c r="RGL367" s="153"/>
      <c r="RGM367" s="153"/>
      <c r="RGN367" s="153"/>
      <c r="RGO367" s="153"/>
      <c r="RGP367" s="153"/>
      <c r="RGQ367" s="640"/>
      <c r="RGR367" s="641"/>
      <c r="RGS367" s="638"/>
      <c r="RGT367" s="639"/>
      <c r="RGU367" s="153"/>
      <c r="RGV367" s="153"/>
      <c r="RGW367" s="153"/>
      <c r="RGX367" s="153"/>
      <c r="RGY367" s="153"/>
      <c r="RGZ367" s="153"/>
      <c r="RHA367" s="153"/>
      <c r="RHB367" s="153"/>
      <c r="RHC367" s="153"/>
      <c r="RHD367" s="153"/>
      <c r="RHE367" s="153"/>
      <c r="RHF367" s="153"/>
      <c r="RHG367" s="640"/>
      <c r="RHH367" s="641"/>
      <c r="RHI367" s="638"/>
      <c r="RHJ367" s="639"/>
      <c r="RHK367" s="153"/>
      <c r="RHL367" s="153"/>
      <c r="RHM367" s="153"/>
      <c r="RHN367" s="153"/>
      <c r="RHO367" s="153"/>
      <c r="RHP367" s="153"/>
      <c r="RHQ367" s="153"/>
      <c r="RHR367" s="153"/>
      <c r="RHS367" s="153"/>
      <c r="RHT367" s="153"/>
      <c r="RHU367" s="153"/>
      <c r="RHV367" s="153"/>
      <c r="RHW367" s="640"/>
      <c r="RHX367" s="641"/>
      <c r="RHY367" s="638"/>
      <c r="RHZ367" s="639"/>
      <c r="RIA367" s="153"/>
      <c r="RIB367" s="153"/>
      <c r="RIC367" s="153"/>
      <c r="RID367" s="153"/>
      <c r="RIE367" s="153"/>
      <c r="RIF367" s="153"/>
      <c r="RIG367" s="153"/>
      <c r="RIH367" s="153"/>
      <c r="RII367" s="153"/>
      <c r="RIJ367" s="153"/>
      <c r="RIK367" s="153"/>
      <c r="RIL367" s="153"/>
      <c r="RIM367" s="640"/>
      <c r="RIN367" s="641"/>
      <c r="RIO367" s="638"/>
      <c r="RIP367" s="639"/>
      <c r="RIQ367" s="153"/>
      <c r="RIR367" s="153"/>
      <c r="RIS367" s="153"/>
      <c r="RIT367" s="153"/>
      <c r="RIU367" s="153"/>
      <c r="RIV367" s="153"/>
      <c r="RIW367" s="153"/>
      <c r="RIX367" s="153"/>
      <c r="RIY367" s="153"/>
      <c r="RIZ367" s="153"/>
      <c r="RJA367" s="153"/>
      <c r="RJB367" s="153"/>
      <c r="RJC367" s="640"/>
      <c r="RJD367" s="641"/>
      <c r="RJE367" s="638"/>
      <c r="RJF367" s="639"/>
      <c r="RJG367" s="153"/>
      <c r="RJH367" s="153"/>
      <c r="RJI367" s="153"/>
      <c r="RJJ367" s="153"/>
      <c r="RJK367" s="153"/>
      <c r="RJL367" s="153"/>
      <c r="RJM367" s="153"/>
      <c r="RJN367" s="153"/>
      <c r="RJO367" s="153"/>
      <c r="RJP367" s="153"/>
      <c r="RJQ367" s="153"/>
      <c r="RJR367" s="153"/>
      <c r="RJS367" s="640"/>
      <c r="RJT367" s="641"/>
      <c r="RJU367" s="638"/>
      <c r="RJV367" s="639"/>
      <c r="RJW367" s="153"/>
      <c r="RJX367" s="153"/>
      <c r="RJY367" s="153"/>
      <c r="RJZ367" s="153"/>
      <c r="RKA367" s="153"/>
      <c r="RKB367" s="153"/>
      <c r="RKC367" s="153"/>
      <c r="RKD367" s="153"/>
      <c r="RKE367" s="153"/>
      <c r="RKF367" s="153"/>
      <c r="RKG367" s="153"/>
      <c r="RKH367" s="153"/>
      <c r="RKI367" s="640"/>
      <c r="RKJ367" s="641"/>
      <c r="RKK367" s="638"/>
      <c r="RKL367" s="639"/>
      <c r="RKM367" s="153"/>
      <c r="RKN367" s="153"/>
      <c r="RKO367" s="153"/>
      <c r="RKP367" s="153"/>
      <c r="RKQ367" s="153"/>
      <c r="RKR367" s="153"/>
      <c r="RKS367" s="153"/>
      <c r="RKT367" s="153"/>
      <c r="RKU367" s="153"/>
      <c r="RKV367" s="153"/>
      <c r="RKW367" s="153"/>
      <c r="RKX367" s="153"/>
      <c r="RKY367" s="640"/>
      <c r="RKZ367" s="641"/>
      <c r="RLA367" s="638"/>
      <c r="RLB367" s="639"/>
      <c r="RLC367" s="153"/>
      <c r="RLD367" s="153"/>
      <c r="RLE367" s="153"/>
      <c r="RLF367" s="153"/>
      <c r="RLG367" s="153"/>
      <c r="RLH367" s="153"/>
      <c r="RLI367" s="153"/>
      <c r="RLJ367" s="153"/>
      <c r="RLK367" s="153"/>
      <c r="RLL367" s="153"/>
      <c r="RLM367" s="153"/>
      <c r="RLN367" s="153"/>
      <c r="RLO367" s="640"/>
      <c r="RLP367" s="641"/>
      <c r="RLQ367" s="638"/>
      <c r="RLR367" s="639"/>
      <c r="RLS367" s="153"/>
      <c r="RLT367" s="153"/>
      <c r="RLU367" s="153"/>
      <c r="RLV367" s="153"/>
      <c r="RLW367" s="153"/>
      <c r="RLX367" s="153"/>
      <c r="RLY367" s="153"/>
      <c r="RLZ367" s="153"/>
      <c r="RMA367" s="153"/>
      <c r="RMB367" s="153"/>
      <c r="RMC367" s="153"/>
      <c r="RMD367" s="153"/>
      <c r="RME367" s="640"/>
      <c r="RMF367" s="641"/>
      <c r="RMG367" s="638"/>
      <c r="RMH367" s="639"/>
      <c r="RMI367" s="153"/>
      <c r="RMJ367" s="153"/>
      <c r="RMK367" s="153"/>
      <c r="RML367" s="153"/>
      <c r="RMM367" s="153"/>
      <c r="RMN367" s="153"/>
      <c r="RMO367" s="153"/>
      <c r="RMP367" s="153"/>
      <c r="RMQ367" s="153"/>
      <c r="RMR367" s="153"/>
      <c r="RMS367" s="153"/>
      <c r="RMT367" s="153"/>
      <c r="RMU367" s="640"/>
      <c r="RMV367" s="641"/>
      <c r="RMW367" s="638"/>
      <c r="RMX367" s="639"/>
      <c r="RMY367" s="153"/>
      <c r="RMZ367" s="153"/>
      <c r="RNA367" s="153"/>
      <c r="RNB367" s="153"/>
      <c r="RNC367" s="153"/>
      <c r="RND367" s="153"/>
      <c r="RNE367" s="153"/>
      <c r="RNF367" s="153"/>
      <c r="RNG367" s="153"/>
      <c r="RNH367" s="153"/>
      <c r="RNI367" s="153"/>
      <c r="RNJ367" s="153"/>
      <c r="RNK367" s="640"/>
      <c r="RNL367" s="641"/>
      <c r="RNM367" s="638"/>
      <c r="RNN367" s="639"/>
      <c r="RNO367" s="153"/>
      <c r="RNP367" s="153"/>
      <c r="RNQ367" s="153"/>
      <c r="RNR367" s="153"/>
      <c r="RNS367" s="153"/>
      <c r="RNT367" s="153"/>
      <c r="RNU367" s="153"/>
      <c r="RNV367" s="153"/>
      <c r="RNW367" s="153"/>
      <c r="RNX367" s="153"/>
      <c r="RNY367" s="153"/>
      <c r="RNZ367" s="153"/>
      <c r="ROA367" s="640"/>
      <c r="ROB367" s="641"/>
      <c r="ROC367" s="638"/>
      <c r="ROD367" s="639"/>
      <c r="ROE367" s="153"/>
      <c r="ROF367" s="153"/>
      <c r="ROG367" s="153"/>
      <c r="ROH367" s="153"/>
      <c r="ROI367" s="153"/>
      <c r="ROJ367" s="153"/>
      <c r="ROK367" s="153"/>
      <c r="ROL367" s="153"/>
      <c r="ROM367" s="153"/>
      <c r="RON367" s="153"/>
      <c r="ROO367" s="153"/>
      <c r="ROP367" s="153"/>
      <c r="ROQ367" s="640"/>
      <c r="ROR367" s="641"/>
      <c r="ROS367" s="638"/>
      <c r="ROT367" s="639"/>
      <c r="ROU367" s="153"/>
      <c r="ROV367" s="153"/>
      <c r="ROW367" s="153"/>
      <c r="ROX367" s="153"/>
      <c r="ROY367" s="153"/>
      <c r="ROZ367" s="153"/>
      <c r="RPA367" s="153"/>
      <c r="RPB367" s="153"/>
      <c r="RPC367" s="153"/>
      <c r="RPD367" s="153"/>
      <c r="RPE367" s="153"/>
      <c r="RPF367" s="153"/>
      <c r="RPG367" s="640"/>
      <c r="RPH367" s="641"/>
      <c r="RPI367" s="638"/>
      <c r="RPJ367" s="639"/>
      <c r="RPK367" s="153"/>
      <c r="RPL367" s="153"/>
      <c r="RPM367" s="153"/>
      <c r="RPN367" s="153"/>
      <c r="RPO367" s="153"/>
      <c r="RPP367" s="153"/>
      <c r="RPQ367" s="153"/>
      <c r="RPR367" s="153"/>
      <c r="RPS367" s="153"/>
      <c r="RPT367" s="153"/>
      <c r="RPU367" s="153"/>
      <c r="RPV367" s="153"/>
      <c r="RPW367" s="640"/>
      <c r="RPX367" s="641"/>
      <c r="RPY367" s="638"/>
      <c r="RPZ367" s="639"/>
      <c r="RQA367" s="153"/>
      <c r="RQB367" s="153"/>
      <c r="RQC367" s="153"/>
      <c r="RQD367" s="153"/>
      <c r="RQE367" s="153"/>
      <c r="RQF367" s="153"/>
      <c r="RQG367" s="153"/>
      <c r="RQH367" s="153"/>
      <c r="RQI367" s="153"/>
      <c r="RQJ367" s="153"/>
      <c r="RQK367" s="153"/>
      <c r="RQL367" s="153"/>
      <c r="RQM367" s="640"/>
      <c r="RQN367" s="641"/>
      <c r="RQO367" s="638"/>
      <c r="RQP367" s="639"/>
      <c r="RQQ367" s="153"/>
      <c r="RQR367" s="153"/>
      <c r="RQS367" s="153"/>
      <c r="RQT367" s="153"/>
      <c r="RQU367" s="153"/>
      <c r="RQV367" s="153"/>
      <c r="RQW367" s="153"/>
      <c r="RQX367" s="153"/>
      <c r="RQY367" s="153"/>
      <c r="RQZ367" s="153"/>
      <c r="RRA367" s="153"/>
      <c r="RRB367" s="153"/>
      <c r="RRC367" s="640"/>
      <c r="RRD367" s="641"/>
      <c r="RRE367" s="638"/>
      <c r="RRF367" s="639"/>
      <c r="RRG367" s="153"/>
      <c r="RRH367" s="153"/>
      <c r="RRI367" s="153"/>
      <c r="RRJ367" s="153"/>
      <c r="RRK367" s="153"/>
      <c r="RRL367" s="153"/>
      <c r="RRM367" s="153"/>
      <c r="RRN367" s="153"/>
      <c r="RRO367" s="153"/>
      <c r="RRP367" s="153"/>
      <c r="RRQ367" s="153"/>
      <c r="RRR367" s="153"/>
      <c r="RRS367" s="640"/>
      <c r="RRT367" s="641"/>
      <c r="RRU367" s="638"/>
      <c r="RRV367" s="639"/>
      <c r="RRW367" s="153"/>
      <c r="RRX367" s="153"/>
      <c r="RRY367" s="153"/>
      <c r="RRZ367" s="153"/>
      <c r="RSA367" s="153"/>
      <c r="RSB367" s="153"/>
      <c r="RSC367" s="153"/>
      <c r="RSD367" s="153"/>
      <c r="RSE367" s="153"/>
      <c r="RSF367" s="153"/>
      <c r="RSG367" s="153"/>
      <c r="RSH367" s="153"/>
      <c r="RSI367" s="640"/>
      <c r="RSJ367" s="641"/>
      <c r="RSK367" s="638"/>
      <c r="RSL367" s="639"/>
      <c r="RSM367" s="153"/>
      <c r="RSN367" s="153"/>
      <c r="RSO367" s="153"/>
      <c r="RSP367" s="153"/>
      <c r="RSQ367" s="153"/>
      <c r="RSR367" s="153"/>
      <c r="RSS367" s="153"/>
      <c r="RST367" s="153"/>
      <c r="RSU367" s="153"/>
      <c r="RSV367" s="153"/>
      <c r="RSW367" s="153"/>
      <c r="RSX367" s="153"/>
      <c r="RSY367" s="640"/>
      <c r="RSZ367" s="641"/>
      <c r="RTA367" s="638"/>
      <c r="RTB367" s="639"/>
      <c r="RTC367" s="153"/>
      <c r="RTD367" s="153"/>
      <c r="RTE367" s="153"/>
      <c r="RTF367" s="153"/>
      <c r="RTG367" s="153"/>
      <c r="RTH367" s="153"/>
      <c r="RTI367" s="153"/>
      <c r="RTJ367" s="153"/>
      <c r="RTK367" s="153"/>
      <c r="RTL367" s="153"/>
      <c r="RTM367" s="153"/>
      <c r="RTN367" s="153"/>
      <c r="RTO367" s="640"/>
      <c r="RTP367" s="641"/>
      <c r="RTQ367" s="638"/>
      <c r="RTR367" s="639"/>
      <c r="RTS367" s="153"/>
      <c r="RTT367" s="153"/>
      <c r="RTU367" s="153"/>
      <c r="RTV367" s="153"/>
      <c r="RTW367" s="153"/>
      <c r="RTX367" s="153"/>
      <c r="RTY367" s="153"/>
      <c r="RTZ367" s="153"/>
      <c r="RUA367" s="153"/>
      <c r="RUB367" s="153"/>
      <c r="RUC367" s="153"/>
      <c r="RUD367" s="153"/>
      <c r="RUE367" s="640"/>
      <c r="RUF367" s="641"/>
      <c r="RUG367" s="638"/>
      <c r="RUH367" s="639"/>
      <c r="RUI367" s="153"/>
      <c r="RUJ367" s="153"/>
      <c r="RUK367" s="153"/>
      <c r="RUL367" s="153"/>
      <c r="RUM367" s="153"/>
      <c r="RUN367" s="153"/>
      <c r="RUO367" s="153"/>
      <c r="RUP367" s="153"/>
      <c r="RUQ367" s="153"/>
      <c r="RUR367" s="153"/>
      <c r="RUS367" s="153"/>
      <c r="RUT367" s="153"/>
      <c r="RUU367" s="640"/>
      <c r="RUV367" s="641"/>
      <c r="RUW367" s="638"/>
      <c r="RUX367" s="639"/>
      <c r="RUY367" s="153"/>
      <c r="RUZ367" s="153"/>
      <c r="RVA367" s="153"/>
      <c r="RVB367" s="153"/>
      <c r="RVC367" s="153"/>
      <c r="RVD367" s="153"/>
      <c r="RVE367" s="153"/>
      <c r="RVF367" s="153"/>
      <c r="RVG367" s="153"/>
      <c r="RVH367" s="153"/>
      <c r="RVI367" s="153"/>
      <c r="RVJ367" s="153"/>
      <c r="RVK367" s="640"/>
      <c r="RVL367" s="641"/>
      <c r="RVM367" s="638"/>
      <c r="RVN367" s="639"/>
      <c r="RVO367" s="153"/>
      <c r="RVP367" s="153"/>
      <c r="RVQ367" s="153"/>
      <c r="RVR367" s="153"/>
      <c r="RVS367" s="153"/>
      <c r="RVT367" s="153"/>
      <c r="RVU367" s="153"/>
      <c r="RVV367" s="153"/>
      <c r="RVW367" s="153"/>
      <c r="RVX367" s="153"/>
      <c r="RVY367" s="153"/>
      <c r="RVZ367" s="153"/>
      <c r="RWA367" s="640"/>
      <c r="RWB367" s="641"/>
      <c r="RWC367" s="638"/>
      <c r="RWD367" s="639"/>
      <c r="RWE367" s="153"/>
      <c r="RWF367" s="153"/>
      <c r="RWG367" s="153"/>
      <c r="RWH367" s="153"/>
      <c r="RWI367" s="153"/>
      <c r="RWJ367" s="153"/>
      <c r="RWK367" s="153"/>
      <c r="RWL367" s="153"/>
      <c r="RWM367" s="153"/>
      <c r="RWN367" s="153"/>
      <c r="RWO367" s="153"/>
      <c r="RWP367" s="153"/>
      <c r="RWQ367" s="640"/>
      <c r="RWR367" s="641"/>
      <c r="RWS367" s="638"/>
      <c r="RWT367" s="639"/>
      <c r="RWU367" s="153"/>
      <c r="RWV367" s="153"/>
      <c r="RWW367" s="153"/>
      <c r="RWX367" s="153"/>
      <c r="RWY367" s="153"/>
      <c r="RWZ367" s="153"/>
      <c r="RXA367" s="153"/>
      <c r="RXB367" s="153"/>
      <c r="RXC367" s="153"/>
      <c r="RXD367" s="153"/>
      <c r="RXE367" s="153"/>
      <c r="RXF367" s="153"/>
      <c r="RXG367" s="640"/>
      <c r="RXH367" s="641"/>
      <c r="RXI367" s="638"/>
      <c r="RXJ367" s="639"/>
      <c r="RXK367" s="153"/>
      <c r="RXL367" s="153"/>
      <c r="RXM367" s="153"/>
      <c r="RXN367" s="153"/>
      <c r="RXO367" s="153"/>
      <c r="RXP367" s="153"/>
      <c r="RXQ367" s="153"/>
      <c r="RXR367" s="153"/>
      <c r="RXS367" s="153"/>
      <c r="RXT367" s="153"/>
      <c r="RXU367" s="153"/>
      <c r="RXV367" s="153"/>
      <c r="RXW367" s="640"/>
      <c r="RXX367" s="641"/>
      <c r="RXY367" s="638"/>
      <c r="RXZ367" s="639"/>
      <c r="RYA367" s="153"/>
      <c r="RYB367" s="153"/>
      <c r="RYC367" s="153"/>
      <c r="RYD367" s="153"/>
      <c r="RYE367" s="153"/>
      <c r="RYF367" s="153"/>
      <c r="RYG367" s="153"/>
      <c r="RYH367" s="153"/>
      <c r="RYI367" s="153"/>
      <c r="RYJ367" s="153"/>
      <c r="RYK367" s="153"/>
      <c r="RYL367" s="153"/>
      <c r="RYM367" s="640"/>
      <c r="RYN367" s="641"/>
      <c r="RYO367" s="638"/>
      <c r="RYP367" s="639"/>
      <c r="RYQ367" s="153"/>
      <c r="RYR367" s="153"/>
      <c r="RYS367" s="153"/>
      <c r="RYT367" s="153"/>
      <c r="RYU367" s="153"/>
      <c r="RYV367" s="153"/>
      <c r="RYW367" s="153"/>
      <c r="RYX367" s="153"/>
      <c r="RYY367" s="153"/>
      <c r="RYZ367" s="153"/>
      <c r="RZA367" s="153"/>
      <c r="RZB367" s="153"/>
      <c r="RZC367" s="640"/>
      <c r="RZD367" s="641"/>
      <c r="RZE367" s="638"/>
      <c r="RZF367" s="639"/>
      <c r="RZG367" s="153"/>
      <c r="RZH367" s="153"/>
      <c r="RZI367" s="153"/>
      <c r="RZJ367" s="153"/>
      <c r="RZK367" s="153"/>
      <c r="RZL367" s="153"/>
      <c r="RZM367" s="153"/>
      <c r="RZN367" s="153"/>
      <c r="RZO367" s="153"/>
      <c r="RZP367" s="153"/>
      <c r="RZQ367" s="153"/>
      <c r="RZR367" s="153"/>
      <c r="RZS367" s="640"/>
      <c r="RZT367" s="641"/>
      <c r="RZU367" s="638"/>
      <c r="RZV367" s="639"/>
      <c r="RZW367" s="153"/>
      <c r="RZX367" s="153"/>
      <c r="RZY367" s="153"/>
      <c r="RZZ367" s="153"/>
      <c r="SAA367" s="153"/>
      <c r="SAB367" s="153"/>
      <c r="SAC367" s="153"/>
      <c r="SAD367" s="153"/>
      <c r="SAE367" s="153"/>
      <c r="SAF367" s="153"/>
      <c r="SAG367" s="153"/>
      <c r="SAH367" s="153"/>
      <c r="SAI367" s="640"/>
      <c r="SAJ367" s="641"/>
      <c r="SAK367" s="638"/>
      <c r="SAL367" s="639"/>
      <c r="SAM367" s="153"/>
      <c r="SAN367" s="153"/>
      <c r="SAO367" s="153"/>
      <c r="SAP367" s="153"/>
      <c r="SAQ367" s="153"/>
      <c r="SAR367" s="153"/>
      <c r="SAS367" s="153"/>
      <c r="SAT367" s="153"/>
      <c r="SAU367" s="153"/>
      <c r="SAV367" s="153"/>
      <c r="SAW367" s="153"/>
      <c r="SAX367" s="153"/>
      <c r="SAY367" s="640"/>
      <c r="SAZ367" s="641"/>
      <c r="SBA367" s="638"/>
      <c r="SBB367" s="639"/>
      <c r="SBC367" s="153"/>
      <c r="SBD367" s="153"/>
      <c r="SBE367" s="153"/>
      <c r="SBF367" s="153"/>
      <c r="SBG367" s="153"/>
      <c r="SBH367" s="153"/>
      <c r="SBI367" s="153"/>
      <c r="SBJ367" s="153"/>
      <c r="SBK367" s="153"/>
      <c r="SBL367" s="153"/>
      <c r="SBM367" s="153"/>
      <c r="SBN367" s="153"/>
      <c r="SBO367" s="640"/>
      <c r="SBP367" s="641"/>
      <c r="SBQ367" s="638"/>
      <c r="SBR367" s="639"/>
      <c r="SBS367" s="153"/>
      <c r="SBT367" s="153"/>
      <c r="SBU367" s="153"/>
      <c r="SBV367" s="153"/>
      <c r="SBW367" s="153"/>
      <c r="SBX367" s="153"/>
      <c r="SBY367" s="153"/>
      <c r="SBZ367" s="153"/>
      <c r="SCA367" s="153"/>
      <c r="SCB367" s="153"/>
      <c r="SCC367" s="153"/>
      <c r="SCD367" s="153"/>
      <c r="SCE367" s="640"/>
      <c r="SCF367" s="641"/>
      <c r="SCG367" s="638"/>
      <c r="SCH367" s="639"/>
      <c r="SCI367" s="153"/>
      <c r="SCJ367" s="153"/>
      <c r="SCK367" s="153"/>
      <c r="SCL367" s="153"/>
      <c r="SCM367" s="153"/>
      <c r="SCN367" s="153"/>
      <c r="SCO367" s="153"/>
      <c r="SCP367" s="153"/>
      <c r="SCQ367" s="153"/>
      <c r="SCR367" s="153"/>
      <c r="SCS367" s="153"/>
      <c r="SCT367" s="153"/>
      <c r="SCU367" s="640"/>
      <c r="SCV367" s="641"/>
      <c r="SCW367" s="638"/>
      <c r="SCX367" s="639"/>
      <c r="SCY367" s="153"/>
      <c r="SCZ367" s="153"/>
      <c r="SDA367" s="153"/>
      <c r="SDB367" s="153"/>
      <c r="SDC367" s="153"/>
      <c r="SDD367" s="153"/>
      <c r="SDE367" s="153"/>
      <c r="SDF367" s="153"/>
      <c r="SDG367" s="153"/>
      <c r="SDH367" s="153"/>
      <c r="SDI367" s="153"/>
      <c r="SDJ367" s="153"/>
      <c r="SDK367" s="640"/>
      <c r="SDL367" s="641"/>
      <c r="SDM367" s="638"/>
      <c r="SDN367" s="639"/>
      <c r="SDO367" s="153"/>
      <c r="SDP367" s="153"/>
      <c r="SDQ367" s="153"/>
      <c r="SDR367" s="153"/>
      <c r="SDS367" s="153"/>
      <c r="SDT367" s="153"/>
      <c r="SDU367" s="153"/>
      <c r="SDV367" s="153"/>
      <c r="SDW367" s="153"/>
      <c r="SDX367" s="153"/>
      <c r="SDY367" s="153"/>
      <c r="SDZ367" s="153"/>
      <c r="SEA367" s="640"/>
      <c r="SEB367" s="641"/>
      <c r="SEC367" s="638"/>
      <c r="SED367" s="639"/>
      <c r="SEE367" s="153"/>
      <c r="SEF367" s="153"/>
      <c r="SEG367" s="153"/>
      <c r="SEH367" s="153"/>
      <c r="SEI367" s="153"/>
      <c r="SEJ367" s="153"/>
      <c r="SEK367" s="153"/>
      <c r="SEL367" s="153"/>
      <c r="SEM367" s="153"/>
      <c r="SEN367" s="153"/>
      <c r="SEO367" s="153"/>
      <c r="SEP367" s="153"/>
      <c r="SEQ367" s="640"/>
      <c r="SER367" s="641"/>
      <c r="SES367" s="638"/>
      <c r="SET367" s="639"/>
      <c r="SEU367" s="153"/>
      <c r="SEV367" s="153"/>
      <c r="SEW367" s="153"/>
      <c r="SEX367" s="153"/>
      <c r="SEY367" s="153"/>
      <c r="SEZ367" s="153"/>
      <c r="SFA367" s="153"/>
      <c r="SFB367" s="153"/>
      <c r="SFC367" s="153"/>
      <c r="SFD367" s="153"/>
      <c r="SFE367" s="153"/>
      <c r="SFF367" s="153"/>
      <c r="SFG367" s="640"/>
      <c r="SFH367" s="641"/>
      <c r="SFI367" s="638"/>
      <c r="SFJ367" s="639"/>
      <c r="SFK367" s="153"/>
      <c r="SFL367" s="153"/>
      <c r="SFM367" s="153"/>
      <c r="SFN367" s="153"/>
      <c r="SFO367" s="153"/>
      <c r="SFP367" s="153"/>
      <c r="SFQ367" s="153"/>
      <c r="SFR367" s="153"/>
      <c r="SFS367" s="153"/>
      <c r="SFT367" s="153"/>
      <c r="SFU367" s="153"/>
      <c r="SFV367" s="153"/>
      <c r="SFW367" s="640"/>
      <c r="SFX367" s="641"/>
      <c r="SFY367" s="638"/>
      <c r="SFZ367" s="639"/>
      <c r="SGA367" s="153"/>
      <c r="SGB367" s="153"/>
      <c r="SGC367" s="153"/>
      <c r="SGD367" s="153"/>
      <c r="SGE367" s="153"/>
      <c r="SGF367" s="153"/>
      <c r="SGG367" s="153"/>
      <c r="SGH367" s="153"/>
      <c r="SGI367" s="153"/>
      <c r="SGJ367" s="153"/>
      <c r="SGK367" s="153"/>
      <c r="SGL367" s="153"/>
      <c r="SGM367" s="640"/>
      <c r="SGN367" s="641"/>
      <c r="SGO367" s="638"/>
      <c r="SGP367" s="639"/>
      <c r="SGQ367" s="153"/>
      <c r="SGR367" s="153"/>
      <c r="SGS367" s="153"/>
      <c r="SGT367" s="153"/>
      <c r="SGU367" s="153"/>
      <c r="SGV367" s="153"/>
      <c r="SGW367" s="153"/>
      <c r="SGX367" s="153"/>
      <c r="SGY367" s="153"/>
      <c r="SGZ367" s="153"/>
      <c r="SHA367" s="153"/>
      <c r="SHB367" s="153"/>
      <c r="SHC367" s="640"/>
      <c r="SHD367" s="641"/>
      <c r="SHE367" s="638"/>
      <c r="SHF367" s="639"/>
      <c r="SHG367" s="153"/>
      <c r="SHH367" s="153"/>
      <c r="SHI367" s="153"/>
      <c r="SHJ367" s="153"/>
      <c r="SHK367" s="153"/>
      <c r="SHL367" s="153"/>
      <c r="SHM367" s="153"/>
      <c r="SHN367" s="153"/>
      <c r="SHO367" s="153"/>
      <c r="SHP367" s="153"/>
      <c r="SHQ367" s="153"/>
      <c r="SHR367" s="153"/>
      <c r="SHS367" s="640"/>
      <c r="SHT367" s="641"/>
      <c r="SHU367" s="638"/>
      <c r="SHV367" s="639"/>
      <c r="SHW367" s="153"/>
      <c r="SHX367" s="153"/>
      <c r="SHY367" s="153"/>
      <c r="SHZ367" s="153"/>
      <c r="SIA367" s="153"/>
      <c r="SIB367" s="153"/>
      <c r="SIC367" s="153"/>
      <c r="SID367" s="153"/>
      <c r="SIE367" s="153"/>
      <c r="SIF367" s="153"/>
      <c r="SIG367" s="153"/>
      <c r="SIH367" s="153"/>
      <c r="SII367" s="640"/>
      <c r="SIJ367" s="641"/>
      <c r="SIK367" s="638"/>
      <c r="SIL367" s="639"/>
      <c r="SIM367" s="153"/>
      <c r="SIN367" s="153"/>
      <c r="SIO367" s="153"/>
      <c r="SIP367" s="153"/>
      <c r="SIQ367" s="153"/>
      <c r="SIR367" s="153"/>
      <c r="SIS367" s="153"/>
      <c r="SIT367" s="153"/>
      <c r="SIU367" s="153"/>
      <c r="SIV367" s="153"/>
      <c r="SIW367" s="153"/>
      <c r="SIX367" s="153"/>
      <c r="SIY367" s="640"/>
      <c r="SIZ367" s="641"/>
      <c r="SJA367" s="638"/>
      <c r="SJB367" s="639"/>
      <c r="SJC367" s="153"/>
      <c r="SJD367" s="153"/>
      <c r="SJE367" s="153"/>
      <c r="SJF367" s="153"/>
      <c r="SJG367" s="153"/>
      <c r="SJH367" s="153"/>
      <c r="SJI367" s="153"/>
      <c r="SJJ367" s="153"/>
      <c r="SJK367" s="153"/>
      <c r="SJL367" s="153"/>
      <c r="SJM367" s="153"/>
      <c r="SJN367" s="153"/>
      <c r="SJO367" s="640"/>
      <c r="SJP367" s="641"/>
      <c r="SJQ367" s="638"/>
      <c r="SJR367" s="639"/>
      <c r="SJS367" s="153"/>
      <c r="SJT367" s="153"/>
      <c r="SJU367" s="153"/>
      <c r="SJV367" s="153"/>
      <c r="SJW367" s="153"/>
      <c r="SJX367" s="153"/>
      <c r="SJY367" s="153"/>
      <c r="SJZ367" s="153"/>
      <c r="SKA367" s="153"/>
      <c r="SKB367" s="153"/>
      <c r="SKC367" s="153"/>
      <c r="SKD367" s="153"/>
      <c r="SKE367" s="640"/>
      <c r="SKF367" s="641"/>
      <c r="SKG367" s="638"/>
      <c r="SKH367" s="639"/>
      <c r="SKI367" s="153"/>
      <c r="SKJ367" s="153"/>
      <c r="SKK367" s="153"/>
      <c r="SKL367" s="153"/>
      <c r="SKM367" s="153"/>
      <c r="SKN367" s="153"/>
      <c r="SKO367" s="153"/>
      <c r="SKP367" s="153"/>
      <c r="SKQ367" s="153"/>
      <c r="SKR367" s="153"/>
      <c r="SKS367" s="153"/>
      <c r="SKT367" s="153"/>
      <c r="SKU367" s="640"/>
      <c r="SKV367" s="641"/>
      <c r="SKW367" s="638"/>
      <c r="SKX367" s="639"/>
      <c r="SKY367" s="153"/>
      <c r="SKZ367" s="153"/>
      <c r="SLA367" s="153"/>
      <c r="SLB367" s="153"/>
      <c r="SLC367" s="153"/>
      <c r="SLD367" s="153"/>
      <c r="SLE367" s="153"/>
      <c r="SLF367" s="153"/>
      <c r="SLG367" s="153"/>
      <c r="SLH367" s="153"/>
      <c r="SLI367" s="153"/>
      <c r="SLJ367" s="153"/>
      <c r="SLK367" s="640"/>
      <c r="SLL367" s="641"/>
      <c r="SLM367" s="638"/>
      <c r="SLN367" s="639"/>
      <c r="SLO367" s="153"/>
      <c r="SLP367" s="153"/>
      <c r="SLQ367" s="153"/>
      <c r="SLR367" s="153"/>
      <c r="SLS367" s="153"/>
      <c r="SLT367" s="153"/>
      <c r="SLU367" s="153"/>
      <c r="SLV367" s="153"/>
      <c r="SLW367" s="153"/>
      <c r="SLX367" s="153"/>
      <c r="SLY367" s="153"/>
      <c r="SLZ367" s="153"/>
      <c r="SMA367" s="640"/>
      <c r="SMB367" s="641"/>
      <c r="SMC367" s="638"/>
      <c r="SMD367" s="639"/>
      <c r="SME367" s="153"/>
      <c r="SMF367" s="153"/>
      <c r="SMG367" s="153"/>
      <c r="SMH367" s="153"/>
      <c r="SMI367" s="153"/>
      <c r="SMJ367" s="153"/>
      <c r="SMK367" s="153"/>
      <c r="SML367" s="153"/>
      <c r="SMM367" s="153"/>
      <c r="SMN367" s="153"/>
      <c r="SMO367" s="153"/>
      <c r="SMP367" s="153"/>
      <c r="SMQ367" s="640"/>
      <c r="SMR367" s="641"/>
      <c r="SMS367" s="638"/>
      <c r="SMT367" s="639"/>
      <c r="SMU367" s="153"/>
      <c r="SMV367" s="153"/>
      <c r="SMW367" s="153"/>
      <c r="SMX367" s="153"/>
      <c r="SMY367" s="153"/>
      <c r="SMZ367" s="153"/>
      <c r="SNA367" s="153"/>
      <c r="SNB367" s="153"/>
      <c r="SNC367" s="153"/>
      <c r="SND367" s="153"/>
      <c r="SNE367" s="153"/>
      <c r="SNF367" s="153"/>
      <c r="SNG367" s="640"/>
      <c r="SNH367" s="641"/>
      <c r="SNI367" s="638"/>
      <c r="SNJ367" s="639"/>
      <c r="SNK367" s="153"/>
      <c r="SNL367" s="153"/>
      <c r="SNM367" s="153"/>
      <c r="SNN367" s="153"/>
      <c r="SNO367" s="153"/>
      <c r="SNP367" s="153"/>
      <c r="SNQ367" s="153"/>
      <c r="SNR367" s="153"/>
      <c r="SNS367" s="153"/>
      <c r="SNT367" s="153"/>
      <c r="SNU367" s="153"/>
      <c r="SNV367" s="153"/>
      <c r="SNW367" s="640"/>
      <c r="SNX367" s="641"/>
      <c r="SNY367" s="638"/>
      <c r="SNZ367" s="639"/>
      <c r="SOA367" s="153"/>
      <c r="SOB367" s="153"/>
      <c r="SOC367" s="153"/>
      <c r="SOD367" s="153"/>
      <c r="SOE367" s="153"/>
      <c r="SOF367" s="153"/>
      <c r="SOG367" s="153"/>
      <c r="SOH367" s="153"/>
      <c r="SOI367" s="153"/>
      <c r="SOJ367" s="153"/>
      <c r="SOK367" s="153"/>
      <c r="SOL367" s="153"/>
      <c r="SOM367" s="640"/>
      <c r="SON367" s="641"/>
      <c r="SOO367" s="638"/>
      <c r="SOP367" s="639"/>
      <c r="SOQ367" s="153"/>
      <c r="SOR367" s="153"/>
      <c r="SOS367" s="153"/>
      <c r="SOT367" s="153"/>
      <c r="SOU367" s="153"/>
      <c r="SOV367" s="153"/>
      <c r="SOW367" s="153"/>
      <c r="SOX367" s="153"/>
      <c r="SOY367" s="153"/>
      <c r="SOZ367" s="153"/>
      <c r="SPA367" s="153"/>
      <c r="SPB367" s="153"/>
      <c r="SPC367" s="640"/>
      <c r="SPD367" s="641"/>
      <c r="SPE367" s="638"/>
      <c r="SPF367" s="639"/>
      <c r="SPG367" s="153"/>
      <c r="SPH367" s="153"/>
      <c r="SPI367" s="153"/>
      <c r="SPJ367" s="153"/>
      <c r="SPK367" s="153"/>
      <c r="SPL367" s="153"/>
      <c r="SPM367" s="153"/>
      <c r="SPN367" s="153"/>
      <c r="SPO367" s="153"/>
      <c r="SPP367" s="153"/>
      <c r="SPQ367" s="153"/>
      <c r="SPR367" s="153"/>
      <c r="SPS367" s="640"/>
      <c r="SPT367" s="641"/>
      <c r="SPU367" s="638"/>
      <c r="SPV367" s="639"/>
      <c r="SPW367" s="153"/>
      <c r="SPX367" s="153"/>
      <c r="SPY367" s="153"/>
      <c r="SPZ367" s="153"/>
      <c r="SQA367" s="153"/>
      <c r="SQB367" s="153"/>
      <c r="SQC367" s="153"/>
      <c r="SQD367" s="153"/>
      <c r="SQE367" s="153"/>
      <c r="SQF367" s="153"/>
      <c r="SQG367" s="153"/>
      <c r="SQH367" s="153"/>
      <c r="SQI367" s="640"/>
      <c r="SQJ367" s="641"/>
      <c r="SQK367" s="638"/>
      <c r="SQL367" s="639"/>
      <c r="SQM367" s="153"/>
      <c r="SQN367" s="153"/>
      <c r="SQO367" s="153"/>
      <c r="SQP367" s="153"/>
      <c r="SQQ367" s="153"/>
      <c r="SQR367" s="153"/>
      <c r="SQS367" s="153"/>
      <c r="SQT367" s="153"/>
      <c r="SQU367" s="153"/>
      <c r="SQV367" s="153"/>
      <c r="SQW367" s="153"/>
      <c r="SQX367" s="153"/>
      <c r="SQY367" s="640"/>
      <c r="SQZ367" s="641"/>
      <c r="SRA367" s="638"/>
      <c r="SRB367" s="639"/>
      <c r="SRC367" s="153"/>
      <c r="SRD367" s="153"/>
      <c r="SRE367" s="153"/>
      <c r="SRF367" s="153"/>
      <c r="SRG367" s="153"/>
      <c r="SRH367" s="153"/>
      <c r="SRI367" s="153"/>
      <c r="SRJ367" s="153"/>
      <c r="SRK367" s="153"/>
      <c r="SRL367" s="153"/>
      <c r="SRM367" s="153"/>
      <c r="SRN367" s="153"/>
      <c r="SRO367" s="640"/>
      <c r="SRP367" s="641"/>
      <c r="SRQ367" s="638"/>
      <c r="SRR367" s="639"/>
      <c r="SRS367" s="153"/>
      <c r="SRT367" s="153"/>
      <c r="SRU367" s="153"/>
      <c r="SRV367" s="153"/>
      <c r="SRW367" s="153"/>
      <c r="SRX367" s="153"/>
      <c r="SRY367" s="153"/>
      <c r="SRZ367" s="153"/>
      <c r="SSA367" s="153"/>
      <c r="SSB367" s="153"/>
      <c r="SSC367" s="153"/>
      <c r="SSD367" s="153"/>
      <c r="SSE367" s="640"/>
      <c r="SSF367" s="641"/>
      <c r="SSG367" s="638"/>
      <c r="SSH367" s="639"/>
      <c r="SSI367" s="153"/>
      <c r="SSJ367" s="153"/>
      <c r="SSK367" s="153"/>
      <c r="SSL367" s="153"/>
      <c r="SSM367" s="153"/>
      <c r="SSN367" s="153"/>
      <c r="SSO367" s="153"/>
      <c r="SSP367" s="153"/>
      <c r="SSQ367" s="153"/>
      <c r="SSR367" s="153"/>
      <c r="SSS367" s="153"/>
      <c r="SST367" s="153"/>
      <c r="SSU367" s="640"/>
      <c r="SSV367" s="641"/>
      <c r="SSW367" s="638"/>
      <c r="SSX367" s="639"/>
      <c r="SSY367" s="153"/>
      <c r="SSZ367" s="153"/>
      <c r="STA367" s="153"/>
      <c r="STB367" s="153"/>
      <c r="STC367" s="153"/>
      <c r="STD367" s="153"/>
      <c r="STE367" s="153"/>
      <c r="STF367" s="153"/>
      <c r="STG367" s="153"/>
      <c r="STH367" s="153"/>
      <c r="STI367" s="153"/>
      <c r="STJ367" s="153"/>
      <c r="STK367" s="640"/>
      <c r="STL367" s="641"/>
      <c r="STM367" s="638"/>
      <c r="STN367" s="639"/>
      <c r="STO367" s="153"/>
      <c r="STP367" s="153"/>
      <c r="STQ367" s="153"/>
      <c r="STR367" s="153"/>
      <c r="STS367" s="153"/>
      <c r="STT367" s="153"/>
      <c r="STU367" s="153"/>
      <c r="STV367" s="153"/>
      <c r="STW367" s="153"/>
      <c r="STX367" s="153"/>
      <c r="STY367" s="153"/>
      <c r="STZ367" s="153"/>
      <c r="SUA367" s="640"/>
      <c r="SUB367" s="641"/>
    </row>
    <row r="368" spans="1:13392" s="57" customFormat="1" ht="18" customHeight="1">
      <c r="A368" s="642" t="s">
        <v>1841</v>
      </c>
      <c r="B368" s="643"/>
      <c r="C368" s="644"/>
      <c r="D368" s="644">
        <v>2013</v>
      </c>
      <c r="E368" s="644">
        <v>2014</v>
      </c>
      <c r="F368" s="644">
        <v>2015</v>
      </c>
      <c r="G368" s="644">
        <v>2016</v>
      </c>
      <c r="H368" s="644">
        <v>2017</v>
      </c>
      <c r="I368" s="645">
        <v>2018</v>
      </c>
      <c r="J368" s="646">
        <v>2019</v>
      </c>
      <c r="K368" s="647">
        <v>2020</v>
      </c>
      <c r="L368" s="153"/>
      <c r="M368" s="153"/>
      <c r="N368" s="153"/>
      <c r="O368" s="648"/>
      <c r="P368" s="641"/>
      <c r="Q368" s="700" t="s">
        <v>1841</v>
      </c>
      <c r="R368" s="701"/>
      <c r="S368" s="702"/>
      <c r="T368" s="702">
        <v>2013</v>
      </c>
      <c r="U368" s="702">
        <v>2014</v>
      </c>
      <c r="V368" s="702">
        <v>2015</v>
      </c>
      <c r="W368" s="702">
        <v>2016</v>
      </c>
      <c r="X368" s="702">
        <v>2017</v>
      </c>
      <c r="Y368" s="702">
        <v>2018</v>
      </c>
      <c r="Z368" s="703">
        <v>2019</v>
      </c>
      <c r="AA368" s="704">
        <v>2020</v>
      </c>
      <c r="AB368" s="687"/>
      <c r="AC368" s="687"/>
      <c r="AD368" s="687"/>
      <c r="AE368" s="698"/>
      <c r="AF368" s="692"/>
      <c r="AG368" s="642" t="s">
        <v>1841</v>
      </c>
      <c r="AH368" s="643"/>
      <c r="AI368" s="644"/>
      <c r="AJ368" s="644">
        <v>2013</v>
      </c>
      <c r="AK368" s="644">
        <v>2014</v>
      </c>
      <c r="AL368" s="644">
        <v>2015</v>
      </c>
      <c r="AM368" s="644">
        <v>2016</v>
      </c>
      <c r="AN368" s="644">
        <v>2017</v>
      </c>
      <c r="AO368" s="645">
        <v>2018</v>
      </c>
      <c r="AP368" s="646">
        <v>2019</v>
      </c>
      <c r="AQ368" s="647">
        <v>2020</v>
      </c>
      <c r="AR368" s="153"/>
      <c r="AS368" s="153"/>
      <c r="AT368" s="153"/>
      <c r="AU368" s="648"/>
      <c r="AV368" s="641"/>
      <c r="AW368" s="642" t="s">
        <v>1841</v>
      </c>
      <c r="AX368" s="643"/>
      <c r="AY368" s="644"/>
      <c r="AZ368" s="644">
        <v>2013</v>
      </c>
      <c r="BA368" s="644">
        <v>2014</v>
      </c>
      <c r="BB368" s="644">
        <v>2015</v>
      </c>
      <c r="BC368" s="644">
        <v>2016</v>
      </c>
      <c r="BD368" s="644">
        <v>2017</v>
      </c>
      <c r="BE368" s="645">
        <v>2018</v>
      </c>
      <c r="BF368" s="646">
        <v>2019</v>
      </c>
      <c r="BG368" s="647">
        <v>2020</v>
      </c>
      <c r="BH368" s="153"/>
      <c r="BI368" s="153"/>
      <c r="BJ368" s="153"/>
      <c r="BK368" s="648"/>
      <c r="BL368" s="641"/>
      <c r="BM368" s="642" t="s">
        <v>1841</v>
      </c>
      <c r="BN368" s="643"/>
      <c r="BO368" s="644"/>
      <c r="BP368" s="644">
        <v>2013</v>
      </c>
      <c r="BQ368" s="644">
        <v>2014</v>
      </c>
      <c r="BR368" s="644">
        <v>2015</v>
      </c>
      <c r="BS368" s="644">
        <v>2016</v>
      </c>
      <c r="BT368" s="644">
        <v>2017</v>
      </c>
      <c r="BU368" s="645">
        <v>2018</v>
      </c>
      <c r="BV368" s="646">
        <v>2019</v>
      </c>
      <c r="BW368" s="647">
        <v>2020</v>
      </c>
      <c r="BX368" s="153"/>
      <c r="BY368" s="153"/>
      <c r="BZ368" s="153"/>
      <c r="CA368" s="648"/>
      <c r="CB368" s="641"/>
      <c r="CC368" s="642" t="s">
        <v>1841</v>
      </c>
      <c r="CD368" s="643"/>
      <c r="CE368" s="644"/>
      <c r="CF368" s="644">
        <v>2013</v>
      </c>
      <c r="CG368" s="644">
        <v>2014</v>
      </c>
      <c r="CH368" s="644">
        <v>2015</v>
      </c>
      <c r="CI368" s="644">
        <v>2016</v>
      </c>
      <c r="CJ368" s="644">
        <v>2017</v>
      </c>
      <c r="CK368" s="645">
        <v>2018</v>
      </c>
      <c r="CL368" s="646">
        <v>2019</v>
      </c>
      <c r="CM368" s="647">
        <v>2020</v>
      </c>
      <c r="CN368" s="153"/>
      <c r="CO368" s="153"/>
      <c r="CP368" s="153"/>
      <c r="CQ368" s="648"/>
      <c r="CR368" s="641"/>
      <c r="CS368" s="642" t="s">
        <v>1841</v>
      </c>
      <c r="CT368" s="643"/>
      <c r="CU368" s="644"/>
      <c r="CV368" s="644">
        <v>2013</v>
      </c>
      <c r="CW368" s="644">
        <v>2014</v>
      </c>
      <c r="CX368" s="644">
        <v>2015</v>
      </c>
      <c r="CY368" s="644">
        <v>2016</v>
      </c>
      <c r="CZ368" s="644">
        <v>2017</v>
      </c>
      <c r="DA368" s="645">
        <v>2018</v>
      </c>
      <c r="DB368" s="646">
        <v>2019</v>
      </c>
      <c r="DC368" s="647">
        <v>2020</v>
      </c>
      <c r="DD368" s="153"/>
      <c r="DE368" s="153"/>
      <c r="DF368" s="153"/>
      <c r="DG368" s="648"/>
      <c r="DH368" s="641"/>
      <c r="DI368" s="642" t="s">
        <v>1841</v>
      </c>
      <c r="DJ368" s="643"/>
      <c r="DK368" s="644"/>
      <c r="DL368" s="644">
        <v>2013</v>
      </c>
      <c r="DM368" s="644">
        <v>2014</v>
      </c>
      <c r="DN368" s="644">
        <v>2015</v>
      </c>
      <c r="DO368" s="644">
        <v>2016</v>
      </c>
      <c r="DP368" s="644">
        <v>2017</v>
      </c>
      <c r="DQ368" s="645">
        <v>2018</v>
      </c>
      <c r="DR368" s="646">
        <v>2019</v>
      </c>
      <c r="DS368" s="647">
        <v>2020</v>
      </c>
      <c r="DT368" s="153"/>
      <c r="DU368" s="153"/>
      <c r="DV368" s="153"/>
      <c r="DW368" s="648"/>
      <c r="DX368" s="641"/>
      <c r="DY368" s="642" t="s">
        <v>1841</v>
      </c>
      <c r="DZ368" s="643"/>
      <c r="EA368" s="644"/>
      <c r="EB368" s="644">
        <v>2013</v>
      </c>
      <c r="EC368" s="644">
        <v>2014</v>
      </c>
      <c r="ED368" s="644">
        <v>2015</v>
      </c>
      <c r="EE368" s="644">
        <v>2016</v>
      </c>
      <c r="EF368" s="644">
        <v>2017</v>
      </c>
      <c r="EG368" s="645">
        <v>2018</v>
      </c>
      <c r="EH368" s="646">
        <v>2019</v>
      </c>
      <c r="EI368" s="647">
        <v>2020</v>
      </c>
      <c r="EJ368" s="153"/>
      <c r="EK368" s="153"/>
      <c r="EL368" s="153"/>
      <c r="EM368" s="648"/>
      <c r="EN368" s="641"/>
      <c r="EO368" s="642" t="s">
        <v>1841</v>
      </c>
      <c r="EP368" s="643"/>
      <c r="EQ368" s="644"/>
      <c r="ER368" s="644">
        <v>2013</v>
      </c>
      <c r="ES368" s="644">
        <v>2014</v>
      </c>
      <c r="ET368" s="644">
        <v>2015</v>
      </c>
      <c r="EU368" s="644">
        <v>2016</v>
      </c>
      <c r="EV368" s="644">
        <v>2017</v>
      </c>
      <c r="EW368" s="645">
        <v>2018</v>
      </c>
      <c r="EX368" s="646">
        <v>2019</v>
      </c>
      <c r="EY368" s="647">
        <v>2020</v>
      </c>
      <c r="EZ368" s="153"/>
      <c r="FA368" s="153"/>
      <c r="FB368" s="153"/>
      <c r="FC368" s="648"/>
      <c r="FD368" s="641"/>
      <c r="FE368" s="642" t="s">
        <v>1841</v>
      </c>
      <c r="FF368" s="643"/>
      <c r="FG368" s="644"/>
      <c r="FH368" s="644">
        <v>2013</v>
      </c>
      <c r="FI368" s="644">
        <v>2014</v>
      </c>
      <c r="FJ368" s="644">
        <v>2015</v>
      </c>
      <c r="FK368" s="644">
        <v>2016</v>
      </c>
      <c r="FL368" s="644">
        <v>2017</v>
      </c>
      <c r="FM368" s="645">
        <v>2018</v>
      </c>
      <c r="FN368" s="646">
        <v>2019</v>
      </c>
      <c r="FO368" s="647">
        <v>2020</v>
      </c>
      <c r="FP368" s="153"/>
      <c r="FQ368" s="153"/>
      <c r="FR368" s="153"/>
      <c r="FS368" s="648"/>
      <c r="FT368" s="641"/>
      <c r="FU368" s="642" t="s">
        <v>1841</v>
      </c>
      <c r="FV368" s="643"/>
      <c r="FW368" s="644"/>
      <c r="FX368" s="644">
        <v>2013</v>
      </c>
      <c r="FY368" s="644">
        <v>2014</v>
      </c>
      <c r="FZ368" s="644">
        <v>2015</v>
      </c>
      <c r="GA368" s="644">
        <v>2016</v>
      </c>
      <c r="GB368" s="644">
        <v>2017</v>
      </c>
      <c r="GC368" s="645">
        <v>2018</v>
      </c>
      <c r="GD368" s="646">
        <v>2019</v>
      </c>
      <c r="GE368" s="647">
        <v>2020</v>
      </c>
      <c r="GF368" s="153"/>
      <c r="GG368" s="153"/>
      <c r="GH368" s="153"/>
      <c r="GI368" s="648"/>
      <c r="GJ368" s="641"/>
      <c r="GK368" s="642" t="s">
        <v>1841</v>
      </c>
      <c r="GL368" s="643"/>
      <c r="GM368" s="644"/>
      <c r="GN368" s="644">
        <v>2013</v>
      </c>
      <c r="GO368" s="644">
        <v>2014</v>
      </c>
      <c r="GP368" s="644">
        <v>2015</v>
      </c>
      <c r="GQ368" s="644">
        <v>2016</v>
      </c>
      <c r="GR368" s="644">
        <v>2017</v>
      </c>
      <c r="GS368" s="645">
        <v>2018</v>
      </c>
      <c r="GT368" s="646">
        <v>2019</v>
      </c>
      <c r="GU368" s="647">
        <v>2020</v>
      </c>
      <c r="GV368" s="153"/>
      <c r="GW368" s="153"/>
      <c r="GX368" s="153"/>
      <c r="GY368" s="648"/>
      <c r="GZ368" s="641"/>
      <c r="HA368" s="642" t="s">
        <v>1841</v>
      </c>
      <c r="HB368" s="643"/>
      <c r="HC368" s="644"/>
      <c r="HD368" s="644">
        <v>2013</v>
      </c>
      <c r="HE368" s="644">
        <v>2014</v>
      </c>
      <c r="HF368" s="644">
        <v>2015</v>
      </c>
      <c r="HG368" s="644">
        <v>2016</v>
      </c>
      <c r="HH368" s="644">
        <v>2017</v>
      </c>
      <c r="HI368" s="645">
        <v>2018</v>
      </c>
      <c r="HJ368" s="646">
        <v>2019</v>
      </c>
      <c r="HK368" s="647">
        <v>2020</v>
      </c>
      <c r="HL368" s="153"/>
      <c r="HM368" s="153"/>
      <c r="HN368" s="153"/>
      <c r="HO368" s="648"/>
      <c r="HP368" s="641"/>
      <c r="HQ368" s="642" t="s">
        <v>1841</v>
      </c>
      <c r="HR368" s="643"/>
      <c r="HS368" s="644"/>
      <c r="HT368" s="644">
        <v>2013</v>
      </c>
      <c r="HU368" s="644">
        <v>2014</v>
      </c>
      <c r="HV368" s="644">
        <v>2015</v>
      </c>
      <c r="HW368" s="644">
        <v>2016</v>
      </c>
      <c r="HX368" s="644">
        <v>2017</v>
      </c>
      <c r="HY368" s="645">
        <v>2018</v>
      </c>
      <c r="HZ368" s="646">
        <v>2019</v>
      </c>
      <c r="IA368" s="647">
        <v>2020</v>
      </c>
      <c r="IB368" s="153"/>
      <c r="IC368" s="153"/>
      <c r="ID368" s="153"/>
      <c r="IE368" s="648"/>
      <c r="IF368" s="641"/>
      <c r="IG368" s="642" t="s">
        <v>1841</v>
      </c>
      <c r="IH368" s="643"/>
      <c r="II368" s="644"/>
      <c r="IJ368" s="644">
        <v>2013</v>
      </c>
      <c r="IK368" s="644">
        <v>2014</v>
      </c>
      <c r="IL368" s="644">
        <v>2015</v>
      </c>
      <c r="IM368" s="644">
        <v>2016</v>
      </c>
      <c r="IN368" s="644">
        <v>2017</v>
      </c>
      <c r="IO368" s="645">
        <v>2018</v>
      </c>
      <c r="IP368" s="646">
        <v>2019</v>
      </c>
      <c r="IQ368" s="647">
        <v>2020</v>
      </c>
      <c r="IR368" s="153"/>
      <c r="IS368" s="153"/>
      <c r="IT368" s="153"/>
      <c r="IU368" s="648"/>
      <c r="IV368" s="641"/>
      <c r="IW368" s="642" t="s">
        <v>1841</v>
      </c>
      <c r="IX368" s="643"/>
      <c r="IY368" s="644"/>
      <c r="IZ368" s="644">
        <v>2013</v>
      </c>
      <c r="JA368" s="644">
        <v>2014</v>
      </c>
      <c r="JB368" s="644">
        <v>2015</v>
      </c>
      <c r="JC368" s="644">
        <v>2016</v>
      </c>
      <c r="JD368" s="644">
        <v>2017</v>
      </c>
      <c r="JE368" s="645">
        <v>2018</v>
      </c>
      <c r="JF368" s="646">
        <v>2019</v>
      </c>
      <c r="JG368" s="647">
        <v>2020</v>
      </c>
      <c r="JH368" s="153"/>
      <c r="JI368" s="153"/>
      <c r="JJ368" s="153"/>
      <c r="JK368" s="648"/>
      <c r="JL368" s="641"/>
      <c r="JM368" s="642" t="s">
        <v>1841</v>
      </c>
      <c r="JN368" s="643"/>
      <c r="JO368" s="644"/>
      <c r="JP368" s="644">
        <v>2013</v>
      </c>
      <c r="JQ368" s="644">
        <v>2014</v>
      </c>
      <c r="JR368" s="644">
        <v>2015</v>
      </c>
      <c r="JS368" s="644">
        <v>2016</v>
      </c>
      <c r="JT368" s="644">
        <v>2017</v>
      </c>
      <c r="JU368" s="645">
        <v>2018</v>
      </c>
      <c r="JV368" s="646">
        <v>2019</v>
      </c>
      <c r="JW368" s="647">
        <v>2020</v>
      </c>
      <c r="JX368" s="153"/>
      <c r="JY368" s="153"/>
      <c r="JZ368" s="153"/>
      <c r="KA368" s="648"/>
      <c r="KB368" s="641"/>
      <c r="KC368" s="642" t="s">
        <v>1841</v>
      </c>
      <c r="KD368" s="643"/>
      <c r="KE368" s="644"/>
      <c r="KF368" s="644">
        <v>2013</v>
      </c>
      <c r="KG368" s="644">
        <v>2014</v>
      </c>
      <c r="KH368" s="644">
        <v>2015</v>
      </c>
      <c r="KI368" s="644">
        <v>2016</v>
      </c>
      <c r="KJ368" s="644">
        <v>2017</v>
      </c>
      <c r="KK368" s="645">
        <v>2018</v>
      </c>
      <c r="KL368" s="646">
        <v>2019</v>
      </c>
      <c r="KM368" s="647">
        <v>2020</v>
      </c>
      <c r="KN368" s="153"/>
      <c r="KO368" s="153"/>
      <c r="KP368" s="153"/>
      <c r="KQ368" s="648"/>
      <c r="KR368" s="641"/>
      <c r="KS368" s="642" t="s">
        <v>1841</v>
      </c>
      <c r="KT368" s="643"/>
      <c r="KU368" s="644"/>
      <c r="KV368" s="644">
        <v>2013</v>
      </c>
      <c r="KW368" s="644">
        <v>2014</v>
      </c>
      <c r="KX368" s="644">
        <v>2015</v>
      </c>
      <c r="KY368" s="644">
        <v>2016</v>
      </c>
      <c r="KZ368" s="644">
        <v>2017</v>
      </c>
      <c r="LA368" s="645">
        <v>2018</v>
      </c>
      <c r="LB368" s="646">
        <v>2019</v>
      </c>
      <c r="LC368" s="647">
        <v>2020</v>
      </c>
      <c r="LD368" s="153"/>
      <c r="LE368" s="153"/>
      <c r="LF368" s="153"/>
      <c r="LG368" s="648"/>
      <c r="LH368" s="641"/>
      <c r="LI368" s="642" t="s">
        <v>1841</v>
      </c>
      <c r="LJ368" s="643"/>
      <c r="LK368" s="644"/>
      <c r="LL368" s="644">
        <v>2013</v>
      </c>
      <c r="LM368" s="644">
        <v>2014</v>
      </c>
      <c r="LN368" s="644">
        <v>2015</v>
      </c>
      <c r="LO368" s="644">
        <v>2016</v>
      </c>
      <c r="LP368" s="644">
        <v>2017</v>
      </c>
      <c r="LQ368" s="645">
        <v>2018</v>
      </c>
      <c r="LR368" s="646">
        <v>2019</v>
      </c>
      <c r="LS368" s="647">
        <v>2020</v>
      </c>
      <c r="LT368" s="153"/>
      <c r="LU368" s="153"/>
      <c r="LV368" s="153"/>
      <c r="LW368" s="648"/>
      <c r="LX368" s="641"/>
      <c r="LY368" s="642" t="s">
        <v>1841</v>
      </c>
      <c r="LZ368" s="643"/>
      <c r="MA368" s="644"/>
      <c r="MB368" s="644">
        <v>2013</v>
      </c>
      <c r="MC368" s="644">
        <v>2014</v>
      </c>
      <c r="MD368" s="644">
        <v>2015</v>
      </c>
      <c r="ME368" s="644">
        <v>2016</v>
      </c>
      <c r="MF368" s="644">
        <v>2017</v>
      </c>
      <c r="MG368" s="645">
        <v>2018</v>
      </c>
      <c r="MH368" s="646">
        <v>2019</v>
      </c>
      <c r="MI368" s="647">
        <v>2020</v>
      </c>
      <c r="MJ368" s="153"/>
      <c r="MK368" s="153"/>
      <c r="ML368" s="153"/>
      <c r="MM368" s="648"/>
      <c r="MN368" s="641"/>
      <c r="MO368" s="642" t="s">
        <v>1841</v>
      </c>
      <c r="MP368" s="643"/>
      <c r="MQ368" s="644"/>
      <c r="MR368" s="644">
        <v>2013</v>
      </c>
      <c r="MS368" s="644">
        <v>2014</v>
      </c>
      <c r="MT368" s="644">
        <v>2015</v>
      </c>
      <c r="MU368" s="644">
        <v>2016</v>
      </c>
      <c r="MV368" s="644">
        <v>2017</v>
      </c>
      <c r="MW368" s="645">
        <v>2018</v>
      </c>
      <c r="MX368" s="646">
        <v>2019</v>
      </c>
      <c r="MY368" s="647">
        <v>2020</v>
      </c>
      <c r="MZ368" s="153"/>
      <c r="NA368" s="153"/>
      <c r="NB368" s="153"/>
      <c r="NC368" s="648"/>
      <c r="ND368" s="641"/>
      <c r="NE368" s="642" t="s">
        <v>1841</v>
      </c>
      <c r="NF368" s="643"/>
      <c r="NG368" s="644"/>
      <c r="NH368" s="644">
        <v>2013</v>
      </c>
      <c r="NI368" s="644">
        <v>2014</v>
      </c>
      <c r="NJ368" s="644">
        <v>2015</v>
      </c>
      <c r="NK368" s="644">
        <v>2016</v>
      </c>
      <c r="NL368" s="644">
        <v>2017</v>
      </c>
      <c r="NM368" s="645">
        <v>2018</v>
      </c>
      <c r="NN368" s="646">
        <v>2019</v>
      </c>
      <c r="NO368" s="647">
        <v>2020</v>
      </c>
      <c r="NP368" s="153"/>
      <c r="NQ368" s="153"/>
      <c r="NR368" s="153"/>
      <c r="NS368" s="648"/>
      <c r="NT368" s="641"/>
      <c r="NU368" s="642" t="s">
        <v>1841</v>
      </c>
      <c r="NV368" s="643"/>
      <c r="NW368" s="644"/>
      <c r="NX368" s="644">
        <v>2013</v>
      </c>
      <c r="NY368" s="644">
        <v>2014</v>
      </c>
      <c r="NZ368" s="644">
        <v>2015</v>
      </c>
      <c r="OA368" s="644">
        <v>2016</v>
      </c>
      <c r="OB368" s="644">
        <v>2017</v>
      </c>
      <c r="OC368" s="645">
        <v>2018</v>
      </c>
      <c r="OD368" s="646">
        <v>2019</v>
      </c>
      <c r="OE368" s="647">
        <v>2020</v>
      </c>
      <c r="OF368" s="153"/>
      <c r="OG368" s="153"/>
      <c r="OH368" s="153"/>
      <c r="OI368" s="648"/>
      <c r="OJ368" s="641"/>
      <c r="OK368" s="642" t="s">
        <v>1841</v>
      </c>
      <c r="OL368" s="643"/>
      <c r="OM368" s="644"/>
      <c r="ON368" s="644">
        <v>2013</v>
      </c>
      <c r="OO368" s="644">
        <v>2014</v>
      </c>
      <c r="OP368" s="644">
        <v>2015</v>
      </c>
      <c r="OQ368" s="644">
        <v>2016</v>
      </c>
      <c r="OR368" s="644">
        <v>2017</v>
      </c>
      <c r="OS368" s="645">
        <v>2018</v>
      </c>
      <c r="OT368" s="646">
        <v>2019</v>
      </c>
      <c r="OU368" s="647">
        <v>2020</v>
      </c>
      <c r="OV368" s="153"/>
      <c r="OW368" s="153"/>
      <c r="OX368" s="153"/>
      <c r="OY368" s="648"/>
      <c r="OZ368" s="641"/>
      <c r="PA368" s="642" t="s">
        <v>1841</v>
      </c>
      <c r="PB368" s="643"/>
      <c r="PC368" s="644"/>
      <c r="PD368" s="644">
        <v>2013</v>
      </c>
      <c r="PE368" s="644">
        <v>2014</v>
      </c>
      <c r="PF368" s="644">
        <v>2015</v>
      </c>
      <c r="PG368" s="644">
        <v>2016</v>
      </c>
      <c r="PH368" s="644">
        <v>2017</v>
      </c>
      <c r="PI368" s="645">
        <v>2018</v>
      </c>
      <c r="PJ368" s="646">
        <v>2019</v>
      </c>
      <c r="PK368" s="647">
        <v>2020</v>
      </c>
      <c r="PL368" s="153"/>
      <c r="PM368" s="153"/>
      <c r="PN368" s="153"/>
      <c r="PO368" s="648"/>
      <c r="PP368" s="641"/>
      <c r="PQ368" s="642" t="s">
        <v>1841</v>
      </c>
      <c r="PR368" s="643"/>
      <c r="PS368" s="644"/>
      <c r="PT368" s="644">
        <v>2013</v>
      </c>
      <c r="PU368" s="644">
        <v>2014</v>
      </c>
      <c r="PV368" s="644">
        <v>2015</v>
      </c>
      <c r="PW368" s="644">
        <v>2016</v>
      </c>
      <c r="PX368" s="644">
        <v>2017</v>
      </c>
      <c r="PY368" s="645">
        <v>2018</v>
      </c>
      <c r="PZ368" s="646">
        <v>2019</v>
      </c>
      <c r="QA368" s="647">
        <v>2020</v>
      </c>
      <c r="QB368" s="153"/>
      <c r="QC368" s="153"/>
      <c r="QD368" s="153"/>
      <c r="QE368" s="648"/>
      <c r="QF368" s="641"/>
      <c r="QG368" s="642" t="s">
        <v>1841</v>
      </c>
      <c r="QH368" s="643"/>
      <c r="QI368" s="644"/>
      <c r="QJ368" s="644">
        <v>2013</v>
      </c>
      <c r="QK368" s="644">
        <v>2014</v>
      </c>
      <c r="QL368" s="644">
        <v>2015</v>
      </c>
      <c r="QM368" s="644">
        <v>2016</v>
      </c>
      <c r="QN368" s="644">
        <v>2017</v>
      </c>
      <c r="QO368" s="645">
        <v>2018</v>
      </c>
      <c r="QP368" s="646">
        <v>2019</v>
      </c>
      <c r="QQ368" s="647">
        <v>2020</v>
      </c>
      <c r="QR368" s="153"/>
      <c r="QS368" s="153"/>
      <c r="QT368" s="153"/>
      <c r="QU368" s="648"/>
      <c r="QV368" s="641"/>
      <c r="QW368" s="642" t="s">
        <v>1841</v>
      </c>
      <c r="QX368" s="643"/>
      <c r="QY368" s="644"/>
      <c r="QZ368" s="644">
        <v>2013</v>
      </c>
      <c r="RA368" s="644">
        <v>2014</v>
      </c>
      <c r="RB368" s="644">
        <v>2015</v>
      </c>
      <c r="RC368" s="644">
        <v>2016</v>
      </c>
      <c r="RD368" s="644">
        <v>2017</v>
      </c>
      <c r="RE368" s="645">
        <v>2018</v>
      </c>
      <c r="RF368" s="646">
        <v>2019</v>
      </c>
      <c r="RG368" s="647">
        <v>2020</v>
      </c>
      <c r="RH368" s="153"/>
      <c r="RI368" s="153"/>
      <c r="RJ368" s="153"/>
      <c r="RK368" s="648"/>
      <c r="RL368" s="641"/>
      <c r="RM368" s="642" t="s">
        <v>1841</v>
      </c>
      <c r="RN368" s="643"/>
      <c r="RO368" s="644"/>
      <c r="RP368" s="644">
        <v>2013</v>
      </c>
      <c r="RQ368" s="644">
        <v>2014</v>
      </c>
      <c r="RR368" s="644">
        <v>2015</v>
      </c>
      <c r="RS368" s="644">
        <v>2016</v>
      </c>
      <c r="RT368" s="644">
        <v>2017</v>
      </c>
      <c r="RU368" s="645">
        <v>2018</v>
      </c>
      <c r="RV368" s="646">
        <v>2019</v>
      </c>
      <c r="RW368" s="647">
        <v>2020</v>
      </c>
      <c r="RX368" s="153"/>
      <c r="RY368" s="153"/>
      <c r="RZ368" s="153"/>
      <c r="SA368" s="648"/>
      <c r="SB368" s="641"/>
      <c r="SC368" s="642" t="s">
        <v>1841</v>
      </c>
      <c r="SD368" s="643"/>
      <c r="SE368" s="644"/>
      <c r="SF368" s="644">
        <v>2013</v>
      </c>
      <c r="SG368" s="644">
        <v>2014</v>
      </c>
      <c r="SH368" s="644">
        <v>2015</v>
      </c>
      <c r="SI368" s="644">
        <v>2016</v>
      </c>
      <c r="SJ368" s="644">
        <v>2017</v>
      </c>
      <c r="SK368" s="645">
        <v>2018</v>
      </c>
      <c r="SL368" s="646">
        <v>2019</v>
      </c>
      <c r="SM368" s="647">
        <v>2020</v>
      </c>
      <c r="SN368" s="153"/>
      <c r="SO368" s="153"/>
      <c r="SP368" s="153"/>
      <c r="SQ368" s="648"/>
      <c r="SR368" s="641"/>
      <c r="SS368" s="642" t="s">
        <v>1841</v>
      </c>
      <c r="ST368" s="643"/>
      <c r="SU368" s="644"/>
      <c r="SV368" s="644">
        <v>2013</v>
      </c>
      <c r="SW368" s="644">
        <v>2014</v>
      </c>
      <c r="SX368" s="644">
        <v>2015</v>
      </c>
      <c r="SY368" s="644">
        <v>2016</v>
      </c>
      <c r="SZ368" s="644">
        <v>2017</v>
      </c>
      <c r="TA368" s="645">
        <v>2018</v>
      </c>
      <c r="TB368" s="646">
        <v>2019</v>
      </c>
      <c r="TC368" s="647">
        <v>2020</v>
      </c>
      <c r="TD368" s="153"/>
      <c r="TE368" s="153"/>
      <c r="TF368" s="153"/>
      <c r="TG368" s="648"/>
      <c r="TH368" s="641"/>
      <c r="TI368" s="642" t="s">
        <v>1841</v>
      </c>
      <c r="TJ368" s="643"/>
      <c r="TK368" s="644"/>
      <c r="TL368" s="644">
        <v>2013</v>
      </c>
      <c r="TM368" s="644">
        <v>2014</v>
      </c>
      <c r="TN368" s="644">
        <v>2015</v>
      </c>
      <c r="TO368" s="644">
        <v>2016</v>
      </c>
      <c r="TP368" s="644">
        <v>2017</v>
      </c>
      <c r="TQ368" s="645">
        <v>2018</v>
      </c>
      <c r="TR368" s="646">
        <v>2019</v>
      </c>
      <c r="TS368" s="647">
        <v>2020</v>
      </c>
      <c r="TT368" s="153"/>
      <c r="TU368" s="153"/>
      <c r="TV368" s="153"/>
      <c r="TW368" s="648"/>
      <c r="TX368" s="641"/>
      <c r="TY368" s="642" t="s">
        <v>1841</v>
      </c>
      <c r="TZ368" s="643"/>
      <c r="UA368" s="644"/>
      <c r="UB368" s="644">
        <v>2013</v>
      </c>
      <c r="UC368" s="644">
        <v>2014</v>
      </c>
      <c r="UD368" s="644">
        <v>2015</v>
      </c>
      <c r="UE368" s="644">
        <v>2016</v>
      </c>
      <c r="UF368" s="644">
        <v>2017</v>
      </c>
      <c r="UG368" s="645">
        <v>2018</v>
      </c>
      <c r="UH368" s="646">
        <v>2019</v>
      </c>
      <c r="UI368" s="647">
        <v>2020</v>
      </c>
      <c r="UJ368" s="153"/>
      <c r="UK368" s="153"/>
      <c r="UL368" s="153"/>
      <c r="UM368" s="648"/>
      <c r="UN368" s="641"/>
      <c r="UO368" s="642" t="s">
        <v>1841</v>
      </c>
      <c r="UP368" s="643"/>
      <c r="UQ368" s="644"/>
      <c r="UR368" s="644">
        <v>2013</v>
      </c>
      <c r="US368" s="644">
        <v>2014</v>
      </c>
      <c r="UT368" s="644">
        <v>2015</v>
      </c>
      <c r="UU368" s="644">
        <v>2016</v>
      </c>
      <c r="UV368" s="644">
        <v>2017</v>
      </c>
      <c r="UW368" s="645">
        <v>2018</v>
      </c>
      <c r="UX368" s="646">
        <v>2019</v>
      </c>
      <c r="UY368" s="647">
        <v>2020</v>
      </c>
      <c r="UZ368" s="153"/>
      <c r="VA368" s="153"/>
      <c r="VB368" s="153"/>
      <c r="VC368" s="648"/>
      <c r="VD368" s="641"/>
      <c r="VE368" s="642" t="s">
        <v>1841</v>
      </c>
      <c r="VF368" s="643"/>
      <c r="VG368" s="644"/>
      <c r="VH368" s="644">
        <v>2013</v>
      </c>
      <c r="VI368" s="644">
        <v>2014</v>
      </c>
      <c r="VJ368" s="644">
        <v>2015</v>
      </c>
      <c r="VK368" s="644">
        <v>2016</v>
      </c>
      <c r="VL368" s="644">
        <v>2017</v>
      </c>
      <c r="VM368" s="645">
        <v>2018</v>
      </c>
      <c r="VN368" s="646">
        <v>2019</v>
      </c>
      <c r="VO368" s="647">
        <v>2020</v>
      </c>
      <c r="VP368" s="153"/>
      <c r="VQ368" s="153"/>
      <c r="VR368" s="153"/>
      <c r="VS368" s="648"/>
      <c r="VT368" s="641"/>
      <c r="VU368" s="642" t="s">
        <v>1841</v>
      </c>
      <c r="VV368" s="643"/>
      <c r="VW368" s="644"/>
      <c r="VX368" s="644">
        <v>2013</v>
      </c>
      <c r="VY368" s="644">
        <v>2014</v>
      </c>
      <c r="VZ368" s="644">
        <v>2015</v>
      </c>
      <c r="WA368" s="644">
        <v>2016</v>
      </c>
      <c r="WB368" s="644">
        <v>2017</v>
      </c>
      <c r="WC368" s="645">
        <v>2018</v>
      </c>
      <c r="WD368" s="646">
        <v>2019</v>
      </c>
      <c r="WE368" s="647">
        <v>2020</v>
      </c>
      <c r="WF368" s="153"/>
      <c r="WG368" s="153"/>
      <c r="WH368" s="153"/>
      <c r="WI368" s="648"/>
      <c r="WJ368" s="641"/>
      <c r="WK368" s="642" t="s">
        <v>1841</v>
      </c>
      <c r="WL368" s="643"/>
      <c r="WM368" s="644"/>
      <c r="WN368" s="644">
        <v>2013</v>
      </c>
      <c r="WO368" s="644">
        <v>2014</v>
      </c>
      <c r="WP368" s="644">
        <v>2015</v>
      </c>
      <c r="WQ368" s="644">
        <v>2016</v>
      </c>
      <c r="WR368" s="644">
        <v>2017</v>
      </c>
      <c r="WS368" s="645">
        <v>2018</v>
      </c>
      <c r="WT368" s="646">
        <v>2019</v>
      </c>
      <c r="WU368" s="647">
        <v>2020</v>
      </c>
      <c r="WV368" s="153"/>
      <c r="WW368" s="153"/>
      <c r="WX368" s="153"/>
      <c r="WY368" s="648"/>
      <c r="WZ368" s="641"/>
      <c r="XA368" s="642" t="s">
        <v>1841</v>
      </c>
      <c r="XB368" s="643"/>
      <c r="XC368" s="644"/>
      <c r="XD368" s="644">
        <v>2013</v>
      </c>
      <c r="XE368" s="644">
        <v>2014</v>
      </c>
      <c r="XF368" s="644">
        <v>2015</v>
      </c>
      <c r="XG368" s="644">
        <v>2016</v>
      </c>
      <c r="XH368" s="644">
        <v>2017</v>
      </c>
      <c r="XI368" s="645">
        <v>2018</v>
      </c>
      <c r="XJ368" s="646">
        <v>2019</v>
      </c>
      <c r="XK368" s="647">
        <v>2020</v>
      </c>
      <c r="XL368" s="153"/>
      <c r="XM368" s="153"/>
      <c r="XN368" s="153"/>
      <c r="XO368" s="648"/>
      <c r="XP368" s="641"/>
      <c r="XQ368" s="642" t="s">
        <v>1841</v>
      </c>
      <c r="XR368" s="643"/>
      <c r="XS368" s="644"/>
      <c r="XT368" s="644">
        <v>2013</v>
      </c>
      <c r="XU368" s="644">
        <v>2014</v>
      </c>
      <c r="XV368" s="644">
        <v>2015</v>
      </c>
      <c r="XW368" s="644">
        <v>2016</v>
      </c>
      <c r="XX368" s="644">
        <v>2017</v>
      </c>
      <c r="XY368" s="645">
        <v>2018</v>
      </c>
      <c r="XZ368" s="646">
        <v>2019</v>
      </c>
      <c r="YA368" s="647">
        <v>2020</v>
      </c>
      <c r="YB368" s="153"/>
      <c r="YC368" s="153"/>
      <c r="YD368" s="153"/>
      <c r="YE368" s="648"/>
      <c r="YF368" s="641"/>
      <c r="YG368" s="642" t="s">
        <v>1841</v>
      </c>
      <c r="YH368" s="643"/>
      <c r="YI368" s="644"/>
      <c r="YJ368" s="644">
        <v>2013</v>
      </c>
      <c r="YK368" s="644">
        <v>2014</v>
      </c>
      <c r="YL368" s="644">
        <v>2015</v>
      </c>
      <c r="YM368" s="644">
        <v>2016</v>
      </c>
      <c r="YN368" s="644">
        <v>2017</v>
      </c>
      <c r="YO368" s="645">
        <v>2018</v>
      </c>
      <c r="YP368" s="646">
        <v>2019</v>
      </c>
      <c r="YQ368" s="647">
        <v>2020</v>
      </c>
      <c r="YR368" s="153"/>
      <c r="YS368" s="153"/>
      <c r="YT368" s="153"/>
      <c r="YU368" s="648"/>
      <c r="YV368" s="641"/>
      <c r="YW368" s="642" t="s">
        <v>1841</v>
      </c>
      <c r="YX368" s="643"/>
      <c r="YY368" s="644"/>
      <c r="YZ368" s="644">
        <v>2013</v>
      </c>
      <c r="ZA368" s="644">
        <v>2014</v>
      </c>
      <c r="ZB368" s="644">
        <v>2015</v>
      </c>
      <c r="ZC368" s="644">
        <v>2016</v>
      </c>
      <c r="ZD368" s="644">
        <v>2017</v>
      </c>
      <c r="ZE368" s="645">
        <v>2018</v>
      </c>
      <c r="ZF368" s="646">
        <v>2019</v>
      </c>
      <c r="ZG368" s="647">
        <v>2020</v>
      </c>
      <c r="ZH368" s="153"/>
      <c r="ZI368" s="153"/>
      <c r="ZJ368" s="153"/>
      <c r="ZK368" s="648"/>
      <c r="ZL368" s="641"/>
      <c r="ZM368" s="642" t="s">
        <v>1841</v>
      </c>
      <c r="ZN368" s="643"/>
      <c r="ZO368" s="644"/>
      <c r="ZP368" s="644">
        <v>2013</v>
      </c>
      <c r="ZQ368" s="644">
        <v>2014</v>
      </c>
      <c r="ZR368" s="644">
        <v>2015</v>
      </c>
      <c r="ZS368" s="644">
        <v>2016</v>
      </c>
      <c r="ZT368" s="644">
        <v>2017</v>
      </c>
      <c r="ZU368" s="645">
        <v>2018</v>
      </c>
      <c r="ZV368" s="646">
        <v>2019</v>
      </c>
      <c r="ZW368" s="647">
        <v>2020</v>
      </c>
      <c r="ZX368" s="153"/>
      <c r="ZY368" s="153"/>
      <c r="ZZ368" s="153"/>
      <c r="AAA368" s="648"/>
      <c r="AAB368" s="641"/>
      <c r="AAC368" s="642" t="s">
        <v>1841</v>
      </c>
      <c r="AAD368" s="643"/>
      <c r="AAE368" s="644"/>
      <c r="AAF368" s="644">
        <v>2013</v>
      </c>
      <c r="AAG368" s="644">
        <v>2014</v>
      </c>
      <c r="AAH368" s="644">
        <v>2015</v>
      </c>
      <c r="AAI368" s="644">
        <v>2016</v>
      </c>
      <c r="AAJ368" s="644">
        <v>2017</v>
      </c>
      <c r="AAK368" s="645">
        <v>2018</v>
      </c>
      <c r="AAL368" s="646">
        <v>2019</v>
      </c>
      <c r="AAM368" s="647">
        <v>2020</v>
      </c>
      <c r="AAN368" s="153"/>
      <c r="AAO368" s="153"/>
      <c r="AAP368" s="153"/>
      <c r="AAQ368" s="648"/>
      <c r="AAR368" s="641"/>
      <c r="AAS368" s="642" t="s">
        <v>1841</v>
      </c>
      <c r="AAT368" s="643"/>
      <c r="AAU368" s="644"/>
      <c r="AAV368" s="644">
        <v>2013</v>
      </c>
      <c r="AAW368" s="644">
        <v>2014</v>
      </c>
      <c r="AAX368" s="644">
        <v>2015</v>
      </c>
      <c r="AAY368" s="644">
        <v>2016</v>
      </c>
      <c r="AAZ368" s="644">
        <v>2017</v>
      </c>
      <c r="ABA368" s="645">
        <v>2018</v>
      </c>
      <c r="ABB368" s="646">
        <v>2019</v>
      </c>
      <c r="ABC368" s="647">
        <v>2020</v>
      </c>
      <c r="ABD368" s="153"/>
      <c r="ABE368" s="153"/>
      <c r="ABF368" s="153"/>
      <c r="ABG368" s="648"/>
      <c r="ABH368" s="641"/>
      <c r="ABI368" s="642" t="s">
        <v>1841</v>
      </c>
      <c r="ABJ368" s="643"/>
      <c r="ABK368" s="644"/>
      <c r="ABL368" s="644">
        <v>2013</v>
      </c>
      <c r="ABM368" s="644">
        <v>2014</v>
      </c>
      <c r="ABN368" s="644">
        <v>2015</v>
      </c>
      <c r="ABO368" s="644">
        <v>2016</v>
      </c>
      <c r="ABP368" s="644">
        <v>2017</v>
      </c>
      <c r="ABQ368" s="645">
        <v>2018</v>
      </c>
      <c r="ABR368" s="646">
        <v>2019</v>
      </c>
      <c r="ABS368" s="647">
        <v>2020</v>
      </c>
      <c r="ABT368" s="153"/>
      <c r="ABU368" s="153"/>
      <c r="ABV368" s="153"/>
      <c r="ABW368" s="648"/>
      <c r="ABX368" s="641"/>
      <c r="ABY368" s="642" t="s">
        <v>1841</v>
      </c>
      <c r="ABZ368" s="643"/>
      <c r="ACA368" s="644"/>
      <c r="ACB368" s="644">
        <v>2013</v>
      </c>
      <c r="ACC368" s="644">
        <v>2014</v>
      </c>
      <c r="ACD368" s="644">
        <v>2015</v>
      </c>
      <c r="ACE368" s="644">
        <v>2016</v>
      </c>
      <c r="ACF368" s="644">
        <v>2017</v>
      </c>
      <c r="ACG368" s="645">
        <v>2018</v>
      </c>
      <c r="ACH368" s="646">
        <v>2019</v>
      </c>
      <c r="ACI368" s="647">
        <v>2020</v>
      </c>
      <c r="ACJ368" s="153"/>
      <c r="ACK368" s="153"/>
      <c r="ACL368" s="153"/>
      <c r="ACM368" s="648"/>
      <c r="ACN368" s="641"/>
      <c r="ACO368" s="642" t="s">
        <v>1841</v>
      </c>
      <c r="ACP368" s="643"/>
      <c r="ACQ368" s="644"/>
      <c r="ACR368" s="644">
        <v>2013</v>
      </c>
      <c r="ACS368" s="644">
        <v>2014</v>
      </c>
      <c r="ACT368" s="644">
        <v>2015</v>
      </c>
      <c r="ACU368" s="644">
        <v>2016</v>
      </c>
      <c r="ACV368" s="644">
        <v>2017</v>
      </c>
      <c r="ACW368" s="645">
        <v>2018</v>
      </c>
      <c r="ACX368" s="646">
        <v>2019</v>
      </c>
      <c r="ACY368" s="647">
        <v>2020</v>
      </c>
      <c r="ACZ368" s="153"/>
      <c r="ADA368" s="153"/>
      <c r="ADB368" s="153"/>
      <c r="ADC368" s="648"/>
      <c r="ADD368" s="641"/>
      <c r="ADE368" s="642" t="s">
        <v>1841</v>
      </c>
      <c r="ADF368" s="643"/>
      <c r="ADG368" s="644"/>
      <c r="ADH368" s="644">
        <v>2013</v>
      </c>
      <c r="ADI368" s="644">
        <v>2014</v>
      </c>
      <c r="ADJ368" s="644">
        <v>2015</v>
      </c>
      <c r="ADK368" s="644">
        <v>2016</v>
      </c>
      <c r="ADL368" s="644">
        <v>2017</v>
      </c>
      <c r="ADM368" s="645">
        <v>2018</v>
      </c>
      <c r="ADN368" s="646">
        <v>2019</v>
      </c>
      <c r="ADO368" s="647">
        <v>2020</v>
      </c>
      <c r="ADP368" s="153"/>
      <c r="ADQ368" s="153"/>
      <c r="ADR368" s="153"/>
      <c r="ADS368" s="648"/>
      <c r="ADT368" s="641"/>
      <c r="ADU368" s="642" t="s">
        <v>1841</v>
      </c>
      <c r="ADV368" s="643"/>
      <c r="ADW368" s="644"/>
      <c r="ADX368" s="644">
        <v>2013</v>
      </c>
      <c r="ADY368" s="644">
        <v>2014</v>
      </c>
      <c r="ADZ368" s="644">
        <v>2015</v>
      </c>
      <c r="AEA368" s="644">
        <v>2016</v>
      </c>
      <c r="AEB368" s="644">
        <v>2017</v>
      </c>
      <c r="AEC368" s="645">
        <v>2018</v>
      </c>
      <c r="AED368" s="646">
        <v>2019</v>
      </c>
      <c r="AEE368" s="647">
        <v>2020</v>
      </c>
      <c r="AEF368" s="153"/>
      <c r="AEG368" s="153"/>
      <c r="AEH368" s="153"/>
      <c r="AEI368" s="648"/>
      <c r="AEJ368" s="641"/>
      <c r="AEK368" s="642" t="s">
        <v>1841</v>
      </c>
      <c r="AEL368" s="643"/>
      <c r="AEM368" s="644"/>
      <c r="AEN368" s="644">
        <v>2013</v>
      </c>
      <c r="AEO368" s="644">
        <v>2014</v>
      </c>
      <c r="AEP368" s="644">
        <v>2015</v>
      </c>
      <c r="AEQ368" s="644">
        <v>2016</v>
      </c>
      <c r="AER368" s="644">
        <v>2017</v>
      </c>
      <c r="AES368" s="645">
        <v>2018</v>
      </c>
      <c r="AET368" s="646">
        <v>2019</v>
      </c>
      <c r="AEU368" s="647">
        <v>2020</v>
      </c>
      <c r="AEV368" s="153"/>
      <c r="AEW368" s="153"/>
      <c r="AEX368" s="153"/>
      <c r="AEY368" s="648"/>
      <c r="AEZ368" s="641"/>
      <c r="AFA368" s="642" t="s">
        <v>1841</v>
      </c>
      <c r="AFB368" s="643"/>
      <c r="AFC368" s="644"/>
      <c r="AFD368" s="644">
        <v>2013</v>
      </c>
      <c r="AFE368" s="644">
        <v>2014</v>
      </c>
      <c r="AFF368" s="644">
        <v>2015</v>
      </c>
      <c r="AFG368" s="644">
        <v>2016</v>
      </c>
      <c r="AFH368" s="644">
        <v>2017</v>
      </c>
      <c r="AFI368" s="645">
        <v>2018</v>
      </c>
      <c r="AFJ368" s="646">
        <v>2019</v>
      </c>
      <c r="AFK368" s="647">
        <v>2020</v>
      </c>
      <c r="AFL368" s="153"/>
      <c r="AFM368" s="153"/>
      <c r="AFN368" s="153"/>
      <c r="AFO368" s="648"/>
      <c r="AFP368" s="641"/>
      <c r="AFQ368" s="642" t="s">
        <v>1841</v>
      </c>
      <c r="AFR368" s="643"/>
      <c r="AFS368" s="644"/>
      <c r="AFT368" s="644">
        <v>2013</v>
      </c>
      <c r="AFU368" s="644">
        <v>2014</v>
      </c>
      <c r="AFV368" s="644">
        <v>2015</v>
      </c>
      <c r="AFW368" s="644">
        <v>2016</v>
      </c>
      <c r="AFX368" s="644">
        <v>2017</v>
      </c>
      <c r="AFY368" s="645">
        <v>2018</v>
      </c>
      <c r="AFZ368" s="646">
        <v>2019</v>
      </c>
      <c r="AGA368" s="647">
        <v>2020</v>
      </c>
      <c r="AGB368" s="153"/>
      <c r="AGC368" s="153"/>
      <c r="AGD368" s="153"/>
      <c r="AGE368" s="648"/>
      <c r="AGF368" s="641"/>
      <c r="AGG368" s="642" t="s">
        <v>1841</v>
      </c>
      <c r="AGH368" s="643"/>
      <c r="AGI368" s="644"/>
      <c r="AGJ368" s="644">
        <v>2013</v>
      </c>
      <c r="AGK368" s="644">
        <v>2014</v>
      </c>
      <c r="AGL368" s="644">
        <v>2015</v>
      </c>
      <c r="AGM368" s="644">
        <v>2016</v>
      </c>
      <c r="AGN368" s="644">
        <v>2017</v>
      </c>
      <c r="AGO368" s="645">
        <v>2018</v>
      </c>
      <c r="AGP368" s="646">
        <v>2019</v>
      </c>
      <c r="AGQ368" s="647">
        <v>2020</v>
      </c>
      <c r="AGR368" s="153"/>
      <c r="AGS368" s="153"/>
      <c r="AGT368" s="153"/>
      <c r="AGU368" s="648"/>
      <c r="AGV368" s="641"/>
      <c r="AGW368" s="642" t="s">
        <v>1841</v>
      </c>
      <c r="AGX368" s="643"/>
      <c r="AGY368" s="644"/>
      <c r="AGZ368" s="644">
        <v>2013</v>
      </c>
      <c r="AHA368" s="644">
        <v>2014</v>
      </c>
      <c r="AHB368" s="644">
        <v>2015</v>
      </c>
      <c r="AHC368" s="644">
        <v>2016</v>
      </c>
      <c r="AHD368" s="644">
        <v>2017</v>
      </c>
      <c r="AHE368" s="645">
        <v>2018</v>
      </c>
      <c r="AHF368" s="646">
        <v>2019</v>
      </c>
      <c r="AHG368" s="647">
        <v>2020</v>
      </c>
      <c r="AHH368" s="153"/>
      <c r="AHI368" s="153"/>
      <c r="AHJ368" s="153"/>
      <c r="AHK368" s="648"/>
      <c r="AHL368" s="641"/>
      <c r="AHM368" s="642" t="s">
        <v>1841</v>
      </c>
      <c r="AHN368" s="643"/>
      <c r="AHO368" s="644"/>
      <c r="AHP368" s="644">
        <v>2013</v>
      </c>
      <c r="AHQ368" s="644">
        <v>2014</v>
      </c>
      <c r="AHR368" s="644">
        <v>2015</v>
      </c>
      <c r="AHS368" s="644">
        <v>2016</v>
      </c>
      <c r="AHT368" s="644">
        <v>2017</v>
      </c>
      <c r="AHU368" s="645">
        <v>2018</v>
      </c>
      <c r="AHV368" s="646">
        <v>2019</v>
      </c>
      <c r="AHW368" s="647">
        <v>2020</v>
      </c>
      <c r="AHX368" s="153"/>
      <c r="AHY368" s="153"/>
      <c r="AHZ368" s="153"/>
      <c r="AIA368" s="648"/>
      <c r="AIB368" s="641"/>
      <c r="AIC368" s="642" t="s">
        <v>1841</v>
      </c>
      <c r="AID368" s="643"/>
      <c r="AIE368" s="644"/>
      <c r="AIF368" s="644">
        <v>2013</v>
      </c>
      <c r="AIG368" s="644">
        <v>2014</v>
      </c>
      <c r="AIH368" s="644">
        <v>2015</v>
      </c>
      <c r="AII368" s="644">
        <v>2016</v>
      </c>
      <c r="AIJ368" s="644">
        <v>2017</v>
      </c>
      <c r="AIK368" s="645">
        <v>2018</v>
      </c>
      <c r="AIL368" s="646">
        <v>2019</v>
      </c>
      <c r="AIM368" s="647">
        <v>2020</v>
      </c>
      <c r="AIN368" s="153"/>
      <c r="AIO368" s="153"/>
      <c r="AIP368" s="153"/>
      <c r="AIQ368" s="648"/>
      <c r="AIR368" s="641"/>
      <c r="AIS368" s="642" t="s">
        <v>1841</v>
      </c>
      <c r="AIT368" s="643"/>
      <c r="AIU368" s="644"/>
      <c r="AIV368" s="644">
        <v>2013</v>
      </c>
      <c r="AIW368" s="644">
        <v>2014</v>
      </c>
      <c r="AIX368" s="644">
        <v>2015</v>
      </c>
      <c r="AIY368" s="644">
        <v>2016</v>
      </c>
      <c r="AIZ368" s="644">
        <v>2017</v>
      </c>
      <c r="AJA368" s="645">
        <v>2018</v>
      </c>
      <c r="AJB368" s="646">
        <v>2019</v>
      </c>
      <c r="AJC368" s="647">
        <v>2020</v>
      </c>
      <c r="AJD368" s="153"/>
      <c r="AJE368" s="153"/>
      <c r="AJF368" s="153"/>
      <c r="AJG368" s="648"/>
      <c r="AJH368" s="641"/>
      <c r="AJI368" s="642" t="s">
        <v>1841</v>
      </c>
      <c r="AJJ368" s="643"/>
      <c r="AJK368" s="644"/>
      <c r="AJL368" s="644">
        <v>2013</v>
      </c>
      <c r="AJM368" s="644">
        <v>2014</v>
      </c>
      <c r="AJN368" s="644">
        <v>2015</v>
      </c>
      <c r="AJO368" s="644">
        <v>2016</v>
      </c>
      <c r="AJP368" s="644">
        <v>2017</v>
      </c>
      <c r="AJQ368" s="645">
        <v>2018</v>
      </c>
      <c r="AJR368" s="646">
        <v>2019</v>
      </c>
      <c r="AJS368" s="647">
        <v>2020</v>
      </c>
      <c r="AJT368" s="153"/>
      <c r="AJU368" s="153"/>
      <c r="AJV368" s="153"/>
      <c r="AJW368" s="648"/>
      <c r="AJX368" s="641"/>
      <c r="AJY368" s="642" t="s">
        <v>1841</v>
      </c>
      <c r="AJZ368" s="643"/>
      <c r="AKA368" s="644"/>
      <c r="AKB368" s="644">
        <v>2013</v>
      </c>
      <c r="AKC368" s="644">
        <v>2014</v>
      </c>
      <c r="AKD368" s="644">
        <v>2015</v>
      </c>
      <c r="AKE368" s="644">
        <v>2016</v>
      </c>
      <c r="AKF368" s="644">
        <v>2017</v>
      </c>
      <c r="AKG368" s="645">
        <v>2018</v>
      </c>
      <c r="AKH368" s="646">
        <v>2019</v>
      </c>
      <c r="AKI368" s="647">
        <v>2020</v>
      </c>
      <c r="AKJ368" s="153"/>
      <c r="AKK368" s="153"/>
      <c r="AKL368" s="153"/>
      <c r="AKM368" s="648"/>
      <c r="AKN368" s="641"/>
      <c r="AKO368" s="642" t="s">
        <v>1841</v>
      </c>
      <c r="AKP368" s="643"/>
      <c r="AKQ368" s="644"/>
      <c r="AKR368" s="644">
        <v>2013</v>
      </c>
      <c r="AKS368" s="644">
        <v>2014</v>
      </c>
      <c r="AKT368" s="644">
        <v>2015</v>
      </c>
      <c r="AKU368" s="644">
        <v>2016</v>
      </c>
      <c r="AKV368" s="644">
        <v>2017</v>
      </c>
      <c r="AKW368" s="645">
        <v>2018</v>
      </c>
      <c r="AKX368" s="646">
        <v>2019</v>
      </c>
      <c r="AKY368" s="647">
        <v>2020</v>
      </c>
      <c r="AKZ368" s="153"/>
      <c r="ALA368" s="153"/>
      <c r="ALB368" s="153"/>
      <c r="ALC368" s="648"/>
      <c r="ALD368" s="641"/>
      <c r="ALE368" s="642" t="s">
        <v>1841</v>
      </c>
      <c r="ALF368" s="643"/>
      <c r="ALG368" s="644"/>
      <c r="ALH368" s="644">
        <v>2013</v>
      </c>
      <c r="ALI368" s="644">
        <v>2014</v>
      </c>
      <c r="ALJ368" s="644">
        <v>2015</v>
      </c>
      <c r="ALK368" s="644">
        <v>2016</v>
      </c>
      <c r="ALL368" s="644">
        <v>2017</v>
      </c>
      <c r="ALM368" s="645">
        <v>2018</v>
      </c>
      <c r="ALN368" s="646">
        <v>2019</v>
      </c>
      <c r="ALO368" s="647">
        <v>2020</v>
      </c>
      <c r="ALP368" s="153"/>
      <c r="ALQ368" s="153"/>
      <c r="ALR368" s="153"/>
      <c r="ALS368" s="648"/>
      <c r="ALT368" s="641"/>
      <c r="ALU368" s="642" t="s">
        <v>1841</v>
      </c>
      <c r="ALV368" s="643"/>
      <c r="ALW368" s="644"/>
      <c r="ALX368" s="644">
        <v>2013</v>
      </c>
      <c r="ALY368" s="644">
        <v>2014</v>
      </c>
      <c r="ALZ368" s="644">
        <v>2015</v>
      </c>
      <c r="AMA368" s="644">
        <v>2016</v>
      </c>
      <c r="AMB368" s="644">
        <v>2017</v>
      </c>
      <c r="AMC368" s="645">
        <v>2018</v>
      </c>
      <c r="AMD368" s="646">
        <v>2019</v>
      </c>
      <c r="AME368" s="647">
        <v>2020</v>
      </c>
      <c r="AMF368" s="153"/>
      <c r="AMG368" s="153"/>
      <c r="AMH368" s="153"/>
      <c r="AMI368" s="648"/>
      <c r="AMJ368" s="641"/>
      <c r="AMK368" s="642" t="s">
        <v>1841</v>
      </c>
      <c r="AML368" s="643"/>
      <c r="AMM368" s="644"/>
      <c r="AMN368" s="644">
        <v>2013</v>
      </c>
      <c r="AMO368" s="644">
        <v>2014</v>
      </c>
      <c r="AMP368" s="644">
        <v>2015</v>
      </c>
      <c r="AMQ368" s="644">
        <v>2016</v>
      </c>
      <c r="AMR368" s="644">
        <v>2017</v>
      </c>
      <c r="AMS368" s="645">
        <v>2018</v>
      </c>
      <c r="AMT368" s="646">
        <v>2019</v>
      </c>
      <c r="AMU368" s="647">
        <v>2020</v>
      </c>
      <c r="AMV368" s="153"/>
      <c r="AMW368" s="153"/>
      <c r="AMX368" s="153"/>
      <c r="AMY368" s="648"/>
      <c r="AMZ368" s="641"/>
      <c r="ANA368" s="642" t="s">
        <v>1841</v>
      </c>
      <c r="ANB368" s="643"/>
      <c r="ANC368" s="644"/>
      <c r="AND368" s="644">
        <v>2013</v>
      </c>
      <c r="ANE368" s="644">
        <v>2014</v>
      </c>
      <c r="ANF368" s="644">
        <v>2015</v>
      </c>
      <c r="ANG368" s="644">
        <v>2016</v>
      </c>
      <c r="ANH368" s="644">
        <v>2017</v>
      </c>
      <c r="ANI368" s="645">
        <v>2018</v>
      </c>
      <c r="ANJ368" s="646">
        <v>2019</v>
      </c>
      <c r="ANK368" s="647">
        <v>2020</v>
      </c>
      <c r="ANL368" s="153"/>
      <c r="ANM368" s="153"/>
      <c r="ANN368" s="153"/>
      <c r="ANO368" s="648"/>
      <c r="ANP368" s="641"/>
      <c r="ANQ368" s="642" t="s">
        <v>1841</v>
      </c>
      <c r="ANR368" s="643"/>
      <c r="ANS368" s="644"/>
      <c r="ANT368" s="644">
        <v>2013</v>
      </c>
      <c r="ANU368" s="644">
        <v>2014</v>
      </c>
      <c r="ANV368" s="644">
        <v>2015</v>
      </c>
      <c r="ANW368" s="644">
        <v>2016</v>
      </c>
      <c r="ANX368" s="644">
        <v>2017</v>
      </c>
      <c r="ANY368" s="645">
        <v>2018</v>
      </c>
      <c r="ANZ368" s="646">
        <v>2019</v>
      </c>
      <c r="AOA368" s="647">
        <v>2020</v>
      </c>
      <c r="AOB368" s="153"/>
      <c r="AOC368" s="153"/>
      <c r="AOD368" s="153"/>
      <c r="AOE368" s="648"/>
      <c r="AOF368" s="641"/>
      <c r="AOG368" s="642" t="s">
        <v>1841</v>
      </c>
      <c r="AOH368" s="643"/>
      <c r="AOI368" s="644"/>
      <c r="AOJ368" s="644">
        <v>2013</v>
      </c>
      <c r="AOK368" s="644">
        <v>2014</v>
      </c>
      <c r="AOL368" s="644">
        <v>2015</v>
      </c>
      <c r="AOM368" s="644">
        <v>2016</v>
      </c>
      <c r="AON368" s="644">
        <v>2017</v>
      </c>
      <c r="AOO368" s="645">
        <v>2018</v>
      </c>
      <c r="AOP368" s="646">
        <v>2019</v>
      </c>
      <c r="AOQ368" s="647">
        <v>2020</v>
      </c>
      <c r="AOR368" s="153"/>
      <c r="AOS368" s="153"/>
      <c r="AOT368" s="153"/>
      <c r="AOU368" s="648"/>
      <c r="AOV368" s="641"/>
      <c r="AOW368" s="642" t="s">
        <v>1841</v>
      </c>
      <c r="AOX368" s="643"/>
      <c r="AOY368" s="644"/>
      <c r="AOZ368" s="644">
        <v>2013</v>
      </c>
      <c r="APA368" s="644">
        <v>2014</v>
      </c>
      <c r="APB368" s="644">
        <v>2015</v>
      </c>
      <c r="APC368" s="644">
        <v>2016</v>
      </c>
      <c r="APD368" s="644">
        <v>2017</v>
      </c>
      <c r="APE368" s="645">
        <v>2018</v>
      </c>
      <c r="APF368" s="646">
        <v>2019</v>
      </c>
      <c r="APG368" s="647">
        <v>2020</v>
      </c>
      <c r="APH368" s="153"/>
      <c r="API368" s="153"/>
      <c r="APJ368" s="153"/>
      <c r="APK368" s="648"/>
      <c r="APL368" s="641"/>
      <c r="APM368" s="642" t="s">
        <v>1841</v>
      </c>
      <c r="APN368" s="643"/>
      <c r="APO368" s="644"/>
      <c r="APP368" s="644">
        <v>2013</v>
      </c>
      <c r="APQ368" s="644">
        <v>2014</v>
      </c>
      <c r="APR368" s="644">
        <v>2015</v>
      </c>
      <c r="APS368" s="644">
        <v>2016</v>
      </c>
      <c r="APT368" s="644">
        <v>2017</v>
      </c>
      <c r="APU368" s="645">
        <v>2018</v>
      </c>
      <c r="APV368" s="646">
        <v>2019</v>
      </c>
      <c r="APW368" s="647">
        <v>2020</v>
      </c>
      <c r="APX368" s="153"/>
      <c r="APY368" s="153"/>
      <c r="APZ368" s="153"/>
      <c r="AQA368" s="648"/>
      <c r="AQB368" s="641"/>
      <c r="AQC368" s="642" t="s">
        <v>1841</v>
      </c>
      <c r="AQD368" s="643"/>
      <c r="AQE368" s="644"/>
      <c r="AQF368" s="644">
        <v>2013</v>
      </c>
      <c r="AQG368" s="644">
        <v>2014</v>
      </c>
      <c r="AQH368" s="644">
        <v>2015</v>
      </c>
      <c r="AQI368" s="644">
        <v>2016</v>
      </c>
      <c r="AQJ368" s="644">
        <v>2017</v>
      </c>
      <c r="AQK368" s="645">
        <v>2018</v>
      </c>
      <c r="AQL368" s="646">
        <v>2019</v>
      </c>
      <c r="AQM368" s="647">
        <v>2020</v>
      </c>
      <c r="AQN368" s="153"/>
      <c r="AQO368" s="153"/>
      <c r="AQP368" s="153"/>
      <c r="AQQ368" s="648"/>
      <c r="AQR368" s="641"/>
      <c r="AQS368" s="642" t="s">
        <v>1841</v>
      </c>
      <c r="AQT368" s="643"/>
      <c r="AQU368" s="644"/>
      <c r="AQV368" s="644">
        <v>2013</v>
      </c>
      <c r="AQW368" s="644">
        <v>2014</v>
      </c>
      <c r="AQX368" s="644">
        <v>2015</v>
      </c>
      <c r="AQY368" s="644">
        <v>2016</v>
      </c>
      <c r="AQZ368" s="644">
        <v>2017</v>
      </c>
      <c r="ARA368" s="645">
        <v>2018</v>
      </c>
      <c r="ARB368" s="646">
        <v>2019</v>
      </c>
      <c r="ARC368" s="647">
        <v>2020</v>
      </c>
      <c r="ARD368" s="153"/>
      <c r="ARE368" s="153"/>
      <c r="ARF368" s="153"/>
      <c r="ARG368" s="648"/>
      <c r="ARH368" s="641"/>
      <c r="ARI368" s="642" t="s">
        <v>1841</v>
      </c>
      <c r="ARJ368" s="643"/>
      <c r="ARK368" s="644"/>
      <c r="ARL368" s="644">
        <v>2013</v>
      </c>
      <c r="ARM368" s="644">
        <v>2014</v>
      </c>
      <c r="ARN368" s="644">
        <v>2015</v>
      </c>
      <c r="ARO368" s="644">
        <v>2016</v>
      </c>
      <c r="ARP368" s="644">
        <v>2017</v>
      </c>
      <c r="ARQ368" s="645">
        <v>2018</v>
      </c>
      <c r="ARR368" s="646">
        <v>2019</v>
      </c>
      <c r="ARS368" s="647">
        <v>2020</v>
      </c>
      <c r="ART368" s="153"/>
      <c r="ARU368" s="153"/>
      <c r="ARV368" s="153"/>
      <c r="ARW368" s="648"/>
      <c r="ARX368" s="641"/>
      <c r="ARY368" s="642" t="s">
        <v>1841</v>
      </c>
      <c r="ARZ368" s="643"/>
      <c r="ASA368" s="644"/>
      <c r="ASB368" s="644">
        <v>2013</v>
      </c>
      <c r="ASC368" s="644">
        <v>2014</v>
      </c>
      <c r="ASD368" s="644">
        <v>2015</v>
      </c>
      <c r="ASE368" s="644">
        <v>2016</v>
      </c>
      <c r="ASF368" s="644">
        <v>2017</v>
      </c>
      <c r="ASG368" s="645">
        <v>2018</v>
      </c>
      <c r="ASH368" s="646">
        <v>2019</v>
      </c>
      <c r="ASI368" s="647">
        <v>2020</v>
      </c>
      <c r="ASJ368" s="153"/>
      <c r="ASK368" s="153"/>
      <c r="ASL368" s="153"/>
      <c r="ASM368" s="648"/>
      <c r="ASN368" s="641"/>
      <c r="ASO368" s="642" t="s">
        <v>1841</v>
      </c>
      <c r="ASP368" s="643"/>
      <c r="ASQ368" s="644"/>
      <c r="ASR368" s="644">
        <v>2013</v>
      </c>
      <c r="ASS368" s="644">
        <v>2014</v>
      </c>
      <c r="AST368" s="644">
        <v>2015</v>
      </c>
      <c r="ASU368" s="644">
        <v>2016</v>
      </c>
      <c r="ASV368" s="644">
        <v>2017</v>
      </c>
      <c r="ASW368" s="645">
        <v>2018</v>
      </c>
      <c r="ASX368" s="646">
        <v>2019</v>
      </c>
      <c r="ASY368" s="647">
        <v>2020</v>
      </c>
      <c r="ASZ368" s="153"/>
      <c r="ATA368" s="153"/>
      <c r="ATB368" s="153"/>
      <c r="ATC368" s="648"/>
      <c r="ATD368" s="641"/>
      <c r="ATE368" s="642" t="s">
        <v>1841</v>
      </c>
      <c r="ATF368" s="643"/>
      <c r="ATG368" s="644"/>
      <c r="ATH368" s="644">
        <v>2013</v>
      </c>
      <c r="ATI368" s="644">
        <v>2014</v>
      </c>
      <c r="ATJ368" s="644">
        <v>2015</v>
      </c>
      <c r="ATK368" s="644">
        <v>2016</v>
      </c>
      <c r="ATL368" s="644">
        <v>2017</v>
      </c>
      <c r="ATM368" s="645">
        <v>2018</v>
      </c>
      <c r="ATN368" s="646">
        <v>2019</v>
      </c>
      <c r="ATO368" s="647">
        <v>2020</v>
      </c>
      <c r="ATP368" s="153"/>
      <c r="ATQ368" s="153"/>
      <c r="ATR368" s="153"/>
      <c r="ATS368" s="648"/>
      <c r="ATT368" s="641"/>
      <c r="ATU368" s="642" t="s">
        <v>1841</v>
      </c>
      <c r="ATV368" s="643"/>
      <c r="ATW368" s="644"/>
      <c r="ATX368" s="644">
        <v>2013</v>
      </c>
      <c r="ATY368" s="644">
        <v>2014</v>
      </c>
      <c r="ATZ368" s="644">
        <v>2015</v>
      </c>
      <c r="AUA368" s="644">
        <v>2016</v>
      </c>
      <c r="AUB368" s="644">
        <v>2017</v>
      </c>
      <c r="AUC368" s="645">
        <v>2018</v>
      </c>
      <c r="AUD368" s="646">
        <v>2019</v>
      </c>
      <c r="AUE368" s="647">
        <v>2020</v>
      </c>
      <c r="AUF368" s="153"/>
      <c r="AUG368" s="153"/>
      <c r="AUH368" s="153"/>
      <c r="AUI368" s="648"/>
      <c r="AUJ368" s="641"/>
      <c r="AUK368" s="642" t="s">
        <v>1841</v>
      </c>
      <c r="AUL368" s="643"/>
      <c r="AUM368" s="644"/>
      <c r="AUN368" s="644">
        <v>2013</v>
      </c>
      <c r="AUO368" s="644">
        <v>2014</v>
      </c>
      <c r="AUP368" s="644">
        <v>2015</v>
      </c>
      <c r="AUQ368" s="644">
        <v>2016</v>
      </c>
      <c r="AUR368" s="644">
        <v>2017</v>
      </c>
      <c r="AUS368" s="645">
        <v>2018</v>
      </c>
      <c r="AUT368" s="646">
        <v>2019</v>
      </c>
      <c r="AUU368" s="647">
        <v>2020</v>
      </c>
      <c r="AUV368" s="153"/>
      <c r="AUW368" s="153"/>
      <c r="AUX368" s="153"/>
      <c r="AUY368" s="648"/>
      <c r="AUZ368" s="641"/>
      <c r="AVA368" s="642" t="s">
        <v>1841</v>
      </c>
      <c r="AVB368" s="643"/>
      <c r="AVC368" s="644"/>
      <c r="AVD368" s="644">
        <v>2013</v>
      </c>
      <c r="AVE368" s="644">
        <v>2014</v>
      </c>
      <c r="AVF368" s="644">
        <v>2015</v>
      </c>
      <c r="AVG368" s="644">
        <v>2016</v>
      </c>
      <c r="AVH368" s="644">
        <v>2017</v>
      </c>
      <c r="AVI368" s="645">
        <v>2018</v>
      </c>
      <c r="AVJ368" s="646">
        <v>2019</v>
      </c>
      <c r="AVK368" s="647">
        <v>2020</v>
      </c>
      <c r="AVL368" s="153"/>
      <c r="AVM368" s="153"/>
      <c r="AVN368" s="153"/>
      <c r="AVO368" s="648"/>
      <c r="AVP368" s="641"/>
      <c r="AVQ368" s="642" t="s">
        <v>1841</v>
      </c>
      <c r="AVR368" s="643"/>
      <c r="AVS368" s="644"/>
      <c r="AVT368" s="644">
        <v>2013</v>
      </c>
      <c r="AVU368" s="644">
        <v>2014</v>
      </c>
      <c r="AVV368" s="644">
        <v>2015</v>
      </c>
      <c r="AVW368" s="644">
        <v>2016</v>
      </c>
      <c r="AVX368" s="644">
        <v>2017</v>
      </c>
      <c r="AVY368" s="645">
        <v>2018</v>
      </c>
      <c r="AVZ368" s="646">
        <v>2019</v>
      </c>
      <c r="AWA368" s="647">
        <v>2020</v>
      </c>
      <c r="AWB368" s="153"/>
      <c r="AWC368" s="153"/>
      <c r="AWD368" s="153"/>
      <c r="AWE368" s="648"/>
      <c r="AWF368" s="641"/>
      <c r="AWG368" s="642" t="s">
        <v>1841</v>
      </c>
      <c r="AWH368" s="643"/>
      <c r="AWI368" s="644"/>
      <c r="AWJ368" s="644">
        <v>2013</v>
      </c>
      <c r="AWK368" s="644">
        <v>2014</v>
      </c>
      <c r="AWL368" s="644">
        <v>2015</v>
      </c>
      <c r="AWM368" s="644">
        <v>2016</v>
      </c>
      <c r="AWN368" s="644">
        <v>2017</v>
      </c>
      <c r="AWO368" s="645">
        <v>2018</v>
      </c>
      <c r="AWP368" s="646">
        <v>2019</v>
      </c>
      <c r="AWQ368" s="647">
        <v>2020</v>
      </c>
      <c r="AWR368" s="153"/>
      <c r="AWS368" s="153"/>
      <c r="AWT368" s="153"/>
      <c r="AWU368" s="648"/>
      <c r="AWV368" s="641"/>
      <c r="AWW368" s="642" t="s">
        <v>1841</v>
      </c>
      <c r="AWX368" s="643"/>
      <c r="AWY368" s="644"/>
      <c r="AWZ368" s="644">
        <v>2013</v>
      </c>
      <c r="AXA368" s="644">
        <v>2014</v>
      </c>
      <c r="AXB368" s="644">
        <v>2015</v>
      </c>
      <c r="AXC368" s="644">
        <v>2016</v>
      </c>
      <c r="AXD368" s="644">
        <v>2017</v>
      </c>
      <c r="AXE368" s="645">
        <v>2018</v>
      </c>
      <c r="AXF368" s="646">
        <v>2019</v>
      </c>
      <c r="AXG368" s="647">
        <v>2020</v>
      </c>
      <c r="AXH368" s="153"/>
      <c r="AXI368" s="153"/>
      <c r="AXJ368" s="153"/>
      <c r="AXK368" s="648"/>
      <c r="AXL368" s="641"/>
      <c r="AXM368" s="642" t="s">
        <v>1841</v>
      </c>
      <c r="AXN368" s="643"/>
      <c r="AXO368" s="644"/>
      <c r="AXP368" s="644">
        <v>2013</v>
      </c>
      <c r="AXQ368" s="644">
        <v>2014</v>
      </c>
      <c r="AXR368" s="644">
        <v>2015</v>
      </c>
      <c r="AXS368" s="644">
        <v>2016</v>
      </c>
      <c r="AXT368" s="644">
        <v>2017</v>
      </c>
      <c r="AXU368" s="645">
        <v>2018</v>
      </c>
      <c r="AXV368" s="646">
        <v>2019</v>
      </c>
      <c r="AXW368" s="647">
        <v>2020</v>
      </c>
      <c r="AXX368" s="153"/>
      <c r="AXY368" s="153"/>
      <c r="AXZ368" s="153"/>
      <c r="AYA368" s="648"/>
      <c r="AYB368" s="641"/>
      <c r="AYC368" s="642" t="s">
        <v>1841</v>
      </c>
      <c r="AYD368" s="643"/>
      <c r="AYE368" s="644"/>
      <c r="AYF368" s="644">
        <v>2013</v>
      </c>
      <c r="AYG368" s="644">
        <v>2014</v>
      </c>
      <c r="AYH368" s="644">
        <v>2015</v>
      </c>
      <c r="AYI368" s="644">
        <v>2016</v>
      </c>
      <c r="AYJ368" s="644">
        <v>2017</v>
      </c>
      <c r="AYK368" s="645">
        <v>2018</v>
      </c>
      <c r="AYL368" s="646">
        <v>2019</v>
      </c>
      <c r="AYM368" s="647">
        <v>2020</v>
      </c>
      <c r="AYN368" s="153"/>
      <c r="AYO368" s="153"/>
      <c r="AYP368" s="153"/>
      <c r="AYQ368" s="648"/>
      <c r="AYR368" s="641"/>
      <c r="AYS368" s="642" t="s">
        <v>1841</v>
      </c>
      <c r="AYT368" s="643"/>
      <c r="AYU368" s="644"/>
      <c r="AYV368" s="644">
        <v>2013</v>
      </c>
      <c r="AYW368" s="644">
        <v>2014</v>
      </c>
      <c r="AYX368" s="644">
        <v>2015</v>
      </c>
      <c r="AYY368" s="644">
        <v>2016</v>
      </c>
      <c r="AYZ368" s="644">
        <v>2017</v>
      </c>
      <c r="AZA368" s="645">
        <v>2018</v>
      </c>
      <c r="AZB368" s="646">
        <v>2019</v>
      </c>
      <c r="AZC368" s="647">
        <v>2020</v>
      </c>
      <c r="AZD368" s="153"/>
      <c r="AZE368" s="153"/>
      <c r="AZF368" s="153"/>
      <c r="AZG368" s="648"/>
      <c r="AZH368" s="641"/>
      <c r="AZI368" s="642" t="s">
        <v>1841</v>
      </c>
      <c r="AZJ368" s="643"/>
      <c r="AZK368" s="644"/>
      <c r="AZL368" s="644">
        <v>2013</v>
      </c>
      <c r="AZM368" s="644">
        <v>2014</v>
      </c>
      <c r="AZN368" s="644">
        <v>2015</v>
      </c>
      <c r="AZO368" s="644">
        <v>2016</v>
      </c>
      <c r="AZP368" s="644">
        <v>2017</v>
      </c>
      <c r="AZQ368" s="645">
        <v>2018</v>
      </c>
      <c r="AZR368" s="646">
        <v>2019</v>
      </c>
      <c r="AZS368" s="647">
        <v>2020</v>
      </c>
      <c r="AZT368" s="153"/>
      <c r="AZU368" s="153"/>
      <c r="AZV368" s="153"/>
      <c r="AZW368" s="648"/>
      <c r="AZX368" s="641"/>
      <c r="AZY368" s="642" t="s">
        <v>1841</v>
      </c>
      <c r="AZZ368" s="643"/>
      <c r="BAA368" s="644"/>
      <c r="BAB368" s="644">
        <v>2013</v>
      </c>
      <c r="BAC368" s="644">
        <v>2014</v>
      </c>
      <c r="BAD368" s="644">
        <v>2015</v>
      </c>
      <c r="BAE368" s="644">
        <v>2016</v>
      </c>
      <c r="BAF368" s="644">
        <v>2017</v>
      </c>
      <c r="BAG368" s="645">
        <v>2018</v>
      </c>
      <c r="BAH368" s="646">
        <v>2019</v>
      </c>
      <c r="BAI368" s="647">
        <v>2020</v>
      </c>
      <c r="BAJ368" s="153"/>
      <c r="BAK368" s="153"/>
      <c r="BAL368" s="153"/>
      <c r="BAM368" s="648"/>
      <c r="BAN368" s="641"/>
      <c r="BAO368" s="642" t="s">
        <v>1841</v>
      </c>
      <c r="BAP368" s="643"/>
      <c r="BAQ368" s="644"/>
      <c r="BAR368" s="644">
        <v>2013</v>
      </c>
      <c r="BAS368" s="644">
        <v>2014</v>
      </c>
      <c r="BAT368" s="644">
        <v>2015</v>
      </c>
      <c r="BAU368" s="644">
        <v>2016</v>
      </c>
      <c r="BAV368" s="644">
        <v>2017</v>
      </c>
      <c r="BAW368" s="645">
        <v>2018</v>
      </c>
      <c r="BAX368" s="646">
        <v>2019</v>
      </c>
      <c r="BAY368" s="647">
        <v>2020</v>
      </c>
      <c r="BAZ368" s="153"/>
      <c r="BBA368" s="153"/>
      <c r="BBB368" s="153"/>
      <c r="BBC368" s="648"/>
      <c r="BBD368" s="641"/>
      <c r="BBE368" s="642" t="s">
        <v>1841</v>
      </c>
      <c r="BBF368" s="643"/>
      <c r="BBG368" s="644"/>
      <c r="BBH368" s="644">
        <v>2013</v>
      </c>
      <c r="BBI368" s="644">
        <v>2014</v>
      </c>
      <c r="BBJ368" s="644">
        <v>2015</v>
      </c>
      <c r="BBK368" s="644">
        <v>2016</v>
      </c>
      <c r="BBL368" s="644">
        <v>2017</v>
      </c>
      <c r="BBM368" s="645">
        <v>2018</v>
      </c>
      <c r="BBN368" s="646">
        <v>2019</v>
      </c>
      <c r="BBO368" s="647">
        <v>2020</v>
      </c>
      <c r="BBP368" s="153"/>
      <c r="BBQ368" s="153"/>
      <c r="BBR368" s="153"/>
      <c r="BBS368" s="648"/>
      <c r="BBT368" s="641"/>
      <c r="BBU368" s="642" t="s">
        <v>1841</v>
      </c>
      <c r="BBV368" s="643"/>
      <c r="BBW368" s="644"/>
      <c r="BBX368" s="644">
        <v>2013</v>
      </c>
      <c r="BBY368" s="644">
        <v>2014</v>
      </c>
      <c r="BBZ368" s="644">
        <v>2015</v>
      </c>
      <c r="BCA368" s="644">
        <v>2016</v>
      </c>
      <c r="BCB368" s="644">
        <v>2017</v>
      </c>
      <c r="BCC368" s="645">
        <v>2018</v>
      </c>
      <c r="BCD368" s="646">
        <v>2019</v>
      </c>
      <c r="BCE368" s="647">
        <v>2020</v>
      </c>
      <c r="BCF368" s="153"/>
      <c r="BCG368" s="153"/>
      <c r="BCH368" s="153"/>
      <c r="BCI368" s="648"/>
      <c r="BCJ368" s="641"/>
      <c r="BCK368" s="642" t="s">
        <v>1841</v>
      </c>
      <c r="BCL368" s="643"/>
      <c r="BCM368" s="644"/>
      <c r="BCN368" s="644">
        <v>2013</v>
      </c>
      <c r="BCO368" s="644">
        <v>2014</v>
      </c>
      <c r="BCP368" s="644">
        <v>2015</v>
      </c>
      <c r="BCQ368" s="644">
        <v>2016</v>
      </c>
      <c r="BCR368" s="644">
        <v>2017</v>
      </c>
      <c r="BCS368" s="645">
        <v>2018</v>
      </c>
      <c r="BCT368" s="646">
        <v>2019</v>
      </c>
      <c r="BCU368" s="647">
        <v>2020</v>
      </c>
      <c r="BCV368" s="153"/>
      <c r="BCW368" s="153"/>
      <c r="BCX368" s="153"/>
      <c r="BCY368" s="648"/>
      <c r="BCZ368" s="641"/>
      <c r="BDA368" s="642" t="s">
        <v>1841</v>
      </c>
      <c r="BDB368" s="643"/>
      <c r="BDC368" s="644"/>
      <c r="BDD368" s="644">
        <v>2013</v>
      </c>
      <c r="BDE368" s="644">
        <v>2014</v>
      </c>
      <c r="BDF368" s="644">
        <v>2015</v>
      </c>
      <c r="BDG368" s="644">
        <v>2016</v>
      </c>
      <c r="BDH368" s="644">
        <v>2017</v>
      </c>
      <c r="BDI368" s="645">
        <v>2018</v>
      </c>
      <c r="BDJ368" s="646">
        <v>2019</v>
      </c>
      <c r="BDK368" s="647">
        <v>2020</v>
      </c>
      <c r="BDL368" s="153"/>
      <c r="BDM368" s="153"/>
      <c r="BDN368" s="153"/>
      <c r="BDO368" s="648"/>
      <c r="BDP368" s="641"/>
      <c r="BDQ368" s="642" t="s">
        <v>1841</v>
      </c>
      <c r="BDR368" s="643"/>
      <c r="BDS368" s="644"/>
      <c r="BDT368" s="644">
        <v>2013</v>
      </c>
      <c r="BDU368" s="644">
        <v>2014</v>
      </c>
      <c r="BDV368" s="644">
        <v>2015</v>
      </c>
      <c r="BDW368" s="644">
        <v>2016</v>
      </c>
      <c r="BDX368" s="644">
        <v>2017</v>
      </c>
      <c r="BDY368" s="645">
        <v>2018</v>
      </c>
      <c r="BDZ368" s="646">
        <v>2019</v>
      </c>
      <c r="BEA368" s="647">
        <v>2020</v>
      </c>
      <c r="BEB368" s="153"/>
      <c r="BEC368" s="153"/>
      <c r="BED368" s="153"/>
      <c r="BEE368" s="648"/>
      <c r="BEF368" s="641"/>
      <c r="BEG368" s="642" t="s">
        <v>1841</v>
      </c>
      <c r="BEH368" s="643"/>
      <c r="BEI368" s="644"/>
      <c r="BEJ368" s="644">
        <v>2013</v>
      </c>
      <c r="BEK368" s="644">
        <v>2014</v>
      </c>
      <c r="BEL368" s="644">
        <v>2015</v>
      </c>
      <c r="BEM368" s="644">
        <v>2016</v>
      </c>
      <c r="BEN368" s="644">
        <v>2017</v>
      </c>
      <c r="BEO368" s="645">
        <v>2018</v>
      </c>
      <c r="BEP368" s="646">
        <v>2019</v>
      </c>
      <c r="BEQ368" s="647">
        <v>2020</v>
      </c>
      <c r="BER368" s="153"/>
      <c r="BES368" s="153"/>
      <c r="BET368" s="153"/>
      <c r="BEU368" s="648"/>
      <c r="BEV368" s="641"/>
      <c r="BEW368" s="642" t="s">
        <v>1841</v>
      </c>
      <c r="BEX368" s="643"/>
      <c r="BEY368" s="644"/>
      <c r="BEZ368" s="644">
        <v>2013</v>
      </c>
      <c r="BFA368" s="644">
        <v>2014</v>
      </c>
      <c r="BFB368" s="644">
        <v>2015</v>
      </c>
      <c r="BFC368" s="644">
        <v>2016</v>
      </c>
      <c r="BFD368" s="644">
        <v>2017</v>
      </c>
      <c r="BFE368" s="645">
        <v>2018</v>
      </c>
      <c r="BFF368" s="646">
        <v>2019</v>
      </c>
      <c r="BFG368" s="647">
        <v>2020</v>
      </c>
      <c r="BFH368" s="153"/>
      <c r="BFI368" s="153"/>
      <c r="BFJ368" s="153"/>
      <c r="BFK368" s="648"/>
      <c r="BFL368" s="641"/>
      <c r="BFM368" s="642" t="s">
        <v>1841</v>
      </c>
      <c r="BFN368" s="643"/>
      <c r="BFO368" s="644"/>
      <c r="BFP368" s="644">
        <v>2013</v>
      </c>
      <c r="BFQ368" s="644">
        <v>2014</v>
      </c>
      <c r="BFR368" s="644">
        <v>2015</v>
      </c>
      <c r="BFS368" s="644">
        <v>2016</v>
      </c>
      <c r="BFT368" s="644">
        <v>2017</v>
      </c>
      <c r="BFU368" s="645">
        <v>2018</v>
      </c>
      <c r="BFV368" s="646">
        <v>2019</v>
      </c>
      <c r="BFW368" s="647">
        <v>2020</v>
      </c>
      <c r="BFX368" s="153"/>
      <c r="BFY368" s="153"/>
      <c r="BFZ368" s="153"/>
      <c r="BGA368" s="648"/>
      <c r="BGB368" s="641"/>
      <c r="BGC368" s="642" t="s">
        <v>1841</v>
      </c>
      <c r="BGD368" s="643"/>
      <c r="BGE368" s="644"/>
      <c r="BGF368" s="644">
        <v>2013</v>
      </c>
      <c r="BGG368" s="644">
        <v>2014</v>
      </c>
      <c r="BGH368" s="644">
        <v>2015</v>
      </c>
      <c r="BGI368" s="644">
        <v>2016</v>
      </c>
      <c r="BGJ368" s="644">
        <v>2017</v>
      </c>
      <c r="BGK368" s="645">
        <v>2018</v>
      </c>
      <c r="BGL368" s="646">
        <v>2019</v>
      </c>
      <c r="BGM368" s="647">
        <v>2020</v>
      </c>
      <c r="BGN368" s="153"/>
      <c r="BGO368" s="153"/>
      <c r="BGP368" s="153"/>
      <c r="BGQ368" s="648"/>
      <c r="BGR368" s="641"/>
      <c r="BGS368" s="642" t="s">
        <v>1841</v>
      </c>
      <c r="BGT368" s="643"/>
      <c r="BGU368" s="644"/>
      <c r="BGV368" s="644">
        <v>2013</v>
      </c>
      <c r="BGW368" s="644">
        <v>2014</v>
      </c>
      <c r="BGX368" s="644">
        <v>2015</v>
      </c>
      <c r="BGY368" s="644">
        <v>2016</v>
      </c>
      <c r="BGZ368" s="644">
        <v>2017</v>
      </c>
      <c r="BHA368" s="645">
        <v>2018</v>
      </c>
      <c r="BHB368" s="646">
        <v>2019</v>
      </c>
      <c r="BHC368" s="647">
        <v>2020</v>
      </c>
      <c r="BHD368" s="153"/>
      <c r="BHE368" s="153"/>
      <c r="BHF368" s="153"/>
      <c r="BHG368" s="648"/>
      <c r="BHH368" s="641"/>
      <c r="BHI368" s="642" t="s">
        <v>1841</v>
      </c>
      <c r="BHJ368" s="643"/>
      <c r="BHK368" s="644"/>
      <c r="BHL368" s="644">
        <v>2013</v>
      </c>
      <c r="BHM368" s="644">
        <v>2014</v>
      </c>
      <c r="BHN368" s="644">
        <v>2015</v>
      </c>
      <c r="BHO368" s="644">
        <v>2016</v>
      </c>
      <c r="BHP368" s="644">
        <v>2017</v>
      </c>
      <c r="BHQ368" s="645">
        <v>2018</v>
      </c>
      <c r="BHR368" s="646">
        <v>2019</v>
      </c>
      <c r="BHS368" s="647">
        <v>2020</v>
      </c>
      <c r="BHT368" s="153"/>
      <c r="BHU368" s="153"/>
      <c r="BHV368" s="153"/>
      <c r="BHW368" s="648"/>
      <c r="BHX368" s="641"/>
      <c r="BHY368" s="642" t="s">
        <v>1841</v>
      </c>
      <c r="BHZ368" s="643"/>
      <c r="BIA368" s="644"/>
      <c r="BIB368" s="644">
        <v>2013</v>
      </c>
      <c r="BIC368" s="644">
        <v>2014</v>
      </c>
      <c r="BID368" s="644">
        <v>2015</v>
      </c>
      <c r="BIE368" s="644">
        <v>2016</v>
      </c>
      <c r="BIF368" s="644">
        <v>2017</v>
      </c>
      <c r="BIG368" s="645">
        <v>2018</v>
      </c>
      <c r="BIH368" s="646">
        <v>2019</v>
      </c>
      <c r="BII368" s="647">
        <v>2020</v>
      </c>
      <c r="BIJ368" s="153"/>
      <c r="BIK368" s="153"/>
      <c r="BIL368" s="153"/>
      <c r="BIM368" s="648"/>
      <c r="BIN368" s="641"/>
      <c r="BIO368" s="642" t="s">
        <v>1841</v>
      </c>
      <c r="BIP368" s="643"/>
      <c r="BIQ368" s="644"/>
      <c r="BIR368" s="644">
        <v>2013</v>
      </c>
      <c r="BIS368" s="644">
        <v>2014</v>
      </c>
      <c r="BIT368" s="644">
        <v>2015</v>
      </c>
      <c r="BIU368" s="644">
        <v>2016</v>
      </c>
      <c r="BIV368" s="644">
        <v>2017</v>
      </c>
      <c r="BIW368" s="645">
        <v>2018</v>
      </c>
      <c r="BIX368" s="646">
        <v>2019</v>
      </c>
      <c r="BIY368" s="647">
        <v>2020</v>
      </c>
      <c r="BIZ368" s="153"/>
      <c r="BJA368" s="153"/>
      <c r="BJB368" s="153"/>
      <c r="BJC368" s="648"/>
      <c r="BJD368" s="641"/>
      <c r="BJE368" s="642" t="s">
        <v>1841</v>
      </c>
      <c r="BJF368" s="643"/>
      <c r="BJG368" s="644"/>
      <c r="BJH368" s="644">
        <v>2013</v>
      </c>
      <c r="BJI368" s="644">
        <v>2014</v>
      </c>
      <c r="BJJ368" s="644">
        <v>2015</v>
      </c>
      <c r="BJK368" s="644">
        <v>2016</v>
      </c>
      <c r="BJL368" s="644">
        <v>2017</v>
      </c>
      <c r="BJM368" s="645">
        <v>2018</v>
      </c>
      <c r="BJN368" s="646">
        <v>2019</v>
      </c>
      <c r="BJO368" s="647">
        <v>2020</v>
      </c>
      <c r="BJP368" s="153"/>
      <c r="BJQ368" s="153"/>
      <c r="BJR368" s="153"/>
      <c r="BJS368" s="648"/>
      <c r="BJT368" s="641"/>
      <c r="BJU368" s="642" t="s">
        <v>1841</v>
      </c>
      <c r="BJV368" s="643"/>
      <c r="BJW368" s="644"/>
      <c r="BJX368" s="644">
        <v>2013</v>
      </c>
      <c r="BJY368" s="644">
        <v>2014</v>
      </c>
      <c r="BJZ368" s="644">
        <v>2015</v>
      </c>
      <c r="BKA368" s="644">
        <v>2016</v>
      </c>
      <c r="BKB368" s="644">
        <v>2017</v>
      </c>
      <c r="BKC368" s="645">
        <v>2018</v>
      </c>
      <c r="BKD368" s="646">
        <v>2019</v>
      </c>
      <c r="BKE368" s="647">
        <v>2020</v>
      </c>
      <c r="BKF368" s="153"/>
      <c r="BKG368" s="153"/>
      <c r="BKH368" s="153"/>
      <c r="BKI368" s="648"/>
      <c r="BKJ368" s="641"/>
      <c r="BKK368" s="642" t="s">
        <v>1841</v>
      </c>
      <c r="BKL368" s="643"/>
      <c r="BKM368" s="644"/>
      <c r="BKN368" s="644">
        <v>2013</v>
      </c>
      <c r="BKO368" s="644">
        <v>2014</v>
      </c>
      <c r="BKP368" s="644">
        <v>2015</v>
      </c>
      <c r="BKQ368" s="644">
        <v>2016</v>
      </c>
      <c r="BKR368" s="644">
        <v>2017</v>
      </c>
      <c r="BKS368" s="645">
        <v>2018</v>
      </c>
      <c r="BKT368" s="646">
        <v>2019</v>
      </c>
      <c r="BKU368" s="647">
        <v>2020</v>
      </c>
      <c r="BKV368" s="153"/>
      <c r="BKW368" s="153"/>
      <c r="BKX368" s="153"/>
      <c r="BKY368" s="648"/>
      <c r="BKZ368" s="641"/>
      <c r="BLA368" s="642" t="s">
        <v>1841</v>
      </c>
      <c r="BLB368" s="643"/>
      <c r="BLC368" s="644"/>
      <c r="BLD368" s="644">
        <v>2013</v>
      </c>
      <c r="BLE368" s="644">
        <v>2014</v>
      </c>
      <c r="BLF368" s="644">
        <v>2015</v>
      </c>
      <c r="BLG368" s="644">
        <v>2016</v>
      </c>
      <c r="BLH368" s="644">
        <v>2017</v>
      </c>
      <c r="BLI368" s="645">
        <v>2018</v>
      </c>
      <c r="BLJ368" s="646">
        <v>2019</v>
      </c>
      <c r="BLK368" s="647">
        <v>2020</v>
      </c>
      <c r="BLL368" s="153"/>
      <c r="BLM368" s="153"/>
      <c r="BLN368" s="153"/>
      <c r="BLO368" s="648"/>
      <c r="BLP368" s="641"/>
      <c r="BLQ368" s="642" t="s">
        <v>1841</v>
      </c>
      <c r="BLR368" s="643"/>
      <c r="BLS368" s="644"/>
      <c r="BLT368" s="644">
        <v>2013</v>
      </c>
      <c r="BLU368" s="644">
        <v>2014</v>
      </c>
      <c r="BLV368" s="644">
        <v>2015</v>
      </c>
      <c r="BLW368" s="644">
        <v>2016</v>
      </c>
      <c r="BLX368" s="644">
        <v>2017</v>
      </c>
      <c r="BLY368" s="645">
        <v>2018</v>
      </c>
      <c r="BLZ368" s="646">
        <v>2019</v>
      </c>
      <c r="BMA368" s="647">
        <v>2020</v>
      </c>
      <c r="BMB368" s="153"/>
      <c r="BMC368" s="153"/>
      <c r="BMD368" s="153"/>
      <c r="BME368" s="648"/>
      <c r="BMF368" s="641"/>
      <c r="BMG368" s="642" t="s">
        <v>1841</v>
      </c>
      <c r="BMH368" s="643"/>
      <c r="BMI368" s="644"/>
      <c r="BMJ368" s="644">
        <v>2013</v>
      </c>
      <c r="BMK368" s="644">
        <v>2014</v>
      </c>
      <c r="BML368" s="644">
        <v>2015</v>
      </c>
      <c r="BMM368" s="644">
        <v>2016</v>
      </c>
      <c r="BMN368" s="644">
        <v>2017</v>
      </c>
      <c r="BMO368" s="645">
        <v>2018</v>
      </c>
      <c r="BMP368" s="646">
        <v>2019</v>
      </c>
      <c r="BMQ368" s="647">
        <v>2020</v>
      </c>
      <c r="BMR368" s="153"/>
      <c r="BMS368" s="153"/>
      <c r="BMT368" s="153"/>
      <c r="BMU368" s="648"/>
      <c r="BMV368" s="641"/>
      <c r="BMW368" s="642" t="s">
        <v>1841</v>
      </c>
      <c r="BMX368" s="643"/>
      <c r="BMY368" s="644"/>
      <c r="BMZ368" s="644">
        <v>2013</v>
      </c>
      <c r="BNA368" s="644">
        <v>2014</v>
      </c>
      <c r="BNB368" s="644">
        <v>2015</v>
      </c>
      <c r="BNC368" s="644">
        <v>2016</v>
      </c>
      <c r="BND368" s="644">
        <v>2017</v>
      </c>
      <c r="BNE368" s="645">
        <v>2018</v>
      </c>
      <c r="BNF368" s="646">
        <v>2019</v>
      </c>
      <c r="BNG368" s="647">
        <v>2020</v>
      </c>
      <c r="BNH368" s="153"/>
      <c r="BNI368" s="153"/>
      <c r="BNJ368" s="153"/>
      <c r="BNK368" s="648"/>
      <c r="BNL368" s="641"/>
      <c r="BNM368" s="642" t="s">
        <v>1841</v>
      </c>
      <c r="BNN368" s="643"/>
      <c r="BNO368" s="644"/>
      <c r="BNP368" s="644">
        <v>2013</v>
      </c>
      <c r="BNQ368" s="644">
        <v>2014</v>
      </c>
      <c r="BNR368" s="644">
        <v>2015</v>
      </c>
      <c r="BNS368" s="644">
        <v>2016</v>
      </c>
      <c r="BNT368" s="644">
        <v>2017</v>
      </c>
      <c r="BNU368" s="645">
        <v>2018</v>
      </c>
      <c r="BNV368" s="646">
        <v>2019</v>
      </c>
      <c r="BNW368" s="647">
        <v>2020</v>
      </c>
      <c r="BNX368" s="153"/>
      <c r="BNY368" s="153"/>
      <c r="BNZ368" s="153"/>
      <c r="BOA368" s="648"/>
      <c r="BOB368" s="641"/>
      <c r="BOC368" s="642" t="s">
        <v>1841</v>
      </c>
      <c r="BOD368" s="643"/>
      <c r="BOE368" s="644"/>
      <c r="BOF368" s="644">
        <v>2013</v>
      </c>
      <c r="BOG368" s="644">
        <v>2014</v>
      </c>
      <c r="BOH368" s="644">
        <v>2015</v>
      </c>
      <c r="BOI368" s="644">
        <v>2016</v>
      </c>
      <c r="BOJ368" s="644">
        <v>2017</v>
      </c>
      <c r="BOK368" s="645">
        <v>2018</v>
      </c>
      <c r="BOL368" s="646">
        <v>2019</v>
      </c>
      <c r="BOM368" s="647">
        <v>2020</v>
      </c>
      <c r="BON368" s="153"/>
      <c r="BOO368" s="153"/>
      <c r="BOP368" s="153"/>
      <c r="BOQ368" s="648"/>
      <c r="BOR368" s="641"/>
      <c r="BOS368" s="642" t="s">
        <v>1841</v>
      </c>
      <c r="BOT368" s="643"/>
      <c r="BOU368" s="644"/>
      <c r="BOV368" s="644">
        <v>2013</v>
      </c>
      <c r="BOW368" s="644">
        <v>2014</v>
      </c>
      <c r="BOX368" s="644">
        <v>2015</v>
      </c>
      <c r="BOY368" s="644">
        <v>2016</v>
      </c>
      <c r="BOZ368" s="644">
        <v>2017</v>
      </c>
      <c r="BPA368" s="645">
        <v>2018</v>
      </c>
      <c r="BPB368" s="646">
        <v>2019</v>
      </c>
      <c r="BPC368" s="647">
        <v>2020</v>
      </c>
      <c r="BPD368" s="153"/>
      <c r="BPE368" s="153"/>
      <c r="BPF368" s="153"/>
      <c r="BPG368" s="648"/>
      <c r="BPH368" s="641"/>
      <c r="BPI368" s="642" t="s">
        <v>1841</v>
      </c>
      <c r="BPJ368" s="643"/>
      <c r="BPK368" s="644"/>
      <c r="BPL368" s="644">
        <v>2013</v>
      </c>
      <c r="BPM368" s="644">
        <v>2014</v>
      </c>
      <c r="BPN368" s="644">
        <v>2015</v>
      </c>
      <c r="BPO368" s="644">
        <v>2016</v>
      </c>
      <c r="BPP368" s="644">
        <v>2017</v>
      </c>
      <c r="BPQ368" s="645">
        <v>2018</v>
      </c>
      <c r="BPR368" s="646">
        <v>2019</v>
      </c>
      <c r="BPS368" s="647">
        <v>2020</v>
      </c>
      <c r="BPT368" s="153"/>
      <c r="BPU368" s="153"/>
      <c r="BPV368" s="153"/>
      <c r="BPW368" s="648"/>
      <c r="BPX368" s="641"/>
      <c r="BPY368" s="642" t="s">
        <v>1841</v>
      </c>
      <c r="BPZ368" s="643"/>
      <c r="BQA368" s="644"/>
      <c r="BQB368" s="644">
        <v>2013</v>
      </c>
      <c r="BQC368" s="644">
        <v>2014</v>
      </c>
      <c r="BQD368" s="644">
        <v>2015</v>
      </c>
      <c r="BQE368" s="644">
        <v>2016</v>
      </c>
      <c r="BQF368" s="644">
        <v>2017</v>
      </c>
      <c r="BQG368" s="645">
        <v>2018</v>
      </c>
      <c r="BQH368" s="646">
        <v>2019</v>
      </c>
      <c r="BQI368" s="647">
        <v>2020</v>
      </c>
      <c r="BQJ368" s="153"/>
      <c r="BQK368" s="153"/>
      <c r="BQL368" s="153"/>
      <c r="BQM368" s="648"/>
      <c r="BQN368" s="641"/>
      <c r="BQO368" s="642" t="s">
        <v>1841</v>
      </c>
      <c r="BQP368" s="643"/>
      <c r="BQQ368" s="644"/>
      <c r="BQR368" s="644">
        <v>2013</v>
      </c>
      <c r="BQS368" s="644">
        <v>2014</v>
      </c>
      <c r="BQT368" s="644">
        <v>2015</v>
      </c>
      <c r="BQU368" s="644">
        <v>2016</v>
      </c>
      <c r="BQV368" s="644">
        <v>2017</v>
      </c>
      <c r="BQW368" s="645">
        <v>2018</v>
      </c>
      <c r="BQX368" s="646">
        <v>2019</v>
      </c>
      <c r="BQY368" s="647">
        <v>2020</v>
      </c>
      <c r="BQZ368" s="153"/>
      <c r="BRA368" s="153"/>
      <c r="BRB368" s="153"/>
      <c r="BRC368" s="648"/>
      <c r="BRD368" s="641"/>
      <c r="BRE368" s="642" t="s">
        <v>1841</v>
      </c>
      <c r="BRF368" s="643"/>
      <c r="BRG368" s="644"/>
      <c r="BRH368" s="644">
        <v>2013</v>
      </c>
      <c r="BRI368" s="644">
        <v>2014</v>
      </c>
      <c r="BRJ368" s="644">
        <v>2015</v>
      </c>
      <c r="BRK368" s="644">
        <v>2016</v>
      </c>
      <c r="BRL368" s="644">
        <v>2017</v>
      </c>
      <c r="BRM368" s="645">
        <v>2018</v>
      </c>
      <c r="BRN368" s="646">
        <v>2019</v>
      </c>
      <c r="BRO368" s="647">
        <v>2020</v>
      </c>
      <c r="BRP368" s="153"/>
      <c r="BRQ368" s="153"/>
      <c r="BRR368" s="153"/>
      <c r="BRS368" s="648"/>
      <c r="BRT368" s="641"/>
      <c r="BRU368" s="642" t="s">
        <v>1841</v>
      </c>
      <c r="BRV368" s="643"/>
      <c r="BRW368" s="644"/>
      <c r="BRX368" s="644">
        <v>2013</v>
      </c>
      <c r="BRY368" s="644">
        <v>2014</v>
      </c>
      <c r="BRZ368" s="644">
        <v>2015</v>
      </c>
      <c r="BSA368" s="644">
        <v>2016</v>
      </c>
      <c r="BSB368" s="644">
        <v>2017</v>
      </c>
      <c r="BSC368" s="645">
        <v>2018</v>
      </c>
      <c r="BSD368" s="646">
        <v>2019</v>
      </c>
      <c r="BSE368" s="647">
        <v>2020</v>
      </c>
      <c r="BSF368" s="153"/>
      <c r="BSG368" s="153"/>
      <c r="BSH368" s="153"/>
      <c r="BSI368" s="648"/>
      <c r="BSJ368" s="641"/>
      <c r="BSK368" s="642" t="s">
        <v>1841</v>
      </c>
      <c r="BSL368" s="643"/>
      <c r="BSM368" s="644"/>
      <c r="BSN368" s="644">
        <v>2013</v>
      </c>
      <c r="BSO368" s="644">
        <v>2014</v>
      </c>
      <c r="BSP368" s="644">
        <v>2015</v>
      </c>
      <c r="BSQ368" s="644">
        <v>2016</v>
      </c>
      <c r="BSR368" s="644">
        <v>2017</v>
      </c>
      <c r="BSS368" s="645">
        <v>2018</v>
      </c>
      <c r="BST368" s="646">
        <v>2019</v>
      </c>
      <c r="BSU368" s="647">
        <v>2020</v>
      </c>
      <c r="BSV368" s="153"/>
      <c r="BSW368" s="153"/>
      <c r="BSX368" s="153"/>
      <c r="BSY368" s="648"/>
      <c r="BSZ368" s="641"/>
      <c r="BTA368" s="642" t="s">
        <v>1841</v>
      </c>
      <c r="BTB368" s="643"/>
      <c r="BTC368" s="644"/>
      <c r="BTD368" s="644">
        <v>2013</v>
      </c>
      <c r="BTE368" s="644">
        <v>2014</v>
      </c>
      <c r="BTF368" s="644">
        <v>2015</v>
      </c>
      <c r="BTG368" s="644">
        <v>2016</v>
      </c>
      <c r="BTH368" s="644">
        <v>2017</v>
      </c>
      <c r="BTI368" s="645">
        <v>2018</v>
      </c>
      <c r="BTJ368" s="646">
        <v>2019</v>
      </c>
      <c r="BTK368" s="647">
        <v>2020</v>
      </c>
      <c r="BTL368" s="153"/>
      <c r="BTM368" s="153"/>
      <c r="BTN368" s="153"/>
      <c r="BTO368" s="648"/>
      <c r="BTP368" s="641"/>
      <c r="BTQ368" s="642" t="s">
        <v>1841</v>
      </c>
      <c r="BTR368" s="643"/>
      <c r="BTS368" s="644"/>
      <c r="BTT368" s="644">
        <v>2013</v>
      </c>
      <c r="BTU368" s="644">
        <v>2014</v>
      </c>
      <c r="BTV368" s="644">
        <v>2015</v>
      </c>
      <c r="BTW368" s="644">
        <v>2016</v>
      </c>
      <c r="BTX368" s="644">
        <v>2017</v>
      </c>
      <c r="BTY368" s="645">
        <v>2018</v>
      </c>
      <c r="BTZ368" s="646">
        <v>2019</v>
      </c>
      <c r="BUA368" s="647">
        <v>2020</v>
      </c>
      <c r="BUB368" s="153"/>
      <c r="BUC368" s="153"/>
      <c r="BUD368" s="153"/>
      <c r="BUE368" s="648"/>
      <c r="BUF368" s="641"/>
      <c r="BUG368" s="642" t="s">
        <v>1841</v>
      </c>
      <c r="BUH368" s="643"/>
      <c r="BUI368" s="644"/>
      <c r="BUJ368" s="644">
        <v>2013</v>
      </c>
      <c r="BUK368" s="644">
        <v>2014</v>
      </c>
      <c r="BUL368" s="644">
        <v>2015</v>
      </c>
      <c r="BUM368" s="644">
        <v>2016</v>
      </c>
      <c r="BUN368" s="644">
        <v>2017</v>
      </c>
      <c r="BUO368" s="645">
        <v>2018</v>
      </c>
      <c r="BUP368" s="646">
        <v>2019</v>
      </c>
      <c r="BUQ368" s="647">
        <v>2020</v>
      </c>
      <c r="BUR368" s="153"/>
      <c r="BUS368" s="153"/>
      <c r="BUT368" s="153"/>
      <c r="BUU368" s="648"/>
      <c r="BUV368" s="641"/>
      <c r="BUW368" s="642" t="s">
        <v>1841</v>
      </c>
      <c r="BUX368" s="643"/>
      <c r="BUY368" s="644"/>
      <c r="BUZ368" s="644">
        <v>2013</v>
      </c>
      <c r="BVA368" s="644">
        <v>2014</v>
      </c>
      <c r="BVB368" s="644">
        <v>2015</v>
      </c>
      <c r="BVC368" s="644">
        <v>2016</v>
      </c>
      <c r="BVD368" s="644">
        <v>2017</v>
      </c>
      <c r="BVE368" s="645">
        <v>2018</v>
      </c>
      <c r="BVF368" s="646">
        <v>2019</v>
      </c>
      <c r="BVG368" s="647">
        <v>2020</v>
      </c>
      <c r="BVH368" s="153"/>
      <c r="BVI368" s="153"/>
      <c r="BVJ368" s="153"/>
      <c r="BVK368" s="648"/>
      <c r="BVL368" s="641"/>
      <c r="BVM368" s="642" t="s">
        <v>1841</v>
      </c>
      <c r="BVN368" s="643"/>
      <c r="BVO368" s="644"/>
      <c r="BVP368" s="644">
        <v>2013</v>
      </c>
      <c r="BVQ368" s="644">
        <v>2014</v>
      </c>
      <c r="BVR368" s="644">
        <v>2015</v>
      </c>
      <c r="BVS368" s="644">
        <v>2016</v>
      </c>
      <c r="BVT368" s="644">
        <v>2017</v>
      </c>
      <c r="BVU368" s="645">
        <v>2018</v>
      </c>
      <c r="BVV368" s="646">
        <v>2019</v>
      </c>
      <c r="BVW368" s="647">
        <v>2020</v>
      </c>
      <c r="BVX368" s="153"/>
      <c r="BVY368" s="153"/>
      <c r="BVZ368" s="153"/>
      <c r="BWA368" s="648"/>
      <c r="BWB368" s="641"/>
      <c r="BWC368" s="642" t="s">
        <v>1841</v>
      </c>
      <c r="BWD368" s="643"/>
      <c r="BWE368" s="644"/>
      <c r="BWF368" s="644">
        <v>2013</v>
      </c>
      <c r="BWG368" s="644">
        <v>2014</v>
      </c>
      <c r="BWH368" s="644">
        <v>2015</v>
      </c>
      <c r="BWI368" s="644">
        <v>2016</v>
      </c>
      <c r="BWJ368" s="644">
        <v>2017</v>
      </c>
      <c r="BWK368" s="645">
        <v>2018</v>
      </c>
      <c r="BWL368" s="646">
        <v>2019</v>
      </c>
      <c r="BWM368" s="647">
        <v>2020</v>
      </c>
      <c r="BWN368" s="153"/>
      <c r="BWO368" s="153"/>
      <c r="BWP368" s="153"/>
      <c r="BWQ368" s="648"/>
      <c r="BWR368" s="641"/>
      <c r="BWS368" s="642" t="s">
        <v>1841</v>
      </c>
      <c r="BWT368" s="643"/>
      <c r="BWU368" s="644"/>
      <c r="BWV368" s="644">
        <v>2013</v>
      </c>
      <c r="BWW368" s="644">
        <v>2014</v>
      </c>
      <c r="BWX368" s="644">
        <v>2015</v>
      </c>
      <c r="BWY368" s="644">
        <v>2016</v>
      </c>
      <c r="BWZ368" s="644">
        <v>2017</v>
      </c>
      <c r="BXA368" s="645">
        <v>2018</v>
      </c>
      <c r="BXB368" s="646">
        <v>2019</v>
      </c>
      <c r="BXC368" s="647">
        <v>2020</v>
      </c>
      <c r="BXD368" s="153"/>
      <c r="BXE368" s="153"/>
      <c r="BXF368" s="153"/>
      <c r="BXG368" s="648"/>
      <c r="BXH368" s="641"/>
      <c r="BXI368" s="642" t="s">
        <v>1841</v>
      </c>
      <c r="BXJ368" s="643"/>
      <c r="BXK368" s="644"/>
      <c r="BXL368" s="644">
        <v>2013</v>
      </c>
      <c r="BXM368" s="644">
        <v>2014</v>
      </c>
      <c r="BXN368" s="644">
        <v>2015</v>
      </c>
      <c r="BXO368" s="644">
        <v>2016</v>
      </c>
      <c r="BXP368" s="644">
        <v>2017</v>
      </c>
      <c r="BXQ368" s="645">
        <v>2018</v>
      </c>
      <c r="BXR368" s="646">
        <v>2019</v>
      </c>
      <c r="BXS368" s="647">
        <v>2020</v>
      </c>
      <c r="BXT368" s="153"/>
      <c r="BXU368" s="153"/>
      <c r="BXV368" s="153"/>
      <c r="BXW368" s="648"/>
      <c r="BXX368" s="641"/>
      <c r="BXY368" s="642" t="s">
        <v>1841</v>
      </c>
      <c r="BXZ368" s="643"/>
      <c r="BYA368" s="644"/>
      <c r="BYB368" s="644">
        <v>2013</v>
      </c>
      <c r="BYC368" s="644">
        <v>2014</v>
      </c>
      <c r="BYD368" s="644">
        <v>2015</v>
      </c>
      <c r="BYE368" s="644">
        <v>2016</v>
      </c>
      <c r="BYF368" s="644">
        <v>2017</v>
      </c>
      <c r="BYG368" s="645">
        <v>2018</v>
      </c>
      <c r="BYH368" s="646">
        <v>2019</v>
      </c>
      <c r="BYI368" s="647">
        <v>2020</v>
      </c>
      <c r="BYJ368" s="153"/>
      <c r="BYK368" s="153"/>
      <c r="BYL368" s="153"/>
      <c r="BYM368" s="648"/>
      <c r="BYN368" s="641"/>
      <c r="BYO368" s="642" t="s">
        <v>1841</v>
      </c>
      <c r="BYP368" s="643"/>
      <c r="BYQ368" s="644"/>
      <c r="BYR368" s="644">
        <v>2013</v>
      </c>
      <c r="BYS368" s="644">
        <v>2014</v>
      </c>
      <c r="BYT368" s="644">
        <v>2015</v>
      </c>
      <c r="BYU368" s="644">
        <v>2016</v>
      </c>
      <c r="BYV368" s="644">
        <v>2017</v>
      </c>
      <c r="BYW368" s="645">
        <v>2018</v>
      </c>
      <c r="BYX368" s="646">
        <v>2019</v>
      </c>
      <c r="BYY368" s="647">
        <v>2020</v>
      </c>
      <c r="BYZ368" s="153"/>
      <c r="BZA368" s="153"/>
      <c r="BZB368" s="153"/>
      <c r="BZC368" s="648"/>
      <c r="BZD368" s="641"/>
      <c r="BZE368" s="642" t="s">
        <v>1841</v>
      </c>
      <c r="BZF368" s="643"/>
      <c r="BZG368" s="644"/>
      <c r="BZH368" s="644">
        <v>2013</v>
      </c>
      <c r="BZI368" s="644">
        <v>2014</v>
      </c>
      <c r="BZJ368" s="644">
        <v>2015</v>
      </c>
      <c r="BZK368" s="644">
        <v>2016</v>
      </c>
      <c r="BZL368" s="644">
        <v>2017</v>
      </c>
      <c r="BZM368" s="645">
        <v>2018</v>
      </c>
      <c r="BZN368" s="646">
        <v>2019</v>
      </c>
      <c r="BZO368" s="647">
        <v>2020</v>
      </c>
      <c r="BZP368" s="153"/>
      <c r="BZQ368" s="153"/>
      <c r="BZR368" s="153"/>
      <c r="BZS368" s="648"/>
      <c r="BZT368" s="641"/>
      <c r="BZU368" s="642" t="s">
        <v>1841</v>
      </c>
      <c r="BZV368" s="643"/>
      <c r="BZW368" s="644"/>
      <c r="BZX368" s="644">
        <v>2013</v>
      </c>
      <c r="BZY368" s="644">
        <v>2014</v>
      </c>
      <c r="BZZ368" s="644">
        <v>2015</v>
      </c>
      <c r="CAA368" s="644">
        <v>2016</v>
      </c>
      <c r="CAB368" s="644">
        <v>2017</v>
      </c>
      <c r="CAC368" s="645">
        <v>2018</v>
      </c>
      <c r="CAD368" s="646">
        <v>2019</v>
      </c>
      <c r="CAE368" s="647">
        <v>2020</v>
      </c>
      <c r="CAF368" s="153"/>
      <c r="CAG368" s="153"/>
      <c r="CAH368" s="153"/>
      <c r="CAI368" s="648"/>
      <c r="CAJ368" s="641"/>
      <c r="CAK368" s="642" t="s">
        <v>1841</v>
      </c>
      <c r="CAL368" s="643"/>
      <c r="CAM368" s="644"/>
      <c r="CAN368" s="644">
        <v>2013</v>
      </c>
      <c r="CAO368" s="644">
        <v>2014</v>
      </c>
      <c r="CAP368" s="644">
        <v>2015</v>
      </c>
      <c r="CAQ368" s="644">
        <v>2016</v>
      </c>
      <c r="CAR368" s="644">
        <v>2017</v>
      </c>
      <c r="CAS368" s="645">
        <v>2018</v>
      </c>
      <c r="CAT368" s="646">
        <v>2019</v>
      </c>
      <c r="CAU368" s="647">
        <v>2020</v>
      </c>
      <c r="CAV368" s="153"/>
      <c r="CAW368" s="153"/>
      <c r="CAX368" s="153"/>
      <c r="CAY368" s="648"/>
      <c r="CAZ368" s="641"/>
      <c r="CBA368" s="642" t="s">
        <v>1841</v>
      </c>
      <c r="CBB368" s="643"/>
      <c r="CBC368" s="644"/>
      <c r="CBD368" s="644">
        <v>2013</v>
      </c>
      <c r="CBE368" s="644">
        <v>2014</v>
      </c>
      <c r="CBF368" s="644">
        <v>2015</v>
      </c>
      <c r="CBG368" s="644">
        <v>2016</v>
      </c>
      <c r="CBH368" s="644">
        <v>2017</v>
      </c>
      <c r="CBI368" s="645">
        <v>2018</v>
      </c>
      <c r="CBJ368" s="646">
        <v>2019</v>
      </c>
      <c r="CBK368" s="647">
        <v>2020</v>
      </c>
      <c r="CBL368" s="153"/>
      <c r="CBM368" s="153"/>
      <c r="CBN368" s="153"/>
      <c r="CBO368" s="648"/>
      <c r="CBP368" s="641"/>
      <c r="CBQ368" s="642" t="s">
        <v>1841</v>
      </c>
      <c r="CBR368" s="643"/>
      <c r="CBS368" s="644"/>
      <c r="CBT368" s="644">
        <v>2013</v>
      </c>
      <c r="CBU368" s="644">
        <v>2014</v>
      </c>
      <c r="CBV368" s="644">
        <v>2015</v>
      </c>
      <c r="CBW368" s="644">
        <v>2016</v>
      </c>
      <c r="CBX368" s="644">
        <v>2017</v>
      </c>
      <c r="CBY368" s="645">
        <v>2018</v>
      </c>
      <c r="CBZ368" s="646">
        <v>2019</v>
      </c>
      <c r="CCA368" s="647">
        <v>2020</v>
      </c>
      <c r="CCB368" s="153"/>
      <c r="CCC368" s="153"/>
      <c r="CCD368" s="153"/>
      <c r="CCE368" s="648"/>
      <c r="CCF368" s="641"/>
      <c r="CCG368" s="642" t="s">
        <v>1841</v>
      </c>
      <c r="CCH368" s="643"/>
      <c r="CCI368" s="644"/>
      <c r="CCJ368" s="644">
        <v>2013</v>
      </c>
      <c r="CCK368" s="644">
        <v>2014</v>
      </c>
      <c r="CCL368" s="644">
        <v>2015</v>
      </c>
      <c r="CCM368" s="644">
        <v>2016</v>
      </c>
      <c r="CCN368" s="644">
        <v>2017</v>
      </c>
      <c r="CCO368" s="645">
        <v>2018</v>
      </c>
      <c r="CCP368" s="646">
        <v>2019</v>
      </c>
      <c r="CCQ368" s="647">
        <v>2020</v>
      </c>
      <c r="CCR368" s="153"/>
      <c r="CCS368" s="153"/>
      <c r="CCT368" s="153"/>
      <c r="CCU368" s="648"/>
      <c r="CCV368" s="641"/>
      <c r="CCW368" s="642" t="s">
        <v>1841</v>
      </c>
      <c r="CCX368" s="643"/>
      <c r="CCY368" s="644"/>
      <c r="CCZ368" s="644">
        <v>2013</v>
      </c>
      <c r="CDA368" s="644">
        <v>2014</v>
      </c>
      <c r="CDB368" s="644">
        <v>2015</v>
      </c>
      <c r="CDC368" s="644">
        <v>2016</v>
      </c>
      <c r="CDD368" s="644">
        <v>2017</v>
      </c>
      <c r="CDE368" s="645">
        <v>2018</v>
      </c>
      <c r="CDF368" s="646">
        <v>2019</v>
      </c>
      <c r="CDG368" s="647">
        <v>2020</v>
      </c>
      <c r="CDH368" s="153"/>
      <c r="CDI368" s="153"/>
      <c r="CDJ368" s="153"/>
      <c r="CDK368" s="648"/>
      <c r="CDL368" s="641"/>
      <c r="CDM368" s="642" t="s">
        <v>1841</v>
      </c>
      <c r="CDN368" s="643"/>
      <c r="CDO368" s="644"/>
      <c r="CDP368" s="644">
        <v>2013</v>
      </c>
      <c r="CDQ368" s="644">
        <v>2014</v>
      </c>
      <c r="CDR368" s="644">
        <v>2015</v>
      </c>
      <c r="CDS368" s="644">
        <v>2016</v>
      </c>
      <c r="CDT368" s="644">
        <v>2017</v>
      </c>
      <c r="CDU368" s="645">
        <v>2018</v>
      </c>
      <c r="CDV368" s="646">
        <v>2019</v>
      </c>
      <c r="CDW368" s="647">
        <v>2020</v>
      </c>
      <c r="CDX368" s="153"/>
      <c r="CDY368" s="153"/>
      <c r="CDZ368" s="153"/>
      <c r="CEA368" s="648"/>
      <c r="CEB368" s="641"/>
      <c r="CEC368" s="642" t="s">
        <v>1841</v>
      </c>
      <c r="CED368" s="643"/>
      <c r="CEE368" s="644"/>
      <c r="CEF368" s="644">
        <v>2013</v>
      </c>
      <c r="CEG368" s="644">
        <v>2014</v>
      </c>
      <c r="CEH368" s="644">
        <v>2015</v>
      </c>
      <c r="CEI368" s="644">
        <v>2016</v>
      </c>
      <c r="CEJ368" s="644">
        <v>2017</v>
      </c>
      <c r="CEK368" s="645">
        <v>2018</v>
      </c>
      <c r="CEL368" s="646">
        <v>2019</v>
      </c>
      <c r="CEM368" s="647">
        <v>2020</v>
      </c>
      <c r="CEN368" s="153"/>
      <c r="CEO368" s="153"/>
      <c r="CEP368" s="153"/>
      <c r="CEQ368" s="648"/>
      <c r="CER368" s="641"/>
      <c r="CES368" s="642" t="s">
        <v>1841</v>
      </c>
      <c r="CET368" s="643"/>
      <c r="CEU368" s="644"/>
      <c r="CEV368" s="644">
        <v>2013</v>
      </c>
      <c r="CEW368" s="644">
        <v>2014</v>
      </c>
      <c r="CEX368" s="644">
        <v>2015</v>
      </c>
      <c r="CEY368" s="644">
        <v>2016</v>
      </c>
      <c r="CEZ368" s="644">
        <v>2017</v>
      </c>
      <c r="CFA368" s="645">
        <v>2018</v>
      </c>
      <c r="CFB368" s="646">
        <v>2019</v>
      </c>
      <c r="CFC368" s="647">
        <v>2020</v>
      </c>
      <c r="CFD368" s="153"/>
      <c r="CFE368" s="153"/>
      <c r="CFF368" s="153"/>
      <c r="CFG368" s="648"/>
      <c r="CFH368" s="641"/>
      <c r="CFI368" s="642" t="s">
        <v>1841</v>
      </c>
      <c r="CFJ368" s="643"/>
      <c r="CFK368" s="644"/>
      <c r="CFL368" s="644">
        <v>2013</v>
      </c>
      <c r="CFM368" s="644">
        <v>2014</v>
      </c>
      <c r="CFN368" s="644">
        <v>2015</v>
      </c>
      <c r="CFO368" s="644">
        <v>2016</v>
      </c>
      <c r="CFP368" s="644">
        <v>2017</v>
      </c>
      <c r="CFQ368" s="645">
        <v>2018</v>
      </c>
      <c r="CFR368" s="646">
        <v>2019</v>
      </c>
      <c r="CFS368" s="647">
        <v>2020</v>
      </c>
      <c r="CFT368" s="153"/>
      <c r="CFU368" s="153"/>
      <c r="CFV368" s="153"/>
      <c r="CFW368" s="648"/>
      <c r="CFX368" s="641"/>
      <c r="CFY368" s="642" t="s">
        <v>1841</v>
      </c>
      <c r="CFZ368" s="643"/>
      <c r="CGA368" s="644"/>
      <c r="CGB368" s="644">
        <v>2013</v>
      </c>
      <c r="CGC368" s="644">
        <v>2014</v>
      </c>
      <c r="CGD368" s="644">
        <v>2015</v>
      </c>
      <c r="CGE368" s="644">
        <v>2016</v>
      </c>
      <c r="CGF368" s="644">
        <v>2017</v>
      </c>
      <c r="CGG368" s="645">
        <v>2018</v>
      </c>
      <c r="CGH368" s="646">
        <v>2019</v>
      </c>
      <c r="CGI368" s="647">
        <v>2020</v>
      </c>
      <c r="CGJ368" s="153"/>
      <c r="CGK368" s="153"/>
      <c r="CGL368" s="153"/>
      <c r="CGM368" s="648"/>
      <c r="CGN368" s="641"/>
      <c r="CGO368" s="642" t="s">
        <v>1841</v>
      </c>
      <c r="CGP368" s="643"/>
      <c r="CGQ368" s="644"/>
      <c r="CGR368" s="644">
        <v>2013</v>
      </c>
      <c r="CGS368" s="644">
        <v>2014</v>
      </c>
      <c r="CGT368" s="644">
        <v>2015</v>
      </c>
      <c r="CGU368" s="644">
        <v>2016</v>
      </c>
      <c r="CGV368" s="644">
        <v>2017</v>
      </c>
      <c r="CGW368" s="645">
        <v>2018</v>
      </c>
      <c r="CGX368" s="646">
        <v>2019</v>
      </c>
      <c r="CGY368" s="647">
        <v>2020</v>
      </c>
      <c r="CGZ368" s="153"/>
      <c r="CHA368" s="153"/>
      <c r="CHB368" s="153"/>
      <c r="CHC368" s="648"/>
      <c r="CHD368" s="641"/>
      <c r="CHE368" s="642" t="s">
        <v>1841</v>
      </c>
      <c r="CHF368" s="643"/>
      <c r="CHG368" s="644"/>
      <c r="CHH368" s="644">
        <v>2013</v>
      </c>
      <c r="CHI368" s="644">
        <v>2014</v>
      </c>
      <c r="CHJ368" s="644">
        <v>2015</v>
      </c>
      <c r="CHK368" s="644">
        <v>2016</v>
      </c>
      <c r="CHL368" s="644">
        <v>2017</v>
      </c>
      <c r="CHM368" s="645">
        <v>2018</v>
      </c>
      <c r="CHN368" s="646">
        <v>2019</v>
      </c>
      <c r="CHO368" s="647">
        <v>2020</v>
      </c>
      <c r="CHP368" s="153"/>
      <c r="CHQ368" s="153"/>
      <c r="CHR368" s="153"/>
      <c r="CHS368" s="648"/>
      <c r="CHT368" s="641"/>
      <c r="CHU368" s="642" t="s">
        <v>1841</v>
      </c>
      <c r="CHV368" s="643"/>
      <c r="CHW368" s="644"/>
      <c r="CHX368" s="644">
        <v>2013</v>
      </c>
      <c r="CHY368" s="644">
        <v>2014</v>
      </c>
      <c r="CHZ368" s="644">
        <v>2015</v>
      </c>
      <c r="CIA368" s="644">
        <v>2016</v>
      </c>
      <c r="CIB368" s="644">
        <v>2017</v>
      </c>
      <c r="CIC368" s="645">
        <v>2018</v>
      </c>
      <c r="CID368" s="646">
        <v>2019</v>
      </c>
      <c r="CIE368" s="647">
        <v>2020</v>
      </c>
      <c r="CIF368" s="153"/>
      <c r="CIG368" s="153"/>
      <c r="CIH368" s="153"/>
      <c r="CII368" s="648"/>
      <c r="CIJ368" s="641"/>
      <c r="CIK368" s="642" t="s">
        <v>1841</v>
      </c>
      <c r="CIL368" s="643"/>
      <c r="CIM368" s="644"/>
      <c r="CIN368" s="644">
        <v>2013</v>
      </c>
      <c r="CIO368" s="644">
        <v>2014</v>
      </c>
      <c r="CIP368" s="644">
        <v>2015</v>
      </c>
      <c r="CIQ368" s="644">
        <v>2016</v>
      </c>
      <c r="CIR368" s="644">
        <v>2017</v>
      </c>
      <c r="CIS368" s="645">
        <v>2018</v>
      </c>
      <c r="CIT368" s="646">
        <v>2019</v>
      </c>
      <c r="CIU368" s="647">
        <v>2020</v>
      </c>
      <c r="CIV368" s="153"/>
      <c r="CIW368" s="153"/>
      <c r="CIX368" s="153"/>
      <c r="CIY368" s="648"/>
      <c r="CIZ368" s="641"/>
      <c r="CJA368" s="642" t="s">
        <v>1841</v>
      </c>
      <c r="CJB368" s="643"/>
      <c r="CJC368" s="644"/>
      <c r="CJD368" s="644">
        <v>2013</v>
      </c>
      <c r="CJE368" s="644">
        <v>2014</v>
      </c>
      <c r="CJF368" s="644">
        <v>2015</v>
      </c>
      <c r="CJG368" s="644">
        <v>2016</v>
      </c>
      <c r="CJH368" s="644">
        <v>2017</v>
      </c>
      <c r="CJI368" s="645">
        <v>2018</v>
      </c>
      <c r="CJJ368" s="646">
        <v>2019</v>
      </c>
      <c r="CJK368" s="647">
        <v>2020</v>
      </c>
      <c r="CJL368" s="153"/>
      <c r="CJM368" s="153"/>
      <c r="CJN368" s="153"/>
      <c r="CJO368" s="648"/>
      <c r="CJP368" s="641"/>
      <c r="CJQ368" s="642" t="s">
        <v>1841</v>
      </c>
      <c r="CJR368" s="643"/>
      <c r="CJS368" s="644"/>
      <c r="CJT368" s="644">
        <v>2013</v>
      </c>
      <c r="CJU368" s="644">
        <v>2014</v>
      </c>
      <c r="CJV368" s="644">
        <v>2015</v>
      </c>
      <c r="CJW368" s="644">
        <v>2016</v>
      </c>
      <c r="CJX368" s="644">
        <v>2017</v>
      </c>
      <c r="CJY368" s="645">
        <v>2018</v>
      </c>
      <c r="CJZ368" s="646">
        <v>2019</v>
      </c>
      <c r="CKA368" s="647">
        <v>2020</v>
      </c>
      <c r="CKB368" s="153"/>
      <c r="CKC368" s="153"/>
      <c r="CKD368" s="153"/>
      <c r="CKE368" s="648"/>
      <c r="CKF368" s="641"/>
      <c r="CKG368" s="642" t="s">
        <v>1841</v>
      </c>
      <c r="CKH368" s="643"/>
      <c r="CKI368" s="644"/>
      <c r="CKJ368" s="644">
        <v>2013</v>
      </c>
      <c r="CKK368" s="644">
        <v>2014</v>
      </c>
      <c r="CKL368" s="644">
        <v>2015</v>
      </c>
      <c r="CKM368" s="644">
        <v>2016</v>
      </c>
      <c r="CKN368" s="644">
        <v>2017</v>
      </c>
      <c r="CKO368" s="645">
        <v>2018</v>
      </c>
      <c r="CKP368" s="646">
        <v>2019</v>
      </c>
      <c r="CKQ368" s="647">
        <v>2020</v>
      </c>
      <c r="CKR368" s="153"/>
      <c r="CKS368" s="153"/>
      <c r="CKT368" s="153"/>
      <c r="CKU368" s="648"/>
      <c r="CKV368" s="641"/>
      <c r="CKW368" s="642" t="s">
        <v>1841</v>
      </c>
      <c r="CKX368" s="643"/>
      <c r="CKY368" s="644"/>
      <c r="CKZ368" s="644">
        <v>2013</v>
      </c>
      <c r="CLA368" s="644">
        <v>2014</v>
      </c>
      <c r="CLB368" s="644">
        <v>2015</v>
      </c>
      <c r="CLC368" s="644">
        <v>2016</v>
      </c>
      <c r="CLD368" s="644">
        <v>2017</v>
      </c>
      <c r="CLE368" s="645">
        <v>2018</v>
      </c>
      <c r="CLF368" s="646">
        <v>2019</v>
      </c>
      <c r="CLG368" s="647">
        <v>2020</v>
      </c>
      <c r="CLH368" s="153"/>
      <c r="CLI368" s="153"/>
      <c r="CLJ368" s="153"/>
      <c r="CLK368" s="648"/>
      <c r="CLL368" s="641"/>
      <c r="CLM368" s="642" t="s">
        <v>1841</v>
      </c>
      <c r="CLN368" s="643"/>
      <c r="CLO368" s="644"/>
      <c r="CLP368" s="644">
        <v>2013</v>
      </c>
      <c r="CLQ368" s="644">
        <v>2014</v>
      </c>
      <c r="CLR368" s="644">
        <v>2015</v>
      </c>
      <c r="CLS368" s="644">
        <v>2016</v>
      </c>
      <c r="CLT368" s="644">
        <v>2017</v>
      </c>
      <c r="CLU368" s="645">
        <v>2018</v>
      </c>
      <c r="CLV368" s="646">
        <v>2019</v>
      </c>
      <c r="CLW368" s="647">
        <v>2020</v>
      </c>
      <c r="CLX368" s="153"/>
      <c r="CLY368" s="153"/>
      <c r="CLZ368" s="153"/>
      <c r="CMA368" s="648"/>
      <c r="CMB368" s="641"/>
      <c r="CMC368" s="642" t="s">
        <v>1841</v>
      </c>
      <c r="CMD368" s="643"/>
      <c r="CME368" s="644"/>
      <c r="CMF368" s="644">
        <v>2013</v>
      </c>
      <c r="CMG368" s="644">
        <v>2014</v>
      </c>
      <c r="CMH368" s="644">
        <v>2015</v>
      </c>
      <c r="CMI368" s="644">
        <v>2016</v>
      </c>
      <c r="CMJ368" s="644">
        <v>2017</v>
      </c>
      <c r="CMK368" s="645">
        <v>2018</v>
      </c>
      <c r="CML368" s="646">
        <v>2019</v>
      </c>
      <c r="CMM368" s="647">
        <v>2020</v>
      </c>
      <c r="CMN368" s="153"/>
      <c r="CMO368" s="153"/>
      <c r="CMP368" s="153"/>
      <c r="CMQ368" s="648"/>
      <c r="CMR368" s="641"/>
      <c r="CMS368" s="642" t="s">
        <v>1841</v>
      </c>
      <c r="CMT368" s="643"/>
      <c r="CMU368" s="644"/>
      <c r="CMV368" s="644">
        <v>2013</v>
      </c>
      <c r="CMW368" s="644">
        <v>2014</v>
      </c>
      <c r="CMX368" s="644">
        <v>2015</v>
      </c>
      <c r="CMY368" s="644">
        <v>2016</v>
      </c>
      <c r="CMZ368" s="644">
        <v>2017</v>
      </c>
      <c r="CNA368" s="645">
        <v>2018</v>
      </c>
      <c r="CNB368" s="646">
        <v>2019</v>
      </c>
      <c r="CNC368" s="647">
        <v>2020</v>
      </c>
      <c r="CND368" s="153"/>
      <c r="CNE368" s="153"/>
      <c r="CNF368" s="153"/>
      <c r="CNG368" s="648"/>
      <c r="CNH368" s="641"/>
      <c r="CNI368" s="642" t="s">
        <v>1841</v>
      </c>
      <c r="CNJ368" s="643"/>
      <c r="CNK368" s="644"/>
      <c r="CNL368" s="644">
        <v>2013</v>
      </c>
      <c r="CNM368" s="644">
        <v>2014</v>
      </c>
      <c r="CNN368" s="644">
        <v>2015</v>
      </c>
      <c r="CNO368" s="644">
        <v>2016</v>
      </c>
      <c r="CNP368" s="644">
        <v>2017</v>
      </c>
      <c r="CNQ368" s="645">
        <v>2018</v>
      </c>
      <c r="CNR368" s="646">
        <v>2019</v>
      </c>
      <c r="CNS368" s="647">
        <v>2020</v>
      </c>
      <c r="CNT368" s="153"/>
      <c r="CNU368" s="153"/>
      <c r="CNV368" s="153"/>
      <c r="CNW368" s="648"/>
      <c r="CNX368" s="641"/>
      <c r="CNY368" s="642" t="s">
        <v>1841</v>
      </c>
      <c r="CNZ368" s="643"/>
      <c r="COA368" s="644"/>
      <c r="COB368" s="644">
        <v>2013</v>
      </c>
      <c r="COC368" s="644">
        <v>2014</v>
      </c>
      <c r="COD368" s="644">
        <v>2015</v>
      </c>
      <c r="COE368" s="644">
        <v>2016</v>
      </c>
      <c r="COF368" s="644">
        <v>2017</v>
      </c>
      <c r="COG368" s="645">
        <v>2018</v>
      </c>
      <c r="COH368" s="646">
        <v>2019</v>
      </c>
      <c r="COI368" s="647">
        <v>2020</v>
      </c>
      <c r="COJ368" s="153"/>
      <c r="COK368" s="153"/>
      <c r="COL368" s="153"/>
      <c r="COM368" s="648"/>
      <c r="CON368" s="641"/>
      <c r="COO368" s="642" t="s">
        <v>1841</v>
      </c>
      <c r="COP368" s="643"/>
      <c r="COQ368" s="644"/>
      <c r="COR368" s="644">
        <v>2013</v>
      </c>
      <c r="COS368" s="644">
        <v>2014</v>
      </c>
      <c r="COT368" s="644">
        <v>2015</v>
      </c>
      <c r="COU368" s="644">
        <v>2016</v>
      </c>
      <c r="COV368" s="644">
        <v>2017</v>
      </c>
      <c r="COW368" s="645">
        <v>2018</v>
      </c>
      <c r="COX368" s="646">
        <v>2019</v>
      </c>
      <c r="COY368" s="647">
        <v>2020</v>
      </c>
      <c r="COZ368" s="153"/>
      <c r="CPA368" s="153"/>
      <c r="CPB368" s="153"/>
      <c r="CPC368" s="648"/>
      <c r="CPD368" s="641"/>
      <c r="CPE368" s="642" t="s">
        <v>1841</v>
      </c>
      <c r="CPF368" s="643"/>
      <c r="CPG368" s="644"/>
      <c r="CPH368" s="644">
        <v>2013</v>
      </c>
      <c r="CPI368" s="644">
        <v>2014</v>
      </c>
      <c r="CPJ368" s="644">
        <v>2015</v>
      </c>
      <c r="CPK368" s="644">
        <v>2016</v>
      </c>
      <c r="CPL368" s="644">
        <v>2017</v>
      </c>
      <c r="CPM368" s="645">
        <v>2018</v>
      </c>
      <c r="CPN368" s="646">
        <v>2019</v>
      </c>
      <c r="CPO368" s="647">
        <v>2020</v>
      </c>
      <c r="CPP368" s="153"/>
      <c r="CPQ368" s="153"/>
      <c r="CPR368" s="153"/>
      <c r="CPS368" s="648"/>
      <c r="CPT368" s="641"/>
      <c r="CPU368" s="642" t="s">
        <v>1841</v>
      </c>
      <c r="CPV368" s="643"/>
      <c r="CPW368" s="644"/>
      <c r="CPX368" s="644">
        <v>2013</v>
      </c>
      <c r="CPY368" s="644">
        <v>2014</v>
      </c>
      <c r="CPZ368" s="644">
        <v>2015</v>
      </c>
      <c r="CQA368" s="644">
        <v>2016</v>
      </c>
      <c r="CQB368" s="644">
        <v>2017</v>
      </c>
      <c r="CQC368" s="645">
        <v>2018</v>
      </c>
      <c r="CQD368" s="646">
        <v>2019</v>
      </c>
      <c r="CQE368" s="647">
        <v>2020</v>
      </c>
      <c r="CQF368" s="153"/>
      <c r="CQG368" s="153"/>
      <c r="CQH368" s="153"/>
      <c r="CQI368" s="648"/>
      <c r="CQJ368" s="641"/>
      <c r="CQK368" s="642" t="s">
        <v>1841</v>
      </c>
      <c r="CQL368" s="643"/>
      <c r="CQM368" s="644"/>
      <c r="CQN368" s="644">
        <v>2013</v>
      </c>
      <c r="CQO368" s="644">
        <v>2014</v>
      </c>
      <c r="CQP368" s="644">
        <v>2015</v>
      </c>
      <c r="CQQ368" s="644">
        <v>2016</v>
      </c>
      <c r="CQR368" s="644">
        <v>2017</v>
      </c>
      <c r="CQS368" s="645">
        <v>2018</v>
      </c>
      <c r="CQT368" s="646">
        <v>2019</v>
      </c>
      <c r="CQU368" s="647">
        <v>2020</v>
      </c>
      <c r="CQV368" s="153"/>
      <c r="CQW368" s="153"/>
      <c r="CQX368" s="153"/>
      <c r="CQY368" s="648"/>
      <c r="CQZ368" s="641"/>
      <c r="CRA368" s="642" t="s">
        <v>1841</v>
      </c>
      <c r="CRB368" s="643"/>
      <c r="CRC368" s="644"/>
      <c r="CRD368" s="644">
        <v>2013</v>
      </c>
      <c r="CRE368" s="644">
        <v>2014</v>
      </c>
      <c r="CRF368" s="644">
        <v>2015</v>
      </c>
      <c r="CRG368" s="644">
        <v>2016</v>
      </c>
      <c r="CRH368" s="644">
        <v>2017</v>
      </c>
      <c r="CRI368" s="645">
        <v>2018</v>
      </c>
      <c r="CRJ368" s="646">
        <v>2019</v>
      </c>
      <c r="CRK368" s="647">
        <v>2020</v>
      </c>
      <c r="CRL368" s="153"/>
      <c r="CRM368" s="153"/>
      <c r="CRN368" s="153"/>
      <c r="CRO368" s="648"/>
      <c r="CRP368" s="641"/>
      <c r="CRQ368" s="642" t="s">
        <v>1841</v>
      </c>
      <c r="CRR368" s="643"/>
      <c r="CRS368" s="644"/>
      <c r="CRT368" s="644">
        <v>2013</v>
      </c>
      <c r="CRU368" s="644">
        <v>2014</v>
      </c>
      <c r="CRV368" s="644">
        <v>2015</v>
      </c>
      <c r="CRW368" s="644">
        <v>2016</v>
      </c>
      <c r="CRX368" s="644">
        <v>2017</v>
      </c>
      <c r="CRY368" s="645">
        <v>2018</v>
      </c>
      <c r="CRZ368" s="646">
        <v>2019</v>
      </c>
      <c r="CSA368" s="647">
        <v>2020</v>
      </c>
      <c r="CSB368" s="153"/>
      <c r="CSC368" s="153"/>
      <c r="CSD368" s="153"/>
      <c r="CSE368" s="648"/>
      <c r="CSF368" s="641"/>
      <c r="CSG368" s="642" t="s">
        <v>1841</v>
      </c>
      <c r="CSH368" s="643"/>
      <c r="CSI368" s="644"/>
      <c r="CSJ368" s="644">
        <v>2013</v>
      </c>
      <c r="CSK368" s="644">
        <v>2014</v>
      </c>
      <c r="CSL368" s="644">
        <v>2015</v>
      </c>
      <c r="CSM368" s="644">
        <v>2016</v>
      </c>
      <c r="CSN368" s="644">
        <v>2017</v>
      </c>
      <c r="CSO368" s="645">
        <v>2018</v>
      </c>
      <c r="CSP368" s="646">
        <v>2019</v>
      </c>
      <c r="CSQ368" s="647">
        <v>2020</v>
      </c>
      <c r="CSR368" s="153"/>
      <c r="CSS368" s="153"/>
      <c r="CST368" s="153"/>
      <c r="CSU368" s="648"/>
      <c r="CSV368" s="641"/>
      <c r="CSW368" s="642" t="s">
        <v>1841</v>
      </c>
      <c r="CSX368" s="643"/>
      <c r="CSY368" s="644"/>
      <c r="CSZ368" s="644">
        <v>2013</v>
      </c>
      <c r="CTA368" s="644">
        <v>2014</v>
      </c>
      <c r="CTB368" s="644">
        <v>2015</v>
      </c>
      <c r="CTC368" s="644">
        <v>2016</v>
      </c>
      <c r="CTD368" s="644">
        <v>2017</v>
      </c>
      <c r="CTE368" s="645">
        <v>2018</v>
      </c>
      <c r="CTF368" s="646">
        <v>2019</v>
      </c>
      <c r="CTG368" s="647">
        <v>2020</v>
      </c>
      <c r="CTH368" s="153"/>
      <c r="CTI368" s="153"/>
      <c r="CTJ368" s="153"/>
      <c r="CTK368" s="648"/>
      <c r="CTL368" s="641"/>
      <c r="CTM368" s="642" t="s">
        <v>1841</v>
      </c>
      <c r="CTN368" s="643"/>
      <c r="CTO368" s="644"/>
      <c r="CTP368" s="644">
        <v>2013</v>
      </c>
      <c r="CTQ368" s="644">
        <v>2014</v>
      </c>
      <c r="CTR368" s="644">
        <v>2015</v>
      </c>
      <c r="CTS368" s="644">
        <v>2016</v>
      </c>
      <c r="CTT368" s="644">
        <v>2017</v>
      </c>
      <c r="CTU368" s="645">
        <v>2018</v>
      </c>
      <c r="CTV368" s="646">
        <v>2019</v>
      </c>
      <c r="CTW368" s="647">
        <v>2020</v>
      </c>
      <c r="CTX368" s="153"/>
      <c r="CTY368" s="153"/>
      <c r="CTZ368" s="153"/>
      <c r="CUA368" s="648"/>
      <c r="CUB368" s="641"/>
      <c r="CUC368" s="642" t="s">
        <v>1841</v>
      </c>
      <c r="CUD368" s="643"/>
      <c r="CUE368" s="644"/>
      <c r="CUF368" s="644">
        <v>2013</v>
      </c>
      <c r="CUG368" s="644">
        <v>2014</v>
      </c>
      <c r="CUH368" s="644">
        <v>2015</v>
      </c>
      <c r="CUI368" s="644">
        <v>2016</v>
      </c>
      <c r="CUJ368" s="644">
        <v>2017</v>
      </c>
      <c r="CUK368" s="645">
        <v>2018</v>
      </c>
      <c r="CUL368" s="646">
        <v>2019</v>
      </c>
      <c r="CUM368" s="647">
        <v>2020</v>
      </c>
      <c r="CUN368" s="153"/>
      <c r="CUO368" s="153"/>
      <c r="CUP368" s="153"/>
      <c r="CUQ368" s="648"/>
      <c r="CUR368" s="641"/>
      <c r="CUS368" s="642" t="s">
        <v>1841</v>
      </c>
      <c r="CUT368" s="643"/>
      <c r="CUU368" s="644"/>
      <c r="CUV368" s="644">
        <v>2013</v>
      </c>
      <c r="CUW368" s="644">
        <v>2014</v>
      </c>
      <c r="CUX368" s="644">
        <v>2015</v>
      </c>
      <c r="CUY368" s="644">
        <v>2016</v>
      </c>
      <c r="CUZ368" s="644">
        <v>2017</v>
      </c>
      <c r="CVA368" s="645">
        <v>2018</v>
      </c>
      <c r="CVB368" s="646">
        <v>2019</v>
      </c>
      <c r="CVC368" s="647">
        <v>2020</v>
      </c>
      <c r="CVD368" s="153"/>
      <c r="CVE368" s="153"/>
      <c r="CVF368" s="153"/>
      <c r="CVG368" s="648"/>
      <c r="CVH368" s="641"/>
      <c r="CVI368" s="642" t="s">
        <v>1841</v>
      </c>
      <c r="CVJ368" s="643"/>
      <c r="CVK368" s="644"/>
      <c r="CVL368" s="644">
        <v>2013</v>
      </c>
      <c r="CVM368" s="644">
        <v>2014</v>
      </c>
      <c r="CVN368" s="644">
        <v>2015</v>
      </c>
      <c r="CVO368" s="644">
        <v>2016</v>
      </c>
      <c r="CVP368" s="644">
        <v>2017</v>
      </c>
      <c r="CVQ368" s="645">
        <v>2018</v>
      </c>
      <c r="CVR368" s="646">
        <v>2019</v>
      </c>
      <c r="CVS368" s="647">
        <v>2020</v>
      </c>
      <c r="CVT368" s="153"/>
      <c r="CVU368" s="153"/>
      <c r="CVV368" s="153"/>
      <c r="CVW368" s="648"/>
      <c r="CVX368" s="641"/>
      <c r="CVY368" s="642" t="s">
        <v>1841</v>
      </c>
      <c r="CVZ368" s="643"/>
      <c r="CWA368" s="644"/>
      <c r="CWB368" s="644">
        <v>2013</v>
      </c>
      <c r="CWC368" s="644">
        <v>2014</v>
      </c>
      <c r="CWD368" s="644">
        <v>2015</v>
      </c>
      <c r="CWE368" s="644">
        <v>2016</v>
      </c>
      <c r="CWF368" s="644">
        <v>2017</v>
      </c>
      <c r="CWG368" s="645">
        <v>2018</v>
      </c>
      <c r="CWH368" s="646">
        <v>2019</v>
      </c>
      <c r="CWI368" s="647">
        <v>2020</v>
      </c>
      <c r="CWJ368" s="153"/>
      <c r="CWK368" s="153"/>
      <c r="CWL368" s="153"/>
      <c r="CWM368" s="648"/>
      <c r="CWN368" s="641"/>
      <c r="CWO368" s="642" t="s">
        <v>1841</v>
      </c>
      <c r="CWP368" s="643"/>
      <c r="CWQ368" s="644"/>
      <c r="CWR368" s="644">
        <v>2013</v>
      </c>
      <c r="CWS368" s="644">
        <v>2014</v>
      </c>
      <c r="CWT368" s="644">
        <v>2015</v>
      </c>
      <c r="CWU368" s="644">
        <v>2016</v>
      </c>
      <c r="CWV368" s="644">
        <v>2017</v>
      </c>
      <c r="CWW368" s="645">
        <v>2018</v>
      </c>
      <c r="CWX368" s="646">
        <v>2019</v>
      </c>
      <c r="CWY368" s="647">
        <v>2020</v>
      </c>
      <c r="CWZ368" s="153"/>
      <c r="CXA368" s="153"/>
      <c r="CXB368" s="153"/>
      <c r="CXC368" s="648"/>
      <c r="CXD368" s="641"/>
      <c r="CXE368" s="642" t="s">
        <v>1841</v>
      </c>
      <c r="CXF368" s="643"/>
      <c r="CXG368" s="644"/>
      <c r="CXH368" s="644">
        <v>2013</v>
      </c>
      <c r="CXI368" s="644">
        <v>2014</v>
      </c>
      <c r="CXJ368" s="644">
        <v>2015</v>
      </c>
      <c r="CXK368" s="644">
        <v>2016</v>
      </c>
      <c r="CXL368" s="644">
        <v>2017</v>
      </c>
      <c r="CXM368" s="645">
        <v>2018</v>
      </c>
      <c r="CXN368" s="646">
        <v>2019</v>
      </c>
      <c r="CXO368" s="647">
        <v>2020</v>
      </c>
      <c r="CXP368" s="153"/>
      <c r="CXQ368" s="153"/>
      <c r="CXR368" s="153"/>
      <c r="CXS368" s="648"/>
      <c r="CXT368" s="641"/>
      <c r="CXU368" s="642" t="s">
        <v>1841</v>
      </c>
      <c r="CXV368" s="643"/>
      <c r="CXW368" s="644"/>
      <c r="CXX368" s="644">
        <v>2013</v>
      </c>
      <c r="CXY368" s="644">
        <v>2014</v>
      </c>
      <c r="CXZ368" s="644">
        <v>2015</v>
      </c>
      <c r="CYA368" s="644">
        <v>2016</v>
      </c>
      <c r="CYB368" s="644">
        <v>2017</v>
      </c>
      <c r="CYC368" s="645">
        <v>2018</v>
      </c>
      <c r="CYD368" s="646">
        <v>2019</v>
      </c>
      <c r="CYE368" s="647">
        <v>2020</v>
      </c>
      <c r="CYF368" s="153"/>
      <c r="CYG368" s="153"/>
      <c r="CYH368" s="153"/>
      <c r="CYI368" s="648"/>
      <c r="CYJ368" s="641"/>
      <c r="CYK368" s="642" t="s">
        <v>1841</v>
      </c>
      <c r="CYL368" s="643"/>
      <c r="CYM368" s="644"/>
      <c r="CYN368" s="644">
        <v>2013</v>
      </c>
      <c r="CYO368" s="644">
        <v>2014</v>
      </c>
      <c r="CYP368" s="644">
        <v>2015</v>
      </c>
      <c r="CYQ368" s="644">
        <v>2016</v>
      </c>
      <c r="CYR368" s="644">
        <v>2017</v>
      </c>
      <c r="CYS368" s="645">
        <v>2018</v>
      </c>
      <c r="CYT368" s="646">
        <v>2019</v>
      </c>
      <c r="CYU368" s="647">
        <v>2020</v>
      </c>
      <c r="CYV368" s="153"/>
      <c r="CYW368" s="153"/>
      <c r="CYX368" s="153"/>
      <c r="CYY368" s="648"/>
      <c r="CYZ368" s="641"/>
      <c r="CZA368" s="642" t="s">
        <v>1841</v>
      </c>
      <c r="CZB368" s="643"/>
      <c r="CZC368" s="644"/>
      <c r="CZD368" s="644">
        <v>2013</v>
      </c>
      <c r="CZE368" s="644">
        <v>2014</v>
      </c>
      <c r="CZF368" s="644">
        <v>2015</v>
      </c>
      <c r="CZG368" s="644">
        <v>2016</v>
      </c>
      <c r="CZH368" s="644">
        <v>2017</v>
      </c>
      <c r="CZI368" s="645">
        <v>2018</v>
      </c>
      <c r="CZJ368" s="646">
        <v>2019</v>
      </c>
      <c r="CZK368" s="647">
        <v>2020</v>
      </c>
      <c r="CZL368" s="153"/>
      <c r="CZM368" s="153"/>
      <c r="CZN368" s="153"/>
      <c r="CZO368" s="648"/>
      <c r="CZP368" s="641"/>
      <c r="CZQ368" s="642" t="s">
        <v>1841</v>
      </c>
      <c r="CZR368" s="643"/>
      <c r="CZS368" s="644"/>
      <c r="CZT368" s="644">
        <v>2013</v>
      </c>
      <c r="CZU368" s="644">
        <v>2014</v>
      </c>
      <c r="CZV368" s="644">
        <v>2015</v>
      </c>
      <c r="CZW368" s="644">
        <v>2016</v>
      </c>
      <c r="CZX368" s="644">
        <v>2017</v>
      </c>
      <c r="CZY368" s="645">
        <v>2018</v>
      </c>
      <c r="CZZ368" s="646">
        <v>2019</v>
      </c>
      <c r="DAA368" s="647">
        <v>2020</v>
      </c>
      <c r="DAB368" s="153"/>
      <c r="DAC368" s="153"/>
      <c r="DAD368" s="153"/>
      <c r="DAE368" s="648"/>
      <c r="DAF368" s="641"/>
      <c r="DAG368" s="642" t="s">
        <v>1841</v>
      </c>
      <c r="DAH368" s="643"/>
      <c r="DAI368" s="644"/>
      <c r="DAJ368" s="644">
        <v>2013</v>
      </c>
      <c r="DAK368" s="644">
        <v>2014</v>
      </c>
      <c r="DAL368" s="644">
        <v>2015</v>
      </c>
      <c r="DAM368" s="644">
        <v>2016</v>
      </c>
      <c r="DAN368" s="644">
        <v>2017</v>
      </c>
      <c r="DAO368" s="645">
        <v>2018</v>
      </c>
      <c r="DAP368" s="646">
        <v>2019</v>
      </c>
      <c r="DAQ368" s="647">
        <v>2020</v>
      </c>
      <c r="DAR368" s="153"/>
      <c r="DAS368" s="153"/>
      <c r="DAT368" s="153"/>
      <c r="DAU368" s="648"/>
      <c r="DAV368" s="641"/>
      <c r="DAW368" s="642" t="s">
        <v>1841</v>
      </c>
      <c r="DAX368" s="643"/>
      <c r="DAY368" s="644"/>
      <c r="DAZ368" s="644">
        <v>2013</v>
      </c>
      <c r="DBA368" s="644">
        <v>2014</v>
      </c>
      <c r="DBB368" s="644">
        <v>2015</v>
      </c>
      <c r="DBC368" s="644">
        <v>2016</v>
      </c>
      <c r="DBD368" s="644">
        <v>2017</v>
      </c>
      <c r="DBE368" s="645">
        <v>2018</v>
      </c>
      <c r="DBF368" s="646">
        <v>2019</v>
      </c>
      <c r="DBG368" s="647">
        <v>2020</v>
      </c>
      <c r="DBH368" s="153"/>
      <c r="DBI368" s="153"/>
      <c r="DBJ368" s="153"/>
      <c r="DBK368" s="648"/>
      <c r="DBL368" s="641"/>
      <c r="DBM368" s="642" t="s">
        <v>1841</v>
      </c>
      <c r="DBN368" s="643"/>
      <c r="DBO368" s="644"/>
      <c r="DBP368" s="644">
        <v>2013</v>
      </c>
      <c r="DBQ368" s="644">
        <v>2014</v>
      </c>
      <c r="DBR368" s="644">
        <v>2015</v>
      </c>
      <c r="DBS368" s="644">
        <v>2016</v>
      </c>
      <c r="DBT368" s="644">
        <v>2017</v>
      </c>
      <c r="DBU368" s="645">
        <v>2018</v>
      </c>
      <c r="DBV368" s="646">
        <v>2019</v>
      </c>
      <c r="DBW368" s="647">
        <v>2020</v>
      </c>
      <c r="DBX368" s="153"/>
      <c r="DBY368" s="153"/>
      <c r="DBZ368" s="153"/>
      <c r="DCA368" s="648"/>
      <c r="DCB368" s="641"/>
      <c r="DCC368" s="642" t="s">
        <v>1841</v>
      </c>
      <c r="DCD368" s="643"/>
      <c r="DCE368" s="644"/>
      <c r="DCF368" s="644">
        <v>2013</v>
      </c>
      <c r="DCG368" s="644">
        <v>2014</v>
      </c>
      <c r="DCH368" s="644">
        <v>2015</v>
      </c>
      <c r="DCI368" s="644">
        <v>2016</v>
      </c>
      <c r="DCJ368" s="644">
        <v>2017</v>
      </c>
      <c r="DCK368" s="645">
        <v>2018</v>
      </c>
      <c r="DCL368" s="646">
        <v>2019</v>
      </c>
      <c r="DCM368" s="647">
        <v>2020</v>
      </c>
      <c r="DCN368" s="153"/>
      <c r="DCO368" s="153"/>
      <c r="DCP368" s="153"/>
      <c r="DCQ368" s="648"/>
      <c r="DCR368" s="641"/>
      <c r="DCS368" s="642" t="s">
        <v>1841</v>
      </c>
      <c r="DCT368" s="643"/>
      <c r="DCU368" s="644"/>
      <c r="DCV368" s="644">
        <v>2013</v>
      </c>
      <c r="DCW368" s="644">
        <v>2014</v>
      </c>
      <c r="DCX368" s="644">
        <v>2015</v>
      </c>
      <c r="DCY368" s="644">
        <v>2016</v>
      </c>
      <c r="DCZ368" s="644">
        <v>2017</v>
      </c>
      <c r="DDA368" s="645">
        <v>2018</v>
      </c>
      <c r="DDB368" s="646">
        <v>2019</v>
      </c>
      <c r="DDC368" s="647">
        <v>2020</v>
      </c>
      <c r="DDD368" s="153"/>
      <c r="DDE368" s="153"/>
      <c r="DDF368" s="153"/>
      <c r="DDG368" s="648"/>
      <c r="DDH368" s="641"/>
      <c r="DDI368" s="642" t="s">
        <v>1841</v>
      </c>
      <c r="DDJ368" s="643"/>
      <c r="DDK368" s="644"/>
      <c r="DDL368" s="644">
        <v>2013</v>
      </c>
      <c r="DDM368" s="644">
        <v>2014</v>
      </c>
      <c r="DDN368" s="644">
        <v>2015</v>
      </c>
      <c r="DDO368" s="644">
        <v>2016</v>
      </c>
      <c r="DDP368" s="644">
        <v>2017</v>
      </c>
      <c r="DDQ368" s="645">
        <v>2018</v>
      </c>
      <c r="DDR368" s="646">
        <v>2019</v>
      </c>
      <c r="DDS368" s="647">
        <v>2020</v>
      </c>
      <c r="DDT368" s="153"/>
      <c r="DDU368" s="153"/>
      <c r="DDV368" s="153"/>
      <c r="DDW368" s="648"/>
      <c r="DDX368" s="641"/>
      <c r="DDY368" s="642" t="s">
        <v>1841</v>
      </c>
      <c r="DDZ368" s="643"/>
      <c r="DEA368" s="644"/>
      <c r="DEB368" s="644">
        <v>2013</v>
      </c>
      <c r="DEC368" s="644">
        <v>2014</v>
      </c>
      <c r="DED368" s="644">
        <v>2015</v>
      </c>
      <c r="DEE368" s="644">
        <v>2016</v>
      </c>
      <c r="DEF368" s="644">
        <v>2017</v>
      </c>
      <c r="DEG368" s="645">
        <v>2018</v>
      </c>
      <c r="DEH368" s="646">
        <v>2019</v>
      </c>
      <c r="DEI368" s="647">
        <v>2020</v>
      </c>
      <c r="DEJ368" s="153"/>
      <c r="DEK368" s="153"/>
      <c r="DEL368" s="153"/>
      <c r="DEM368" s="648"/>
      <c r="DEN368" s="641"/>
      <c r="DEO368" s="642" t="s">
        <v>1841</v>
      </c>
      <c r="DEP368" s="643"/>
      <c r="DEQ368" s="644"/>
      <c r="DER368" s="644">
        <v>2013</v>
      </c>
      <c r="DES368" s="644">
        <v>2014</v>
      </c>
      <c r="DET368" s="644">
        <v>2015</v>
      </c>
      <c r="DEU368" s="644">
        <v>2016</v>
      </c>
      <c r="DEV368" s="644">
        <v>2017</v>
      </c>
      <c r="DEW368" s="645">
        <v>2018</v>
      </c>
      <c r="DEX368" s="646">
        <v>2019</v>
      </c>
      <c r="DEY368" s="647">
        <v>2020</v>
      </c>
      <c r="DEZ368" s="153"/>
      <c r="DFA368" s="153"/>
      <c r="DFB368" s="153"/>
      <c r="DFC368" s="648"/>
      <c r="DFD368" s="641"/>
      <c r="DFE368" s="642" t="s">
        <v>1841</v>
      </c>
      <c r="DFF368" s="643"/>
      <c r="DFG368" s="644"/>
      <c r="DFH368" s="644">
        <v>2013</v>
      </c>
      <c r="DFI368" s="644">
        <v>2014</v>
      </c>
      <c r="DFJ368" s="644">
        <v>2015</v>
      </c>
      <c r="DFK368" s="644">
        <v>2016</v>
      </c>
      <c r="DFL368" s="644">
        <v>2017</v>
      </c>
      <c r="DFM368" s="645">
        <v>2018</v>
      </c>
      <c r="DFN368" s="646">
        <v>2019</v>
      </c>
      <c r="DFO368" s="647">
        <v>2020</v>
      </c>
      <c r="DFP368" s="153"/>
      <c r="DFQ368" s="153"/>
      <c r="DFR368" s="153"/>
      <c r="DFS368" s="648"/>
      <c r="DFT368" s="641"/>
      <c r="DFU368" s="642" t="s">
        <v>1841</v>
      </c>
      <c r="DFV368" s="643"/>
      <c r="DFW368" s="644"/>
      <c r="DFX368" s="644">
        <v>2013</v>
      </c>
      <c r="DFY368" s="644">
        <v>2014</v>
      </c>
      <c r="DFZ368" s="644">
        <v>2015</v>
      </c>
      <c r="DGA368" s="644">
        <v>2016</v>
      </c>
      <c r="DGB368" s="644">
        <v>2017</v>
      </c>
      <c r="DGC368" s="645">
        <v>2018</v>
      </c>
      <c r="DGD368" s="646">
        <v>2019</v>
      </c>
      <c r="DGE368" s="647">
        <v>2020</v>
      </c>
      <c r="DGF368" s="153"/>
      <c r="DGG368" s="153"/>
      <c r="DGH368" s="153"/>
      <c r="DGI368" s="648"/>
      <c r="DGJ368" s="641"/>
      <c r="DGK368" s="642" t="s">
        <v>1841</v>
      </c>
      <c r="DGL368" s="643"/>
      <c r="DGM368" s="644"/>
      <c r="DGN368" s="644">
        <v>2013</v>
      </c>
      <c r="DGO368" s="644">
        <v>2014</v>
      </c>
      <c r="DGP368" s="644">
        <v>2015</v>
      </c>
      <c r="DGQ368" s="644">
        <v>2016</v>
      </c>
      <c r="DGR368" s="644">
        <v>2017</v>
      </c>
      <c r="DGS368" s="645">
        <v>2018</v>
      </c>
      <c r="DGT368" s="646">
        <v>2019</v>
      </c>
      <c r="DGU368" s="647">
        <v>2020</v>
      </c>
      <c r="DGV368" s="153"/>
      <c r="DGW368" s="153"/>
      <c r="DGX368" s="153"/>
      <c r="DGY368" s="648"/>
      <c r="DGZ368" s="641"/>
      <c r="DHA368" s="642" t="s">
        <v>1841</v>
      </c>
      <c r="DHB368" s="643"/>
      <c r="DHC368" s="644"/>
      <c r="DHD368" s="644">
        <v>2013</v>
      </c>
      <c r="DHE368" s="644">
        <v>2014</v>
      </c>
      <c r="DHF368" s="644">
        <v>2015</v>
      </c>
      <c r="DHG368" s="644">
        <v>2016</v>
      </c>
      <c r="DHH368" s="644">
        <v>2017</v>
      </c>
      <c r="DHI368" s="645">
        <v>2018</v>
      </c>
      <c r="DHJ368" s="646">
        <v>2019</v>
      </c>
      <c r="DHK368" s="647">
        <v>2020</v>
      </c>
      <c r="DHL368" s="153"/>
      <c r="DHM368" s="153"/>
      <c r="DHN368" s="153"/>
      <c r="DHO368" s="648"/>
      <c r="DHP368" s="641"/>
      <c r="DHQ368" s="642" t="s">
        <v>1841</v>
      </c>
      <c r="DHR368" s="643"/>
      <c r="DHS368" s="644"/>
      <c r="DHT368" s="644">
        <v>2013</v>
      </c>
      <c r="DHU368" s="644">
        <v>2014</v>
      </c>
      <c r="DHV368" s="644">
        <v>2015</v>
      </c>
      <c r="DHW368" s="644">
        <v>2016</v>
      </c>
      <c r="DHX368" s="644">
        <v>2017</v>
      </c>
      <c r="DHY368" s="645">
        <v>2018</v>
      </c>
      <c r="DHZ368" s="646">
        <v>2019</v>
      </c>
      <c r="DIA368" s="647">
        <v>2020</v>
      </c>
      <c r="DIB368" s="153"/>
      <c r="DIC368" s="153"/>
      <c r="DID368" s="153"/>
      <c r="DIE368" s="648"/>
      <c r="DIF368" s="641"/>
      <c r="DIG368" s="642" t="s">
        <v>1841</v>
      </c>
      <c r="DIH368" s="643"/>
      <c r="DII368" s="644"/>
      <c r="DIJ368" s="644">
        <v>2013</v>
      </c>
      <c r="DIK368" s="644">
        <v>2014</v>
      </c>
      <c r="DIL368" s="644">
        <v>2015</v>
      </c>
      <c r="DIM368" s="644">
        <v>2016</v>
      </c>
      <c r="DIN368" s="644">
        <v>2017</v>
      </c>
      <c r="DIO368" s="645">
        <v>2018</v>
      </c>
      <c r="DIP368" s="646">
        <v>2019</v>
      </c>
      <c r="DIQ368" s="647">
        <v>2020</v>
      </c>
      <c r="DIR368" s="153"/>
      <c r="DIS368" s="153"/>
      <c r="DIT368" s="153"/>
      <c r="DIU368" s="648"/>
      <c r="DIV368" s="641"/>
      <c r="DIW368" s="642" t="s">
        <v>1841</v>
      </c>
      <c r="DIX368" s="643"/>
      <c r="DIY368" s="644"/>
      <c r="DIZ368" s="644">
        <v>2013</v>
      </c>
      <c r="DJA368" s="644">
        <v>2014</v>
      </c>
      <c r="DJB368" s="644">
        <v>2015</v>
      </c>
      <c r="DJC368" s="644">
        <v>2016</v>
      </c>
      <c r="DJD368" s="644">
        <v>2017</v>
      </c>
      <c r="DJE368" s="645">
        <v>2018</v>
      </c>
      <c r="DJF368" s="646">
        <v>2019</v>
      </c>
      <c r="DJG368" s="647">
        <v>2020</v>
      </c>
      <c r="DJH368" s="153"/>
      <c r="DJI368" s="153"/>
      <c r="DJJ368" s="153"/>
      <c r="DJK368" s="648"/>
      <c r="DJL368" s="641"/>
      <c r="DJM368" s="642" t="s">
        <v>1841</v>
      </c>
      <c r="DJN368" s="643"/>
      <c r="DJO368" s="644"/>
      <c r="DJP368" s="644">
        <v>2013</v>
      </c>
      <c r="DJQ368" s="644">
        <v>2014</v>
      </c>
      <c r="DJR368" s="644">
        <v>2015</v>
      </c>
      <c r="DJS368" s="644">
        <v>2016</v>
      </c>
      <c r="DJT368" s="644">
        <v>2017</v>
      </c>
      <c r="DJU368" s="645">
        <v>2018</v>
      </c>
      <c r="DJV368" s="646">
        <v>2019</v>
      </c>
      <c r="DJW368" s="647">
        <v>2020</v>
      </c>
      <c r="DJX368" s="153"/>
      <c r="DJY368" s="153"/>
      <c r="DJZ368" s="153"/>
      <c r="DKA368" s="648"/>
      <c r="DKB368" s="641"/>
      <c r="DKC368" s="642" t="s">
        <v>1841</v>
      </c>
      <c r="DKD368" s="643"/>
      <c r="DKE368" s="644"/>
      <c r="DKF368" s="644">
        <v>2013</v>
      </c>
      <c r="DKG368" s="644">
        <v>2014</v>
      </c>
      <c r="DKH368" s="644">
        <v>2015</v>
      </c>
      <c r="DKI368" s="644">
        <v>2016</v>
      </c>
      <c r="DKJ368" s="644">
        <v>2017</v>
      </c>
      <c r="DKK368" s="645">
        <v>2018</v>
      </c>
      <c r="DKL368" s="646">
        <v>2019</v>
      </c>
      <c r="DKM368" s="647">
        <v>2020</v>
      </c>
      <c r="DKN368" s="153"/>
      <c r="DKO368" s="153"/>
      <c r="DKP368" s="153"/>
      <c r="DKQ368" s="648"/>
      <c r="DKR368" s="641"/>
      <c r="DKS368" s="642" t="s">
        <v>1841</v>
      </c>
      <c r="DKT368" s="643"/>
      <c r="DKU368" s="644"/>
      <c r="DKV368" s="644">
        <v>2013</v>
      </c>
      <c r="DKW368" s="644">
        <v>2014</v>
      </c>
      <c r="DKX368" s="644">
        <v>2015</v>
      </c>
      <c r="DKY368" s="644">
        <v>2016</v>
      </c>
      <c r="DKZ368" s="644">
        <v>2017</v>
      </c>
      <c r="DLA368" s="645">
        <v>2018</v>
      </c>
      <c r="DLB368" s="646">
        <v>2019</v>
      </c>
      <c r="DLC368" s="647">
        <v>2020</v>
      </c>
      <c r="DLD368" s="153"/>
      <c r="DLE368" s="153"/>
      <c r="DLF368" s="153"/>
      <c r="DLG368" s="648"/>
      <c r="DLH368" s="641"/>
      <c r="DLI368" s="642" t="s">
        <v>1841</v>
      </c>
      <c r="DLJ368" s="643"/>
      <c r="DLK368" s="644"/>
      <c r="DLL368" s="644">
        <v>2013</v>
      </c>
      <c r="DLM368" s="644">
        <v>2014</v>
      </c>
      <c r="DLN368" s="644">
        <v>2015</v>
      </c>
      <c r="DLO368" s="644">
        <v>2016</v>
      </c>
      <c r="DLP368" s="644">
        <v>2017</v>
      </c>
      <c r="DLQ368" s="645">
        <v>2018</v>
      </c>
      <c r="DLR368" s="646">
        <v>2019</v>
      </c>
      <c r="DLS368" s="647">
        <v>2020</v>
      </c>
      <c r="DLT368" s="153"/>
      <c r="DLU368" s="153"/>
      <c r="DLV368" s="153"/>
      <c r="DLW368" s="648"/>
      <c r="DLX368" s="641"/>
      <c r="DLY368" s="642" t="s">
        <v>1841</v>
      </c>
      <c r="DLZ368" s="643"/>
      <c r="DMA368" s="644"/>
      <c r="DMB368" s="644">
        <v>2013</v>
      </c>
      <c r="DMC368" s="644">
        <v>2014</v>
      </c>
      <c r="DMD368" s="644">
        <v>2015</v>
      </c>
      <c r="DME368" s="644">
        <v>2016</v>
      </c>
      <c r="DMF368" s="644">
        <v>2017</v>
      </c>
      <c r="DMG368" s="645">
        <v>2018</v>
      </c>
      <c r="DMH368" s="646">
        <v>2019</v>
      </c>
      <c r="DMI368" s="647">
        <v>2020</v>
      </c>
      <c r="DMJ368" s="153"/>
      <c r="DMK368" s="153"/>
      <c r="DML368" s="153"/>
      <c r="DMM368" s="648"/>
      <c r="DMN368" s="641"/>
      <c r="DMO368" s="642" t="s">
        <v>1841</v>
      </c>
      <c r="DMP368" s="643"/>
      <c r="DMQ368" s="644"/>
      <c r="DMR368" s="644">
        <v>2013</v>
      </c>
      <c r="DMS368" s="644">
        <v>2014</v>
      </c>
      <c r="DMT368" s="644">
        <v>2015</v>
      </c>
      <c r="DMU368" s="644">
        <v>2016</v>
      </c>
      <c r="DMV368" s="644">
        <v>2017</v>
      </c>
      <c r="DMW368" s="645">
        <v>2018</v>
      </c>
      <c r="DMX368" s="646">
        <v>2019</v>
      </c>
      <c r="DMY368" s="647">
        <v>2020</v>
      </c>
      <c r="DMZ368" s="153"/>
      <c r="DNA368" s="153"/>
      <c r="DNB368" s="153"/>
      <c r="DNC368" s="648"/>
      <c r="DND368" s="641"/>
      <c r="DNE368" s="642" t="s">
        <v>1841</v>
      </c>
      <c r="DNF368" s="643"/>
      <c r="DNG368" s="644"/>
      <c r="DNH368" s="644">
        <v>2013</v>
      </c>
      <c r="DNI368" s="644">
        <v>2014</v>
      </c>
      <c r="DNJ368" s="644">
        <v>2015</v>
      </c>
      <c r="DNK368" s="644">
        <v>2016</v>
      </c>
      <c r="DNL368" s="644">
        <v>2017</v>
      </c>
      <c r="DNM368" s="645">
        <v>2018</v>
      </c>
      <c r="DNN368" s="646">
        <v>2019</v>
      </c>
      <c r="DNO368" s="647">
        <v>2020</v>
      </c>
      <c r="DNP368" s="153"/>
      <c r="DNQ368" s="153"/>
      <c r="DNR368" s="153"/>
      <c r="DNS368" s="648"/>
      <c r="DNT368" s="641"/>
      <c r="DNU368" s="642" t="s">
        <v>1841</v>
      </c>
      <c r="DNV368" s="643"/>
      <c r="DNW368" s="644"/>
      <c r="DNX368" s="644">
        <v>2013</v>
      </c>
      <c r="DNY368" s="644">
        <v>2014</v>
      </c>
      <c r="DNZ368" s="644">
        <v>2015</v>
      </c>
      <c r="DOA368" s="644">
        <v>2016</v>
      </c>
      <c r="DOB368" s="644">
        <v>2017</v>
      </c>
      <c r="DOC368" s="645">
        <v>2018</v>
      </c>
      <c r="DOD368" s="646">
        <v>2019</v>
      </c>
      <c r="DOE368" s="647">
        <v>2020</v>
      </c>
      <c r="DOF368" s="153"/>
      <c r="DOG368" s="153"/>
      <c r="DOH368" s="153"/>
      <c r="DOI368" s="648"/>
      <c r="DOJ368" s="641"/>
      <c r="DOK368" s="642" t="s">
        <v>1841</v>
      </c>
      <c r="DOL368" s="643"/>
      <c r="DOM368" s="644"/>
      <c r="DON368" s="644">
        <v>2013</v>
      </c>
      <c r="DOO368" s="644">
        <v>2014</v>
      </c>
      <c r="DOP368" s="644">
        <v>2015</v>
      </c>
      <c r="DOQ368" s="644">
        <v>2016</v>
      </c>
      <c r="DOR368" s="644">
        <v>2017</v>
      </c>
      <c r="DOS368" s="645">
        <v>2018</v>
      </c>
      <c r="DOT368" s="646">
        <v>2019</v>
      </c>
      <c r="DOU368" s="647">
        <v>2020</v>
      </c>
      <c r="DOV368" s="153"/>
      <c r="DOW368" s="153"/>
      <c r="DOX368" s="153"/>
      <c r="DOY368" s="648"/>
      <c r="DOZ368" s="641"/>
      <c r="DPA368" s="642" t="s">
        <v>1841</v>
      </c>
      <c r="DPB368" s="643"/>
      <c r="DPC368" s="644"/>
      <c r="DPD368" s="644">
        <v>2013</v>
      </c>
      <c r="DPE368" s="644">
        <v>2014</v>
      </c>
      <c r="DPF368" s="644">
        <v>2015</v>
      </c>
      <c r="DPG368" s="644">
        <v>2016</v>
      </c>
      <c r="DPH368" s="644">
        <v>2017</v>
      </c>
      <c r="DPI368" s="645">
        <v>2018</v>
      </c>
      <c r="DPJ368" s="646">
        <v>2019</v>
      </c>
      <c r="DPK368" s="647">
        <v>2020</v>
      </c>
      <c r="DPL368" s="153"/>
      <c r="DPM368" s="153"/>
      <c r="DPN368" s="153"/>
      <c r="DPO368" s="648"/>
      <c r="DPP368" s="641"/>
      <c r="DPQ368" s="642" t="s">
        <v>1841</v>
      </c>
      <c r="DPR368" s="643"/>
      <c r="DPS368" s="644"/>
      <c r="DPT368" s="644">
        <v>2013</v>
      </c>
      <c r="DPU368" s="644">
        <v>2014</v>
      </c>
      <c r="DPV368" s="644">
        <v>2015</v>
      </c>
      <c r="DPW368" s="644">
        <v>2016</v>
      </c>
      <c r="DPX368" s="644">
        <v>2017</v>
      </c>
      <c r="DPY368" s="645">
        <v>2018</v>
      </c>
      <c r="DPZ368" s="646">
        <v>2019</v>
      </c>
      <c r="DQA368" s="647">
        <v>2020</v>
      </c>
      <c r="DQB368" s="153"/>
      <c r="DQC368" s="153"/>
      <c r="DQD368" s="153"/>
      <c r="DQE368" s="648"/>
      <c r="DQF368" s="641"/>
      <c r="DQG368" s="642" t="s">
        <v>1841</v>
      </c>
      <c r="DQH368" s="643"/>
      <c r="DQI368" s="644"/>
      <c r="DQJ368" s="644">
        <v>2013</v>
      </c>
      <c r="DQK368" s="644">
        <v>2014</v>
      </c>
      <c r="DQL368" s="644">
        <v>2015</v>
      </c>
      <c r="DQM368" s="644">
        <v>2016</v>
      </c>
      <c r="DQN368" s="644">
        <v>2017</v>
      </c>
      <c r="DQO368" s="645">
        <v>2018</v>
      </c>
      <c r="DQP368" s="646">
        <v>2019</v>
      </c>
      <c r="DQQ368" s="647">
        <v>2020</v>
      </c>
      <c r="DQR368" s="153"/>
      <c r="DQS368" s="153"/>
      <c r="DQT368" s="153"/>
      <c r="DQU368" s="648"/>
      <c r="DQV368" s="641"/>
      <c r="DQW368" s="642" t="s">
        <v>1841</v>
      </c>
      <c r="DQX368" s="643"/>
      <c r="DQY368" s="644"/>
      <c r="DQZ368" s="644">
        <v>2013</v>
      </c>
      <c r="DRA368" s="644">
        <v>2014</v>
      </c>
      <c r="DRB368" s="644">
        <v>2015</v>
      </c>
      <c r="DRC368" s="644">
        <v>2016</v>
      </c>
      <c r="DRD368" s="644">
        <v>2017</v>
      </c>
      <c r="DRE368" s="645">
        <v>2018</v>
      </c>
      <c r="DRF368" s="646">
        <v>2019</v>
      </c>
      <c r="DRG368" s="647">
        <v>2020</v>
      </c>
      <c r="DRH368" s="153"/>
      <c r="DRI368" s="153"/>
      <c r="DRJ368" s="153"/>
      <c r="DRK368" s="648"/>
      <c r="DRL368" s="641"/>
      <c r="DRM368" s="642" t="s">
        <v>1841</v>
      </c>
      <c r="DRN368" s="643"/>
      <c r="DRO368" s="644"/>
      <c r="DRP368" s="644">
        <v>2013</v>
      </c>
      <c r="DRQ368" s="644">
        <v>2014</v>
      </c>
      <c r="DRR368" s="644">
        <v>2015</v>
      </c>
      <c r="DRS368" s="644">
        <v>2016</v>
      </c>
      <c r="DRT368" s="644">
        <v>2017</v>
      </c>
      <c r="DRU368" s="645">
        <v>2018</v>
      </c>
      <c r="DRV368" s="646">
        <v>2019</v>
      </c>
      <c r="DRW368" s="647">
        <v>2020</v>
      </c>
      <c r="DRX368" s="153"/>
      <c r="DRY368" s="153"/>
      <c r="DRZ368" s="153"/>
      <c r="DSA368" s="648"/>
      <c r="DSB368" s="641"/>
      <c r="DSC368" s="642" t="s">
        <v>1841</v>
      </c>
      <c r="DSD368" s="643"/>
      <c r="DSE368" s="644"/>
      <c r="DSF368" s="644">
        <v>2013</v>
      </c>
      <c r="DSG368" s="644">
        <v>2014</v>
      </c>
      <c r="DSH368" s="644">
        <v>2015</v>
      </c>
      <c r="DSI368" s="644">
        <v>2016</v>
      </c>
      <c r="DSJ368" s="644">
        <v>2017</v>
      </c>
      <c r="DSK368" s="645">
        <v>2018</v>
      </c>
      <c r="DSL368" s="646">
        <v>2019</v>
      </c>
      <c r="DSM368" s="647">
        <v>2020</v>
      </c>
      <c r="DSN368" s="153"/>
      <c r="DSO368" s="153"/>
      <c r="DSP368" s="153"/>
      <c r="DSQ368" s="648"/>
      <c r="DSR368" s="641"/>
      <c r="DSS368" s="642" t="s">
        <v>1841</v>
      </c>
      <c r="DST368" s="643"/>
      <c r="DSU368" s="644"/>
      <c r="DSV368" s="644">
        <v>2013</v>
      </c>
      <c r="DSW368" s="644">
        <v>2014</v>
      </c>
      <c r="DSX368" s="644">
        <v>2015</v>
      </c>
      <c r="DSY368" s="644">
        <v>2016</v>
      </c>
      <c r="DSZ368" s="644">
        <v>2017</v>
      </c>
      <c r="DTA368" s="645">
        <v>2018</v>
      </c>
      <c r="DTB368" s="646">
        <v>2019</v>
      </c>
      <c r="DTC368" s="647">
        <v>2020</v>
      </c>
      <c r="DTD368" s="153"/>
      <c r="DTE368" s="153"/>
      <c r="DTF368" s="153"/>
      <c r="DTG368" s="648"/>
      <c r="DTH368" s="641"/>
      <c r="DTI368" s="642" t="s">
        <v>1841</v>
      </c>
      <c r="DTJ368" s="643"/>
      <c r="DTK368" s="644"/>
      <c r="DTL368" s="644">
        <v>2013</v>
      </c>
      <c r="DTM368" s="644">
        <v>2014</v>
      </c>
      <c r="DTN368" s="644">
        <v>2015</v>
      </c>
      <c r="DTO368" s="644">
        <v>2016</v>
      </c>
      <c r="DTP368" s="644">
        <v>2017</v>
      </c>
      <c r="DTQ368" s="645">
        <v>2018</v>
      </c>
      <c r="DTR368" s="646">
        <v>2019</v>
      </c>
      <c r="DTS368" s="647">
        <v>2020</v>
      </c>
      <c r="DTT368" s="153"/>
      <c r="DTU368" s="153"/>
      <c r="DTV368" s="153"/>
      <c r="DTW368" s="648"/>
      <c r="DTX368" s="641"/>
      <c r="DTY368" s="642" t="s">
        <v>1841</v>
      </c>
      <c r="DTZ368" s="643"/>
      <c r="DUA368" s="644"/>
      <c r="DUB368" s="644">
        <v>2013</v>
      </c>
      <c r="DUC368" s="644">
        <v>2014</v>
      </c>
      <c r="DUD368" s="644">
        <v>2015</v>
      </c>
      <c r="DUE368" s="644">
        <v>2016</v>
      </c>
      <c r="DUF368" s="644">
        <v>2017</v>
      </c>
      <c r="DUG368" s="645">
        <v>2018</v>
      </c>
      <c r="DUH368" s="646">
        <v>2019</v>
      </c>
      <c r="DUI368" s="647">
        <v>2020</v>
      </c>
      <c r="DUJ368" s="153"/>
      <c r="DUK368" s="153"/>
      <c r="DUL368" s="153"/>
      <c r="DUM368" s="648"/>
      <c r="DUN368" s="641"/>
      <c r="DUO368" s="642" t="s">
        <v>1841</v>
      </c>
      <c r="DUP368" s="643"/>
      <c r="DUQ368" s="644"/>
      <c r="DUR368" s="644">
        <v>2013</v>
      </c>
      <c r="DUS368" s="644">
        <v>2014</v>
      </c>
      <c r="DUT368" s="644">
        <v>2015</v>
      </c>
      <c r="DUU368" s="644">
        <v>2016</v>
      </c>
      <c r="DUV368" s="644">
        <v>2017</v>
      </c>
      <c r="DUW368" s="645">
        <v>2018</v>
      </c>
      <c r="DUX368" s="646">
        <v>2019</v>
      </c>
      <c r="DUY368" s="647">
        <v>2020</v>
      </c>
      <c r="DUZ368" s="153"/>
      <c r="DVA368" s="153"/>
      <c r="DVB368" s="153"/>
      <c r="DVC368" s="648"/>
      <c r="DVD368" s="641"/>
      <c r="DVE368" s="642" t="s">
        <v>1841</v>
      </c>
      <c r="DVF368" s="643"/>
      <c r="DVG368" s="644"/>
      <c r="DVH368" s="644">
        <v>2013</v>
      </c>
      <c r="DVI368" s="644">
        <v>2014</v>
      </c>
      <c r="DVJ368" s="644">
        <v>2015</v>
      </c>
      <c r="DVK368" s="644">
        <v>2016</v>
      </c>
      <c r="DVL368" s="644">
        <v>2017</v>
      </c>
      <c r="DVM368" s="645">
        <v>2018</v>
      </c>
      <c r="DVN368" s="646">
        <v>2019</v>
      </c>
      <c r="DVO368" s="647">
        <v>2020</v>
      </c>
      <c r="DVP368" s="153"/>
      <c r="DVQ368" s="153"/>
      <c r="DVR368" s="153"/>
      <c r="DVS368" s="648"/>
      <c r="DVT368" s="641"/>
      <c r="DVU368" s="642" t="s">
        <v>1841</v>
      </c>
      <c r="DVV368" s="643"/>
      <c r="DVW368" s="644"/>
      <c r="DVX368" s="644">
        <v>2013</v>
      </c>
      <c r="DVY368" s="644">
        <v>2014</v>
      </c>
      <c r="DVZ368" s="644">
        <v>2015</v>
      </c>
      <c r="DWA368" s="644">
        <v>2016</v>
      </c>
      <c r="DWB368" s="644">
        <v>2017</v>
      </c>
      <c r="DWC368" s="645">
        <v>2018</v>
      </c>
      <c r="DWD368" s="646">
        <v>2019</v>
      </c>
      <c r="DWE368" s="647">
        <v>2020</v>
      </c>
      <c r="DWF368" s="153"/>
      <c r="DWG368" s="153"/>
      <c r="DWH368" s="153"/>
      <c r="DWI368" s="648"/>
      <c r="DWJ368" s="641"/>
      <c r="DWK368" s="642" t="s">
        <v>1841</v>
      </c>
      <c r="DWL368" s="643"/>
      <c r="DWM368" s="644"/>
      <c r="DWN368" s="644">
        <v>2013</v>
      </c>
      <c r="DWO368" s="644">
        <v>2014</v>
      </c>
      <c r="DWP368" s="644">
        <v>2015</v>
      </c>
      <c r="DWQ368" s="644">
        <v>2016</v>
      </c>
      <c r="DWR368" s="644">
        <v>2017</v>
      </c>
      <c r="DWS368" s="645">
        <v>2018</v>
      </c>
      <c r="DWT368" s="646">
        <v>2019</v>
      </c>
      <c r="DWU368" s="647">
        <v>2020</v>
      </c>
      <c r="DWV368" s="153"/>
      <c r="DWW368" s="153"/>
      <c r="DWX368" s="153"/>
      <c r="DWY368" s="648"/>
      <c r="DWZ368" s="641"/>
      <c r="DXA368" s="642" t="s">
        <v>1841</v>
      </c>
      <c r="DXB368" s="643"/>
      <c r="DXC368" s="644"/>
      <c r="DXD368" s="644">
        <v>2013</v>
      </c>
      <c r="DXE368" s="644">
        <v>2014</v>
      </c>
      <c r="DXF368" s="644">
        <v>2015</v>
      </c>
      <c r="DXG368" s="644">
        <v>2016</v>
      </c>
      <c r="DXH368" s="644">
        <v>2017</v>
      </c>
      <c r="DXI368" s="645">
        <v>2018</v>
      </c>
      <c r="DXJ368" s="646">
        <v>2019</v>
      </c>
      <c r="DXK368" s="647">
        <v>2020</v>
      </c>
      <c r="DXL368" s="153"/>
      <c r="DXM368" s="153"/>
      <c r="DXN368" s="153"/>
      <c r="DXO368" s="648"/>
      <c r="DXP368" s="641"/>
      <c r="DXQ368" s="642" t="s">
        <v>1841</v>
      </c>
      <c r="DXR368" s="643"/>
      <c r="DXS368" s="644"/>
      <c r="DXT368" s="644">
        <v>2013</v>
      </c>
      <c r="DXU368" s="644">
        <v>2014</v>
      </c>
      <c r="DXV368" s="644">
        <v>2015</v>
      </c>
      <c r="DXW368" s="644">
        <v>2016</v>
      </c>
      <c r="DXX368" s="644">
        <v>2017</v>
      </c>
      <c r="DXY368" s="645">
        <v>2018</v>
      </c>
      <c r="DXZ368" s="646">
        <v>2019</v>
      </c>
      <c r="DYA368" s="647">
        <v>2020</v>
      </c>
      <c r="DYB368" s="153"/>
      <c r="DYC368" s="153"/>
      <c r="DYD368" s="153"/>
      <c r="DYE368" s="648"/>
      <c r="DYF368" s="641"/>
      <c r="DYG368" s="642" t="s">
        <v>1841</v>
      </c>
      <c r="DYH368" s="643"/>
      <c r="DYI368" s="644"/>
      <c r="DYJ368" s="644">
        <v>2013</v>
      </c>
      <c r="DYK368" s="644">
        <v>2014</v>
      </c>
      <c r="DYL368" s="644">
        <v>2015</v>
      </c>
      <c r="DYM368" s="644">
        <v>2016</v>
      </c>
      <c r="DYN368" s="644">
        <v>2017</v>
      </c>
      <c r="DYO368" s="645">
        <v>2018</v>
      </c>
      <c r="DYP368" s="646">
        <v>2019</v>
      </c>
      <c r="DYQ368" s="647">
        <v>2020</v>
      </c>
      <c r="DYR368" s="153"/>
      <c r="DYS368" s="153"/>
      <c r="DYT368" s="153"/>
      <c r="DYU368" s="648"/>
      <c r="DYV368" s="641"/>
      <c r="DYW368" s="642" t="s">
        <v>1841</v>
      </c>
      <c r="DYX368" s="643"/>
      <c r="DYY368" s="644"/>
      <c r="DYZ368" s="644">
        <v>2013</v>
      </c>
      <c r="DZA368" s="644">
        <v>2014</v>
      </c>
      <c r="DZB368" s="644">
        <v>2015</v>
      </c>
      <c r="DZC368" s="644">
        <v>2016</v>
      </c>
      <c r="DZD368" s="644">
        <v>2017</v>
      </c>
      <c r="DZE368" s="645">
        <v>2018</v>
      </c>
      <c r="DZF368" s="646">
        <v>2019</v>
      </c>
      <c r="DZG368" s="647">
        <v>2020</v>
      </c>
      <c r="DZH368" s="153"/>
      <c r="DZI368" s="153"/>
      <c r="DZJ368" s="153"/>
      <c r="DZK368" s="648"/>
      <c r="DZL368" s="641"/>
      <c r="DZM368" s="642" t="s">
        <v>1841</v>
      </c>
      <c r="DZN368" s="643"/>
      <c r="DZO368" s="644"/>
      <c r="DZP368" s="644">
        <v>2013</v>
      </c>
      <c r="DZQ368" s="644">
        <v>2014</v>
      </c>
      <c r="DZR368" s="644">
        <v>2015</v>
      </c>
      <c r="DZS368" s="644">
        <v>2016</v>
      </c>
      <c r="DZT368" s="644">
        <v>2017</v>
      </c>
      <c r="DZU368" s="645">
        <v>2018</v>
      </c>
      <c r="DZV368" s="646">
        <v>2019</v>
      </c>
      <c r="DZW368" s="647">
        <v>2020</v>
      </c>
      <c r="DZX368" s="153"/>
      <c r="DZY368" s="153"/>
      <c r="DZZ368" s="153"/>
      <c r="EAA368" s="648"/>
      <c r="EAB368" s="641"/>
      <c r="EAC368" s="642" t="s">
        <v>1841</v>
      </c>
      <c r="EAD368" s="643"/>
      <c r="EAE368" s="644"/>
      <c r="EAF368" s="644">
        <v>2013</v>
      </c>
      <c r="EAG368" s="644">
        <v>2014</v>
      </c>
      <c r="EAH368" s="644">
        <v>2015</v>
      </c>
      <c r="EAI368" s="644">
        <v>2016</v>
      </c>
      <c r="EAJ368" s="644">
        <v>2017</v>
      </c>
      <c r="EAK368" s="645">
        <v>2018</v>
      </c>
      <c r="EAL368" s="646">
        <v>2019</v>
      </c>
      <c r="EAM368" s="647">
        <v>2020</v>
      </c>
      <c r="EAN368" s="153"/>
      <c r="EAO368" s="153"/>
      <c r="EAP368" s="153"/>
      <c r="EAQ368" s="648"/>
      <c r="EAR368" s="641"/>
      <c r="EAS368" s="642" t="s">
        <v>1841</v>
      </c>
      <c r="EAT368" s="643"/>
      <c r="EAU368" s="644"/>
      <c r="EAV368" s="644">
        <v>2013</v>
      </c>
      <c r="EAW368" s="644">
        <v>2014</v>
      </c>
      <c r="EAX368" s="644">
        <v>2015</v>
      </c>
      <c r="EAY368" s="644">
        <v>2016</v>
      </c>
      <c r="EAZ368" s="644">
        <v>2017</v>
      </c>
      <c r="EBA368" s="645">
        <v>2018</v>
      </c>
      <c r="EBB368" s="646">
        <v>2019</v>
      </c>
      <c r="EBC368" s="647">
        <v>2020</v>
      </c>
      <c r="EBD368" s="153"/>
      <c r="EBE368" s="153"/>
      <c r="EBF368" s="153"/>
      <c r="EBG368" s="648"/>
      <c r="EBH368" s="641"/>
      <c r="EBI368" s="642" t="s">
        <v>1841</v>
      </c>
      <c r="EBJ368" s="643"/>
      <c r="EBK368" s="644"/>
      <c r="EBL368" s="644">
        <v>2013</v>
      </c>
      <c r="EBM368" s="644">
        <v>2014</v>
      </c>
      <c r="EBN368" s="644">
        <v>2015</v>
      </c>
      <c r="EBO368" s="644">
        <v>2016</v>
      </c>
      <c r="EBP368" s="644">
        <v>2017</v>
      </c>
      <c r="EBQ368" s="645">
        <v>2018</v>
      </c>
      <c r="EBR368" s="646">
        <v>2019</v>
      </c>
      <c r="EBS368" s="647">
        <v>2020</v>
      </c>
      <c r="EBT368" s="153"/>
      <c r="EBU368" s="153"/>
      <c r="EBV368" s="153"/>
      <c r="EBW368" s="648"/>
      <c r="EBX368" s="641"/>
      <c r="EBY368" s="642" t="s">
        <v>1841</v>
      </c>
      <c r="EBZ368" s="643"/>
      <c r="ECA368" s="644"/>
      <c r="ECB368" s="644">
        <v>2013</v>
      </c>
      <c r="ECC368" s="644">
        <v>2014</v>
      </c>
      <c r="ECD368" s="644">
        <v>2015</v>
      </c>
      <c r="ECE368" s="644">
        <v>2016</v>
      </c>
      <c r="ECF368" s="644">
        <v>2017</v>
      </c>
      <c r="ECG368" s="645">
        <v>2018</v>
      </c>
      <c r="ECH368" s="646">
        <v>2019</v>
      </c>
      <c r="ECI368" s="647">
        <v>2020</v>
      </c>
      <c r="ECJ368" s="153"/>
      <c r="ECK368" s="153"/>
      <c r="ECL368" s="153"/>
      <c r="ECM368" s="648"/>
      <c r="ECN368" s="641"/>
      <c r="ECO368" s="642" t="s">
        <v>1841</v>
      </c>
      <c r="ECP368" s="643"/>
      <c r="ECQ368" s="644"/>
      <c r="ECR368" s="644">
        <v>2013</v>
      </c>
      <c r="ECS368" s="644">
        <v>2014</v>
      </c>
      <c r="ECT368" s="644">
        <v>2015</v>
      </c>
      <c r="ECU368" s="644">
        <v>2016</v>
      </c>
      <c r="ECV368" s="644">
        <v>2017</v>
      </c>
      <c r="ECW368" s="645">
        <v>2018</v>
      </c>
      <c r="ECX368" s="646">
        <v>2019</v>
      </c>
      <c r="ECY368" s="647">
        <v>2020</v>
      </c>
      <c r="ECZ368" s="153"/>
      <c r="EDA368" s="153"/>
      <c r="EDB368" s="153"/>
      <c r="EDC368" s="648"/>
      <c r="EDD368" s="641"/>
      <c r="EDE368" s="642" t="s">
        <v>1841</v>
      </c>
      <c r="EDF368" s="643"/>
      <c r="EDG368" s="644"/>
      <c r="EDH368" s="644">
        <v>2013</v>
      </c>
      <c r="EDI368" s="644">
        <v>2014</v>
      </c>
      <c r="EDJ368" s="644">
        <v>2015</v>
      </c>
      <c r="EDK368" s="644">
        <v>2016</v>
      </c>
      <c r="EDL368" s="644">
        <v>2017</v>
      </c>
      <c r="EDM368" s="645">
        <v>2018</v>
      </c>
      <c r="EDN368" s="646">
        <v>2019</v>
      </c>
      <c r="EDO368" s="647">
        <v>2020</v>
      </c>
      <c r="EDP368" s="153"/>
      <c r="EDQ368" s="153"/>
      <c r="EDR368" s="153"/>
      <c r="EDS368" s="648"/>
      <c r="EDT368" s="641"/>
      <c r="EDU368" s="642" t="s">
        <v>1841</v>
      </c>
      <c r="EDV368" s="643"/>
      <c r="EDW368" s="644"/>
      <c r="EDX368" s="644">
        <v>2013</v>
      </c>
      <c r="EDY368" s="644">
        <v>2014</v>
      </c>
      <c r="EDZ368" s="644">
        <v>2015</v>
      </c>
      <c r="EEA368" s="644">
        <v>2016</v>
      </c>
      <c r="EEB368" s="644">
        <v>2017</v>
      </c>
      <c r="EEC368" s="645">
        <v>2018</v>
      </c>
      <c r="EED368" s="646">
        <v>2019</v>
      </c>
      <c r="EEE368" s="647">
        <v>2020</v>
      </c>
      <c r="EEF368" s="153"/>
      <c r="EEG368" s="153"/>
      <c r="EEH368" s="153"/>
      <c r="EEI368" s="648"/>
      <c r="EEJ368" s="641"/>
      <c r="EEK368" s="642" t="s">
        <v>1841</v>
      </c>
      <c r="EEL368" s="643"/>
      <c r="EEM368" s="644"/>
      <c r="EEN368" s="644">
        <v>2013</v>
      </c>
      <c r="EEO368" s="644">
        <v>2014</v>
      </c>
      <c r="EEP368" s="644">
        <v>2015</v>
      </c>
      <c r="EEQ368" s="644">
        <v>2016</v>
      </c>
      <c r="EER368" s="644">
        <v>2017</v>
      </c>
      <c r="EES368" s="645">
        <v>2018</v>
      </c>
      <c r="EET368" s="646">
        <v>2019</v>
      </c>
      <c r="EEU368" s="647">
        <v>2020</v>
      </c>
      <c r="EEV368" s="153"/>
      <c r="EEW368" s="153"/>
      <c r="EEX368" s="153"/>
      <c r="EEY368" s="648"/>
      <c r="EEZ368" s="641"/>
      <c r="EFA368" s="642" t="s">
        <v>1841</v>
      </c>
      <c r="EFB368" s="643"/>
      <c r="EFC368" s="644"/>
      <c r="EFD368" s="644">
        <v>2013</v>
      </c>
      <c r="EFE368" s="644">
        <v>2014</v>
      </c>
      <c r="EFF368" s="644">
        <v>2015</v>
      </c>
      <c r="EFG368" s="644">
        <v>2016</v>
      </c>
      <c r="EFH368" s="644">
        <v>2017</v>
      </c>
      <c r="EFI368" s="645">
        <v>2018</v>
      </c>
      <c r="EFJ368" s="646">
        <v>2019</v>
      </c>
      <c r="EFK368" s="647">
        <v>2020</v>
      </c>
      <c r="EFL368" s="153"/>
      <c r="EFM368" s="153"/>
      <c r="EFN368" s="153"/>
      <c r="EFO368" s="648"/>
      <c r="EFP368" s="641"/>
      <c r="EFQ368" s="642" t="s">
        <v>1841</v>
      </c>
      <c r="EFR368" s="643"/>
      <c r="EFS368" s="644"/>
      <c r="EFT368" s="644">
        <v>2013</v>
      </c>
      <c r="EFU368" s="644">
        <v>2014</v>
      </c>
      <c r="EFV368" s="644">
        <v>2015</v>
      </c>
      <c r="EFW368" s="644">
        <v>2016</v>
      </c>
      <c r="EFX368" s="644">
        <v>2017</v>
      </c>
      <c r="EFY368" s="645">
        <v>2018</v>
      </c>
      <c r="EFZ368" s="646">
        <v>2019</v>
      </c>
      <c r="EGA368" s="647">
        <v>2020</v>
      </c>
      <c r="EGB368" s="153"/>
      <c r="EGC368" s="153"/>
      <c r="EGD368" s="153"/>
      <c r="EGE368" s="648"/>
      <c r="EGF368" s="641"/>
      <c r="EGG368" s="642" t="s">
        <v>1841</v>
      </c>
      <c r="EGH368" s="643"/>
      <c r="EGI368" s="644"/>
      <c r="EGJ368" s="644">
        <v>2013</v>
      </c>
      <c r="EGK368" s="644">
        <v>2014</v>
      </c>
      <c r="EGL368" s="644">
        <v>2015</v>
      </c>
      <c r="EGM368" s="644">
        <v>2016</v>
      </c>
      <c r="EGN368" s="644">
        <v>2017</v>
      </c>
      <c r="EGO368" s="645">
        <v>2018</v>
      </c>
      <c r="EGP368" s="646">
        <v>2019</v>
      </c>
      <c r="EGQ368" s="647">
        <v>2020</v>
      </c>
      <c r="EGR368" s="153"/>
      <c r="EGS368" s="153"/>
      <c r="EGT368" s="153"/>
      <c r="EGU368" s="648"/>
      <c r="EGV368" s="641"/>
      <c r="EGW368" s="642" t="s">
        <v>1841</v>
      </c>
      <c r="EGX368" s="643"/>
      <c r="EGY368" s="644"/>
      <c r="EGZ368" s="644">
        <v>2013</v>
      </c>
      <c r="EHA368" s="644">
        <v>2014</v>
      </c>
      <c r="EHB368" s="644">
        <v>2015</v>
      </c>
      <c r="EHC368" s="644">
        <v>2016</v>
      </c>
      <c r="EHD368" s="644">
        <v>2017</v>
      </c>
      <c r="EHE368" s="645">
        <v>2018</v>
      </c>
      <c r="EHF368" s="646">
        <v>2019</v>
      </c>
      <c r="EHG368" s="647">
        <v>2020</v>
      </c>
      <c r="EHH368" s="153"/>
      <c r="EHI368" s="153"/>
      <c r="EHJ368" s="153"/>
      <c r="EHK368" s="648"/>
      <c r="EHL368" s="641"/>
      <c r="EHM368" s="642" t="s">
        <v>1841</v>
      </c>
      <c r="EHN368" s="643"/>
      <c r="EHO368" s="644"/>
      <c r="EHP368" s="644">
        <v>2013</v>
      </c>
      <c r="EHQ368" s="644">
        <v>2014</v>
      </c>
      <c r="EHR368" s="644">
        <v>2015</v>
      </c>
      <c r="EHS368" s="644">
        <v>2016</v>
      </c>
      <c r="EHT368" s="644">
        <v>2017</v>
      </c>
      <c r="EHU368" s="645">
        <v>2018</v>
      </c>
      <c r="EHV368" s="646">
        <v>2019</v>
      </c>
      <c r="EHW368" s="647">
        <v>2020</v>
      </c>
      <c r="EHX368" s="153"/>
      <c r="EHY368" s="153"/>
      <c r="EHZ368" s="153"/>
      <c r="EIA368" s="648"/>
      <c r="EIB368" s="641"/>
      <c r="EIC368" s="642" t="s">
        <v>1841</v>
      </c>
      <c r="EID368" s="643"/>
      <c r="EIE368" s="644"/>
      <c r="EIF368" s="644">
        <v>2013</v>
      </c>
      <c r="EIG368" s="644">
        <v>2014</v>
      </c>
      <c r="EIH368" s="644">
        <v>2015</v>
      </c>
      <c r="EII368" s="644">
        <v>2016</v>
      </c>
      <c r="EIJ368" s="644">
        <v>2017</v>
      </c>
      <c r="EIK368" s="645">
        <v>2018</v>
      </c>
      <c r="EIL368" s="646">
        <v>2019</v>
      </c>
      <c r="EIM368" s="647">
        <v>2020</v>
      </c>
      <c r="EIN368" s="153"/>
      <c r="EIO368" s="153"/>
      <c r="EIP368" s="153"/>
      <c r="EIQ368" s="648"/>
      <c r="EIR368" s="641"/>
      <c r="EIS368" s="642" t="s">
        <v>1841</v>
      </c>
      <c r="EIT368" s="643"/>
      <c r="EIU368" s="644"/>
      <c r="EIV368" s="644">
        <v>2013</v>
      </c>
      <c r="EIW368" s="644">
        <v>2014</v>
      </c>
      <c r="EIX368" s="644">
        <v>2015</v>
      </c>
      <c r="EIY368" s="644">
        <v>2016</v>
      </c>
      <c r="EIZ368" s="644">
        <v>2017</v>
      </c>
      <c r="EJA368" s="645">
        <v>2018</v>
      </c>
      <c r="EJB368" s="646">
        <v>2019</v>
      </c>
      <c r="EJC368" s="647">
        <v>2020</v>
      </c>
      <c r="EJD368" s="153"/>
      <c r="EJE368" s="153"/>
      <c r="EJF368" s="153"/>
      <c r="EJG368" s="648"/>
      <c r="EJH368" s="641"/>
      <c r="EJI368" s="642" t="s">
        <v>1841</v>
      </c>
      <c r="EJJ368" s="643"/>
      <c r="EJK368" s="644"/>
      <c r="EJL368" s="644">
        <v>2013</v>
      </c>
      <c r="EJM368" s="644">
        <v>2014</v>
      </c>
      <c r="EJN368" s="644">
        <v>2015</v>
      </c>
      <c r="EJO368" s="644">
        <v>2016</v>
      </c>
      <c r="EJP368" s="644">
        <v>2017</v>
      </c>
      <c r="EJQ368" s="645">
        <v>2018</v>
      </c>
      <c r="EJR368" s="646">
        <v>2019</v>
      </c>
      <c r="EJS368" s="647">
        <v>2020</v>
      </c>
      <c r="EJT368" s="153"/>
      <c r="EJU368" s="153"/>
      <c r="EJV368" s="153"/>
      <c r="EJW368" s="648"/>
      <c r="EJX368" s="641"/>
      <c r="EJY368" s="642" t="s">
        <v>1841</v>
      </c>
      <c r="EJZ368" s="643"/>
      <c r="EKA368" s="644"/>
      <c r="EKB368" s="644">
        <v>2013</v>
      </c>
      <c r="EKC368" s="644">
        <v>2014</v>
      </c>
      <c r="EKD368" s="644">
        <v>2015</v>
      </c>
      <c r="EKE368" s="644">
        <v>2016</v>
      </c>
      <c r="EKF368" s="644">
        <v>2017</v>
      </c>
      <c r="EKG368" s="645">
        <v>2018</v>
      </c>
      <c r="EKH368" s="646">
        <v>2019</v>
      </c>
      <c r="EKI368" s="647">
        <v>2020</v>
      </c>
      <c r="EKJ368" s="153"/>
      <c r="EKK368" s="153"/>
      <c r="EKL368" s="153"/>
      <c r="EKM368" s="648"/>
      <c r="EKN368" s="641"/>
      <c r="EKO368" s="642" t="s">
        <v>1841</v>
      </c>
      <c r="EKP368" s="643"/>
      <c r="EKQ368" s="644"/>
      <c r="EKR368" s="644">
        <v>2013</v>
      </c>
      <c r="EKS368" s="644">
        <v>2014</v>
      </c>
      <c r="EKT368" s="644">
        <v>2015</v>
      </c>
      <c r="EKU368" s="644">
        <v>2016</v>
      </c>
      <c r="EKV368" s="644">
        <v>2017</v>
      </c>
      <c r="EKW368" s="645">
        <v>2018</v>
      </c>
      <c r="EKX368" s="646">
        <v>2019</v>
      </c>
      <c r="EKY368" s="647">
        <v>2020</v>
      </c>
      <c r="EKZ368" s="153"/>
      <c r="ELA368" s="153"/>
      <c r="ELB368" s="153"/>
      <c r="ELC368" s="648"/>
      <c r="ELD368" s="641"/>
      <c r="ELE368" s="642" t="s">
        <v>1841</v>
      </c>
      <c r="ELF368" s="643"/>
      <c r="ELG368" s="644"/>
      <c r="ELH368" s="644">
        <v>2013</v>
      </c>
      <c r="ELI368" s="644">
        <v>2014</v>
      </c>
      <c r="ELJ368" s="644">
        <v>2015</v>
      </c>
      <c r="ELK368" s="644">
        <v>2016</v>
      </c>
      <c r="ELL368" s="644">
        <v>2017</v>
      </c>
      <c r="ELM368" s="645">
        <v>2018</v>
      </c>
      <c r="ELN368" s="646">
        <v>2019</v>
      </c>
      <c r="ELO368" s="647">
        <v>2020</v>
      </c>
      <c r="ELP368" s="153"/>
      <c r="ELQ368" s="153"/>
      <c r="ELR368" s="153"/>
      <c r="ELS368" s="648"/>
      <c r="ELT368" s="641"/>
      <c r="ELU368" s="642" t="s">
        <v>1841</v>
      </c>
      <c r="ELV368" s="643"/>
      <c r="ELW368" s="644"/>
      <c r="ELX368" s="644">
        <v>2013</v>
      </c>
      <c r="ELY368" s="644">
        <v>2014</v>
      </c>
      <c r="ELZ368" s="644">
        <v>2015</v>
      </c>
      <c r="EMA368" s="644">
        <v>2016</v>
      </c>
      <c r="EMB368" s="644">
        <v>2017</v>
      </c>
      <c r="EMC368" s="645">
        <v>2018</v>
      </c>
      <c r="EMD368" s="646">
        <v>2019</v>
      </c>
      <c r="EME368" s="647">
        <v>2020</v>
      </c>
      <c r="EMF368" s="153"/>
      <c r="EMG368" s="153"/>
      <c r="EMH368" s="153"/>
      <c r="EMI368" s="648"/>
      <c r="EMJ368" s="641"/>
      <c r="EMK368" s="642" t="s">
        <v>1841</v>
      </c>
      <c r="EML368" s="643"/>
      <c r="EMM368" s="644"/>
      <c r="EMN368" s="644">
        <v>2013</v>
      </c>
      <c r="EMO368" s="644">
        <v>2014</v>
      </c>
      <c r="EMP368" s="644">
        <v>2015</v>
      </c>
      <c r="EMQ368" s="644">
        <v>2016</v>
      </c>
      <c r="EMR368" s="644">
        <v>2017</v>
      </c>
      <c r="EMS368" s="645">
        <v>2018</v>
      </c>
      <c r="EMT368" s="646">
        <v>2019</v>
      </c>
      <c r="EMU368" s="647">
        <v>2020</v>
      </c>
      <c r="EMV368" s="153"/>
      <c r="EMW368" s="153"/>
      <c r="EMX368" s="153"/>
      <c r="EMY368" s="648"/>
      <c r="EMZ368" s="641"/>
      <c r="ENA368" s="642" t="s">
        <v>1841</v>
      </c>
      <c r="ENB368" s="643"/>
      <c r="ENC368" s="644"/>
      <c r="END368" s="644">
        <v>2013</v>
      </c>
      <c r="ENE368" s="644">
        <v>2014</v>
      </c>
      <c r="ENF368" s="644">
        <v>2015</v>
      </c>
      <c r="ENG368" s="644">
        <v>2016</v>
      </c>
      <c r="ENH368" s="644">
        <v>2017</v>
      </c>
      <c r="ENI368" s="645">
        <v>2018</v>
      </c>
      <c r="ENJ368" s="646">
        <v>2019</v>
      </c>
      <c r="ENK368" s="647">
        <v>2020</v>
      </c>
      <c r="ENL368" s="153"/>
      <c r="ENM368" s="153"/>
      <c r="ENN368" s="153"/>
      <c r="ENO368" s="648"/>
      <c r="ENP368" s="641"/>
      <c r="ENQ368" s="642" t="s">
        <v>1841</v>
      </c>
      <c r="ENR368" s="643"/>
      <c r="ENS368" s="644"/>
      <c r="ENT368" s="644">
        <v>2013</v>
      </c>
      <c r="ENU368" s="644">
        <v>2014</v>
      </c>
      <c r="ENV368" s="644">
        <v>2015</v>
      </c>
      <c r="ENW368" s="644">
        <v>2016</v>
      </c>
      <c r="ENX368" s="644">
        <v>2017</v>
      </c>
      <c r="ENY368" s="645">
        <v>2018</v>
      </c>
      <c r="ENZ368" s="646">
        <v>2019</v>
      </c>
      <c r="EOA368" s="647">
        <v>2020</v>
      </c>
      <c r="EOB368" s="153"/>
      <c r="EOC368" s="153"/>
      <c r="EOD368" s="153"/>
      <c r="EOE368" s="648"/>
      <c r="EOF368" s="641"/>
      <c r="EOG368" s="642" t="s">
        <v>1841</v>
      </c>
      <c r="EOH368" s="643"/>
      <c r="EOI368" s="644"/>
      <c r="EOJ368" s="644">
        <v>2013</v>
      </c>
      <c r="EOK368" s="644">
        <v>2014</v>
      </c>
      <c r="EOL368" s="644">
        <v>2015</v>
      </c>
      <c r="EOM368" s="644">
        <v>2016</v>
      </c>
      <c r="EON368" s="644">
        <v>2017</v>
      </c>
      <c r="EOO368" s="645">
        <v>2018</v>
      </c>
      <c r="EOP368" s="646">
        <v>2019</v>
      </c>
      <c r="EOQ368" s="647">
        <v>2020</v>
      </c>
      <c r="EOR368" s="153"/>
      <c r="EOS368" s="153"/>
      <c r="EOT368" s="153"/>
      <c r="EOU368" s="648"/>
      <c r="EOV368" s="641"/>
      <c r="EOW368" s="642" t="s">
        <v>1841</v>
      </c>
      <c r="EOX368" s="643"/>
      <c r="EOY368" s="644"/>
      <c r="EOZ368" s="644">
        <v>2013</v>
      </c>
      <c r="EPA368" s="644">
        <v>2014</v>
      </c>
      <c r="EPB368" s="644">
        <v>2015</v>
      </c>
      <c r="EPC368" s="644">
        <v>2016</v>
      </c>
      <c r="EPD368" s="644">
        <v>2017</v>
      </c>
      <c r="EPE368" s="645">
        <v>2018</v>
      </c>
      <c r="EPF368" s="646">
        <v>2019</v>
      </c>
      <c r="EPG368" s="647">
        <v>2020</v>
      </c>
      <c r="EPH368" s="153"/>
      <c r="EPI368" s="153"/>
      <c r="EPJ368" s="153"/>
      <c r="EPK368" s="648"/>
      <c r="EPL368" s="641"/>
      <c r="EPM368" s="642" t="s">
        <v>1841</v>
      </c>
      <c r="EPN368" s="643"/>
      <c r="EPO368" s="644"/>
      <c r="EPP368" s="644">
        <v>2013</v>
      </c>
      <c r="EPQ368" s="644">
        <v>2014</v>
      </c>
      <c r="EPR368" s="644">
        <v>2015</v>
      </c>
      <c r="EPS368" s="644">
        <v>2016</v>
      </c>
      <c r="EPT368" s="644">
        <v>2017</v>
      </c>
      <c r="EPU368" s="645">
        <v>2018</v>
      </c>
      <c r="EPV368" s="646">
        <v>2019</v>
      </c>
      <c r="EPW368" s="647">
        <v>2020</v>
      </c>
      <c r="EPX368" s="153"/>
      <c r="EPY368" s="153"/>
      <c r="EPZ368" s="153"/>
      <c r="EQA368" s="648"/>
      <c r="EQB368" s="641"/>
      <c r="EQC368" s="642" t="s">
        <v>1841</v>
      </c>
      <c r="EQD368" s="643"/>
      <c r="EQE368" s="644"/>
      <c r="EQF368" s="644">
        <v>2013</v>
      </c>
      <c r="EQG368" s="644">
        <v>2014</v>
      </c>
      <c r="EQH368" s="644">
        <v>2015</v>
      </c>
      <c r="EQI368" s="644">
        <v>2016</v>
      </c>
      <c r="EQJ368" s="644">
        <v>2017</v>
      </c>
      <c r="EQK368" s="645">
        <v>2018</v>
      </c>
      <c r="EQL368" s="646">
        <v>2019</v>
      </c>
      <c r="EQM368" s="647">
        <v>2020</v>
      </c>
      <c r="EQN368" s="153"/>
      <c r="EQO368" s="153"/>
      <c r="EQP368" s="153"/>
      <c r="EQQ368" s="648"/>
      <c r="EQR368" s="641"/>
      <c r="EQS368" s="642" t="s">
        <v>1841</v>
      </c>
      <c r="EQT368" s="643"/>
      <c r="EQU368" s="644"/>
      <c r="EQV368" s="644">
        <v>2013</v>
      </c>
      <c r="EQW368" s="644">
        <v>2014</v>
      </c>
      <c r="EQX368" s="644">
        <v>2015</v>
      </c>
      <c r="EQY368" s="644">
        <v>2016</v>
      </c>
      <c r="EQZ368" s="644">
        <v>2017</v>
      </c>
      <c r="ERA368" s="645">
        <v>2018</v>
      </c>
      <c r="ERB368" s="646">
        <v>2019</v>
      </c>
      <c r="ERC368" s="647">
        <v>2020</v>
      </c>
      <c r="ERD368" s="153"/>
      <c r="ERE368" s="153"/>
      <c r="ERF368" s="153"/>
      <c r="ERG368" s="648"/>
      <c r="ERH368" s="641"/>
      <c r="ERI368" s="642" t="s">
        <v>1841</v>
      </c>
      <c r="ERJ368" s="643"/>
      <c r="ERK368" s="644"/>
      <c r="ERL368" s="644">
        <v>2013</v>
      </c>
      <c r="ERM368" s="644">
        <v>2014</v>
      </c>
      <c r="ERN368" s="644">
        <v>2015</v>
      </c>
      <c r="ERO368" s="644">
        <v>2016</v>
      </c>
      <c r="ERP368" s="644">
        <v>2017</v>
      </c>
      <c r="ERQ368" s="645">
        <v>2018</v>
      </c>
      <c r="ERR368" s="646">
        <v>2019</v>
      </c>
      <c r="ERS368" s="647">
        <v>2020</v>
      </c>
      <c r="ERT368" s="153"/>
      <c r="ERU368" s="153"/>
      <c r="ERV368" s="153"/>
      <c r="ERW368" s="648"/>
      <c r="ERX368" s="641"/>
      <c r="ERY368" s="642" t="s">
        <v>1841</v>
      </c>
      <c r="ERZ368" s="643"/>
      <c r="ESA368" s="644"/>
      <c r="ESB368" s="644">
        <v>2013</v>
      </c>
      <c r="ESC368" s="644">
        <v>2014</v>
      </c>
      <c r="ESD368" s="644">
        <v>2015</v>
      </c>
      <c r="ESE368" s="644">
        <v>2016</v>
      </c>
      <c r="ESF368" s="644">
        <v>2017</v>
      </c>
      <c r="ESG368" s="645">
        <v>2018</v>
      </c>
      <c r="ESH368" s="646">
        <v>2019</v>
      </c>
      <c r="ESI368" s="647">
        <v>2020</v>
      </c>
      <c r="ESJ368" s="153"/>
      <c r="ESK368" s="153"/>
      <c r="ESL368" s="153"/>
      <c r="ESM368" s="648"/>
      <c r="ESN368" s="641"/>
      <c r="ESO368" s="642" t="s">
        <v>1841</v>
      </c>
      <c r="ESP368" s="643"/>
      <c r="ESQ368" s="644"/>
      <c r="ESR368" s="644">
        <v>2013</v>
      </c>
      <c r="ESS368" s="644">
        <v>2014</v>
      </c>
      <c r="EST368" s="644">
        <v>2015</v>
      </c>
      <c r="ESU368" s="644">
        <v>2016</v>
      </c>
      <c r="ESV368" s="644">
        <v>2017</v>
      </c>
      <c r="ESW368" s="645">
        <v>2018</v>
      </c>
      <c r="ESX368" s="646">
        <v>2019</v>
      </c>
      <c r="ESY368" s="647">
        <v>2020</v>
      </c>
      <c r="ESZ368" s="153"/>
      <c r="ETA368" s="153"/>
      <c r="ETB368" s="153"/>
      <c r="ETC368" s="648"/>
      <c r="ETD368" s="641"/>
      <c r="ETE368" s="642" t="s">
        <v>1841</v>
      </c>
      <c r="ETF368" s="643"/>
      <c r="ETG368" s="644"/>
      <c r="ETH368" s="644">
        <v>2013</v>
      </c>
      <c r="ETI368" s="644">
        <v>2014</v>
      </c>
      <c r="ETJ368" s="644">
        <v>2015</v>
      </c>
      <c r="ETK368" s="644">
        <v>2016</v>
      </c>
      <c r="ETL368" s="644">
        <v>2017</v>
      </c>
      <c r="ETM368" s="645">
        <v>2018</v>
      </c>
      <c r="ETN368" s="646">
        <v>2019</v>
      </c>
      <c r="ETO368" s="647">
        <v>2020</v>
      </c>
      <c r="ETP368" s="153"/>
      <c r="ETQ368" s="153"/>
      <c r="ETR368" s="153"/>
      <c r="ETS368" s="648"/>
      <c r="ETT368" s="641"/>
      <c r="ETU368" s="642" t="s">
        <v>1841</v>
      </c>
      <c r="ETV368" s="643"/>
      <c r="ETW368" s="644"/>
      <c r="ETX368" s="644">
        <v>2013</v>
      </c>
      <c r="ETY368" s="644">
        <v>2014</v>
      </c>
      <c r="ETZ368" s="644">
        <v>2015</v>
      </c>
      <c r="EUA368" s="644">
        <v>2016</v>
      </c>
      <c r="EUB368" s="644">
        <v>2017</v>
      </c>
      <c r="EUC368" s="645">
        <v>2018</v>
      </c>
      <c r="EUD368" s="646">
        <v>2019</v>
      </c>
      <c r="EUE368" s="647">
        <v>2020</v>
      </c>
      <c r="EUF368" s="153"/>
      <c r="EUG368" s="153"/>
      <c r="EUH368" s="153"/>
      <c r="EUI368" s="648"/>
      <c r="EUJ368" s="641"/>
      <c r="EUK368" s="642" t="s">
        <v>1841</v>
      </c>
      <c r="EUL368" s="643"/>
      <c r="EUM368" s="644"/>
      <c r="EUN368" s="644">
        <v>2013</v>
      </c>
      <c r="EUO368" s="644">
        <v>2014</v>
      </c>
      <c r="EUP368" s="644">
        <v>2015</v>
      </c>
      <c r="EUQ368" s="644">
        <v>2016</v>
      </c>
      <c r="EUR368" s="644">
        <v>2017</v>
      </c>
      <c r="EUS368" s="645">
        <v>2018</v>
      </c>
      <c r="EUT368" s="646">
        <v>2019</v>
      </c>
      <c r="EUU368" s="647">
        <v>2020</v>
      </c>
      <c r="EUV368" s="153"/>
      <c r="EUW368" s="153"/>
      <c r="EUX368" s="153"/>
      <c r="EUY368" s="648"/>
      <c r="EUZ368" s="641"/>
      <c r="EVA368" s="642" t="s">
        <v>1841</v>
      </c>
      <c r="EVB368" s="643"/>
      <c r="EVC368" s="644"/>
      <c r="EVD368" s="644">
        <v>2013</v>
      </c>
      <c r="EVE368" s="644">
        <v>2014</v>
      </c>
      <c r="EVF368" s="644">
        <v>2015</v>
      </c>
      <c r="EVG368" s="644">
        <v>2016</v>
      </c>
      <c r="EVH368" s="644">
        <v>2017</v>
      </c>
      <c r="EVI368" s="645">
        <v>2018</v>
      </c>
      <c r="EVJ368" s="646">
        <v>2019</v>
      </c>
      <c r="EVK368" s="647">
        <v>2020</v>
      </c>
      <c r="EVL368" s="153"/>
      <c r="EVM368" s="153"/>
      <c r="EVN368" s="153"/>
      <c r="EVO368" s="648"/>
      <c r="EVP368" s="641"/>
      <c r="EVQ368" s="642" t="s">
        <v>1841</v>
      </c>
      <c r="EVR368" s="643"/>
      <c r="EVS368" s="644"/>
      <c r="EVT368" s="644">
        <v>2013</v>
      </c>
      <c r="EVU368" s="644">
        <v>2014</v>
      </c>
      <c r="EVV368" s="644">
        <v>2015</v>
      </c>
      <c r="EVW368" s="644">
        <v>2016</v>
      </c>
      <c r="EVX368" s="644">
        <v>2017</v>
      </c>
      <c r="EVY368" s="645">
        <v>2018</v>
      </c>
      <c r="EVZ368" s="646">
        <v>2019</v>
      </c>
      <c r="EWA368" s="647">
        <v>2020</v>
      </c>
      <c r="EWB368" s="153"/>
      <c r="EWC368" s="153"/>
      <c r="EWD368" s="153"/>
      <c r="EWE368" s="648"/>
      <c r="EWF368" s="641"/>
      <c r="EWG368" s="642" t="s">
        <v>1841</v>
      </c>
      <c r="EWH368" s="643"/>
      <c r="EWI368" s="644"/>
      <c r="EWJ368" s="644">
        <v>2013</v>
      </c>
      <c r="EWK368" s="644">
        <v>2014</v>
      </c>
      <c r="EWL368" s="644">
        <v>2015</v>
      </c>
      <c r="EWM368" s="644">
        <v>2016</v>
      </c>
      <c r="EWN368" s="644">
        <v>2017</v>
      </c>
      <c r="EWO368" s="645">
        <v>2018</v>
      </c>
      <c r="EWP368" s="646">
        <v>2019</v>
      </c>
      <c r="EWQ368" s="647">
        <v>2020</v>
      </c>
      <c r="EWR368" s="153"/>
      <c r="EWS368" s="153"/>
      <c r="EWT368" s="153"/>
      <c r="EWU368" s="648"/>
      <c r="EWV368" s="641"/>
      <c r="EWW368" s="642" t="s">
        <v>1841</v>
      </c>
      <c r="EWX368" s="643"/>
      <c r="EWY368" s="644"/>
      <c r="EWZ368" s="644">
        <v>2013</v>
      </c>
      <c r="EXA368" s="644">
        <v>2014</v>
      </c>
      <c r="EXB368" s="644">
        <v>2015</v>
      </c>
      <c r="EXC368" s="644">
        <v>2016</v>
      </c>
      <c r="EXD368" s="644">
        <v>2017</v>
      </c>
      <c r="EXE368" s="645">
        <v>2018</v>
      </c>
      <c r="EXF368" s="646">
        <v>2019</v>
      </c>
      <c r="EXG368" s="647">
        <v>2020</v>
      </c>
      <c r="EXH368" s="153"/>
      <c r="EXI368" s="153"/>
      <c r="EXJ368" s="153"/>
      <c r="EXK368" s="648"/>
      <c r="EXL368" s="641"/>
      <c r="EXM368" s="642" t="s">
        <v>1841</v>
      </c>
      <c r="EXN368" s="643"/>
      <c r="EXO368" s="644"/>
      <c r="EXP368" s="644">
        <v>2013</v>
      </c>
      <c r="EXQ368" s="644">
        <v>2014</v>
      </c>
      <c r="EXR368" s="644">
        <v>2015</v>
      </c>
      <c r="EXS368" s="644">
        <v>2016</v>
      </c>
      <c r="EXT368" s="644">
        <v>2017</v>
      </c>
      <c r="EXU368" s="645">
        <v>2018</v>
      </c>
      <c r="EXV368" s="646">
        <v>2019</v>
      </c>
      <c r="EXW368" s="647">
        <v>2020</v>
      </c>
      <c r="EXX368" s="153"/>
      <c r="EXY368" s="153"/>
      <c r="EXZ368" s="153"/>
      <c r="EYA368" s="648"/>
      <c r="EYB368" s="641"/>
      <c r="EYC368" s="642" t="s">
        <v>1841</v>
      </c>
      <c r="EYD368" s="643"/>
      <c r="EYE368" s="644"/>
      <c r="EYF368" s="644">
        <v>2013</v>
      </c>
      <c r="EYG368" s="644">
        <v>2014</v>
      </c>
      <c r="EYH368" s="644">
        <v>2015</v>
      </c>
      <c r="EYI368" s="644">
        <v>2016</v>
      </c>
      <c r="EYJ368" s="644">
        <v>2017</v>
      </c>
      <c r="EYK368" s="645">
        <v>2018</v>
      </c>
      <c r="EYL368" s="646">
        <v>2019</v>
      </c>
      <c r="EYM368" s="647">
        <v>2020</v>
      </c>
      <c r="EYN368" s="153"/>
      <c r="EYO368" s="153"/>
      <c r="EYP368" s="153"/>
      <c r="EYQ368" s="648"/>
      <c r="EYR368" s="641"/>
      <c r="EYS368" s="642" t="s">
        <v>1841</v>
      </c>
      <c r="EYT368" s="643"/>
      <c r="EYU368" s="644"/>
      <c r="EYV368" s="644">
        <v>2013</v>
      </c>
      <c r="EYW368" s="644">
        <v>2014</v>
      </c>
      <c r="EYX368" s="644">
        <v>2015</v>
      </c>
      <c r="EYY368" s="644">
        <v>2016</v>
      </c>
      <c r="EYZ368" s="644">
        <v>2017</v>
      </c>
      <c r="EZA368" s="645">
        <v>2018</v>
      </c>
      <c r="EZB368" s="646">
        <v>2019</v>
      </c>
      <c r="EZC368" s="647">
        <v>2020</v>
      </c>
      <c r="EZD368" s="153"/>
      <c r="EZE368" s="153"/>
      <c r="EZF368" s="153"/>
      <c r="EZG368" s="648"/>
      <c r="EZH368" s="641"/>
      <c r="EZI368" s="642" t="s">
        <v>1841</v>
      </c>
      <c r="EZJ368" s="643"/>
      <c r="EZK368" s="644"/>
      <c r="EZL368" s="644">
        <v>2013</v>
      </c>
      <c r="EZM368" s="644">
        <v>2014</v>
      </c>
      <c r="EZN368" s="644">
        <v>2015</v>
      </c>
      <c r="EZO368" s="644">
        <v>2016</v>
      </c>
      <c r="EZP368" s="644">
        <v>2017</v>
      </c>
      <c r="EZQ368" s="645">
        <v>2018</v>
      </c>
      <c r="EZR368" s="646">
        <v>2019</v>
      </c>
      <c r="EZS368" s="647">
        <v>2020</v>
      </c>
      <c r="EZT368" s="153"/>
      <c r="EZU368" s="153"/>
      <c r="EZV368" s="153"/>
      <c r="EZW368" s="648"/>
      <c r="EZX368" s="641"/>
      <c r="EZY368" s="642" t="s">
        <v>1841</v>
      </c>
      <c r="EZZ368" s="643"/>
      <c r="FAA368" s="644"/>
      <c r="FAB368" s="644">
        <v>2013</v>
      </c>
      <c r="FAC368" s="644">
        <v>2014</v>
      </c>
      <c r="FAD368" s="644">
        <v>2015</v>
      </c>
      <c r="FAE368" s="644">
        <v>2016</v>
      </c>
      <c r="FAF368" s="644">
        <v>2017</v>
      </c>
      <c r="FAG368" s="645">
        <v>2018</v>
      </c>
      <c r="FAH368" s="646">
        <v>2019</v>
      </c>
      <c r="FAI368" s="647">
        <v>2020</v>
      </c>
      <c r="FAJ368" s="153"/>
      <c r="FAK368" s="153"/>
      <c r="FAL368" s="153"/>
      <c r="FAM368" s="648"/>
      <c r="FAN368" s="641"/>
      <c r="FAO368" s="642" t="s">
        <v>1841</v>
      </c>
      <c r="FAP368" s="643"/>
      <c r="FAQ368" s="644"/>
      <c r="FAR368" s="644">
        <v>2013</v>
      </c>
      <c r="FAS368" s="644">
        <v>2014</v>
      </c>
      <c r="FAT368" s="644">
        <v>2015</v>
      </c>
      <c r="FAU368" s="644">
        <v>2016</v>
      </c>
      <c r="FAV368" s="644">
        <v>2017</v>
      </c>
      <c r="FAW368" s="645">
        <v>2018</v>
      </c>
      <c r="FAX368" s="646">
        <v>2019</v>
      </c>
      <c r="FAY368" s="647">
        <v>2020</v>
      </c>
      <c r="FAZ368" s="153"/>
      <c r="FBA368" s="153"/>
      <c r="FBB368" s="153"/>
      <c r="FBC368" s="648"/>
      <c r="FBD368" s="641"/>
      <c r="FBE368" s="642" t="s">
        <v>1841</v>
      </c>
      <c r="FBF368" s="643"/>
      <c r="FBG368" s="644"/>
      <c r="FBH368" s="644">
        <v>2013</v>
      </c>
      <c r="FBI368" s="644">
        <v>2014</v>
      </c>
      <c r="FBJ368" s="644">
        <v>2015</v>
      </c>
      <c r="FBK368" s="644">
        <v>2016</v>
      </c>
      <c r="FBL368" s="644">
        <v>2017</v>
      </c>
      <c r="FBM368" s="645">
        <v>2018</v>
      </c>
      <c r="FBN368" s="646">
        <v>2019</v>
      </c>
      <c r="FBO368" s="647">
        <v>2020</v>
      </c>
      <c r="FBP368" s="153"/>
      <c r="FBQ368" s="153"/>
      <c r="FBR368" s="153"/>
      <c r="FBS368" s="648"/>
      <c r="FBT368" s="641"/>
      <c r="FBU368" s="642" t="s">
        <v>1841</v>
      </c>
      <c r="FBV368" s="643"/>
      <c r="FBW368" s="644"/>
      <c r="FBX368" s="644">
        <v>2013</v>
      </c>
      <c r="FBY368" s="644">
        <v>2014</v>
      </c>
      <c r="FBZ368" s="644">
        <v>2015</v>
      </c>
      <c r="FCA368" s="644">
        <v>2016</v>
      </c>
      <c r="FCB368" s="644">
        <v>2017</v>
      </c>
      <c r="FCC368" s="645">
        <v>2018</v>
      </c>
      <c r="FCD368" s="646">
        <v>2019</v>
      </c>
      <c r="FCE368" s="647">
        <v>2020</v>
      </c>
      <c r="FCF368" s="153"/>
      <c r="FCG368" s="153"/>
      <c r="FCH368" s="153"/>
      <c r="FCI368" s="648"/>
      <c r="FCJ368" s="641"/>
      <c r="FCK368" s="642" t="s">
        <v>1841</v>
      </c>
      <c r="FCL368" s="643"/>
      <c r="FCM368" s="644"/>
      <c r="FCN368" s="644">
        <v>2013</v>
      </c>
      <c r="FCO368" s="644">
        <v>2014</v>
      </c>
      <c r="FCP368" s="644">
        <v>2015</v>
      </c>
      <c r="FCQ368" s="644">
        <v>2016</v>
      </c>
      <c r="FCR368" s="644">
        <v>2017</v>
      </c>
      <c r="FCS368" s="645">
        <v>2018</v>
      </c>
      <c r="FCT368" s="646">
        <v>2019</v>
      </c>
      <c r="FCU368" s="647">
        <v>2020</v>
      </c>
      <c r="FCV368" s="153"/>
      <c r="FCW368" s="153"/>
      <c r="FCX368" s="153"/>
      <c r="FCY368" s="648"/>
      <c r="FCZ368" s="641"/>
      <c r="FDA368" s="642" t="s">
        <v>1841</v>
      </c>
      <c r="FDB368" s="643"/>
      <c r="FDC368" s="644"/>
      <c r="FDD368" s="644">
        <v>2013</v>
      </c>
      <c r="FDE368" s="644">
        <v>2014</v>
      </c>
      <c r="FDF368" s="644">
        <v>2015</v>
      </c>
      <c r="FDG368" s="644">
        <v>2016</v>
      </c>
      <c r="FDH368" s="644">
        <v>2017</v>
      </c>
      <c r="FDI368" s="645">
        <v>2018</v>
      </c>
      <c r="FDJ368" s="646">
        <v>2019</v>
      </c>
      <c r="FDK368" s="647">
        <v>2020</v>
      </c>
      <c r="FDL368" s="153"/>
      <c r="FDM368" s="153"/>
      <c r="FDN368" s="153"/>
      <c r="FDO368" s="648"/>
      <c r="FDP368" s="641"/>
      <c r="FDQ368" s="642" t="s">
        <v>1841</v>
      </c>
      <c r="FDR368" s="643"/>
      <c r="FDS368" s="644"/>
      <c r="FDT368" s="644">
        <v>2013</v>
      </c>
      <c r="FDU368" s="644">
        <v>2014</v>
      </c>
      <c r="FDV368" s="644">
        <v>2015</v>
      </c>
      <c r="FDW368" s="644">
        <v>2016</v>
      </c>
      <c r="FDX368" s="644">
        <v>2017</v>
      </c>
      <c r="FDY368" s="645">
        <v>2018</v>
      </c>
      <c r="FDZ368" s="646">
        <v>2019</v>
      </c>
      <c r="FEA368" s="647">
        <v>2020</v>
      </c>
      <c r="FEB368" s="153"/>
      <c r="FEC368" s="153"/>
      <c r="FED368" s="153"/>
      <c r="FEE368" s="648"/>
      <c r="FEF368" s="641"/>
      <c r="FEG368" s="642" t="s">
        <v>1841</v>
      </c>
      <c r="FEH368" s="643"/>
      <c r="FEI368" s="644"/>
      <c r="FEJ368" s="644">
        <v>2013</v>
      </c>
      <c r="FEK368" s="644">
        <v>2014</v>
      </c>
      <c r="FEL368" s="644">
        <v>2015</v>
      </c>
      <c r="FEM368" s="644">
        <v>2016</v>
      </c>
      <c r="FEN368" s="644">
        <v>2017</v>
      </c>
      <c r="FEO368" s="645">
        <v>2018</v>
      </c>
      <c r="FEP368" s="646">
        <v>2019</v>
      </c>
      <c r="FEQ368" s="647">
        <v>2020</v>
      </c>
      <c r="FER368" s="153"/>
      <c r="FES368" s="153"/>
      <c r="FET368" s="153"/>
      <c r="FEU368" s="648"/>
      <c r="FEV368" s="641"/>
      <c r="FEW368" s="642" t="s">
        <v>1841</v>
      </c>
      <c r="FEX368" s="643"/>
      <c r="FEY368" s="644"/>
      <c r="FEZ368" s="644">
        <v>2013</v>
      </c>
      <c r="FFA368" s="644">
        <v>2014</v>
      </c>
      <c r="FFB368" s="644">
        <v>2015</v>
      </c>
      <c r="FFC368" s="644">
        <v>2016</v>
      </c>
      <c r="FFD368" s="644">
        <v>2017</v>
      </c>
      <c r="FFE368" s="645">
        <v>2018</v>
      </c>
      <c r="FFF368" s="646">
        <v>2019</v>
      </c>
      <c r="FFG368" s="647">
        <v>2020</v>
      </c>
      <c r="FFH368" s="153"/>
      <c r="FFI368" s="153"/>
      <c r="FFJ368" s="153"/>
      <c r="FFK368" s="648"/>
      <c r="FFL368" s="641"/>
      <c r="FFM368" s="642" t="s">
        <v>1841</v>
      </c>
      <c r="FFN368" s="643"/>
      <c r="FFO368" s="644"/>
      <c r="FFP368" s="644">
        <v>2013</v>
      </c>
      <c r="FFQ368" s="644">
        <v>2014</v>
      </c>
      <c r="FFR368" s="644">
        <v>2015</v>
      </c>
      <c r="FFS368" s="644">
        <v>2016</v>
      </c>
      <c r="FFT368" s="644">
        <v>2017</v>
      </c>
      <c r="FFU368" s="645">
        <v>2018</v>
      </c>
      <c r="FFV368" s="646">
        <v>2019</v>
      </c>
      <c r="FFW368" s="647">
        <v>2020</v>
      </c>
      <c r="FFX368" s="153"/>
      <c r="FFY368" s="153"/>
      <c r="FFZ368" s="153"/>
      <c r="FGA368" s="648"/>
      <c r="FGB368" s="641"/>
      <c r="FGC368" s="642" t="s">
        <v>1841</v>
      </c>
      <c r="FGD368" s="643"/>
      <c r="FGE368" s="644"/>
      <c r="FGF368" s="644">
        <v>2013</v>
      </c>
      <c r="FGG368" s="644">
        <v>2014</v>
      </c>
      <c r="FGH368" s="644">
        <v>2015</v>
      </c>
      <c r="FGI368" s="644">
        <v>2016</v>
      </c>
      <c r="FGJ368" s="644">
        <v>2017</v>
      </c>
      <c r="FGK368" s="645">
        <v>2018</v>
      </c>
      <c r="FGL368" s="646">
        <v>2019</v>
      </c>
      <c r="FGM368" s="647">
        <v>2020</v>
      </c>
      <c r="FGN368" s="153"/>
      <c r="FGO368" s="153"/>
      <c r="FGP368" s="153"/>
      <c r="FGQ368" s="648"/>
      <c r="FGR368" s="641"/>
      <c r="FGS368" s="642" t="s">
        <v>1841</v>
      </c>
      <c r="FGT368" s="643"/>
      <c r="FGU368" s="644"/>
      <c r="FGV368" s="644">
        <v>2013</v>
      </c>
      <c r="FGW368" s="644">
        <v>2014</v>
      </c>
      <c r="FGX368" s="644">
        <v>2015</v>
      </c>
      <c r="FGY368" s="644">
        <v>2016</v>
      </c>
      <c r="FGZ368" s="644">
        <v>2017</v>
      </c>
      <c r="FHA368" s="645">
        <v>2018</v>
      </c>
      <c r="FHB368" s="646">
        <v>2019</v>
      </c>
      <c r="FHC368" s="647">
        <v>2020</v>
      </c>
      <c r="FHD368" s="153"/>
      <c r="FHE368" s="153"/>
      <c r="FHF368" s="153"/>
      <c r="FHG368" s="648"/>
      <c r="FHH368" s="641"/>
      <c r="FHI368" s="642" t="s">
        <v>1841</v>
      </c>
      <c r="FHJ368" s="643"/>
      <c r="FHK368" s="644"/>
      <c r="FHL368" s="644">
        <v>2013</v>
      </c>
      <c r="FHM368" s="644">
        <v>2014</v>
      </c>
      <c r="FHN368" s="644">
        <v>2015</v>
      </c>
      <c r="FHO368" s="644">
        <v>2016</v>
      </c>
      <c r="FHP368" s="644">
        <v>2017</v>
      </c>
      <c r="FHQ368" s="645">
        <v>2018</v>
      </c>
      <c r="FHR368" s="646">
        <v>2019</v>
      </c>
      <c r="FHS368" s="647">
        <v>2020</v>
      </c>
      <c r="FHT368" s="153"/>
      <c r="FHU368" s="153"/>
      <c r="FHV368" s="153"/>
      <c r="FHW368" s="648"/>
      <c r="FHX368" s="641"/>
      <c r="FHY368" s="642" t="s">
        <v>1841</v>
      </c>
      <c r="FHZ368" s="643"/>
      <c r="FIA368" s="644"/>
      <c r="FIB368" s="644">
        <v>2013</v>
      </c>
      <c r="FIC368" s="644">
        <v>2014</v>
      </c>
      <c r="FID368" s="644">
        <v>2015</v>
      </c>
      <c r="FIE368" s="644">
        <v>2016</v>
      </c>
      <c r="FIF368" s="644">
        <v>2017</v>
      </c>
      <c r="FIG368" s="645">
        <v>2018</v>
      </c>
      <c r="FIH368" s="646">
        <v>2019</v>
      </c>
      <c r="FII368" s="647">
        <v>2020</v>
      </c>
      <c r="FIJ368" s="153"/>
      <c r="FIK368" s="153"/>
      <c r="FIL368" s="153"/>
      <c r="FIM368" s="648"/>
      <c r="FIN368" s="641"/>
      <c r="FIO368" s="642" t="s">
        <v>1841</v>
      </c>
      <c r="FIP368" s="643"/>
      <c r="FIQ368" s="644"/>
      <c r="FIR368" s="644">
        <v>2013</v>
      </c>
      <c r="FIS368" s="644">
        <v>2014</v>
      </c>
      <c r="FIT368" s="644">
        <v>2015</v>
      </c>
      <c r="FIU368" s="644">
        <v>2016</v>
      </c>
      <c r="FIV368" s="644">
        <v>2017</v>
      </c>
      <c r="FIW368" s="645">
        <v>2018</v>
      </c>
      <c r="FIX368" s="646">
        <v>2019</v>
      </c>
      <c r="FIY368" s="647">
        <v>2020</v>
      </c>
      <c r="FIZ368" s="153"/>
      <c r="FJA368" s="153"/>
      <c r="FJB368" s="153"/>
      <c r="FJC368" s="648"/>
      <c r="FJD368" s="641"/>
      <c r="FJE368" s="642" t="s">
        <v>1841</v>
      </c>
      <c r="FJF368" s="643"/>
      <c r="FJG368" s="644"/>
      <c r="FJH368" s="644">
        <v>2013</v>
      </c>
      <c r="FJI368" s="644">
        <v>2014</v>
      </c>
      <c r="FJJ368" s="644">
        <v>2015</v>
      </c>
      <c r="FJK368" s="644">
        <v>2016</v>
      </c>
      <c r="FJL368" s="644">
        <v>2017</v>
      </c>
      <c r="FJM368" s="645">
        <v>2018</v>
      </c>
      <c r="FJN368" s="646">
        <v>2019</v>
      </c>
      <c r="FJO368" s="647">
        <v>2020</v>
      </c>
      <c r="FJP368" s="153"/>
      <c r="FJQ368" s="153"/>
      <c r="FJR368" s="153"/>
      <c r="FJS368" s="648"/>
      <c r="FJT368" s="641"/>
      <c r="FJU368" s="642" t="s">
        <v>1841</v>
      </c>
      <c r="FJV368" s="643"/>
      <c r="FJW368" s="644"/>
      <c r="FJX368" s="644">
        <v>2013</v>
      </c>
      <c r="FJY368" s="644">
        <v>2014</v>
      </c>
      <c r="FJZ368" s="644">
        <v>2015</v>
      </c>
      <c r="FKA368" s="644">
        <v>2016</v>
      </c>
      <c r="FKB368" s="644">
        <v>2017</v>
      </c>
      <c r="FKC368" s="645">
        <v>2018</v>
      </c>
      <c r="FKD368" s="646">
        <v>2019</v>
      </c>
      <c r="FKE368" s="647">
        <v>2020</v>
      </c>
      <c r="FKF368" s="153"/>
      <c r="FKG368" s="153"/>
      <c r="FKH368" s="153"/>
      <c r="FKI368" s="648"/>
      <c r="FKJ368" s="641"/>
      <c r="FKK368" s="642" t="s">
        <v>1841</v>
      </c>
      <c r="FKL368" s="643"/>
      <c r="FKM368" s="644"/>
      <c r="FKN368" s="644">
        <v>2013</v>
      </c>
      <c r="FKO368" s="644">
        <v>2014</v>
      </c>
      <c r="FKP368" s="644">
        <v>2015</v>
      </c>
      <c r="FKQ368" s="644">
        <v>2016</v>
      </c>
      <c r="FKR368" s="644">
        <v>2017</v>
      </c>
      <c r="FKS368" s="645">
        <v>2018</v>
      </c>
      <c r="FKT368" s="646">
        <v>2019</v>
      </c>
      <c r="FKU368" s="647">
        <v>2020</v>
      </c>
      <c r="FKV368" s="153"/>
      <c r="FKW368" s="153"/>
      <c r="FKX368" s="153"/>
      <c r="FKY368" s="648"/>
      <c r="FKZ368" s="641"/>
      <c r="FLA368" s="642" t="s">
        <v>1841</v>
      </c>
      <c r="FLB368" s="643"/>
      <c r="FLC368" s="644"/>
      <c r="FLD368" s="644">
        <v>2013</v>
      </c>
      <c r="FLE368" s="644">
        <v>2014</v>
      </c>
      <c r="FLF368" s="644">
        <v>2015</v>
      </c>
      <c r="FLG368" s="644">
        <v>2016</v>
      </c>
      <c r="FLH368" s="644">
        <v>2017</v>
      </c>
      <c r="FLI368" s="645">
        <v>2018</v>
      </c>
      <c r="FLJ368" s="646">
        <v>2019</v>
      </c>
      <c r="FLK368" s="647">
        <v>2020</v>
      </c>
      <c r="FLL368" s="153"/>
      <c r="FLM368" s="153"/>
      <c r="FLN368" s="153"/>
      <c r="FLO368" s="648"/>
      <c r="FLP368" s="641"/>
      <c r="FLQ368" s="642" t="s">
        <v>1841</v>
      </c>
      <c r="FLR368" s="643"/>
      <c r="FLS368" s="644"/>
      <c r="FLT368" s="644">
        <v>2013</v>
      </c>
      <c r="FLU368" s="644">
        <v>2014</v>
      </c>
      <c r="FLV368" s="644">
        <v>2015</v>
      </c>
      <c r="FLW368" s="644">
        <v>2016</v>
      </c>
      <c r="FLX368" s="644">
        <v>2017</v>
      </c>
      <c r="FLY368" s="645">
        <v>2018</v>
      </c>
      <c r="FLZ368" s="646">
        <v>2019</v>
      </c>
      <c r="FMA368" s="647">
        <v>2020</v>
      </c>
      <c r="FMB368" s="153"/>
      <c r="FMC368" s="153"/>
      <c r="FMD368" s="153"/>
      <c r="FME368" s="648"/>
      <c r="FMF368" s="641"/>
      <c r="FMG368" s="642" t="s">
        <v>1841</v>
      </c>
      <c r="FMH368" s="643"/>
      <c r="FMI368" s="644"/>
      <c r="FMJ368" s="644">
        <v>2013</v>
      </c>
      <c r="FMK368" s="644">
        <v>2014</v>
      </c>
      <c r="FML368" s="644">
        <v>2015</v>
      </c>
      <c r="FMM368" s="644">
        <v>2016</v>
      </c>
      <c r="FMN368" s="644">
        <v>2017</v>
      </c>
      <c r="FMO368" s="645">
        <v>2018</v>
      </c>
      <c r="FMP368" s="646">
        <v>2019</v>
      </c>
      <c r="FMQ368" s="647">
        <v>2020</v>
      </c>
      <c r="FMR368" s="153"/>
      <c r="FMS368" s="153"/>
      <c r="FMT368" s="153"/>
      <c r="FMU368" s="648"/>
      <c r="FMV368" s="641"/>
      <c r="FMW368" s="642" t="s">
        <v>1841</v>
      </c>
      <c r="FMX368" s="643"/>
      <c r="FMY368" s="644"/>
      <c r="FMZ368" s="644">
        <v>2013</v>
      </c>
      <c r="FNA368" s="644">
        <v>2014</v>
      </c>
      <c r="FNB368" s="644">
        <v>2015</v>
      </c>
      <c r="FNC368" s="644">
        <v>2016</v>
      </c>
      <c r="FND368" s="644">
        <v>2017</v>
      </c>
      <c r="FNE368" s="645">
        <v>2018</v>
      </c>
      <c r="FNF368" s="646">
        <v>2019</v>
      </c>
      <c r="FNG368" s="647">
        <v>2020</v>
      </c>
      <c r="FNH368" s="153"/>
      <c r="FNI368" s="153"/>
      <c r="FNJ368" s="153"/>
      <c r="FNK368" s="648"/>
      <c r="FNL368" s="641"/>
      <c r="FNM368" s="642" t="s">
        <v>1841</v>
      </c>
      <c r="FNN368" s="643"/>
      <c r="FNO368" s="644"/>
      <c r="FNP368" s="644">
        <v>2013</v>
      </c>
      <c r="FNQ368" s="644">
        <v>2014</v>
      </c>
      <c r="FNR368" s="644">
        <v>2015</v>
      </c>
      <c r="FNS368" s="644">
        <v>2016</v>
      </c>
      <c r="FNT368" s="644">
        <v>2017</v>
      </c>
      <c r="FNU368" s="645">
        <v>2018</v>
      </c>
      <c r="FNV368" s="646">
        <v>2019</v>
      </c>
      <c r="FNW368" s="647">
        <v>2020</v>
      </c>
      <c r="FNX368" s="153"/>
      <c r="FNY368" s="153"/>
      <c r="FNZ368" s="153"/>
      <c r="FOA368" s="648"/>
      <c r="FOB368" s="641"/>
      <c r="FOC368" s="642" t="s">
        <v>1841</v>
      </c>
      <c r="FOD368" s="643"/>
      <c r="FOE368" s="644"/>
      <c r="FOF368" s="644">
        <v>2013</v>
      </c>
      <c r="FOG368" s="644">
        <v>2014</v>
      </c>
      <c r="FOH368" s="644">
        <v>2015</v>
      </c>
      <c r="FOI368" s="644">
        <v>2016</v>
      </c>
      <c r="FOJ368" s="644">
        <v>2017</v>
      </c>
      <c r="FOK368" s="645">
        <v>2018</v>
      </c>
      <c r="FOL368" s="646">
        <v>2019</v>
      </c>
      <c r="FOM368" s="647">
        <v>2020</v>
      </c>
      <c r="FON368" s="153"/>
      <c r="FOO368" s="153"/>
      <c r="FOP368" s="153"/>
      <c r="FOQ368" s="648"/>
      <c r="FOR368" s="641"/>
      <c r="FOS368" s="642" t="s">
        <v>1841</v>
      </c>
      <c r="FOT368" s="643"/>
      <c r="FOU368" s="644"/>
      <c r="FOV368" s="644">
        <v>2013</v>
      </c>
      <c r="FOW368" s="644">
        <v>2014</v>
      </c>
      <c r="FOX368" s="644">
        <v>2015</v>
      </c>
      <c r="FOY368" s="644">
        <v>2016</v>
      </c>
      <c r="FOZ368" s="644">
        <v>2017</v>
      </c>
      <c r="FPA368" s="645">
        <v>2018</v>
      </c>
      <c r="FPB368" s="646">
        <v>2019</v>
      </c>
      <c r="FPC368" s="647">
        <v>2020</v>
      </c>
      <c r="FPD368" s="153"/>
      <c r="FPE368" s="153"/>
      <c r="FPF368" s="153"/>
      <c r="FPG368" s="648"/>
      <c r="FPH368" s="641"/>
      <c r="FPI368" s="642" t="s">
        <v>1841</v>
      </c>
      <c r="FPJ368" s="643"/>
      <c r="FPK368" s="644"/>
      <c r="FPL368" s="644">
        <v>2013</v>
      </c>
      <c r="FPM368" s="644">
        <v>2014</v>
      </c>
      <c r="FPN368" s="644">
        <v>2015</v>
      </c>
      <c r="FPO368" s="644">
        <v>2016</v>
      </c>
      <c r="FPP368" s="644">
        <v>2017</v>
      </c>
      <c r="FPQ368" s="645">
        <v>2018</v>
      </c>
      <c r="FPR368" s="646">
        <v>2019</v>
      </c>
      <c r="FPS368" s="647">
        <v>2020</v>
      </c>
      <c r="FPT368" s="153"/>
      <c r="FPU368" s="153"/>
      <c r="FPV368" s="153"/>
      <c r="FPW368" s="648"/>
      <c r="FPX368" s="641"/>
      <c r="FPY368" s="642" t="s">
        <v>1841</v>
      </c>
      <c r="FPZ368" s="643"/>
      <c r="FQA368" s="644"/>
      <c r="FQB368" s="644">
        <v>2013</v>
      </c>
      <c r="FQC368" s="644">
        <v>2014</v>
      </c>
      <c r="FQD368" s="644">
        <v>2015</v>
      </c>
      <c r="FQE368" s="644">
        <v>2016</v>
      </c>
      <c r="FQF368" s="644">
        <v>2017</v>
      </c>
      <c r="FQG368" s="645">
        <v>2018</v>
      </c>
      <c r="FQH368" s="646">
        <v>2019</v>
      </c>
      <c r="FQI368" s="647">
        <v>2020</v>
      </c>
      <c r="FQJ368" s="153"/>
      <c r="FQK368" s="153"/>
      <c r="FQL368" s="153"/>
      <c r="FQM368" s="648"/>
      <c r="FQN368" s="641"/>
      <c r="FQO368" s="642" t="s">
        <v>1841</v>
      </c>
      <c r="FQP368" s="643"/>
      <c r="FQQ368" s="644"/>
      <c r="FQR368" s="644">
        <v>2013</v>
      </c>
      <c r="FQS368" s="644">
        <v>2014</v>
      </c>
      <c r="FQT368" s="644">
        <v>2015</v>
      </c>
      <c r="FQU368" s="644">
        <v>2016</v>
      </c>
      <c r="FQV368" s="644">
        <v>2017</v>
      </c>
      <c r="FQW368" s="645">
        <v>2018</v>
      </c>
      <c r="FQX368" s="646">
        <v>2019</v>
      </c>
      <c r="FQY368" s="647">
        <v>2020</v>
      </c>
      <c r="FQZ368" s="153"/>
      <c r="FRA368" s="153"/>
      <c r="FRB368" s="153"/>
      <c r="FRC368" s="648"/>
      <c r="FRD368" s="641"/>
      <c r="FRE368" s="642" t="s">
        <v>1841</v>
      </c>
      <c r="FRF368" s="643"/>
      <c r="FRG368" s="644"/>
      <c r="FRH368" s="644">
        <v>2013</v>
      </c>
      <c r="FRI368" s="644">
        <v>2014</v>
      </c>
      <c r="FRJ368" s="644">
        <v>2015</v>
      </c>
      <c r="FRK368" s="644">
        <v>2016</v>
      </c>
      <c r="FRL368" s="644">
        <v>2017</v>
      </c>
      <c r="FRM368" s="645">
        <v>2018</v>
      </c>
      <c r="FRN368" s="646">
        <v>2019</v>
      </c>
      <c r="FRO368" s="647">
        <v>2020</v>
      </c>
      <c r="FRP368" s="153"/>
      <c r="FRQ368" s="153"/>
      <c r="FRR368" s="153"/>
      <c r="FRS368" s="648"/>
      <c r="FRT368" s="641"/>
      <c r="FRU368" s="642" t="s">
        <v>1841</v>
      </c>
      <c r="FRV368" s="643"/>
      <c r="FRW368" s="644"/>
      <c r="FRX368" s="644">
        <v>2013</v>
      </c>
      <c r="FRY368" s="644">
        <v>2014</v>
      </c>
      <c r="FRZ368" s="644">
        <v>2015</v>
      </c>
      <c r="FSA368" s="644">
        <v>2016</v>
      </c>
      <c r="FSB368" s="644">
        <v>2017</v>
      </c>
      <c r="FSC368" s="645">
        <v>2018</v>
      </c>
      <c r="FSD368" s="646">
        <v>2019</v>
      </c>
      <c r="FSE368" s="647">
        <v>2020</v>
      </c>
      <c r="FSF368" s="153"/>
      <c r="FSG368" s="153"/>
      <c r="FSH368" s="153"/>
      <c r="FSI368" s="648"/>
      <c r="FSJ368" s="641"/>
      <c r="FSK368" s="642" t="s">
        <v>1841</v>
      </c>
      <c r="FSL368" s="643"/>
      <c r="FSM368" s="644"/>
      <c r="FSN368" s="644">
        <v>2013</v>
      </c>
      <c r="FSO368" s="644">
        <v>2014</v>
      </c>
      <c r="FSP368" s="644">
        <v>2015</v>
      </c>
      <c r="FSQ368" s="644">
        <v>2016</v>
      </c>
      <c r="FSR368" s="644">
        <v>2017</v>
      </c>
      <c r="FSS368" s="645">
        <v>2018</v>
      </c>
      <c r="FST368" s="646">
        <v>2019</v>
      </c>
      <c r="FSU368" s="647">
        <v>2020</v>
      </c>
      <c r="FSV368" s="153"/>
      <c r="FSW368" s="153"/>
      <c r="FSX368" s="153"/>
      <c r="FSY368" s="648"/>
      <c r="FSZ368" s="641"/>
      <c r="FTA368" s="642" t="s">
        <v>1841</v>
      </c>
      <c r="FTB368" s="643"/>
      <c r="FTC368" s="644"/>
      <c r="FTD368" s="644">
        <v>2013</v>
      </c>
      <c r="FTE368" s="644">
        <v>2014</v>
      </c>
      <c r="FTF368" s="644">
        <v>2015</v>
      </c>
      <c r="FTG368" s="644">
        <v>2016</v>
      </c>
      <c r="FTH368" s="644">
        <v>2017</v>
      </c>
      <c r="FTI368" s="645">
        <v>2018</v>
      </c>
      <c r="FTJ368" s="646">
        <v>2019</v>
      </c>
      <c r="FTK368" s="647">
        <v>2020</v>
      </c>
      <c r="FTL368" s="153"/>
      <c r="FTM368" s="153"/>
      <c r="FTN368" s="153"/>
      <c r="FTO368" s="648"/>
      <c r="FTP368" s="641"/>
      <c r="FTQ368" s="642" t="s">
        <v>1841</v>
      </c>
      <c r="FTR368" s="643"/>
      <c r="FTS368" s="644"/>
      <c r="FTT368" s="644">
        <v>2013</v>
      </c>
      <c r="FTU368" s="644">
        <v>2014</v>
      </c>
      <c r="FTV368" s="644">
        <v>2015</v>
      </c>
      <c r="FTW368" s="644">
        <v>2016</v>
      </c>
      <c r="FTX368" s="644">
        <v>2017</v>
      </c>
      <c r="FTY368" s="645">
        <v>2018</v>
      </c>
      <c r="FTZ368" s="646">
        <v>2019</v>
      </c>
      <c r="FUA368" s="647">
        <v>2020</v>
      </c>
      <c r="FUB368" s="153"/>
      <c r="FUC368" s="153"/>
      <c r="FUD368" s="153"/>
      <c r="FUE368" s="648"/>
      <c r="FUF368" s="641"/>
      <c r="FUG368" s="642" t="s">
        <v>1841</v>
      </c>
      <c r="FUH368" s="643"/>
      <c r="FUI368" s="644"/>
      <c r="FUJ368" s="644">
        <v>2013</v>
      </c>
      <c r="FUK368" s="644">
        <v>2014</v>
      </c>
      <c r="FUL368" s="644">
        <v>2015</v>
      </c>
      <c r="FUM368" s="644">
        <v>2016</v>
      </c>
      <c r="FUN368" s="644">
        <v>2017</v>
      </c>
      <c r="FUO368" s="645">
        <v>2018</v>
      </c>
      <c r="FUP368" s="646">
        <v>2019</v>
      </c>
      <c r="FUQ368" s="647">
        <v>2020</v>
      </c>
      <c r="FUR368" s="153"/>
      <c r="FUS368" s="153"/>
      <c r="FUT368" s="153"/>
      <c r="FUU368" s="648"/>
      <c r="FUV368" s="641"/>
      <c r="FUW368" s="642" t="s">
        <v>1841</v>
      </c>
      <c r="FUX368" s="643"/>
      <c r="FUY368" s="644"/>
      <c r="FUZ368" s="644">
        <v>2013</v>
      </c>
      <c r="FVA368" s="644">
        <v>2014</v>
      </c>
      <c r="FVB368" s="644">
        <v>2015</v>
      </c>
      <c r="FVC368" s="644">
        <v>2016</v>
      </c>
      <c r="FVD368" s="644">
        <v>2017</v>
      </c>
      <c r="FVE368" s="645">
        <v>2018</v>
      </c>
      <c r="FVF368" s="646">
        <v>2019</v>
      </c>
      <c r="FVG368" s="647">
        <v>2020</v>
      </c>
      <c r="FVH368" s="153"/>
      <c r="FVI368" s="153"/>
      <c r="FVJ368" s="153"/>
      <c r="FVK368" s="648"/>
      <c r="FVL368" s="641"/>
      <c r="FVM368" s="642" t="s">
        <v>1841</v>
      </c>
      <c r="FVN368" s="643"/>
      <c r="FVO368" s="644"/>
      <c r="FVP368" s="644">
        <v>2013</v>
      </c>
      <c r="FVQ368" s="644">
        <v>2014</v>
      </c>
      <c r="FVR368" s="644">
        <v>2015</v>
      </c>
      <c r="FVS368" s="644">
        <v>2016</v>
      </c>
      <c r="FVT368" s="644">
        <v>2017</v>
      </c>
      <c r="FVU368" s="645">
        <v>2018</v>
      </c>
      <c r="FVV368" s="646">
        <v>2019</v>
      </c>
      <c r="FVW368" s="647">
        <v>2020</v>
      </c>
      <c r="FVX368" s="153"/>
      <c r="FVY368" s="153"/>
      <c r="FVZ368" s="153"/>
      <c r="FWA368" s="648"/>
      <c r="FWB368" s="641"/>
      <c r="FWC368" s="642" t="s">
        <v>1841</v>
      </c>
      <c r="FWD368" s="643"/>
      <c r="FWE368" s="644"/>
      <c r="FWF368" s="644">
        <v>2013</v>
      </c>
      <c r="FWG368" s="644">
        <v>2014</v>
      </c>
      <c r="FWH368" s="644">
        <v>2015</v>
      </c>
      <c r="FWI368" s="644">
        <v>2016</v>
      </c>
      <c r="FWJ368" s="644">
        <v>2017</v>
      </c>
      <c r="FWK368" s="645">
        <v>2018</v>
      </c>
      <c r="FWL368" s="646">
        <v>2019</v>
      </c>
      <c r="FWM368" s="647">
        <v>2020</v>
      </c>
      <c r="FWN368" s="153"/>
      <c r="FWO368" s="153"/>
      <c r="FWP368" s="153"/>
      <c r="FWQ368" s="648"/>
      <c r="FWR368" s="641"/>
      <c r="FWS368" s="642" t="s">
        <v>1841</v>
      </c>
      <c r="FWT368" s="643"/>
      <c r="FWU368" s="644"/>
      <c r="FWV368" s="644">
        <v>2013</v>
      </c>
      <c r="FWW368" s="644">
        <v>2014</v>
      </c>
      <c r="FWX368" s="644">
        <v>2015</v>
      </c>
      <c r="FWY368" s="644">
        <v>2016</v>
      </c>
      <c r="FWZ368" s="644">
        <v>2017</v>
      </c>
      <c r="FXA368" s="645">
        <v>2018</v>
      </c>
      <c r="FXB368" s="646">
        <v>2019</v>
      </c>
      <c r="FXC368" s="647">
        <v>2020</v>
      </c>
      <c r="FXD368" s="153"/>
      <c r="FXE368" s="153"/>
      <c r="FXF368" s="153"/>
      <c r="FXG368" s="648"/>
      <c r="FXH368" s="641"/>
      <c r="FXI368" s="642" t="s">
        <v>1841</v>
      </c>
      <c r="FXJ368" s="643"/>
      <c r="FXK368" s="644"/>
      <c r="FXL368" s="644">
        <v>2013</v>
      </c>
      <c r="FXM368" s="644">
        <v>2014</v>
      </c>
      <c r="FXN368" s="644">
        <v>2015</v>
      </c>
      <c r="FXO368" s="644">
        <v>2016</v>
      </c>
      <c r="FXP368" s="644">
        <v>2017</v>
      </c>
      <c r="FXQ368" s="645">
        <v>2018</v>
      </c>
      <c r="FXR368" s="646">
        <v>2019</v>
      </c>
      <c r="FXS368" s="647">
        <v>2020</v>
      </c>
      <c r="FXT368" s="153"/>
      <c r="FXU368" s="153"/>
      <c r="FXV368" s="153"/>
      <c r="FXW368" s="648"/>
      <c r="FXX368" s="641"/>
      <c r="FXY368" s="642" t="s">
        <v>1841</v>
      </c>
      <c r="FXZ368" s="643"/>
      <c r="FYA368" s="644"/>
      <c r="FYB368" s="644">
        <v>2013</v>
      </c>
      <c r="FYC368" s="644">
        <v>2014</v>
      </c>
      <c r="FYD368" s="644">
        <v>2015</v>
      </c>
      <c r="FYE368" s="644">
        <v>2016</v>
      </c>
      <c r="FYF368" s="644">
        <v>2017</v>
      </c>
      <c r="FYG368" s="645">
        <v>2018</v>
      </c>
      <c r="FYH368" s="646">
        <v>2019</v>
      </c>
      <c r="FYI368" s="647">
        <v>2020</v>
      </c>
      <c r="FYJ368" s="153"/>
      <c r="FYK368" s="153"/>
      <c r="FYL368" s="153"/>
      <c r="FYM368" s="648"/>
      <c r="FYN368" s="641"/>
      <c r="FYO368" s="642" t="s">
        <v>1841</v>
      </c>
      <c r="FYP368" s="643"/>
      <c r="FYQ368" s="644"/>
      <c r="FYR368" s="644">
        <v>2013</v>
      </c>
      <c r="FYS368" s="644">
        <v>2014</v>
      </c>
      <c r="FYT368" s="644">
        <v>2015</v>
      </c>
      <c r="FYU368" s="644">
        <v>2016</v>
      </c>
      <c r="FYV368" s="644">
        <v>2017</v>
      </c>
      <c r="FYW368" s="645">
        <v>2018</v>
      </c>
      <c r="FYX368" s="646">
        <v>2019</v>
      </c>
      <c r="FYY368" s="647">
        <v>2020</v>
      </c>
      <c r="FYZ368" s="153"/>
      <c r="FZA368" s="153"/>
      <c r="FZB368" s="153"/>
      <c r="FZC368" s="648"/>
      <c r="FZD368" s="641"/>
      <c r="FZE368" s="642" t="s">
        <v>1841</v>
      </c>
      <c r="FZF368" s="643"/>
      <c r="FZG368" s="644"/>
      <c r="FZH368" s="644">
        <v>2013</v>
      </c>
      <c r="FZI368" s="644">
        <v>2014</v>
      </c>
      <c r="FZJ368" s="644">
        <v>2015</v>
      </c>
      <c r="FZK368" s="644">
        <v>2016</v>
      </c>
      <c r="FZL368" s="644">
        <v>2017</v>
      </c>
      <c r="FZM368" s="645">
        <v>2018</v>
      </c>
      <c r="FZN368" s="646">
        <v>2019</v>
      </c>
      <c r="FZO368" s="647">
        <v>2020</v>
      </c>
      <c r="FZP368" s="153"/>
      <c r="FZQ368" s="153"/>
      <c r="FZR368" s="153"/>
      <c r="FZS368" s="648"/>
      <c r="FZT368" s="641"/>
      <c r="FZU368" s="642" t="s">
        <v>1841</v>
      </c>
      <c r="FZV368" s="643"/>
      <c r="FZW368" s="644"/>
      <c r="FZX368" s="644">
        <v>2013</v>
      </c>
      <c r="FZY368" s="644">
        <v>2014</v>
      </c>
      <c r="FZZ368" s="644">
        <v>2015</v>
      </c>
      <c r="GAA368" s="644">
        <v>2016</v>
      </c>
      <c r="GAB368" s="644">
        <v>2017</v>
      </c>
      <c r="GAC368" s="645">
        <v>2018</v>
      </c>
      <c r="GAD368" s="646">
        <v>2019</v>
      </c>
      <c r="GAE368" s="647">
        <v>2020</v>
      </c>
      <c r="GAF368" s="153"/>
      <c r="GAG368" s="153"/>
      <c r="GAH368" s="153"/>
      <c r="GAI368" s="648"/>
      <c r="GAJ368" s="641"/>
      <c r="GAK368" s="642" t="s">
        <v>1841</v>
      </c>
      <c r="GAL368" s="643"/>
      <c r="GAM368" s="644"/>
      <c r="GAN368" s="644">
        <v>2013</v>
      </c>
      <c r="GAO368" s="644">
        <v>2014</v>
      </c>
      <c r="GAP368" s="644">
        <v>2015</v>
      </c>
      <c r="GAQ368" s="644">
        <v>2016</v>
      </c>
      <c r="GAR368" s="644">
        <v>2017</v>
      </c>
      <c r="GAS368" s="645">
        <v>2018</v>
      </c>
      <c r="GAT368" s="646">
        <v>2019</v>
      </c>
      <c r="GAU368" s="647">
        <v>2020</v>
      </c>
      <c r="GAV368" s="153"/>
      <c r="GAW368" s="153"/>
      <c r="GAX368" s="153"/>
      <c r="GAY368" s="648"/>
      <c r="GAZ368" s="641"/>
      <c r="GBA368" s="642" t="s">
        <v>1841</v>
      </c>
      <c r="GBB368" s="643"/>
      <c r="GBC368" s="644"/>
      <c r="GBD368" s="644">
        <v>2013</v>
      </c>
      <c r="GBE368" s="644">
        <v>2014</v>
      </c>
      <c r="GBF368" s="644">
        <v>2015</v>
      </c>
      <c r="GBG368" s="644">
        <v>2016</v>
      </c>
      <c r="GBH368" s="644">
        <v>2017</v>
      </c>
      <c r="GBI368" s="645">
        <v>2018</v>
      </c>
      <c r="GBJ368" s="646">
        <v>2019</v>
      </c>
      <c r="GBK368" s="647">
        <v>2020</v>
      </c>
      <c r="GBL368" s="153"/>
      <c r="GBM368" s="153"/>
      <c r="GBN368" s="153"/>
      <c r="GBO368" s="648"/>
      <c r="GBP368" s="641"/>
      <c r="GBQ368" s="642" t="s">
        <v>1841</v>
      </c>
      <c r="GBR368" s="643"/>
      <c r="GBS368" s="644"/>
      <c r="GBT368" s="644">
        <v>2013</v>
      </c>
      <c r="GBU368" s="644">
        <v>2014</v>
      </c>
      <c r="GBV368" s="644">
        <v>2015</v>
      </c>
      <c r="GBW368" s="644">
        <v>2016</v>
      </c>
      <c r="GBX368" s="644">
        <v>2017</v>
      </c>
      <c r="GBY368" s="645">
        <v>2018</v>
      </c>
      <c r="GBZ368" s="646">
        <v>2019</v>
      </c>
      <c r="GCA368" s="647">
        <v>2020</v>
      </c>
      <c r="GCB368" s="153"/>
      <c r="GCC368" s="153"/>
      <c r="GCD368" s="153"/>
      <c r="GCE368" s="648"/>
      <c r="GCF368" s="641"/>
      <c r="GCG368" s="642" t="s">
        <v>1841</v>
      </c>
      <c r="GCH368" s="643"/>
      <c r="GCI368" s="644"/>
      <c r="GCJ368" s="644">
        <v>2013</v>
      </c>
      <c r="GCK368" s="644">
        <v>2014</v>
      </c>
      <c r="GCL368" s="644">
        <v>2015</v>
      </c>
      <c r="GCM368" s="644">
        <v>2016</v>
      </c>
      <c r="GCN368" s="644">
        <v>2017</v>
      </c>
      <c r="GCO368" s="645">
        <v>2018</v>
      </c>
      <c r="GCP368" s="646">
        <v>2019</v>
      </c>
      <c r="GCQ368" s="647">
        <v>2020</v>
      </c>
      <c r="GCR368" s="153"/>
      <c r="GCS368" s="153"/>
      <c r="GCT368" s="153"/>
      <c r="GCU368" s="648"/>
      <c r="GCV368" s="641"/>
      <c r="GCW368" s="642" t="s">
        <v>1841</v>
      </c>
      <c r="GCX368" s="643"/>
      <c r="GCY368" s="644"/>
      <c r="GCZ368" s="644">
        <v>2013</v>
      </c>
      <c r="GDA368" s="644">
        <v>2014</v>
      </c>
      <c r="GDB368" s="644">
        <v>2015</v>
      </c>
      <c r="GDC368" s="644">
        <v>2016</v>
      </c>
      <c r="GDD368" s="644">
        <v>2017</v>
      </c>
      <c r="GDE368" s="645">
        <v>2018</v>
      </c>
      <c r="GDF368" s="646">
        <v>2019</v>
      </c>
      <c r="GDG368" s="647">
        <v>2020</v>
      </c>
      <c r="GDH368" s="153"/>
      <c r="GDI368" s="153"/>
      <c r="GDJ368" s="153"/>
      <c r="GDK368" s="648"/>
      <c r="GDL368" s="641"/>
      <c r="GDM368" s="642" t="s">
        <v>1841</v>
      </c>
      <c r="GDN368" s="643"/>
      <c r="GDO368" s="644"/>
      <c r="GDP368" s="644">
        <v>2013</v>
      </c>
      <c r="GDQ368" s="644">
        <v>2014</v>
      </c>
      <c r="GDR368" s="644">
        <v>2015</v>
      </c>
      <c r="GDS368" s="644">
        <v>2016</v>
      </c>
      <c r="GDT368" s="644">
        <v>2017</v>
      </c>
      <c r="GDU368" s="645">
        <v>2018</v>
      </c>
      <c r="GDV368" s="646">
        <v>2019</v>
      </c>
      <c r="GDW368" s="647">
        <v>2020</v>
      </c>
      <c r="GDX368" s="153"/>
      <c r="GDY368" s="153"/>
      <c r="GDZ368" s="153"/>
      <c r="GEA368" s="648"/>
      <c r="GEB368" s="641"/>
      <c r="GEC368" s="642" t="s">
        <v>1841</v>
      </c>
      <c r="GED368" s="643"/>
      <c r="GEE368" s="644"/>
      <c r="GEF368" s="644">
        <v>2013</v>
      </c>
      <c r="GEG368" s="644">
        <v>2014</v>
      </c>
      <c r="GEH368" s="644">
        <v>2015</v>
      </c>
      <c r="GEI368" s="644">
        <v>2016</v>
      </c>
      <c r="GEJ368" s="644">
        <v>2017</v>
      </c>
      <c r="GEK368" s="645">
        <v>2018</v>
      </c>
      <c r="GEL368" s="646">
        <v>2019</v>
      </c>
      <c r="GEM368" s="647">
        <v>2020</v>
      </c>
      <c r="GEN368" s="153"/>
      <c r="GEO368" s="153"/>
      <c r="GEP368" s="153"/>
      <c r="GEQ368" s="648"/>
      <c r="GER368" s="641"/>
      <c r="GES368" s="642" t="s">
        <v>1841</v>
      </c>
      <c r="GET368" s="643"/>
      <c r="GEU368" s="644"/>
      <c r="GEV368" s="644">
        <v>2013</v>
      </c>
      <c r="GEW368" s="644">
        <v>2014</v>
      </c>
      <c r="GEX368" s="644">
        <v>2015</v>
      </c>
      <c r="GEY368" s="644">
        <v>2016</v>
      </c>
      <c r="GEZ368" s="644">
        <v>2017</v>
      </c>
      <c r="GFA368" s="645">
        <v>2018</v>
      </c>
      <c r="GFB368" s="646">
        <v>2019</v>
      </c>
      <c r="GFC368" s="647">
        <v>2020</v>
      </c>
      <c r="GFD368" s="153"/>
      <c r="GFE368" s="153"/>
      <c r="GFF368" s="153"/>
      <c r="GFG368" s="648"/>
      <c r="GFH368" s="641"/>
      <c r="GFI368" s="642" t="s">
        <v>1841</v>
      </c>
      <c r="GFJ368" s="643"/>
      <c r="GFK368" s="644"/>
      <c r="GFL368" s="644">
        <v>2013</v>
      </c>
      <c r="GFM368" s="644">
        <v>2014</v>
      </c>
      <c r="GFN368" s="644">
        <v>2015</v>
      </c>
      <c r="GFO368" s="644">
        <v>2016</v>
      </c>
      <c r="GFP368" s="644">
        <v>2017</v>
      </c>
      <c r="GFQ368" s="645">
        <v>2018</v>
      </c>
      <c r="GFR368" s="646">
        <v>2019</v>
      </c>
      <c r="GFS368" s="647">
        <v>2020</v>
      </c>
      <c r="GFT368" s="153"/>
      <c r="GFU368" s="153"/>
      <c r="GFV368" s="153"/>
      <c r="GFW368" s="648"/>
      <c r="GFX368" s="641"/>
      <c r="GFY368" s="642" t="s">
        <v>1841</v>
      </c>
      <c r="GFZ368" s="643"/>
      <c r="GGA368" s="644"/>
      <c r="GGB368" s="644">
        <v>2013</v>
      </c>
      <c r="GGC368" s="644">
        <v>2014</v>
      </c>
      <c r="GGD368" s="644">
        <v>2015</v>
      </c>
      <c r="GGE368" s="644">
        <v>2016</v>
      </c>
      <c r="GGF368" s="644">
        <v>2017</v>
      </c>
      <c r="GGG368" s="645">
        <v>2018</v>
      </c>
      <c r="GGH368" s="646">
        <v>2019</v>
      </c>
      <c r="GGI368" s="647">
        <v>2020</v>
      </c>
      <c r="GGJ368" s="153"/>
      <c r="GGK368" s="153"/>
      <c r="GGL368" s="153"/>
      <c r="GGM368" s="648"/>
      <c r="GGN368" s="641"/>
      <c r="GGO368" s="642" t="s">
        <v>1841</v>
      </c>
      <c r="GGP368" s="643"/>
      <c r="GGQ368" s="644"/>
      <c r="GGR368" s="644">
        <v>2013</v>
      </c>
      <c r="GGS368" s="644">
        <v>2014</v>
      </c>
      <c r="GGT368" s="644">
        <v>2015</v>
      </c>
      <c r="GGU368" s="644">
        <v>2016</v>
      </c>
      <c r="GGV368" s="644">
        <v>2017</v>
      </c>
      <c r="GGW368" s="645">
        <v>2018</v>
      </c>
      <c r="GGX368" s="646">
        <v>2019</v>
      </c>
      <c r="GGY368" s="647">
        <v>2020</v>
      </c>
      <c r="GGZ368" s="153"/>
      <c r="GHA368" s="153"/>
      <c r="GHB368" s="153"/>
      <c r="GHC368" s="648"/>
      <c r="GHD368" s="641"/>
      <c r="GHE368" s="642" t="s">
        <v>1841</v>
      </c>
      <c r="GHF368" s="643"/>
      <c r="GHG368" s="644"/>
      <c r="GHH368" s="644">
        <v>2013</v>
      </c>
      <c r="GHI368" s="644">
        <v>2014</v>
      </c>
      <c r="GHJ368" s="644">
        <v>2015</v>
      </c>
      <c r="GHK368" s="644">
        <v>2016</v>
      </c>
      <c r="GHL368" s="644">
        <v>2017</v>
      </c>
      <c r="GHM368" s="645">
        <v>2018</v>
      </c>
      <c r="GHN368" s="646">
        <v>2019</v>
      </c>
      <c r="GHO368" s="647">
        <v>2020</v>
      </c>
      <c r="GHP368" s="153"/>
      <c r="GHQ368" s="153"/>
      <c r="GHR368" s="153"/>
      <c r="GHS368" s="648"/>
      <c r="GHT368" s="641"/>
      <c r="GHU368" s="642" t="s">
        <v>1841</v>
      </c>
      <c r="GHV368" s="643"/>
      <c r="GHW368" s="644"/>
      <c r="GHX368" s="644">
        <v>2013</v>
      </c>
      <c r="GHY368" s="644">
        <v>2014</v>
      </c>
      <c r="GHZ368" s="644">
        <v>2015</v>
      </c>
      <c r="GIA368" s="644">
        <v>2016</v>
      </c>
      <c r="GIB368" s="644">
        <v>2017</v>
      </c>
      <c r="GIC368" s="645">
        <v>2018</v>
      </c>
      <c r="GID368" s="646">
        <v>2019</v>
      </c>
      <c r="GIE368" s="647">
        <v>2020</v>
      </c>
      <c r="GIF368" s="153"/>
      <c r="GIG368" s="153"/>
      <c r="GIH368" s="153"/>
      <c r="GII368" s="648"/>
      <c r="GIJ368" s="641"/>
      <c r="GIK368" s="642" t="s">
        <v>1841</v>
      </c>
      <c r="GIL368" s="643"/>
      <c r="GIM368" s="644"/>
      <c r="GIN368" s="644">
        <v>2013</v>
      </c>
      <c r="GIO368" s="644">
        <v>2014</v>
      </c>
      <c r="GIP368" s="644">
        <v>2015</v>
      </c>
      <c r="GIQ368" s="644">
        <v>2016</v>
      </c>
      <c r="GIR368" s="644">
        <v>2017</v>
      </c>
      <c r="GIS368" s="645">
        <v>2018</v>
      </c>
      <c r="GIT368" s="646">
        <v>2019</v>
      </c>
      <c r="GIU368" s="647">
        <v>2020</v>
      </c>
      <c r="GIV368" s="153"/>
      <c r="GIW368" s="153"/>
      <c r="GIX368" s="153"/>
      <c r="GIY368" s="648"/>
      <c r="GIZ368" s="641"/>
      <c r="GJA368" s="642" t="s">
        <v>1841</v>
      </c>
      <c r="GJB368" s="643"/>
      <c r="GJC368" s="644"/>
      <c r="GJD368" s="644">
        <v>2013</v>
      </c>
      <c r="GJE368" s="644">
        <v>2014</v>
      </c>
      <c r="GJF368" s="644">
        <v>2015</v>
      </c>
      <c r="GJG368" s="644">
        <v>2016</v>
      </c>
      <c r="GJH368" s="644">
        <v>2017</v>
      </c>
      <c r="GJI368" s="645">
        <v>2018</v>
      </c>
      <c r="GJJ368" s="646">
        <v>2019</v>
      </c>
      <c r="GJK368" s="647">
        <v>2020</v>
      </c>
      <c r="GJL368" s="153"/>
      <c r="GJM368" s="153"/>
      <c r="GJN368" s="153"/>
      <c r="GJO368" s="648"/>
      <c r="GJP368" s="641"/>
      <c r="GJQ368" s="642" t="s">
        <v>1841</v>
      </c>
      <c r="GJR368" s="643"/>
      <c r="GJS368" s="644"/>
      <c r="GJT368" s="644">
        <v>2013</v>
      </c>
      <c r="GJU368" s="644">
        <v>2014</v>
      </c>
      <c r="GJV368" s="644">
        <v>2015</v>
      </c>
      <c r="GJW368" s="644">
        <v>2016</v>
      </c>
      <c r="GJX368" s="644">
        <v>2017</v>
      </c>
      <c r="GJY368" s="645">
        <v>2018</v>
      </c>
      <c r="GJZ368" s="646">
        <v>2019</v>
      </c>
      <c r="GKA368" s="647">
        <v>2020</v>
      </c>
      <c r="GKB368" s="153"/>
      <c r="GKC368" s="153"/>
      <c r="GKD368" s="153"/>
      <c r="GKE368" s="648"/>
      <c r="GKF368" s="641"/>
      <c r="GKG368" s="642" t="s">
        <v>1841</v>
      </c>
      <c r="GKH368" s="643"/>
      <c r="GKI368" s="644"/>
      <c r="GKJ368" s="644">
        <v>2013</v>
      </c>
      <c r="GKK368" s="644">
        <v>2014</v>
      </c>
      <c r="GKL368" s="644">
        <v>2015</v>
      </c>
      <c r="GKM368" s="644">
        <v>2016</v>
      </c>
      <c r="GKN368" s="644">
        <v>2017</v>
      </c>
      <c r="GKO368" s="645">
        <v>2018</v>
      </c>
      <c r="GKP368" s="646">
        <v>2019</v>
      </c>
      <c r="GKQ368" s="647">
        <v>2020</v>
      </c>
      <c r="GKR368" s="153"/>
      <c r="GKS368" s="153"/>
      <c r="GKT368" s="153"/>
      <c r="GKU368" s="648"/>
      <c r="GKV368" s="641"/>
      <c r="GKW368" s="642" t="s">
        <v>1841</v>
      </c>
      <c r="GKX368" s="643"/>
      <c r="GKY368" s="644"/>
      <c r="GKZ368" s="644">
        <v>2013</v>
      </c>
      <c r="GLA368" s="644">
        <v>2014</v>
      </c>
      <c r="GLB368" s="644">
        <v>2015</v>
      </c>
      <c r="GLC368" s="644">
        <v>2016</v>
      </c>
      <c r="GLD368" s="644">
        <v>2017</v>
      </c>
      <c r="GLE368" s="645">
        <v>2018</v>
      </c>
      <c r="GLF368" s="646">
        <v>2019</v>
      </c>
      <c r="GLG368" s="647">
        <v>2020</v>
      </c>
      <c r="GLH368" s="153"/>
      <c r="GLI368" s="153"/>
      <c r="GLJ368" s="153"/>
      <c r="GLK368" s="648"/>
      <c r="GLL368" s="641"/>
      <c r="GLM368" s="642" t="s">
        <v>1841</v>
      </c>
      <c r="GLN368" s="643"/>
      <c r="GLO368" s="644"/>
      <c r="GLP368" s="644">
        <v>2013</v>
      </c>
      <c r="GLQ368" s="644">
        <v>2014</v>
      </c>
      <c r="GLR368" s="644">
        <v>2015</v>
      </c>
      <c r="GLS368" s="644">
        <v>2016</v>
      </c>
      <c r="GLT368" s="644">
        <v>2017</v>
      </c>
      <c r="GLU368" s="645">
        <v>2018</v>
      </c>
      <c r="GLV368" s="646">
        <v>2019</v>
      </c>
      <c r="GLW368" s="647">
        <v>2020</v>
      </c>
      <c r="GLX368" s="153"/>
      <c r="GLY368" s="153"/>
      <c r="GLZ368" s="153"/>
      <c r="GMA368" s="648"/>
      <c r="GMB368" s="641"/>
      <c r="GMC368" s="642" t="s">
        <v>1841</v>
      </c>
      <c r="GMD368" s="643"/>
      <c r="GME368" s="644"/>
      <c r="GMF368" s="644">
        <v>2013</v>
      </c>
      <c r="GMG368" s="644">
        <v>2014</v>
      </c>
      <c r="GMH368" s="644">
        <v>2015</v>
      </c>
      <c r="GMI368" s="644">
        <v>2016</v>
      </c>
      <c r="GMJ368" s="644">
        <v>2017</v>
      </c>
      <c r="GMK368" s="645">
        <v>2018</v>
      </c>
      <c r="GML368" s="646">
        <v>2019</v>
      </c>
      <c r="GMM368" s="647">
        <v>2020</v>
      </c>
      <c r="GMN368" s="153"/>
      <c r="GMO368" s="153"/>
      <c r="GMP368" s="153"/>
      <c r="GMQ368" s="648"/>
      <c r="GMR368" s="641"/>
      <c r="GMS368" s="642" t="s">
        <v>1841</v>
      </c>
      <c r="GMT368" s="643"/>
      <c r="GMU368" s="644"/>
      <c r="GMV368" s="644">
        <v>2013</v>
      </c>
      <c r="GMW368" s="644">
        <v>2014</v>
      </c>
      <c r="GMX368" s="644">
        <v>2015</v>
      </c>
      <c r="GMY368" s="644">
        <v>2016</v>
      </c>
      <c r="GMZ368" s="644">
        <v>2017</v>
      </c>
      <c r="GNA368" s="645">
        <v>2018</v>
      </c>
      <c r="GNB368" s="646">
        <v>2019</v>
      </c>
      <c r="GNC368" s="647">
        <v>2020</v>
      </c>
      <c r="GND368" s="153"/>
      <c r="GNE368" s="153"/>
      <c r="GNF368" s="153"/>
      <c r="GNG368" s="648"/>
      <c r="GNH368" s="641"/>
      <c r="GNI368" s="642" t="s">
        <v>1841</v>
      </c>
      <c r="GNJ368" s="643"/>
      <c r="GNK368" s="644"/>
      <c r="GNL368" s="644">
        <v>2013</v>
      </c>
      <c r="GNM368" s="644">
        <v>2014</v>
      </c>
      <c r="GNN368" s="644">
        <v>2015</v>
      </c>
      <c r="GNO368" s="644">
        <v>2016</v>
      </c>
      <c r="GNP368" s="644">
        <v>2017</v>
      </c>
      <c r="GNQ368" s="645">
        <v>2018</v>
      </c>
      <c r="GNR368" s="646">
        <v>2019</v>
      </c>
      <c r="GNS368" s="647">
        <v>2020</v>
      </c>
      <c r="GNT368" s="153"/>
      <c r="GNU368" s="153"/>
      <c r="GNV368" s="153"/>
      <c r="GNW368" s="648"/>
      <c r="GNX368" s="641"/>
      <c r="GNY368" s="642" t="s">
        <v>1841</v>
      </c>
      <c r="GNZ368" s="643"/>
      <c r="GOA368" s="644"/>
      <c r="GOB368" s="644">
        <v>2013</v>
      </c>
      <c r="GOC368" s="644">
        <v>2014</v>
      </c>
      <c r="GOD368" s="644">
        <v>2015</v>
      </c>
      <c r="GOE368" s="644">
        <v>2016</v>
      </c>
      <c r="GOF368" s="644">
        <v>2017</v>
      </c>
      <c r="GOG368" s="645">
        <v>2018</v>
      </c>
      <c r="GOH368" s="646">
        <v>2019</v>
      </c>
      <c r="GOI368" s="647">
        <v>2020</v>
      </c>
      <c r="GOJ368" s="153"/>
      <c r="GOK368" s="153"/>
      <c r="GOL368" s="153"/>
      <c r="GOM368" s="648"/>
      <c r="GON368" s="641"/>
      <c r="GOO368" s="642" t="s">
        <v>1841</v>
      </c>
      <c r="GOP368" s="643"/>
      <c r="GOQ368" s="644"/>
      <c r="GOR368" s="644">
        <v>2013</v>
      </c>
      <c r="GOS368" s="644">
        <v>2014</v>
      </c>
      <c r="GOT368" s="644">
        <v>2015</v>
      </c>
      <c r="GOU368" s="644">
        <v>2016</v>
      </c>
      <c r="GOV368" s="644">
        <v>2017</v>
      </c>
      <c r="GOW368" s="645">
        <v>2018</v>
      </c>
      <c r="GOX368" s="646">
        <v>2019</v>
      </c>
      <c r="GOY368" s="647">
        <v>2020</v>
      </c>
      <c r="GOZ368" s="153"/>
      <c r="GPA368" s="153"/>
      <c r="GPB368" s="153"/>
      <c r="GPC368" s="648"/>
      <c r="GPD368" s="641"/>
      <c r="GPE368" s="642" t="s">
        <v>1841</v>
      </c>
      <c r="GPF368" s="643"/>
      <c r="GPG368" s="644"/>
      <c r="GPH368" s="644">
        <v>2013</v>
      </c>
      <c r="GPI368" s="644">
        <v>2014</v>
      </c>
      <c r="GPJ368" s="644">
        <v>2015</v>
      </c>
      <c r="GPK368" s="644">
        <v>2016</v>
      </c>
      <c r="GPL368" s="644">
        <v>2017</v>
      </c>
      <c r="GPM368" s="645">
        <v>2018</v>
      </c>
      <c r="GPN368" s="646">
        <v>2019</v>
      </c>
      <c r="GPO368" s="647">
        <v>2020</v>
      </c>
      <c r="GPP368" s="153"/>
      <c r="GPQ368" s="153"/>
      <c r="GPR368" s="153"/>
      <c r="GPS368" s="648"/>
      <c r="GPT368" s="641"/>
      <c r="GPU368" s="642" t="s">
        <v>1841</v>
      </c>
      <c r="GPV368" s="643"/>
      <c r="GPW368" s="644"/>
      <c r="GPX368" s="644">
        <v>2013</v>
      </c>
      <c r="GPY368" s="644">
        <v>2014</v>
      </c>
      <c r="GPZ368" s="644">
        <v>2015</v>
      </c>
      <c r="GQA368" s="644">
        <v>2016</v>
      </c>
      <c r="GQB368" s="644">
        <v>2017</v>
      </c>
      <c r="GQC368" s="645">
        <v>2018</v>
      </c>
      <c r="GQD368" s="646">
        <v>2019</v>
      </c>
      <c r="GQE368" s="647">
        <v>2020</v>
      </c>
      <c r="GQF368" s="153"/>
      <c r="GQG368" s="153"/>
      <c r="GQH368" s="153"/>
      <c r="GQI368" s="648"/>
      <c r="GQJ368" s="641"/>
      <c r="GQK368" s="642" t="s">
        <v>1841</v>
      </c>
      <c r="GQL368" s="643"/>
      <c r="GQM368" s="644"/>
      <c r="GQN368" s="644">
        <v>2013</v>
      </c>
      <c r="GQO368" s="644">
        <v>2014</v>
      </c>
      <c r="GQP368" s="644">
        <v>2015</v>
      </c>
      <c r="GQQ368" s="644">
        <v>2016</v>
      </c>
      <c r="GQR368" s="644">
        <v>2017</v>
      </c>
      <c r="GQS368" s="645">
        <v>2018</v>
      </c>
      <c r="GQT368" s="646">
        <v>2019</v>
      </c>
      <c r="GQU368" s="647">
        <v>2020</v>
      </c>
      <c r="GQV368" s="153"/>
      <c r="GQW368" s="153"/>
      <c r="GQX368" s="153"/>
      <c r="GQY368" s="648"/>
      <c r="GQZ368" s="641"/>
      <c r="GRA368" s="642" t="s">
        <v>1841</v>
      </c>
      <c r="GRB368" s="643"/>
      <c r="GRC368" s="644"/>
      <c r="GRD368" s="644">
        <v>2013</v>
      </c>
      <c r="GRE368" s="644">
        <v>2014</v>
      </c>
      <c r="GRF368" s="644">
        <v>2015</v>
      </c>
      <c r="GRG368" s="644">
        <v>2016</v>
      </c>
      <c r="GRH368" s="644">
        <v>2017</v>
      </c>
      <c r="GRI368" s="645">
        <v>2018</v>
      </c>
      <c r="GRJ368" s="646">
        <v>2019</v>
      </c>
      <c r="GRK368" s="647">
        <v>2020</v>
      </c>
      <c r="GRL368" s="153"/>
      <c r="GRM368" s="153"/>
      <c r="GRN368" s="153"/>
      <c r="GRO368" s="648"/>
      <c r="GRP368" s="641"/>
      <c r="GRQ368" s="642" t="s">
        <v>1841</v>
      </c>
      <c r="GRR368" s="643"/>
      <c r="GRS368" s="644"/>
      <c r="GRT368" s="644">
        <v>2013</v>
      </c>
      <c r="GRU368" s="644">
        <v>2014</v>
      </c>
      <c r="GRV368" s="644">
        <v>2015</v>
      </c>
      <c r="GRW368" s="644">
        <v>2016</v>
      </c>
      <c r="GRX368" s="644">
        <v>2017</v>
      </c>
      <c r="GRY368" s="645">
        <v>2018</v>
      </c>
      <c r="GRZ368" s="646">
        <v>2019</v>
      </c>
      <c r="GSA368" s="647">
        <v>2020</v>
      </c>
      <c r="GSB368" s="153"/>
      <c r="GSC368" s="153"/>
      <c r="GSD368" s="153"/>
      <c r="GSE368" s="648"/>
      <c r="GSF368" s="641"/>
      <c r="GSG368" s="642" t="s">
        <v>1841</v>
      </c>
      <c r="GSH368" s="643"/>
      <c r="GSI368" s="644"/>
      <c r="GSJ368" s="644">
        <v>2013</v>
      </c>
      <c r="GSK368" s="644">
        <v>2014</v>
      </c>
      <c r="GSL368" s="644">
        <v>2015</v>
      </c>
      <c r="GSM368" s="644">
        <v>2016</v>
      </c>
      <c r="GSN368" s="644">
        <v>2017</v>
      </c>
      <c r="GSO368" s="645">
        <v>2018</v>
      </c>
      <c r="GSP368" s="646">
        <v>2019</v>
      </c>
      <c r="GSQ368" s="647">
        <v>2020</v>
      </c>
      <c r="GSR368" s="153"/>
      <c r="GSS368" s="153"/>
      <c r="GST368" s="153"/>
      <c r="GSU368" s="648"/>
      <c r="GSV368" s="641"/>
      <c r="GSW368" s="642" t="s">
        <v>1841</v>
      </c>
      <c r="GSX368" s="643"/>
      <c r="GSY368" s="644"/>
      <c r="GSZ368" s="644">
        <v>2013</v>
      </c>
      <c r="GTA368" s="644">
        <v>2014</v>
      </c>
      <c r="GTB368" s="644">
        <v>2015</v>
      </c>
      <c r="GTC368" s="644">
        <v>2016</v>
      </c>
      <c r="GTD368" s="644">
        <v>2017</v>
      </c>
      <c r="GTE368" s="645">
        <v>2018</v>
      </c>
      <c r="GTF368" s="646">
        <v>2019</v>
      </c>
      <c r="GTG368" s="647">
        <v>2020</v>
      </c>
      <c r="GTH368" s="153"/>
      <c r="GTI368" s="153"/>
      <c r="GTJ368" s="153"/>
      <c r="GTK368" s="648"/>
      <c r="GTL368" s="641"/>
      <c r="GTM368" s="642" t="s">
        <v>1841</v>
      </c>
      <c r="GTN368" s="643"/>
      <c r="GTO368" s="644"/>
      <c r="GTP368" s="644">
        <v>2013</v>
      </c>
      <c r="GTQ368" s="644">
        <v>2014</v>
      </c>
      <c r="GTR368" s="644">
        <v>2015</v>
      </c>
      <c r="GTS368" s="644">
        <v>2016</v>
      </c>
      <c r="GTT368" s="644">
        <v>2017</v>
      </c>
      <c r="GTU368" s="645">
        <v>2018</v>
      </c>
      <c r="GTV368" s="646">
        <v>2019</v>
      </c>
      <c r="GTW368" s="647">
        <v>2020</v>
      </c>
      <c r="GTX368" s="153"/>
      <c r="GTY368" s="153"/>
      <c r="GTZ368" s="153"/>
      <c r="GUA368" s="648"/>
      <c r="GUB368" s="641"/>
      <c r="GUC368" s="642" t="s">
        <v>1841</v>
      </c>
      <c r="GUD368" s="643"/>
      <c r="GUE368" s="644"/>
      <c r="GUF368" s="644">
        <v>2013</v>
      </c>
      <c r="GUG368" s="644">
        <v>2014</v>
      </c>
      <c r="GUH368" s="644">
        <v>2015</v>
      </c>
      <c r="GUI368" s="644">
        <v>2016</v>
      </c>
      <c r="GUJ368" s="644">
        <v>2017</v>
      </c>
      <c r="GUK368" s="645">
        <v>2018</v>
      </c>
      <c r="GUL368" s="646">
        <v>2019</v>
      </c>
      <c r="GUM368" s="647">
        <v>2020</v>
      </c>
      <c r="GUN368" s="153"/>
      <c r="GUO368" s="153"/>
      <c r="GUP368" s="153"/>
      <c r="GUQ368" s="648"/>
      <c r="GUR368" s="641"/>
      <c r="GUS368" s="642" t="s">
        <v>1841</v>
      </c>
      <c r="GUT368" s="643"/>
      <c r="GUU368" s="644"/>
      <c r="GUV368" s="644">
        <v>2013</v>
      </c>
      <c r="GUW368" s="644">
        <v>2014</v>
      </c>
      <c r="GUX368" s="644">
        <v>2015</v>
      </c>
      <c r="GUY368" s="644">
        <v>2016</v>
      </c>
      <c r="GUZ368" s="644">
        <v>2017</v>
      </c>
      <c r="GVA368" s="645">
        <v>2018</v>
      </c>
      <c r="GVB368" s="646">
        <v>2019</v>
      </c>
      <c r="GVC368" s="647">
        <v>2020</v>
      </c>
      <c r="GVD368" s="153"/>
      <c r="GVE368" s="153"/>
      <c r="GVF368" s="153"/>
      <c r="GVG368" s="648"/>
      <c r="GVH368" s="641"/>
      <c r="GVI368" s="642" t="s">
        <v>1841</v>
      </c>
      <c r="GVJ368" s="643"/>
      <c r="GVK368" s="644"/>
      <c r="GVL368" s="644">
        <v>2013</v>
      </c>
      <c r="GVM368" s="644">
        <v>2014</v>
      </c>
      <c r="GVN368" s="644">
        <v>2015</v>
      </c>
      <c r="GVO368" s="644">
        <v>2016</v>
      </c>
      <c r="GVP368" s="644">
        <v>2017</v>
      </c>
      <c r="GVQ368" s="645">
        <v>2018</v>
      </c>
      <c r="GVR368" s="646">
        <v>2019</v>
      </c>
      <c r="GVS368" s="647">
        <v>2020</v>
      </c>
      <c r="GVT368" s="153"/>
      <c r="GVU368" s="153"/>
      <c r="GVV368" s="153"/>
      <c r="GVW368" s="648"/>
      <c r="GVX368" s="641"/>
      <c r="GVY368" s="642" t="s">
        <v>1841</v>
      </c>
      <c r="GVZ368" s="643"/>
      <c r="GWA368" s="644"/>
      <c r="GWB368" s="644">
        <v>2013</v>
      </c>
      <c r="GWC368" s="644">
        <v>2014</v>
      </c>
      <c r="GWD368" s="644">
        <v>2015</v>
      </c>
      <c r="GWE368" s="644">
        <v>2016</v>
      </c>
      <c r="GWF368" s="644">
        <v>2017</v>
      </c>
      <c r="GWG368" s="645">
        <v>2018</v>
      </c>
      <c r="GWH368" s="646">
        <v>2019</v>
      </c>
      <c r="GWI368" s="647">
        <v>2020</v>
      </c>
      <c r="GWJ368" s="153"/>
      <c r="GWK368" s="153"/>
      <c r="GWL368" s="153"/>
      <c r="GWM368" s="648"/>
      <c r="GWN368" s="641"/>
      <c r="GWO368" s="642" t="s">
        <v>1841</v>
      </c>
      <c r="GWP368" s="643"/>
      <c r="GWQ368" s="644"/>
      <c r="GWR368" s="644">
        <v>2013</v>
      </c>
      <c r="GWS368" s="644">
        <v>2014</v>
      </c>
      <c r="GWT368" s="644">
        <v>2015</v>
      </c>
      <c r="GWU368" s="644">
        <v>2016</v>
      </c>
      <c r="GWV368" s="644">
        <v>2017</v>
      </c>
      <c r="GWW368" s="645">
        <v>2018</v>
      </c>
      <c r="GWX368" s="646">
        <v>2019</v>
      </c>
      <c r="GWY368" s="647">
        <v>2020</v>
      </c>
      <c r="GWZ368" s="153"/>
      <c r="GXA368" s="153"/>
      <c r="GXB368" s="153"/>
      <c r="GXC368" s="648"/>
      <c r="GXD368" s="641"/>
      <c r="GXE368" s="642" t="s">
        <v>1841</v>
      </c>
      <c r="GXF368" s="643"/>
      <c r="GXG368" s="644"/>
      <c r="GXH368" s="644">
        <v>2013</v>
      </c>
      <c r="GXI368" s="644">
        <v>2014</v>
      </c>
      <c r="GXJ368" s="644">
        <v>2015</v>
      </c>
      <c r="GXK368" s="644">
        <v>2016</v>
      </c>
      <c r="GXL368" s="644">
        <v>2017</v>
      </c>
      <c r="GXM368" s="645">
        <v>2018</v>
      </c>
      <c r="GXN368" s="646">
        <v>2019</v>
      </c>
      <c r="GXO368" s="647">
        <v>2020</v>
      </c>
      <c r="GXP368" s="153"/>
      <c r="GXQ368" s="153"/>
      <c r="GXR368" s="153"/>
      <c r="GXS368" s="648"/>
      <c r="GXT368" s="641"/>
      <c r="GXU368" s="642" t="s">
        <v>1841</v>
      </c>
      <c r="GXV368" s="643"/>
      <c r="GXW368" s="644"/>
      <c r="GXX368" s="644">
        <v>2013</v>
      </c>
      <c r="GXY368" s="644">
        <v>2014</v>
      </c>
      <c r="GXZ368" s="644">
        <v>2015</v>
      </c>
      <c r="GYA368" s="644">
        <v>2016</v>
      </c>
      <c r="GYB368" s="644">
        <v>2017</v>
      </c>
      <c r="GYC368" s="645">
        <v>2018</v>
      </c>
      <c r="GYD368" s="646">
        <v>2019</v>
      </c>
      <c r="GYE368" s="647">
        <v>2020</v>
      </c>
      <c r="GYF368" s="153"/>
      <c r="GYG368" s="153"/>
      <c r="GYH368" s="153"/>
      <c r="GYI368" s="648"/>
      <c r="GYJ368" s="641"/>
      <c r="GYK368" s="642" t="s">
        <v>1841</v>
      </c>
      <c r="GYL368" s="643"/>
      <c r="GYM368" s="644"/>
      <c r="GYN368" s="644">
        <v>2013</v>
      </c>
      <c r="GYO368" s="644">
        <v>2014</v>
      </c>
      <c r="GYP368" s="644">
        <v>2015</v>
      </c>
      <c r="GYQ368" s="644">
        <v>2016</v>
      </c>
      <c r="GYR368" s="644">
        <v>2017</v>
      </c>
      <c r="GYS368" s="645">
        <v>2018</v>
      </c>
      <c r="GYT368" s="646">
        <v>2019</v>
      </c>
      <c r="GYU368" s="647">
        <v>2020</v>
      </c>
      <c r="GYV368" s="153"/>
      <c r="GYW368" s="153"/>
      <c r="GYX368" s="153"/>
      <c r="GYY368" s="648"/>
      <c r="GYZ368" s="641"/>
      <c r="GZA368" s="642" t="s">
        <v>1841</v>
      </c>
      <c r="GZB368" s="643"/>
      <c r="GZC368" s="644"/>
      <c r="GZD368" s="644">
        <v>2013</v>
      </c>
      <c r="GZE368" s="644">
        <v>2014</v>
      </c>
      <c r="GZF368" s="644">
        <v>2015</v>
      </c>
      <c r="GZG368" s="644">
        <v>2016</v>
      </c>
      <c r="GZH368" s="644">
        <v>2017</v>
      </c>
      <c r="GZI368" s="645">
        <v>2018</v>
      </c>
      <c r="GZJ368" s="646">
        <v>2019</v>
      </c>
      <c r="GZK368" s="647">
        <v>2020</v>
      </c>
      <c r="GZL368" s="153"/>
      <c r="GZM368" s="153"/>
      <c r="GZN368" s="153"/>
      <c r="GZO368" s="648"/>
      <c r="GZP368" s="641"/>
      <c r="GZQ368" s="642" t="s">
        <v>1841</v>
      </c>
      <c r="GZR368" s="643"/>
      <c r="GZS368" s="644"/>
      <c r="GZT368" s="644">
        <v>2013</v>
      </c>
      <c r="GZU368" s="644">
        <v>2014</v>
      </c>
      <c r="GZV368" s="644">
        <v>2015</v>
      </c>
      <c r="GZW368" s="644">
        <v>2016</v>
      </c>
      <c r="GZX368" s="644">
        <v>2017</v>
      </c>
      <c r="GZY368" s="645">
        <v>2018</v>
      </c>
      <c r="GZZ368" s="646">
        <v>2019</v>
      </c>
      <c r="HAA368" s="647">
        <v>2020</v>
      </c>
      <c r="HAB368" s="153"/>
      <c r="HAC368" s="153"/>
      <c r="HAD368" s="153"/>
      <c r="HAE368" s="648"/>
      <c r="HAF368" s="641"/>
      <c r="HAG368" s="642" t="s">
        <v>1841</v>
      </c>
      <c r="HAH368" s="643"/>
      <c r="HAI368" s="644"/>
      <c r="HAJ368" s="644">
        <v>2013</v>
      </c>
      <c r="HAK368" s="644">
        <v>2014</v>
      </c>
      <c r="HAL368" s="644">
        <v>2015</v>
      </c>
      <c r="HAM368" s="644">
        <v>2016</v>
      </c>
      <c r="HAN368" s="644">
        <v>2017</v>
      </c>
      <c r="HAO368" s="645">
        <v>2018</v>
      </c>
      <c r="HAP368" s="646">
        <v>2019</v>
      </c>
      <c r="HAQ368" s="647">
        <v>2020</v>
      </c>
      <c r="HAR368" s="153"/>
      <c r="HAS368" s="153"/>
      <c r="HAT368" s="153"/>
      <c r="HAU368" s="648"/>
      <c r="HAV368" s="641"/>
      <c r="HAW368" s="642" t="s">
        <v>1841</v>
      </c>
      <c r="HAX368" s="643"/>
      <c r="HAY368" s="644"/>
      <c r="HAZ368" s="644">
        <v>2013</v>
      </c>
      <c r="HBA368" s="644">
        <v>2014</v>
      </c>
      <c r="HBB368" s="644">
        <v>2015</v>
      </c>
      <c r="HBC368" s="644">
        <v>2016</v>
      </c>
      <c r="HBD368" s="644">
        <v>2017</v>
      </c>
      <c r="HBE368" s="645">
        <v>2018</v>
      </c>
      <c r="HBF368" s="646">
        <v>2019</v>
      </c>
      <c r="HBG368" s="647">
        <v>2020</v>
      </c>
      <c r="HBH368" s="153"/>
      <c r="HBI368" s="153"/>
      <c r="HBJ368" s="153"/>
      <c r="HBK368" s="648"/>
      <c r="HBL368" s="641"/>
      <c r="HBM368" s="642" t="s">
        <v>1841</v>
      </c>
      <c r="HBN368" s="643"/>
      <c r="HBO368" s="644"/>
      <c r="HBP368" s="644">
        <v>2013</v>
      </c>
      <c r="HBQ368" s="644">
        <v>2014</v>
      </c>
      <c r="HBR368" s="644">
        <v>2015</v>
      </c>
      <c r="HBS368" s="644">
        <v>2016</v>
      </c>
      <c r="HBT368" s="644">
        <v>2017</v>
      </c>
      <c r="HBU368" s="645">
        <v>2018</v>
      </c>
      <c r="HBV368" s="646">
        <v>2019</v>
      </c>
      <c r="HBW368" s="647">
        <v>2020</v>
      </c>
      <c r="HBX368" s="153"/>
      <c r="HBY368" s="153"/>
      <c r="HBZ368" s="153"/>
      <c r="HCA368" s="648"/>
      <c r="HCB368" s="641"/>
      <c r="HCC368" s="642" t="s">
        <v>1841</v>
      </c>
      <c r="HCD368" s="643"/>
      <c r="HCE368" s="644"/>
      <c r="HCF368" s="644">
        <v>2013</v>
      </c>
      <c r="HCG368" s="644">
        <v>2014</v>
      </c>
      <c r="HCH368" s="644">
        <v>2015</v>
      </c>
      <c r="HCI368" s="644">
        <v>2016</v>
      </c>
      <c r="HCJ368" s="644">
        <v>2017</v>
      </c>
      <c r="HCK368" s="645">
        <v>2018</v>
      </c>
      <c r="HCL368" s="646">
        <v>2019</v>
      </c>
      <c r="HCM368" s="647">
        <v>2020</v>
      </c>
      <c r="HCN368" s="153"/>
      <c r="HCO368" s="153"/>
      <c r="HCP368" s="153"/>
      <c r="HCQ368" s="648"/>
      <c r="HCR368" s="641"/>
      <c r="HCS368" s="642" t="s">
        <v>1841</v>
      </c>
      <c r="HCT368" s="643"/>
      <c r="HCU368" s="644"/>
      <c r="HCV368" s="644">
        <v>2013</v>
      </c>
      <c r="HCW368" s="644">
        <v>2014</v>
      </c>
      <c r="HCX368" s="644">
        <v>2015</v>
      </c>
      <c r="HCY368" s="644">
        <v>2016</v>
      </c>
      <c r="HCZ368" s="644">
        <v>2017</v>
      </c>
      <c r="HDA368" s="645">
        <v>2018</v>
      </c>
      <c r="HDB368" s="646">
        <v>2019</v>
      </c>
      <c r="HDC368" s="647">
        <v>2020</v>
      </c>
      <c r="HDD368" s="153"/>
      <c r="HDE368" s="153"/>
      <c r="HDF368" s="153"/>
      <c r="HDG368" s="648"/>
      <c r="HDH368" s="641"/>
      <c r="HDI368" s="642" t="s">
        <v>1841</v>
      </c>
      <c r="HDJ368" s="643"/>
      <c r="HDK368" s="644"/>
      <c r="HDL368" s="644">
        <v>2013</v>
      </c>
      <c r="HDM368" s="644">
        <v>2014</v>
      </c>
      <c r="HDN368" s="644">
        <v>2015</v>
      </c>
      <c r="HDO368" s="644">
        <v>2016</v>
      </c>
      <c r="HDP368" s="644">
        <v>2017</v>
      </c>
      <c r="HDQ368" s="645">
        <v>2018</v>
      </c>
      <c r="HDR368" s="646">
        <v>2019</v>
      </c>
      <c r="HDS368" s="647">
        <v>2020</v>
      </c>
      <c r="HDT368" s="153"/>
      <c r="HDU368" s="153"/>
      <c r="HDV368" s="153"/>
      <c r="HDW368" s="648"/>
      <c r="HDX368" s="641"/>
      <c r="HDY368" s="642" t="s">
        <v>1841</v>
      </c>
      <c r="HDZ368" s="643"/>
      <c r="HEA368" s="644"/>
      <c r="HEB368" s="644">
        <v>2013</v>
      </c>
      <c r="HEC368" s="644">
        <v>2014</v>
      </c>
      <c r="HED368" s="644">
        <v>2015</v>
      </c>
      <c r="HEE368" s="644">
        <v>2016</v>
      </c>
      <c r="HEF368" s="644">
        <v>2017</v>
      </c>
      <c r="HEG368" s="645">
        <v>2018</v>
      </c>
      <c r="HEH368" s="646">
        <v>2019</v>
      </c>
      <c r="HEI368" s="647">
        <v>2020</v>
      </c>
      <c r="HEJ368" s="153"/>
      <c r="HEK368" s="153"/>
      <c r="HEL368" s="153"/>
      <c r="HEM368" s="648"/>
      <c r="HEN368" s="641"/>
      <c r="HEO368" s="642" t="s">
        <v>1841</v>
      </c>
      <c r="HEP368" s="643"/>
      <c r="HEQ368" s="644"/>
      <c r="HER368" s="644">
        <v>2013</v>
      </c>
      <c r="HES368" s="644">
        <v>2014</v>
      </c>
      <c r="HET368" s="644">
        <v>2015</v>
      </c>
      <c r="HEU368" s="644">
        <v>2016</v>
      </c>
      <c r="HEV368" s="644">
        <v>2017</v>
      </c>
      <c r="HEW368" s="645">
        <v>2018</v>
      </c>
      <c r="HEX368" s="646">
        <v>2019</v>
      </c>
      <c r="HEY368" s="647">
        <v>2020</v>
      </c>
      <c r="HEZ368" s="153"/>
      <c r="HFA368" s="153"/>
      <c r="HFB368" s="153"/>
      <c r="HFC368" s="648"/>
      <c r="HFD368" s="641"/>
      <c r="HFE368" s="642" t="s">
        <v>1841</v>
      </c>
      <c r="HFF368" s="643"/>
      <c r="HFG368" s="644"/>
      <c r="HFH368" s="644">
        <v>2013</v>
      </c>
      <c r="HFI368" s="644">
        <v>2014</v>
      </c>
      <c r="HFJ368" s="644">
        <v>2015</v>
      </c>
      <c r="HFK368" s="644">
        <v>2016</v>
      </c>
      <c r="HFL368" s="644">
        <v>2017</v>
      </c>
      <c r="HFM368" s="645">
        <v>2018</v>
      </c>
      <c r="HFN368" s="646">
        <v>2019</v>
      </c>
      <c r="HFO368" s="647">
        <v>2020</v>
      </c>
      <c r="HFP368" s="153"/>
      <c r="HFQ368" s="153"/>
      <c r="HFR368" s="153"/>
      <c r="HFS368" s="648"/>
      <c r="HFT368" s="641"/>
      <c r="HFU368" s="642" t="s">
        <v>1841</v>
      </c>
      <c r="HFV368" s="643"/>
      <c r="HFW368" s="644"/>
      <c r="HFX368" s="644">
        <v>2013</v>
      </c>
      <c r="HFY368" s="644">
        <v>2014</v>
      </c>
      <c r="HFZ368" s="644">
        <v>2015</v>
      </c>
      <c r="HGA368" s="644">
        <v>2016</v>
      </c>
      <c r="HGB368" s="644">
        <v>2017</v>
      </c>
      <c r="HGC368" s="645">
        <v>2018</v>
      </c>
      <c r="HGD368" s="646">
        <v>2019</v>
      </c>
      <c r="HGE368" s="647">
        <v>2020</v>
      </c>
      <c r="HGF368" s="153"/>
      <c r="HGG368" s="153"/>
      <c r="HGH368" s="153"/>
      <c r="HGI368" s="648"/>
      <c r="HGJ368" s="641"/>
      <c r="HGK368" s="642" t="s">
        <v>1841</v>
      </c>
      <c r="HGL368" s="643"/>
      <c r="HGM368" s="644"/>
      <c r="HGN368" s="644">
        <v>2013</v>
      </c>
      <c r="HGO368" s="644">
        <v>2014</v>
      </c>
      <c r="HGP368" s="644">
        <v>2015</v>
      </c>
      <c r="HGQ368" s="644">
        <v>2016</v>
      </c>
      <c r="HGR368" s="644">
        <v>2017</v>
      </c>
      <c r="HGS368" s="645">
        <v>2018</v>
      </c>
      <c r="HGT368" s="646">
        <v>2019</v>
      </c>
      <c r="HGU368" s="647">
        <v>2020</v>
      </c>
      <c r="HGV368" s="153"/>
      <c r="HGW368" s="153"/>
      <c r="HGX368" s="153"/>
      <c r="HGY368" s="648"/>
      <c r="HGZ368" s="641"/>
      <c r="HHA368" s="642" t="s">
        <v>1841</v>
      </c>
      <c r="HHB368" s="643"/>
      <c r="HHC368" s="644"/>
      <c r="HHD368" s="644">
        <v>2013</v>
      </c>
      <c r="HHE368" s="644">
        <v>2014</v>
      </c>
      <c r="HHF368" s="644">
        <v>2015</v>
      </c>
      <c r="HHG368" s="644">
        <v>2016</v>
      </c>
      <c r="HHH368" s="644">
        <v>2017</v>
      </c>
      <c r="HHI368" s="645">
        <v>2018</v>
      </c>
      <c r="HHJ368" s="646">
        <v>2019</v>
      </c>
      <c r="HHK368" s="647">
        <v>2020</v>
      </c>
      <c r="HHL368" s="153"/>
      <c r="HHM368" s="153"/>
      <c r="HHN368" s="153"/>
      <c r="HHO368" s="648"/>
      <c r="HHP368" s="641"/>
      <c r="HHQ368" s="642" t="s">
        <v>1841</v>
      </c>
      <c r="HHR368" s="643"/>
      <c r="HHS368" s="644"/>
      <c r="HHT368" s="644">
        <v>2013</v>
      </c>
      <c r="HHU368" s="644">
        <v>2014</v>
      </c>
      <c r="HHV368" s="644">
        <v>2015</v>
      </c>
      <c r="HHW368" s="644">
        <v>2016</v>
      </c>
      <c r="HHX368" s="644">
        <v>2017</v>
      </c>
      <c r="HHY368" s="645">
        <v>2018</v>
      </c>
      <c r="HHZ368" s="646">
        <v>2019</v>
      </c>
      <c r="HIA368" s="647">
        <v>2020</v>
      </c>
      <c r="HIB368" s="153"/>
      <c r="HIC368" s="153"/>
      <c r="HID368" s="153"/>
      <c r="HIE368" s="648"/>
      <c r="HIF368" s="641"/>
      <c r="HIG368" s="642" t="s">
        <v>1841</v>
      </c>
      <c r="HIH368" s="643"/>
      <c r="HII368" s="644"/>
      <c r="HIJ368" s="644">
        <v>2013</v>
      </c>
      <c r="HIK368" s="644">
        <v>2014</v>
      </c>
      <c r="HIL368" s="644">
        <v>2015</v>
      </c>
      <c r="HIM368" s="644">
        <v>2016</v>
      </c>
      <c r="HIN368" s="644">
        <v>2017</v>
      </c>
      <c r="HIO368" s="645">
        <v>2018</v>
      </c>
      <c r="HIP368" s="646">
        <v>2019</v>
      </c>
      <c r="HIQ368" s="647">
        <v>2020</v>
      </c>
      <c r="HIR368" s="153"/>
      <c r="HIS368" s="153"/>
      <c r="HIT368" s="153"/>
      <c r="HIU368" s="648"/>
      <c r="HIV368" s="641"/>
      <c r="HIW368" s="642" t="s">
        <v>1841</v>
      </c>
      <c r="HIX368" s="643"/>
      <c r="HIY368" s="644"/>
      <c r="HIZ368" s="644">
        <v>2013</v>
      </c>
      <c r="HJA368" s="644">
        <v>2014</v>
      </c>
      <c r="HJB368" s="644">
        <v>2015</v>
      </c>
      <c r="HJC368" s="644">
        <v>2016</v>
      </c>
      <c r="HJD368" s="644">
        <v>2017</v>
      </c>
      <c r="HJE368" s="645">
        <v>2018</v>
      </c>
      <c r="HJF368" s="646">
        <v>2019</v>
      </c>
      <c r="HJG368" s="647">
        <v>2020</v>
      </c>
      <c r="HJH368" s="153"/>
      <c r="HJI368" s="153"/>
      <c r="HJJ368" s="153"/>
      <c r="HJK368" s="648"/>
      <c r="HJL368" s="641"/>
      <c r="HJM368" s="642" t="s">
        <v>1841</v>
      </c>
      <c r="HJN368" s="643"/>
      <c r="HJO368" s="644"/>
      <c r="HJP368" s="644">
        <v>2013</v>
      </c>
      <c r="HJQ368" s="644">
        <v>2014</v>
      </c>
      <c r="HJR368" s="644">
        <v>2015</v>
      </c>
      <c r="HJS368" s="644">
        <v>2016</v>
      </c>
      <c r="HJT368" s="644">
        <v>2017</v>
      </c>
      <c r="HJU368" s="645">
        <v>2018</v>
      </c>
      <c r="HJV368" s="646">
        <v>2019</v>
      </c>
      <c r="HJW368" s="647">
        <v>2020</v>
      </c>
      <c r="HJX368" s="153"/>
      <c r="HJY368" s="153"/>
      <c r="HJZ368" s="153"/>
      <c r="HKA368" s="648"/>
      <c r="HKB368" s="641"/>
      <c r="HKC368" s="642" t="s">
        <v>1841</v>
      </c>
      <c r="HKD368" s="643"/>
      <c r="HKE368" s="644"/>
      <c r="HKF368" s="644">
        <v>2013</v>
      </c>
      <c r="HKG368" s="644">
        <v>2014</v>
      </c>
      <c r="HKH368" s="644">
        <v>2015</v>
      </c>
      <c r="HKI368" s="644">
        <v>2016</v>
      </c>
      <c r="HKJ368" s="644">
        <v>2017</v>
      </c>
      <c r="HKK368" s="645">
        <v>2018</v>
      </c>
      <c r="HKL368" s="646">
        <v>2019</v>
      </c>
      <c r="HKM368" s="647">
        <v>2020</v>
      </c>
      <c r="HKN368" s="153"/>
      <c r="HKO368" s="153"/>
      <c r="HKP368" s="153"/>
      <c r="HKQ368" s="648"/>
      <c r="HKR368" s="641"/>
      <c r="HKS368" s="642" t="s">
        <v>1841</v>
      </c>
      <c r="HKT368" s="643"/>
      <c r="HKU368" s="644"/>
      <c r="HKV368" s="644">
        <v>2013</v>
      </c>
      <c r="HKW368" s="644">
        <v>2014</v>
      </c>
      <c r="HKX368" s="644">
        <v>2015</v>
      </c>
      <c r="HKY368" s="644">
        <v>2016</v>
      </c>
      <c r="HKZ368" s="644">
        <v>2017</v>
      </c>
      <c r="HLA368" s="645">
        <v>2018</v>
      </c>
      <c r="HLB368" s="646">
        <v>2019</v>
      </c>
      <c r="HLC368" s="647">
        <v>2020</v>
      </c>
      <c r="HLD368" s="153"/>
      <c r="HLE368" s="153"/>
      <c r="HLF368" s="153"/>
      <c r="HLG368" s="648"/>
      <c r="HLH368" s="641"/>
      <c r="HLI368" s="642" t="s">
        <v>1841</v>
      </c>
      <c r="HLJ368" s="643"/>
      <c r="HLK368" s="644"/>
      <c r="HLL368" s="644">
        <v>2013</v>
      </c>
      <c r="HLM368" s="644">
        <v>2014</v>
      </c>
      <c r="HLN368" s="644">
        <v>2015</v>
      </c>
      <c r="HLO368" s="644">
        <v>2016</v>
      </c>
      <c r="HLP368" s="644">
        <v>2017</v>
      </c>
      <c r="HLQ368" s="645">
        <v>2018</v>
      </c>
      <c r="HLR368" s="646">
        <v>2019</v>
      </c>
      <c r="HLS368" s="647">
        <v>2020</v>
      </c>
      <c r="HLT368" s="153"/>
      <c r="HLU368" s="153"/>
      <c r="HLV368" s="153"/>
      <c r="HLW368" s="648"/>
      <c r="HLX368" s="641"/>
      <c r="HLY368" s="642" t="s">
        <v>1841</v>
      </c>
      <c r="HLZ368" s="643"/>
      <c r="HMA368" s="644"/>
      <c r="HMB368" s="644">
        <v>2013</v>
      </c>
      <c r="HMC368" s="644">
        <v>2014</v>
      </c>
      <c r="HMD368" s="644">
        <v>2015</v>
      </c>
      <c r="HME368" s="644">
        <v>2016</v>
      </c>
      <c r="HMF368" s="644">
        <v>2017</v>
      </c>
      <c r="HMG368" s="645">
        <v>2018</v>
      </c>
      <c r="HMH368" s="646">
        <v>2019</v>
      </c>
      <c r="HMI368" s="647">
        <v>2020</v>
      </c>
      <c r="HMJ368" s="153"/>
      <c r="HMK368" s="153"/>
      <c r="HML368" s="153"/>
      <c r="HMM368" s="648"/>
      <c r="HMN368" s="641"/>
      <c r="HMO368" s="642" t="s">
        <v>1841</v>
      </c>
      <c r="HMP368" s="643"/>
      <c r="HMQ368" s="644"/>
      <c r="HMR368" s="644">
        <v>2013</v>
      </c>
      <c r="HMS368" s="644">
        <v>2014</v>
      </c>
      <c r="HMT368" s="644">
        <v>2015</v>
      </c>
      <c r="HMU368" s="644">
        <v>2016</v>
      </c>
      <c r="HMV368" s="644">
        <v>2017</v>
      </c>
      <c r="HMW368" s="645">
        <v>2018</v>
      </c>
      <c r="HMX368" s="646">
        <v>2019</v>
      </c>
      <c r="HMY368" s="647">
        <v>2020</v>
      </c>
      <c r="HMZ368" s="153"/>
      <c r="HNA368" s="153"/>
      <c r="HNB368" s="153"/>
      <c r="HNC368" s="648"/>
      <c r="HND368" s="641"/>
      <c r="HNE368" s="642" t="s">
        <v>1841</v>
      </c>
      <c r="HNF368" s="643"/>
      <c r="HNG368" s="644"/>
      <c r="HNH368" s="644">
        <v>2013</v>
      </c>
      <c r="HNI368" s="644">
        <v>2014</v>
      </c>
      <c r="HNJ368" s="644">
        <v>2015</v>
      </c>
      <c r="HNK368" s="644">
        <v>2016</v>
      </c>
      <c r="HNL368" s="644">
        <v>2017</v>
      </c>
      <c r="HNM368" s="645">
        <v>2018</v>
      </c>
      <c r="HNN368" s="646">
        <v>2019</v>
      </c>
      <c r="HNO368" s="647">
        <v>2020</v>
      </c>
      <c r="HNP368" s="153"/>
      <c r="HNQ368" s="153"/>
      <c r="HNR368" s="153"/>
      <c r="HNS368" s="648"/>
      <c r="HNT368" s="641"/>
      <c r="HNU368" s="642" t="s">
        <v>1841</v>
      </c>
      <c r="HNV368" s="643"/>
      <c r="HNW368" s="644"/>
      <c r="HNX368" s="644">
        <v>2013</v>
      </c>
      <c r="HNY368" s="644">
        <v>2014</v>
      </c>
      <c r="HNZ368" s="644">
        <v>2015</v>
      </c>
      <c r="HOA368" s="644">
        <v>2016</v>
      </c>
      <c r="HOB368" s="644">
        <v>2017</v>
      </c>
      <c r="HOC368" s="645">
        <v>2018</v>
      </c>
      <c r="HOD368" s="646">
        <v>2019</v>
      </c>
      <c r="HOE368" s="647">
        <v>2020</v>
      </c>
      <c r="HOF368" s="153"/>
      <c r="HOG368" s="153"/>
      <c r="HOH368" s="153"/>
      <c r="HOI368" s="648"/>
      <c r="HOJ368" s="641"/>
      <c r="HOK368" s="642" t="s">
        <v>1841</v>
      </c>
      <c r="HOL368" s="643"/>
      <c r="HOM368" s="644"/>
      <c r="HON368" s="644">
        <v>2013</v>
      </c>
      <c r="HOO368" s="644">
        <v>2014</v>
      </c>
      <c r="HOP368" s="644">
        <v>2015</v>
      </c>
      <c r="HOQ368" s="644">
        <v>2016</v>
      </c>
      <c r="HOR368" s="644">
        <v>2017</v>
      </c>
      <c r="HOS368" s="645">
        <v>2018</v>
      </c>
      <c r="HOT368" s="646">
        <v>2019</v>
      </c>
      <c r="HOU368" s="647">
        <v>2020</v>
      </c>
      <c r="HOV368" s="153"/>
      <c r="HOW368" s="153"/>
      <c r="HOX368" s="153"/>
      <c r="HOY368" s="648"/>
      <c r="HOZ368" s="641"/>
      <c r="HPA368" s="642" t="s">
        <v>1841</v>
      </c>
      <c r="HPB368" s="643"/>
      <c r="HPC368" s="644"/>
      <c r="HPD368" s="644">
        <v>2013</v>
      </c>
      <c r="HPE368" s="644">
        <v>2014</v>
      </c>
      <c r="HPF368" s="644">
        <v>2015</v>
      </c>
      <c r="HPG368" s="644">
        <v>2016</v>
      </c>
      <c r="HPH368" s="644">
        <v>2017</v>
      </c>
      <c r="HPI368" s="645">
        <v>2018</v>
      </c>
      <c r="HPJ368" s="646">
        <v>2019</v>
      </c>
      <c r="HPK368" s="647">
        <v>2020</v>
      </c>
      <c r="HPL368" s="153"/>
      <c r="HPM368" s="153"/>
      <c r="HPN368" s="153"/>
      <c r="HPO368" s="648"/>
      <c r="HPP368" s="641"/>
      <c r="HPQ368" s="642" t="s">
        <v>1841</v>
      </c>
      <c r="HPR368" s="643"/>
      <c r="HPS368" s="644"/>
      <c r="HPT368" s="644">
        <v>2013</v>
      </c>
      <c r="HPU368" s="644">
        <v>2014</v>
      </c>
      <c r="HPV368" s="644">
        <v>2015</v>
      </c>
      <c r="HPW368" s="644">
        <v>2016</v>
      </c>
      <c r="HPX368" s="644">
        <v>2017</v>
      </c>
      <c r="HPY368" s="645">
        <v>2018</v>
      </c>
      <c r="HPZ368" s="646">
        <v>2019</v>
      </c>
      <c r="HQA368" s="647">
        <v>2020</v>
      </c>
      <c r="HQB368" s="153"/>
      <c r="HQC368" s="153"/>
      <c r="HQD368" s="153"/>
      <c r="HQE368" s="648"/>
      <c r="HQF368" s="641"/>
      <c r="HQG368" s="642" t="s">
        <v>1841</v>
      </c>
      <c r="HQH368" s="643"/>
      <c r="HQI368" s="644"/>
      <c r="HQJ368" s="644">
        <v>2013</v>
      </c>
      <c r="HQK368" s="644">
        <v>2014</v>
      </c>
      <c r="HQL368" s="644">
        <v>2015</v>
      </c>
      <c r="HQM368" s="644">
        <v>2016</v>
      </c>
      <c r="HQN368" s="644">
        <v>2017</v>
      </c>
      <c r="HQO368" s="645">
        <v>2018</v>
      </c>
      <c r="HQP368" s="646">
        <v>2019</v>
      </c>
      <c r="HQQ368" s="647">
        <v>2020</v>
      </c>
      <c r="HQR368" s="153"/>
      <c r="HQS368" s="153"/>
      <c r="HQT368" s="153"/>
      <c r="HQU368" s="648"/>
      <c r="HQV368" s="641"/>
      <c r="HQW368" s="642" t="s">
        <v>1841</v>
      </c>
      <c r="HQX368" s="643"/>
      <c r="HQY368" s="644"/>
      <c r="HQZ368" s="644">
        <v>2013</v>
      </c>
      <c r="HRA368" s="644">
        <v>2014</v>
      </c>
      <c r="HRB368" s="644">
        <v>2015</v>
      </c>
      <c r="HRC368" s="644">
        <v>2016</v>
      </c>
      <c r="HRD368" s="644">
        <v>2017</v>
      </c>
      <c r="HRE368" s="645">
        <v>2018</v>
      </c>
      <c r="HRF368" s="646">
        <v>2019</v>
      </c>
      <c r="HRG368" s="647">
        <v>2020</v>
      </c>
      <c r="HRH368" s="153"/>
      <c r="HRI368" s="153"/>
      <c r="HRJ368" s="153"/>
      <c r="HRK368" s="648"/>
      <c r="HRL368" s="641"/>
      <c r="HRM368" s="642" t="s">
        <v>1841</v>
      </c>
      <c r="HRN368" s="643"/>
      <c r="HRO368" s="644"/>
      <c r="HRP368" s="644">
        <v>2013</v>
      </c>
      <c r="HRQ368" s="644">
        <v>2014</v>
      </c>
      <c r="HRR368" s="644">
        <v>2015</v>
      </c>
      <c r="HRS368" s="644">
        <v>2016</v>
      </c>
      <c r="HRT368" s="644">
        <v>2017</v>
      </c>
      <c r="HRU368" s="645">
        <v>2018</v>
      </c>
      <c r="HRV368" s="646">
        <v>2019</v>
      </c>
      <c r="HRW368" s="647">
        <v>2020</v>
      </c>
      <c r="HRX368" s="153"/>
      <c r="HRY368" s="153"/>
      <c r="HRZ368" s="153"/>
      <c r="HSA368" s="648"/>
      <c r="HSB368" s="641"/>
      <c r="HSC368" s="642" t="s">
        <v>1841</v>
      </c>
      <c r="HSD368" s="643"/>
      <c r="HSE368" s="644"/>
      <c r="HSF368" s="644">
        <v>2013</v>
      </c>
      <c r="HSG368" s="644">
        <v>2014</v>
      </c>
      <c r="HSH368" s="644">
        <v>2015</v>
      </c>
      <c r="HSI368" s="644">
        <v>2016</v>
      </c>
      <c r="HSJ368" s="644">
        <v>2017</v>
      </c>
      <c r="HSK368" s="645">
        <v>2018</v>
      </c>
      <c r="HSL368" s="646">
        <v>2019</v>
      </c>
      <c r="HSM368" s="647">
        <v>2020</v>
      </c>
      <c r="HSN368" s="153"/>
      <c r="HSO368" s="153"/>
      <c r="HSP368" s="153"/>
      <c r="HSQ368" s="648"/>
      <c r="HSR368" s="641"/>
      <c r="HSS368" s="642" t="s">
        <v>1841</v>
      </c>
      <c r="HST368" s="643"/>
      <c r="HSU368" s="644"/>
      <c r="HSV368" s="644">
        <v>2013</v>
      </c>
      <c r="HSW368" s="644">
        <v>2014</v>
      </c>
      <c r="HSX368" s="644">
        <v>2015</v>
      </c>
      <c r="HSY368" s="644">
        <v>2016</v>
      </c>
      <c r="HSZ368" s="644">
        <v>2017</v>
      </c>
      <c r="HTA368" s="645">
        <v>2018</v>
      </c>
      <c r="HTB368" s="646">
        <v>2019</v>
      </c>
      <c r="HTC368" s="647">
        <v>2020</v>
      </c>
      <c r="HTD368" s="153"/>
      <c r="HTE368" s="153"/>
      <c r="HTF368" s="153"/>
      <c r="HTG368" s="648"/>
      <c r="HTH368" s="641"/>
      <c r="HTI368" s="642" t="s">
        <v>1841</v>
      </c>
      <c r="HTJ368" s="643"/>
      <c r="HTK368" s="644"/>
      <c r="HTL368" s="644">
        <v>2013</v>
      </c>
      <c r="HTM368" s="644">
        <v>2014</v>
      </c>
      <c r="HTN368" s="644">
        <v>2015</v>
      </c>
      <c r="HTO368" s="644">
        <v>2016</v>
      </c>
      <c r="HTP368" s="644">
        <v>2017</v>
      </c>
      <c r="HTQ368" s="645">
        <v>2018</v>
      </c>
      <c r="HTR368" s="646">
        <v>2019</v>
      </c>
      <c r="HTS368" s="647">
        <v>2020</v>
      </c>
      <c r="HTT368" s="153"/>
      <c r="HTU368" s="153"/>
      <c r="HTV368" s="153"/>
      <c r="HTW368" s="648"/>
      <c r="HTX368" s="641"/>
      <c r="HTY368" s="642" t="s">
        <v>1841</v>
      </c>
      <c r="HTZ368" s="643"/>
      <c r="HUA368" s="644"/>
      <c r="HUB368" s="644">
        <v>2013</v>
      </c>
      <c r="HUC368" s="644">
        <v>2014</v>
      </c>
      <c r="HUD368" s="644">
        <v>2015</v>
      </c>
      <c r="HUE368" s="644">
        <v>2016</v>
      </c>
      <c r="HUF368" s="644">
        <v>2017</v>
      </c>
      <c r="HUG368" s="645">
        <v>2018</v>
      </c>
      <c r="HUH368" s="646">
        <v>2019</v>
      </c>
      <c r="HUI368" s="647">
        <v>2020</v>
      </c>
      <c r="HUJ368" s="153"/>
      <c r="HUK368" s="153"/>
      <c r="HUL368" s="153"/>
      <c r="HUM368" s="648"/>
      <c r="HUN368" s="641"/>
      <c r="HUO368" s="642" t="s">
        <v>1841</v>
      </c>
      <c r="HUP368" s="643"/>
      <c r="HUQ368" s="644"/>
      <c r="HUR368" s="644">
        <v>2013</v>
      </c>
      <c r="HUS368" s="644">
        <v>2014</v>
      </c>
      <c r="HUT368" s="644">
        <v>2015</v>
      </c>
      <c r="HUU368" s="644">
        <v>2016</v>
      </c>
      <c r="HUV368" s="644">
        <v>2017</v>
      </c>
      <c r="HUW368" s="645">
        <v>2018</v>
      </c>
      <c r="HUX368" s="646">
        <v>2019</v>
      </c>
      <c r="HUY368" s="647">
        <v>2020</v>
      </c>
      <c r="HUZ368" s="153"/>
      <c r="HVA368" s="153"/>
      <c r="HVB368" s="153"/>
      <c r="HVC368" s="648"/>
      <c r="HVD368" s="641"/>
      <c r="HVE368" s="642" t="s">
        <v>1841</v>
      </c>
      <c r="HVF368" s="643"/>
      <c r="HVG368" s="644"/>
      <c r="HVH368" s="644">
        <v>2013</v>
      </c>
      <c r="HVI368" s="644">
        <v>2014</v>
      </c>
      <c r="HVJ368" s="644">
        <v>2015</v>
      </c>
      <c r="HVK368" s="644">
        <v>2016</v>
      </c>
      <c r="HVL368" s="644">
        <v>2017</v>
      </c>
      <c r="HVM368" s="645">
        <v>2018</v>
      </c>
      <c r="HVN368" s="646">
        <v>2019</v>
      </c>
      <c r="HVO368" s="647">
        <v>2020</v>
      </c>
      <c r="HVP368" s="153"/>
      <c r="HVQ368" s="153"/>
      <c r="HVR368" s="153"/>
      <c r="HVS368" s="648"/>
      <c r="HVT368" s="641"/>
      <c r="HVU368" s="642" t="s">
        <v>1841</v>
      </c>
      <c r="HVV368" s="643"/>
      <c r="HVW368" s="644"/>
      <c r="HVX368" s="644">
        <v>2013</v>
      </c>
      <c r="HVY368" s="644">
        <v>2014</v>
      </c>
      <c r="HVZ368" s="644">
        <v>2015</v>
      </c>
      <c r="HWA368" s="644">
        <v>2016</v>
      </c>
      <c r="HWB368" s="644">
        <v>2017</v>
      </c>
      <c r="HWC368" s="645">
        <v>2018</v>
      </c>
      <c r="HWD368" s="646">
        <v>2019</v>
      </c>
      <c r="HWE368" s="647">
        <v>2020</v>
      </c>
      <c r="HWF368" s="153"/>
      <c r="HWG368" s="153"/>
      <c r="HWH368" s="153"/>
      <c r="HWI368" s="648"/>
      <c r="HWJ368" s="641"/>
      <c r="HWK368" s="642" t="s">
        <v>1841</v>
      </c>
      <c r="HWL368" s="643"/>
      <c r="HWM368" s="644"/>
      <c r="HWN368" s="644">
        <v>2013</v>
      </c>
      <c r="HWO368" s="644">
        <v>2014</v>
      </c>
      <c r="HWP368" s="644">
        <v>2015</v>
      </c>
      <c r="HWQ368" s="644">
        <v>2016</v>
      </c>
      <c r="HWR368" s="644">
        <v>2017</v>
      </c>
      <c r="HWS368" s="645">
        <v>2018</v>
      </c>
      <c r="HWT368" s="646">
        <v>2019</v>
      </c>
      <c r="HWU368" s="647">
        <v>2020</v>
      </c>
      <c r="HWV368" s="153"/>
      <c r="HWW368" s="153"/>
      <c r="HWX368" s="153"/>
      <c r="HWY368" s="648"/>
      <c r="HWZ368" s="641"/>
      <c r="HXA368" s="642" t="s">
        <v>1841</v>
      </c>
      <c r="HXB368" s="643"/>
      <c r="HXC368" s="644"/>
      <c r="HXD368" s="644">
        <v>2013</v>
      </c>
      <c r="HXE368" s="644">
        <v>2014</v>
      </c>
      <c r="HXF368" s="644">
        <v>2015</v>
      </c>
      <c r="HXG368" s="644">
        <v>2016</v>
      </c>
      <c r="HXH368" s="644">
        <v>2017</v>
      </c>
      <c r="HXI368" s="645">
        <v>2018</v>
      </c>
      <c r="HXJ368" s="646">
        <v>2019</v>
      </c>
      <c r="HXK368" s="647">
        <v>2020</v>
      </c>
      <c r="HXL368" s="153"/>
      <c r="HXM368" s="153"/>
      <c r="HXN368" s="153"/>
      <c r="HXO368" s="648"/>
      <c r="HXP368" s="641"/>
      <c r="HXQ368" s="642" t="s">
        <v>1841</v>
      </c>
      <c r="HXR368" s="643"/>
      <c r="HXS368" s="644"/>
      <c r="HXT368" s="644">
        <v>2013</v>
      </c>
      <c r="HXU368" s="644">
        <v>2014</v>
      </c>
      <c r="HXV368" s="644">
        <v>2015</v>
      </c>
      <c r="HXW368" s="644">
        <v>2016</v>
      </c>
      <c r="HXX368" s="644">
        <v>2017</v>
      </c>
      <c r="HXY368" s="645">
        <v>2018</v>
      </c>
      <c r="HXZ368" s="646">
        <v>2019</v>
      </c>
      <c r="HYA368" s="647">
        <v>2020</v>
      </c>
      <c r="HYB368" s="153"/>
      <c r="HYC368" s="153"/>
      <c r="HYD368" s="153"/>
      <c r="HYE368" s="648"/>
      <c r="HYF368" s="641"/>
      <c r="HYG368" s="642" t="s">
        <v>1841</v>
      </c>
      <c r="HYH368" s="643"/>
      <c r="HYI368" s="644"/>
      <c r="HYJ368" s="644">
        <v>2013</v>
      </c>
      <c r="HYK368" s="644">
        <v>2014</v>
      </c>
      <c r="HYL368" s="644">
        <v>2015</v>
      </c>
      <c r="HYM368" s="644">
        <v>2016</v>
      </c>
      <c r="HYN368" s="644">
        <v>2017</v>
      </c>
      <c r="HYO368" s="645">
        <v>2018</v>
      </c>
      <c r="HYP368" s="646">
        <v>2019</v>
      </c>
      <c r="HYQ368" s="647">
        <v>2020</v>
      </c>
      <c r="HYR368" s="153"/>
      <c r="HYS368" s="153"/>
      <c r="HYT368" s="153"/>
      <c r="HYU368" s="648"/>
      <c r="HYV368" s="641"/>
      <c r="HYW368" s="642" t="s">
        <v>1841</v>
      </c>
      <c r="HYX368" s="643"/>
      <c r="HYY368" s="644"/>
      <c r="HYZ368" s="644">
        <v>2013</v>
      </c>
      <c r="HZA368" s="644">
        <v>2014</v>
      </c>
      <c r="HZB368" s="644">
        <v>2015</v>
      </c>
      <c r="HZC368" s="644">
        <v>2016</v>
      </c>
      <c r="HZD368" s="644">
        <v>2017</v>
      </c>
      <c r="HZE368" s="645">
        <v>2018</v>
      </c>
      <c r="HZF368" s="646">
        <v>2019</v>
      </c>
      <c r="HZG368" s="647">
        <v>2020</v>
      </c>
      <c r="HZH368" s="153"/>
      <c r="HZI368" s="153"/>
      <c r="HZJ368" s="153"/>
      <c r="HZK368" s="648"/>
      <c r="HZL368" s="641"/>
      <c r="HZM368" s="642" t="s">
        <v>1841</v>
      </c>
      <c r="HZN368" s="643"/>
      <c r="HZO368" s="644"/>
      <c r="HZP368" s="644">
        <v>2013</v>
      </c>
      <c r="HZQ368" s="644">
        <v>2014</v>
      </c>
      <c r="HZR368" s="644">
        <v>2015</v>
      </c>
      <c r="HZS368" s="644">
        <v>2016</v>
      </c>
      <c r="HZT368" s="644">
        <v>2017</v>
      </c>
      <c r="HZU368" s="645">
        <v>2018</v>
      </c>
      <c r="HZV368" s="646">
        <v>2019</v>
      </c>
      <c r="HZW368" s="647">
        <v>2020</v>
      </c>
      <c r="HZX368" s="153"/>
      <c r="HZY368" s="153"/>
      <c r="HZZ368" s="153"/>
      <c r="IAA368" s="648"/>
      <c r="IAB368" s="641"/>
      <c r="IAC368" s="642" t="s">
        <v>1841</v>
      </c>
      <c r="IAD368" s="643"/>
      <c r="IAE368" s="644"/>
      <c r="IAF368" s="644">
        <v>2013</v>
      </c>
      <c r="IAG368" s="644">
        <v>2014</v>
      </c>
      <c r="IAH368" s="644">
        <v>2015</v>
      </c>
      <c r="IAI368" s="644">
        <v>2016</v>
      </c>
      <c r="IAJ368" s="644">
        <v>2017</v>
      </c>
      <c r="IAK368" s="645">
        <v>2018</v>
      </c>
      <c r="IAL368" s="646">
        <v>2019</v>
      </c>
      <c r="IAM368" s="647">
        <v>2020</v>
      </c>
      <c r="IAN368" s="153"/>
      <c r="IAO368" s="153"/>
      <c r="IAP368" s="153"/>
      <c r="IAQ368" s="648"/>
      <c r="IAR368" s="641"/>
      <c r="IAS368" s="642" t="s">
        <v>1841</v>
      </c>
      <c r="IAT368" s="643"/>
      <c r="IAU368" s="644"/>
      <c r="IAV368" s="644">
        <v>2013</v>
      </c>
      <c r="IAW368" s="644">
        <v>2014</v>
      </c>
      <c r="IAX368" s="644">
        <v>2015</v>
      </c>
      <c r="IAY368" s="644">
        <v>2016</v>
      </c>
      <c r="IAZ368" s="644">
        <v>2017</v>
      </c>
      <c r="IBA368" s="645">
        <v>2018</v>
      </c>
      <c r="IBB368" s="646">
        <v>2019</v>
      </c>
      <c r="IBC368" s="647">
        <v>2020</v>
      </c>
      <c r="IBD368" s="153"/>
      <c r="IBE368" s="153"/>
      <c r="IBF368" s="153"/>
      <c r="IBG368" s="648"/>
      <c r="IBH368" s="641"/>
      <c r="IBI368" s="642" t="s">
        <v>1841</v>
      </c>
      <c r="IBJ368" s="643"/>
      <c r="IBK368" s="644"/>
      <c r="IBL368" s="644">
        <v>2013</v>
      </c>
      <c r="IBM368" s="644">
        <v>2014</v>
      </c>
      <c r="IBN368" s="644">
        <v>2015</v>
      </c>
      <c r="IBO368" s="644">
        <v>2016</v>
      </c>
      <c r="IBP368" s="644">
        <v>2017</v>
      </c>
      <c r="IBQ368" s="645">
        <v>2018</v>
      </c>
      <c r="IBR368" s="646">
        <v>2019</v>
      </c>
      <c r="IBS368" s="647">
        <v>2020</v>
      </c>
      <c r="IBT368" s="153"/>
      <c r="IBU368" s="153"/>
      <c r="IBV368" s="153"/>
      <c r="IBW368" s="648"/>
      <c r="IBX368" s="641"/>
      <c r="IBY368" s="642" t="s">
        <v>1841</v>
      </c>
      <c r="IBZ368" s="643"/>
      <c r="ICA368" s="644"/>
      <c r="ICB368" s="644">
        <v>2013</v>
      </c>
      <c r="ICC368" s="644">
        <v>2014</v>
      </c>
      <c r="ICD368" s="644">
        <v>2015</v>
      </c>
      <c r="ICE368" s="644">
        <v>2016</v>
      </c>
      <c r="ICF368" s="644">
        <v>2017</v>
      </c>
      <c r="ICG368" s="645">
        <v>2018</v>
      </c>
      <c r="ICH368" s="646">
        <v>2019</v>
      </c>
      <c r="ICI368" s="647">
        <v>2020</v>
      </c>
      <c r="ICJ368" s="153"/>
      <c r="ICK368" s="153"/>
      <c r="ICL368" s="153"/>
      <c r="ICM368" s="648"/>
      <c r="ICN368" s="641"/>
      <c r="ICO368" s="642" t="s">
        <v>1841</v>
      </c>
      <c r="ICP368" s="643"/>
      <c r="ICQ368" s="644"/>
      <c r="ICR368" s="644">
        <v>2013</v>
      </c>
      <c r="ICS368" s="644">
        <v>2014</v>
      </c>
      <c r="ICT368" s="644">
        <v>2015</v>
      </c>
      <c r="ICU368" s="644">
        <v>2016</v>
      </c>
      <c r="ICV368" s="644">
        <v>2017</v>
      </c>
      <c r="ICW368" s="645">
        <v>2018</v>
      </c>
      <c r="ICX368" s="646">
        <v>2019</v>
      </c>
      <c r="ICY368" s="647">
        <v>2020</v>
      </c>
      <c r="ICZ368" s="153"/>
      <c r="IDA368" s="153"/>
      <c r="IDB368" s="153"/>
      <c r="IDC368" s="648"/>
      <c r="IDD368" s="641"/>
      <c r="IDE368" s="642" t="s">
        <v>1841</v>
      </c>
      <c r="IDF368" s="643"/>
      <c r="IDG368" s="644"/>
      <c r="IDH368" s="644">
        <v>2013</v>
      </c>
      <c r="IDI368" s="644">
        <v>2014</v>
      </c>
      <c r="IDJ368" s="644">
        <v>2015</v>
      </c>
      <c r="IDK368" s="644">
        <v>2016</v>
      </c>
      <c r="IDL368" s="644">
        <v>2017</v>
      </c>
      <c r="IDM368" s="645">
        <v>2018</v>
      </c>
      <c r="IDN368" s="646">
        <v>2019</v>
      </c>
      <c r="IDO368" s="647">
        <v>2020</v>
      </c>
      <c r="IDP368" s="153"/>
      <c r="IDQ368" s="153"/>
      <c r="IDR368" s="153"/>
      <c r="IDS368" s="648"/>
      <c r="IDT368" s="641"/>
      <c r="IDU368" s="642" t="s">
        <v>1841</v>
      </c>
      <c r="IDV368" s="643"/>
      <c r="IDW368" s="644"/>
      <c r="IDX368" s="644">
        <v>2013</v>
      </c>
      <c r="IDY368" s="644">
        <v>2014</v>
      </c>
      <c r="IDZ368" s="644">
        <v>2015</v>
      </c>
      <c r="IEA368" s="644">
        <v>2016</v>
      </c>
      <c r="IEB368" s="644">
        <v>2017</v>
      </c>
      <c r="IEC368" s="645">
        <v>2018</v>
      </c>
      <c r="IED368" s="646">
        <v>2019</v>
      </c>
      <c r="IEE368" s="647">
        <v>2020</v>
      </c>
      <c r="IEF368" s="153"/>
      <c r="IEG368" s="153"/>
      <c r="IEH368" s="153"/>
      <c r="IEI368" s="648"/>
      <c r="IEJ368" s="641"/>
      <c r="IEK368" s="642" t="s">
        <v>1841</v>
      </c>
      <c r="IEL368" s="643"/>
      <c r="IEM368" s="644"/>
      <c r="IEN368" s="644">
        <v>2013</v>
      </c>
      <c r="IEO368" s="644">
        <v>2014</v>
      </c>
      <c r="IEP368" s="644">
        <v>2015</v>
      </c>
      <c r="IEQ368" s="644">
        <v>2016</v>
      </c>
      <c r="IER368" s="644">
        <v>2017</v>
      </c>
      <c r="IES368" s="645">
        <v>2018</v>
      </c>
      <c r="IET368" s="646">
        <v>2019</v>
      </c>
      <c r="IEU368" s="647">
        <v>2020</v>
      </c>
      <c r="IEV368" s="153"/>
      <c r="IEW368" s="153"/>
      <c r="IEX368" s="153"/>
      <c r="IEY368" s="648"/>
      <c r="IEZ368" s="641"/>
      <c r="IFA368" s="642" t="s">
        <v>1841</v>
      </c>
      <c r="IFB368" s="643"/>
      <c r="IFC368" s="644"/>
      <c r="IFD368" s="644">
        <v>2013</v>
      </c>
      <c r="IFE368" s="644">
        <v>2014</v>
      </c>
      <c r="IFF368" s="644">
        <v>2015</v>
      </c>
      <c r="IFG368" s="644">
        <v>2016</v>
      </c>
      <c r="IFH368" s="644">
        <v>2017</v>
      </c>
      <c r="IFI368" s="645">
        <v>2018</v>
      </c>
      <c r="IFJ368" s="646">
        <v>2019</v>
      </c>
      <c r="IFK368" s="647">
        <v>2020</v>
      </c>
      <c r="IFL368" s="153"/>
      <c r="IFM368" s="153"/>
      <c r="IFN368" s="153"/>
      <c r="IFO368" s="648"/>
      <c r="IFP368" s="641"/>
      <c r="IFQ368" s="642" t="s">
        <v>1841</v>
      </c>
      <c r="IFR368" s="643"/>
      <c r="IFS368" s="644"/>
      <c r="IFT368" s="644">
        <v>2013</v>
      </c>
      <c r="IFU368" s="644">
        <v>2014</v>
      </c>
      <c r="IFV368" s="644">
        <v>2015</v>
      </c>
      <c r="IFW368" s="644">
        <v>2016</v>
      </c>
      <c r="IFX368" s="644">
        <v>2017</v>
      </c>
      <c r="IFY368" s="645">
        <v>2018</v>
      </c>
      <c r="IFZ368" s="646">
        <v>2019</v>
      </c>
      <c r="IGA368" s="647">
        <v>2020</v>
      </c>
      <c r="IGB368" s="153"/>
      <c r="IGC368" s="153"/>
      <c r="IGD368" s="153"/>
      <c r="IGE368" s="648"/>
      <c r="IGF368" s="641"/>
      <c r="IGG368" s="642" t="s">
        <v>1841</v>
      </c>
      <c r="IGH368" s="643"/>
      <c r="IGI368" s="644"/>
      <c r="IGJ368" s="644">
        <v>2013</v>
      </c>
      <c r="IGK368" s="644">
        <v>2014</v>
      </c>
      <c r="IGL368" s="644">
        <v>2015</v>
      </c>
      <c r="IGM368" s="644">
        <v>2016</v>
      </c>
      <c r="IGN368" s="644">
        <v>2017</v>
      </c>
      <c r="IGO368" s="645">
        <v>2018</v>
      </c>
      <c r="IGP368" s="646">
        <v>2019</v>
      </c>
      <c r="IGQ368" s="647">
        <v>2020</v>
      </c>
      <c r="IGR368" s="153"/>
      <c r="IGS368" s="153"/>
      <c r="IGT368" s="153"/>
      <c r="IGU368" s="648"/>
      <c r="IGV368" s="641"/>
      <c r="IGW368" s="642" t="s">
        <v>1841</v>
      </c>
      <c r="IGX368" s="643"/>
      <c r="IGY368" s="644"/>
      <c r="IGZ368" s="644">
        <v>2013</v>
      </c>
      <c r="IHA368" s="644">
        <v>2014</v>
      </c>
      <c r="IHB368" s="644">
        <v>2015</v>
      </c>
      <c r="IHC368" s="644">
        <v>2016</v>
      </c>
      <c r="IHD368" s="644">
        <v>2017</v>
      </c>
      <c r="IHE368" s="645">
        <v>2018</v>
      </c>
      <c r="IHF368" s="646">
        <v>2019</v>
      </c>
      <c r="IHG368" s="647">
        <v>2020</v>
      </c>
      <c r="IHH368" s="153"/>
      <c r="IHI368" s="153"/>
      <c r="IHJ368" s="153"/>
      <c r="IHK368" s="648"/>
      <c r="IHL368" s="641"/>
      <c r="IHM368" s="642" t="s">
        <v>1841</v>
      </c>
      <c r="IHN368" s="643"/>
      <c r="IHO368" s="644"/>
      <c r="IHP368" s="644">
        <v>2013</v>
      </c>
      <c r="IHQ368" s="644">
        <v>2014</v>
      </c>
      <c r="IHR368" s="644">
        <v>2015</v>
      </c>
      <c r="IHS368" s="644">
        <v>2016</v>
      </c>
      <c r="IHT368" s="644">
        <v>2017</v>
      </c>
      <c r="IHU368" s="645">
        <v>2018</v>
      </c>
      <c r="IHV368" s="646">
        <v>2019</v>
      </c>
      <c r="IHW368" s="647">
        <v>2020</v>
      </c>
      <c r="IHX368" s="153"/>
      <c r="IHY368" s="153"/>
      <c r="IHZ368" s="153"/>
      <c r="IIA368" s="648"/>
      <c r="IIB368" s="641"/>
      <c r="IIC368" s="642" t="s">
        <v>1841</v>
      </c>
      <c r="IID368" s="643"/>
      <c r="IIE368" s="644"/>
      <c r="IIF368" s="644">
        <v>2013</v>
      </c>
      <c r="IIG368" s="644">
        <v>2014</v>
      </c>
      <c r="IIH368" s="644">
        <v>2015</v>
      </c>
      <c r="III368" s="644">
        <v>2016</v>
      </c>
      <c r="IIJ368" s="644">
        <v>2017</v>
      </c>
      <c r="IIK368" s="645">
        <v>2018</v>
      </c>
      <c r="IIL368" s="646">
        <v>2019</v>
      </c>
      <c r="IIM368" s="647">
        <v>2020</v>
      </c>
      <c r="IIN368" s="153"/>
      <c r="IIO368" s="153"/>
      <c r="IIP368" s="153"/>
      <c r="IIQ368" s="648"/>
      <c r="IIR368" s="641"/>
      <c r="IIS368" s="642" t="s">
        <v>1841</v>
      </c>
      <c r="IIT368" s="643"/>
      <c r="IIU368" s="644"/>
      <c r="IIV368" s="644">
        <v>2013</v>
      </c>
      <c r="IIW368" s="644">
        <v>2014</v>
      </c>
      <c r="IIX368" s="644">
        <v>2015</v>
      </c>
      <c r="IIY368" s="644">
        <v>2016</v>
      </c>
      <c r="IIZ368" s="644">
        <v>2017</v>
      </c>
      <c r="IJA368" s="645">
        <v>2018</v>
      </c>
      <c r="IJB368" s="646">
        <v>2019</v>
      </c>
      <c r="IJC368" s="647">
        <v>2020</v>
      </c>
      <c r="IJD368" s="153"/>
      <c r="IJE368" s="153"/>
      <c r="IJF368" s="153"/>
      <c r="IJG368" s="648"/>
      <c r="IJH368" s="641"/>
      <c r="IJI368" s="642" t="s">
        <v>1841</v>
      </c>
      <c r="IJJ368" s="643"/>
      <c r="IJK368" s="644"/>
      <c r="IJL368" s="644">
        <v>2013</v>
      </c>
      <c r="IJM368" s="644">
        <v>2014</v>
      </c>
      <c r="IJN368" s="644">
        <v>2015</v>
      </c>
      <c r="IJO368" s="644">
        <v>2016</v>
      </c>
      <c r="IJP368" s="644">
        <v>2017</v>
      </c>
      <c r="IJQ368" s="645">
        <v>2018</v>
      </c>
      <c r="IJR368" s="646">
        <v>2019</v>
      </c>
      <c r="IJS368" s="647">
        <v>2020</v>
      </c>
      <c r="IJT368" s="153"/>
      <c r="IJU368" s="153"/>
      <c r="IJV368" s="153"/>
      <c r="IJW368" s="648"/>
      <c r="IJX368" s="641"/>
      <c r="IJY368" s="642" t="s">
        <v>1841</v>
      </c>
      <c r="IJZ368" s="643"/>
      <c r="IKA368" s="644"/>
      <c r="IKB368" s="644">
        <v>2013</v>
      </c>
      <c r="IKC368" s="644">
        <v>2014</v>
      </c>
      <c r="IKD368" s="644">
        <v>2015</v>
      </c>
      <c r="IKE368" s="644">
        <v>2016</v>
      </c>
      <c r="IKF368" s="644">
        <v>2017</v>
      </c>
      <c r="IKG368" s="645">
        <v>2018</v>
      </c>
      <c r="IKH368" s="646">
        <v>2019</v>
      </c>
      <c r="IKI368" s="647">
        <v>2020</v>
      </c>
      <c r="IKJ368" s="153"/>
      <c r="IKK368" s="153"/>
      <c r="IKL368" s="153"/>
      <c r="IKM368" s="648"/>
      <c r="IKN368" s="641"/>
      <c r="IKO368" s="642" t="s">
        <v>1841</v>
      </c>
      <c r="IKP368" s="643"/>
      <c r="IKQ368" s="644"/>
      <c r="IKR368" s="644">
        <v>2013</v>
      </c>
      <c r="IKS368" s="644">
        <v>2014</v>
      </c>
      <c r="IKT368" s="644">
        <v>2015</v>
      </c>
      <c r="IKU368" s="644">
        <v>2016</v>
      </c>
      <c r="IKV368" s="644">
        <v>2017</v>
      </c>
      <c r="IKW368" s="645">
        <v>2018</v>
      </c>
      <c r="IKX368" s="646">
        <v>2019</v>
      </c>
      <c r="IKY368" s="647">
        <v>2020</v>
      </c>
      <c r="IKZ368" s="153"/>
      <c r="ILA368" s="153"/>
      <c r="ILB368" s="153"/>
      <c r="ILC368" s="648"/>
      <c r="ILD368" s="641"/>
      <c r="ILE368" s="642" t="s">
        <v>1841</v>
      </c>
      <c r="ILF368" s="643"/>
      <c r="ILG368" s="644"/>
      <c r="ILH368" s="644">
        <v>2013</v>
      </c>
      <c r="ILI368" s="644">
        <v>2014</v>
      </c>
      <c r="ILJ368" s="644">
        <v>2015</v>
      </c>
      <c r="ILK368" s="644">
        <v>2016</v>
      </c>
      <c r="ILL368" s="644">
        <v>2017</v>
      </c>
      <c r="ILM368" s="645">
        <v>2018</v>
      </c>
      <c r="ILN368" s="646">
        <v>2019</v>
      </c>
      <c r="ILO368" s="647">
        <v>2020</v>
      </c>
      <c r="ILP368" s="153"/>
      <c r="ILQ368" s="153"/>
      <c r="ILR368" s="153"/>
      <c r="ILS368" s="648"/>
      <c r="ILT368" s="641"/>
      <c r="ILU368" s="642" t="s">
        <v>1841</v>
      </c>
      <c r="ILV368" s="643"/>
      <c r="ILW368" s="644"/>
      <c r="ILX368" s="644">
        <v>2013</v>
      </c>
      <c r="ILY368" s="644">
        <v>2014</v>
      </c>
      <c r="ILZ368" s="644">
        <v>2015</v>
      </c>
      <c r="IMA368" s="644">
        <v>2016</v>
      </c>
      <c r="IMB368" s="644">
        <v>2017</v>
      </c>
      <c r="IMC368" s="645">
        <v>2018</v>
      </c>
      <c r="IMD368" s="646">
        <v>2019</v>
      </c>
      <c r="IME368" s="647">
        <v>2020</v>
      </c>
      <c r="IMF368" s="153"/>
      <c r="IMG368" s="153"/>
      <c r="IMH368" s="153"/>
      <c r="IMI368" s="648"/>
      <c r="IMJ368" s="641"/>
      <c r="IMK368" s="642" t="s">
        <v>1841</v>
      </c>
      <c r="IML368" s="643"/>
      <c r="IMM368" s="644"/>
      <c r="IMN368" s="644">
        <v>2013</v>
      </c>
      <c r="IMO368" s="644">
        <v>2014</v>
      </c>
      <c r="IMP368" s="644">
        <v>2015</v>
      </c>
      <c r="IMQ368" s="644">
        <v>2016</v>
      </c>
      <c r="IMR368" s="644">
        <v>2017</v>
      </c>
      <c r="IMS368" s="645">
        <v>2018</v>
      </c>
      <c r="IMT368" s="646">
        <v>2019</v>
      </c>
      <c r="IMU368" s="647">
        <v>2020</v>
      </c>
      <c r="IMV368" s="153"/>
      <c r="IMW368" s="153"/>
      <c r="IMX368" s="153"/>
      <c r="IMY368" s="648"/>
      <c r="IMZ368" s="641"/>
      <c r="INA368" s="642" t="s">
        <v>1841</v>
      </c>
      <c r="INB368" s="643"/>
      <c r="INC368" s="644"/>
      <c r="IND368" s="644">
        <v>2013</v>
      </c>
      <c r="INE368" s="644">
        <v>2014</v>
      </c>
      <c r="INF368" s="644">
        <v>2015</v>
      </c>
      <c r="ING368" s="644">
        <v>2016</v>
      </c>
      <c r="INH368" s="644">
        <v>2017</v>
      </c>
      <c r="INI368" s="645">
        <v>2018</v>
      </c>
      <c r="INJ368" s="646">
        <v>2019</v>
      </c>
      <c r="INK368" s="647">
        <v>2020</v>
      </c>
      <c r="INL368" s="153"/>
      <c r="INM368" s="153"/>
      <c r="INN368" s="153"/>
      <c r="INO368" s="648"/>
      <c r="INP368" s="641"/>
      <c r="INQ368" s="642" t="s">
        <v>1841</v>
      </c>
      <c r="INR368" s="643"/>
      <c r="INS368" s="644"/>
      <c r="INT368" s="644">
        <v>2013</v>
      </c>
      <c r="INU368" s="644">
        <v>2014</v>
      </c>
      <c r="INV368" s="644">
        <v>2015</v>
      </c>
      <c r="INW368" s="644">
        <v>2016</v>
      </c>
      <c r="INX368" s="644">
        <v>2017</v>
      </c>
      <c r="INY368" s="645">
        <v>2018</v>
      </c>
      <c r="INZ368" s="646">
        <v>2019</v>
      </c>
      <c r="IOA368" s="647">
        <v>2020</v>
      </c>
      <c r="IOB368" s="153"/>
      <c r="IOC368" s="153"/>
      <c r="IOD368" s="153"/>
      <c r="IOE368" s="648"/>
      <c r="IOF368" s="641"/>
      <c r="IOG368" s="642" t="s">
        <v>1841</v>
      </c>
      <c r="IOH368" s="643"/>
      <c r="IOI368" s="644"/>
      <c r="IOJ368" s="644">
        <v>2013</v>
      </c>
      <c r="IOK368" s="644">
        <v>2014</v>
      </c>
      <c r="IOL368" s="644">
        <v>2015</v>
      </c>
      <c r="IOM368" s="644">
        <v>2016</v>
      </c>
      <c r="ION368" s="644">
        <v>2017</v>
      </c>
      <c r="IOO368" s="645">
        <v>2018</v>
      </c>
      <c r="IOP368" s="646">
        <v>2019</v>
      </c>
      <c r="IOQ368" s="647">
        <v>2020</v>
      </c>
      <c r="IOR368" s="153"/>
      <c r="IOS368" s="153"/>
      <c r="IOT368" s="153"/>
      <c r="IOU368" s="648"/>
      <c r="IOV368" s="641"/>
      <c r="IOW368" s="642" t="s">
        <v>1841</v>
      </c>
      <c r="IOX368" s="643"/>
      <c r="IOY368" s="644"/>
      <c r="IOZ368" s="644">
        <v>2013</v>
      </c>
      <c r="IPA368" s="644">
        <v>2014</v>
      </c>
      <c r="IPB368" s="644">
        <v>2015</v>
      </c>
      <c r="IPC368" s="644">
        <v>2016</v>
      </c>
      <c r="IPD368" s="644">
        <v>2017</v>
      </c>
      <c r="IPE368" s="645">
        <v>2018</v>
      </c>
      <c r="IPF368" s="646">
        <v>2019</v>
      </c>
      <c r="IPG368" s="647">
        <v>2020</v>
      </c>
      <c r="IPH368" s="153"/>
      <c r="IPI368" s="153"/>
      <c r="IPJ368" s="153"/>
      <c r="IPK368" s="648"/>
      <c r="IPL368" s="641"/>
      <c r="IPM368" s="642" t="s">
        <v>1841</v>
      </c>
      <c r="IPN368" s="643"/>
      <c r="IPO368" s="644"/>
      <c r="IPP368" s="644">
        <v>2013</v>
      </c>
      <c r="IPQ368" s="644">
        <v>2014</v>
      </c>
      <c r="IPR368" s="644">
        <v>2015</v>
      </c>
      <c r="IPS368" s="644">
        <v>2016</v>
      </c>
      <c r="IPT368" s="644">
        <v>2017</v>
      </c>
      <c r="IPU368" s="645">
        <v>2018</v>
      </c>
      <c r="IPV368" s="646">
        <v>2019</v>
      </c>
      <c r="IPW368" s="647">
        <v>2020</v>
      </c>
      <c r="IPX368" s="153"/>
      <c r="IPY368" s="153"/>
      <c r="IPZ368" s="153"/>
      <c r="IQA368" s="648"/>
      <c r="IQB368" s="641"/>
      <c r="IQC368" s="642" t="s">
        <v>1841</v>
      </c>
      <c r="IQD368" s="643"/>
      <c r="IQE368" s="644"/>
      <c r="IQF368" s="644">
        <v>2013</v>
      </c>
      <c r="IQG368" s="644">
        <v>2014</v>
      </c>
      <c r="IQH368" s="644">
        <v>2015</v>
      </c>
      <c r="IQI368" s="644">
        <v>2016</v>
      </c>
      <c r="IQJ368" s="644">
        <v>2017</v>
      </c>
      <c r="IQK368" s="645">
        <v>2018</v>
      </c>
      <c r="IQL368" s="646">
        <v>2019</v>
      </c>
      <c r="IQM368" s="647">
        <v>2020</v>
      </c>
      <c r="IQN368" s="153"/>
      <c r="IQO368" s="153"/>
      <c r="IQP368" s="153"/>
      <c r="IQQ368" s="648"/>
      <c r="IQR368" s="641"/>
      <c r="IQS368" s="642" t="s">
        <v>1841</v>
      </c>
      <c r="IQT368" s="643"/>
      <c r="IQU368" s="644"/>
      <c r="IQV368" s="644">
        <v>2013</v>
      </c>
      <c r="IQW368" s="644">
        <v>2014</v>
      </c>
      <c r="IQX368" s="644">
        <v>2015</v>
      </c>
      <c r="IQY368" s="644">
        <v>2016</v>
      </c>
      <c r="IQZ368" s="644">
        <v>2017</v>
      </c>
      <c r="IRA368" s="645">
        <v>2018</v>
      </c>
      <c r="IRB368" s="646">
        <v>2019</v>
      </c>
      <c r="IRC368" s="647">
        <v>2020</v>
      </c>
      <c r="IRD368" s="153"/>
      <c r="IRE368" s="153"/>
      <c r="IRF368" s="153"/>
      <c r="IRG368" s="648"/>
      <c r="IRH368" s="641"/>
      <c r="IRI368" s="642" t="s">
        <v>1841</v>
      </c>
      <c r="IRJ368" s="643"/>
      <c r="IRK368" s="644"/>
      <c r="IRL368" s="644">
        <v>2013</v>
      </c>
      <c r="IRM368" s="644">
        <v>2014</v>
      </c>
      <c r="IRN368" s="644">
        <v>2015</v>
      </c>
      <c r="IRO368" s="644">
        <v>2016</v>
      </c>
      <c r="IRP368" s="644">
        <v>2017</v>
      </c>
      <c r="IRQ368" s="645">
        <v>2018</v>
      </c>
      <c r="IRR368" s="646">
        <v>2019</v>
      </c>
      <c r="IRS368" s="647">
        <v>2020</v>
      </c>
      <c r="IRT368" s="153"/>
      <c r="IRU368" s="153"/>
      <c r="IRV368" s="153"/>
      <c r="IRW368" s="648"/>
      <c r="IRX368" s="641"/>
      <c r="IRY368" s="642" t="s">
        <v>1841</v>
      </c>
      <c r="IRZ368" s="643"/>
      <c r="ISA368" s="644"/>
      <c r="ISB368" s="644">
        <v>2013</v>
      </c>
      <c r="ISC368" s="644">
        <v>2014</v>
      </c>
      <c r="ISD368" s="644">
        <v>2015</v>
      </c>
      <c r="ISE368" s="644">
        <v>2016</v>
      </c>
      <c r="ISF368" s="644">
        <v>2017</v>
      </c>
      <c r="ISG368" s="645">
        <v>2018</v>
      </c>
      <c r="ISH368" s="646">
        <v>2019</v>
      </c>
      <c r="ISI368" s="647">
        <v>2020</v>
      </c>
      <c r="ISJ368" s="153"/>
      <c r="ISK368" s="153"/>
      <c r="ISL368" s="153"/>
      <c r="ISM368" s="648"/>
      <c r="ISN368" s="641"/>
      <c r="ISO368" s="642" t="s">
        <v>1841</v>
      </c>
      <c r="ISP368" s="643"/>
      <c r="ISQ368" s="644"/>
      <c r="ISR368" s="644">
        <v>2013</v>
      </c>
      <c r="ISS368" s="644">
        <v>2014</v>
      </c>
      <c r="IST368" s="644">
        <v>2015</v>
      </c>
      <c r="ISU368" s="644">
        <v>2016</v>
      </c>
      <c r="ISV368" s="644">
        <v>2017</v>
      </c>
      <c r="ISW368" s="645">
        <v>2018</v>
      </c>
      <c r="ISX368" s="646">
        <v>2019</v>
      </c>
      <c r="ISY368" s="647">
        <v>2020</v>
      </c>
      <c r="ISZ368" s="153"/>
      <c r="ITA368" s="153"/>
      <c r="ITB368" s="153"/>
      <c r="ITC368" s="648"/>
      <c r="ITD368" s="641"/>
      <c r="ITE368" s="642" t="s">
        <v>1841</v>
      </c>
      <c r="ITF368" s="643"/>
      <c r="ITG368" s="644"/>
      <c r="ITH368" s="644">
        <v>2013</v>
      </c>
      <c r="ITI368" s="644">
        <v>2014</v>
      </c>
      <c r="ITJ368" s="644">
        <v>2015</v>
      </c>
      <c r="ITK368" s="644">
        <v>2016</v>
      </c>
      <c r="ITL368" s="644">
        <v>2017</v>
      </c>
      <c r="ITM368" s="645">
        <v>2018</v>
      </c>
      <c r="ITN368" s="646">
        <v>2019</v>
      </c>
      <c r="ITO368" s="647">
        <v>2020</v>
      </c>
      <c r="ITP368" s="153"/>
      <c r="ITQ368" s="153"/>
      <c r="ITR368" s="153"/>
      <c r="ITS368" s="648"/>
      <c r="ITT368" s="641"/>
      <c r="ITU368" s="642" t="s">
        <v>1841</v>
      </c>
      <c r="ITV368" s="643"/>
      <c r="ITW368" s="644"/>
      <c r="ITX368" s="644">
        <v>2013</v>
      </c>
      <c r="ITY368" s="644">
        <v>2014</v>
      </c>
      <c r="ITZ368" s="644">
        <v>2015</v>
      </c>
      <c r="IUA368" s="644">
        <v>2016</v>
      </c>
      <c r="IUB368" s="644">
        <v>2017</v>
      </c>
      <c r="IUC368" s="645">
        <v>2018</v>
      </c>
      <c r="IUD368" s="646">
        <v>2019</v>
      </c>
      <c r="IUE368" s="647">
        <v>2020</v>
      </c>
      <c r="IUF368" s="153"/>
      <c r="IUG368" s="153"/>
      <c r="IUH368" s="153"/>
      <c r="IUI368" s="648"/>
      <c r="IUJ368" s="641"/>
      <c r="IUK368" s="642" t="s">
        <v>1841</v>
      </c>
      <c r="IUL368" s="643"/>
      <c r="IUM368" s="644"/>
      <c r="IUN368" s="644">
        <v>2013</v>
      </c>
      <c r="IUO368" s="644">
        <v>2014</v>
      </c>
      <c r="IUP368" s="644">
        <v>2015</v>
      </c>
      <c r="IUQ368" s="644">
        <v>2016</v>
      </c>
      <c r="IUR368" s="644">
        <v>2017</v>
      </c>
      <c r="IUS368" s="645">
        <v>2018</v>
      </c>
      <c r="IUT368" s="646">
        <v>2019</v>
      </c>
      <c r="IUU368" s="647">
        <v>2020</v>
      </c>
      <c r="IUV368" s="153"/>
      <c r="IUW368" s="153"/>
      <c r="IUX368" s="153"/>
      <c r="IUY368" s="648"/>
      <c r="IUZ368" s="641"/>
      <c r="IVA368" s="642" t="s">
        <v>1841</v>
      </c>
      <c r="IVB368" s="643"/>
      <c r="IVC368" s="644"/>
      <c r="IVD368" s="644">
        <v>2013</v>
      </c>
      <c r="IVE368" s="644">
        <v>2014</v>
      </c>
      <c r="IVF368" s="644">
        <v>2015</v>
      </c>
      <c r="IVG368" s="644">
        <v>2016</v>
      </c>
      <c r="IVH368" s="644">
        <v>2017</v>
      </c>
      <c r="IVI368" s="645">
        <v>2018</v>
      </c>
      <c r="IVJ368" s="646">
        <v>2019</v>
      </c>
      <c r="IVK368" s="647">
        <v>2020</v>
      </c>
      <c r="IVL368" s="153"/>
      <c r="IVM368" s="153"/>
      <c r="IVN368" s="153"/>
      <c r="IVO368" s="648"/>
      <c r="IVP368" s="641"/>
      <c r="IVQ368" s="642" t="s">
        <v>1841</v>
      </c>
      <c r="IVR368" s="643"/>
      <c r="IVS368" s="644"/>
      <c r="IVT368" s="644">
        <v>2013</v>
      </c>
      <c r="IVU368" s="644">
        <v>2014</v>
      </c>
      <c r="IVV368" s="644">
        <v>2015</v>
      </c>
      <c r="IVW368" s="644">
        <v>2016</v>
      </c>
      <c r="IVX368" s="644">
        <v>2017</v>
      </c>
      <c r="IVY368" s="645">
        <v>2018</v>
      </c>
      <c r="IVZ368" s="646">
        <v>2019</v>
      </c>
      <c r="IWA368" s="647">
        <v>2020</v>
      </c>
      <c r="IWB368" s="153"/>
      <c r="IWC368" s="153"/>
      <c r="IWD368" s="153"/>
      <c r="IWE368" s="648"/>
      <c r="IWF368" s="641"/>
      <c r="IWG368" s="642" t="s">
        <v>1841</v>
      </c>
      <c r="IWH368" s="643"/>
      <c r="IWI368" s="644"/>
      <c r="IWJ368" s="644">
        <v>2013</v>
      </c>
      <c r="IWK368" s="644">
        <v>2014</v>
      </c>
      <c r="IWL368" s="644">
        <v>2015</v>
      </c>
      <c r="IWM368" s="644">
        <v>2016</v>
      </c>
      <c r="IWN368" s="644">
        <v>2017</v>
      </c>
      <c r="IWO368" s="645">
        <v>2018</v>
      </c>
      <c r="IWP368" s="646">
        <v>2019</v>
      </c>
      <c r="IWQ368" s="647">
        <v>2020</v>
      </c>
      <c r="IWR368" s="153"/>
      <c r="IWS368" s="153"/>
      <c r="IWT368" s="153"/>
      <c r="IWU368" s="648"/>
      <c r="IWV368" s="641"/>
      <c r="IWW368" s="642" t="s">
        <v>1841</v>
      </c>
      <c r="IWX368" s="643"/>
      <c r="IWY368" s="644"/>
      <c r="IWZ368" s="644">
        <v>2013</v>
      </c>
      <c r="IXA368" s="644">
        <v>2014</v>
      </c>
      <c r="IXB368" s="644">
        <v>2015</v>
      </c>
      <c r="IXC368" s="644">
        <v>2016</v>
      </c>
      <c r="IXD368" s="644">
        <v>2017</v>
      </c>
      <c r="IXE368" s="645">
        <v>2018</v>
      </c>
      <c r="IXF368" s="646">
        <v>2019</v>
      </c>
      <c r="IXG368" s="647">
        <v>2020</v>
      </c>
      <c r="IXH368" s="153"/>
      <c r="IXI368" s="153"/>
      <c r="IXJ368" s="153"/>
      <c r="IXK368" s="648"/>
      <c r="IXL368" s="641"/>
      <c r="IXM368" s="642" t="s">
        <v>1841</v>
      </c>
      <c r="IXN368" s="643"/>
      <c r="IXO368" s="644"/>
      <c r="IXP368" s="644">
        <v>2013</v>
      </c>
      <c r="IXQ368" s="644">
        <v>2014</v>
      </c>
      <c r="IXR368" s="644">
        <v>2015</v>
      </c>
      <c r="IXS368" s="644">
        <v>2016</v>
      </c>
      <c r="IXT368" s="644">
        <v>2017</v>
      </c>
      <c r="IXU368" s="645">
        <v>2018</v>
      </c>
      <c r="IXV368" s="646">
        <v>2019</v>
      </c>
      <c r="IXW368" s="647">
        <v>2020</v>
      </c>
      <c r="IXX368" s="153"/>
      <c r="IXY368" s="153"/>
      <c r="IXZ368" s="153"/>
      <c r="IYA368" s="648"/>
      <c r="IYB368" s="641"/>
      <c r="IYC368" s="642" t="s">
        <v>1841</v>
      </c>
      <c r="IYD368" s="643"/>
      <c r="IYE368" s="644"/>
      <c r="IYF368" s="644">
        <v>2013</v>
      </c>
      <c r="IYG368" s="644">
        <v>2014</v>
      </c>
      <c r="IYH368" s="644">
        <v>2015</v>
      </c>
      <c r="IYI368" s="644">
        <v>2016</v>
      </c>
      <c r="IYJ368" s="644">
        <v>2017</v>
      </c>
      <c r="IYK368" s="645">
        <v>2018</v>
      </c>
      <c r="IYL368" s="646">
        <v>2019</v>
      </c>
      <c r="IYM368" s="647">
        <v>2020</v>
      </c>
      <c r="IYN368" s="153"/>
      <c r="IYO368" s="153"/>
      <c r="IYP368" s="153"/>
      <c r="IYQ368" s="648"/>
      <c r="IYR368" s="641"/>
      <c r="IYS368" s="642" t="s">
        <v>1841</v>
      </c>
      <c r="IYT368" s="643"/>
      <c r="IYU368" s="644"/>
      <c r="IYV368" s="644">
        <v>2013</v>
      </c>
      <c r="IYW368" s="644">
        <v>2014</v>
      </c>
      <c r="IYX368" s="644">
        <v>2015</v>
      </c>
      <c r="IYY368" s="644">
        <v>2016</v>
      </c>
      <c r="IYZ368" s="644">
        <v>2017</v>
      </c>
      <c r="IZA368" s="645">
        <v>2018</v>
      </c>
      <c r="IZB368" s="646">
        <v>2019</v>
      </c>
      <c r="IZC368" s="647">
        <v>2020</v>
      </c>
      <c r="IZD368" s="153"/>
      <c r="IZE368" s="153"/>
      <c r="IZF368" s="153"/>
      <c r="IZG368" s="648"/>
      <c r="IZH368" s="641"/>
      <c r="IZI368" s="642" t="s">
        <v>1841</v>
      </c>
      <c r="IZJ368" s="643"/>
      <c r="IZK368" s="644"/>
      <c r="IZL368" s="644">
        <v>2013</v>
      </c>
      <c r="IZM368" s="644">
        <v>2014</v>
      </c>
      <c r="IZN368" s="644">
        <v>2015</v>
      </c>
      <c r="IZO368" s="644">
        <v>2016</v>
      </c>
      <c r="IZP368" s="644">
        <v>2017</v>
      </c>
      <c r="IZQ368" s="645">
        <v>2018</v>
      </c>
      <c r="IZR368" s="646">
        <v>2019</v>
      </c>
      <c r="IZS368" s="647">
        <v>2020</v>
      </c>
      <c r="IZT368" s="153"/>
      <c r="IZU368" s="153"/>
      <c r="IZV368" s="153"/>
      <c r="IZW368" s="648"/>
      <c r="IZX368" s="641"/>
      <c r="IZY368" s="642" t="s">
        <v>1841</v>
      </c>
      <c r="IZZ368" s="643"/>
      <c r="JAA368" s="644"/>
      <c r="JAB368" s="644">
        <v>2013</v>
      </c>
      <c r="JAC368" s="644">
        <v>2014</v>
      </c>
      <c r="JAD368" s="644">
        <v>2015</v>
      </c>
      <c r="JAE368" s="644">
        <v>2016</v>
      </c>
      <c r="JAF368" s="644">
        <v>2017</v>
      </c>
      <c r="JAG368" s="645">
        <v>2018</v>
      </c>
      <c r="JAH368" s="646">
        <v>2019</v>
      </c>
      <c r="JAI368" s="647">
        <v>2020</v>
      </c>
      <c r="JAJ368" s="153"/>
      <c r="JAK368" s="153"/>
      <c r="JAL368" s="153"/>
      <c r="JAM368" s="648"/>
      <c r="JAN368" s="641"/>
      <c r="JAO368" s="642" t="s">
        <v>1841</v>
      </c>
      <c r="JAP368" s="643"/>
      <c r="JAQ368" s="644"/>
      <c r="JAR368" s="644">
        <v>2013</v>
      </c>
      <c r="JAS368" s="644">
        <v>2014</v>
      </c>
      <c r="JAT368" s="644">
        <v>2015</v>
      </c>
      <c r="JAU368" s="644">
        <v>2016</v>
      </c>
      <c r="JAV368" s="644">
        <v>2017</v>
      </c>
      <c r="JAW368" s="645">
        <v>2018</v>
      </c>
      <c r="JAX368" s="646">
        <v>2019</v>
      </c>
      <c r="JAY368" s="647">
        <v>2020</v>
      </c>
      <c r="JAZ368" s="153"/>
      <c r="JBA368" s="153"/>
      <c r="JBB368" s="153"/>
      <c r="JBC368" s="648"/>
      <c r="JBD368" s="641"/>
      <c r="JBE368" s="642" t="s">
        <v>1841</v>
      </c>
      <c r="JBF368" s="643"/>
      <c r="JBG368" s="644"/>
      <c r="JBH368" s="644">
        <v>2013</v>
      </c>
      <c r="JBI368" s="644">
        <v>2014</v>
      </c>
      <c r="JBJ368" s="644">
        <v>2015</v>
      </c>
      <c r="JBK368" s="644">
        <v>2016</v>
      </c>
      <c r="JBL368" s="644">
        <v>2017</v>
      </c>
      <c r="JBM368" s="645">
        <v>2018</v>
      </c>
      <c r="JBN368" s="646">
        <v>2019</v>
      </c>
      <c r="JBO368" s="647">
        <v>2020</v>
      </c>
      <c r="JBP368" s="153"/>
      <c r="JBQ368" s="153"/>
      <c r="JBR368" s="153"/>
      <c r="JBS368" s="648"/>
      <c r="JBT368" s="641"/>
      <c r="JBU368" s="642" t="s">
        <v>1841</v>
      </c>
      <c r="JBV368" s="643"/>
      <c r="JBW368" s="644"/>
      <c r="JBX368" s="644">
        <v>2013</v>
      </c>
      <c r="JBY368" s="644">
        <v>2014</v>
      </c>
      <c r="JBZ368" s="644">
        <v>2015</v>
      </c>
      <c r="JCA368" s="644">
        <v>2016</v>
      </c>
      <c r="JCB368" s="644">
        <v>2017</v>
      </c>
      <c r="JCC368" s="645">
        <v>2018</v>
      </c>
      <c r="JCD368" s="646">
        <v>2019</v>
      </c>
      <c r="JCE368" s="647">
        <v>2020</v>
      </c>
      <c r="JCF368" s="153"/>
      <c r="JCG368" s="153"/>
      <c r="JCH368" s="153"/>
      <c r="JCI368" s="648"/>
      <c r="JCJ368" s="641"/>
      <c r="JCK368" s="642" t="s">
        <v>1841</v>
      </c>
      <c r="JCL368" s="643"/>
      <c r="JCM368" s="644"/>
      <c r="JCN368" s="644">
        <v>2013</v>
      </c>
      <c r="JCO368" s="644">
        <v>2014</v>
      </c>
      <c r="JCP368" s="644">
        <v>2015</v>
      </c>
      <c r="JCQ368" s="644">
        <v>2016</v>
      </c>
      <c r="JCR368" s="644">
        <v>2017</v>
      </c>
      <c r="JCS368" s="645">
        <v>2018</v>
      </c>
      <c r="JCT368" s="646">
        <v>2019</v>
      </c>
      <c r="JCU368" s="647">
        <v>2020</v>
      </c>
      <c r="JCV368" s="153"/>
      <c r="JCW368" s="153"/>
      <c r="JCX368" s="153"/>
      <c r="JCY368" s="648"/>
      <c r="JCZ368" s="641"/>
      <c r="JDA368" s="642" t="s">
        <v>1841</v>
      </c>
      <c r="JDB368" s="643"/>
      <c r="JDC368" s="644"/>
      <c r="JDD368" s="644">
        <v>2013</v>
      </c>
      <c r="JDE368" s="644">
        <v>2014</v>
      </c>
      <c r="JDF368" s="644">
        <v>2015</v>
      </c>
      <c r="JDG368" s="644">
        <v>2016</v>
      </c>
      <c r="JDH368" s="644">
        <v>2017</v>
      </c>
      <c r="JDI368" s="645">
        <v>2018</v>
      </c>
      <c r="JDJ368" s="646">
        <v>2019</v>
      </c>
      <c r="JDK368" s="647">
        <v>2020</v>
      </c>
      <c r="JDL368" s="153"/>
      <c r="JDM368" s="153"/>
      <c r="JDN368" s="153"/>
      <c r="JDO368" s="648"/>
      <c r="JDP368" s="641"/>
      <c r="JDQ368" s="642" t="s">
        <v>1841</v>
      </c>
      <c r="JDR368" s="643"/>
      <c r="JDS368" s="644"/>
      <c r="JDT368" s="644">
        <v>2013</v>
      </c>
      <c r="JDU368" s="644">
        <v>2014</v>
      </c>
      <c r="JDV368" s="644">
        <v>2015</v>
      </c>
      <c r="JDW368" s="644">
        <v>2016</v>
      </c>
      <c r="JDX368" s="644">
        <v>2017</v>
      </c>
      <c r="JDY368" s="645">
        <v>2018</v>
      </c>
      <c r="JDZ368" s="646">
        <v>2019</v>
      </c>
      <c r="JEA368" s="647">
        <v>2020</v>
      </c>
      <c r="JEB368" s="153"/>
      <c r="JEC368" s="153"/>
      <c r="JED368" s="153"/>
      <c r="JEE368" s="648"/>
      <c r="JEF368" s="641"/>
      <c r="JEG368" s="642" t="s">
        <v>1841</v>
      </c>
      <c r="JEH368" s="643"/>
      <c r="JEI368" s="644"/>
      <c r="JEJ368" s="644">
        <v>2013</v>
      </c>
      <c r="JEK368" s="644">
        <v>2014</v>
      </c>
      <c r="JEL368" s="644">
        <v>2015</v>
      </c>
      <c r="JEM368" s="644">
        <v>2016</v>
      </c>
      <c r="JEN368" s="644">
        <v>2017</v>
      </c>
      <c r="JEO368" s="645">
        <v>2018</v>
      </c>
      <c r="JEP368" s="646">
        <v>2019</v>
      </c>
      <c r="JEQ368" s="647">
        <v>2020</v>
      </c>
      <c r="JER368" s="153"/>
      <c r="JES368" s="153"/>
      <c r="JET368" s="153"/>
      <c r="JEU368" s="648"/>
      <c r="JEV368" s="641"/>
      <c r="JEW368" s="642" t="s">
        <v>1841</v>
      </c>
      <c r="JEX368" s="643"/>
      <c r="JEY368" s="644"/>
      <c r="JEZ368" s="644">
        <v>2013</v>
      </c>
      <c r="JFA368" s="644">
        <v>2014</v>
      </c>
      <c r="JFB368" s="644">
        <v>2015</v>
      </c>
      <c r="JFC368" s="644">
        <v>2016</v>
      </c>
      <c r="JFD368" s="644">
        <v>2017</v>
      </c>
      <c r="JFE368" s="645">
        <v>2018</v>
      </c>
      <c r="JFF368" s="646">
        <v>2019</v>
      </c>
      <c r="JFG368" s="647">
        <v>2020</v>
      </c>
      <c r="JFH368" s="153"/>
      <c r="JFI368" s="153"/>
      <c r="JFJ368" s="153"/>
      <c r="JFK368" s="648"/>
      <c r="JFL368" s="641"/>
      <c r="JFM368" s="642" t="s">
        <v>1841</v>
      </c>
      <c r="JFN368" s="643"/>
      <c r="JFO368" s="644"/>
      <c r="JFP368" s="644">
        <v>2013</v>
      </c>
      <c r="JFQ368" s="644">
        <v>2014</v>
      </c>
      <c r="JFR368" s="644">
        <v>2015</v>
      </c>
      <c r="JFS368" s="644">
        <v>2016</v>
      </c>
      <c r="JFT368" s="644">
        <v>2017</v>
      </c>
      <c r="JFU368" s="645">
        <v>2018</v>
      </c>
      <c r="JFV368" s="646">
        <v>2019</v>
      </c>
      <c r="JFW368" s="647">
        <v>2020</v>
      </c>
      <c r="JFX368" s="153"/>
      <c r="JFY368" s="153"/>
      <c r="JFZ368" s="153"/>
      <c r="JGA368" s="648"/>
      <c r="JGB368" s="641"/>
      <c r="JGC368" s="642" t="s">
        <v>1841</v>
      </c>
      <c r="JGD368" s="643"/>
      <c r="JGE368" s="644"/>
      <c r="JGF368" s="644">
        <v>2013</v>
      </c>
      <c r="JGG368" s="644">
        <v>2014</v>
      </c>
      <c r="JGH368" s="644">
        <v>2015</v>
      </c>
      <c r="JGI368" s="644">
        <v>2016</v>
      </c>
      <c r="JGJ368" s="644">
        <v>2017</v>
      </c>
      <c r="JGK368" s="645">
        <v>2018</v>
      </c>
      <c r="JGL368" s="646">
        <v>2019</v>
      </c>
      <c r="JGM368" s="647">
        <v>2020</v>
      </c>
      <c r="JGN368" s="153"/>
      <c r="JGO368" s="153"/>
      <c r="JGP368" s="153"/>
      <c r="JGQ368" s="648"/>
      <c r="JGR368" s="641"/>
      <c r="JGS368" s="642" t="s">
        <v>1841</v>
      </c>
      <c r="JGT368" s="643"/>
      <c r="JGU368" s="644"/>
      <c r="JGV368" s="644">
        <v>2013</v>
      </c>
      <c r="JGW368" s="644">
        <v>2014</v>
      </c>
      <c r="JGX368" s="644">
        <v>2015</v>
      </c>
      <c r="JGY368" s="644">
        <v>2016</v>
      </c>
      <c r="JGZ368" s="644">
        <v>2017</v>
      </c>
      <c r="JHA368" s="645">
        <v>2018</v>
      </c>
      <c r="JHB368" s="646">
        <v>2019</v>
      </c>
      <c r="JHC368" s="647">
        <v>2020</v>
      </c>
      <c r="JHD368" s="153"/>
      <c r="JHE368" s="153"/>
      <c r="JHF368" s="153"/>
      <c r="JHG368" s="648"/>
      <c r="JHH368" s="641"/>
      <c r="JHI368" s="642" t="s">
        <v>1841</v>
      </c>
      <c r="JHJ368" s="643"/>
      <c r="JHK368" s="644"/>
      <c r="JHL368" s="644">
        <v>2013</v>
      </c>
      <c r="JHM368" s="644">
        <v>2014</v>
      </c>
      <c r="JHN368" s="644">
        <v>2015</v>
      </c>
      <c r="JHO368" s="644">
        <v>2016</v>
      </c>
      <c r="JHP368" s="644">
        <v>2017</v>
      </c>
      <c r="JHQ368" s="645">
        <v>2018</v>
      </c>
      <c r="JHR368" s="646">
        <v>2019</v>
      </c>
      <c r="JHS368" s="647">
        <v>2020</v>
      </c>
      <c r="JHT368" s="153"/>
      <c r="JHU368" s="153"/>
      <c r="JHV368" s="153"/>
      <c r="JHW368" s="648"/>
      <c r="JHX368" s="641"/>
      <c r="JHY368" s="642" t="s">
        <v>1841</v>
      </c>
      <c r="JHZ368" s="643"/>
      <c r="JIA368" s="644"/>
      <c r="JIB368" s="644">
        <v>2013</v>
      </c>
      <c r="JIC368" s="644">
        <v>2014</v>
      </c>
      <c r="JID368" s="644">
        <v>2015</v>
      </c>
      <c r="JIE368" s="644">
        <v>2016</v>
      </c>
      <c r="JIF368" s="644">
        <v>2017</v>
      </c>
      <c r="JIG368" s="645">
        <v>2018</v>
      </c>
      <c r="JIH368" s="646">
        <v>2019</v>
      </c>
      <c r="JII368" s="647">
        <v>2020</v>
      </c>
      <c r="JIJ368" s="153"/>
      <c r="JIK368" s="153"/>
      <c r="JIL368" s="153"/>
      <c r="JIM368" s="648"/>
      <c r="JIN368" s="641"/>
      <c r="JIO368" s="642" t="s">
        <v>1841</v>
      </c>
      <c r="JIP368" s="643"/>
      <c r="JIQ368" s="644"/>
      <c r="JIR368" s="644">
        <v>2013</v>
      </c>
      <c r="JIS368" s="644">
        <v>2014</v>
      </c>
      <c r="JIT368" s="644">
        <v>2015</v>
      </c>
      <c r="JIU368" s="644">
        <v>2016</v>
      </c>
      <c r="JIV368" s="644">
        <v>2017</v>
      </c>
      <c r="JIW368" s="645">
        <v>2018</v>
      </c>
      <c r="JIX368" s="646">
        <v>2019</v>
      </c>
      <c r="JIY368" s="647">
        <v>2020</v>
      </c>
      <c r="JIZ368" s="153"/>
      <c r="JJA368" s="153"/>
      <c r="JJB368" s="153"/>
      <c r="JJC368" s="648"/>
      <c r="JJD368" s="641"/>
      <c r="JJE368" s="642" t="s">
        <v>1841</v>
      </c>
      <c r="JJF368" s="643"/>
      <c r="JJG368" s="644"/>
      <c r="JJH368" s="644">
        <v>2013</v>
      </c>
      <c r="JJI368" s="644">
        <v>2014</v>
      </c>
      <c r="JJJ368" s="644">
        <v>2015</v>
      </c>
      <c r="JJK368" s="644">
        <v>2016</v>
      </c>
      <c r="JJL368" s="644">
        <v>2017</v>
      </c>
      <c r="JJM368" s="645">
        <v>2018</v>
      </c>
      <c r="JJN368" s="646">
        <v>2019</v>
      </c>
      <c r="JJO368" s="647">
        <v>2020</v>
      </c>
      <c r="JJP368" s="153"/>
      <c r="JJQ368" s="153"/>
      <c r="JJR368" s="153"/>
      <c r="JJS368" s="648"/>
      <c r="JJT368" s="641"/>
      <c r="JJU368" s="642" t="s">
        <v>1841</v>
      </c>
      <c r="JJV368" s="643"/>
      <c r="JJW368" s="644"/>
      <c r="JJX368" s="644">
        <v>2013</v>
      </c>
      <c r="JJY368" s="644">
        <v>2014</v>
      </c>
      <c r="JJZ368" s="644">
        <v>2015</v>
      </c>
      <c r="JKA368" s="644">
        <v>2016</v>
      </c>
      <c r="JKB368" s="644">
        <v>2017</v>
      </c>
      <c r="JKC368" s="645">
        <v>2018</v>
      </c>
      <c r="JKD368" s="646">
        <v>2019</v>
      </c>
      <c r="JKE368" s="647">
        <v>2020</v>
      </c>
      <c r="JKF368" s="153"/>
      <c r="JKG368" s="153"/>
      <c r="JKH368" s="153"/>
      <c r="JKI368" s="648"/>
      <c r="JKJ368" s="641"/>
      <c r="JKK368" s="642" t="s">
        <v>1841</v>
      </c>
      <c r="JKL368" s="643"/>
      <c r="JKM368" s="644"/>
      <c r="JKN368" s="644">
        <v>2013</v>
      </c>
      <c r="JKO368" s="644">
        <v>2014</v>
      </c>
      <c r="JKP368" s="644">
        <v>2015</v>
      </c>
      <c r="JKQ368" s="644">
        <v>2016</v>
      </c>
      <c r="JKR368" s="644">
        <v>2017</v>
      </c>
      <c r="JKS368" s="645">
        <v>2018</v>
      </c>
      <c r="JKT368" s="646">
        <v>2019</v>
      </c>
      <c r="JKU368" s="647">
        <v>2020</v>
      </c>
      <c r="JKV368" s="153"/>
      <c r="JKW368" s="153"/>
      <c r="JKX368" s="153"/>
      <c r="JKY368" s="648"/>
      <c r="JKZ368" s="641"/>
      <c r="JLA368" s="642" t="s">
        <v>1841</v>
      </c>
      <c r="JLB368" s="643"/>
      <c r="JLC368" s="644"/>
      <c r="JLD368" s="644">
        <v>2013</v>
      </c>
      <c r="JLE368" s="644">
        <v>2014</v>
      </c>
      <c r="JLF368" s="644">
        <v>2015</v>
      </c>
      <c r="JLG368" s="644">
        <v>2016</v>
      </c>
      <c r="JLH368" s="644">
        <v>2017</v>
      </c>
      <c r="JLI368" s="645">
        <v>2018</v>
      </c>
      <c r="JLJ368" s="646">
        <v>2019</v>
      </c>
      <c r="JLK368" s="647">
        <v>2020</v>
      </c>
      <c r="JLL368" s="153"/>
      <c r="JLM368" s="153"/>
      <c r="JLN368" s="153"/>
      <c r="JLO368" s="648"/>
      <c r="JLP368" s="641"/>
      <c r="JLQ368" s="642" t="s">
        <v>1841</v>
      </c>
      <c r="JLR368" s="643"/>
      <c r="JLS368" s="644"/>
      <c r="JLT368" s="644">
        <v>2013</v>
      </c>
      <c r="JLU368" s="644">
        <v>2014</v>
      </c>
      <c r="JLV368" s="644">
        <v>2015</v>
      </c>
      <c r="JLW368" s="644">
        <v>2016</v>
      </c>
      <c r="JLX368" s="644">
        <v>2017</v>
      </c>
      <c r="JLY368" s="645">
        <v>2018</v>
      </c>
      <c r="JLZ368" s="646">
        <v>2019</v>
      </c>
      <c r="JMA368" s="647">
        <v>2020</v>
      </c>
      <c r="JMB368" s="153"/>
      <c r="JMC368" s="153"/>
      <c r="JMD368" s="153"/>
      <c r="JME368" s="648"/>
      <c r="JMF368" s="641"/>
      <c r="JMG368" s="642" t="s">
        <v>1841</v>
      </c>
      <c r="JMH368" s="643"/>
      <c r="JMI368" s="644"/>
      <c r="JMJ368" s="644">
        <v>2013</v>
      </c>
      <c r="JMK368" s="644">
        <v>2014</v>
      </c>
      <c r="JML368" s="644">
        <v>2015</v>
      </c>
      <c r="JMM368" s="644">
        <v>2016</v>
      </c>
      <c r="JMN368" s="644">
        <v>2017</v>
      </c>
      <c r="JMO368" s="645">
        <v>2018</v>
      </c>
      <c r="JMP368" s="646">
        <v>2019</v>
      </c>
      <c r="JMQ368" s="647">
        <v>2020</v>
      </c>
      <c r="JMR368" s="153"/>
      <c r="JMS368" s="153"/>
      <c r="JMT368" s="153"/>
      <c r="JMU368" s="648"/>
      <c r="JMV368" s="641"/>
      <c r="JMW368" s="642" t="s">
        <v>1841</v>
      </c>
      <c r="JMX368" s="643"/>
      <c r="JMY368" s="644"/>
      <c r="JMZ368" s="644">
        <v>2013</v>
      </c>
      <c r="JNA368" s="644">
        <v>2014</v>
      </c>
      <c r="JNB368" s="644">
        <v>2015</v>
      </c>
      <c r="JNC368" s="644">
        <v>2016</v>
      </c>
      <c r="JND368" s="644">
        <v>2017</v>
      </c>
      <c r="JNE368" s="645">
        <v>2018</v>
      </c>
      <c r="JNF368" s="646">
        <v>2019</v>
      </c>
      <c r="JNG368" s="647">
        <v>2020</v>
      </c>
      <c r="JNH368" s="153"/>
      <c r="JNI368" s="153"/>
      <c r="JNJ368" s="153"/>
      <c r="JNK368" s="648"/>
      <c r="JNL368" s="641"/>
      <c r="JNM368" s="642" t="s">
        <v>1841</v>
      </c>
      <c r="JNN368" s="643"/>
      <c r="JNO368" s="644"/>
      <c r="JNP368" s="644">
        <v>2013</v>
      </c>
      <c r="JNQ368" s="644">
        <v>2014</v>
      </c>
      <c r="JNR368" s="644">
        <v>2015</v>
      </c>
      <c r="JNS368" s="644">
        <v>2016</v>
      </c>
      <c r="JNT368" s="644">
        <v>2017</v>
      </c>
      <c r="JNU368" s="645">
        <v>2018</v>
      </c>
      <c r="JNV368" s="646">
        <v>2019</v>
      </c>
      <c r="JNW368" s="647">
        <v>2020</v>
      </c>
      <c r="JNX368" s="153"/>
      <c r="JNY368" s="153"/>
      <c r="JNZ368" s="153"/>
      <c r="JOA368" s="648"/>
      <c r="JOB368" s="641"/>
      <c r="JOC368" s="642" t="s">
        <v>1841</v>
      </c>
      <c r="JOD368" s="643"/>
      <c r="JOE368" s="644"/>
      <c r="JOF368" s="644">
        <v>2013</v>
      </c>
      <c r="JOG368" s="644">
        <v>2014</v>
      </c>
      <c r="JOH368" s="644">
        <v>2015</v>
      </c>
      <c r="JOI368" s="644">
        <v>2016</v>
      </c>
      <c r="JOJ368" s="644">
        <v>2017</v>
      </c>
      <c r="JOK368" s="645">
        <v>2018</v>
      </c>
      <c r="JOL368" s="646">
        <v>2019</v>
      </c>
      <c r="JOM368" s="647">
        <v>2020</v>
      </c>
      <c r="JON368" s="153"/>
      <c r="JOO368" s="153"/>
      <c r="JOP368" s="153"/>
      <c r="JOQ368" s="648"/>
      <c r="JOR368" s="641"/>
      <c r="JOS368" s="642" t="s">
        <v>1841</v>
      </c>
      <c r="JOT368" s="643"/>
      <c r="JOU368" s="644"/>
      <c r="JOV368" s="644">
        <v>2013</v>
      </c>
      <c r="JOW368" s="644">
        <v>2014</v>
      </c>
      <c r="JOX368" s="644">
        <v>2015</v>
      </c>
      <c r="JOY368" s="644">
        <v>2016</v>
      </c>
      <c r="JOZ368" s="644">
        <v>2017</v>
      </c>
      <c r="JPA368" s="645">
        <v>2018</v>
      </c>
      <c r="JPB368" s="646">
        <v>2019</v>
      </c>
      <c r="JPC368" s="647">
        <v>2020</v>
      </c>
      <c r="JPD368" s="153"/>
      <c r="JPE368" s="153"/>
      <c r="JPF368" s="153"/>
      <c r="JPG368" s="648"/>
      <c r="JPH368" s="641"/>
      <c r="JPI368" s="642" t="s">
        <v>1841</v>
      </c>
      <c r="JPJ368" s="643"/>
      <c r="JPK368" s="644"/>
      <c r="JPL368" s="644">
        <v>2013</v>
      </c>
      <c r="JPM368" s="644">
        <v>2014</v>
      </c>
      <c r="JPN368" s="644">
        <v>2015</v>
      </c>
      <c r="JPO368" s="644">
        <v>2016</v>
      </c>
      <c r="JPP368" s="644">
        <v>2017</v>
      </c>
      <c r="JPQ368" s="645">
        <v>2018</v>
      </c>
      <c r="JPR368" s="646">
        <v>2019</v>
      </c>
      <c r="JPS368" s="647">
        <v>2020</v>
      </c>
      <c r="JPT368" s="153"/>
      <c r="JPU368" s="153"/>
      <c r="JPV368" s="153"/>
      <c r="JPW368" s="648"/>
      <c r="JPX368" s="641"/>
      <c r="JPY368" s="642" t="s">
        <v>1841</v>
      </c>
      <c r="JPZ368" s="643"/>
      <c r="JQA368" s="644"/>
      <c r="JQB368" s="644">
        <v>2013</v>
      </c>
      <c r="JQC368" s="644">
        <v>2014</v>
      </c>
      <c r="JQD368" s="644">
        <v>2015</v>
      </c>
      <c r="JQE368" s="644">
        <v>2016</v>
      </c>
      <c r="JQF368" s="644">
        <v>2017</v>
      </c>
      <c r="JQG368" s="645">
        <v>2018</v>
      </c>
      <c r="JQH368" s="646">
        <v>2019</v>
      </c>
      <c r="JQI368" s="647">
        <v>2020</v>
      </c>
      <c r="JQJ368" s="153"/>
      <c r="JQK368" s="153"/>
      <c r="JQL368" s="153"/>
      <c r="JQM368" s="648"/>
      <c r="JQN368" s="641"/>
      <c r="JQO368" s="642" t="s">
        <v>1841</v>
      </c>
      <c r="JQP368" s="643"/>
      <c r="JQQ368" s="644"/>
      <c r="JQR368" s="644">
        <v>2013</v>
      </c>
      <c r="JQS368" s="644">
        <v>2014</v>
      </c>
      <c r="JQT368" s="644">
        <v>2015</v>
      </c>
      <c r="JQU368" s="644">
        <v>2016</v>
      </c>
      <c r="JQV368" s="644">
        <v>2017</v>
      </c>
      <c r="JQW368" s="645">
        <v>2018</v>
      </c>
      <c r="JQX368" s="646">
        <v>2019</v>
      </c>
      <c r="JQY368" s="647">
        <v>2020</v>
      </c>
      <c r="JQZ368" s="153"/>
      <c r="JRA368" s="153"/>
      <c r="JRB368" s="153"/>
      <c r="JRC368" s="648"/>
      <c r="JRD368" s="641"/>
      <c r="JRE368" s="642" t="s">
        <v>1841</v>
      </c>
      <c r="JRF368" s="643"/>
      <c r="JRG368" s="644"/>
      <c r="JRH368" s="644">
        <v>2013</v>
      </c>
      <c r="JRI368" s="644">
        <v>2014</v>
      </c>
      <c r="JRJ368" s="644">
        <v>2015</v>
      </c>
      <c r="JRK368" s="644">
        <v>2016</v>
      </c>
      <c r="JRL368" s="644">
        <v>2017</v>
      </c>
      <c r="JRM368" s="645">
        <v>2018</v>
      </c>
      <c r="JRN368" s="646">
        <v>2019</v>
      </c>
      <c r="JRO368" s="647">
        <v>2020</v>
      </c>
      <c r="JRP368" s="153"/>
      <c r="JRQ368" s="153"/>
      <c r="JRR368" s="153"/>
      <c r="JRS368" s="648"/>
      <c r="JRT368" s="641"/>
      <c r="JRU368" s="642" t="s">
        <v>1841</v>
      </c>
      <c r="JRV368" s="643"/>
      <c r="JRW368" s="644"/>
      <c r="JRX368" s="644">
        <v>2013</v>
      </c>
      <c r="JRY368" s="644">
        <v>2014</v>
      </c>
      <c r="JRZ368" s="644">
        <v>2015</v>
      </c>
      <c r="JSA368" s="644">
        <v>2016</v>
      </c>
      <c r="JSB368" s="644">
        <v>2017</v>
      </c>
      <c r="JSC368" s="645">
        <v>2018</v>
      </c>
      <c r="JSD368" s="646">
        <v>2019</v>
      </c>
      <c r="JSE368" s="647">
        <v>2020</v>
      </c>
      <c r="JSF368" s="153"/>
      <c r="JSG368" s="153"/>
      <c r="JSH368" s="153"/>
      <c r="JSI368" s="648"/>
      <c r="JSJ368" s="641"/>
      <c r="JSK368" s="642" t="s">
        <v>1841</v>
      </c>
      <c r="JSL368" s="643"/>
      <c r="JSM368" s="644"/>
      <c r="JSN368" s="644">
        <v>2013</v>
      </c>
      <c r="JSO368" s="644">
        <v>2014</v>
      </c>
      <c r="JSP368" s="644">
        <v>2015</v>
      </c>
      <c r="JSQ368" s="644">
        <v>2016</v>
      </c>
      <c r="JSR368" s="644">
        <v>2017</v>
      </c>
      <c r="JSS368" s="645">
        <v>2018</v>
      </c>
      <c r="JST368" s="646">
        <v>2019</v>
      </c>
      <c r="JSU368" s="647">
        <v>2020</v>
      </c>
      <c r="JSV368" s="153"/>
      <c r="JSW368" s="153"/>
      <c r="JSX368" s="153"/>
      <c r="JSY368" s="648"/>
      <c r="JSZ368" s="641"/>
      <c r="JTA368" s="642" t="s">
        <v>1841</v>
      </c>
      <c r="JTB368" s="643"/>
      <c r="JTC368" s="644"/>
      <c r="JTD368" s="644">
        <v>2013</v>
      </c>
      <c r="JTE368" s="644">
        <v>2014</v>
      </c>
      <c r="JTF368" s="644">
        <v>2015</v>
      </c>
      <c r="JTG368" s="644">
        <v>2016</v>
      </c>
      <c r="JTH368" s="644">
        <v>2017</v>
      </c>
      <c r="JTI368" s="645">
        <v>2018</v>
      </c>
      <c r="JTJ368" s="646">
        <v>2019</v>
      </c>
      <c r="JTK368" s="647">
        <v>2020</v>
      </c>
      <c r="JTL368" s="153"/>
      <c r="JTM368" s="153"/>
      <c r="JTN368" s="153"/>
      <c r="JTO368" s="648"/>
      <c r="JTP368" s="641"/>
      <c r="JTQ368" s="642" t="s">
        <v>1841</v>
      </c>
      <c r="JTR368" s="643"/>
      <c r="JTS368" s="644"/>
      <c r="JTT368" s="644">
        <v>2013</v>
      </c>
      <c r="JTU368" s="644">
        <v>2014</v>
      </c>
      <c r="JTV368" s="644">
        <v>2015</v>
      </c>
      <c r="JTW368" s="644">
        <v>2016</v>
      </c>
      <c r="JTX368" s="644">
        <v>2017</v>
      </c>
      <c r="JTY368" s="645">
        <v>2018</v>
      </c>
      <c r="JTZ368" s="646">
        <v>2019</v>
      </c>
      <c r="JUA368" s="647">
        <v>2020</v>
      </c>
      <c r="JUB368" s="153"/>
      <c r="JUC368" s="153"/>
      <c r="JUD368" s="153"/>
      <c r="JUE368" s="648"/>
      <c r="JUF368" s="641"/>
      <c r="JUG368" s="642" t="s">
        <v>1841</v>
      </c>
      <c r="JUH368" s="643"/>
      <c r="JUI368" s="644"/>
      <c r="JUJ368" s="644">
        <v>2013</v>
      </c>
      <c r="JUK368" s="644">
        <v>2014</v>
      </c>
      <c r="JUL368" s="644">
        <v>2015</v>
      </c>
      <c r="JUM368" s="644">
        <v>2016</v>
      </c>
      <c r="JUN368" s="644">
        <v>2017</v>
      </c>
      <c r="JUO368" s="645">
        <v>2018</v>
      </c>
      <c r="JUP368" s="646">
        <v>2019</v>
      </c>
      <c r="JUQ368" s="647">
        <v>2020</v>
      </c>
      <c r="JUR368" s="153"/>
      <c r="JUS368" s="153"/>
      <c r="JUT368" s="153"/>
      <c r="JUU368" s="648"/>
      <c r="JUV368" s="641"/>
      <c r="JUW368" s="642" t="s">
        <v>1841</v>
      </c>
      <c r="JUX368" s="643"/>
      <c r="JUY368" s="644"/>
      <c r="JUZ368" s="644">
        <v>2013</v>
      </c>
      <c r="JVA368" s="644">
        <v>2014</v>
      </c>
      <c r="JVB368" s="644">
        <v>2015</v>
      </c>
      <c r="JVC368" s="644">
        <v>2016</v>
      </c>
      <c r="JVD368" s="644">
        <v>2017</v>
      </c>
      <c r="JVE368" s="645">
        <v>2018</v>
      </c>
      <c r="JVF368" s="646">
        <v>2019</v>
      </c>
      <c r="JVG368" s="647">
        <v>2020</v>
      </c>
      <c r="JVH368" s="153"/>
      <c r="JVI368" s="153"/>
      <c r="JVJ368" s="153"/>
      <c r="JVK368" s="648"/>
      <c r="JVL368" s="641"/>
      <c r="JVM368" s="642" t="s">
        <v>1841</v>
      </c>
      <c r="JVN368" s="643"/>
      <c r="JVO368" s="644"/>
      <c r="JVP368" s="644">
        <v>2013</v>
      </c>
      <c r="JVQ368" s="644">
        <v>2014</v>
      </c>
      <c r="JVR368" s="644">
        <v>2015</v>
      </c>
      <c r="JVS368" s="644">
        <v>2016</v>
      </c>
      <c r="JVT368" s="644">
        <v>2017</v>
      </c>
      <c r="JVU368" s="645">
        <v>2018</v>
      </c>
      <c r="JVV368" s="646">
        <v>2019</v>
      </c>
      <c r="JVW368" s="647">
        <v>2020</v>
      </c>
      <c r="JVX368" s="153"/>
      <c r="JVY368" s="153"/>
      <c r="JVZ368" s="153"/>
      <c r="JWA368" s="648"/>
      <c r="JWB368" s="641"/>
      <c r="JWC368" s="642" t="s">
        <v>1841</v>
      </c>
      <c r="JWD368" s="643"/>
      <c r="JWE368" s="644"/>
      <c r="JWF368" s="644">
        <v>2013</v>
      </c>
      <c r="JWG368" s="644">
        <v>2014</v>
      </c>
      <c r="JWH368" s="644">
        <v>2015</v>
      </c>
      <c r="JWI368" s="644">
        <v>2016</v>
      </c>
      <c r="JWJ368" s="644">
        <v>2017</v>
      </c>
      <c r="JWK368" s="645">
        <v>2018</v>
      </c>
      <c r="JWL368" s="646">
        <v>2019</v>
      </c>
      <c r="JWM368" s="647">
        <v>2020</v>
      </c>
      <c r="JWN368" s="153"/>
      <c r="JWO368" s="153"/>
      <c r="JWP368" s="153"/>
      <c r="JWQ368" s="648"/>
      <c r="JWR368" s="641"/>
      <c r="JWS368" s="642" t="s">
        <v>1841</v>
      </c>
      <c r="JWT368" s="643"/>
      <c r="JWU368" s="644"/>
      <c r="JWV368" s="644">
        <v>2013</v>
      </c>
      <c r="JWW368" s="644">
        <v>2014</v>
      </c>
      <c r="JWX368" s="644">
        <v>2015</v>
      </c>
      <c r="JWY368" s="644">
        <v>2016</v>
      </c>
      <c r="JWZ368" s="644">
        <v>2017</v>
      </c>
      <c r="JXA368" s="645">
        <v>2018</v>
      </c>
      <c r="JXB368" s="646">
        <v>2019</v>
      </c>
      <c r="JXC368" s="647">
        <v>2020</v>
      </c>
      <c r="JXD368" s="153"/>
      <c r="JXE368" s="153"/>
      <c r="JXF368" s="153"/>
      <c r="JXG368" s="648"/>
      <c r="JXH368" s="641"/>
      <c r="JXI368" s="642" t="s">
        <v>1841</v>
      </c>
      <c r="JXJ368" s="643"/>
      <c r="JXK368" s="644"/>
      <c r="JXL368" s="644">
        <v>2013</v>
      </c>
      <c r="JXM368" s="644">
        <v>2014</v>
      </c>
      <c r="JXN368" s="644">
        <v>2015</v>
      </c>
      <c r="JXO368" s="644">
        <v>2016</v>
      </c>
      <c r="JXP368" s="644">
        <v>2017</v>
      </c>
      <c r="JXQ368" s="645">
        <v>2018</v>
      </c>
      <c r="JXR368" s="646">
        <v>2019</v>
      </c>
      <c r="JXS368" s="647">
        <v>2020</v>
      </c>
      <c r="JXT368" s="153"/>
      <c r="JXU368" s="153"/>
      <c r="JXV368" s="153"/>
      <c r="JXW368" s="648"/>
      <c r="JXX368" s="641"/>
      <c r="JXY368" s="642" t="s">
        <v>1841</v>
      </c>
      <c r="JXZ368" s="643"/>
      <c r="JYA368" s="644"/>
      <c r="JYB368" s="644">
        <v>2013</v>
      </c>
      <c r="JYC368" s="644">
        <v>2014</v>
      </c>
      <c r="JYD368" s="644">
        <v>2015</v>
      </c>
      <c r="JYE368" s="644">
        <v>2016</v>
      </c>
      <c r="JYF368" s="644">
        <v>2017</v>
      </c>
      <c r="JYG368" s="645">
        <v>2018</v>
      </c>
      <c r="JYH368" s="646">
        <v>2019</v>
      </c>
      <c r="JYI368" s="647">
        <v>2020</v>
      </c>
      <c r="JYJ368" s="153"/>
      <c r="JYK368" s="153"/>
      <c r="JYL368" s="153"/>
      <c r="JYM368" s="648"/>
      <c r="JYN368" s="641"/>
      <c r="JYO368" s="642" t="s">
        <v>1841</v>
      </c>
      <c r="JYP368" s="643"/>
      <c r="JYQ368" s="644"/>
      <c r="JYR368" s="644">
        <v>2013</v>
      </c>
      <c r="JYS368" s="644">
        <v>2014</v>
      </c>
      <c r="JYT368" s="644">
        <v>2015</v>
      </c>
      <c r="JYU368" s="644">
        <v>2016</v>
      </c>
      <c r="JYV368" s="644">
        <v>2017</v>
      </c>
      <c r="JYW368" s="645">
        <v>2018</v>
      </c>
      <c r="JYX368" s="646">
        <v>2019</v>
      </c>
      <c r="JYY368" s="647">
        <v>2020</v>
      </c>
      <c r="JYZ368" s="153"/>
      <c r="JZA368" s="153"/>
      <c r="JZB368" s="153"/>
      <c r="JZC368" s="648"/>
      <c r="JZD368" s="641"/>
      <c r="JZE368" s="642" t="s">
        <v>1841</v>
      </c>
      <c r="JZF368" s="643"/>
      <c r="JZG368" s="644"/>
      <c r="JZH368" s="644">
        <v>2013</v>
      </c>
      <c r="JZI368" s="644">
        <v>2014</v>
      </c>
      <c r="JZJ368" s="644">
        <v>2015</v>
      </c>
      <c r="JZK368" s="644">
        <v>2016</v>
      </c>
      <c r="JZL368" s="644">
        <v>2017</v>
      </c>
      <c r="JZM368" s="645">
        <v>2018</v>
      </c>
      <c r="JZN368" s="646">
        <v>2019</v>
      </c>
      <c r="JZO368" s="647">
        <v>2020</v>
      </c>
      <c r="JZP368" s="153"/>
      <c r="JZQ368" s="153"/>
      <c r="JZR368" s="153"/>
      <c r="JZS368" s="648"/>
      <c r="JZT368" s="641"/>
      <c r="JZU368" s="642" t="s">
        <v>1841</v>
      </c>
      <c r="JZV368" s="643"/>
      <c r="JZW368" s="644"/>
      <c r="JZX368" s="644">
        <v>2013</v>
      </c>
      <c r="JZY368" s="644">
        <v>2014</v>
      </c>
      <c r="JZZ368" s="644">
        <v>2015</v>
      </c>
      <c r="KAA368" s="644">
        <v>2016</v>
      </c>
      <c r="KAB368" s="644">
        <v>2017</v>
      </c>
      <c r="KAC368" s="645">
        <v>2018</v>
      </c>
      <c r="KAD368" s="646">
        <v>2019</v>
      </c>
      <c r="KAE368" s="647">
        <v>2020</v>
      </c>
      <c r="KAF368" s="153"/>
      <c r="KAG368" s="153"/>
      <c r="KAH368" s="153"/>
      <c r="KAI368" s="648"/>
      <c r="KAJ368" s="641"/>
      <c r="KAK368" s="642" t="s">
        <v>1841</v>
      </c>
      <c r="KAL368" s="643"/>
      <c r="KAM368" s="644"/>
      <c r="KAN368" s="644">
        <v>2013</v>
      </c>
      <c r="KAO368" s="644">
        <v>2014</v>
      </c>
      <c r="KAP368" s="644">
        <v>2015</v>
      </c>
      <c r="KAQ368" s="644">
        <v>2016</v>
      </c>
      <c r="KAR368" s="644">
        <v>2017</v>
      </c>
      <c r="KAS368" s="645">
        <v>2018</v>
      </c>
      <c r="KAT368" s="646">
        <v>2019</v>
      </c>
      <c r="KAU368" s="647">
        <v>2020</v>
      </c>
      <c r="KAV368" s="153"/>
      <c r="KAW368" s="153"/>
      <c r="KAX368" s="153"/>
      <c r="KAY368" s="648"/>
      <c r="KAZ368" s="641"/>
      <c r="KBA368" s="642" t="s">
        <v>1841</v>
      </c>
      <c r="KBB368" s="643"/>
      <c r="KBC368" s="644"/>
      <c r="KBD368" s="644">
        <v>2013</v>
      </c>
      <c r="KBE368" s="644">
        <v>2014</v>
      </c>
      <c r="KBF368" s="644">
        <v>2015</v>
      </c>
      <c r="KBG368" s="644">
        <v>2016</v>
      </c>
      <c r="KBH368" s="644">
        <v>2017</v>
      </c>
      <c r="KBI368" s="645">
        <v>2018</v>
      </c>
      <c r="KBJ368" s="646">
        <v>2019</v>
      </c>
      <c r="KBK368" s="647">
        <v>2020</v>
      </c>
      <c r="KBL368" s="153"/>
      <c r="KBM368" s="153"/>
      <c r="KBN368" s="153"/>
      <c r="KBO368" s="648"/>
      <c r="KBP368" s="641"/>
      <c r="KBQ368" s="642" t="s">
        <v>1841</v>
      </c>
      <c r="KBR368" s="643"/>
      <c r="KBS368" s="644"/>
      <c r="KBT368" s="644">
        <v>2013</v>
      </c>
      <c r="KBU368" s="644">
        <v>2014</v>
      </c>
      <c r="KBV368" s="644">
        <v>2015</v>
      </c>
      <c r="KBW368" s="644">
        <v>2016</v>
      </c>
      <c r="KBX368" s="644">
        <v>2017</v>
      </c>
      <c r="KBY368" s="645">
        <v>2018</v>
      </c>
      <c r="KBZ368" s="646">
        <v>2019</v>
      </c>
      <c r="KCA368" s="647">
        <v>2020</v>
      </c>
      <c r="KCB368" s="153"/>
      <c r="KCC368" s="153"/>
      <c r="KCD368" s="153"/>
      <c r="KCE368" s="648"/>
      <c r="KCF368" s="641"/>
      <c r="KCG368" s="642" t="s">
        <v>1841</v>
      </c>
      <c r="KCH368" s="643"/>
      <c r="KCI368" s="644"/>
      <c r="KCJ368" s="644">
        <v>2013</v>
      </c>
      <c r="KCK368" s="644">
        <v>2014</v>
      </c>
      <c r="KCL368" s="644">
        <v>2015</v>
      </c>
      <c r="KCM368" s="644">
        <v>2016</v>
      </c>
      <c r="KCN368" s="644">
        <v>2017</v>
      </c>
      <c r="KCO368" s="645">
        <v>2018</v>
      </c>
      <c r="KCP368" s="646">
        <v>2019</v>
      </c>
      <c r="KCQ368" s="647">
        <v>2020</v>
      </c>
      <c r="KCR368" s="153"/>
      <c r="KCS368" s="153"/>
      <c r="KCT368" s="153"/>
      <c r="KCU368" s="648"/>
      <c r="KCV368" s="641"/>
      <c r="KCW368" s="642" t="s">
        <v>1841</v>
      </c>
      <c r="KCX368" s="643"/>
      <c r="KCY368" s="644"/>
      <c r="KCZ368" s="644">
        <v>2013</v>
      </c>
      <c r="KDA368" s="644">
        <v>2014</v>
      </c>
      <c r="KDB368" s="644">
        <v>2015</v>
      </c>
      <c r="KDC368" s="644">
        <v>2016</v>
      </c>
      <c r="KDD368" s="644">
        <v>2017</v>
      </c>
      <c r="KDE368" s="645">
        <v>2018</v>
      </c>
      <c r="KDF368" s="646">
        <v>2019</v>
      </c>
      <c r="KDG368" s="647">
        <v>2020</v>
      </c>
      <c r="KDH368" s="153"/>
      <c r="KDI368" s="153"/>
      <c r="KDJ368" s="153"/>
      <c r="KDK368" s="648"/>
      <c r="KDL368" s="641"/>
      <c r="KDM368" s="642" t="s">
        <v>1841</v>
      </c>
      <c r="KDN368" s="643"/>
      <c r="KDO368" s="644"/>
      <c r="KDP368" s="644">
        <v>2013</v>
      </c>
      <c r="KDQ368" s="644">
        <v>2014</v>
      </c>
      <c r="KDR368" s="644">
        <v>2015</v>
      </c>
      <c r="KDS368" s="644">
        <v>2016</v>
      </c>
      <c r="KDT368" s="644">
        <v>2017</v>
      </c>
      <c r="KDU368" s="645">
        <v>2018</v>
      </c>
      <c r="KDV368" s="646">
        <v>2019</v>
      </c>
      <c r="KDW368" s="647">
        <v>2020</v>
      </c>
      <c r="KDX368" s="153"/>
      <c r="KDY368" s="153"/>
      <c r="KDZ368" s="153"/>
      <c r="KEA368" s="648"/>
      <c r="KEB368" s="641"/>
      <c r="KEC368" s="642" t="s">
        <v>1841</v>
      </c>
      <c r="KED368" s="643"/>
      <c r="KEE368" s="644"/>
      <c r="KEF368" s="644">
        <v>2013</v>
      </c>
      <c r="KEG368" s="644">
        <v>2014</v>
      </c>
      <c r="KEH368" s="644">
        <v>2015</v>
      </c>
      <c r="KEI368" s="644">
        <v>2016</v>
      </c>
      <c r="KEJ368" s="644">
        <v>2017</v>
      </c>
      <c r="KEK368" s="645">
        <v>2018</v>
      </c>
      <c r="KEL368" s="646">
        <v>2019</v>
      </c>
      <c r="KEM368" s="647">
        <v>2020</v>
      </c>
      <c r="KEN368" s="153"/>
      <c r="KEO368" s="153"/>
      <c r="KEP368" s="153"/>
      <c r="KEQ368" s="648"/>
      <c r="KER368" s="641"/>
      <c r="KES368" s="642" t="s">
        <v>1841</v>
      </c>
      <c r="KET368" s="643"/>
      <c r="KEU368" s="644"/>
      <c r="KEV368" s="644">
        <v>2013</v>
      </c>
      <c r="KEW368" s="644">
        <v>2014</v>
      </c>
      <c r="KEX368" s="644">
        <v>2015</v>
      </c>
      <c r="KEY368" s="644">
        <v>2016</v>
      </c>
      <c r="KEZ368" s="644">
        <v>2017</v>
      </c>
      <c r="KFA368" s="645">
        <v>2018</v>
      </c>
      <c r="KFB368" s="646">
        <v>2019</v>
      </c>
      <c r="KFC368" s="647">
        <v>2020</v>
      </c>
      <c r="KFD368" s="153"/>
      <c r="KFE368" s="153"/>
      <c r="KFF368" s="153"/>
      <c r="KFG368" s="648"/>
      <c r="KFH368" s="641"/>
      <c r="KFI368" s="642" t="s">
        <v>1841</v>
      </c>
      <c r="KFJ368" s="643"/>
      <c r="KFK368" s="644"/>
      <c r="KFL368" s="644">
        <v>2013</v>
      </c>
      <c r="KFM368" s="644">
        <v>2014</v>
      </c>
      <c r="KFN368" s="644">
        <v>2015</v>
      </c>
      <c r="KFO368" s="644">
        <v>2016</v>
      </c>
      <c r="KFP368" s="644">
        <v>2017</v>
      </c>
      <c r="KFQ368" s="645">
        <v>2018</v>
      </c>
      <c r="KFR368" s="646">
        <v>2019</v>
      </c>
      <c r="KFS368" s="647">
        <v>2020</v>
      </c>
      <c r="KFT368" s="153"/>
      <c r="KFU368" s="153"/>
      <c r="KFV368" s="153"/>
      <c r="KFW368" s="648"/>
      <c r="KFX368" s="641"/>
      <c r="KFY368" s="642" t="s">
        <v>1841</v>
      </c>
      <c r="KFZ368" s="643"/>
      <c r="KGA368" s="644"/>
      <c r="KGB368" s="644">
        <v>2013</v>
      </c>
      <c r="KGC368" s="644">
        <v>2014</v>
      </c>
      <c r="KGD368" s="644">
        <v>2015</v>
      </c>
      <c r="KGE368" s="644">
        <v>2016</v>
      </c>
      <c r="KGF368" s="644">
        <v>2017</v>
      </c>
      <c r="KGG368" s="645">
        <v>2018</v>
      </c>
      <c r="KGH368" s="646">
        <v>2019</v>
      </c>
      <c r="KGI368" s="647">
        <v>2020</v>
      </c>
      <c r="KGJ368" s="153"/>
      <c r="KGK368" s="153"/>
      <c r="KGL368" s="153"/>
      <c r="KGM368" s="648"/>
      <c r="KGN368" s="641"/>
      <c r="KGO368" s="642" t="s">
        <v>1841</v>
      </c>
      <c r="KGP368" s="643"/>
      <c r="KGQ368" s="644"/>
      <c r="KGR368" s="644">
        <v>2013</v>
      </c>
      <c r="KGS368" s="644">
        <v>2014</v>
      </c>
      <c r="KGT368" s="644">
        <v>2015</v>
      </c>
      <c r="KGU368" s="644">
        <v>2016</v>
      </c>
      <c r="KGV368" s="644">
        <v>2017</v>
      </c>
      <c r="KGW368" s="645">
        <v>2018</v>
      </c>
      <c r="KGX368" s="646">
        <v>2019</v>
      </c>
      <c r="KGY368" s="647">
        <v>2020</v>
      </c>
      <c r="KGZ368" s="153"/>
      <c r="KHA368" s="153"/>
      <c r="KHB368" s="153"/>
      <c r="KHC368" s="648"/>
      <c r="KHD368" s="641"/>
      <c r="KHE368" s="642" t="s">
        <v>1841</v>
      </c>
      <c r="KHF368" s="643"/>
      <c r="KHG368" s="644"/>
      <c r="KHH368" s="644">
        <v>2013</v>
      </c>
      <c r="KHI368" s="644">
        <v>2014</v>
      </c>
      <c r="KHJ368" s="644">
        <v>2015</v>
      </c>
      <c r="KHK368" s="644">
        <v>2016</v>
      </c>
      <c r="KHL368" s="644">
        <v>2017</v>
      </c>
      <c r="KHM368" s="645">
        <v>2018</v>
      </c>
      <c r="KHN368" s="646">
        <v>2019</v>
      </c>
      <c r="KHO368" s="647">
        <v>2020</v>
      </c>
      <c r="KHP368" s="153"/>
      <c r="KHQ368" s="153"/>
      <c r="KHR368" s="153"/>
      <c r="KHS368" s="648"/>
      <c r="KHT368" s="641"/>
      <c r="KHU368" s="642" t="s">
        <v>1841</v>
      </c>
      <c r="KHV368" s="643"/>
      <c r="KHW368" s="644"/>
      <c r="KHX368" s="644">
        <v>2013</v>
      </c>
      <c r="KHY368" s="644">
        <v>2014</v>
      </c>
      <c r="KHZ368" s="644">
        <v>2015</v>
      </c>
      <c r="KIA368" s="644">
        <v>2016</v>
      </c>
      <c r="KIB368" s="644">
        <v>2017</v>
      </c>
      <c r="KIC368" s="645">
        <v>2018</v>
      </c>
      <c r="KID368" s="646">
        <v>2019</v>
      </c>
      <c r="KIE368" s="647">
        <v>2020</v>
      </c>
      <c r="KIF368" s="153"/>
      <c r="KIG368" s="153"/>
      <c r="KIH368" s="153"/>
      <c r="KII368" s="648"/>
      <c r="KIJ368" s="641"/>
      <c r="KIK368" s="642" t="s">
        <v>1841</v>
      </c>
      <c r="KIL368" s="643"/>
      <c r="KIM368" s="644"/>
      <c r="KIN368" s="644">
        <v>2013</v>
      </c>
      <c r="KIO368" s="644">
        <v>2014</v>
      </c>
      <c r="KIP368" s="644">
        <v>2015</v>
      </c>
      <c r="KIQ368" s="644">
        <v>2016</v>
      </c>
      <c r="KIR368" s="644">
        <v>2017</v>
      </c>
      <c r="KIS368" s="645">
        <v>2018</v>
      </c>
      <c r="KIT368" s="646">
        <v>2019</v>
      </c>
      <c r="KIU368" s="647">
        <v>2020</v>
      </c>
      <c r="KIV368" s="153"/>
      <c r="KIW368" s="153"/>
      <c r="KIX368" s="153"/>
      <c r="KIY368" s="648"/>
      <c r="KIZ368" s="641"/>
      <c r="KJA368" s="642" t="s">
        <v>1841</v>
      </c>
      <c r="KJB368" s="643"/>
      <c r="KJC368" s="644"/>
      <c r="KJD368" s="644">
        <v>2013</v>
      </c>
      <c r="KJE368" s="644">
        <v>2014</v>
      </c>
      <c r="KJF368" s="644">
        <v>2015</v>
      </c>
      <c r="KJG368" s="644">
        <v>2016</v>
      </c>
      <c r="KJH368" s="644">
        <v>2017</v>
      </c>
      <c r="KJI368" s="645">
        <v>2018</v>
      </c>
      <c r="KJJ368" s="646">
        <v>2019</v>
      </c>
      <c r="KJK368" s="647">
        <v>2020</v>
      </c>
      <c r="KJL368" s="153"/>
      <c r="KJM368" s="153"/>
      <c r="KJN368" s="153"/>
      <c r="KJO368" s="648"/>
      <c r="KJP368" s="641"/>
      <c r="KJQ368" s="642" t="s">
        <v>1841</v>
      </c>
      <c r="KJR368" s="643"/>
      <c r="KJS368" s="644"/>
      <c r="KJT368" s="644">
        <v>2013</v>
      </c>
      <c r="KJU368" s="644">
        <v>2014</v>
      </c>
      <c r="KJV368" s="644">
        <v>2015</v>
      </c>
      <c r="KJW368" s="644">
        <v>2016</v>
      </c>
      <c r="KJX368" s="644">
        <v>2017</v>
      </c>
      <c r="KJY368" s="645">
        <v>2018</v>
      </c>
      <c r="KJZ368" s="646">
        <v>2019</v>
      </c>
      <c r="KKA368" s="647">
        <v>2020</v>
      </c>
      <c r="KKB368" s="153"/>
      <c r="KKC368" s="153"/>
      <c r="KKD368" s="153"/>
      <c r="KKE368" s="648"/>
      <c r="KKF368" s="641"/>
      <c r="KKG368" s="642" t="s">
        <v>1841</v>
      </c>
      <c r="KKH368" s="643"/>
      <c r="KKI368" s="644"/>
      <c r="KKJ368" s="644">
        <v>2013</v>
      </c>
      <c r="KKK368" s="644">
        <v>2014</v>
      </c>
      <c r="KKL368" s="644">
        <v>2015</v>
      </c>
      <c r="KKM368" s="644">
        <v>2016</v>
      </c>
      <c r="KKN368" s="644">
        <v>2017</v>
      </c>
      <c r="KKO368" s="645">
        <v>2018</v>
      </c>
      <c r="KKP368" s="646">
        <v>2019</v>
      </c>
      <c r="KKQ368" s="647">
        <v>2020</v>
      </c>
      <c r="KKR368" s="153"/>
      <c r="KKS368" s="153"/>
      <c r="KKT368" s="153"/>
      <c r="KKU368" s="648"/>
      <c r="KKV368" s="641"/>
      <c r="KKW368" s="642" t="s">
        <v>1841</v>
      </c>
      <c r="KKX368" s="643"/>
      <c r="KKY368" s="644"/>
      <c r="KKZ368" s="644">
        <v>2013</v>
      </c>
      <c r="KLA368" s="644">
        <v>2014</v>
      </c>
      <c r="KLB368" s="644">
        <v>2015</v>
      </c>
      <c r="KLC368" s="644">
        <v>2016</v>
      </c>
      <c r="KLD368" s="644">
        <v>2017</v>
      </c>
      <c r="KLE368" s="645">
        <v>2018</v>
      </c>
      <c r="KLF368" s="646">
        <v>2019</v>
      </c>
      <c r="KLG368" s="647">
        <v>2020</v>
      </c>
      <c r="KLH368" s="153"/>
      <c r="KLI368" s="153"/>
      <c r="KLJ368" s="153"/>
      <c r="KLK368" s="648"/>
      <c r="KLL368" s="641"/>
      <c r="KLM368" s="642" t="s">
        <v>1841</v>
      </c>
      <c r="KLN368" s="643"/>
      <c r="KLO368" s="644"/>
      <c r="KLP368" s="644">
        <v>2013</v>
      </c>
      <c r="KLQ368" s="644">
        <v>2014</v>
      </c>
      <c r="KLR368" s="644">
        <v>2015</v>
      </c>
      <c r="KLS368" s="644">
        <v>2016</v>
      </c>
      <c r="KLT368" s="644">
        <v>2017</v>
      </c>
      <c r="KLU368" s="645">
        <v>2018</v>
      </c>
      <c r="KLV368" s="646">
        <v>2019</v>
      </c>
      <c r="KLW368" s="647">
        <v>2020</v>
      </c>
      <c r="KLX368" s="153"/>
      <c r="KLY368" s="153"/>
      <c r="KLZ368" s="153"/>
      <c r="KMA368" s="648"/>
      <c r="KMB368" s="641"/>
      <c r="KMC368" s="642" t="s">
        <v>1841</v>
      </c>
      <c r="KMD368" s="643"/>
      <c r="KME368" s="644"/>
      <c r="KMF368" s="644">
        <v>2013</v>
      </c>
      <c r="KMG368" s="644">
        <v>2014</v>
      </c>
      <c r="KMH368" s="644">
        <v>2015</v>
      </c>
      <c r="KMI368" s="644">
        <v>2016</v>
      </c>
      <c r="KMJ368" s="644">
        <v>2017</v>
      </c>
      <c r="KMK368" s="645">
        <v>2018</v>
      </c>
      <c r="KML368" s="646">
        <v>2019</v>
      </c>
      <c r="KMM368" s="647">
        <v>2020</v>
      </c>
      <c r="KMN368" s="153"/>
      <c r="KMO368" s="153"/>
      <c r="KMP368" s="153"/>
      <c r="KMQ368" s="648"/>
      <c r="KMR368" s="641"/>
      <c r="KMS368" s="642" t="s">
        <v>1841</v>
      </c>
      <c r="KMT368" s="643"/>
      <c r="KMU368" s="644"/>
      <c r="KMV368" s="644">
        <v>2013</v>
      </c>
      <c r="KMW368" s="644">
        <v>2014</v>
      </c>
      <c r="KMX368" s="644">
        <v>2015</v>
      </c>
      <c r="KMY368" s="644">
        <v>2016</v>
      </c>
      <c r="KMZ368" s="644">
        <v>2017</v>
      </c>
      <c r="KNA368" s="645">
        <v>2018</v>
      </c>
      <c r="KNB368" s="646">
        <v>2019</v>
      </c>
      <c r="KNC368" s="647">
        <v>2020</v>
      </c>
      <c r="KND368" s="153"/>
      <c r="KNE368" s="153"/>
      <c r="KNF368" s="153"/>
      <c r="KNG368" s="648"/>
      <c r="KNH368" s="641"/>
      <c r="KNI368" s="642" t="s">
        <v>1841</v>
      </c>
      <c r="KNJ368" s="643"/>
      <c r="KNK368" s="644"/>
      <c r="KNL368" s="644">
        <v>2013</v>
      </c>
      <c r="KNM368" s="644">
        <v>2014</v>
      </c>
      <c r="KNN368" s="644">
        <v>2015</v>
      </c>
      <c r="KNO368" s="644">
        <v>2016</v>
      </c>
      <c r="KNP368" s="644">
        <v>2017</v>
      </c>
      <c r="KNQ368" s="645">
        <v>2018</v>
      </c>
      <c r="KNR368" s="646">
        <v>2019</v>
      </c>
      <c r="KNS368" s="647">
        <v>2020</v>
      </c>
      <c r="KNT368" s="153"/>
      <c r="KNU368" s="153"/>
      <c r="KNV368" s="153"/>
      <c r="KNW368" s="648"/>
      <c r="KNX368" s="641"/>
      <c r="KNY368" s="642" t="s">
        <v>1841</v>
      </c>
      <c r="KNZ368" s="643"/>
      <c r="KOA368" s="644"/>
      <c r="KOB368" s="644">
        <v>2013</v>
      </c>
      <c r="KOC368" s="644">
        <v>2014</v>
      </c>
      <c r="KOD368" s="644">
        <v>2015</v>
      </c>
      <c r="KOE368" s="644">
        <v>2016</v>
      </c>
      <c r="KOF368" s="644">
        <v>2017</v>
      </c>
      <c r="KOG368" s="645">
        <v>2018</v>
      </c>
      <c r="KOH368" s="646">
        <v>2019</v>
      </c>
      <c r="KOI368" s="647">
        <v>2020</v>
      </c>
      <c r="KOJ368" s="153"/>
      <c r="KOK368" s="153"/>
      <c r="KOL368" s="153"/>
      <c r="KOM368" s="648"/>
      <c r="KON368" s="641"/>
      <c r="KOO368" s="642" t="s">
        <v>1841</v>
      </c>
      <c r="KOP368" s="643"/>
      <c r="KOQ368" s="644"/>
      <c r="KOR368" s="644">
        <v>2013</v>
      </c>
      <c r="KOS368" s="644">
        <v>2014</v>
      </c>
      <c r="KOT368" s="644">
        <v>2015</v>
      </c>
      <c r="KOU368" s="644">
        <v>2016</v>
      </c>
      <c r="KOV368" s="644">
        <v>2017</v>
      </c>
      <c r="KOW368" s="645">
        <v>2018</v>
      </c>
      <c r="KOX368" s="646">
        <v>2019</v>
      </c>
      <c r="KOY368" s="647">
        <v>2020</v>
      </c>
      <c r="KOZ368" s="153"/>
      <c r="KPA368" s="153"/>
      <c r="KPB368" s="153"/>
      <c r="KPC368" s="648"/>
      <c r="KPD368" s="641"/>
      <c r="KPE368" s="642" t="s">
        <v>1841</v>
      </c>
      <c r="KPF368" s="643"/>
      <c r="KPG368" s="644"/>
      <c r="KPH368" s="644">
        <v>2013</v>
      </c>
      <c r="KPI368" s="644">
        <v>2014</v>
      </c>
      <c r="KPJ368" s="644">
        <v>2015</v>
      </c>
      <c r="KPK368" s="644">
        <v>2016</v>
      </c>
      <c r="KPL368" s="644">
        <v>2017</v>
      </c>
      <c r="KPM368" s="645">
        <v>2018</v>
      </c>
      <c r="KPN368" s="646">
        <v>2019</v>
      </c>
      <c r="KPO368" s="647">
        <v>2020</v>
      </c>
      <c r="KPP368" s="153"/>
      <c r="KPQ368" s="153"/>
      <c r="KPR368" s="153"/>
      <c r="KPS368" s="648"/>
      <c r="KPT368" s="641"/>
      <c r="KPU368" s="642" t="s">
        <v>1841</v>
      </c>
      <c r="KPV368" s="643"/>
      <c r="KPW368" s="644"/>
      <c r="KPX368" s="644">
        <v>2013</v>
      </c>
      <c r="KPY368" s="644">
        <v>2014</v>
      </c>
      <c r="KPZ368" s="644">
        <v>2015</v>
      </c>
      <c r="KQA368" s="644">
        <v>2016</v>
      </c>
      <c r="KQB368" s="644">
        <v>2017</v>
      </c>
      <c r="KQC368" s="645">
        <v>2018</v>
      </c>
      <c r="KQD368" s="646">
        <v>2019</v>
      </c>
      <c r="KQE368" s="647">
        <v>2020</v>
      </c>
      <c r="KQF368" s="153"/>
      <c r="KQG368" s="153"/>
      <c r="KQH368" s="153"/>
      <c r="KQI368" s="648"/>
      <c r="KQJ368" s="641"/>
      <c r="KQK368" s="642" t="s">
        <v>1841</v>
      </c>
      <c r="KQL368" s="643"/>
      <c r="KQM368" s="644"/>
      <c r="KQN368" s="644">
        <v>2013</v>
      </c>
      <c r="KQO368" s="644">
        <v>2014</v>
      </c>
      <c r="KQP368" s="644">
        <v>2015</v>
      </c>
      <c r="KQQ368" s="644">
        <v>2016</v>
      </c>
      <c r="KQR368" s="644">
        <v>2017</v>
      </c>
      <c r="KQS368" s="645">
        <v>2018</v>
      </c>
      <c r="KQT368" s="646">
        <v>2019</v>
      </c>
      <c r="KQU368" s="647">
        <v>2020</v>
      </c>
      <c r="KQV368" s="153"/>
      <c r="KQW368" s="153"/>
      <c r="KQX368" s="153"/>
      <c r="KQY368" s="648"/>
      <c r="KQZ368" s="641"/>
      <c r="KRA368" s="642" t="s">
        <v>1841</v>
      </c>
      <c r="KRB368" s="643"/>
      <c r="KRC368" s="644"/>
      <c r="KRD368" s="644">
        <v>2013</v>
      </c>
      <c r="KRE368" s="644">
        <v>2014</v>
      </c>
      <c r="KRF368" s="644">
        <v>2015</v>
      </c>
      <c r="KRG368" s="644">
        <v>2016</v>
      </c>
      <c r="KRH368" s="644">
        <v>2017</v>
      </c>
      <c r="KRI368" s="645">
        <v>2018</v>
      </c>
      <c r="KRJ368" s="646">
        <v>2019</v>
      </c>
      <c r="KRK368" s="647">
        <v>2020</v>
      </c>
      <c r="KRL368" s="153"/>
      <c r="KRM368" s="153"/>
      <c r="KRN368" s="153"/>
      <c r="KRO368" s="648"/>
      <c r="KRP368" s="641"/>
      <c r="KRQ368" s="642" t="s">
        <v>1841</v>
      </c>
      <c r="KRR368" s="643"/>
      <c r="KRS368" s="644"/>
      <c r="KRT368" s="644">
        <v>2013</v>
      </c>
      <c r="KRU368" s="644">
        <v>2014</v>
      </c>
      <c r="KRV368" s="644">
        <v>2015</v>
      </c>
      <c r="KRW368" s="644">
        <v>2016</v>
      </c>
      <c r="KRX368" s="644">
        <v>2017</v>
      </c>
      <c r="KRY368" s="645">
        <v>2018</v>
      </c>
      <c r="KRZ368" s="646">
        <v>2019</v>
      </c>
      <c r="KSA368" s="647">
        <v>2020</v>
      </c>
      <c r="KSB368" s="153"/>
      <c r="KSC368" s="153"/>
      <c r="KSD368" s="153"/>
      <c r="KSE368" s="648"/>
      <c r="KSF368" s="641"/>
      <c r="KSG368" s="642" t="s">
        <v>1841</v>
      </c>
      <c r="KSH368" s="643"/>
      <c r="KSI368" s="644"/>
      <c r="KSJ368" s="644">
        <v>2013</v>
      </c>
      <c r="KSK368" s="644">
        <v>2014</v>
      </c>
      <c r="KSL368" s="644">
        <v>2015</v>
      </c>
      <c r="KSM368" s="644">
        <v>2016</v>
      </c>
      <c r="KSN368" s="644">
        <v>2017</v>
      </c>
      <c r="KSO368" s="645">
        <v>2018</v>
      </c>
      <c r="KSP368" s="646">
        <v>2019</v>
      </c>
      <c r="KSQ368" s="647">
        <v>2020</v>
      </c>
      <c r="KSR368" s="153"/>
      <c r="KSS368" s="153"/>
      <c r="KST368" s="153"/>
      <c r="KSU368" s="648"/>
      <c r="KSV368" s="641"/>
      <c r="KSW368" s="642" t="s">
        <v>1841</v>
      </c>
      <c r="KSX368" s="643"/>
      <c r="KSY368" s="644"/>
      <c r="KSZ368" s="644">
        <v>2013</v>
      </c>
      <c r="KTA368" s="644">
        <v>2014</v>
      </c>
      <c r="KTB368" s="644">
        <v>2015</v>
      </c>
      <c r="KTC368" s="644">
        <v>2016</v>
      </c>
      <c r="KTD368" s="644">
        <v>2017</v>
      </c>
      <c r="KTE368" s="645">
        <v>2018</v>
      </c>
      <c r="KTF368" s="646">
        <v>2019</v>
      </c>
      <c r="KTG368" s="647">
        <v>2020</v>
      </c>
      <c r="KTH368" s="153"/>
      <c r="KTI368" s="153"/>
      <c r="KTJ368" s="153"/>
      <c r="KTK368" s="648"/>
      <c r="KTL368" s="641"/>
      <c r="KTM368" s="642" t="s">
        <v>1841</v>
      </c>
      <c r="KTN368" s="643"/>
      <c r="KTO368" s="644"/>
      <c r="KTP368" s="644">
        <v>2013</v>
      </c>
      <c r="KTQ368" s="644">
        <v>2014</v>
      </c>
      <c r="KTR368" s="644">
        <v>2015</v>
      </c>
      <c r="KTS368" s="644">
        <v>2016</v>
      </c>
      <c r="KTT368" s="644">
        <v>2017</v>
      </c>
      <c r="KTU368" s="645">
        <v>2018</v>
      </c>
      <c r="KTV368" s="646">
        <v>2019</v>
      </c>
      <c r="KTW368" s="647">
        <v>2020</v>
      </c>
      <c r="KTX368" s="153"/>
      <c r="KTY368" s="153"/>
      <c r="KTZ368" s="153"/>
      <c r="KUA368" s="648"/>
      <c r="KUB368" s="641"/>
      <c r="KUC368" s="642" t="s">
        <v>1841</v>
      </c>
      <c r="KUD368" s="643"/>
      <c r="KUE368" s="644"/>
      <c r="KUF368" s="644">
        <v>2013</v>
      </c>
      <c r="KUG368" s="644">
        <v>2014</v>
      </c>
      <c r="KUH368" s="644">
        <v>2015</v>
      </c>
      <c r="KUI368" s="644">
        <v>2016</v>
      </c>
      <c r="KUJ368" s="644">
        <v>2017</v>
      </c>
      <c r="KUK368" s="645">
        <v>2018</v>
      </c>
      <c r="KUL368" s="646">
        <v>2019</v>
      </c>
      <c r="KUM368" s="647">
        <v>2020</v>
      </c>
      <c r="KUN368" s="153"/>
      <c r="KUO368" s="153"/>
      <c r="KUP368" s="153"/>
      <c r="KUQ368" s="648"/>
      <c r="KUR368" s="641"/>
      <c r="KUS368" s="642" t="s">
        <v>1841</v>
      </c>
      <c r="KUT368" s="643"/>
      <c r="KUU368" s="644"/>
      <c r="KUV368" s="644">
        <v>2013</v>
      </c>
      <c r="KUW368" s="644">
        <v>2014</v>
      </c>
      <c r="KUX368" s="644">
        <v>2015</v>
      </c>
      <c r="KUY368" s="644">
        <v>2016</v>
      </c>
      <c r="KUZ368" s="644">
        <v>2017</v>
      </c>
      <c r="KVA368" s="645">
        <v>2018</v>
      </c>
      <c r="KVB368" s="646">
        <v>2019</v>
      </c>
      <c r="KVC368" s="647">
        <v>2020</v>
      </c>
      <c r="KVD368" s="153"/>
      <c r="KVE368" s="153"/>
      <c r="KVF368" s="153"/>
      <c r="KVG368" s="648"/>
      <c r="KVH368" s="641"/>
      <c r="KVI368" s="642" t="s">
        <v>1841</v>
      </c>
      <c r="KVJ368" s="643"/>
      <c r="KVK368" s="644"/>
      <c r="KVL368" s="644">
        <v>2013</v>
      </c>
      <c r="KVM368" s="644">
        <v>2014</v>
      </c>
      <c r="KVN368" s="644">
        <v>2015</v>
      </c>
      <c r="KVO368" s="644">
        <v>2016</v>
      </c>
      <c r="KVP368" s="644">
        <v>2017</v>
      </c>
      <c r="KVQ368" s="645">
        <v>2018</v>
      </c>
      <c r="KVR368" s="646">
        <v>2019</v>
      </c>
      <c r="KVS368" s="647">
        <v>2020</v>
      </c>
      <c r="KVT368" s="153"/>
      <c r="KVU368" s="153"/>
      <c r="KVV368" s="153"/>
      <c r="KVW368" s="648"/>
      <c r="KVX368" s="641"/>
      <c r="KVY368" s="642" t="s">
        <v>1841</v>
      </c>
      <c r="KVZ368" s="643"/>
      <c r="KWA368" s="644"/>
      <c r="KWB368" s="644">
        <v>2013</v>
      </c>
      <c r="KWC368" s="644">
        <v>2014</v>
      </c>
      <c r="KWD368" s="644">
        <v>2015</v>
      </c>
      <c r="KWE368" s="644">
        <v>2016</v>
      </c>
      <c r="KWF368" s="644">
        <v>2017</v>
      </c>
      <c r="KWG368" s="645">
        <v>2018</v>
      </c>
      <c r="KWH368" s="646">
        <v>2019</v>
      </c>
      <c r="KWI368" s="647">
        <v>2020</v>
      </c>
      <c r="KWJ368" s="153"/>
      <c r="KWK368" s="153"/>
      <c r="KWL368" s="153"/>
      <c r="KWM368" s="648"/>
      <c r="KWN368" s="641"/>
      <c r="KWO368" s="642" t="s">
        <v>1841</v>
      </c>
      <c r="KWP368" s="643"/>
      <c r="KWQ368" s="644"/>
      <c r="KWR368" s="644">
        <v>2013</v>
      </c>
      <c r="KWS368" s="644">
        <v>2014</v>
      </c>
      <c r="KWT368" s="644">
        <v>2015</v>
      </c>
      <c r="KWU368" s="644">
        <v>2016</v>
      </c>
      <c r="KWV368" s="644">
        <v>2017</v>
      </c>
      <c r="KWW368" s="645">
        <v>2018</v>
      </c>
      <c r="KWX368" s="646">
        <v>2019</v>
      </c>
      <c r="KWY368" s="647">
        <v>2020</v>
      </c>
      <c r="KWZ368" s="153"/>
      <c r="KXA368" s="153"/>
      <c r="KXB368" s="153"/>
      <c r="KXC368" s="648"/>
      <c r="KXD368" s="641"/>
      <c r="KXE368" s="642" t="s">
        <v>1841</v>
      </c>
      <c r="KXF368" s="643"/>
      <c r="KXG368" s="644"/>
      <c r="KXH368" s="644">
        <v>2013</v>
      </c>
      <c r="KXI368" s="644">
        <v>2014</v>
      </c>
      <c r="KXJ368" s="644">
        <v>2015</v>
      </c>
      <c r="KXK368" s="644">
        <v>2016</v>
      </c>
      <c r="KXL368" s="644">
        <v>2017</v>
      </c>
      <c r="KXM368" s="645">
        <v>2018</v>
      </c>
      <c r="KXN368" s="646">
        <v>2019</v>
      </c>
      <c r="KXO368" s="647">
        <v>2020</v>
      </c>
      <c r="KXP368" s="153"/>
      <c r="KXQ368" s="153"/>
      <c r="KXR368" s="153"/>
      <c r="KXS368" s="648"/>
      <c r="KXT368" s="641"/>
      <c r="KXU368" s="642" t="s">
        <v>1841</v>
      </c>
      <c r="KXV368" s="643"/>
      <c r="KXW368" s="644"/>
      <c r="KXX368" s="644">
        <v>2013</v>
      </c>
      <c r="KXY368" s="644">
        <v>2014</v>
      </c>
      <c r="KXZ368" s="644">
        <v>2015</v>
      </c>
      <c r="KYA368" s="644">
        <v>2016</v>
      </c>
      <c r="KYB368" s="644">
        <v>2017</v>
      </c>
      <c r="KYC368" s="645">
        <v>2018</v>
      </c>
      <c r="KYD368" s="646">
        <v>2019</v>
      </c>
      <c r="KYE368" s="647">
        <v>2020</v>
      </c>
      <c r="KYF368" s="153"/>
      <c r="KYG368" s="153"/>
      <c r="KYH368" s="153"/>
      <c r="KYI368" s="648"/>
      <c r="KYJ368" s="641"/>
      <c r="KYK368" s="642" t="s">
        <v>1841</v>
      </c>
      <c r="KYL368" s="643"/>
      <c r="KYM368" s="644"/>
      <c r="KYN368" s="644">
        <v>2013</v>
      </c>
      <c r="KYO368" s="644">
        <v>2014</v>
      </c>
      <c r="KYP368" s="644">
        <v>2015</v>
      </c>
      <c r="KYQ368" s="644">
        <v>2016</v>
      </c>
      <c r="KYR368" s="644">
        <v>2017</v>
      </c>
      <c r="KYS368" s="645">
        <v>2018</v>
      </c>
      <c r="KYT368" s="646">
        <v>2019</v>
      </c>
      <c r="KYU368" s="647">
        <v>2020</v>
      </c>
      <c r="KYV368" s="153"/>
      <c r="KYW368" s="153"/>
      <c r="KYX368" s="153"/>
      <c r="KYY368" s="648"/>
      <c r="KYZ368" s="641"/>
      <c r="KZA368" s="642" t="s">
        <v>1841</v>
      </c>
      <c r="KZB368" s="643"/>
      <c r="KZC368" s="644"/>
      <c r="KZD368" s="644">
        <v>2013</v>
      </c>
      <c r="KZE368" s="644">
        <v>2014</v>
      </c>
      <c r="KZF368" s="644">
        <v>2015</v>
      </c>
      <c r="KZG368" s="644">
        <v>2016</v>
      </c>
      <c r="KZH368" s="644">
        <v>2017</v>
      </c>
      <c r="KZI368" s="645">
        <v>2018</v>
      </c>
      <c r="KZJ368" s="646">
        <v>2019</v>
      </c>
      <c r="KZK368" s="647">
        <v>2020</v>
      </c>
      <c r="KZL368" s="153"/>
      <c r="KZM368" s="153"/>
      <c r="KZN368" s="153"/>
      <c r="KZO368" s="648"/>
      <c r="KZP368" s="641"/>
      <c r="KZQ368" s="642" t="s">
        <v>1841</v>
      </c>
      <c r="KZR368" s="643"/>
      <c r="KZS368" s="644"/>
      <c r="KZT368" s="644">
        <v>2013</v>
      </c>
      <c r="KZU368" s="644">
        <v>2014</v>
      </c>
      <c r="KZV368" s="644">
        <v>2015</v>
      </c>
      <c r="KZW368" s="644">
        <v>2016</v>
      </c>
      <c r="KZX368" s="644">
        <v>2017</v>
      </c>
      <c r="KZY368" s="645">
        <v>2018</v>
      </c>
      <c r="KZZ368" s="646">
        <v>2019</v>
      </c>
      <c r="LAA368" s="647">
        <v>2020</v>
      </c>
      <c r="LAB368" s="153"/>
      <c r="LAC368" s="153"/>
      <c r="LAD368" s="153"/>
      <c r="LAE368" s="648"/>
      <c r="LAF368" s="641"/>
      <c r="LAG368" s="642" t="s">
        <v>1841</v>
      </c>
      <c r="LAH368" s="643"/>
      <c r="LAI368" s="644"/>
      <c r="LAJ368" s="644">
        <v>2013</v>
      </c>
      <c r="LAK368" s="644">
        <v>2014</v>
      </c>
      <c r="LAL368" s="644">
        <v>2015</v>
      </c>
      <c r="LAM368" s="644">
        <v>2016</v>
      </c>
      <c r="LAN368" s="644">
        <v>2017</v>
      </c>
      <c r="LAO368" s="645">
        <v>2018</v>
      </c>
      <c r="LAP368" s="646">
        <v>2019</v>
      </c>
      <c r="LAQ368" s="647">
        <v>2020</v>
      </c>
      <c r="LAR368" s="153"/>
      <c r="LAS368" s="153"/>
      <c r="LAT368" s="153"/>
      <c r="LAU368" s="648"/>
      <c r="LAV368" s="641"/>
      <c r="LAW368" s="642" t="s">
        <v>1841</v>
      </c>
      <c r="LAX368" s="643"/>
      <c r="LAY368" s="644"/>
      <c r="LAZ368" s="644">
        <v>2013</v>
      </c>
      <c r="LBA368" s="644">
        <v>2014</v>
      </c>
      <c r="LBB368" s="644">
        <v>2015</v>
      </c>
      <c r="LBC368" s="644">
        <v>2016</v>
      </c>
      <c r="LBD368" s="644">
        <v>2017</v>
      </c>
      <c r="LBE368" s="645">
        <v>2018</v>
      </c>
      <c r="LBF368" s="646">
        <v>2019</v>
      </c>
      <c r="LBG368" s="647">
        <v>2020</v>
      </c>
      <c r="LBH368" s="153"/>
      <c r="LBI368" s="153"/>
      <c r="LBJ368" s="153"/>
      <c r="LBK368" s="648"/>
      <c r="LBL368" s="641"/>
      <c r="LBM368" s="642" t="s">
        <v>1841</v>
      </c>
      <c r="LBN368" s="643"/>
      <c r="LBO368" s="644"/>
      <c r="LBP368" s="644">
        <v>2013</v>
      </c>
      <c r="LBQ368" s="644">
        <v>2014</v>
      </c>
      <c r="LBR368" s="644">
        <v>2015</v>
      </c>
      <c r="LBS368" s="644">
        <v>2016</v>
      </c>
      <c r="LBT368" s="644">
        <v>2017</v>
      </c>
      <c r="LBU368" s="645">
        <v>2018</v>
      </c>
      <c r="LBV368" s="646">
        <v>2019</v>
      </c>
      <c r="LBW368" s="647">
        <v>2020</v>
      </c>
      <c r="LBX368" s="153"/>
      <c r="LBY368" s="153"/>
      <c r="LBZ368" s="153"/>
      <c r="LCA368" s="648"/>
      <c r="LCB368" s="641"/>
      <c r="LCC368" s="642" t="s">
        <v>1841</v>
      </c>
      <c r="LCD368" s="643"/>
      <c r="LCE368" s="644"/>
      <c r="LCF368" s="644">
        <v>2013</v>
      </c>
      <c r="LCG368" s="644">
        <v>2014</v>
      </c>
      <c r="LCH368" s="644">
        <v>2015</v>
      </c>
      <c r="LCI368" s="644">
        <v>2016</v>
      </c>
      <c r="LCJ368" s="644">
        <v>2017</v>
      </c>
      <c r="LCK368" s="645">
        <v>2018</v>
      </c>
      <c r="LCL368" s="646">
        <v>2019</v>
      </c>
      <c r="LCM368" s="647">
        <v>2020</v>
      </c>
      <c r="LCN368" s="153"/>
      <c r="LCO368" s="153"/>
      <c r="LCP368" s="153"/>
      <c r="LCQ368" s="648"/>
      <c r="LCR368" s="641"/>
      <c r="LCS368" s="642" t="s">
        <v>1841</v>
      </c>
      <c r="LCT368" s="643"/>
      <c r="LCU368" s="644"/>
      <c r="LCV368" s="644">
        <v>2013</v>
      </c>
      <c r="LCW368" s="644">
        <v>2014</v>
      </c>
      <c r="LCX368" s="644">
        <v>2015</v>
      </c>
      <c r="LCY368" s="644">
        <v>2016</v>
      </c>
      <c r="LCZ368" s="644">
        <v>2017</v>
      </c>
      <c r="LDA368" s="645">
        <v>2018</v>
      </c>
      <c r="LDB368" s="646">
        <v>2019</v>
      </c>
      <c r="LDC368" s="647">
        <v>2020</v>
      </c>
      <c r="LDD368" s="153"/>
      <c r="LDE368" s="153"/>
      <c r="LDF368" s="153"/>
      <c r="LDG368" s="648"/>
      <c r="LDH368" s="641"/>
      <c r="LDI368" s="642" t="s">
        <v>1841</v>
      </c>
      <c r="LDJ368" s="643"/>
      <c r="LDK368" s="644"/>
      <c r="LDL368" s="644">
        <v>2013</v>
      </c>
      <c r="LDM368" s="644">
        <v>2014</v>
      </c>
      <c r="LDN368" s="644">
        <v>2015</v>
      </c>
      <c r="LDO368" s="644">
        <v>2016</v>
      </c>
      <c r="LDP368" s="644">
        <v>2017</v>
      </c>
      <c r="LDQ368" s="645">
        <v>2018</v>
      </c>
      <c r="LDR368" s="646">
        <v>2019</v>
      </c>
      <c r="LDS368" s="647">
        <v>2020</v>
      </c>
      <c r="LDT368" s="153"/>
      <c r="LDU368" s="153"/>
      <c r="LDV368" s="153"/>
      <c r="LDW368" s="648"/>
      <c r="LDX368" s="641"/>
      <c r="LDY368" s="642" t="s">
        <v>1841</v>
      </c>
      <c r="LDZ368" s="643"/>
      <c r="LEA368" s="644"/>
      <c r="LEB368" s="644">
        <v>2013</v>
      </c>
      <c r="LEC368" s="644">
        <v>2014</v>
      </c>
      <c r="LED368" s="644">
        <v>2015</v>
      </c>
      <c r="LEE368" s="644">
        <v>2016</v>
      </c>
      <c r="LEF368" s="644">
        <v>2017</v>
      </c>
      <c r="LEG368" s="645">
        <v>2018</v>
      </c>
      <c r="LEH368" s="646">
        <v>2019</v>
      </c>
      <c r="LEI368" s="647">
        <v>2020</v>
      </c>
      <c r="LEJ368" s="153"/>
      <c r="LEK368" s="153"/>
      <c r="LEL368" s="153"/>
      <c r="LEM368" s="648"/>
      <c r="LEN368" s="641"/>
      <c r="LEO368" s="642" t="s">
        <v>1841</v>
      </c>
      <c r="LEP368" s="643"/>
      <c r="LEQ368" s="644"/>
      <c r="LER368" s="644">
        <v>2013</v>
      </c>
      <c r="LES368" s="644">
        <v>2014</v>
      </c>
      <c r="LET368" s="644">
        <v>2015</v>
      </c>
      <c r="LEU368" s="644">
        <v>2016</v>
      </c>
      <c r="LEV368" s="644">
        <v>2017</v>
      </c>
      <c r="LEW368" s="645">
        <v>2018</v>
      </c>
      <c r="LEX368" s="646">
        <v>2019</v>
      </c>
      <c r="LEY368" s="647">
        <v>2020</v>
      </c>
      <c r="LEZ368" s="153"/>
      <c r="LFA368" s="153"/>
      <c r="LFB368" s="153"/>
      <c r="LFC368" s="648"/>
      <c r="LFD368" s="641"/>
      <c r="LFE368" s="642" t="s">
        <v>1841</v>
      </c>
      <c r="LFF368" s="643"/>
      <c r="LFG368" s="644"/>
      <c r="LFH368" s="644">
        <v>2013</v>
      </c>
      <c r="LFI368" s="644">
        <v>2014</v>
      </c>
      <c r="LFJ368" s="644">
        <v>2015</v>
      </c>
      <c r="LFK368" s="644">
        <v>2016</v>
      </c>
      <c r="LFL368" s="644">
        <v>2017</v>
      </c>
      <c r="LFM368" s="645">
        <v>2018</v>
      </c>
      <c r="LFN368" s="646">
        <v>2019</v>
      </c>
      <c r="LFO368" s="647">
        <v>2020</v>
      </c>
      <c r="LFP368" s="153"/>
      <c r="LFQ368" s="153"/>
      <c r="LFR368" s="153"/>
      <c r="LFS368" s="648"/>
      <c r="LFT368" s="641"/>
      <c r="LFU368" s="642" t="s">
        <v>1841</v>
      </c>
      <c r="LFV368" s="643"/>
      <c r="LFW368" s="644"/>
      <c r="LFX368" s="644">
        <v>2013</v>
      </c>
      <c r="LFY368" s="644">
        <v>2014</v>
      </c>
      <c r="LFZ368" s="644">
        <v>2015</v>
      </c>
      <c r="LGA368" s="644">
        <v>2016</v>
      </c>
      <c r="LGB368" s="644">
        <v>2017</v>
      </c>
      <c r="LGC368" s="645">
        <v>2018</v>
      </c>
      <c r="LGD368" s="646">
        <v>2019</v>
      </c>
      <c r="LGE368" s="647">
        <v>2020</v>
      </c>
      <c r="LGF368" s="153"/>
      <c r="LGG368" s="153"/>
      <c r="LGH368" s="153"/>
      <c r="LGI368" s="648"/>
      <c r="LGJ368" s="641"/>
      <c r="LGK368" s="642" t="s">
        <v>1841</v>
      </c>
      <c r="LGL368" s="643"/>
      <c r="LGM368" s="644"/>
      <c r="LGN368" s="644">
        <v>2013</v>
      </c>
      <c r="LGO368" s="644">
        <v>2014</v>
      </c>
      <c r="LGP368" s="644">
        <v>2015</v>
      </c>
      <c r="LGQ368" s="644">
        <v>2016</v>
      </c>
      <c r="LGR368" s="644">
        <v>2017</v>
      </c>
      <c r="LGS368" s="645">
        <v>2018</v>
      </c>
      <c r="LGT368" s="646">
        <v>2019</v>
      </c>
      <c r="LGU368" s="647">
        <v>2020</v>
      </c>
      <c r="LGV368" s="153"/>
      <c r="LGW368" s="153"/>
      <c r="LGX368" s="153"/>
      <c r="LGY368" s="648"/>
      <c r="LGZ368" s="641"/>
      <c r="LHA368" s="642" t="s">
        <v>1841</v>
      </c>
      <c r="LHB368" s="643"/>
      <c r="LHC368" s="644"/>
      <c r="LHD368" s="644">
        <v>2013</v>
      </c>
      <c r="LHE368" s="644">
        <v>2014</v>
      </c>
      <c r="LHF368" s="644">
        <v>2015</v>
      </c>
      <c r="LHG368" s="644">
        <v>2016</v>
      </c>
      <c r="LHH368" s="644">
        <v>2017</v>
      </c>
      <c r="LHI368" s="645">
        <v>2018</v>
      </c>
      <c r="LHJ368" s="646">
        <v>2019</v>
      </c>
      <c r="LHK368" s="647">
        <v>2020</v>
      </c>
      <c r="LHL368" s="153"/>
      <c r="LHM368" s="153"/>
      <c r="LHN368" s="153"/>
      <c r="LHO368" s="648"/>
      <c r="LHP368" s="641"/>
      <c r="LHQ368" s="642" t="s">
        <v>1841</v>
      </c>
      <c r="LHR368" s="643"/>
      <c r="LHS368" s="644"/>
      <c r="LHT368" s="644">
        <v>2013</v>
      </c>
      <c r="LHU368" s="644">
        <v>2014</v>
      </c>
      <c r="LHV368" s="644">
        <v>2015</v>
      </c>
      <c r="LHW368" s="644">
        <v>2016</v>
      </c>
      <c r="LHX368" s="644">
        <v>2017</v>
      </c>
      <c r="LHY368" s="645">
        <v>2018</v>
      </c>
      <c r="LHZ368" s="646">
        <v>2019</v>
      </c>
      <c r="LIA368" s="647">
        <v>2020</v>
      </c>
      <c r="LIB368" s="153"/>
      <c r="LIC368" s="153"/>
      <c r="LID368" s="153"/>
      <c r="LIE368" s="648"/>
      <c r="LIF368" s="641"/>
      <c r="LIG368" s="642" t="s">
        <v>1841</v>
      </c>
      <c r="LIH368" s="643"/>
      <c r="LII368" s="644"/>
      <c r="LIJ368" s="644">
        <v>2013</v>
      </c>
      <c r="LIK368" s="644">
        <v>2014</v>
      </c>
      <c r="LIL368" s="644">
        <v>2015</v>
      </c>
      <c r="LIM368" s="644">
        <v>2016</v>
      </c>
      <c r="LIN368" s="644">
        <v>2017</v>
      </c>
      <c r="LIO368" s="645">
        <v>2018</v>
      </c>
      <c r="LIP368" s="646">
        <v>2019</v>
      </c>
      <c r="LIQ368" s="647">
        <v>2020</v>
      </c>
      <c r="LIR368" s="153"/>
      <c r="LIS368" s="153"/>
      <c r="LIT368" s="153"/>
      <c r="LIU368" s="648"/>
      <c r="LIV368" s="641"/>
      <c r="LIW368" s="642" t="s">
        <v>1841</v>
      </c>
      <c r="LIX368" s="643"/>
      <c r="LIY368" s="644"/>
      <c r="LIZ368" s="644">
        <v>2013</v>
      </c>
      <c r="LJA368" s="644">
        <v>2014</v>
      </c>
      <c r="LJB368" s="644">
        <v>2015</v>
      </c>
      <c r="LJC368" s="644">
        <v>2016</v>
      </c>
      <c r="LJD368" s="644">
        <v>2017</v>
      </c>
      <c r="LJE368" s="645">
        <v>2018</v>
      </c>
      <c r="LJF368" s="646">
        <v>2019</v>
      </c>
      <c r="LJG368" s="647">
        <v>2020</v>
      </c>
      <c r="LJH368" s="153"/>
      <c r="LJI368" s="153"/>
      <c r="LJJ368" s="153"/>
      <c r="LJK368" s="648"/>
      <c r="LJL368" s="641"/>
      <c r="LJM368" s="642" t="s">
        <v>1841</v>
      </c>
      <c r="LJN368" s="643"/>
      <c r="LJO368" s="644"/>
      <c r="LJP368" s="644">
        <v>2013</v>
      </c>
      <c r="LJQ368" s="644">
        <v>2014</v>
      </c>
      <c r="LJR368" s="644">
        <v>2015</v>
      </c>
      <c r="LJS368" s="644">
        <v>2016</v>
      </c>
      <c r="LJT368" s="644">
        <v>2017</v>
      </c>
      <c r="LJU368" s="645">
        <v>2018</v>
      </c>
      <c r="LJV368" s="646">
        <v>2019</v>
      </c>
      <c r="LJW368" s="647">
        <v>2020</v>
      </c>
      <c r="LJX368" s="153"/>
      <c r="LJY368" s="153"/>
      <c r="LJZ368" s="153"/>
      <c r="LKA368" s="648"/>
      <c r="LKB368" s="641"/>
      <c r="LKC368" s="642" t="s">
        <v>1841</v>
      </c>
      <c r="LKD368" s="643"/>
      <c r="LKE368" s="644"/>
      <c r="LKF368" s="644">
        <v>2013</v>
      </c>
      <c r="LKG368" s="644">
        <v>2014</v>
      </c>
      <c r="LKH368" s="644">
        <v>2015</v>
      </c>
      <c r="LKI368" s="644">
        <v>2016</v>
      </c>
      <c r="LKJ368" s="644">
        <v>2017</v>
      </c>
      <c r="LKK368" s="645">
        <v>2018</v>
      </c>
      <c r="LKL368" s="646">
        <v>2019</v>
      </c>
      <c r="LKM368" s="647">
        <v>2020</v>
      </c>
      <c r="LKN368" s="153"/>
      <c r="LKO368" s="153"/>
      <c r="LKP368" s="153"/>
      <c r="LKQ368" s="648"/>
      <c r="LKR368" s="641"/>
      <c r="LKS368" s="642" t="s">
        <v>1841</v>
      </c>
      <c r="LKT368" s="643"/>
      <c r="LKU368" s="644"/>
      <c r="LKV368" s="644">
        <v>2013</v>
      </c>
      <c r="LKW368" s="644">
        <v>2014</v>
      </c>
      <c r="LKX368" s="644">
        <v>2015</v>
      </c>
      <c r="LKY368" s="644">
        <v>2016</v>
      </c>
      <c r="LKZ368" s="644">
        <v>2017</v>
      </c>
      <c r="LLA368" s="645">
        <v>2018</v>
      </c>
      <c r="LLB368" s="646">
        <v>2019</v>
      </c>
      <c r="LLC368" s="647">
        <v>2020</v>
      </c>
      <c r="LLD368" s="153"/>
      <c r="LLE368" s="153"/>
      <c r="LLF368" s="153"/>
      <c r="LLG368" s="648"/>
      <c r="LLH368" s="641"/>
      <c r="LLI368" s="642" t="s">
        <v>1841</v>
      </c>
      <c r="LLJ368" s="643"/>
      <c r="LLK368" s="644"/>
      <c r="LLL368" s="644">
        <v>2013</v>
      </c>
      <c r="LLM368" s="644">
        <v>2014</v>
      </c>
      <c r="LLN368" s="644">
        <v>2015</v>
      </c>
      <c r="LLO368" s="644">
        <v>2016</v>
      </c>
      <c r="LLP368" s="644">
        <v>2017</v>
      </c>
      <c r="LLQ368" s="645">
        <v>2018</v>
      </c>
      <c r="LLR368" s="646">
        <v>2019</v>
      </c>
      <c r="LLS368" s="647">
        <v>2020</v>
      </c>
      <c r="LLT368" s="153"/>
      <c r="LLU368" s="153"/>
      <c r="LLV368" s="153"/>
      <c r="LLW368" s="648"/>
      <c r="LLX368" s="641"/>
      <c r="LLY368" s="642" t="s">
        <v>1841</v>
      </c>
      <c r="LLZ368" s="643"/>
      <c r="LMA368" s="644"/>
      <c r="LMB368" s="644">
        <v>2013</v>
      </c>
      <c r="LMC368" s="644">
        <v>2014</v>
      </c>
      <c r="LMD368" s="644">
        <v>2015</v>
      </c>
      <c r="LME368" s="644">
        <v>2016</v>
      </c>
      <c r="LMF368" s="644">
        <v>2017</v>
      </c>
      <c r="LMG368" s="645">
        <v>2018</v>
      </c>
      <c r="LMH368" s="646">
        <v>2019</v>
      </c>
      <c r="LMI368" s="647">
        <v>2020</v>
      </c>
      <c r="LMJ368" s="153"/>
      <c r="LMK368" s="153"/>
      <c r="LML368" s="153"/>
      <c r="LMM368" s="648"/>
      <c r="LMN368" s="641"/>
      <c r="LMO368" s="642" t="s">
        <v>1841</v>
      </c>
      <c r="LMP368" s="643"/>
      <c r="LMQ368" s="644"/>
      <c r="LMR368" s="644">
        <v>2013</v>
      </c>
      <c r="LMS368" s="644">
        <v>2014</v>
      </c>
      <c r="LMT368" s="644">
        <v>2015</v>
      </c>
      <c r="LMU368" s="644">
        <v>2016</v>
      </c>
      <c r="LMV368" s="644">
        <v>2017</v>
      </c>
      <c r="LMW368" s="645">
        <v>2018</v>
      </c>
      <c r="LMX368" s="646">
        <v>2019</v>
      </c>
      <c r="LMY368" s="647">
        <v>2020</v>
      </c>
      <c r="LMZ368" s="153"/>
      <c r="LNA368" s="153"/>
      <c r="LNB368" s="153"/>
      <c r="LNC368" s="648"/>
      <c r="LND368" s="641"/>
      <c r="LNE368" s="642" t="s">
        <v>1841</v>
      </c>
      <c r="LNF368" s="643"/>
      <c r="LNG368" s="644"/>
      <c r="LNH368" s="644">
        <v>2013</v>
      </c>
      <c r="LNI368" s="644">
        <v>2014</v>
      </c>
      <c r="LNJ368" s="644">
        <v>2015</v>
      </c>
      <c r="LNK368" s="644">
        <v>2016</v>
      </c>
      <c r="LNL368" s="644">
        <v>2017</v>
      </c>
      <c r="LNM368" s="645">
        <v>2018</v>
      </c>
      <c r="LNN368" s="646">
        <v>2019</v>
      </c>
      <c r="LNO368" s="647">
        <v>2020</v>
      </c>
      <c r="LNP368" s="153"/>
      <c r="LNQ368" s="153"/>
      <c r="LNR368" s="153"/>
      <c r="LNS368" s="648"/>
      <c r="LNT368" s="641"/>
      <c r="LNU368" s="642" t="s">
        <v>1841</v>
      </c>
      <c r="LNV368" s="643"/>
      <c r="LNW368" s="644"/>
      <c r="LNX368" s="644">
        <v>2013</v>
      </c>
      <c r="LNY368" s="644">
        <v>2014</v>
      </c>
      <c r="LNZ368" s="644">
        <v>2015</v>
      </c>
      <c r="LOA368" s="644">
        <v>2016</v>
      </c>
      <c r="LOB368" s="644">
        <v>2017</v>
      </c>
      <c r="LOC368" s="645">
        <v>2018</v>
      </c>
      <c r="LOD368" s="646">
        <v>2019</v>
      </c>
      <c r="LOE368" s="647">
        <v>2020</v>
      </c>
      <c r="LOF368" s="153"/>
      <c r="LOG368" s="153"/>
      <c r="LOH368" s="153"/>
      <c r="LOI368" s="648"/>
      <c r="LOJ368" s="641"/>
      <c r="LOK368" s="642" t="s">
        <v>1841</v>
      </c>
      <c r="LOL368" s="643"/>
      <c r="LOM368" s="644"/>
      <c r="LON368" s="644">
        <v>2013</v>
      </c>
      <c r="LOO368" s="644">
        <v>2014</v>
      </c>
      <c r="LOP368" s="644">
        <v>2015</v>
      </c>
      <c r="LOQ368" s="644">
        <v>2016</v>
      </c>
      <c r="LOR368" s="644">
        <v>2017</v>
      </c>
      <c r="LOS368" s="645">
        <v>2018</v>
      </c>
      <c r="LOT368" s="646">
        <v>2019</v>
      </c>
      <c r="LOU368" s="647">
        <v>2020</v>
      </c>
      <c r="LOV368" s="153"/>
      <c r="LOW368" s="153"/>
      <c r="LOX368" s="153"/>
      <c r="LOY368" s="648"/>
      <c r="LOZ368" s="641"/>
      <c r="LPA368" s="642" t="s">
        <v>1841</v>
      </c>
      <c r="LPB368" s="643"/>
      <c r="LPC368" s="644"/>
      <c r="LPD368" s="644">
        <v>2013</v>
      </c>
      <c r="LPE368" s="644">
        <v>2014</v>
      </c>
      <c r="LPF368" s="644">
        <v>2015</v>
      </c>
      <c r="LPG368" s="644">
        <v>2016</v>
      </c>
      <c r="LPH368" s="644">
        <v>2017</v>
      </c>
      <c r="LPI368" s="645">
        <v>2018</v>
      </c>
      <c r="LPJ368" s="646">
        <v>2019</v>
      </c>
      <c r="LPK368" s="647">
        <v>2020</v>
      </c>
      <c r="LPL368" s="153"/>
      <c r="LPM368" s="153"/>
      <c r="LPN368" s="153"/>
      <c r="LPO368" s="648"/>
      <c r="LPP368" s="641"/>
      <c r="LPQ368" s="642" t="s">
        <v>1841</v>
      </c>
      <c r="LPR368" s="643"/>
      <c r="LPS368" s="644"/>
      <c r="LPT368" s="644">
        <v>2013</v>
      </c>
      <c r="LPU368" s="644">
        <v>2014</v>
      </c>
      <c r="LPV368" s="644">
        <v>2015</v>
      </c>
      <c r="LPW368" s="644">
        <v>2016</v>
      </c>
      <c r="LPX368" s="644">
        <v>2017</v>
      </c>
      <c r="LPY368" s="645">
        <v>2018</v>
      </c>
      <c r="LPZ368" s="646">
        <v>2019</v>
      </c>
      <c r="LQA368" s="647">
        <v>2020</v>
      </c>
      <c r="LQB368" s="153"/>
      <c r="LQC368" s="153"/>
      <c r="LQD368" s="153"/>
      <c r="LQE368" s="648"/>
      <c r="LQF368" s="641"/>
      <c r="LQG368" s="642" t="s">
        <v>1841</v>
      </c>
      <c r="LQH368" s="643"/>
      <c r="LQI368" s="644"/>
      <c r="LQJ368" s="644">
        <v>2013</v>
      </c>
      <c r="LQK368" s="644">
        <v>2014</v>
      </c>
      <c r="LQL368" s="644">
        <v>2015</v>
      </c>
      <c r="LQM368" s="644">
        <v>2016</v>
      </c>
      <c r="LQN368" s="644">
        <v>2017</v>
      </c>
      <c r="LQO368" s="645">
        <v>2018</v>
      </c>
      <c r="LQP368" s="646">
        <v>2019</v>
      </c>
      <c r="LQQ368" s="647">
        <v>2020</v>
      </c>
      <c r="LQR368" s="153"/>
      <c r="LQS368" s="153"/>
      <c r="LQT368" s="153"/>
      <c r="LQU368" s="648"/>
      <c r="LQV368" s="641"/>
      <c r="LQW368" s="642" t="s">
        <v>1841</v>
      </c>
      <c r="LQX368" s="643"/>
      <c r="LQY368" s="644"/>
      <c r="LQZ368" s="644">
        <v>2013</v>
      </c>
      <c r="LRA368" s="644">
        <v>2014</v>
      </c>
      <c r="LRB368" s="644">
        <v>2015</v>
      </c>
      <c r="LRC368" s="644">
        <v>2016</v>
      </c>
      <c r="LRD368" s="644">
        <v>2017</v>
      </c>
      <c r="LRE368" s="645">
        <v>2018</v>
      </c>
      <c r="LRF368" s="646">
        <v>2019</v>
      </c>
      <c r="LRG368" s="647">
        <v>2020</v>
      </c>
      <c r="LRH368" s="153"/>
      <c r="LRI368" s="153"/>
      <c r="LRJ368" s="153"/>
      <c r="LRK368" s="648"/>
      <c r="LRL368" s="641"/>
      <c r="LRM368" s="642" t="s">
        <v>1841</v>
      </c>
      <c r="LRN368" s="643"/>
      <c r="LRO368" s="644"/>
      <c r="LRP368" s="644">
        <v>2013</v>
      </c>
      <c r="LRQ368" s="644">
        <v>2014</v>
      </c>
      <c r="LRR368" s="644">
        <v>2015</v>
      </c>
      <c r="LRS368" s="644">
        <v>2016</v>
      </c>
      <c r="LRT368" s="644">
        <v>2017</v>
      </c>
      <c r="LRU368" s="645">
        <v>2018</v>
      </c>
      <c r="LRV368" s="646">
        <v>2019</v>
      </c>
      <c r="LRW368" s="647">
        <v>2020</v>
      </c>
      <c r="LRX368" s="153"/>
      <c r="LRY368" s="153"/>
      <c r="LRZ368" s="153"/>
      <c r="LSA368" s="648"/>
      <c r="LSB368" s="641"/>
      <c r="LSC368" s="642" t="s">
        <v>1841</v>
      </c>
      <c r="LSD368" s="643"/>
      <c r="LSE368" s="644"/>
      <c r="LSF368" s="644">
        <v>2013</v>
      </c>
      <c r="LSG368" s="644">
        <v>2014</v>
      </c>
      <c r="LSH368" s="644">
        <v>2015</v>
      </c>
      <c r="LSI368" s="644">
        <v>2016</v>
      </c>
      <c r="LSJ368" s="644">
        <v>2017</v>
      </c>
      <c r="LSK368" s="645">
        <v>2018</v>
      </c>
      <c r="LSL368" s="646">
        <v>2019</v>
      </c>
      <c r="LSM368" s="647">
        <v>2020</v>
      </c>
      <c r="LSN368" s="153"/>
      <c r="LSO368" s="153"/>
      <c r="LSP368" s="153"/>
      <c r="LSQ368" s="648"/>
      <c r="LSR368" s="641"/>
      <c r="LSS368" s="642" t="s">
        <v>1841</v>
      </c>
      <c r="LST368" s="643"/>
      <c r="LSU368" s="644"/>
      <c r="LSV368" s="644">
        <v>2013</v>
      </c>
      <c r="LSW368" s="644">
        <v>2014</v>
      </c>
      <c r="LSX368" s="644">
        <v>2015</v>
      </c>
      <c r="LSY368" s="644">
        <v>2016</v>
      </c>
      <c r="LSZ368" s="644">
        <v>2017</v>
      </c>
      <c r="LTA368" s="645">
        <v>2018</v>
      </c>
      <c r="LTB368" s="646">
        <v>2019</v>
      </c>
      <c r="LTC368" s="647">
        <v>2020</v>
      </c>
      <c r="LTD368" s="153"/>
      <c r="LTE368" s="153"/>
      <c r="LTF368" s="153"/>
      <c r="LTG368" s="648"/>
      <c r="LTH368" s="641"/>
      <c r="LTI368" s="642" t="s">
        <v>1841</v>
      </c>
      <c r="LTJ368" s="643"/>
      <c r="LTK368" s="644"/>
      <c r="LTL368" s="644">
        <v>2013</v>
      </c>
      <c r="LTM368" s="644">
        <v>2014</v>
      </c>
      <c r="LTN368" s="644">
        <v>2015</v>
      </c>
      <c r="LTO368" s="644">
        <v>2016</v>
      </c>
      <c r="LTP368" s="644">
        <v>2017</v>
      </c>
      <c r="LTQ368" s="645">
        <v>2018</v>
      </c>
      <c r="LTR368" s="646">
        <v>2019</v>
      </c>
      <c r="LTS368" s="647">
        <v>2020</v>
      </c>
      <c r="LTT368" s="153"/>
      <c r="LTU368" s="153"/>
      <c r="LTV368" s="153"/>
      <c r="LTW368" s="648"/>
      <c r="LTX368" s="641"/>
      <c r="LTY368" s="642" t="s">
        <v>1841</v>
      </c>
      <c r="LTZ368" s="643"/>
      <c r="LUA368" s="644"/>
      <c r="LUB368" s="644">
        <v>2013</v>
      </c>
      <c r="LUC368" s="644">
        <v>2014</v>
      </c>
      <c r="LUD368" s="644">
        <v>2015</v>
      </c>
      <c r="LUE368" s="644">
        <v>2016</v>
      </c>
      <c r="LUF368" s="644">
        <v>2017</v>
      </c>
      <c r="LUG368" s="645">
        <v>2018</v>
      </c>
      <c r="LUH368" s="646">
        <v>2019</v>
      </c>
      <c r="LUI368" s="647">
        <v>2020</v>
      </c>
      <c r="LUJ368" s="153"/>
      <c r="LUK368" s="153"/>
      <c r="LUL368" s="153"/>
      <c r="LUM368" s="648"/>
      <c r="LUN368" s="641"/>
      <c r="LUO368" s="642" t="s">
        <v>1841</v>
      </c>
      <c r="LUP368" s="643"/>
      <c r="LUQ368" s="644"/>
      <c r="LUR368" s="644">
        <v>2013</v>
      </c>
      <c r="LUS368" s="644">
        <v>2014</v>
      </c>
      <c r="LUT368" s="644">
        <v>2015</v>
      </c>
      <c r="LUU368" s="644">
        <v>2016</v>
      </c>
      <c r="LUV368" s="644">
        <v>2017</v>
      </c>
      <c r="LUW368" s="645">
        <v>2018</v>
      </c>
      <c r="LUX368" s="646">
        <v>2019</v>
      </c>
      <c r="LUY368" s="647">
        <v>2020</v>
      </c>
      <c r="LUZ368" s="153"/>
      <c r="LVA368" s="153"/>
      <c r="LVB368" s="153"/>
      <c r="LVC368" s="648"/>
      <c r="LVD368" s="641"/>
      <c r="LVE368" s="642" t="s">
        <v>1841</v>
      </c>
      <c r="LVF368" s="643"/>
      <c r="LVG368" s="644"/>
      <c r="LVH368" s="644">
        <v>2013</v>
      </c>
      <c r="LVI368" s="644">
        <v>2014</v>
      </c>
      <c r="LVJ368" s="644">
        <v>2015</v>
      </c>
      <c r="LVK368" s="644">
        <v>2016</v>
      </c>
      <c r="LVL368" s="644">
        <v>2017</v>
      </c>
      <c r="LVM368" s="645">
        <v>2018</v>
      </c>
      <c r="LVN368" s="646">
        <v>2019</v>
      </c>
      <c r="LVO368" s="647">
        <v>2020</v>
      </c>
      <c r="LVP368" s="153"/>
      <c r="LVQ368" s="153"/>
      <c r="LVR368" s="153"/>
      <c r="LVS368" s="648"/>
      <c r="LVT368" s="641"/>
      <c r="LVU368" s="642" t="s">
        <v>1841</v>
      </c>
      <c r="LVV368" s="643"/>
      <c r="LVW368" s="644"/>
      <c r="LVX368" s="644">
        <v>2013</v>
      </c>
      <c r="LVY368" s="644">
        <v>2014</v>
      </c>
      <c r="LVZ368" s="644">
        <v>2015</v>
      </c>
      <c r="LWA368" s="644">
        <v>2016</v>
      </c>
      <c r="LWB368" s="644">
        <v>2017</v>
      </c>
      <c r="LWC368" s="645">
        <v>2018</v>
      </c>
      <c r="LWD368" s="646">
        <v>2019</v>
      </c>
      <c r="LWE368" s="647">
        <v>2020</v>
      </c>
      <c r="LWF368" s="153"/>
      <c r="LWG368" s="153"/>
      <c r="LWH368" s="153"/>
      <c r="LWI368" s="648"/>
      <c r="LWJ368" s="641"/>
      <c r="LWK368" s="642" t="s">
        <v>1841</v>
      </c>
      <c r="LWL368" s="643"/>
      <c r="LWM368" s="644"/>
      <c r="LWN368" s="644">
        <v>2013</v>
      </c>
      <c r="LWO368" s="644">
        <v>2014</v>
      </c>
      <c r="LWP368" s="644">
        <v>2015</v>
      </c>
      <c r="LWQ368" s="644">
        <v>2016</v>
      </c>
      <c r="LWR368" s="644">
        <v>2017</v>
      </c>
      <c r="LWS368" s="645">
        <v>2018</v>
      </c>
      <c r="LWT368" s="646">
        <v>2019</v>
      </c>
      <c r="LWU368" s="647">
        <v>2020</v>
      </c>
      <c r="LWV368" s="153"/>
      <c r="LWW368" s="153"/>
      <c r="LWX368" s="153"/>
      <c r="LWY368" s="648"/>
      <c r="LWZ368" s="641"/>
      <c r="LXA368" s="642" t="s">
        <v>1841</v>
      </c>
      <c r="LXB368" s="643"/>
      <c r="LXC368" s="644"/>
      <c r="LXD368" s="644">
        <v>2013</v>
      </c>
      <c r="LXE368" s="644">
        <v>2014</v>
      </c>
      <c r="LXF368" s="644">
        <v>2015</v>
      </c>
      <c r="LXG368" s="644">
        <v>2016</v>
      </c>
      <c r="LXH368" s="644">
        <v>2017</v>
      </c>
      <c r="LXI368" s="645">
        <v>2018</v>
      </c>
      <c r="LXJ368" s="646">
        <v>2019</v>
      </c>
      <c r="LXK368" s="647">
        <v>2020</v>
      </c>
      <c r="LXL368" s="153"/>
      <c r="LXM368" s="153"/>
      <c r="LXN368" s="153"/>
      <c r="LXO368" s="648"/>
      <c r="LXP368" s="641"/>
      <c r="LXQ368" s="642" t="s">
        <v>1841</v>
      </c>
      <c r="LXR368" s="643"/>
      <c r="LXS368" s="644"/>
      <c r="LXT368" s="644">
        <v>2013</v>
      </c>
      <c r="LXU368" s="644">
        <v>2014</v>
      </c>
      <c r="LXV368" s="644">
        <v>2015</v>
      </c>
      <c r="LXW368" s="644">
        <v>2016</v>
      </c>
      <c r="LXX368" s="644">
        <v>2017</v>
      </c>
      <c r="LXY368" s="645">
        <v>2018</v>
      </c>
      <c r="LXZ368" s="646">
        <v>2019</v>
      </c>
      <c r="LYA368" s="647">
        <v>2020</v>
      </c>
      <c r="LYB368" s="153"/>
      <c r="LYC368" s="153"/>
      <c r="LYD368" s="153"/>
      <c r="LYE368" s="648"/>
      <c r="LYF368" s="641"/>
      <c r="LYG368" s="642" t="s">
        <v>1841</v>
      </c>
      <c r="LYH368" s="643"/>
      <c r="LYI368" s="644"/>
      <c r="LYJ368" s="644">
        <v>2013</v>
      </c>
      <c r="LYK368" s="644">
        <v>2014</v>
      </c>
      <c r="LYL368" s="644">
        <v>2015</v>
      </c>
      <c r="LYM368" s="644">
        <v>2016</v>
      </c>
      <c r="LYN368" s="644">
        <v>2017</v>
      </c>
      <c r="LYO368" s="645">
        <v>2018</v>
      </c>
      <c r="LYP368" s="646">
        <v>2019</v>
      </c>
      <c r="LYQ368" s="647">
        <v>2020</v>
      </c>
      <c r="LYR368" s="153"/>
      <c r="LYS368" s="153"/>
      <c r="LYT368" s="153"/>
      <c r="LYU368" s="648"/>
      <c r="LYV368" s="641"/>
      <c r="LYW368" s="642" t="s">
        <v>1841</v>
      </c>
      <c r="LYX368" s="643"/>
      <c r="LYY368" s="644"/>
      <c r="LYZ368" s="644">
        <v>2013</v>
      </c>
      <c r="LZA368" s="644">
        <v>2014</v>
      </c>
      <c r="LZB368" s="644">
        <v>2015</v>
      </c>
      <c r="LZC368" s="644">
        <v>2016</v>
      </c>
      <c r="LZD368" s="644">
        <v>2017</v>
      </c>
      <c r="LZE368" s="645">
        <v>2018</v>
      </c>
      <c r="LZF368" s="646">
        <v>2019</v>
      </c>
      <c r="LZG368" s="647">
        <v>2020</v>
      </c>
      <c r="LZH368" s="153"/>
      <c r="LZI368" s="153"/>
      <c r="LZJ368" s="153"/>
      <c r="LZK368" s="648"/>
      <c r="LZL368" s="641"/>
      <c r="LZM368" s="642" t="s">
        <v>1841</v>
      </c>
      <c r="LZN368" s="643"/>
      <c r="LZO368" s="644"/>
      <c r="LZP368" s="644">
        <v>2013</v>
      </c>
      <c r="LZQ368" s="644">
        <v>2014</v>
      </c>
      <c r="LZR368" s="644">
        <v>2015</v>
      </c>
      <c r="LZS368" s="644">
        <v>2016</v>
      </c>
      <c r="LZT368" s="644">
        <v>2017</v>
      </c>
      <c r="LZU368" s="645">
        <v>2018</v>
      </c>
      <c r="LZV368" s="646">
        <v>2019</v>
      </c>
      <c r="LZW368" s="647">
        <v>2020</v>
      </c>
      <c r="LZX368" s="153"/>
      <c r="LZY368" s="153"/>
      <c r="LZZ368" s="153"/>
      <c r="MAA368" s="648"/>
      <c r="MAB368" s="641"/>
      <c r="MAC368" s="642" t="s">
        <v>1841</v>
      </c>
      <c r="MAD368" s="643"/>
      <c r="MAE368" s="644"/>
      <c r="MAF368" s="644">
        <v>2013</v>
      </c>
      <c r="MAG368" s="644">
        <v>2014</v>
      </c>
      <c r="MAH368" s="644">
        <v>2015</v>
      </c>
      <c r="MAI368" s="644">
        <v>2016</v>
      </c>
      <c r="MAJ368" s="644">
        <v>2017</v>
      </c>
      <c r="MAK368" s="645">
        <v>2018</v>
      </c>
      <c r="MAL368" s="646">
        <v>2019</v>
      </c>
      <c r="MAM368" s="647">
        <v>2020</v>
      </c>
      <c r="MAN368" s="153"/>
      <c r="MAO368" s="153"/>
      <c r="MAP368" s="153"/>
      <c r="MAQ368" s="648"/>
      <c r="MAR368" s="641"/>
      <c r="MAS368" s="642" t="s">
        <v>1841</v>
      </c>
      <c r="MAT368" s="643"/>
      <c r="MAU368" s="644"/>
      <c r="MAV368" s="644">
        <v>2013</v>
      </c>
      <c r="MAW368" s="644">
        <v>2014</v>
      </c>
      <c r="MAX368" s="644">
        <v>2015</v>
      </c>
      <c r="MAY368" s="644">
        <v>2016</v>
      </c>
      <c r="MAZ368" s="644">
        <v>2017</v>
      </c>
      <c r="MBA368" s="645">
        <v>2018</v>
      </c>
      <c r="MBB368" s="646">
        <v>2019</v>
      </c>
      <c r="MBC368" s="647">
        <v>2020</v>
      </c>
      <c r="MBD368" s="153"/>
      <c r="MBE368" s="153"/>
      <c r="MBF368" s="153"/>
      <c r="MBG368" s="648"/>
      <c r="MBH368" s="641"/>
      <c r="MBI368" s="642" t="s">
        <v>1841</v>
      </c>
      <c r="MBJ368" s="643"/>
      <c r="MBK368" s="644"/>
      <c r="MBL368" s="644">
        <v>2013</v>
      </c>
      <c r="MBM368" s="644">
        <v>2014</v>
      </c>
      <c r="MBN368" s="644">
        <v>2015</v>
      </c>
      <c r="MBO368" s="644">
        <v>2016</v>
      </c>
      <c r="MBP368" s="644">
        <v>2017</v>
      </c>
      <c r="MBQ368" s="645">
        <v>2018</v>
      </c>
      <c r="MBR368" s="646">
        <v>2019</v>
      </c>
      <c r="MBS368" s="647">
        <v>2020</v>
      </c>
      <c r="MBT368" s="153"/>
      <c r="MBU368" s="153"/>
      <c r="MBV368" s="153"/>
      <c r="MBW368" s="648"/>
      <c r="MBX368" s="641"/>
      <c r="MBY368" s="642" t="s">
        <v>1841</v>
      </c>
      <c r="MBZ368" s="643"/>
      <c r="MCA368" s="644"/>
      <c r="MCB368" s="644">
        <v>2013</v>
      </c>
      <c r="MCC368" s="644">
        <v>2014</v>
      </c>
      <c r="MCD368" s="644">
        <v>2015</v>
      </c>
      <c r="MCE368" s="644">
        <v>2016</v>
      </c>
      <c r="MCF368" s="644">
        <v>2017</v>
      </c>
      <c r="MCG368" s="645">
        <v>2018</v>
      </c>
      <c r="MCH368" s="646">
        <v>2019</v>
      </c>
      <c r="MCI368" s="647">
        <v>2020</v>
      </c>
      <c r="MCJ368" s="153"/>
      <c r="MCK368" s="153"/>
      <c r="MCL368" s="153"/>
      <c r="MCM368" s="648"/>
      <c r="MCN368" s="641"/>
      <c r="MCO368" s="642" t="s">
        <v>1841</v>
      </c>
      <c r="MCP368" s="643"/>
      <c r="MCQ368" s="644"/>
      <c r="MCR368" s="644">
        <v>2013</v>
      </c>
      <c r="MCS368" s="644">
        <v>2014</v>
      </c>
      <c r="MCT368" s="644">
        <v>2015</v>
      </c>
      <c r="MCU368" s="644">
        <v>2016</v>
      </c>
      <c r="MCV368" s="644">
        <v>2017</v>
      </c>
      <c r="MCW368" s="645">
        <v>2018</v>
      </c>
      <c r="MCX368" s="646">
        <v>2019</v>
      </c>
      <c r="MCY368" s="647">
        <v>2020</v>
      </c>
      <c r="MCZ368" s="153"/>
      <c r="MDA368" s="153"/>
      <c r="MDB368" s="153"/>
      <c r="MDC368" s="648"/>
      <c r="MDD368" s="641"/>
      <c r="MDE368" s="642" t="s">
        <v>1841</v>
      </c>
      <c r="MDF368" s="643"/>
      <c r="MDG368" s="644"/>
      <c r="MDH368" s="644">
        <v>2013</v>
      </c>
      <c r="MDI368" s="644">
        <v>2014</v>
      </c>
      <c r="MDJ368" s="644">
        <v>2015</v>
      </c>
      <c r="MDK368" s="644">
        <v>2016</v>
      </c>
      <c r="MDL368" s="644">
        <v>2017</v>
      </c>
      <c r="MDM368" s="645">
        <v>2018</v>
      </c>
      <c r="MDN368" s="646">
        <v>2019</v>
      </c>
      <c r="MDO368" s="647">
        <v>2020</v>
      </c>
      <c r="MDP368" s="153"/>
      <c r="MDQ368" s="153"/>
      <c r="MDR368" s="153"/>
      <c r="MDS368" s="648"/>
      <c r="MDT368" s="641"/>
      <c r="MDU368" s="642" t="s">
        <v>1841</v>
      </c>
      <c r="MDV368" s="643"/>
      <c r="MDW368" s="644"/>
      <c r="MDX368" s="644">
        <v>2013</v>
      </c>
      <c r="MDY368" s="644">
        <v>2014</v>
      </c>
      <c r="MDZ368" s="644">
        <v>2015</v>
      </c>
      <c r="MEA368" s="644">
        <v>2016</v>
      </c>
      <c r="MEB368" s="644">
        <v>2017</v>
      </c>
      <c r="MEC368" s="645">
        <v>2018</v>
      </c>
      <c r="MED368" s="646">
        <v>2019</v>
      </c>
      <c r="MEE368" s="647">
        <v>2020</v>
      </c>
      <c r="MEF368" s="153"/>
      <c r="MEG368" s="153"/>
      <c r="MEH368" s="153"/>
      <c r="MEI368" s="648"/>
      <c r="MEJ368" s="641"/>
      <c r="MEK368" s="642" t="s">
        <v>1841</v>
      </c>
      <c r="MEL368" s="643"/>
      <c r="MEM368" s="644"/>
      <c r="MEN368" s="644">
        <v>2013</v>
      </c>
      <c r="MEO368" s="644">
        <v>2014</v>
      </c>
      <c r="MEP368" s="644">
        <v>2015</v>
      </c>
      <c r="MEQ368" s="644">
        <v>2016</v>
      </c>
      <c r="MER368" s="644">
        <v>2017</v>
      </c>
      <c r="MES368" s="645">
        <v>2018</v>
      </c>
      <c r="MET368" s="646">
        <v>2019</v>
      </c>
      <c r="MEU368" s="647">
        <v>2020</v>
      </c>
      <c r="MEV368" s="153"/>
      <c r="MEW368" s="153"/>
      <c r="MEX368" s="153"/>
      <c r="MEY368" s="648"/>
      <c r="MEZ368" s="641"/>
      <c r="MFA368" s="642" t="s">
        <v>1841</v>
      </c>
      <c r="MFB368" s="643"/>
      <c r="MFC368" s="644"/>
      <c r="MFD368" s="644">
        <v>2013</v>
      </c>
      <c r="MFE368" s="644">
        <v>2014</v>
      </c>
      <c r="MFF368" s="644">
        <v>2015</v>
      </c>
      <c r="MFG368" s="644">
        <v>2016</v>
      </c>
      <c r="MFH368" s="644">
        <v>2017</v>
      </c>
      <c r="MFI368" s="645">
        <v>2018</v>
      </c>
      <c r="MFJ368" s="646">
        <v>2019</v>
      </c>
      <c r="MFK368" s="647">
        <v>2020</v>
      </c>
      <c r="MFL368" s="153"/>
      <c r="MFM368" s="153"/>
      <c r="MFN368" s="153"/>
      <c r="MFO368" s="648"/>
      <c r="MFP368" s="641"/>
      <c r="MFQ368" s="642" t="s">
        <v>1841</v>
      </c>
      <c r="MFR368" s="643"/>
      <c r="MFS368" s="644"/>
      <c r="MFT368" s="644">
        <v>2013</v>
      </c>
      <c r="MFU368" s="644">
        <v>2014</v>
      </c>
      <c r="MFV368" s="644">
        <v>2015</v>
      </c>
      <c r="MFW368" s="644">
        <v>2016</v>
      </c>
      <c r="MFX368" s="644">
        <v>2017</v>
      </c>
      <c r="MFY368" s="645">
        <v>2018</v>
      </c>
      <c r="MFZ368" s="646">
        <v>2019</v>
      </c>
      <c r="MGA368" s="647">
        <v>2020</v>
      </c>
      <c r="MGB368" s="153"/>
      <c r="MGC368" s="153"/>
      <c r="MGD368" s="153"/>
      <c r="MGE368" s="648"/>
      <c r="MGF368" s="641"/>
      <c r="MGG368" s="642" t="s">
        <v>1841</v>
      </c>
      <c r="MGH368" s="643"/>
      <c r="MGI368" s="644"/>
      <c r="MGJ368" s="644">
        <v>2013</v>
      </c>
      <c r="MGK368" s="644">
        <v>2014</v>
      </c>
      <c r="MGL368" s="644">
        <v>2015</v>
      </c>
      <c r="MGM368" s="644">
        <v>2016</v>
      </c>
      <c r="MGN368" s="644">
        <v>2017</v>
      </c>
      <c r="MGO368" s="645">
        <v>2018</v>
      </c>
      <c r="MGP368" s="646">
        <v>2019</v>
      </c>
      <c r="MGQ368" s="647">
        <v>2020</v>
      </c>
      <c r="MGR368" s="153"/>
      <c r="MGS368" s="153"/>
      <c r="MGT368" s="153"/>
      <c r="MGU368" s="648"/>
      <c r="MGV368" s="641"/>
      <c r="MGW368" s="642" t="s">
        <v>1841</v>
      </c>
      <c r="MGX368" s="643"/>
      <c r="MGY368" s="644"/>
      <c r="MGZ368" s="644">
        <v>2013</v>
      </c>
      <c r="MHA368" s="644">
        <v>2014</v>
      </c>
      <c r="MHB368" s="644">
        <v>2015</v>
      </c>
      <c r="MHC368" s="644">
        <v>2016</v>
      </c>
      <c r="MHD368" s="644">
        <v>2017</v>
      </c>
      <c r="MHE368" s="645">
        <v>2018</v>
      </c>
      <c r="MHF368" s="646">
        <v>2019</v>
      </c>
      <c r="MHG368" s="647">
        <v>2020</v>
      </c>
      <c r="MHH368" s="153"/>
      <c r="MHI368" s="153"/>
      <c r="MHJ368" s="153"/>
      <c r="MHK368" s="648"/>
      <c r="MHL368" s="641"/>
      <c r="MHM368" s="642" t="s">
        <v>1841</v>
      </c>
      <c r="MHN368" s="643"/>
      <c r="MHO368" s="644"/>
      <c r="MHP368" s="644">
        <v>2013</v>
      </c>
      <c r="MHQ368" s="644">
        <v>2014</v>
      </c>
      <c r="MHR368" s="644">
        <v>2015</v>
      </c>
      <c r="MHS368" s="644">
        <v>2016</v>
      </c>
      <c r="MHT368" s="644">
        <v>2017</v>
      </c>
      <c r="MHU368" s="645">
        <v>2018</v>
      </c>
      <c r="MHV368" s="646">
        <v>2019</v>
      </c>
      <c r="MHW368" s="647">
        <v>2020</v>
      </c>
      <c r="MHX368" s="153"/>
      <c r="MHY368" s="153"/>
      <c r="MHZ368" s="153"/>
      <c r="MIA368" s="648"/>
      <c r="MIB368" s="641"/>
      <c r="MIC368" s="642" t="s">
        <v>1841</v>
      </c>
      <c r="MID368" s="643"/>
      <c r="MIE368" s="644"/>
      <c r="MIF368" s="644">
        <v>2013</v>
      </c>
      <c r="MIG368" s="644">
        <v>2014</v>
      </c>
      <c r="MIH368" s="644">
        <v>2015</v>
      </c>
      <c r="MII368" s="644">
        <v>2016</v>
      </c>
      <c r="MIJ368" s="644">
        <v>2017</v>
      </c>
      <c r="MIK368" s="645">
        <v>2018</v>
      </c>
      <c r="MIL368" s="646">
        <v>2019</v>
      </c>
      <c r="MIM368" s="647">
        <v>2020</v>
      </c>
      <c r="MIN368" s="153"/>
      <c r="MIO368" s="153"/>
      <c r="MIP368" s="153"/>
      <c r="MIQ368" s="648"/>
      <c r="MIR368" s="641"/>
      <c r="MIS368" s="642" t="s">
        <v>1841</v>
      </c>
      <c r="MIT368" s="643"/>
      <c r="MIU368" s="644"/>
      <c r="MIV368" s="644">
        <v>2013</v>
      </c>
      <c r="MIW368" s="644">
        <v>2014</v>
      </c>
      <c r="MIX368" s="644">
        <v>2015</v>
      </c>
      <c r="MIY368" s="644">
        <v>2016</v>
      </c>
      <c r="MIZ368" s="644">
        <v>2017</v>
      </c>
      <c r="MJA368" s="645">
        <v>2018</v>
      </c>
      <c r="MJB368" s="646">
        <v>2019</v>
      </c>
      <c r="MJC368" s="647">
        <v>2020</v>
      </c>
      <c r="MJD368" s="153"/>
      <c r="MJE368" s="153"/>
      <c r="MJF368" s="153"/>
      <c r="MJG368" s="648"/>
      <c r="MJH368" s="641"/>
      <c r="MJI368" s="642" t="s">
        <v>1841</v>
      </c>
      <c r="MJJ368" s="643"/>
      <c r="MJK368" s="644"/>
      <c r="MJL368" s="644">
        <v>2013</v>
      </c>
      <c r="MJM368" s="644">
        <v>2014</v>
      </c>
      <c r="MJN368" s="644">
        <v>2015</v>
      </c>
      <c r="MJO368" s="644">
        <v>2016</v>
      </c>
      <c r="MJP368" s="644">
        <v>2017</v>
      </c>
      <c r="MJQ368" s="645">
        <v>2018</v>
      </c>
      <c r="MJR368" s="646">
        <v>2019</v>
      </c>
      <c r="MJS368" s="647">
        <v>2020</v>
      </c>
      <c r="MJT368" s="153"/>
      <c r="MJU368" s="153"/>
      <c r="MJV368" s="153"/>
      <c r="MJW368" s="648"/>
      <c r="MJX368" s="641"/>
      <c r="MJY368" s="642" t="s">
        <v>1841</v>
      </c>
      <c r="MJZ368" s="643"/>
      <c r="MKA368" s="644"/>
      <c r="MKB368" s="644">
        <v>2013</v>
      </c>
      <c r="MKC368" s="644">
        <v>2014</v>
      </c>
      <c r="MKD368" s="644">
        <v>2015</v>
      </c>
      <c r="MKE368" s="644">
        <v>2016</v>
      </c>
      <c r="MKF368" s="644">
        <v>2017</v>
      </c>
      <c r="MKG368" s="645">
        <v>2018</v>
      </c>
      <c r="MKH368" s="646">
        <v>2019</v>
      </c>
      <c r="MKI368" s="647">
        <v>2020</v>
      </c>
      <c r="MKJ368" s="153"/>
      <c r="MKK368" s="153"/>
      <c r="MKL368" s="153"/>
      <c r="MKM368" s="648"/>
      <c r="MKN368" s="641"/>
      <c r="MKO368" s="642" t="s">
        <v>1841</v>
      </c>
      <c r="MKP368" s="643"/>
      <c r="MKQ368" s="644"/>
      <c r="MKR368" s="644">
        <v>2013</v>
      </c>
      <c r="MKS368" s="644">
        <v>2014</v>
      </c>
      <c r="MKT368" s="644">
        <v>2015</v>
      </c>
      <c r="MKU368" s="644">
        <v>2016</v>
      </c>
      <c r="MKV368" s="644">
        <v>2017</v>
      </c>
      <c r="MKW368" s="645">
        <v>2018</v>
      </c>
      <c r="MKX368" s="646">
        <v>2019</v>
      </c>
      <c r="MKY368" s="647">
        <v>2020</v>
      </c>
      <c r="MKZ368" s="153"/>
      <c r="MLA368" s="153"/>
      <c r="MLB368" s="153"/>
      <c r="MLC368" s="648"/>
      <c r="MLD368" s="641"/>
      <c r="MLE368" s="642" t="s">
        <v>1841</v>
      </c>
      <c r="MLF368" s="643"/>
      <c r="MLG368" s="644"/>
      <c r="MLH368" s="644">
        <v>2013</v>
      </c>
      <c r="MLI368" s="644">
        <v>2014</v>
      </c>
      <c r="MLJ368" s="644">
        <v>2015</v>
      </c>
      <c r="MLK368" s="644">
        <v>2016</v>
      </c>
      <c r="MLL368" s="644">
        <v>2017</v>
      </c>
      <c r="MLM368" s="645">
        <v>2018</v>
      </c>
      <c r="MLN368" s="646">
        <v>2019</v>
      </c>
      <c r="MLO368" s="647">
        <v>2020</v>
      </c>
      <c r="MLP368" s="153"/>
      <c r="MLQ368" s="153"/>
      <c r="MLR368" s="153"/>
      <c r="MLS368" s="648"/>
      <c r="MLT368" s="641"/>
      <c r="MLU368" s="642" t="s">
        <v>1841</v>
      </c>
      <c r="MLV368" s="643"/>
      <c r="MLW368" s="644"/>
      <c r="MLX368" s="644">
        <v>2013</v>
      </c>
      <c r="MLY368" s="644">
        <v>2014</v>
      </c>
      <c r="MLZ368" s="644">
        <v>2015</v>
      </c>
      <c r="MMA368" s="644">
        <v>2016</v>
      </c>
      <c r="MMB368" s="644">
        <v>2017</v>
      </c>
      <c r="MMC368" s="645">
        <v>2018</v>
      </c>
      <c r="MMD368" s="646">
        <v>2019</v>
      </c>
      <c r="MME368" s="647">
        <v>2020</v>
      </c>
      <c r="MMF368" s="153"/>
      <c r="MMG368" s="153"/>
      <c r="MMH368" s="153"/>
      <c r="MMI368" s="648"/>
      <c r="MMJ368" s="641"/>
      <c r="MMK368" s="642" t="s">
        <v>1841</v>
      </c>
      <c r="MML368" s="643"/>
      <c r="MMM368" s="644"/>
      <c r="MMN368" s="644">
        <v>2013</v>
      </c>
      <c r="MMO368" s="644">
        <v>2014</v>
      </c>
      <c r="MMP368" s="644">
        <v>2015</v>
      </c>
      <c r="MMQ368" s="644">
        <v>2016</v>
      </c>
      <c r="MMR368" s="644">
        <v>2017</v>
      </c>
      <c r="MMS368" s="645">
        <v>2018</v>
      </c>
      <c r="MMT368" s="646">
        <v>2019</v>
      </c>
      <c r="MMU368" s="647">
        <v>2020</v>
      </c>
      <c r="MMV368" s="153"/>
      <c r="MMW368" s="153"/>
      <c r="MMX368" s="153"/>
      <c r="MMY368" s="648"/>
      <c r="MMZ368" s="641"/>
      <c r="MNA368" s="642" t="s">
        <v>1841</v>
      </c>
      <c r="MNB368" s="643"/>
      <c r="MNC368" s="644"/>
      <c r="MND368" s="644">
        <v>2013</v>
      </c>
      <c r="MNE368" s="644">
        <v>2014</v>
      </c>
      <c r="MNF368" s="644">
        <v>2015</v>
      </c>
      <c r="MNG368" s="644">
        <v>2016</v>
      </c>
      <c r="MNH368" s="644">
        <v>2017</v>
      </c>
      <c r="MNI368" s="645">
        <v>2018</v>
      </c>
      <c r="MNJ368" s="646">
        <v>2019</v>
      </c>
      <c r="MNK368" s="647">
        <v>2020</v>
      </c>
      <c r="MNL368" s="153"/>
      <c r="MNM368" s="153"/>
      <c r="MNN368" s="153"/>
      <c r="MNO368" s="648"/>
      <c r="MNP368" s="641"/>
      <c r="MNQ368" s="642" t="s">
        <v>1841</v>
      </c>
      <c r="MNR368" s="643"/>
      <c r="MNS368" s="644"/>
      <c r="MNT368" s="644">
        <v>2013</v>
      </c>
      <c r="MNU368" s="644">
        <v>2014</v>
      </c>
      <c r="MNV368" s="644">
        <v>2015</v>
      </c>
      <c r="MNW368" s="644">
        <v>2016</v>
      </c>
      <c r="MNX368" s="644">
        <v>2017</v>
      </c>
      <c r="MNY368" s="645">
        <v>2018</v>
      </c>
      <c r="MNZ368" s="646">
        <v>2019</v>
      </c>
      <c r="MOA368" s="647">
        <v>2020</v>
      </c>
      <c r="MOB368" s="153"/>
      <c r="MOC368" s="153"/>
      <c r="MOD368" s="153"/>
      <c r="MOE368" s="648"/>
      <c r="MOF368" s="641"/>
      <c r="MOG368" s="642" t="s">
        <v>1841</v>
      </c>
      <c r="MOH368" s="643"/>
      <c r="MOI368" s="644"/>
      <c r="MOJ368" s="644">
        <v>2013</v>
      </c>
      <c r="MOK368" s="644">
        <v>2014</v>
      </c>
      <c r="MOL368" s="644">
        <v>2015</v>
      </c>
      <c r="MOM368" s="644">
        <v>2016</v>
      </c>
      <c r="MON368" s="644">
        <v>2017</v>
      </c>
      <c r="MOO368" s="645">
        <v>2018</v>
      </c>
      <c r="MOP368" s="646">
        <v>2019</v>
      </c>
      <c r="MOQ368" s="647">
        <v>2020</v>
      </c>
      <c r="MOR368" s="153"/>
      <c r="MOS368" s="153"/>
      <c r="MOT368" s="153"/>
      <c r="MOU368" s="648"/>
      <c r="MOV368" s="641"/>
      <c r="MOW368" s="642" t="s">
        <v>1841</v>
      </c>
      <c r="MOX368" s="643"/>
      <c r="MOY368" s="644"/>
      <c r="MOZ368" s="644">
        <v>2013</v>
      </c>
      <c r="MPA368" s="644">
        <v>2014</v>
      </c>
      <c r="MPB368" s="644">
        <v>2015</v>
      </c>
      <c r="MPC368" s="644">
        <v>2016</v>
      </c>
      <c r="MPD368" s="644">
        <v>2017</v>
      </c>
      <c r="MPE368" s="645">
        <v>2018</v>
      </c>
      <c r="MPF368" s="646">
        <v>2019</v>
      </c>
      <c r="MPG368" s="647">
        <v>2020</v>
      </c>
      <c r="MPH368" s="153"/>
      <c r="MPI368" s="153"/>
      <c r="MPJ368" s="153"/>
      <c r="MPK368" s="648"/>
      <c r="MPL368" s="641"/>
      <c r="MPM368" s="642" t="s">
        <v>1841</v>
      </c>
      <c r="MPN368" s="643"/>
      <c r="MPO368" s="644"/>
      <c r="MPP368" s="644">
        <v>2013</v>
      </c>
      <c r="MPQ368" s="644">
        <v>2014</v>
      </c>
      <c r="MPR368" s="644">
        <v>2015</v>
      </c>
      <c r="MPS368" s="644">
        <v>2016</v>
      </c>
      <c r="MPT368" s="644">
        <v>2017</v>
      </c>
      <c r="MPU368" s="645">
        <v>2018</v>
      </c>
      <c r="MPV368" s="646">
        <v>2019</v>
      </c>
      <c r="MPW368" s="647">
        <v>2020</v>
      </c>
      <c r="MPX368" s="153"/>
      <c r="MPY368" s="153"/>
      <c r="MPZ368" s="153"/>
      <c r="MQA368" s="648"/>
      <c r="MQB368" s="641"/>
      <c r="MQC368" s="642" t="s">
        <v>1841</v>
      </c>
      <c r="MQD368" s="643"/>
      <c r="MQE368" s="644"/>
      <c r="MQF368" s="644">
        <v>2013</v>
      </c>
      <c r="MQG368" s="644">
        <v>2014</v>
      </c>
      <c r="MQH368" s="644">
        <v>2015</v>
      </c>
      <c r="MQI368" s="644">
        <v>2016</v>
      </c>
      <c r="MQJ368" s="644">
        <v>2017</v>
      </c>
      <c r="MQK368" s="645">
        <v>2018</v>
      </c>
      <c r="MQL368" s="646">
        <v>2019</v>
      </c>
      <c r="MQM368" s="647">
        <v>2020</v>
      </c>
      <c r="MQN368" s="153"/>
      <c r="MQO368" s="153"/>
      <c r="MQP368" s="153"/>
      <c r="MQQ368" s="648"/>
      <c r="MQR368" s="641"/>
      <c r="MQS368" s="642" t="s">
        <v>1841</v>
      </c>
      <c r="MQT368" s="643"/>
      <c r="MQU368" s="644"/>
      <c r="MQV368" s="644">
        <v>2013</v>
      </c>
      <c r="MQW368" s="644">
        <v>2014</v>
      </c>
      <c r="MQX368" s="644">
        <v>2015</v>
      </c>
      <c r="MQY368" s="644">
        <v>2016</v>
      </c>
      <c r="MQZ368" s="644">
        <v>2017</v>
      </c>
      <c r="MRA368" s="645">
        <v>2018</v>
      </c>
      <c r="MRB368" s="646">
        <v>2019</v>
      </c>
      <c r="MRC368" s="647">
        <v>2020</v>
      </c>
      <c r="MRD368" s="153"/>
      <c r="MRE368" s="153"/>
      <c r="MRF368" s="153"/>
      <c r="MRG368" s="648"/>
      <c r="MRH368" s="641"/>
      <c r="MRI368" s="642" t="s">
        <v>1841</v>
      </c>
      <c r="MRJ368" s="643"/>
      <c r="MRK368" s="644"/>
      <c r="MRL368" s="644">
        <v>2013</v>
      </c>
      <c r="MRM368" s="644">
        <v>2014</v>
      </c>
      <c r="MRN368" s="644">
        <v>2015</v>
      </c>
      <c r="MRO368" s="644">
        <v>2016</v>
      </c>
      <c r="MRP368" s="644">
        <v>2017</v>
      </c>
      <c r="MRQ368" s="645">
        <v>2018</v>
      </c>
      <c r="MRR368" s="646">
        <v>2019</v>
      </c>
      <c r="MRS368" s="647">
        <v>2020</v>
      </c>
      <c r="MRT368" s="153"/>
      <c r="MRU368" s="153"/>
      <c r="MRV368" s="153"/>
      <c r="MRW368" s="648"/>
      <c r="MRX368" s="641"/>
      <c r="MRY368" s="642" t="s">
        <v>1841</v>
      </c>
      <c r="MRZ368" s="643"/>
      <c r="MSA368" s="644"/>
      <c r="MSB368" s="644">
        <v>2013</v>
      </c>
      <c r="MSC368" s="644">
        <v>2014</v>
      </c>
      <c r="MSD368" s="644">
        <v>2015</v>
      </c>
      <c r="MSE368" s="644">
        <v>2016</v>
      </c>
      <c r="MSF368" s="644">
        <v>2017</v>
      </c>
      <c r="MSG368" s="645">
        <v>2018</v>
      </c>
      <c r="MSH368" s="646">
        <v>2019</v>
      </c>
      <c r="MSI368" s="647">
        <v>2020</v>
      </c>
      <c r="MSJ368" s="153"/>
      <c r="MSK368" s="153"/>
      <c r="MSL368" s="153"/>
      <c r="MSM368" s="648"/>
      <c r="MSN368" s="641"/>
      <c r="MSO368" s="642" t="s">
        <v>1841</v>
      </c>
      <c r="MSP368" s="643"/>
      <c r="MSQ368" s="644"/>
      <c r="MSR368" s="644">
        <v>2013</v>
      </c>
      <c r="MSS368" s="644">
        <v>2014</v>
      </c>
      <c r="MST368" s="644">
        <v>2015</v>
      </c>
      <c r="MSU368" s="644">
        <v>2016</v>
      </c>
      <c r="MSV368" s="644">
        <v>2017</v>
      </c>
      <c r="MSW368" s="645">
        <v>2018</v>
      </c>
      <c r="MSX368" s="646">
        <v>2019</v>
      </c>
      <c r="MSY368" s="647">
        <v>2020</v>
      </c>
      <c r="MSZ368" s="153"/>
      <c r="MTA368" s="153"/>
      <c r="MTB368" s="153"/>
      <c r="MTC368" s="648"/>
      <c r="MTD368" s="641"/>
      <c r="MTE368" s="642" t="s">
        <v>1841</v>
      </c>
      <c r="MTF368" s="643"/>
      <c r="MTG368" s="644"/>
      <c r="MTH368" s="644">
        <v>2013</v>
      </c>
      <c r="MTI368" s="644">
        <v>2014</v>
      </c>
      <c r="MTJ368" s="644">
        <v>2015</v>
      </c>
      <c r="MTK368" s="644">
        <v>2016</v>
      </c>
      <c r="MTL368" s="644">
        <v>2017</v>
      </c>
      <c r="MTM368" s="645">
        <v>2018</v>
      </c>
      <c r="MTN368" s="646">
        <v>2019</v>
      </c>
      <c r="MTO368" s="647">
        <v>2020</v>
      </c>
      <c r="MTP368" s="153"/>
      <c r="MTQ368" s="153"/>
      <c r="MTR368" s="153"/>
      <c r="MTS368" s="648"/>
      <c r="MTT368" s="641"/>
      <c r="MTU368" s="642" t="s">
        <v>1841</v>
      </c>
      <c r="MTV368" s="643"/>
      <c r="MTW368" s="644"/>
      <c r="MTX368" s="644">
        <v>2013</v>
      </c>
      <c r="MTY368" s="644">
        <v>2014</v>
      </c>
      <c r="MTZ368" s="644">
        <v>2015</v>
      </c>
      <c r="MUA368" s="644">
        <v>2016</v>
      </c>
      <c r="MUB368" s="644">
        <v>2017</v>
      </c>
      <c r="MUC368" s="645">
        <v>2018</v>
      </c>
      <c r="MUD368" s="646">
        <v>2019</v>
      </c>
      <c r="MUE368" s="647">
        <v>2020</v>
      </c>
      <c r="MUF368" s="153"/>
      <c r="MUG368" s="153"/>
      <c r="MUH368" s="153"/>
      <c r="MUI368" s="648"/>
      <c r="MUJ368" s="641"/>
      <c r="MUK368" s="642" t="s">
        <v>1841</v>
      </c>
      <c r="MUL368" s="643"/>
      <c r="MUM368" s="644"/>
      <c r="MUN368" s="644">
        <v>2013</v>
      </c>
      <c r="MUO368" s="644">
        <v>2014</v>
      </c>
      <c r="MUP368" s="644">
        <v>2015</v>
      </c>
      <c r="MUQ368" s="644">
        <v>2016</v>
      </c>
      <c r="MUR368" s="644">
        <v>2017</v>
      </c>
      <c r="MUS368" s="645">
        <v>2018</v>
      </c>
      <c r="MUT368" s="646">
        <v>2019</v>
      </c>
      <c r="MUU368" s="647">
        <v>2020</v>
      </c>
      <c r="MUV368" s="153"/>
      <c r="MUW368" s="153"/>
      <c r="MUX368" s="153"/>
      <c r="MUY368" s="648"/>
      <c r="MUZ368" s="641"/>
      <c r="MVA368" s="642" t="s">
        <v>1841</v>
      </c>
      <c r="MVB368" s="643"/>
      <c r="MVC368" s="644"/>
      <c r="MVD368" s="644">
        <v>2013</v>
      </c>
      <c r="MVE368" s="644">
        <v>2014</v>
      </c>
      <c r="MVF368" s="644">
        <v>2015</v>
      </c>
      <c r="MVG368" s="644">
        <v>2016</v>
      </c>
      <c r="MVH368" s="644">
        <v>2017</v>
      </c>
      <c r="MVI368" s="645">
        <v>2018</v>
      </c>
      <c r="MVJ368" s="646">
        <v>2019</v>
      </c>
      <c r="MVK368" s="647">
        <v>2020</v>
      </c>
      <c r="MVL368" s="153"/>
      <c r="MVM368" s="153"/>
      <c r="MVN368" s="153"/>
      <c r="MVO368" s="648"/>
      <c r="MVP368" s="641"/>
      <c r="MVQ368" s="642" t="s">
        <v>1841</v>
      </c>
      <c r="MVR368" s="643"/>
      <c r="MVS368" s="644"/>
      <c r="MVT368" s="644">
        <v>2013</v>
      </c>
      <c r="MVU368" s="644">
        <v>2014</v>
      </c>
      <c r="MVV368" s="644">
        <v>2015</v>
      </c>
      <c r="MVW368" s="644">
        <v>2016</v>
      </c>
      <c r="MVX368" s="644">
        <v>2017</v>
      </c>
      <c r="MVY368" s="645">
        <v>2018</v>
      </c>
      <c r="MVZ368" s="646">
        <v>2019</v>
      </c>
      <c r="MWA368" s="647">
        <v>2020</v>
      </c>
      <c r="MWB368" s="153"/>
      <c r="MWC368" s="153"/>
      <c r="MWD368" s="153"/>
      <c r="MWE368" s="648"/>
      <c r="MWF368" s="641"/>
      <c r="MWG368" s="642" t="s">
        <v>1841</v>
      </c>
      <c r="MWH368" s="643"/>
      <c r="MWI368" s="644"/>
      <c r="MWJ368" s="644">
        <v>2013</v>
      </c>
      <c r="MWK368" s="644">
        <v>2014</v>
      </c>
      <c r="MWL368" s="644">
        <v>2015</v>
      </c>
      <c r="MWM368" s="644">
        <v>2016</v>
      </c>
      <c r="MWN368" s="644">
        <v>2017</v>
      </c>
      <c r="MWO368" s="645">
        <v>2018</v>
      </c>
      <c r="MWP368" s="646">
        <v>2019</v>
      </c>
      <c r="MWQ368" s="647">
        <v>2020</v>
      </c>
      <c r="MWR368" s="153"/>
      <c r="MWS368" s="153"/>
      <c r="MWT368" s="153"/>
      <c r="MWU368" s="648"/>
      <c r="MWV368" s="641"/>
      <c r="MWW368" s="642" t="s">
        <v>1841</v>
      </c>
      <c r="MWX368" s="643"/>
      <c r="MWY368" s="644"/>
      <c r="MWZ368" s="644">
        <v>2013</v>
      </c>
      <c r="MXA368" s="644">
        <v>2014</v>
      </c>
      <c r="MXB368" s="644">
        <v>2015</v>
      </c>
      <c r="MXC368" s="644">
        <v>2016</v>
      </c>
      <c r="MXD368" s="644">
        <v>2017</v>
      </c>
      <c r="MXE368" s="645">
        <v>2018</v>
      </c>
      <c r="MXF368" s="646">
        <v>2019</v>
      </c>
      <c r="MXG368" s="647">
        <v>2020</v>
      </c>
      <c r="MXH368" s="153"/>
      <c r="MXI368" s="153"/>
      <c r="MXJ368" s="153"/>
      <c r="MXK368" s="648"/>
      <c r="MXL368" s="641"/>
      <c r="MXM368" s="642" t="s">
        <v>1841</v>
      </c>
      <c r="MXN368" s="643"/>
      <c r="MXO368" s="644"/>
      <c r="MXP368" s="644">
        <v>2013</v>
      </c>
      <c r="MXQ368" s="644">
        <v>2014</v>
      </c>
      <c r="MXR368" s="644">
        <v>2015</v>
      </c>
      <c r="MXS368" s="644">
        <v>2016</v>
      </c>
      <c r="MXT368" s="644">
        <v>2017</v>
      </c>
      <c r="MXU368" s="645">
        <v>2018</v>
      </c>
      <c r="MXV368" s="646">
        <v>2019</v>
      </c>
      <c r="MXW368" s="647">
        <v>2020</v>
      </c>
      <c r="MXX368" s="153"/>
      <c r="MXY368" s="153"/>
      <c r="MXZ368" s="153"/>
      <c r="MYA368" s="648"/>
      <c r="MYB368" s="641"/>
      <c r="MYC368" s="642" t="s">
        <v>1841</v>
      </c>
      <c r="MYD368" s="643"/>
      <c r="MYE368" s="644"/>
      <c r="MYF368" s="644">
        <v>2013</v>
      </c>
      <c r="MYG368" s="644">
        <v>2014</v>
      </c>
      <c r="MYH368" s="644">
        <v>2015</v>
      </c>
      <c r="MYI368" s="644">
        <v>2016</v>
      </c>
      <c r="MYJ368" s="644">
        <v>2017</v>
      </c>
      <c r="MYK368" s="645">
        <v>2018</v>
      </c>
      <c r="MYL368" s="646">
        <v>2019</v>
      </c>
      <c r="MYM368" s="647">
        <v>2020</v>
      </c>
      <c r="MYN368" s="153"/>
      <c r="MYO368" s="153"/>
      <c r="MYP368" s="153"/>
      <c r="MYQ368" s="648"/>
      <c r="MYR368" s="641"/>
      <c r="MYS368" s="642" t="s">
        <v>1841</v>
      </c>
      <c r="MYT368" s="643"/>
      <c r="MYU368" s="644"/>
      <c r="MYV368" s="644">
        <v>2013</v>
      </c>
      <c r="MYW368" s="644">
        <v>2014</v>
      </c>
      <c r="MYX368" s="644">
        <v>2015</v>
      </c>
      <c r="MYY368" s="644">
        <v>2016</v>
      </c>
      <c r="MYZ368" s="644">
        <v>2017</v>
      </c>
      <c r="MZA368" s="645">
        <v>2018</v>
      </c>
      <c r="MZB368" s="646">
        <v>2019</v>
      </c>
      <c r="MZC368" s="647">
        <v>2020</v>
      </c>
      <c r="MZD368" s="153"/>
      <c r="MZE368" s="153"/>
      <c r="MZF368" s="153"/>
      <c r="MZG368" s="648"/>
      <c r="MZH368" s="641"/>
      <c r="MZI368" s="642" t="s">
        <v>1841</v>
      </c>
      <c r="MZJ368" s="643"/>
      <c r="MZK368" s="644"/>
      <c r="MZL368" s="644">
        <v>2013</v>
      </c>
      <c r="MZM368" s="644">
        <v>2014</v>
      </c>
      <c r="MZN368" s="644">
        <v>2015</v>
      </c>
      <c r="MZO368" s="644">
        <v>2016</v>
      </c>
      <c r="MZP368" s="644">
        <v>2017</v>
      </c>
      <c r="MZQ368" s="645">
        <v>2018</v>
      </c>
      <c r="MZR368" s="646">
        <v>2019</v>
      </c>
      <c r="MZS368" s="647">
        <v>2020</v>
      </c>
      <c r="MZT368" s="153"/>
      <c r="MZU368" s="153"/>
      <c r="MZV368" s="153"/>
      <c r="MZW368" s="648"/>
      <c r="MZX368" s="641"/>
      <c r="MZY368" s="642" t="s">
        <v>1841</v>
      </c>
      <c r="MZZ368" s="643"/>
      <c r="NAA368" s="644"/>
      <c r="NAB368" s="644">
        <v>2013</v>
      </c>
      <c r="NAC368" s="644">
        <v>2014</v>
      </c>
      <c r="NAD368" s="644">
        <v>2015</v>
      </c>
      <c r="NAE368" s="644">
        <v>2016</v>
      </c>
      <c r="NAF368" s="644">
        <v>2017</v>
      </c>
      <c r="NAG368" s="645">
        <v>2018</v>
      </c>
      <c r="NAH368" s="646">
        <v>2019</v>
      </c>
      <c r="NAI368" s="647">
        <v>2020</v>
      </c>
      <c r="NAJ368" s="153"/>
      <c r="NAK368" s="153"/>
      <c r="NAL368" s="153"/>
      <c r="NAM368" s="648"/>
      <c r="NAN368" s="641"/>
      <c r="NAO368" s="642" t="s">
        <v>1841</v>
      </c>
      <c r="NAP368" s="643"/>
      <c r="NAQ368" s="644"/>
      <c r="NAR368" s="644">
        <v>2013</v>
      </c>
      <c r="NAS368" s="644">
        <v>2014</v>
      </c>
      <c r="NAT368" s="644">
        <v>2015</v>
      </c>
      <c r="NAU368" s="644">
        <v>2016</v>
      </c>
      <c r="NAV368" s="644">
        <v>2017</v>
      </c>
      <c r="NAW368" s="645">
        <v>2018</v>
      </c>
      <c r="NAX368" s="646">
        <v>2019</v>
      </c>
      <c r="NAY368" s="647">
        <v>2020</v>
      </c>
      <c r="NAZ368" s="153"/>
      <c r="NBA368" s="153"/>
      <c r="NBB368" s="153"/>
      <c r="NBC368" s="648"/>
      <c r="NBD368" s="641"/>
      <c r="NBE368" s="642" t="s">
        <v>1841</v>
      </c>
      <c r="NBF368" s="643"/>
      <c r="NBG368" s="644"/>
      <c r="NBH368" s="644">
        <v>2013</v>
      </c>
      <c r="NBI368" s="644">
        <v>2014</v>
      </c>
      <c r="NBJ368" s="644">
        <v>2015</v>
      </c>
      <c r="NBK368" s="644">
        <v>2016</v>
      </c>
      <c r="NBL368" s="644">
        <v>2017</v>
      </c>
      <c r="NBM368" s="645">
        <v>2018</v>
      </c>
      <c r="NBN368" s="646">
        <v>2019</v>
      </c>
      <c r="NBO368" s="647">
        <v>2020</v>
      </c>
      <c r="NBP368" s="153"/>
      <c r="NBQ368" s="153"/>
      <c r="NBR368" s="153"/>
      <c r="NBS368" s="648"/>
      <c r="NBT368" s="641"/>
      <c r="NBU368" s="642" t="s">
        <v>1841</v>
      </c>
      <c r="NBV368" s="643"/>
      <c r="NBW368" s="644"/>
      <c r="NBX368" s="644">
        <v>2013</v>
      </c>
      <c r="NBY368" s="644">
        <v>2014</v>
      </c>
      <c r="NBZ368" s="644">
        <v>2015</v>
      </c>
      <c r="NCA368" s="644">
        <v>2016</v>
      </c>
      <c r="NCB368" s="644">
        <v>2017</v>
      </c>
      <c r="NCC368" s="645">
        <v>2018</v>
      </c>
      <c r="NCD368" s="646">
        <v>2019</v>
      </c>
      <c r="NCE368" s="647">
        <v>2020</v>
      </c>
      <c r="NCF368" s="153"/>
      <c r="NCG368" s="153"/>
      <c r="NCH368" s="153"/>
      <c r="NCI368" s="648"/>
      <c r="NCJ368" s="641"/>
      <c r="NCK368" s="642" t="s">
        <v>1841</v>
      </c>
      <c r="NCL368" s="643"/>
      <c r="NCM368" s="644"/>
      <c r="NCN368" s="644">
        <v>2013</v>
      </c>
      <c r="NCO368" s="644">
        <v>2014</v>
      </c>
      <c r="NCP368" s="644">
        <v>2015</v>
      </c>
      <c r="NCQ368" s="644">
        <v>2016</v>
      </c>
      <c r="NCR368" s="644">
        <v>2017</v>
      </c>
      <c r="NCS368" s="645">
        <v>2018</v>
      </c>
      <c r="NCT368" s="646">
        <v>2019</v>
      </c>
      <c r="NCU368" s="647">
        <v>2020</v>
      </c>
      <c r="NCV368" s="153"/>
      <c r="NCW368" s="153"/>
      <c r="NCX368" s="153"/>
      <c r="NCY368" s="648"/>
      <c r="NCZ368" s="641"/>
      <c r="NDA368" s="642" t="s">
        <v>1841</v>
      </c>
      <c r="NDB368" s="643"/>
      <c r="NDC368" s="644"/>
      <c r="NDD368" s="644">
        <v>2013</v>
      </c>
      <c r="NDE368" s="644">
        <v>2014</v>
      </c>
      <c r="NDF368" s="644">
        <v>2015</v>
      </c>
      <c r="NDG368" s="644">
        <v>2016</v>
      </c>
      <c r="NDH368" s="644">
        <v>2017</v>
      </c>
      <c r="NDI368" s="645">
        <v>2018</v>
      </c>
      <c r="NDJ368" s="646">
        <v>2019</v>
      </c>
      <c r="NDK368" s="647">
        <v>2020</v>
      </c>
      <c r="NDL368" s="153"/>
      <c r="NDM368" s="153"/>
      <c r="NDN368" s="153"/>
      <c r="NDO368" s="648"/>
      <c r="NDP368" s="641"/>
      <c r="NDQ368" s="642" t="s">
        <v>1841</v>
      </c>
      <c r="NDR368" s="643"/>
      <c r="NDS368" s="644"/>
      <c r="NDT368" s="644">
        <v>2013</v>
      </c>
      <c r="NDU368" s="644">
        <v>2014</v>
      </c>
      <c r="NDV368" s="644">
        <v>2015</v>
      </c>
      <c r="NDW368" s="644">
        <v>2016</v>
      </c>
      <c r="NDX368" s="644">
        <v>2017</v>
      </c>
      <c r="NDY368" s="645">
        <v>2018</v>
      </c>
      <c r="NDZ368" s="646">
        <v>2019</v>
      </c>
      <c r="NEA368" s="647">
        <v>2020</v>
      </c>
      <c r="NEB368" s="153"/>
      <c r="NEC368" s="153"/>
      <c r="NED368" s="153"/>
      <c r="NEE368" s="648"/>
      <c r="NEF368" s="641"/>
      <c r="NEG368" s="642" t="s">
        <v>1841</v>
      </c>
      <c r="NEH368" s="643"/>
      <c r="NEI368" s="644"/>
      <c r="NEJ368" s="644">
        <v>2013</v>
      </c>
      <c r="NEK368" s="644">
        <v>2014</v>
      </c>
      <c r="NEL368" s="644">
        <v>2015</v>
      </c>
      <c r="NEM368" s="644">
        <v>2016</v>
      </c>
      <c r="NEN368" s="644">
        <v>2017</v>
      </c>
      <c r="NEO368" s="645">
        <v>2018</v>
      </c>
      <c r="NEP368" s="646">
        <v>2019</v>
      </c>
      <c r="NEQ368" s="647">
        <v>2020</v>
      </c>
      <c r="NER368" s="153"/>
      <c r="NES368" s="153"/>
      <c r="NET368" s="153"/>
      <c r="NEU368" s="648"/>
      <c r="NEV368" s="641"/>
      <c r="NEW368" s="642" t="s">
        <v>1841</v>
      </c>
      <c r="NEX368" s="643"/>
      <c r="NEY368" s="644"/>
      <c r="NEZ368" s="644">
        <v>2013</v>
      </c>
      <c r="NFA368" s="644">
        <v>2014</v>
      </c>
      <c r="NFB368" s="644">
        <v>2015</v>
      </c>
      <c r="NFC368" s="644">
        <v>2016</v>
      </c>
      <c r="NFD368" s="644">
        <v>2017</v>
      </c>
      <c r="NFE368" s="645">
        <v>2018</v>
      </c>
      <c r="NFF368" s="646">
        <v>2019</v>
      </c>
      <c r="NFG368" s="647">
        <v>2020</v>
      </c>
      <c r="NFH368" s="153"/>
      <c r="NFI368" s="153"/>
      <c r="NFJ368" s="153"/>
      <c r="NFK368" s="648"/>
      <c r="NFL368" s="641"/>
      <c r="NFM368" s="642" t="s">
        <v>1841</v>
      </c>
      <c r="NFN368" s="643"/>
      <c r="NFO368" s="644"/>
      <c r="NFP368" s="644">
        <v>2013</v>
      </c>
      <c r="NFQ368" s="644">
        <v>2014</v>
      </c>
      <c r="NFR368" s="644">
        <v>2015</v>
      </c>
      <c r="NFS368" s="644">
        <v>2016</v>
      </c>
      <c r="NFT368" s="644">
        <v>2017</v>
      </c>
      <c r="NFU368" s="645">
        <v>2018</v>
      </c>
      <c r="NFV368" s="646">
        <v>2019</v>
      </c>
      <c r="NFW368" s="647">
        <v>2020</v>
      </c>
      <c r="NFX368" s="153"/>
      <c r="NFY368" s="153"/>
      <c r="NFZ368" s="153"/>
      <c r="NGA368" s="648"/>
      <c r="NGB368" s="641"/>
      <c r="NGC368" s="642" t="s">
        <v>1841</v>
      </c>
      <c r="NGD368" s="643"/>
      <c r="NGE368" s="644"/>
      <c r="NGF368" s="644">
        <v>2013</v>
      </c>
      <c r="NGG368" s="644">
        <v>2014</v>
      </c>
      <c r="NGH368" s="644">
        <v>2015</v>
      </c>
      <c r="NGI368" s="644">
        <v>2016</v>
      </c>
      <c r="NGJ368" s="644">
        <v>2017</v>
      </c>
      <c r="NGK368" s="645">
        <v>2018</v>
      </c>
      <c r="NGL368" s="646">
        <v>2019</v>
      </c>
      <c r="NGM368" s="647">
        <v>2020</v>
      </c>
      <c r="NGN368" s="153"/>
      <c r="NGO368" s="153"/>
      <c r="NGP368" s="153"/>
      <c r="NGQ368" s="648"/>
      <c r="NGR368" s="641"/>
      <c r="NGS368" s="642" t="s">
        <v>1841</v>
      </c>
      <c r="NGT368" s="643"/>
      <c r="NGU368" s="644"/>
      <c r="NGV368" s="644">
        <v>2013</v>
      </c>
      <c r="NGW368" s="644">
        <v>2014</v>
      </c>
      <c r="NGX368" s="644">
        <v>2015</v>
      </c>
      <c r="NGY368" s="644">
        <v>2016</v>
      </c>
      <c r="NGZ368" s="644">
        <v>2017</v>
      </c>
      <c r="NHA368" s="645">
        <v>2018</v>
      </c>
      <c r="NHB368" s="646">
        <v>2019</v>
      </c>
      <c r="NHC368" s="647">
        <v>2020</v>
      </c>
      <c r="NHD368" s="153"/>
      <c r="NHE368" s="153"/>
      <c r="NHF368" s="153"/>
      <c r="NHG368" s="648"/>
      <c r="NHH368" s="641"/>
      <c r="NHI368" s="642" t="s">
        <v>1841</v>
      </c>
      <c r="NHJ368" s="643"/>
      <c r="NHK368" s="644"/>
      <c r="NHL368" s="644">
        <v>2013</v>
      </c>
      <c r="NHM368" s="644">
        <v>2014</v>
      </c>
      <c r="NHN368" s="644">
        <v>2015</v>
      </c>
      <c r="NHO368" s="644">
        <v>2016</v>
      </c>
      <c r="NHP368" s="644">
        <v>2017</v>
      </c>
      <c r="NHQ368" s="645">
        <v>2018</v>
      </c>
      <c r="NHR368" s="646">
        <v>2019</v>
      </c>
      <c r="NHS368" s="647">
        <v>2020</v>
      </c>
      <c r="NHT368" s="153"/>
      <c r="NHU368" s="153"/>
      <c r="NHV368" s="153"/>
      <c r="NHW368" s="648"/>
      <c r="NHX368" s="641"/>
      <c r="NHY368" s="642" t="s">
        <v>1841</v>
      </c>
      <c r="NHZ368" s="643"/>
      <c r="NIA368" s="644"/>
      <c r="NIB368" s="644">
        <v>2013</v>
      </c>
      <c r="NIC368" s="644">
        <v>2014</v>
      </c>
      <c r="NID368" s="644">
        <v>2015</v>
      </c>
      <c r="NIE368" s="644">
        <v>2016</v>
      </c>
      <c r="NIF368" s="644">
        <v>2017</v>
      </c>
      <c r="NIG368" s="645">
        <v>2018</v>
      </c>
      <c r="NIH368" s="646">
        <v>2019</v>
      </c>
      <c r="NII368" s="647">
        <v>2020</v>
      </c>
      <c r="NIJ368" s="153"/>
      <c r="NIK368" s="153"/>
      <c r="NIL368" s="153"/>
      <c r="NIM368" s="648"/>
      <c r="NIN368" s="641"/>
      <c r="NIO368" s="642" t="s">
        <v>1841</v>
      </c>
      <c r="NIP368" s="643"/>
      <c r="NIQ368" s="644"/>
      <c r="NIR368" s="644">
        <v>2013</v>
      </c>
      <c r="NIS368" s="644">
        <v>2014</v>
      </c>
      <c r="NIT368" s="644">
        <v>2015</v>
      </c>
      <c r="NIU368" s="644">
        <v>2016</v>
      </c>
      <c r="NIV368" s="644">
        <v>2017</v>
      </c>
      <c r="NIW368" s="645">
        <v>2018</v>
      </c>
      <c r="NIX368" s="646">
        <v>2019</v>
      </c>
      <c r="NIY368" s="647">
        <v>2020</v>
      </c>
      <c r="NIZ368" s="153"/>
      <c r="NJA368" s="153"/>
      <c r="NJB368" s="153"/>
      <c r="NJC368" s="648"/>
      <c r="NJD368" s="641"/>
      <c r="NJE368" s="642" t="s">
        <v>1841</v>
      </c>
      <c r="NJF368" s="643"/>
      <c r="NJG368" s="644"/>
      <c r="NJH368" s="644">
        <v>2013</v>
      </c>
      <c r="NJI368" s="644">
        <v>2014</v>
      </c>
      <c r="NJJ368" s="644">
        <v>2015</v>
      </c>
      <c r="NJK368" s="644">
        <v>2016</v>
      </c>
      <c r="NJL368" s="644">
        <v>2017</v>
      </c>
      <c r="NJM368" s="645">
        <v>2018</v>
      </c>
      <c r="NJN368" s="646">
        <v>2019</v>
      </c>
      <c r="NJO368" s="647">
        <v>2020</v>
      </c>
      <c r="NJP368" s="153"/>
      <c r="NJQ368" s="153"/>
      <c r="NJR368" s="153"/>
      <c r="NJS368" s="648"/>
      <c r="NJT368" s="641"/>
      <c r="NJU368" s="642" t="s">
        <v>1841</v>
      </c>
      <c r="NJV368" s="643"/>
      <c r="NJW368" s="644"/>
      <c r="NJX368" s="644">
        <v>2013</v>
      </c>
      <c r="NJY368" s="644">
        <v>2014</v>
      </c>
      <c r="NJZ368" s="644">
        <v>2015</v>
      </c>
      <c r="NKA368" s="644">
        <v>2016</v>
      </c>
      <c r="NKB368" s="644">
        <v>2017</v>
      </c>
      <c r="NKC368" s="645">
        <v>2018</v>
      </c>
      <c r="NKD368" s="646">
        <v>2019</v>
      </c>
      <c r="NKE368" s="647">
        <v>2020</v>
      </c>
      <c r="NKF368" s="153"/>
      <c r="NKG368" s="153"/>
      <c r="NKH368" s="153"/>
      <c r="NKI368" s="648"/>
      <c r="NKJ368" s="641"/>
      <c r="NKK368" s="642" t="s">
        <v>1841</v>
      </c>
      <c r="NKL368" s="643"/>
      <c r="NKM368" s="644"/>
      <c r="NKN368" s="644">
        <v>2013</v>
      </c>
      <c r="NKO368" s="644">
        <v>2014</v>
      </c>
      <c r="NKP368" s="644">
        <v>2015</v>
      </c>
      <c r="NKQ368" s="644">
        <v>2016</v>
      </c>
      <c r="NKR368" s="644">
        <v>2017</v>
      </c>
      <c r="NKS368" s="645">
        <v>2018</v>
      </c>
      <c r="NKT368" s="646">
        <v>2019</v>
      </c>
      <c r="NKU368" s="647">
        <v>2020</v>
      </c>
      <c r="NKV368" s="153"/>
      <c r="NKW368" s="153"/>
      <c r="NKX368" s="153"/>
      <c r="NKY368" s="648"/>
      <c r="NKZ368" s="641"/>
      <c r="NLA368" s="642" t="s">
        <v>1841</v>
      </c>
      <c r="NLB368" s="643"/>
      <c r="NLC368" s="644"/>
      <c r="NLD368" s="644">
        <v>2013</v>
      </c>
      <c r="NLE368" s="644">
        <v>2014</v>
      </c>
      <c r="NLF368" s="644">
        <v>2015</v>
      </c>
      <c r="NLG368" s="644">
        <v>2016</v>
      </c>
      <c r="NLH368" s="644">
        <v>2017</v>
      </c>
      <c r="NLI368" s="645">
        <v>2018</v>
      </c>
      <c r="NLJ368" s="646">
        <v>2019</v>
      </c>
      <c r="NLK368" s="647">
        <v>2020</v>
      </c>
      <c r="NLL368" s="153"/>
      <c r="NLM368" s="153"/>
      <c r="NLN368" s="153"/>
      <c r="NLO368" s="648"/>
      <c r="NLP368" s="641"/>
      <c r="NLQ368" s="642" t="s">
        <v>1841</v>
      </c>
      <c r="NLR368" s="643"/>
      <c r="NLS368" s="644"/>
      <c r="NLT368" s="644">
        <v>2013</v>
      </c>
      <c r="NLU368" s="644">
        <v>2014</v>
      </c>
      <c r="NLV368" s="644">
        <v>2015</v>
      </c>
      <c r="NLW368" s="644">
        <v>2016</v>
      </c>
      <c r="NLX368" s="644">
        <v>2017</v>
      </c>
      <c r="NLY368" s="645">
        <v>2018</v>
      </c>
      <c r="NLZ368" s="646">
        <v>2019</v>
      </c>
      <c r="NMA368" s="647">
        <v>2020</v>
      </c>
      <c r="NMB368" s="153"/>
      <c r="NMC368" s="153"/>
      <c r="NMD368" s="153"/>
      <c r="NME368" s="648"/>
      <c r="NMF368" s="641"/>
      <c r="NMG368" s="642" t="s">
        <v>1841</v>
      </c>
      <c r="NMH368" s="643"/>
      <c r="NMI368" s="644"/>
      <c r="NMJ368" s="644">
        <v>2013</v>
      </c>
      <c r="NMK368" s="644">
        <v>2014</v>
      </c>
      <c r="NML368" s="644">
        <v>2015</v>
      </c>
      <c r="NMM368" s="644">
        <v>2016</v>
      </c>
      <c r="NMN368" s="644">
        <v>2017</v>
      </c>
      <c r="NMO368" s="645">
        <v>2018</v>
      </c>
      <c r="NMP368" s="646">
        <v>2019</v>
      </c>
      <c r="NMQ368" s="647">
        <v>2020</v>
      </c>
      <c r="NMR368" s="153"/>
      <c r="NMS368" s="153"/>
      <c r="NMT368" s="153"/>
      <c r="NMU368" s="648"/>
      <c r="NMV368" s="641"/>
      <c r="NMW368" s="642" t="s">
        <v>1841</v>
      </c>
      <c r="NMX368" s="643"/>
      <c r="NMY368" s="644"/>
      <c r="NMZ368" s="644">
        <v>2013</v>
      </c>
      <c r="NNA368" s="644">
        <v>2014</v>
      </c>
      <c r="NNB368" s="644">
        <v>2015</v>
      </c>
      <c r="NNC368" s="644">
        <v>2016</v>
      </c>
      <c r="NND368" s="644">
        <v>2017</v>
      </c>
      <c r="NNE368" s="645">
        <v>2018</v>
      </c>
      <c r="NNF368" s="646">
        <v>2019</v>
      </c>
      <c r="NNG368" s="647">
        <v>2020</v>
      </c>
      <c r="NNH368" s="153"/>
      <c r="NNI368" s="153"/>
      <c r="NNJ368" s="153"/>
      <c r="NNK368" s="648"/>
      <c r="NNL368" s="641"/>
      <c r="NNM368" s="642" t="s">
        <v>1841</v>
      </c>
      <c r="NNN368" s="643"/>
      <c r="NNO368" s="644"/>
      <c r="NNP368" s="644">
        <v>2013</v>
      </c>
      <c r="NNQ368" s="644">
        <v>2014</v>
      </c>
      <c r="NNR368" s="644">
        <v>2015</v>
      </c>
      <c r="NNS368" s="644">
        <v>2016</v>
      </c>
      <c r="NNT368" s="644">
        <v>2017</v>
      </c>
      <c r="NNU368" s="645">
        <v>2018</v>
      </c>
      <c r="NNV368" s="646">
        <v>2019</v>
      </c>
      <c r="NNW368" s="647">
        <v>2020</v>
      </c>
      <c r="NNX368" s="153"/>
      <c r="NNY368" s="153"/>
      <c r="NNZ368" s="153"/>
      <c r="NOA368" s="648"/>
      <c r="NOB368" s="641"/>
      <c r="NOC368" s="642" t="s">
        <v>1841</v>
      </c>
      <c r="NOD368" s="643"/>
      <c r="NOE368" s="644"/>
      <c r="NOF368" s="644">
        <v>2013</v>
      </c>
      <c r="NOG368" s="644">
        <v>2014</v>
      </c>
      <c r="NOH368" s="644">
        <v>2015</v>
      </c>
      <c r="NOI368" s="644">
        <v>2016</v>
      </c>
      <c r="NOJ368" s="644">
        <v>2017</v>
      </c>
      <c r="NOK368" s="645">
        <v>2018</v>
      </c>
      <c r="NOL368" s="646">
        <v>2019</v>
      </c>
      <c r="NOM368" s="647">
        <v>2020</v>
      </c>
      <c r="NON368" s="153"/>
      <c r="NOO368" s="153"/>
      <c r="NOP368" s="153"/>
      <c r="NOQ368" s="648"/>
      <c r="NOR368" s="641"/>
      <c r="NOS368" s="642" t="s">
        <v>1841</v>
      </c>
      <c r="NOT368" s="643"/>
      <c r="NOU368" s="644"/>
      <c r="NOV368" s="644">
        <v>2013</v>
      </c>
      <c r="NOW368" s="644">
        <v>2014</v>
      </c>
      <c r="NOX368" s="644">
        <v>2015</v>
      </c>
      <c r="NOY368" s="644">
        <v>2016</v>
      </c>
      <c r="NOZ368" s="644">
        <v>2017</v>
      </c>
      <c r="NPA368" s="645">
        <v>2018</v>
      </c>
      <c r="NPB368" s="646">
        <v>2019</v>
      </c>
      <c r="NPC368" s="647">
        <v>2020</v>
      </c>
      <c r="NPD368" s="153"/>
      <c r="NPE368" s="153"/>
      <c r="NPF368" s="153"/>
      <c r="NPG368" s="648"/>
      <c r="NPH368" s="641"/>
      <c r="NPI368" s="642" t="s">
        <v>1841</v>
      </c>
      <c r="NPJ368" s="643"/>
      <c r="NPK368" s="644"/>
      <c r="NPL368" s="644">
        <v>2013</v>
      </c>
      <c r="NPM368" s="644">
        <v>2014</v>
      </c>
      <c r="NPN368" s="644">
        <v>2015</v>
      </c>
      <c r="NPO368" s="644">
        <v>2016</v>
      </c>
      <c r="NPP368" s="644">
        <v>2017</v>
      </c>
      <c r="NPQ368" s="645">
        <v>2018</v>
      </c>
      <c r="NPR368" s="646">
        <v>2019</v>
      </c>
      <c r="NPS368" s="647">
        <v>2020</v>
      </c>
      <c r="NPT368" s="153"/>
      <c r="NPU368" s="153"/>
      <c r="NPV368" s="153"/>
      <c r="NPW368" s="648"/>
      <c r="NPX368" s="641"/>
      <c r="NPY368" s="642" t="s">
        <v>1841</v>
      </c>
      <c r="NPZ368" s="643"/>
      <c r="NQA368" s="644"/>
      <c r="NQB368" s="644">
        <v>2013</v>
      </c>
      <c r="NQC368" s="644">
        <v>2014</v>
      </c>
      <c r="NQD368" s="644">
        <v>2015</v>
      </c>
      <c r="NQE368" s="644">
        <v>2016</v>
      </c>
      <c r="NQF368" s="644">
        <v>2017</v>
      </c>
      <c r="NQG368" s="645">
        <v>2018</v>
      </c>
      <c r="NQH368" s="646">
        <v>2019</v>
      </c>
      <c r="NQI368" s="647">
        <v>2020</v>
      </c>
      <c r="NQJ368" s="153"/>
      <c r="NQK368" s="153"/>
      <c r="NQL368" s="153"/>
      <c r="NQM368" s="648"/>
      <c r="NQN368" s="641"/>
      <c r="NQO368" s="642" t="s">
        <v>1841</v>
      </c>
      <c r="NQP368" s="643"/>
      <c r="NQQ368" s="644"/>
      <c r="NQR368" s="644">
        <v>2013</v>
      </c>
      <c r="NQS368" s="644">
        <v>2014</v>
      </c>
      <c r="NQT368" s="644">
        <v>2015</v>
      </c>
      <c r="NQU368" s="644">
        <v>2016</v>
      </c>
      <c r="NQV368" s="644">
        <v>2017</v>
      </c>
      <c r="NQW368" s="645">
        <v>2018</v>
      </c>
      <c r="NQX368" s="646">
        <v>2019</v>
      </c>
      <c r="NQY368" s="647">
        <v>2020</v>
      </c>
      <c r="NQZ368" s="153"/>
      <c r="NRA368" s="153"/>
      <c r="NRB368" s="153"/>
      <c r="NRC368" s="648"/>
      <c r="NRD368" s="641"/>
      <c r="NRE368" s="642" t="s">
        <v>1841</v>
      </c>
      <c r="NRF368" s="643"/>
      <c r="NRG368" s="644"/>
      <c r="NRH368" s="644">
        <v>2013</v>
      </c>
      <c r="NRI368" s="644">
        <v>2014</v>
      </c>
      <c r="NRJ368" s="644">
        <v>2015</v>
      </c>
      <c r="NRK368" s="644">
        <v>2016</v>
      </c>
      <c r="NRL368" s="644">
        <v>2017</v>
      </c>
      <c r="NRM368" s="645">
        <v>2018</v>
      </c>
      <c r="NRN368" s="646">
        <v>2019</v>
      </c>
      <c r="NRO368" s="647">
        <v>2020</v>
      </c>
      <c r="NRP368" s="153"/>
      <c r="NRQ368" s="153"/>
      <c r="NRR368" s="153"/>
      <c r="NRS368" s="648"/>
      <c r="NRT368" s="641"/>
      <c r="NRU368" s="642" t="s">
        <v>1841</v>
      </c>
      <c r="NRV368" s="643"/>
      <c r="NRW368" s="644"/>
      <c r="NRX368" s="644">
        <v>2013</v>
      </c>
      <c r="NRY368" s="644">
        <v>2014</v>
      </c>
      <c r="NRZ368" s="644">
        <v>2015</v>
      </c>
      <c r="NSA368" s="644">
        <v>2016</v>
      </c>
      <c r="NSB368" s="644">
        <v>2017</v>
      </c>
      <c r="NSC368" s="645">
        <v>2018</v>
      </c>
      <c r="NSD368" s="646">
        <v>2019</v>
      </c>
      <c r="NSE368" s="647">
        <v>2020</v>
      </c>
      <c r="NSF368" s="153"/>
      <c r="NSG368" s="153"/>
      <c r="NSH368" s="153"/>
      <c r="NSI368" s="648"/>
      <c r="NSJ368" s="641"/>
      <c r="NSK368" s="642" t="s">
        <v>1841</v>
      </c>
      <c r="NSL368" s="643"/>
      <c r="NSM368" s="644"/>
      <c r="NSN368" s="644">
        <v>2013</v>
      </c>
      <c r="NSO368" s="644">
        <v>2014</v>
      </c>
      <c r="NSP368" s="644">
        <v>2015</v>
      </c>
      <c r="NSQ368" s="644">
        <v>2016</v>
      </c>
      <c r="NSR368" s="644">
        <v>2017</v>
      </c>
      <c r="NSS368" s="645">
        <v>2018</v>
      </c>
      <c r="NST368" s="646">
        <v>2019</v>
      </c>
      <c r="NSU368" s="647">
        <v>2020</v>
      </c>
      <c r="NSV368" s="153"/>
      <c r="NSW368" s="153"/>
      <c r="NSX368" s="153"/>
      <c r="NSY368" s="648"/>
      <c r="NSZ368" s="641"/>
      <c r="NTA368" s="642" t="s">
        <v>1841</v>
      </c>
      <c r="NTB368" s="643"/>
      <c r="NTC368" s="644"/>
      <c r="NTD368" s="644">
        <v>2013</v>
      </c>
      <c r="NTE368" s="644">
        <v>2014</v>
      </c>
      <c r="NTF368" s="644">
        <v>2015</v>
      </c>
      <c r="NTG368" s="644">
        <v>2016</v>
      </c>
      <c r="NTH368" s="644">
        <v>2017</v>
      </c>
      <c r="NTI368" s="645">
        <v>2018</v>
      </c>
      <c r="NTJ368" s="646">
        <v>2019</v>
      </c>
      <c r="NTK368" s="647">
        <v>2020</v>
      </c>
      <c r="NTL368" s="153"/>
      <c r="NTM368" s="153"/>
      <c r="NTN368" s="153"/>
      <c r="NTO368" s="648"/>
      <c r="NTP368" s="641"/>
      <c r="NTQ368" s="642" t="s">
        <v>1841</v>
      </c>
      <c r="NTR368" s="643"/>
      <c r="NTS368" s="644"/>
      <c r="NTT368" s="644">
        <v>2013</v>
      </c>
      <c r="NTU368" s="644">
        <v>2014</v>
      </c>
      <c r="NTV368" s="644">
        <v>2015</v>
      </c>
      <c r="NTW368" s="644">
        <v>2016</v>
      </c>
      <c r="NTX368" s="644">
        <v>2017</v>
      </c>
      <c r="NTY368" s="645">
        <v>2018</v>
      </c>
      <c r="NTZ368" s="646">
        <v>2019</v>
      </c>
      <c r="NUA368" s="647">
        <v>2020</v>
      </c>
      <c r="NUB368" s="153"/>
      <c r="NUC368" s="153"/>
      <c r="NUD368" s="153"/>
      <c r="NUE368" s="648"/>
      <c r="NUF368" s="641"/>
      <c r="NUG368" s="642" t="s">
        <v>1841</v>
      </c>
      <c r="NUH368" s="643"/>
      <c r="NUI368" s="644"/>
      <c r="NUJ368" s="644">
        <v>2013</v>
      </c>
      <c r="NUK368" s="644">
        <v>2014</v>
      </c>
      <c r="NUL368" s="644">
        <v>2015</v>
      </c>
      <c r="NUM368" s="644">
        <v>2016</v>
      </c>
      <c r="NUN368" s="644">
        <v>2017</v>
      </c>
      <c r="NUO368" s="645">
        <v>2018</v>
      </c>
      <c r="NUP368" s="646">
        <v>2019</v>
      </c>
      <c r="NUQ368" s="647">
        <v>2020</v>
      </c>
      <c r="NUR368" s="153"/>
      <c r="NUS368" s="153"/>
      <c r="NUT368" s="153"/>
      <c r="NUU368" s="648"/>
      <c r="NUV368" s="641"/>
      <c r="NUW368" s="642" t="s">
        <v>1841</v>
      </c>
      <c r="NUX368" s="643"/>
      <c r="NUY368" s="644"/>
      <c r="NUZ368" s="644">
        <v>2013</v>
      </c>
      <c r="NVA368" s="644">
        <v>2014</v>
      </c>
      <c r="NVB368" s="644">
        <v>2015</v>
      </c>
      <c r="NVC368" s="644">
        <v>2016</v>
      </c>
      <c r="NVD368" s="644">
        <v>2017</v>
      </c>
      <c r="NVE368" s="645">
        <v>2018</v>
      </c>
      <c r="NVF368" s="646">
        <v>2019</v>
      </c>
      <c r="NVG368" s="647">
        <v>2020</v>
      </c>
      <c r="NVH368" s="153"/>
      <c r="NVI368" s="153"/>
      <c r="NVJ368" s="153"/>
      <c r="NVK368" s="648"/>
      <c r="NVL368" s="641"/>
      <c r="NVM368" s="642" t="s">
        <v>1841</v>
      </c>
      <c r="NVN368" s="643"/>
      <c r="NVO368" s="644"/>
      <c r="NVP368" s="644">
        <v>2013</v>
      </c>
      <c r="NVQ368" s="644">
        <v>2014</v>
      </c>
      <c r="NVR368" s="644">
        <v>2015</v>
      </c>
      <c r="NVS368" s="644">
        <v>2016</v>
      </c>
      <c r="NVT368" s="644">
        <v>2017</v>
      </c>
      <c r="NVU368" s="645">
        <v>2018</v>
      </c>
      <c r="NVV368" s="646">
        <v>2019</v>
      </c>
      <c r="NVW368" s="647">
        <v>2020</v>
      </c>
      <c r="NVX368" s="153"/>
      <c r="NVY368" s="153"/>
      <c r="NVZ368" s="153"/>
      <c r="NWA368" s="648"/>
      <c r="NWB368" s="641"/>
      <c r="NWC368" s="642" t="s">
        <v>1841</v>
      </c>
      <c r="NWD368" s="643"/>
      <c r="NWE368" s="644"/>
      <c r="NWF368" s="644">
        <v>2013</v>
      </c>
      <c r="NWG368" s="644">
        <v>2014</v>
      </c>
      <c r="NWH368" s="644">
        <v>2015</v>
      </c>
      <c r="NWI368" s="644">
        <v>2016</v>
      </c>
      <c r="NWJ368" s="644">
        <v>2017</v>
      </c>
      <c r="NWK368" s="645">
        <v>2018</v>
      </c>
      <c r="NWL368" s="646">
        <v>2019</v>
      </c>
      <c r="NWM368" s="647">
        <v>2020</v>
      </c>
      <c r="NWN368" s="153"/>
      <c r="NWO368" s="153"/>
      <c r="NWP368" s="153"/>
      <c r="NWQ368" s="648"/>
      <c r="NWR368" s="641"/>
      <c r="NWS368" s="642" t="s">
        <v>1841</v>
      </c>
      <c r="NWT368" s="643"/>
      <c r="NWU368" s="644"/>
      <c r="NWV368" s="644">
        <v>2013</v>
      </c>
      <c r="NWW368" s="644">
        <v>2014</v>
      </c>
      <c r="NWX368" s="644">
        <v>2015</v>
      </c>
      <c r="NWY368" s="644">
        <v>2016</v>
      </c>
      <c r="NWZ368" s="644">
        <v>2017</v>
      </c>
      <c r="NXA368" s="645">
        <v>2018</v>
      </c>
      <c r="NXB368" s="646">
        <v>2019</v>
      </c>
      <c r="NXC368" s="647">
        <v>2020</v>
      </c>
      <c r="NXD368" s="153"/>
      <c r="NXE368" s="153"/>
      <c r="NXF368" s="153"/>
      <c r="NXG368" s="648"/>
      <c r="NXH368" s="641"/>
      <c r="NXI368" s="642" t="s">
        <v>1841</v>
      </c>
      <c r="NXJ368" s="643"/>
      <c r="NXK368" s="644"/>
      <c r="NXL368" s="644">
        <v>2013</v>
      </c>
      <c r="NXM368" s="644">
        <v>2014</v>
      </c>
      <c r="NXN368" s="644">
        <v>2015</v>
      </c>
      <c r="NXO368" s="644">
        <v>2016</v>
      </c>
      <c r="NXP368" s="644">
        <v>2017</v>
      </c>
      <c r="NXQ368" s="645">
        <v>2018</v>
      </c>
      <c r="NXR368" s="646">
        <v>2019</v>
      </c>
      <c r="NXS368" s="647">
        <v>2020</v>
      </c>
      <c r="NXT368" s="153"/>
      <c r="NXU368" s="153"/>
      <c r="NXV368" s="153"/>
      <c r="NXW368" s="648"/>
      <c r="NXX368" s="641"/>
      <c r="NXY368" s="642" t="s">
        <v>1841</v>
      </c>
      <c r="NXZ368" s="643"/>
      <c r="NYA368" s="644"/>
      <c r="NYB368" s="644">
        <v>2013</v>
      </c>
      <c r="NYC368" s="644">
        <v>2014</v>
      </c>
      <c r="NYD368" s="644">
        <v>2015</v>
      </c>
      <c r="NYE368" s="644">
        <v>2016</v>
      </c>
      <c r="NYF368" s="644">
        <v>2017</v>
      </c>
      <c r="NYG368" s="645">
        <v>2018</v>
      </c>
      <c r="NYH368" s="646">
        <v>2019</v>
      </c>
      <c r="NYI368" s="647">
        <v>2020</v>
      </c>
      <c r="NYJ368" s="153"/>
      <c r="NYK368" s="153"/>
      <c r="NYL368" s="153"/>
      <c r="NYM368" s="648"/>
      <c r="NYN368" s="641"/>
      <c r="NYO368" s="642" t="s">
        <v>1841</v>
      </c>
      <c r="NYP368" s="643"/>
      <c r="NYQ368" s="644"/>
      <c r="NYR368" s="644">
        <v>2013</v>
      </c>
      <c r="NYS368" s="644">
        <v>2014</v>
      </c>
      <c r="NYT368" s="644">
        <v>2015</v>
      </c>
      <c r="NYU368" s="644">
        <v>2016</v>
      </c>
      <c r="NYV368" s="644">
        <v>2017</v>
      </c>
      <c r="NYW368" s="645">
        <v>2018</v>
      </c>
      <c r="NYX368" s="646">
        <v>2019</v>
      </c>
      <c r="NYY368" s="647">
        <v>2020</v>
      </c>
      <c r="NYZ368" s="153"/>
      <c r="NZA368" s="153"/>
      <c r="NZB368" s="153"/>
      <c r="NZC368" s="648"/>
      <c r="NZD368" s="641"/>
      <c r="NZE368" s="642" t="s">
        <v>1841</v>
      </c>
      <c r="NZF368" s="643"/>
      <c r="NZG368" s="644"/>
      <c r="NZH368" s="644">
        <v>2013</v>
      </c>
      <c r="NZI368" s="644">
        <v>2014</v>
      </c>
      <c r="NZJ368" s="644">
        <v>2015</v>
      </c>
      <c r="NZK368" s="644">
        <v>2016</v>
      </c>
      <c r="NZL368" s="644">
        <v>2017</v>
      </c>
      <c r="NZM368" s="645">
        <v>2018</v>
      </c>
      <c r="NZN368" s="646">
        <v>2019</v>
      </c>
      <c r="NZO368" s="647">
        <v>2020</v>
      </c>
      <c r="NZP368" s="153"/>
      <c r="NZQ368" s="153"/>
      <c r="NZR368" s="153"/>
      <c r="NZS368" s="648"/>
      <c r="NZT368" s="641"/>
      <c r="NZU368" s="642" t="s">
        <v>1841</v>
      </c>
      <c r="NZV368" s="643"/>
      <c r="NZW368" s="644"/>
      <c r="NZX368" s="644">
        <v>2013</v>
      </c>
      <c r="NZY368" s="644">
        <v>2014</v>
      </c>
      <c r="NZZ368" s="644">
        <v>2015</v>
      </c>
      <c r="OAA368" s="644">
        <v>2016</v>
      </c>
      <c r="OAB368" s="644">
        <v>2017</v>
      </c>
      <c r="OAC368" s="645">
        <v>2018</v>
      </c>
      <c r="OAD368" s="646">
        <v>2019</v>
      </c>
      <c r="OAE368" s="647">
        <v>2020</v>
      </c>
      <c r="OAF368" s="153"/>
      <c r="OAG368" s="153"/>
      <c r="OAH368" s="153"/>
      <c r="OAI368" s="648"/>
      <c r="OAJ368" s="641"/>
      <c r="OAK368" s="642" t="s">
        <v>1841</v>
      </c>
      <c r="OAL368" s="643"/>
      <c r="OAM368" s="644"/>
      <c r="OAN368" s="644">
        <v>2013</v>
      </c>
      <c r="OAO368" s="644">
        <v>2014</v>
      </c>
      <c r="OAP368" s="644">
        <v>2015</v>
      </c>
      <c r="OAQ368" s="644">
        <v>2016</v>
      </c>
      <c r="OAR368" s="644">
        <v>2017</v>
      </c>
      <c r="OAS368" s="645">
        <v>2018</v>
      </c>
      <c r="OAT368" s="646">
        <v>2019</v>
      </c>
      <c r="OAU368" s="647">
        <v>2020</v>
      </c>
      <c r="OAV368" s="153"/>
      <c r="OAW368" s="153"/>
      <c r="OAX368" s="153"/>
      <c r="OAY368" s="648"/>
      <c r="OAZ368" s="641"/>
      <c r="OBA368" s="642" t="s">
        <v>1841</v>
      </c>
      <c r="OBB368" s="643"/>
      <c r="OBC368" s="644"/>
      <c r="OBD368" s="644">
        <v>2013</v>
      </c>
      <c r="OBE368" s="644">
        <v>2014</v>
      </c>
      <c r="OBF368" s="644">
        <v>2015</v>
      </c>
      <c r="OBG368" s="644">
        <v>2016</v>
      </c>
      <c r="OBH368" s="644">
        <v>2017</v>
      </c>
      <c r="OBI368" s="645">
        <v>2018</v>
      </c>
      <c r="OBJ368" s="646">
        <v>2019</v>
      </c>
      <c r="OBK368" s="647">
        <v>2020</v>
      </c>
      <c r="OBL368" s="153"/>
      <c r="OBM368" s="153"/>
      <c r="OBN368" s="153"/>
      <c r="OBO368" s="648"/>
      <c r="OBP368" s="641"/>
      <c r="OBQ368" s="642" t="s">
        <v>1841</v>
      </c>
      <c r="OBR368" s="643"/>
      <c r="OBS368" s="644"/>
      <c r="OBT368" s="644">
        <v>2013</v>
      </c>
      <c r="OBU368" s="644">
        <v>2014</v>
      </c>
      <c r="OBV368" s="644">
        <v>2015</v>
      </c>
      <c r="OBW368" s="644">
        <v>2016</v>
      </c>
      <c r="OBX368" s="644">
        <v>2017</v>
      </c>
      <c r="OBY368" s="645">
        <v>2018</v>
      </c>
      <c r="OBZ368" s="646">
        <v>2019</v>
      </c>
      <c r="OCA368" s="647">
        <v>2020</v>
      </c>
      <c r="OCB368" s="153"/>
      <c r="OCC368" s="153"/>
      <c r="OCD368" s="153"/>
      <c r="OCE368" s="648"/>
      <c r="OCF368" s="641"/>
      <c r="OCG368" s="642" t="s">
        <v>1841</v>
      </c>
      <c r="OCH368" s="643"/>
      <c r="OCI368" s="644"/>
      <c r="OCJ368" s="644">
        <v>2013</v>
      </c>
      <c r="OCK368" s="644">
        <v>2014</v>
      </c>
      <c r="OCL368" s="644">
        <v>2015</v>
      </c>
      <c r="OCM368" s="644">
        <v>2016</v>
      </c>
      <c r="OCN368" s="644">
        <v>2017</v>
      </c>
      <c r="OCO368" s="645">
        <v>2018</v>
      </c>
      <c r="OCP368" s="646">
        <v>2019</v>
      </c>
      <c r="OCQ368" s="647">
        <v>2020</v>
      </c>
      <c r="OCR368" s="153"/>
      <c r="OCS368" s="153"/>
      <c r="OCT368" s="153"/>
      <c r="OCU368" s="648"/>
      <c r="OCV368" s="641"/>
      <c r="OCW368" s="642" t="s">
        <v>1841</v>
      </c>
      <c r="OCX368" s="643"/>
      <c r="OCY368" s="644"/>
      <c r="OCZ368" s="644">
        <v>2013</v>
      </c>
      <c r="ODA368" s="644">
        <v>2014</v>
      </c>
      <c r="ODB368" s="644">
        <v>2015</v>
      </c>
      <c r="ODC368" s="644">
        <v>2016</v>
      </c>
      <c r="ODD368" s="644">
        <v>2017</v>
      </c>
      <c r="ODE368" s="645">
        <v>2018</v>
      </c>
      <c r="ODF368" s="646">
        <v>2019</v>
      </c>
      <c r="ODG368" s="647">
        <v>2020</v>
      </c>
      <c r="ODH368" s="153"/>
      <c r="ODI368" s="153"/>
      <c r="ODJ368" s="153"/>
      <c r="ODK368" s="648"/>
      <c r="ODL368" s="641"/>
      <c r="ODM368" s="642" t="s">
        <v>1841</v>
      </c>
      <c r="ODN368" s="643"/>
      <c r="ODO368" s="644"/>
      <c r="ODP368" s="644">
        <v>2013</v>
      </c>
      <c r="ODQ368" s="644">
        <v>2014</v>
      </c>
      <c r="ODR368" s="644">
        <v>2015</v>
      </c>
      <c r="ODS368" s="644">
        <v>2016</v>
      </c>
      <c r="ODT368" s="644">
        <v>2017</v>
      </c>
      <c r="ODU368" s="645">
        <v>2018</v>
      </c>
      <c r="ODV368" s="646">
        <v>2019</v>
      </c>
      <c r="ODW368" s="647">
        <v>2020</v>
      </c>
      <c r="ODX368" s="153"/>
      <c r="ODY368" s="153"/>
      <c r="ODZ368" s="153"/>
      <c r="OEA368" s="648"/>
      <c r="OEB368" s="641"/>
      <c r="OEC368" s="642" t="s">
        <v>1841</v>
      </c>
      <c r="OED368" s="643"/>
      <c r="OEE368" s="644"/>
      <c r="OEF368" s="644">
        <v>2013</v>
      </c>
      <c r="OEG368" s="644">
        <v>2014</v>
      </c>
      <c r="OEH368" s="644">
        <v>2015</v>
      </c>
      <c r="OEI368" s="644">
        <v>2016</v>
      </c>
      <c r="OEJ368" s="644">
        <v>2017</v>
      </c>
      <c r="OEK368" s="645">
        <v>2018</v>
      </c>
      <c r="OEL368" s="646">
        <v>2019</v>
      </c>
      <c r="OEM368" s="647">
        <v>2020</v>
      </c>
      <c r="OEN368" s="153"/>
      <c r="OEO368" s="153"/>
      <c r="OEP368" s="153"/>
      <c r="OEQ368" s="648"/>
      <c r="OER368" s="641"/>
      <c r="OES368" s="642" t="s">
        <v>1841</v>
      </c>
      <c r="OET368" s="643"/>
      <c r="OEU368" s="644"/>
      <c r="OEV368" s="644">
        <v>2013</v>
      </c>
      <c r="OEW368" s="644">
        <v>2014</v>
      </c>
      <c r="OEX368" s="644">
        <v>2015</v>
      </c>
      <c r="OEY368" s="644">
        <v>2016</v>
      </c>
      <c r="OEZ368" s="644">
        <v>2017</v>
      </c>
      <c r="OFA368" s="645">
        <v>2018</v>
      </c>
      <c r="OFB368" s="646">
        <v>2019</v>
      </c>
      <c r="OFC368" s="647">
        <v>2020</v>
      </c>
      <c r="OFD368" s="153"/>
      <c r="OFE368" s="153"/>
      <c r="OFF368" s="153"/>
      <c r="OFG368" s="648"/>
      <c r="OFH368" s="641"/>
      <c r="OFI368" s="642" t="s">
        <v>1841</v>
      </c>
      <c r="OFJ368" s="643"/>
      <c r="OFK368" s="644"/>
      <c r="OFL368" s="644">
        <v>2013</v>
      </c>
      <c r="OFM368" s="644">
        <v>2014</v>
      </c>
      <c r="OFN368" s="644">
        <v>2015</v>
      </c>
      <c r="OFO368" s="644">
        <v>2016</v>
      </c>
      <c r="OFP368" s="644">
        <v>2017</v>
      </c>
      <c r="OFQ368" s="645">
        <v>2018</v>
      </c>
      <c r="OFR368" s="646">
        <v>2019</v>
      </c>
      <c r="OFS368" s="647">
        <v>2020</v>
      </c>
      <c r="OFT368" s="153"/>
      <c r="OFU368" s="153"/>
      <c r="OFV368" s="153"/>
      <c r="OFW368" s="648"/>
      <c r="OFX368" s="641"/>
      <c r="OFY368" s="642" t="s">
        <v>1841</v>
      </c>
      <c r="OFZ368" s="643"/>
      <c r="OGA368" s="644"/>
      <c r="OGB368" s="644">
        <v>2013</v>
      </c>
      <c r="OGC368" s="644">
        <v>2014</v>
      </c>
      <c r="OGD368" s="644">
        <v>2015</v>
      </c>
      <c r="OGE368" s="644">
        <v>2016</v>
      </c>
      <c r="OGF368" s="644">
        <v>2017</v>
      </c>
      <c r="OGG368" s="645">
        <v>2018</v>
      </c>
      <c r="OGH368" s="646">
        <v>2019</v>
      </c>
      <c r="OGI368" s="647">
        <v>2020</v>
      </c>
      <c r="OGJ368" s="153"/>
      <c r="OGK368" s="153"/>
      <c r="OGL368" s="153"/>
      <c r="OGM368" s="648"/>
      <c r="OGN368" s="641"/>
      <c r="OGO368" s="642" t="s">
        <v>1841</v>
      </c>
      <c r="OGP368" s="643"/>
      <c r="OGQ368" s="644"/>
      <c r="OGR368" s="644">
        <v>2013</v>
      </c>
      <c r="OGS368" s="644">
        <v>2014</v>
      </c>
      <c r="OGT368" s="644">
        <v>2015</v>
      </c>
      <c r="OGU368" s="644">
        <v>2016</v>
      </c>
      <c r="OGV368" s="644">
        <v>2017</v>
      </c>
      <c r="OGW368" s="645">
        <v>2018</v>
      </c>
      <c r="OGX368" s="646">
        <v>2019</v>
      </c>
      <c r="OGY368" s="647">
        <v>2020</v>
      </c>
      <c r="OGZ368" s="153"/>
      <c r="OHA368" s="153"/>
      <c r="OHB368" s="153"/>
      <c r="OHC368" s="648"/>
      <c r="OHD368" s="641"/>
      <c r="OHE368" s="642" t="s">
        <v>1841</v>
      </c>
      <c r="OHF368" s="643"/>
      <c r="OHG368" s="644"/>
      <c r="OHH368" s="644">
        <v>2013</v>
      </c>
      <c r="OHI368" s="644">
        <v>2014</v>
      </c>
      <c r="OHJ368" s="644">
        <v>2015</v>
      </c>
      <c r="OHK368" s="644">
        <v>2016</v>
      </c>
      <c r="OHL368" s="644">
        <v>2017</v>
      </c>
      <c r="OHM368" s="645">
        <v>2018</v>
      </c>
      <c r="OHN368" s="646">
        <v>2019</v>
      </c>
      <c r="OHO368" s="647">
        <v>2020</v>
      </c>
      <c r="OHP368" s="153"/>
      <c r="OHQ368" s="153"/>
      <c r="OHR368" s="153"/>
      <c r="OHS368" s="648"/>
      <c r="OHT368" s="641"/>
      <c r="OHU368" s="642" t="s">
        <v>1841</v>
      </c>
      <c r="OHV368" s="643"/>
      <c r="OHW368" s="644"/>
      <c r="OHX368" s="644">
        <v>2013</v>
      </c>
      <c r="OHY368" s="644">
        <v>2014</v>
      </c>
      <c r="OHZ368" s="644">
        <v>2015</v>
      </c>
      <c r="OIA368" s="644">
        <v>2016</v>
      </c>
      <c r="OIB368" s="644">
        <v>2017</v>
      </c>
      <c r="OIC368" s="645">
        <v>2018</v>
      </c>
      <c r="OID368" s="646">
        <v>2019</v>
      </c>
      <c r="OIE368" s="647">
        <v>2020</v>
      </c>
      <c r="OIF368" s="153"/>
      <c r="OIG368" s="153"/>
      <c r="OIH368" s="153"/>
      <c r="OII368" s="648"/>
      <c r="OIJ368" s="641"/>
      <c r="OIK368" s="642" t="s">
        <v>1841</v>
      </c>
      <c r="OIL368" s="643"/>
      <c r="OIM368" s="644"/>
      <c r="OIN368" s="644">
        <v>2013</v>
      </c>
      <c r="OIO368" s="644">
        <v>2014</v>
      </c>
      <c r="OIP368" s="644">
        <v>2015</v>
      </c>
      <c r="OIQ368" s="644">
        <v>2016</v>
      </c>
      <c r="OIR368" s="644">
        <v>2017</v>
      </c>
      <c r="OIS368" s="645">
        <v>2018</v>
      </c>
      <c r="OIT368" s="646">
        <v>2019</v>
      </c>
      <c r="OIU368" s="647">
        <v>2020</v>
      </c>
      <c r="OIV368" s="153"/>
      <c r="OIW368" s="153"/>
      <c r="OIX368" s="153"/>
      <c r="OIY368" s="648"/>
      <c r="OIZ368" s="641"/>
      <c r="OJA368" s="642" t="s">
        <v>1841</v>
      </c>
      <c r="OJB368" s="643"/>
      <c r="OJC368" s="644"/>
      <c r="OJD368" s="644">
        <v>2013</v>
      </c>
      <c r="OJE368" s="644">
        <v>2014</v>
      </c>
      <c r="OJF368" s="644">
        <v>2015</v>
      </c>
      <c r="OJG368" s="644">
        <v>2016</v>
      </c>
      <c r="OJH368" s="644">
        <v>2017</v>
      </c>
      <c r="OJI368" s="645">
        <v>2018</v>
      </c>
      <c r="OJJ368" s="646">
        <v>2019</v>
      </c>
      <c r="OJK368" s="647">
        <v>2020</v>
      </c>
      <c r="OJL368" s="153"/>
      <c r="OJM368" s="153"/>
      <c r="OJN368" s="153"/>
      <c r="OJO368" s="648"/>
      <c r="OJP368" s="641"/>
      <c r="OJQ368" s="642" t="s">
        <v>1841</v>
      </c>
      <c r="OJR368" s="643"/>
      <c r="OJS368" s="644"/>
      <c r="OJT368" s="644">
        <v>2013</v>
      </c>
      <c r="OJU368" s="644">
        <v>2014</v>
      </c>
      <c r="OJV368" s="644">
        <v>2015</v>
      </c>
      <c r="OJW368" s="644">
        <v>2016</v>
      </c>
      <c r="OJX368" s="644">
        <v>2017</v>
      </c>
      <c r="OJY368" s="645">
        <v>2018</v>
      </c>
      <c r="OJZ368" s="646">
        <v>2019</v>
      </c>
      <c r="OKA368" s="647">
        <v>2020</v>
      </c>
      <c r="OKB368" s="153"/>
      <c r="OKC368" s="153"/>
      <c r="OKD368" s="153"/>
      <c r="OKE368" s="648"/>
      <c r="OKF368" s="641"/>
      <c r="OKG368" s="642" t="s">
        <v>1841</v>
      </c>
      <c r="OKH368" s="643"/>
      <c r="OKI368" s="644"/>
      <c r="OKJ368" s="644">
        <v>2013</v>
      </c>
      <c r="OKK368" s="644">
        <v>2014</v>
      </c>
      <c r="OKL368" s="644">
        <v>2015</v>
      </c>
      <c r="OKM368" s="644">
        <v>2016</v>
      </c>
      <c r="OKN368" s="644">
        <v>2017</v>
      </c>
      <c r="OKO368" s="645">
        <v>2018</v>
      </c>
      <c r="OKP368" s="646">
        <v>2019</v>
      </c>
      <c r="OKQ368" s="647">
        <v>2020</v>
      </c>
      <c r="OKR368" s="153"/>
      <c r="OKS368" s="153"/>
      <c r="OKT368" s="153"/>
      <c r="OKU368" s="648"/>
      <c r="OKV368" s="641"/>
      <c r="OKW368" s="642" t="s">
        <v>1841</v>
      </c>
      <c r="OKX368" s="643"/>
      <c r="OKY368" s="644"/>
      <c r="OKZ368" s="644">
        <v>2013</v>
      </c>
      <c r="OLA368" s="644">
        <v>2014</v>
      </c>
      <c r="OLB368" s="644">
        <v>2015</v>
      </c>
      <c r="OLC368" s="644">
        <v>2016</v>
      </c>
      <c r="OLD368" s="644">
        <v>2017</v>
      </c>
      <c r="OLE368" s="645">
        <v>2018</v>
      </c>
      <c r="OLF368" s="646">
        <v>2019</v>
      </c>
      <c r="OLG368" s="647">
        <v>2020</v>
      </c>
      <c r="OLH368" s="153"/>
      <c r="OLI368" s="153"/>
      <c r="OLJ368" s="153"/>
      <c r="OLK368" s="648"/>
      <c r="OLL368" s="641"/>
      <c r="OLM368" s="642" t="s">
        <v>1841</v>
      </c>
      <c r="OLN368" s="643"/>
      <c r="OLO368" s="644"/>
      <c r="OLP368" s="644">
        <v>2013</v>
      </c>
      <c r="OLQ368" s="644">
        <v>2014</v>
      </c>
      <c r="OLR368" s="644">
        <v>2015</v>
      </c>
      <c r="OLS368" s="644">
        <v>2016</v>
      </c>
      <c r="OLT368" s="644">
        <v>2017</v>
      </c>
      <c r="OLU368" s="645">
        <v>2018</v>
      </c>
      <c r="OLV368" s="646">
        <v>2019</v>
      </c>
      <c r="OLW368" s="647">
        <v>2020</v>
      </c>
      <c r="OLX368" s="153"/>
      <c r="OLY368" s="153"/>
      <c r="OLZ368" s="153"/>
      <c r="OMA368" s="648"/>
      <c r="OMB368" s="641"/>
      <c r="OMC368" s="642" t="s">
        <v>1841</v>
      </c>
      <c r="OMD368" s="643"/>
      <c r="OME368" s="644"/>
      <c r="OMF368" s="644">
        <v>2013</v>
      </c>
      <c r="OMG368" s="644">
        <v>2014</v>
      </c>
      <c r="OMH368" s="644">
        <v>2015</v>
      </c>
      <c r="OMI368" s="644">
        <v>2016</v>
      </c>
      <c r="OMJ368" s="644">
        <v>2017</v>
      </c>
      <c r="OMK368" s="645">
        <v>2018</v>
      </c>
      <c r="OML368" s="646">
        <v>2019</v>
      </c>
      <c r="OMM368" s="647">
        <v>2020</v>
      </c>
      <c r="OMN368" s="153"/>
      <c r="OMO368" s="153"/>
      <c r="OMP368" s="153"/>
      <c r="OMQ368" s="648"/>
      <c r="OMR368" s="641"/>
      <c r="OMS368" s="642" t="s">
        <v>1841</v>
      </c>
      <c r="OMT368" s="643"/>
      <c r="OMU368" s="644"/>
      <c r="OMV368" s="644">
        <v>2013</v>
      </c>
      <c r="OMW368" s="644">
        <v>2014</v>
      </c>
      <c r="OMX368" s="644">
        <v>2015</v>
      </c>
      <c r="OMY368" s="644">
        <v>2016</v>
      </c>
      <c r="OMZ368" s="644">
        <v>2017</v>
      </c>
      <c r="ONA368" s="645">
        <v>2018</v>
      </c>
      <c r="ONB368" s="646">
        <v>2019</v>
      </c>
      <c r="ONC368" s="647">
        <v>2020</v>
      </c>
      <c r="OND368" s="153"/>
      <c r="ONE368" s="153"/>
      <c r="ONF368" s="153"/>
      <c r="ONG368" s="648"/>
      <c r="ONH368" s="641"/>
      <c r="ONI368" s="642" t="s">
        <v>1841</v>
      </c>
      <c r="ONJ368" s="643"/>
      <c r="ONK368" s="644"/>
      <c r="ONL368" s="644">
        <v>2013</v>
      </c>
      <c r="ONM368" s="644">
        <v>2014</v>
      </c>
      <c r="ONN368" s="644">
        <v>2015</v>
      </c>
      <c r="ONO368" s="644">
        <v>2016</v>
      </c>
      <c r="ONP368" s="644">
        <v>2017</v>
      </c>
      <c r="ONQ368" s="645">
        <v>2018</v>
      </c>
      <c r="ONR368" s="646">
        <v>2019</v>
      </c>
      <c r="ONS368" s="647">
        <v>2020</v>
      </c>
      <c r="ONT368" s="153"/>
      <c r="ONU368" s="153"/>
      <c r="ONV368" s="153"/>
      <c r="ONW368" s="648"/>
      <c r="ONX368" s="641"/>
      <c r="ONY368" s="642" t="s">
        <v>1841</v>
      </c>
      <c r="ONZ368" s="643"/>
      <c r="OOA368" s="644"/>
      <c r="OOB368" s="644">
        <v>2013</v>
      </c>
      <c r="OOC368" s="644">
        <v>2014</v>
      </c>
      <c r="OOD368" s="644">
        <v>2015</v>
      </c>
      <c r="OOE368" s="644">
        <v>2016</v>
      </c>
      <c r="OOF368" s="644">
        <v>2017</v>
      </c>
      <c r="OOG368" s="645">
        <v>2018</v>
      </c>
      <c r="OOH368" s="646">
        <v>2019</v>
      </c>
      <c r="OOI368" s="647">
        <v>2020</v>
      </c>
      <c r="OOJ368" s="153"/>
      <c r="OOK368" s="153"/>
      <c r="OOL368" s="153"/>
      <c r="OOM368" s="648"/>
      <c r="OON368" s="641"/>
      <c r="OOO368" s="642" t="s">
        <v>1841</v>
      </c>
      <c r="OOP368" s="643"/>
      <c r="OOQ368" s="644"/>
      <c r="OOR368" s="644">
        <v>2013</v>
      </c>
      <c r="OOS368" s="644">
        <v>2014</v>
      </c>
      <c r="OOT368" s="644">
        <v>2015</v>
      </c>
      <c r="OOU368" s="644">
        <v>2016</v>
      </c>
      <c r="OOV368" s="644">
        <v>2017</v>
      </c>
      <c r="OOW368" s="645">
        <v>2018</v>
      </c>
      <c r="OOX368" s="646">
        <v>2019</v>
      </c>
      <c r="OOY368" s="647">
        <v>2020</v>
      </c>
      <c r="OOZ368" s="153"/>
      <c r="OPA368" s="153"/>
      <c r="OPB368" s="153"/>
      <c r="OPC368" s="648"/>
      <c r="OPD368" s="641"/>
      <c r="OPE368" s="642" t="s">
        <v>1841</v>
      </c>
      <c r="OPF368" s="643"/>
      <c r="OPG368" s="644"/>
      <c r="OPH368" s="644">
        <v>2013</v>
      </c>
      <c r="OPI368" s="644">
        <v>2014</v>
      </c>
      <c r="OPJ368" s="644">
        <v>2015</v>
      </c>
      <c r="OPK368" s="644">
        <v>2016</v>
      </c>
      <c r="OPL368" s="644">
        <v>2017</v>
      </c>
      <c r="OPM368" s="645">
        <v>2018</v>
      </c>
      <c r="OPN368" s="646">
        <v>2019</v>
      </c>
      <c r="OPO368" s="647">
        <v>2020</v>
      </c>
      <c r="OPP368" s="153"/>
      <c r="OPQ368" s="153"/>
      <c r="OPR368" s="153"/>
      <c r="OPS368" s="648"/>
      <c r="OPT368" s="641"/>
      <c r="OPU368" s="642" t="s">
        <v>1841</v>
      </c>
      <c r="OPV368" s="643"/>
      <c r="OPW368" s="644"/>
      <c r="OPX368" s="644">
        <v>2013</v>
      </c>
      <c r="OPY368" s="644">
        <v>2014</v>
      </c>
      <c r="OPZ368" s="644">
        <v>2015</v>
      </c>
      <c r="OQA368" s="644">
        <v>2016</v>
      </c>
      <c r="OQB368" s="644">
        <v>2017</v>
      </c>
      <c r="OQC368" s="645">
        <v>2018</v>
      </c>
      <c r="OQD368" s="646">
        <v>2019</v>
      </c>
      <c r="OQE368" s="647">
        <v>2020</v>
      </c>
      <c r="OQF368" s="153"/>
      <c r="OQG368" s="153"/>
      <c r="OQH368" s="153"/>
      <c r="OQI368" s="648"/>
      <c r="OQJ368" s="641"/>
      <c r="OQK368" s="642" t="s">
        <v>1841</v>
      </c>
      <c r="OQL368" s="643"/>
      <c r="OQM368" s="644"/>
      <c r="OQN368" s="644">
        <v>2013</v>
      </c>
      <c r="OQO368" s="644">
        <v>2014</v>
      </c>
      <c r="OQP368" s="644">
        <v>2015</v>
      </c>
      <c r="OQQ368" s="644">
        <v>2016</v>
      </c>
      <c r="OQR368" s="644">
        <v>2017</v>
      </c>
      <c r="OQS368" s="645">
        <v>2018</v>
      </c>
      <c r="OQT368" s="646">
        <v>2019</v>
      </c>
      <c r="OQU368" s="647">
        <v>2020</v>
      </c>
      <c r="OQV368" s="153"/>
      <c r="OQW368" s="153"/>
      <c r="OQX368" s="153"/>
      <c r="OQY368" s="648"/>
      <c r="OQZ368" s="641"/>
      <c r="ORA368" s="642" t="s">
        <v>1841</v>
      </c>
      <c r="ORB368" s="643"/>
      <c r="ORC368" s="644"/>
      <c r="ORD368" s="644">
        <v>2013</v>
      </c>
      <c r="ORE368" s="644">
        <v>2014</v>
      </c>
      <c r="ORF368" s="644">
        <v>2015</v>
      </c>
      <c r="ORG368" s="644">
        <v>2016</v>
      </c>
      <c r="ORH368" s="644">
        <v>2017</v>
      </c>
      <c r="ORI368" s="645">
        <v>2018</v>
      </c>
      <c r="ORJ368" s="646">
        <v>2019</v>
      </c>
      <c r="ORK368" s="647">
        <v>2020</v>
      </c>
      <c r="ORL368" s="153"/>
      <c r="ORM368" s="153"/>
      <c r="ORN368" s="153"/>
      <c r="ORO368" s="648"/>
      <c r="ORP368" s="641"/>
      <c r="ORQ368" s="642" t="s">
        <v>1841</v>
      </c>
      <c r="ORR368" s="643"/>
      <c r="ORS368" s="644"/>
      <c r="ORT368" s="644">
        <v>2013</v>
      </c>
      <c r="ORU368" s="644">
        <v>2014</v>
      </c>
      <c r="ORV368" s="644">
        <v>2015</v>
      </c>
      <c r="ORW368" s="644">
        <v>2016</v>
      </c>
      <c r="ORX368" s="644">
        <v>2017</v>
      </c>
      <c r="ORY368" s="645">
        <v>2018</v>
      </c>
      <c r="ORZ368" s="646">
        <v>2019</v>
      </c>
      <c r="OSA368" s="647">
        <v>2020</v>
      </c>
      <c r="OSB368" s="153"/>
      <c r="OSC368" s="153"/>
      <c r="OSD368" s="153"/>
      <c r="OSE368" s="648"/>
      <c r="OSF368" s="641"/>
      <c r="OSG368" s="642" t="s">
        <v>1841</v>
      </c>
      <c r="OSH368" s="643"/>
      <c r="OSI368" s="644"/>
      <c r="OSJ368" s="644">
        <v>2013</v>
      </c>
      <c r="OSK368" s="644">
        <v>2014</v>
      </c>
      <c r="OSL368" s="644">
        <v>2015</v>
      </c>
      <c r="OSM368" s="644">
        <v>2016</v>
      </c>
      <c r="OSN368" s="644">
        <v>2017</v>
      </c>
      <c r="OSO368" s="645">
        <v>2018</v>
      </c>
      <c r="OSP368" s="646">
        <v>2019</v>
      </c>
      <c r="OSQ368" s="647">
        <v>2020</v>
      </c>
      <c r="OSR368" s="153"/>
      <c r="OSS368" s="153"/>
      <c r="OST368" s="153"/>
      <c r="OSU368" s="648"/>
      <c r="OSV368" s="641"/>
      <c r="OSW368" s="642" t="s">
        <v>1841</v>
      </c>
      <c r="OSX368" s="643"/>
      <c r="OSY368" s="644"/>
      <c r="OSZ368" s="644">
        <v>2013</v>
      </c>
      <c r="OTA368" s="644">
        <v>2014</v>
      </c>
      <c r="OTB368" s="644">
        <v>2015</v>
      </c>
      <c r="OTC368" s="644">
        <v>2016</v>
      </c>
      <c r="OTD368" s="644">
        <v>2017</v>
      </c>
      <c r="OTE368" s="645">
        <v>2018</v>
      </c>
      <c r="OTF368" s="646">
        <v>2019</v>
      </c>
      <c r="OTG368" s="647">
        <v>2020</v>
      </c>
      <c r="OTH368" s="153"/>
      <c r="OTI368" s="153"/>
      <c r="OTJ368" s="153"/>
      <c r="OTK368" s="648"/>
      <c r="OTL368" s="641"/>
      <c r="OTM368" s="642" t="s">
        <v>1841</v>
      </c>
      <c r="OTN368" s="643"/>
      <c r="OTO368" s="644"/>
      <c r="OTP368" s="644">
        <v>2013</v>
      </c>
      <c r="OTQ368" s="644">
        <v>2014</v>
      </c>
      <c r="OTR368" s="644">
        <v>2015</v>
      </c>
      <c r="OTS368" s="644">
        <v>2016</v>
      </c>
      <c r="OTT368" s="644">
        <v>2017</v>
      </c>
      <c r="OTU368" s="645">
        <v>2018</v>
      </c>
      <c r="OTV368" s="646">
        <v>2019</v>
      </c>
      <c r="OTW368" s="647">
        <v>2020</v>
      </c>
      <c r="OTX368" s="153"/>
      <c r="OTY368" s="153"/>
      <c r="OTZ368" s="153"/>
      <c r="OUA368" s="648"/>
      <c r="OUB368" s="641"/>
      <c r="OUC368" s="642" t="s">
        <v>1841</v>
      </c>
      <c r="OUD368" s="643"/>
      <c r="OUE368" s="644"/>
      <c r="OUF368" s="644">
        <v>2013</v>
      </c>
      <c r="OUG368" s="644">
        <v>2014</v>
      </c>
      <c r="OUH368" s="644">
        <v>2015</v>
      </c>
      <c r="OUI368" s="644">
        <v>2016</v>
      </c>
      <c r="OUJ368" s="644">
        <v>2017</v>
      </c>
      <c r="OUK368" s="645">
        <v>2018</v>
      </c>
      <c r="OUL368" s="646">
        <v>2019</v>
      </c>
      <c r="OUM368" s="647">
        <v>2020</v>
      </c>
      <c r="OUN368" s="153"/>
      <c r="OUO368" s="153"/>
      <c r="OUP368" s="153"/>
      <c r="OUQ368" s="648"/>
      <c r="OUR368" s="641"/>
      <c r="OUS368" s="642" t="s">
        <v>1841</v>
      </c>
      <c r="OUT368" s="643"/>
      <c r="OUU368" s="644"/>
      <c r="OUV368" s="644">
        <v>2013</v>
      </c>
      <c r="OUW368" s="644">
        <v>2014</v>
      </c>
      <c r="OUX368" s="644">
        <v>2015</v>
      </c>
      <c r="OUY368" s="644">
        <v>2016</v>
      </c>
      <c r="OUZ368" s="644">
        <v>2017</v>
      </c>
      <c r="OVA368" s="645">
        <v>2018</v>
      </c>
      <c r="OVB368" s="646">
        <v>2019</v>
      </c>
      <c r="OVC368" s="647">
        <v>2020</v>
      </c>
      <c r="OVD368" s="153"/>
      <c r="OVE368" s="153"/>
      <c r="OVF368" s="153"/>
      <c r="OVG368" s="648"/>
      <c r="OVH368" s="641"/>
      <c r="OVI368" s="642" t="s">
        <v>1841</v>
      </c>
      <c r="OVJ368" s="643"/>
      <c r="OVK368" s="644"/>
      <c r="OVL368" s="644">
        <v>2013</v>
      </c>
      <c r="OVM368" s="644">
        <v>2014</v>
      </c>
      <c r="OVN368" s="644">
        <v>2015</v>
      </c>
      <c r="OVO368" s="644">
        <v>2016</v>
      </c>
      <c r="OVP368" s="644">
        <v>2017</v>
      </c>
      <c r="OVQ368" s="645">
        <v>2018</v>
      </c>
      <c r="OVR368" s="646">
        <v>2019</v>
      </c>
      <c r="OVS368" s="647">
        <v>2020</v>
      </c>
      <c r="OVT368" s="153"/>
      <c r="OVU368" s="153"/>
      <c r="OVV368" s="153"/>
      <c r="OVW368" s="648"/>
      <c r="OVX368" s="641"/>
      <c r="OVY368" s="642" t="s">
        <v>1841</v>
      </c>
      <c r="OVZ368" s="643"/>
      <c r="OWA368" s="644"/>
      <c r="OWB368" s="644">
        <v>2013</v>
      </c>
      <c r="OWC368" s="644">
        <v>2014</v>
      </c>
      <c r="OWD368" s="644">
        <v>2015</v>
      </c>
      <c r="OWE368" s="644">
        <v>2016</v>
      </c>
      <c r="OWF368" s="644">
        <v>2017</v>
      </c>
      <c r="OWG368" s="645">
        <v>2018</v>
      </c>
      <c r="OWH368" s="646">
        <v>2019</v>
      </c>
      <c r="OWI368" s="647">
        <v>2020</v>
      </c>
      <c r="OWJ368" s="153"/>
      <c r="OWK368" s="153"/>
      <c r="OWL368" s="153"/>
      <c r="OWM368" s="648"/>
      <c r="OWN368" s="641"/>
      <c r="OWO368" s="642" t="s">
        <v>1841</v>
      </c>
      <c r="OWP368" s="643"/>
      <c r="OWQ368" s="644"/>
      <c r="OWR368" s="644">
        <v>2013</v>
      </c>
      <c r="OWS368" s="644">
        <v>2014</v>
      </c>
      <c r="OWT368" s="644">
        <v>2015</v>
      </c>
      <c r="OWU368" s="644">
        <v>2016</v>
      </c>
      <c r="OWV368" s="644">
        <v>2017</v>
      </c>
      <c r="OWW368" s="645">
        <v>2018</v>
      </c>
      <c r="OWX368" s="646">
        <v>2019</v>
      </c>
      <c r="OWY368" s="647">
        <v>2020</v>
      </c>
      <c r="OWZ368" s="153"/>
      <c r="OXA368" s="153"/>
      <c r="OXB368" s="153"/>
      <c r="OXC368" s="648"/>
      <c r="OXD368" s="641"/>
      <c r="OXE368" s="642" t="s">
        <v>1841</v>
      </c>
      <c r="OXF368" s="643"/>
      <c r="OXG368" s="644"/>
      <c r="OXH368" s="644">
        <v>2013</v>
      </c>
      <c r="OXI368" s="644">
        <v>2014</v>
      </c>
      <c r="OXJ368" s="644">
        <v>2015</v>
      </c>
      <c r="OXK368" s="644">
        <v>2016</v>
      </c>
      <c r="OXL368" s="644">
        <v>2017</v>
      </c>
      <c r="OXM368" s="645">
        <v>2018</v>
      </c>
      <c r="OXN368" s="646">
        <v>2019</v>
      </c>
      <c r="OXO368" s="647">
        <v>2020</v>
      </c>
      <c r="OXP368" s="153"/>
      <c r="OXQ368" s="153"/>
      <c r="OXR368" s="153"/>
      <c r="OXS368" s="648"/>
      <c r="OXT368" s="641"/>
      <c r="OXU368" s="642" t="s">
        <v>1841</v>
      </c>
      <c r="OXV368" s="643"/>
      <c r="OXW368" s="644"/>
      <c r="OXX368" s="644">
        <v>2013</v>
      </c>
      <c r="OXY368" s="644">
        <v>2014</v>
      </c>
      <c r="OXZ368" s="644">
        <v>2015</v>
      </c>
      <c r="OYA368" s="644">
        <v>2016</v>
      </c>
      <c r="OYB368" s="644">
        <v>2017</v>
      </c>
      <c r="OYC368" s="645">
        <v>2018</v>
      </c>
      <c r="OYD368" s="646">
        <v>2019</v>
      </c>
      <c r="OYE368" s="647">
        <v>2020</v>
      </c>
      <c r="OYF368" s="153"/>
      <c r="OYG368" s="153"/>
      <c r="OYH368" s="153"/>
      <c r="OYI368" s="648"/>
      <c r="OYJ368" s="641"/>
      <c r="OYK368" s="642" t="s">
        <v>1841</v>
      </c>
      <c r="OYL368" s="643"/>
      <c r="OYM368" s="644"/>
      <c r="OYN368" s="644">
        <v>2013</v>
      </c>
      <c r="OYO368" s="644">
        <v>2014</v>
      </c>
      <c r="OYP368" s="644">
        <v>2015</v>
      </c>
      <c r="OYQ368" s="644">
        <v>2016</v>
      </c>
      <c r="OYR368" s="644">
        <v>2017</v>
      </c>
      <c r="OYS368" s="645">
        <v>2018</v>
      </c>
      <c r="OYT368" s="646">
        <v>2019</v>
      </c>
      <c r="OYU368" s="647">
        <v>2020</v>
      </c>
      <c r="OYV368" s="153"/>
      <c r="OYW368" s="153"/>
      <c r="OYX368" s="153"/>
      <c r="OYY368" s="648"/>
      <c r="OYZ368" s="641"/>
      <c r="OZA368" s="642" t="s">
        <v>1841</v>
      </c>
      <c r="OZB368" s="643"/>
      <c r="OZC368" s="644"/>
      <c r="OZD368" s="644">
        <v>2013</v>
      </c>
      <c r="OZE368" s="644">
        <v>2014</v>
      </c>
      <c r="OZF368" s="644">
        <v>2015</v>
      </c>
      <c r="OZG368" s="644">
        <v>2016</v>
      </c>
      <c r="OZH368" s="644">
        <v>2017</v>
      </c>
      <c r="OZI368" s="645">
        <v>2018</v>
      </c>
      <c r="OZJ368" s="646">
        <v>2019</v>
      </c>
      <c r="OZK368" s="647">
        <v>2020</v>
      </c>
      <c r="OZL368" s="153"/>
      <c r="OZM368" s="153"/>
      <c r="OZN368" s="153"/>
      <c r="OZO368" s="648"/>
      <c r="OZP368" s="641"/>
      <c r="OZQ368" s="642" t="s">
        <v>1841</v>
      </c>
      <c r="OZR368" s="643"/>
      <c r="OZS368" s="644"/>
      <c r="OZT368" s="644">
        <v>2013</v>
      </c>
      <c r="OZU368" s="644">
        <v>2014</v>
      </c>
      <c r="OZV368" s="644">
        <v>2015</v>
      </c>
      <c r="OZW368" s="644">
        <v>2016</v>
      </c>
      <c r="OZX368" s="644">
        <v>2017</v>
      </c>
      <c r="OZY368" s="645">
        <v>2018</v>
      </c>
      <c r="OZZ368" s="646">
        <v>2019</v>
      </c>
      <c r="PAA368" s="647">
        <v>2020</v>
      </c>
      <c r="PAB368" s="153"/>
      <c r="PAC368" s="153"/>
      <c r="PAD368" s="153"/>
      <c r="PAE368" s="648"/>
      <c r="PAF368" s="641"/>
      <c r="PAG368" s="642" t="s">
        <v>1841</v>
      </c>
      <c r="PAH368" s="643"/>
      <c r="PAI368" s="644"/>
      <c r="PAJ368" s="644">
        <v>2013</v>
      </c>
      <c r="PAK368" s="644">
        <v>2014</v>
      </c>
      <c r="PAL368" s="644">
        <v>2015</v>
      </c>
      <c r="PAM368" s="644">
        <v>2016</v>
      </c>
      <c r="PAN368" s="644">
        <v>2017</v>
      </c>
      <c r="PAO368" s="645">
        <v>2018</v>
      </c>
      <c r="PAP368" s="646">
        <v>2019</v>
      </c>
      <c r="PAQ368" s="647">
        <v>2020</v>
      </c>
      <c r="PAR368" s="153"/>
      <c r="PAS368" s="153"/>
      <c r="PAT368" s="153"/>
      <c r="PAU368" s="648"/>
      <c r="PAV368" s="641"/>
      <c r="PAW368" s="642" t="s">
        <v>1841</v>
      </c>
      <c r="PAX368" s="643"/>
      <c r="PAY368" s="644"/>
      <c r="PAZ368" s="644">
        <v>2013</v>
      </c>
      <c r="PBA368" s="644">
        <v>2014</v>
      </c>
      <c r="PBB368" s="644">
        <v>2015</v>
      </c>
      <c r="PBC368" s="644">
        <v>2016</v>
      </c>
      <c r="PBD368" s="644">
        <v>2017</v>
      </c>
      <c r="PBE368" s="645">
        <v>2018</v>
      </c>
      <c r="PBF368" s="646">
        <v>2019</v>
      </c>
      <c r="PBG368" s="647">
        <v>2020</v>
      </c>
      <c r="PBH368" s="153"/>
      <c r="PBI368" s="153"/>
      <c r="PBJ368" s="153"/>
      <c r="PBK368" s="648"/>
      <c r="PBL368" s="641"/>
      <c r="PBM368" s="642" t="s">
        <v>1841</v>
      </c>
      <c r="PBN368" s="643"/>
      <c r="PBO368" s="644"/>
      <c r="PBP368" s="644">
        <v>2013</v>
      </c>
      <c r="PBQ368" s="644">
        <v>2014</v>
      </c>
      <c r="PBR368" s="644">
        <v>2015</v>
      </c>
      <c r="PBS368" s="644">
        <v>2016</v>
      </c>
      <c r="PBT368" s="644">
        <v>2017</v>
      </c>
      <c r="PBU368" s="645">
        <v>2018</v>
      </c>
      <c r="PBV368" s="646">
        <v>2019</v>
      </c>
      <c r="PBW368" s="647">
        <v>2020</v>
      </c>
      <c r="PBX368" s="153"/>
      <c r="PBY368" s="153"/>
      <c r="PBZ368" s="153"/>
      <c r="PCA368" s="648"/>
      <c r="PCB368" s="641"/>
      <c r="PCC368" s="642" t="s">
        <v>1841</v>
      </c>
      <c r="PCD368" s="643"/>
      <c r="PCE368" s="644"/>
      <c r="PCF368" s="644">
        <v>2013</v>
      </c>
      <c r="PCG368" s="644">
        <v>2014</v>
      </c>
      <c r="PCH368" s="644">
        <v>2015</v>
      </c>
      <c r="PCI368" s="644">
        <v>2016</v>
      </c>
      <c r="PCJ368" s="644">
        <v>2017</v>
      </c>
      <c r="PCK368" s="645">
        <v>2018</v>
      </c>
      <c r="PCL368" s="646">
        <v>2019</v>
      </c>
      <c r="PCM368" s="647">
        <v>2020</v>
      </c>
      <c r="PCN368" s="153"/>
      <c r="PCO368" s="153"/>
      <c r="PCP368" s="153"/>
      <c r="PCQ368" s="648"/>
      <c r="PCR368" s="641"/>
      <c r="PCS368" s="642" t="s">
        <v>1841</v>
      </c>
      <c r="PCT368" s="643"/>
      <c r="PCU368" s="644"/>
      <c r="PCV368" s="644">
        <v>2013</v>
      </c>
      <c r="PCW368" s="644">
        <v>2014</v>
      </c>
      <c r="PCX368" s="644">
        <v>2015</v>
      </c>
      <c r="PCY368" s="644">
        <v>2016</v>
      </c>
      <c r="PCZ368" s="644">
        <v>2017</v>
      </c>
      <c r="PDA368" s="645">
        <v>2018</v>
      </c>
      <c r="PDB368" s="646">
        <v>2019</v>
      </c>
      <c r="PDC368" s="647">
        <v>2020</v>
      </c>
      <c r="PDD368" s="153"/>
      <c r="PDE368" s="153"/>
      <c r="PDF368" s="153"/>
      <c r="PDG368" s="648"/>
      <c r="PDH368" s="641"/>
      <c r="PDI368" s="642" t="s">
        <v>1841</v>
      </c>
      <c r="PDJ368" s="643"/>
      <c r="PDK368" s="644"/>
      <c r="PDL368" s="644">
        <v>2013</v>
      </c>
      <c r="PDM368" s="644">
        <v>2014</v>
      </c>
      <c r="PDN368" s="644">
        <v>2015</v>
      </c>
      <c r="PDO368" s="644">
        <v>2016</v>
      </c>
      <c r="PDP368" s="644">
        <v>2017</v>
      </c>
      <c r="PDQ368" s="645">
        <v>2018</v>
      </c>
      <c r="PDR368" s="646">
        <v>2019</v>
      </c>
      <c r="PDS368" s="647">
        <v>2020</v>
      </c>
      <c r="PDT368" s="153"/>
      <c r="PDU368" s="153"/>
      <c r="PDV368" s="153"/>
      <c r="PDW368" s="648"/>
      <c r="PDX368" s="641"/>
      <c r="PDY368" s="642" t="s">
        <v>1841</v>
      </c>
      <c r="PDZ368" s="643"/>
      <c r="PEA368" s="644"/>
      <c r="PEB368" s="644">
        <v>2013</v>
      </c>
      <c r="PEC368" s="644">
        <v>2014</v>
      </c>
      <c r="PED368" s="644">
        <v>2015</v>
      </c>
      <c r="PEE368" s="644">
        <v>2016</v>
      </c>
      <c r="PEF368" s="644">
        <v>2017</v>
      </c>
      <c r="PEG368" s="645">
        <v>2018</v>
      </c>
      <c r="PEH368" s="646">
        <v>2019</v>
      </c>
      <c r="PEI368" s="647">
        <v>2020</v>
      </c>
      <c r="PEJ368" s="153"/>
      <c r="PEK368" s="153"/>
      <c r="PEL368" s="153"/>
      <c r="PEM368" s="648"/>
      <c r="PEN368" s="641"/>
      <c r="PEO368" s="642" t="s">
        <v>1841</v>
      </c>
      <c r="PEP368" s="643"/>
      <c r="PEQ368" s="644"/>
      <c r="PER368" s="644">
        <v>2013</v>
      </c>
      <c r="PES368" s="644">
        <v>2014</v>
      </c>
      <c r="PET368" s="644">
        <v>2015</v>
      </c>
      <c r="PEU368" s="644">
        <v>2016</v>
      </c>
      <c r="PEV368" s="644">
        <v>2017</v>
      </c>
      <c r="PEW368" s="645">
        <v>2018</v>
      </c>
      <c r="PEX368" s="646">
        <v>2019</v>
      </c>
      <c r="PEY368" s="647">
        <v>2020</v>
      </c>
      <c r="PEZ368" s="153"/>
      <c r="PFA368" s="153"/>
      <c r="PFB368" s="153"/>
      <c r="PFC368" s="648"/>
      <c r="PFD368" s="641"/>
      <c r="PFE368" s="642" t="s">
        <v>1841</v>
      </c>
      <c r="PFF368" s="643"/>
      <c r="PFG368" s="644"/>
      <c r="PFH368" s="644">
        <v>2013</v>
      </c>
      <c r="PFI368" s="644">
        <v>2014</v>
      </c>
      <c r="PFJ368" s="644">
        <v>2015</v>
      </c>
      <c r="PFK368" s="644">
        <v>2016</v>
      </c>
      <c r="PFL368" s="644">
        <v>2017</v>
      </c>
      <c r="PFM368" s="645">
        <v>2018</v>
      </c>
      <c r="PFN368" s="646">
        <v>2019</v>
      </c>
      <c r="PFO368" s="647">
        <v>2020</v>
      </c>
      <c r="PFP368" s="153"/>
      <c r="PFQ368" s="153"/>
      <c r="PFR368" s="153"/>
      <c r="PFS368" s="648"/>
      <c r="PFT368" s="641"/>
      <c r="PFU368" s="642" t="s">
        <v>1841</v>
      </c>
      <c r="PFV368" s="643"/>
      <c r="PFW368" s="644"/>
      <c r="PFX368" s="644">
        <v>2013</v>
      </c>
      <c r="PFY368" s="644">
        <v>2014</v>
      </c>
      <c r="PFZ368" s="644">
        <v>2015</v>
      </c>
      <c r="PGA368" s="644">
        <v>2016</v>
      </c>
      <c r="PGB368" s="644">
        <v>2017</v>
      </c>
      <c r="PGC368" s="645">
        <v>2018</v>
      </c>
      <c r="PGD368" s="646">
        <v>2019</v>
      </c>
      <c r="PGE368" s="647">
        <v>2020</v>
      </c>
      <c r="PGF368" s="153"/>
      <c r="PGG368" s="153"/>
      <c r="PGH368" s="153"/>
      <c r="PGI368" s="648"/>
      <c r="PGJ368" s="641"/>
      <c r="PGK368" s="642" t="s">
        <v>1841</v>
      </c>
      <c r="PGL368" s="643"/>
      <c r="PGM368" s="644"/>
      <c r="PGN368" s="644">
        <v>2013</v>
      </c>
      <c r="PGO368" s="644">
        <v>2014</v>
      </c>
      <c r="PGP368" s="644">
        <v>2015</v>
      </c>
      <c r="PGQ368" s="644">
        <v>2016</v>
      </c>
      <c r="PGR368" s="644">
        <v>2017</v>
      </c>
      <c r="PGS368" s="645">
        <v>2018</v>
      </c>
      <c r="PGT368" s="646">
        <v>2019</v>
      </c>
      <c r="PGU368" s="647">
        <v>2020</v>
      </c>
      <c r="PGV368" s="153"/>
      <c r="PGW368" s="153"/>
      <c r="PGX368" s="153"/>
      <c r="PGY368" s="648"/>
      <c r="PGZ368" s="641"/>
      <c r="PHA368" s="642" t="s">
        <v>1841</v>
      </c>
      <c r="PHB368" s="643"/>
      <c r="PHC368" s="644"/>
      <c r="PHD368" s="644">
        <v>2013</v>
      </c>
      <c r="PHE368" s="644">
        <v>2014</v>
      </c>
      <c r="PHF368" s="644">
        <v>2015</v>
      </c>
      <c r="PHG368" s="644">
        <v>2016</v>
      </c>
      <c r="PHH368" s="644">
        <v>2017</v>
      </c>
      <c r="PHI368" s="645">
        <v>2018</v>
      </c>
      <c r="PHJ368" s="646">
        <v>2019</v>
      </c>
      <c r="PHK368" s="647">
        <v>2020</v>
      </c>
      <c r="PHL368" s="153"/>
      <c r="PHM368" s="153"/>
      <c r="PHN368" s="153"/>
      <c r="PHO368" s="648"/>
      <c r="PHP368" s="641"/>
      <c r="PHQ368" s="642" t="s">
        <v>1841</v>
      </c>
      <c r="PHR368" s="643"/>
      <c r="PHS368" s="644"/>
      <c r="PHT368" s="644">
        <v>2013</v>
      </c>
      <c r="PHU368" s="644">
        <v>2014</v>
      </c>
      <c r="PHV368" s="644">
        <v>2015</v>
      </c>
      <c r="PHW368" s="644">
        <v>2016</v>
      </c>
      <c r="PHX368" s="644">
        <v>2017</v>
      </c>
      <c r="PHY368" s="645">
        <v>2018</v>
      </c>
      <c r="PHZ368" s="646">
        <v>2019</v>
      </c>
      <c r="PIA368" s="647">
        <v>2020</v>
      </c>
      <c r="PIB368" s="153"/>
      <c r="PIC368" s="153"/>
      <c r="PID368" s="153"/>
      <c r="PIE368" s="648"/>
      <c r="PIF368" s="641"/>
      <c r="PIG368" s="642" t="s">
        <v>1841</v>
      </c>
      <c r="PIH368" s="643"/>
      <c r="PII368" s="644"/>
      <c r="PIJ368" s="644">
        <v>2013</v>
      </c>
      <c r="PIK368" s="644">
        <v>2014</v>
      </c>
      <c r="PIL368" s="644">
        <v>2015</v>
      </c>
      <c r="PIM368" s="644">
        <v>2016</v>
      </c>
      <c r="PIN368" s="644">
        <v>2017</v>
      </c>
      <c r="PIO368" s="645">
        <v>2018</v>
      </c>
      <c r="PIP368" s="646">
        <v>2019</v>
      </c>
      <c r="PIQ368" s="647">
        <v>2020</v>
      </c>
      <c r="PIR368" s="153"/>
      <c r="PIS368" s="153"/>
      <c r="PIT368" s="153"/>
      <c r="PIU368" s="648"/>
      <c r="PIV368" s="641"/>
      <c r="PIW368" s="642" t="s">
        <v>1841</v>
      </c>
      <c r="PIX368" s="643"/>
      <c r="PIY368" s="644"/>
      <c r="PIZ368" s="644">
        <v>2013</v>
      </c>
      <c r="PJA368" s="644">
        <v>2014</v>
      </c>
      <c r="PJB368" s="644">
        <v>2015</v>
      </c>
      <c r="PJC368" s="644">
        <v>2016</v>
      </c>
      <c r="PJD368" s="644">
        <v>2017</v>
      </c>
      <c r="PJE368" s="645">
        <v>2018</v>
      </c>
      <c r="PJF368" s="646">
        <v>2019</v>
      </c>
      <c r="PJG368" s="647">
        <v>2020</v>
      </c>
      <c r="PJH368" s="153"/>
      <c r="PJI368" s="153"/>
      <c r="PJJ368" s="153"/>
      <c r="PJK368" s="648"/>
      <c r="PJL368" s="641"/>
      <c r="PJM368" s="642" t="s">
        <v>1841</v>
      </c>
      <c r="PJN368" s="643"/>
      <c r="PJO368" s="644"/>
      <c r="PJP368" s="644">
        <v>2013</v>
      </c>
      <c r="PJQ368" s="644">
        <v>2014</v>
      </c>
      <c r="PJR368" s="644">
        <v>2015</v>
      </c>
      <c r="PJS368" s="644">
        <v>2016</v>
      </c>
      <c r="PJT368" s="644">
        <v>2017</v>
      </c>
      <c r="PJU368" s="645">
        <v>2018</v>
      </c>
      <c r="PJV368" s="646">
        <v>2019</v>
      </c>
      <c r="PJW368" s="647">
        <v>2020</v>
      </c>
      <c r="PJX368" s="153"/>
      <c r="PJY368" s="153"/>
      <c r="PJZ368" s="153"/>
      <c r="PKA368" s="648"/>
      <c r="PKB368" s="641"/>
      <c r="PKC368" s="642" t="s">
        <v>1841</v>
      </c>
      <c r="PKD368" s="643"/>
      <c r="PKE368" s="644"/>
      <c r="PKF368" s="644">
        <v>2013</v>
      </c>
      <c r="PKG368" s="644">
        <v>2014</v>
      </c>
      <c r="PKH368" s="644">
        <v>2015</v>
      </c>
      <c r="PKI368" s="644">
        <v>2016</v>
      </c>
      <c r="PKJ368" s="644">
        <v>2017</v>
      </c>
      <c r="PKK368" s="645">
        <v>2018</v>
      </c>
      <c r="PKL368" s="646">
        <v>2019</v>
      </c>
      <c r="PKM368" s="647">
        <v>2020</v>
      </c>
      <c r="PKN368" s="153"/>
      <c r="PKO368" s="153"/>
      <c r="PKP368" s="153"/>
      <c r="PKQ368" s="648"/>
      <c r="PKR368" s="641"/>
      <c r="PKS368" s="642" t="s">
        <v>1841</v>
      </c>
      <c r="PKT368" s="643"/>
      <c r="PKU368" s="644"/>
      <c r="PKV368" s="644">
        <v>2013</v>
      </c>
      <c r="PKW368" s="644">
        <v>2014</v>
      </c>
      <c r="PKX368" s="644">
        <v>2015</v>
      </c>
      <c r="PKY368" s="644">
        <v>2016</v>
      </c>
      <c r="PKZ368" s="644">
        <v>2017</v>
      </c>
      <c r="PLA368" s="645">
        <v>2018</v>
      </c>
      <c r="PLB368" s="646">
        <v>2019</v>
      </c>
      <c r="PLC368" s="647">
        <v>2020</v>
      </c>
      <c r="PLD368" s="153"/>
      <c r="PLE368" s="153"/>
      <c r="PLF368" s="153"/>
      <c r="PLG368" s="648"/>
      <c r="PLH368" s="641"/>
      <c r="PLI368" s="642" t="s">
        <v>1841</v>
      </c>
      <c r="PLJ368" s="643"/>
      <c r="PLK368" s="644"/>
      <c r="PLL368" s="644">
        <v>2013</v>
      </c>
      <c r="PLM368" s="644">
        <v>2014</v>
      </c>
      <c r="PLN368" s="644">
        <v>2015</v>
      </c>
      <c r="PLO368" s="644">
        <v>2016</v>
      </c>
      <c r="PLP368" s="644">
        <v>2017</v>
      </c>
      <c r="PLQ368" s="645">
        <v>2018</v>
      </c>
      <c r="PLR368" s="646">
        <v>2019</v>
      </c>
      <c r="PLS368" s="647">
        <v>2020</v>
      </c>
      <c r="PLT368" s="153"/>
      <c r="PLU368" s="153"/>
      <c r="PLV368" s="153"/>
      <c r="PLW368" s="648"/>
      <c r="PLX368" s="641"/>
      <c r="PLY368" s="642" t="s">
        <v>1841</v>
      </c>
      <c r="PLZ368" s="643"/>
      <c r="PMA368" s="644"/>
      <c r="PMB368" s="644">
        <v>2013</v>
      </c>
      <c r="PMC368" s="644">
        <v>2014</v>
      </c>
      <c r="PMD368" s="644">
        <v>2015</v>
      </c>
      <c r="PME368" s="644">
        <v>2016</v>
      </c>
      <c r="PMF368" s="644">
        <v>2017</v>
      </c>
      <c r="PMG368" s="645">
        <v>2018</v>
      </c>
      <c r="PMH368" s="646">
        <v>2019</v>
      </c>
      <c r="PMI368" s="647">
        <v>2020</v>
      </c>
      <c r="PMJ368" s="153"/>
      <c r="PMK368" s="153"/>
      <c r="PML368" s="153"/>
      <c r="PMM368" s="648"/>
      <c r="PMN368" s="641"/>
      <c r="PMO368" s="642" t="s">
        <v>1841</v>
      </c>
      <c r="PMP368" s="643"/>
      <c r="PMQ368" s="644"/>
      <c r="PMR368" s="644">
        <v>2013</v>
      </c>
      <c r="PMS368" s="644">
        <v>2014</v>
      </c>
      <c r="PMT368" s="644">
        <v>2015</v>
      </c>
      <c r="PMU368" s="644">
        <v>2016</v>
      </c>
      <c r="PMV368" s="644">
        <v>2017</v>
      </c>
      <c r="PMW368" s="645">
        <v>2018</v>
      </c>
      <c r="PMX368" s="646">
        <v>2019</v>
      </c>
      <c r="PMY368" s="647">
        <v>2020</v>
      </c>
      <c r="PMZ368" s="153"/>
      <c r="PNA368" s="153"/>
      <c r="PNB368" s="153"/>
      <c r="PNC368" s="648"/>
      <c r="PND368" s="641"/>
      <c r="PNE368" s="642" t="s">
        <v>1841</v>
      </c>
      <c r="PNF368" s="643"/>
      <c r="PNG368" s="644"/>
      <c r="PNH368" s="644">
        <v>2013</v>
      </c>
      <c r="PNI368" s="644">
        <v>2014</v>
      </c>
      <c r="PNJ368" s="644">
        <v>2015</v>
      </c>
      <c r="PNK368" s="644">
        <v>2016</v>
      </c>
      <c r="PNL368" s="644">
        <v>2017</v>
      </c>
      <c r="PNM368" s="645">
        <v>2018</v>
      </c>
      <c r="PNN368" s="646">
        <v>2019</v>
      </c>
      <c r="PNO368" s="647">
        <v>2020</v>
      </c>
      <c r="PNP368" s="153"/>
      <c r="PNQ368" s="153"/>
      <c r="PNR368" s="153"/>
      <c r="PNS368" s="648"/>
      <c r="PNT368" s="641"/>
      <c r="PNU368" s="642" t="s">
        <v>1841</v>
      </c>
      <c r="PNV368" s="643"/>
      <c r="PNW368" s="644"/>
      <c r="PNX368" s="644">
        <v>2013</v>
      </c>
      <c r="PNY368" s="644">
        <v>2014</v>
      </c>
      <c r="PNZ368" s="644">
        <v>2015</v>
      </c>
      <c r="POA368" s="644">
        <v>2016</v>
      </c>
      <c r="POB368" s="644">
        <v>2017</v>
      </c>
      <c r="POC368" s="645">
        <v>2018</v>
      </c>
      <c r="POD368" s="646">
        <v>2019</v>
      </c>
      <c r="POE368" s="647">
        <v>2020</v>
      </c>
      <c r="POF368" s="153"/>
      <c r="POG368" s="153"/>
      <c r="POH368" s="153"/>
      <c r="POI368" s="648"/>
      <c r="POJ368" s="641"/>
      <c r="POK368" s="642" t="s">
        <v>1841</v>
      </c>
      <c r="POL368" s="643"/>
      <c r="POM368" s="644"/>
      <c r="PON368" s="644">
        <v>2013</v>
      </c>
      <c r="POO368" s="644">
        <v>2014</v>
      </c>
      <c r="POP368" s="644">
        <v>2015</v>
      </c>
      <c r="POQ368" s="644">
        <v>2016</v>
      </c>
      <c r="POR368" s="644">
        <v>2017</v>
      </c>
      <c r="POS368" s="645">
        <v>2018</v>
      </c>
      <c r="POT368" s="646">
        <v>2019</v>
      </c>
      <c r="POU368" s="647">
        <v>2020</v>
      </c>
      <c r="POV368" s="153"/>
      <c r="POW368" s="153"/>
      <c r="POX368" s="153"/>
      <c r="POY368" s="648"/>
      <c r="POZ368" s="641"/>
      <c r="PPA368" s="642" t="s">
        <v>1841</v>
      </c>
      <c r="PPB368" s="643"/>
      <c r="PPC368" s="644"/>
      <c r="PPD368" s="644">
        <v>2013</v>
      </c>
      <c r="PPE368" s="644">
        <v>2014</v>
      </c>
      <c r="PPF368" s="644">
        <v>2015</v>
      </c>
      <c r="PPG368" s="644">
        <v>2016</v>
      </c>
      <c r="PPH368" s="644">
        <v>2017</v>
      </c>
      <c r="PPI368" s="645">
        <v>2018</v>
      </c>
      <c r="PPJ368" s="646">
        <v>2019</v>
      </c>
      <c r="PPK368" s="647">
        <v>2020</v>
      </c>
      <c r="PPL368" s="153"/>
      <c r="PPM368" s="153"/>
      <c r="PPN368" s="153"/>
      <c r="PPO368" s="648"/>
      <c r="PPP368" s="641"/>
      <c r="PPQ368" s="642" t="s">
        <v>1841</v>
      </c>
      <c r="PPR368" s="643"/>
      <c r="PPS368" s="644"/>
      <c r="PPT368" s="644">
        <v>2013</v>
      </c>
      <c r="PPU368" s="644">
        <v>2014</v>
      </c>
      <c r="PPV368" s="644">
        <v>2015</v>
      </c>
      <c r="PPW368" s="644">
        <v>2016</v>
      </c>
      <c r="PPX368" s="644">
        <v>2017</v>
      </c>
      <c r="PPY368" s="645">
        <v>2018</v>
      </c>
      <c r="PPZ368" s="646">
        <v>2019</v>
      </c>
      <c r="PQA368" s="647">
        <v>2020</v>
      </c>
      <c r="PQB368" s="153"/>
      <c r="PQC368" s="153"/>
      <c r="PQD368" s="153"/>
      <c r="PQE368" s="648"/>
      <c r="PQF368" s="641"/>
      <c r="PQG368" s="642" t="s">
        <v>1841</v>
      </c>
      <c r="PQH368" s="643"/>
      <c r="PQI368" s="644"/>
      <c r="PQJ368" s="644">
        <v>2013</v>
      </c>
      <c r="PQK368" s="644">
        <v>2014</v>
      </c>
      <c r="PQL368" s="644">
        <v>2015</v>
      </c>
      <c r="PQM368" s="644">
        <v>2016</v>
      </c>
      <c r="PQN368" s="644">
        <v>2017</v>
      </c>
      <c r="PQO368" s="645">
        <v>2018</v>
      </c>
      <c r="PQP368" s="646">
        <v>2019</v>
      </c>
      <c r="PQQ368" s="647">
        <v>2020</v>
      </c>
      <c r="PQR368" s="153"/>
      <c r="PQS368" s="153"/>
      <c r="PQT368" s="153"/>
      <c r="PQU368" s="648"/>
      <c r="PQV368" s="641"/>
      <c r="PQW368" s="642" t="s">
        <v>1841</v>
      </c>
      <c r="PQX368" s="643"/>
      <c r="PQY368" s="644"/>
      <c r="PQZ368" s="644">
        <v>2013</v>
      </c>
      <c r="PRA368" s="644">
        <v>2014</v>
      </c>
      <c r="PRB368" s="644">
        <v>2015</v>
      </c>
      <c r="PRC368" s="644">
        <v>2016</v>
      </c>
      <c r="PRD368" s="644">
        <v>2017</v>
      </c>
      <c r="PRE368" s="645">
        <v>2018</v>
      </c>
      <c r="PRF368" s="646">
        <v>2019</v>
      </c>
      <c r="PRG368" s="647">
        <v>2020</v>
      </c>
      <c r="PRH368" s="153"/>
      <c r="PRI368" s="153"/>
      <c r="PRJ368" s="153"/>
      <c r="PRK368" s="648"/>
      <c r="PRL368" s="641"/>
      <c r="PRM368" s="642" t="s">
        <v>1841</v>
      </c>
      <c r="PRN368" s="643"/>
      <c r="PRO368" s="644"/>
      <c r="PRP368" s="644">
        <v>2013</v>
      </c>
      <c r="PRQ368" s="644">
        <v>2014</v>
      </c>
      <c r="PRR368" s="644">
        <v>2015</v>
      </c>
      <c r="PRS368" s="644">
        <v>2016</v>
      </c>
      <c r="PRT368" s="644">
        <v>2017</v>
      </c>
      <c r="PRU368" s="645">
        <v>2018</v>
      </c>
      <c r="PRV368" s="646">
        <v>2019</v>
      </c>
      <c r="PRW368" s="647">
        <v>2020</v>
      </c>
      <c r="PRX368" s="153"/>
      <c r="PRY368" s="153"/>
      <c r="PRZ368" s="153"/>
      <c r="PSA368" s="648"/>
      <c r="PSB368" s="641"/>
      <c r="PSC368" s="642" t="s">
        <v>1841</v>
      </c>
      <c r="PSD368" s="643"/>
      <c r="PSE368" s="644"/>
      <c r="PSF368" s="644">
        <v>2013</v>
      </c>
      <c r="PSG368" s="644">
        <v>2014</v>
      </c>
      <c r="PSH368" s="644">
        <v>2015</v>
      </c>
      <c r="PSI368" s="644">
        <v>2016</v>
      </c>
      <c r="PSJ368" s="644">
        <v>2017</v>
      </c>
      <c r="PSK368" s="645">
        <v>2018</v>
      </c>
      <c r="PSL368" s="646">
        <v>2019</v>
      </c>
      <c r="PSM368" s="647">
        <v>2020</v>
      </c>
      <c r="PSN368" s="153"/>
      <c r="PSO368" s="153"/>
      <c r="PSP368" s="153"/>
      <c r="PSQ368" s="648"/>
      <c r="PSR368" s="641"/>
      <c r="PSS368" s="642" t="s">
        <v>1841</v>
      </c>
      <c r="PST368" s="643"/>
      <c r="PSU368" s="644"/>
      <c r="PSV368" s="644">
        <v>2013</v>
      </c>
      <c r="PSW368" s="644">
        <v>2014</v>
      </c>
      <c r="PSX368" s="644">
        <v>2015</v>
      </c>
      <c r="PSY368" s="644">
        <v>2016</v>
      </c>
      <c r="PSZ368" s="644">
        <v>2017</v>
      </c>
      <c r="PTA368" s="645">
        <v>2018</v>
      </c>
      <c r="PTB368" s="646">
        <v>2019</v>
      </c>
      <c r="PTC368" s="647">
        <v>2020</v>
      </c>
      <c r="PTD368" s="153"/>
      <c r="PTE368" s="153"/>
      <c r="PTF368" s="153"/>
      <c r="PTG368" s="648"/>
      <c r="PTH368" s="641"/>
      <c r="PTI368" s="642" t="s">
        <v>1841</v>
      </c>
      <c r="PTJ368" s="643"/>
      <c r="PTK368" s="644"/>
      <c r="PTL368" s="644">
        <v>2013</v>
      </c>
      <c r="PTM368" s="644">
        <v>2014</v>
      </c>
      <c r="PTN368" s="644">
        <v>2015</v>
      </c>
      <c r="PTO368" s="644">
        <v>2016</v>
      </c>
      <c r="PTP368" s="644">
        <v>2017</v>
      </c>
      <c r="PTQ368" s="645">
        <v>2018</v>
      </c>
      <c r="PTR368" s="646">
        <v>2019</v>
      </c>
      <c r="PTS368" s="647">
        <v>2020</v>
      </c>
      <c r="PTT368" s="153"/>
      <c r="PTU368" s="153"/>
      <c r="PTV368" s="153"/>
      <c r="PTW368" s="648"/>
      <c r="PTX368" s="641"/>
      <c r="PTY368" s="642" t="s">
        <v>1841</v>
      </c>
      <c r="PTZ368" s="643"/>
      <c r="PUA368" s="644"/>
      <c r="PUB368" s="644">
        <v>2013</v>
      </c>
      <c r="PUC368" s="644">
        <v>2014</v>
      </c>
      <c r="PUD368" s="644">
        <v>2015</v>
      </c>
      <c r="PUE368" s="644">
        <v>2016</v>
      </c>
      <c r="PUF368" s="644">
        <v>2017</v>
      </c>
      <c r="PUG368" s="645">
        <v>2018</v>
      </c>
      <c r="PUH368" s="646">
        <v>2019</v>
      </c>
      <c r="PUI368" s="647">
        <v>2020</v>
      </c>
      <c r="PUJ368" s="153"/>
      <c r="PUK368" s="153"/>
      <c r="PUL368" s="153"/>
      <c r="PUM368" s="648"/>
      <c r="PUN368" s="641"/>
      <c r="PUO368" s="642" t="s">
        <v>1841</v>
      </c>
      <c r="PUP368" s="643"/>
      <c r="PUQ368" s="644"/>
      <c r="PUR368" s="644">
        <v>2013</v>
      </c>
      <c r="PUS368" s="644">
        <v>2014</v>
      </c>
      <c r="PUT368" s="644">
        <v>2015</v>
      </c>
      <c r="PUU368" s="644">
        <v>2016</v>
      </c>
      <c r="PUV368" s="644">
        <v>2017</v>
      </c>
      <c r="PUW368" s="645">
        <v>2018</v>
      </c>
      <c r="PUX368" s="646">
        <v>2019</v>
      </c>
      <c r="PUY368" s="647">
        <v>2020</v>
      </c>
      <c r="PUZ368" s="153"/>
      <c r="PVA368" s="153"/>
      <c r="PVB368" s="153"/>
      <c r="PVC368" s="648"/>
      <c r="PVD368" s="641"/>
      <c r="PVE368" s="642" t="s">
        <v>1841</v>
      </c>
      <c r="PVF368" s="643"/>
      <c r="PVG368" s="644"/>
      <c r="PVH368" s="644">
        <v>2013</v>
      </c>
      <c r="PVI368" s="644">
        <v>2014</v>
      </c>
      <c r="PVJ368" s="644">
        <v>2015</v>
      </c>
      <c r="PVK368" s="644">
        <v>2016</v>
      </c>
      <c r="PVL368" s="644">
        <v>2017</v>
      </c>
      <c r="PVM368" s="645">
        <v>2018</v>
      </c>
      <c r="PVN368" s="646">
        <v>2019</v>
      </c>
      <c r="PVO368" s="647">
        <v>2020</v>
      </c>
      <c r="PVP368" s="153"/>
      <c r="PVQ368" s="153"/>
      <c r="PVR368" s="153"/>
      <c r="PVS368" s="648"/>
      <c r="PVT368" s="641"/>
      <c r="PVU368" s="642" t="s">
        <v>1841</v>
      </c>
      <c r="PVV368" s="643"/>
      <c r="PVW368" s="644"/>
      <c r="PVX368" s="644">
        <v>2013</v>
      </c>
      <c r="PVY368" s="644">
        <v>2014</v>
      </c>
      <c r="PVZ368" s="644">
        <v>2015</v>
      </c>
      <c r="PWA368" s="644">
        <v>2016</v>
      </c>
      <c r="PWB368" s="644">
        <v>2017</v>
      </c>
      <c r="PWC368" s="645">
        <v>2018</v>
      </c>
      <c r="PWD368" s="646">
        <v>2019</v>
      </c>
      <c r="PWE368" s="647">
        <v>2020</v>
      </c>
      <c r="PWF368" s="153"/>
      <c r="PWG368" s="153"/>
      <c r="PWH368" s="153"/>
      <c r="PWI368" s="648"/>
      <c r="PWJ368" s="641"/>
      <c r="PWK368" s="642" t="s">
        <v>1841</v>
      </c>
      <c r="PWL368" s="643"/>
      <c r="PWM368" s="644"/>
      <c r="PWN368" s="644">
        <v>2013</v>
      </c>
      <c r="PWO368" s="644">
        <v>2014</v>
      </c>
      <c r="PWP368" s="644">
        <v>2015</v>
      </c>
      <c r="PWQ368" s="644">
        <v>2016</v>
      </c>
      <c r="PWR368" s="644">
        <v>2017</v>
      </c>
      <c r="PWS368" s="645">
        <v>2018</v>
      </c>
      <c r="PWT368" s="646">
        <v>2019</v>
      </c>
      <c r="PWU368" s="647">
        <v>2020</v>
      </c>
      <c r="PWV368" s="153"/>
      <c r="PWW368" s="153"/>
      <c r="PWX368" s="153"/>
      <c r="PWY368" s="648"/>
      <c r="PWZ368" s="641"/>
      <c r="PXA368" s="642" t="s">
        <v>1841</v>
      </c>
      <c r="PXB368" s="643"/>
      <c r="PXC368" s="644"/>
      <c r="PXD368" s="644">
        <v>2013</v>
      </c>
      <c r="PXE368" s="644">
        <v>2014</v>
      </c>
      <c r="PXF368" s="644">
        <v>2015</v>
      </c>
      <c r="PXG368" s="644">
        <v>2016</v>
      </c>
      <c r="PXH368" s="644">
        <v>2017</v>
      </c>
      <c r="PXI368" s="645">
        <v>2018</v>
      </c>
      <c r="PXJ368" s="646">
        <v>2019</v>
      </c>
      <c r="PXK368" s="647">
        <v>2020</v>
      </c>
      <c r="PXL368" s="153"/>
      <c r="PXM368" s="153"/>
      <c r="PXN368" s="153"/>
      <c r="PXO368" s="648"/>
      <c r="PXP368" s="641"/>
      <c r="PXQ368" s="642" t="s">
        <v>1841</v>
      </c>
      <c r="PXR368" s="643"/>
      <c r="PXS368" s="644"/>
      <c r="PXT368" s="644">
        <v>2013</v>
      </c>
      <c r="PXU368" s="644">
        <v>2014</v>
      </c>
      <c r="PXV368" s="644">
        <v>2015</v>
      </c>
      <c r="PXW368" s="644">
        <v>2016</v>
      </c>
      <c r="PXX368" s="644">
        <v>2017</v>
      </c>
      <c r="PXY368" s="645">
        <v>2018</v>
      </c>
      <c r="PXZ368" s="646">
        <v>2019</v>
      </c>
      <c r="PYA368" s="647">
        <v>2020</v>
      </c>
      <c r="PYB368" s="153"/>
      <c r="PYC368" s="153"/>
      <c r="PYD368" s="153"/>
      <c r="PYE368" s="648"/>
      <c r="PYF368" s="641"/>
      <c r="PYG368" s="642" t="s">
        <v>1841</v>
      </c>
      <c r="PYH368" s="643"/>
      <c r="PYI368" s="644"/>
      <c r="PYJ368" s="644">
        <v>2013</v>
      </c>
      <c r="PYK368" s="644">
        <v>2014</v>
      </c>
      <c r="PYL368" s="644">
        <v>2015</v>
      </c>
      <c r="PYM368" s="644">
        <v>2016</v>
      </c>
      <c r="PYN368" s="644">
        <v>2017</v>
      </c>
      <c r="PYO368" s="645">
        <v>2018</v>
      </c>
      <c r="PYP368" s="646">
        <v>2019</v>
      </c>
      <c r="PYQ368" s="647">
        <v>2020</v>
      </c>
      <c r="PYR368" s="153"/>
      <c r="PYS368" s="153"/>
      <c r="PYT368" s="153"/>
      <c r="PYU368" s="648"/>
      <c r="PYV368" s="641"/>
      <c r="PYW368" s="642" t="s">
        <v>1841</v>
      </c>
      <c r="PYX368" s="643"/>
      <c r="PYY368" s="644"/>
      <c r="PYZ368" s="644">
        <v>2013</v>
      </c>
      <c r="PZA368" s="644">
        <v>2014</v>
      </c>
      <c r="PZB368" s="644">
        <v>2015</v>
      </c>
      <c r="PZC368" s="644">
        <v>2016</v>
      </c>
      <c r="PZD368" s="644">
        <v>2017</v>
      </c>
      <c r="PZE368" s="645">
        <v>2018</v>
      </c>
      <c r="PZF368" s="646">
        <v>2019</v>
      </c>
      <c r="PZG368" s="647">
        <v>2020</v>
      </c>
      <c r="PZH368" s="153"/>
      <c r="PZI368" s="153"/>
      <c r="PZJ368" s="153"/>
      <c r="PZK368" s="648"/>
      <c r="PZL368" s="641"/>
      <c r="PZM368" s="642" t="s">
        <v>1841</v>
      </c>
      <c r="PZN368" s="643"/>
      <c r="PZO368" s="644"/>
      <c r="PZP368" s="644">
        <v>2013</v>
      </c>
      <c r="PZQ368" s="644">
        <v>2014</v>
      </c>
      <c r="PZR368" s="644">
        <v>2015</v>
      </c>
      <c r="PZS368" s="644">
        <v>2016</v>
      </c>
      <c r="PZT368" s="644">
        <v>2017</v>
      </c>
      <c r="PZU368" s="645">
        <v>2018</v>
      </c>
      <c r="PZV368" s="646">
        <v>2019</v>
      </c>
      <c r="PZW368" s="647">
        <v>2020</v>
      </c>
      <c r="PZX368" s="153"/>
      <c r="PZY368" s="153"/>
      <c r="PZZ368" s="153"/>
      <c r="QAA368" s="648"/>
      <c r="QAB368" s="641"/>
      <c r="QAC368" s="642" t="s">
        <v>1841</v>
      </c>
      <c r="QAD368" s="643"/>
      <c r="QAE368" s="644"/>
      <c r="QAF368" s="644">
        <v>2013</v>
      </c>
      <c r="QAG368" s="644">
        <v>2014</v>
      </c>
      <c r="QAH368" s="644">
        <v>2015</v>
      </c>
      <c r="QAI368" s="644">
        <v>2016</v>
      </c>
      <c r="QAJ368" s="644">
        <v>2017</v>
      </c>
      <c r="QAK368" s="645">
        <v>2018</v>
      </c>
      <c r="QAL368" s="646">
        <v>2019</v>
      </c>
      <c r="QAM368" s="647">
        <v>2020</v>
      </c>
      <c r="QAN368" s="153"/>
      <c r="QAO368" s="153"/>
      <c r="QAP368" s="153"/>
      <c r="QAQ368" s="648"/>
      <c r="QAR368" s="641"/>
      <c r="QAS368" s="642" t="s">
        <v>1841</v>
      </c>
      <c r="QAT368" s="643"/>
      <c r="QAU368" s="644"/>
      <c r="QAV368" s="644">
        <v>2013</v>
      </c>
      <c r="QAW368" s="644">
        <v>2014</v>
      </c>
      <c r="QAX368" s="644">
        <v>2015</v>
      </c>
      <c r="QAY368" s="644">
        <v>2016</v>
      </c>
      <c r="QAZ368" s="644">
        <v>2017</v>
      </c>
      <c r="QBA368" s="645">
        <v>2018</v>
      </c>
      <c r="QBB368" s="646">
        <v>2019</v>
      </c>
      <c r="QBC368" s="647">
        <v>2020</v>
      </c>
      <c r="QBD368" s="153"/>
      <c r="QBE368" s="153"/>
      <c r="QBF368" s="153"/>
      <c r="QBG368" s="648"/>
      <c r="QBH368" s="641"/>
      <c r="QBI368" s="642" t="s">
        <v>1841</v>
      </c>
      <c r="QBJ368" s="643"/>
      <c r="QBK368" s="644"/>
      <c r="QBL368" s="644">
        <v>2013</v>
      </c>
      <c r="QBM368" s="644">
        <v>2014</v>
      </c>
      <c r="QBN368" s="644">
        <v>2015</v>
      </c>
      <c r="QBO368" s="644">
        <v>2016</v>
      </c>
      <c r="QBP368" s="644">
        <v>2017</v>
      </c>
      <c r="QBQ368" s="645">
        <v>2018</v>
      </c>
      <c r="QBR368" s="646">
        <v>2019</v>
      </c>
      <c r="QBS368" s="647">
        <v>2020</v>
      </c>
      <c r="QBT368" s="153"/>
      <c r="QBU368" s="153"/>
      <c r="QBV368" s="153"/>
      <c r="QBW368" s="648"/>
      <c r="QBX368" s="641"/>
      <c r="QBY368" s="642" t="s">
        <v>1841</v>
      </c>
      <c r="QBZ368" s="643"/>
      <c r="QCA368" s="644"/>
      <c r="QCB368" s="644">
        <v>2013</v>
      </c>
      <c r="QCC368" s="644">
        <v>2014</v>
      </c>
      <c r="QCD368" s="644">
        <v>2015</v>
      </c>
      <c r="QCE368" s="644">
        <v>2016</v>
      </c>
      <c r="QCF368" s="644">
        <v>2017</v>
      </c>
      <c r="QCG368" s="645">
        <v>2018</v>
      </c>
      <c r="QCH368" s="646">
        <v>2019</v>
      </c>
      <c r="QCI368" s="647">
        <v>2020</v>
      </c>
      <c r="QCJ368" s="153"/>
      <c r="QCK368" s="153"/>
      <c r="QCL368" s="153"/>
      <c r="QCM368" s="648"/>
      <c r="QCN368" s="641"/>
      <c r="QCO368" s="642" t="s">
        <v>1841</v>
      </c>
      <c r="QCP368" s="643"/>
      <c r="QCQ368" s="644"/>
      <c r="QCR368" s="644">
        <v>2013</v>
      </c>
      <c r="QCS368" s="644">
        <v>2014</v>
      </c>
      <c r="QCT368" s="644">
        <v>2015</v>
      </c>
      <c r="QCU368" s="644">
        <v>2016</v>
      </c>
      <c r="QCV368" s="644">
        <v>2017</v>
      </c>
      <c r="QCW368" s="645">
        <v>2018</v>
      </c>
      <c r="QCX368" s="646">
        <v>2019</v>
      </c>
      <c r="QCY368" s="647">
        <v>2020</v>
      </c>
      <c r="QCZ368" s="153"/>
      <c r="QDA368" s="153"/>
      <c r="QDB368" s="153"/>
      <c r="QDC368" s="648"/>
      <c r="QDD368" s="641"/>
      <c r="QDE368" s="642" t="s">
        <v>1841</v>
      </c>
      <c r="QDF368" s="643"/>
      <c r="QDG368" s="644"/>
      <c r="QDH368" s="644">
        <v>2013</v>
      </c>
      <c r="QDI368" s="644">
        <v>2014</v>
      </c>
      <c r="QDJ368" s="644">
        <v>2015</v>
      </c>
      <c r="QDK368" s="644">
        <v>2016</v>
      </c>
      <c r="QDL368" s="644">
        <v>2017</v>
      </c>
      <c r="QDM368" s="645">
        <v>2018</v>
      </c>
      <c r="QDN368" s="646">
        <v>2019</v>
      </c>
      <c r="QDO368" s="647">
        <v>2020</v>
      </c>
      <c r="QDP368" s="153"/>
      <c r="QDQ368" s="153"/>
      <c r="QDR368" s="153"/>
      <c r="QDS368" s="648"/>
      <c r="QDT368" s="641"/>
      <c r="QDU368" s="642" t="s">
        <v>1841</v>
      </c>
      <c r="QDV368" s="643"/>
      <c r="QDW368" s="644"/>
      <c r="QDX368" s="644">
        <v>2013</v>
      </c>
      <c r="QDY368" s="644">
        <v>2014</v>
      </c>
      <c r="QDZ368" s="644">
        <v>2015</v>
      </c>
      <c r="QEA368" s="644">
        <v>2016</v>
      </c>
      <c r="QEB368" s="644">
        <v>2017</v>
      </c>
      <c r="QEC368" s="645">
        <v>2018</v>
      </c>
      <c r="QED368" s="646">
        <v>2019</v>
      </c>
      <c r="QEE368" s="647">
        <v>2020</v>
      </c>
      <c r="QEF368" s="153"/>
      <c r="QEG368" s="153"/>
      <c r="QEH368" s="153"/>
      <c r="QEI368" s="648"/>
      <c r="QEJ368" s="641"/>
      <c r="QEK368" s="642" t="s">
        <v>1841</v>
      </c>
      <c r="QEL368" s="643"/>
      <c r="QEM368" s="644"/>
      <c r="QEN368" s="644">
        <v>2013</v>
      </c>
      <c r="QEO368" s="644">
        <v>2014</v>
      </c>
      <c r="QEP368" s="644">
        <v>2015</v>
      </c>
      <c r="QEQ368" s="644">
        <v>2016</v>
      </c>
      <c r="QER368" s="644">
        <v>2017</v>
      </c>
      <c r="QES368" s="645">
        <v>2018</v>
      </c>
      <c r="QET368" s="646">
        <v>2019</v>
      </c>
      <c r="QEU368" s="647">
        <v>2020</v>
      </c>
      <c r="QEV368" s="153"/>
      <c r="QEW368" s="153"/>
      <c r="QEX368" s="153"/>
      <c r="QEY368" s="648"/>
      <c r="QEZ368" s="641"/>
      <c r="QFA368" s="642" t="s">
        <v>1841</v>
      </c>
      <c r="QFB368" s="643"/>
      <c r="QFC368" s="644"/>
      <c r="QFD368" s="644">
        <v>2013</v>
      </c>
      <c r="QFE368" s="644">
        <v>2014</v>
      </c>
      <c r="QFF368" s="644">
        <v>2015</v>
      </c>
      <c r="QFG368" s="644">
        <v>2016</v>
      </c>
      <c r="QFH368" s="644">
        <v>2017</v>
      </c>
      <c r="QFI368" s="645">
        <v>2018</v>
      </c>
      <c r="QFJ368" s="646">
        <v>2019</v>
      </c>
      <c r="QFK368" s="647">
        <v>2020</v>
      </c>
      <c r="QFL368" s="153"/>
      <c r="QFM368" s="153"/>
      <c r="QFN368" s="153"/>
      <c r="QFO368" s="648"/>
      <c r="QFP368" s="641"/>
      <c r="QFQ368" s="642" t="s">
        <v>1841</v>
      </c>
      <c r="QFR368" s="643"/>
      <c r="QFS368" s="644"/>
      <c r="QFT368" s="644">
        <v>2013</v>
      </c>
      <c r="QFU368" s="644">
        <v>2014</v>
      </c>
      <c r="QFV368" s="644">
        <v>2015</v>
      </c>
      <c r="QFW368" s="644">
        <v>2016</v>
      </c>
      <c r="QFX368" s="644">
        <v>2017</v>
      </c>
      <c r="QFY368" s="645">
        <v>2018</v>
      </c>
      <c r="QFZ368" s="646">
        <v>2019</v>
      </c>
      <c r="QGA368" s="647">
        <v>2020</v>
      </c>
      <c r="QGB368" s="153"/>
      <c r="QGC368" s="153"/>
      <c r="QGD368" s="153"/>
      <c r="QGE368" s="648"/>
      <c r="QGF368" s="641"/>
      <c r="QGG368" s="642" t="s">
        <v>1841</v>
      </c>
      <c r="QGH368" s="643"/>
      <c r="QGI368" s="644"/>
      <c r="QGJ368" s="644">
        <v>2013</v>
      </c>
      <c r="QGK368" s="644">
        <v>2014</v>
      </c>
      <c r="QGL368" s="644">
        <v>2015</v>
      </c>
      <c r="QGM368" s="644">
        <v>2016</v>
      </c>
      <c r="QGN368" s="644">
        <v>2017</v>
      </c>
      <c r="QGO368" s="645">
        <v>2018</v>
      </c>
      <c r="QGP368" s="646">
        <v>2019</v>
      </c>
      <c r="QGQ368" s="647">
        <v>2020</v>
      </c>
      <c r="QGR368" s="153"/>
      <c r="QGS368" s="153"/>
      <c r="QGT368" s="153"/>
      <c r="QGU368" s="648"/>
      <c r="QGV368" s="641"/>
      <c r="QGW368" s="642" t="s">
        <v>1841</v>
      </c>
      <c r="QGX368" s="643"/>
      <c r="QGY368" s="644"/>
      <c r="QGZ368" s="644">
        <v>2013</v>
      </c>
      <c r="QHA368" s="644">
        <v>2014</v>
      </c>
      <c r="QHB368" s="644">
        <v>2015</v>
      </c>
      <c r="QHC368" s="644">
        <v>2016</v>
      </c>
      <c r="QHD368" s="644">
        <v>2017</v>
      </c>
      <c r="QHE368" s="645">
        <v>2018</v>
      </c>
      <c r="QHF368" s="646">
        <v>2019</v>
      </c>
      <c r="QHG368" s="647">
        <v>2020</v>
      </c>
      <c r="QHH368" s="153"/>
      <c r="QHI368" s="153"/>
      <c r="QHJ368" s="153"/>
      <c r="QHK368" s="648"/>
      <c r="QHL368" s="641"/>
      <c r="QHM368" s="642" t="s">
        <v>1841</v>
      </c>
      <c r="QHN368" s="643"/>
      <c r="QHO368" s="644"/>
      <c r="QHP368" s="644">
        <v>2013</v>
      </c>
      <c r="QHQ368" s="644">
        <v>2014</v>
      </c>
      <c r="QHR368" s="644">
        <v>2015</v>
      </c>
      <c r="QHS368" s="644">
        <v>2016</v>
      </c>
      <c r="QHT368" s="644">
        <v>2017</v>
      </c>
      <c r="QHU368" s="645">
        <v>2018</v>
      </c>
      <c r="QHV368" s="646">
        <v>2019</v>
      </c>
      <c r="QHW368" s="647">
        <v>2020</v>
      </c>
      <c r="QHX368" s="153"/>
      <c r="QHY368" s="153"/>
      <c r="QHZ368" s="153"/>
      <c r="QIA368" s="648"/>
      <c r="QIB368" s="641"/>
      <c r="QIC368" s="642" t="s">
        <v>1841</v>
      </c>
      <c r="QID368" s="643"/>
      <c r="QIE368" s="644"/>
      <c r="QIF368" s="644">
        <v>2013</v>
      </c>
      <c r="QIG368" s="644">
        <v>2014</v>
      </c>
      <c r="QIH368" s="644">
        <v>2015</v>
      </c>
      <c r="QII368" s="644">
        <v>2016</v>
      </c>
      <c r="QIJ368" s="644">
        <v>2017</v>
      </c>
      <c r="QIK368" s="645">
        <v>2018</v>
      </c>
      <c r="QIL368" s="646">
        <v>2019</v>
      </c>
      <c r="QIM368" s="647">
        <v>2020</v>
      </c>
      <c r="QIN368" s="153"/>
      <c r="QIO368" s="153"/>
      <c r="QIP368" s="153"/>
      <c r="QIQ368" s="648"/>
      <c r="QIR368" s="641"/>
      <c r="QIS368" s="642" t="s">
        <v>1841</v>
      </c>
      <c r="QIT368" s="643"/>
      <c r="QIU368" s="644"/>
      <c r="QIV368" s="644">
        <v>2013</v>
      </c>
      <c r="QIW368" s="644">
        <v>2014</v>
      </c>
      <c r="QIX368" s="644">
        <v>2015</v>
      </c>
      <c r="QIY368" s="644">
        <v>2016</v>
      </c>
      <c r="QIZ368" s="644">
        <v>2017</v>
      </c>
      <c r="QJA368" s="645">
        <v>2018</v>
      </c>
      <c r="QJB368" s="646">
        <v>2019</v>
      </c>
      <c r="QJC368" s="647">
        <v>2020</v>
      </c>
      <c r="QJD368" s="153"/>
      <c r="QJE368" s="153"/>
      <c r="QJF368" s="153"/>
      <c r="QJG368" s="648"/>
      <c r="QJH368" s="641"/>
      <c r="QJI368" s="642" t="s">
        <v>1841</v>
      </c>
      <c r="QJJ368" s="643"/>
      <c r="QJK368" s="644"/>
      <c r="QJL368" s="644">
        <v>2013</v>
      </c>
      <c r="QJM368" s="644">
        <v>2014</v>
      </c>
      <c r="QJN368" s="644">
        <v>2015</v>
      </c>
      <c r="QJO368" s="644">
        <v>2016</v>
      </c>
      <c r="QJP368" s="644">
        <v>2017</v>
      </c>
      <c r="QJQ368" s="645">
        <v>2018</v>
      </c>
      <c r="QJR368" s="646">
        <v>2019</v>
      </c>
      <c r="QJS368" s="647">
        <v>2020</v>
      </c>
      <c r="QJT368" s="153"/>
      <c r="QJU368" s="153"/>
      <c r="QJV368" s="153"/>
      <c r="QJW368" s="648"/>
      <c r="QJX368" s="641"/>
      <c r="QJY368" s="642" t="s">
        <v>1841</v>
      </c>
      <c r="QJZ368" s="643"/>
      <c r="QKA368" s="644"/>
      <c r="QKB368" s="644">
        <v>2013</v>
      </c>
      <c r="QKC368" s="644">
        <v>2014</v>
      </c>
      <c r="QKD368" s="644">
        <v>2015</v>
      </c>
      <c r="QKE368" s="644">
        <v>2016</v>
      </c>
      <c r="QKF368" s="644">
        <v>2017</v>
      </c>
      <c r="QKG368" s="645">
        <v>2018</v>
      </c>
      <c r="QKH368" s="646">
        <v>2019</v>
      </c>
      <c r="QKI368" s="647">
        <v>2020</v>
      </c>
      <c r="QKJ368" s="153"/>
      <c r="QKK368" s="153"/>
      <c r="QKL368" s="153"/>
      <c r="QKM368" s="648"/>
      <c r="QKN368" s="641"/>
      <c r="QKO368" s="642" t="s">
        <v>1841</v>
      </c>
      <c r="QKP368" s="643"/>
      <c r="QKQ368" s="644"/>
      <c r="QKR368" s="644">
        <v>2013</v>
      </c>
      <c r="QKS368" s="644">
        <v>2014</v>
      </c>
      <c r="QKT368" s="644">
        <v>2015</v>
      </c>
      <c r="QKU368" s="644">
        <v>2016</v>
      </c>
      <c r="QKV368" s="644">
        <v>2017</v>
      </c>
      <c r="QKW368" s="645">
        <v>2018</v>
      </c>
      <c r="QKX368" s="646">
        <v>2019</v>
      </c>
      <c r="QKY368" s="647">
        <v>2020</v>
      </c>
      <c r="QKZ368" s="153"/>
      <c r="QLA368" s="153"/>
      <c r="QLB368" s="153"/>
      <c r="QLC368" s="648"/>
      <c r="QLD368" s="641"/>
      <c r="QLE368" s="642" t="s">
        <v>1841</v>
      </c>
      <c r="QLF368" s="643"/>
      <c r="QLG368" s="644"/>
      <c r="QLH368" s="644">
        <v>2013</v>
      </c>
      <c r="QLI368" s="644">
        <v>2014</v>
      </c>
      <c r="QLJ368" s="644">
        <v>2015</v>
      </c>
      <c r="QLK368" s="644">
        <v>2016</v>
      </c>
      <c r="QLL368" s="644">
        <v>2017</v>
      </c>
      <c r="QLM368" s="645">
        <v>2018</v>
      </c>
      <c r="QLN368" s="646">
        <v>2019</v>
      </c>
      <c r="QLO368" s="647">
        <v>2020</v>
      </c>
      <c r="QLP368" s="153"/>
      <c r="QLQ368" s="153"/>
      <c r="QLR368" s="153"/>
      <c r="QLS368" s="648"/>
      <c r="QLT368" s="641"/>
      <c r="QLU368" s="642" t="s">
        <v>1841</v>
      </c>
      <c r="QLV368" s="643"/>
      <c r="QLW368" s="644"/>
      <c r="QLX368" s="644">
        <v>2013</v>
      </c>
      <c r="QLY368" s="644">
        <v>2014</v>
      </c>
      <c r="QLZ368" s="644">
        <v>2015</v>
      </c>
      <c r="QMA368" s="644">
        <v>2016</v>
      </c>
      <c r="QMB368" s="644">
        <v>2017</v>
      </c>
      <c r="QMC368" s="645">
        <v>2018</v>
      </c>
      <c r="QMD368" s="646">
        <v>2019</v>
      </c>
      <c r="QME368" s="647">
        <v>2020</v>
      </c>
      <c r="QMF368" s="153"/>
      <c r="QMG368" s="153"/>
      <c r="QMH368" s="153"/>
      <c r="QMI368" s="648"/>
      <c r="QMJ368" s="641"/>
      <c r="QMK368" s="642" t="s">
        <v>1841</v>
      </c>
      <c r="QML368" s="643"/>
      <c r="QMM368" s="644"/>
      <c r="QMN368" s="644">
        <v>2013</v>
      </c>
      <c r="QMO368" s="644">
        <v>2014</v>
      </c>
      <c r="QMP368" s="644">
        <v>2015</v>
      </c>
      <c r="QMQ368" s="644">
        <v>2016</v>
      </c>
      <c r="QMR368" s="644">
        <v>2017</v>
      </c>
      <c r="QMS368" s="645">
        <v>2018</v>
      </c>
      <c r="QMT368" s="646">
        <v>2019</v>
      </c>
      <c r="QMU368" s="647">
        <v>2020</v>
      </c>
      <c r="QMV368" s="153"/>
      <c r="QMW368" s="153"/>
      <c r="QMX368" s="153"/>
      <c r="QMY368" s="648"/>
      <c r="QMZ368" s="641"/>
      <c r="QNA368" s="642" t="s">
        <v>1841</v>
      </c>
      <c r="QNB368" s="643"/>
      <c r="QNC368" s="644"/>
      <c r="QND368" s="644">
        <v>2013</v>
      </c>
      <c r="QNE368" s="644">
        <v>2014</v>
      </c>
      <c r="QNF368" s="644">
        <v>2015</v>
      </c>
      <c r="QNG368" s="644">
        <v>2016</v>
      </c>
      <c r="QNH368" s="644">
        <v>2017</v>
      </c>
      <c r="QNI368" s="645">
        <v>2018</v>
      </c>
      <c r="QNJ368" s="646">
        <v>2019</v>
      </c>
      <c r="QNK368" s="647">
        <v>2020</v>
      </c>
      <c r="QNL368" s="153"/>
      <c r="QNM368" s="153"/>
      <c r="QNN368" s="153"/>
      <c r="QNO368" s="648"/>
      <c r="QNP368" s="641"/>
      <c r="QNQ368" s="642" t="s">
        <v>1841</v>
      </c>
      <c r="QNR368" s="643"/>
      <c r="QNS368" s="644"/>
      <c r="QNT368" s="644">
        <v>2013</v>
      </c>
      <c r="QNU368" s="644">
        <v>2014</v>
      </c>
      <c r="QNV368" s="644">
        <v>2015</v>
      </c>
      <c r="QNW368" s="644">
        <v>2016</v>
      </c>
      <c r="QNX368" s="644">
        <v>2017</v>
      </c>
      <c r="QNY368" s="645">
        <v>2018</v>
      </c>
      <c r="QNZ368" s="646">
        <v>2019</v>
      </c>
      <c r="QOA368" s="647">
        <v>2020</v>
      </c>
      <c r="QOB368" s="153"/>
      <c r="QOC368" s="153"/>
      <c r="QOD368" s="153"/>
      <c r="QOE368" s="648"/>
      <c r="QOF368" s="641"/>
      <c r="QOG368" s="642" t="s">
        <v>1841</v>
      </c>
      <c r="QOH368" s="643"/>
      <c r="QOI368" s="644"/>
      <c r="QOJ368" s="644">
        <v>2013</v>
      </c>
      <c r="QOK368" s="644">
        <v>2014</v>
      </c>
      <c r="QOL368" s="644">
        <v>2015</v>
      </c>
      <c r="QOM368" s="644">
        <v>2016</v>
      </c>
      <c r="QON368" s="644">
        <v>2017</v>
      </c>
      <c r="QOO368" s="645">
        <v>2018</v>
      </c>
      <c r="QOP368" s="646">
        <v>2019</v>
      </c>
      <c r="QOQ368" s="647">
        <v>2020</v>
      </c>
      <c r="QOR368" s="153"/>
      <c r="QOS368" s="153"/>
      <c r="QOT368" s="153"/>
      <c r="QOU368" s="648"/>
      <c r="QOV368" s="641"/>
      <c r="QOW368" s="642" t="s">
        <v>1841</v>
      </c>
      <c r="QOX368" s="643"/>
      <c r="QOY368" s="644"/>
      <c r="QOZ368" s="644">
        <v>2013</v>
      </c>
      <c r="QPA368" s="644">
        <v>2014</v>
      </c>
      <c r="QPB368" s="644">
        <v>2015</v>
      </c>
      <c r="QPC368" s="644">
        <v>2016</v>
      </c>
      <c r="QPD368" s="644">
        <v>2017</v>
      </c>
      <c r="QPE368" s="645">
        <v>2018</v>
      </c>
      <c r="QPF368" s="646">
        <v>2019</v>
      </c>
      <c r="QPG368" s="647">
        <v>2020</v>
      </c>
      <c r="QPH368" s="153"/>
      <c r="QPI368" s="153"/>
      <c r="QPJ368" s="153"/>
      <c r="QPK368" s="648"/>
      <c r="QPL368" s="641"/>
      <c r="QPM368" s="642" t="s">
        <v>1841</v>
      </c>
      <c r="QPN368" s="643"/>
      <c r="QPO368" s="644"/>
      <c r="QPP368" s="644">
        <v>2013</v>
      </c>
      <c r="QPQ368" s="644">
        <v>2014</v>
      </c>
      <c r="QPR368" s="644">
        <v>2015</v>
      </c>
      <c r="QPS368" s="644">
        <v>2016</v>
      </c>
      <c r="QPT368" s="644">
        <v>2017</v>
      </c>
      <c r="QPU368" s="645">
        <v>2018</v>
      </c>
      <c r="QPV368" s="646">
        <v>2019</v>
      </c>
      <c r="QPW368" s="647">
        <v>2020</v>
      </c>
      <c r="QPX368" s="153"/>
      <c r="QPY368" s="153"/>
      <c r="QPZ368" s="153"/>
      <c r="QQA368" s="648"/>
      <c r="QQB368" s="641"/>
      <c r="QQC368" s="642" t="s">
        <v>1841</v>
      </c>
      <c r="QQD368" s="643"/>
      <c r="QQE368" s="644"/>
      <c r="QQF368" s="644">
        <v>2013</v>
      </c>
      <c r="QQG368" s="644">
        <v>2014</v>
      </c>
      <c r="QQH368" s="644">
        <v>2015</v>
      </c>
      <c r="QQI368" s="644">
        <v>2016</v>
      </c>
      <c r="QQJ368" s="644">
        <v>2017</v>
      </c>
      <c r="QQK368" s="645">
        <v>2018</v>
      </c>
      <c r="QQL368" s="646">
        <v>2019</v>
      </c>
      <c r="QQM368" s="647">
        <v>2020</v>
      </c>
      <c r="QQN368" s="153"/>
      <c r="QQO368" s="153"/>
      <c r="QQP368" s="153"/>
      <c r="QQQ368" s="648"/>
      <c r="QQR368" s="641"/>
      <c r="QQS368" s="642" t="s">
        <v>1841</v>
      </c>
      <c r="QQT368" s="643"/>
      <c r="QQU368" s="644"/>
      <c r="QQV368" s="644">
        <v>2013</v>
      </c>
      <c r="QQW368" s="644">
        <v>2014</v>
      </c>
      <c r="QQX368" s="644">
        <v>2015</v>
      </c>
      <c r="QQY368" s="644">
        <v>2016</v>
      </c>
      <c r="QQZ368" s="644">
        <v>2017</v>
      </c>
      <c r="QRA368" s="645">
        <v>2018</v>
      </c>
      <c r="QRB368" s="646">
        <v>2019</v>
      </c>
      <c r="QRC368" s="647">
        <v>2020</v>
      </c>
      <c r="QRD368" s="153"/>
      <c r="QRE368" s="153"/>
      <c r="QRF368" s="153"/>
      <c r="QRG368" s="648"/>
      <c r="QRH368" s="641"/>
      <c r="QRI368" s="642" t="s">
        <v>1841</v>
      </c>
      <c r="QRJ368" s="643"/>
      <c r="QRK368" s="644"/>
      <c r="QRL368" s="644">
        <v>2013</v>
      </c>
      <c r="QRM368" s="644">
        <v>2014</v>
      </c>
      <c r="QRN368" s="644">
        <v>2015</v>
      </c>
      <c r="QRO368" s="644">
        <v>2016</v>
      </c>
      <c r="QRP368" s="644">
        <v>2017</v>
      </c>
      <c r="QRQ368" s="645">
        <v>2018</v>
      </c>
      <c r="QRR368" s="646">
        <v>2019</v>
      </c>
      <c r="QRS368" s="647">
        <v>2020</v>
      </c>
      <c r="QRT368" s="153"/>
      <c r="QRU368" s="153"/>
      <c r="QRV368" s="153"/>
      <c r="QRW368" s="648"/>
      <c r="QRX368" s="641"/>
      <c r="QRY368" s="642" t="s">
        <v>1841</v>
      </c>
      <c r="QRZ368" s="643"/>
      <c r="QSA368" s="644"/>
      <c r="QSB368" s="644">
        <v>2013</v>
      </c>
      <c r="QSC368" s="644">
        <v>2014</v>
      </c>
      <c r="QSD368" s="644">
        <v>2015</v>
      </c>
      <c r="QSE368" s="644">
        <v>2016</v>
      </c>
      <c r="QSF368" s="644">
        <v>2017</v>
      </c>
      <c r="QSG368" s="645">
        <v>2018</v>
      </c>
      <c r="QSH368" s="646">
        <v>2019</v>
      </c>
      <c r="QSI368" s="647">
        <v>2020</v>
      </c>
      <c r="QSJ368" s="153"/>
      <c r="QSK368" s="153"/>
      <c r="QSL368" s="153"/>
      <c r="QSM368" s="648"/>
      <c r="QSN368" s="641"/>
      <c r="QSO368" s="642" t="s">
        <v>1841</v>
      </c>
      <c r="QSP368" s="643"/>
      <c r="QSQ368" s="644"/>
      <c r="QSR368" s="644">
        <v>2013</v>
      </c>
      <c r="QSS368" s="644">
        <v>2014</v>
      </c>
      <c r="QST368" s="644">
        <v>2015</v>
      </c>
      <c r="QSU368" s="644">
        <v>2016</v>
      </c>
      <c r="QSV368" s="644">
        <v>2017</v>
      </c>
      <c r="QSW368" s="645">
        <v>2018</v>
      </c>
      <c r="QSX368" s="646">
        <v>2019</v>
      </c>
      <c r="QSY368" s="647">
        <v>2020</v>
      </c>
      <c r="QSZ368" s="153"/>
      <c r="QTA368" s="153"/>
      <c r="QTB368" s="153"/>
      <c r="QTC368" s="648"/>
      <c r="QTD368" s="641"/>
      <c r="QTE368" s="642" t="s">
        <v>1841</v>
      </c>
      <c r="QTF368" s="643"/>
      <c r="QTG368" s="644"/>
      <c r="QTH368" s="644">
        <v>2013</v>
      </c>
      <c r="QTI368" s="644">
        <v>2014</v>
      </c>
      <c r="QTJ368" s="644">
        <v>2015</v>
      </c>
      <c r="QTK368" s="644">
        <v>2016</v>
      </c>
      <c r="QTL368" s="644">
        <v>2017</v>
      </c>
      <c r="QTM368" s="645">
        <v>2018</v>
      </c>
      <c r="QTN368" s="646">
        <v>2019</v>
      </c>
      <c r="QTO368" s="647">
        <v>2020</v>
      </c>
      <c r="QTP368" s="153"/>
      <c r="QTQ368" s="153"/>
      <c r="QTR368" s="153"/>
      <c r="QTS368" s="648"/>
      <c r="QTT368" s="641"/>
      <c r="QTU368" s="642" t="s">
        <v>1841</v>
      </c>
      <c r="QTV368" s="643"/>
      <c r="QTW368" s="644"/>
      <c r="QTX368" s="644">
        <v>2013</v>
      </c>
      <c r="QTY368" s="644">
        <v>2014</v>
      </c>
      <c r="QTZ368" s="644">
        <v>2015</v>
      </c>
      <c r="QUA368" s="644">
        <v>2016</v>
      </c>
      <c r="QUB368" s="644">
        <v>2017</v>
      </c>
      <c r="QUC368" s="645">
        <v>2018</v>
      </c>
      <c r="QUD368" s="646">
        <v>2019</v>
      </c>
      <c r="QUE368" s="647">
        <v>2020</v>
      </c>
      <c r="QUF368" s="153"/>
      <c r="QUG368" s="153"/>
      <c r="QUH368" s="153"/>
      <c r="QUI368" s="648"/>
      <c r="QUJ368" s="641"/>
      <c r="QUK368" s="642" t="s">
        <v>1841</v>
      </c>
      <c r="QUL368" s="643"/>
      <c r="QUM368" s="644"/>
      <c r="QUN368" s="644">
        <v>2013</v>
      </c>
      <c r="QUO368" s="644">
        <v>2014</v>
      </c>
      <c r="QUP368" s="644">
        <v>2015</v>
      </c>
      <c r="QUQ368" s="644">
        <v>2016</v>
      </c>
      <c r="QUR368" s="644">
        <v>2017</v>
      </c>
      <c r="QUS368" s="645">
        <v>2018</v>
      </c>
      <c r="QUT368" s="646">
        <v>2019</v>
      </c>
      <c r="QUU368" s="647">
        <v>2020</v>
      </c>
      <c r="QUV368" s="153"/>
      <c r="QUW368" s="153"/>
      <c r="QUX368" s="153"/>
      <c r="QUY368" s="648"/>
      <c r="QUZ368" s="641"/>
      <c r="QVA368" s="642" t="s">
        <v>1841</v>
      </c>
      <c r="QVB368" s="643"/>
      <c r="QVC368" s="644"/>
      <c r="QVD368" s="644">
        <v>2013</v>
      </c>
      <c r="QVE368" s="644">
        <v>2014</v>
      </c>
      <c r="QVF368" s="644">
        <v>2015</v>
      </c>
      <c r="QVG368" s="644">
        <v>2016</v>
      </c>
      <c r="QVH368" s="644">
        <v>2017</v>
      </c>
      <c r="QVI368" s="645">
        <v>2018</v>
      </c>
      <c r="QVJ368" s="646">
        <v>2019</v>
      </c>
      <c r="QVK368" s="647">
        <v>2020</v>
      </c>
      <c r="QVL368" s="153"/>
      <c r="QVM368" s="153"/>
      <c r="QVN368" s="153"/>
      <c r="QVO368" s="648"/>
      <c r="QVP368" s="641"/>
      <c r="QVQ368" s="642" t="s">
        <v>1841</v>
      </c>
      <c r="QVR368" s="643"/>
      <c r="QVS368" s="644"/>
      <c r="QVT368" s="644">
        <v>2013</v>
      </c>
      <c r="QVU368" s="644">
        <v>2014</v>
      </c>
      <c r="QVV368" s="644">
        <v>2015</v>
      </c>
      <c r="QVW368" s="644">
        <v>2016</v>
      </c>
      <c r="QVX368" s="644">
        <v>2017</v>
      </c>
      <c r="QVY368" s="645">
        <v>2018</v>
      </c>
      <c r="QVZ368" s="646">
        <v>2019</v>
      </c>
      <c r="QWA368" s="647">
        <v>2020</v>
      </c>
      <c r="QWB368" s="153"/>
      <c r="QWC368" s="153"/>
      <c r="QWD368" s="153"/>
      <c r="QWE368" s="648"/>
      <c r="QWF368" s="641"/>
      <c r="QWG368" s="642" t="s">
        <v>1841</v>
      </c>
      <c r="QWH368" s="643"/>
      <c r="QWI368" s="644"/>
      <c r="QWJ368" s="644">
        <v>2013</v>
      </c>
      <c r="QWK368" s="644">
        <v>2014</v>
      </c>
      <c r="QWL368" s="644">
        <v>2015</v>
      </c>
      <c r="QWM368" s="644">
        <v>2016</v>
      </c>
      <c r="QWN368" s="644">
        <v>2017</v>
      </c>
      <c r="QWO368" s="645">
        <v>2018</v>
      </c>
      <c r="QWP368" s="646">
        <v>2019</v>
      </c>
      <c r="QWQ368" s="647">
        <v>2020</v>
      </c>
      <c r="QWR368" s="153"/>
      <c r="QWS368" s="153"/>
      <c r="QWT368" s="153"/>
      <c r="QWU368" s="648"/>
      <c r="QWV368" s="641"/>
      <c r="QWW368" s="642" t="s">
        <v>1841</v>
      </c>
      <c r="QWX368" s="643"/>
      <c r="QWY368" s="644"/>
      <c r="QWZ368" s="644">
        <v>2013</v>
      </c>
      <c r="QXA368" s="644">
        <v>2014</v>
      </c>
      <c r="QXB368" s="644">
        <v>2015</v>
      </c>
      <c r="QXC368" s="644">
        <v>2016</v>
      </c>
      <c r="QXD368" s="644">
        <v>2017</v>
      </c>
      <c r="QXE368" s="645">
        <v>2018</v>
      </c>
      <c r="QXF368" s="646">
        <v>2019</v>
      </c>
      <c r="QXG368" s="647">
        <v>2020</v>
      </c>
      <c r="QXH368" s="153"/>
      <c r="QXI368" s="153"/>
      <c r="QXJ368" s="153"/>
      <c r="QXK368" s="648"/>
      <c r="QXL368" s="641"/>
      <c r="QXM368" s="642" t="s">
        <v>1841</v>
      </c>
      <c r="QXN368" s="643"/>
      <c r="QXO368" s="644"/>
      <c r="QXP368" s="644">
        <v>2013</v>
      </c>
      <c r="QXQ368" s="644">
        <v>2014</v>
      </c>
      <c r="QXR368" s="644">
        <v>2015</v>
      </c>
      <c r="QXS368" s="644">
        <v>2016</v>
      </c>
      <c r="QXT368" s="644">
        <v>2017</v>
      </c>
      <c r="QXU368" s="645">
        <v>2018</v>
      </c>
      <c r="QXV368" s="646">
        <v>2019</v>
      </c>
      <c r="QXW368" s="647">
        <v>2020</v>
      </c>
      <c r="QXX368" s="153"/>
      <c r="QXY368" s="153"/>
      <c r="QXZ368" s="153"/>
      <c r="QYA368" s="648"/>
      <c r="QYB368" s="641"/>
      <c r="QYC368" s="642" t="s">
        <v>1841</v>
      </c>
      <c r="QYD368" s="643"/>
      <c r="QYE368" s="644"/>
      <c r="QYF368" s="644">
        <v>2013</v>
      </c>
      <c r="QYG368" s="644">
        <v>2014</v>
      </c>
      <c r="QYH368" s="644">
        <v>2015</v>
      </c>
      <c r="QYI368" s="644">
        <v>2016</v>
      </c>
      <c r="QYJ368" s="644">
        <v>2017</v>
      </c>
      <c r="QYK368" s="645">
        <v>2018</v>
      </c>
      <c r="QYL368" s="646">
        <v>2019</v>
      </c>
      <c r="QYM368" s="647">
        <v>2020</v>
      </c>
      <c r="QYN368" s="153"/>
      <c r="QYO368" s="153"/>
      <c r="QYP368" s="153"/>
      <c r="QYQ368" s="648"/>
      <c r="QYR368" s="641"/>
      <c r="QYS368" s="642" t="s">
        <v>1841</v>
      </c>
      <c r="QYT368" s="643"/>
      <c r="QYU368" s="644"/>
      <c r="QYV368" s="644">
        <v>2013</v>
      </c>
      <c r="QYW368" s="644">
        <v>2014</v>
      </c>
      <c r="QYX368" s="644">
        <v>2015</v>
      </c>
      <c r="QYY368" s="644">
        <v>2016</v>
      </c>
      <c r="QYZ368" s="644">
        <v>2017</v>
      </c>
      <c r="QZA368" s="645">
        <v>2018</v>
      </c>
      <c r="QZB368" s="646">
        <v>2019</v>
      </c>
      <c r="QZC368" s="647">
        <v>2020</v>
      </c>
      <c r="QZD368" s="153"/>
      <c r="QZE368" s="153"/>
      <c r="QZF368" s="153"/>
      <c r="QZG368" s="648"/>
      <c r="QZH368" s="641"/>
      <c r="QZI368" s="642" t="s">
        <v>1841</v>
      </c>
      <c r="QZJ368" s="643"/>
      <c r="QZK368" s="644"/>
      <c r="QZL368" s="644">
        <v>2013</v>
      </c>
      <c r="QZM368" s="644">
        <v>2014</v>
      </c>
      <c r="QZN368" s="644">
        <v>2015</v>
      </c>
      <c r="QZO368" s="644">
        <v>2016</v>
      </c>
      <c r="QZP368" s="644">
        <v>2017</v>
      </c>
      <c r="QZQ368" s="645">
        <v>2018</v>
      </c>
      <c r="QZR368" s="646">
        <v>2019</v>
      </c>
      <c r="QZS368" s="647">
        <v>2020</v>
      </c>
      <c r="QZT368" s="153"/>
      <c r="QZU368" s="153"/>
      <c r="QZV368" s="153"/>
      <c r="QZW368" s="648"/>
      <c r="QZX368" s="641"/>
      <c r="QZY368" s="642" t="s">
        <v>1841</v>
      </c>
      <c r="QZZ368" s="643"/>
      <c r="RAA368" s="644"/>
      <c r="RAB368" s="644">
        <v>2013</v>
      </c>
      <c r="RAC368" s="644">
        <v>2014</v>
      </c>
      <c r="RAD368" s="644">
        <v>2015</v>
      </c>
      <c r="RAE368" s="644">
        <v>2016</v>
      </c>
      <c r="RAF368" s="644">
        <v>2017</v>
      </c>
      <c r="RAG368" s="645">
        <v>2018</v>
      </c>
      <c r="RAH368" s="646">
        <v>2019</v>
      </c>
      <c r="RAI368" s="647">
        <v>2020</v>
      </c>
      <c r="RAJ368" s="153"/>
      <c r="RAK368" s="153"/>
      <c r="RAL368" s="153"/>
      <c r="RAM368" s="648"/>
      <c r="RAN368" s="641"/>
      <c r="RAO368" s="642" t="s">
        <v>1841</v>
      </c>
      <c r="RAP368" s="643"/>
      <c r="RAQ368" s="644"/>
      <c r="RAR368" s="644">
        <v>2013</v>
      </c>
      <c r="RAS368" s="644">
        <v>2014</v>
      </c>
      <c r="RAT368" s="644">
        <v>2015</v>
      </c>
      <c r="RAU368" s="644">
        <v>2016</v>
      </c>
      <c r="RAV368" s="644">
        <v>2017</v>
      </c>
      <c r="RAW368" s="645">
        <v>2018</v>
      </c>
      <c r="RAX368" s="646">
        <v>2019</v>
      </c>
      <c r="RAY368" s="647">
        <v>2020</v>
      </c>
      <c r="RAZ368" s="153"/>
      <c r="RBA368" s="153"/>
      <c r="RBB368" s="153"/>
      <c r="RBC368" s="648"/>
      <c r="RBD368" s="641"/>
      <c r="RBE368" s="642" t="s">
        <v>1841</v>
      </c>
      <c r="RBF368" s="643"/>
      <c r="RBG368" s="644"/>
      <c r="RBH368" s="644">
        <v>2013</v>
      </c>
      <c r="RBI368" s="644">
        <v>2014</v>
      </c>
      <c r="RBJ368" s="644">
        <v>2015</v>
      </c>
      <c r="RBK368" s="644">
        <v>2016</v>
      </c>
      <c r="RBL368" s="644">
        <v>2017</v>
      </c>
      <c r="RBM368" s="645">
        <v>2018</v>
      </c>
      <c r="RBN368" s="646">
        <v>2019</v>
      </c>
      <c r="RBO368" s="647">
        <v>2020</v>
      </c>
      <c r="RBP368" s="153"/>
      <c r="RBQ368" s="153"/>
      <c r="RBR368" s="153"/>
      <c r="RBS368" s="648"/>
      <c r="RBT368" s="641"/>
      <c r="RBU368" s="642" t="s">
        <v>1841</v>
      </c>
      <c r="RBV368" s="643"/>
      <c r="RBW368" s="644"/>
      <c r="RBX368" s="644">
        <v>2013</v>
      </c>
      <c r="RBY368" s="644">
        <v>2014</v>
      </c>
      <c r="RBZ368" s="644">
        <v>2015</v>
      </c>
      <c r="RCA368" s="644">
        <v>2016</v>
      </c>
      <c r="RCB368" s="644">
        <v>2017</v>
      </c>
      <c r="RCC368" s="645">
        <v>2018</v>
      </c>
      <c r="RCD368" s="646">
        <v>2019</v>
      </c>
      <c r="RCE368" s="647">
        <v>2020</v>
      </c>
      <c r="RCF368" s="153"/>
      <c r="RCG368" s="153"/>
      <c r="RCH368" s="153"/>
      <c r="RCI368" s="648"/>
      <c r="RCJ368" s="641"/>
      <c r="RCK368" s="642" t="s">
        <v>1841</v>
      </c>
      <c r="RCL368" s="643"/>
      <c r="RCM368" s="644"/>
      <c r="RCN368" s="644">
        <v>2013</v>
      </c>
      <c r="RCO368" s="644">
        <v>2014</v>
      </c>
      <c r="RCP368" s="644">
        <v>2015</v>
      </c>
      <c r="RCQ368" s="644">
        <v>2016</v>
      </c>
      <c r="RCR368" s="644">
        <v>2017</v>
      </c>
      <c r="RCS368" s="645">
        <v>2018</v>
      </c>
      <c r="RCT368" s="646">
        <v>2019</v>
      </c>
      <c r="RCU368" s="647">
        <v>2020</v>
      </c>
      <c r="RCV368" s="153"/>
      <c r="RCW368" s="153"/>
      <c r="RCX368" s="153"/>
      <c r="RCY368" s="648"/>
      <c r="RCZ368" s="641"/>
      <c r="RDA368" s="642" t="s">
        <v>1841</v>
      </c>
      <c r="RDB368" s="643"/>
      <c r="RDC368" s="644"/>
      <c r="RDD368" s="644">
        <v>2013</v>
      </c>
      <c r="RDE368" s="644">
        <v>2014</v>
      </c>
      <c r="RDF368" s="644">
        <v>2015</v>
      </c>
      <c r="RDG368" s="644">
        <v>2016</v>
      </c>
      <c r="RDH368" s="644">
        <v>2017</v>
      </c>
      <c r="RDI368" s="645">
        <v>2018</v>
      </c>
      <c r="RDJ368" s="646">
        <v>2019</v>
      </c>
      <c r="RDK368" s="647">
        <v>2020</v>
      </c>
      <c r="RDL368" s="153"/>
      <c r="RDM368" s="153"/>
      <c r="RDN368" s="153"/>
      <c r="RDO368" s="648"/>
      <c r="RDP368" s="641"/>
      <c r="RDQ368" s="642" t="s">
        <v>1841</v>
      </c>
      <c r="RDR368" s="643"/>
      <c r="RDS368" s="644"/>
      <c r="RDT368" s="644">
        <v>2013</v>
      </c>
      <c r="RDU368" s="644">
        <v>2014</v>
      </c>
      <c r="RDV368" s="644">
        <v>2015</v>
      </c>
      <c r="RDW368" s="644">
        <v>2016</v>
      </c>
      <c r="RDX368" s="644">
        <v>2017</v>
      </c>
      <c r="RDY368" s="645">
        <v>2018</v>
      </c>
      <c r="RDZ368" s="646">
        <v>2019</v>
      </c>
      <c r="REA368" s="647">
        <v>2020</v>
      </c>
      <c r="REB368" s="153"/>
      <c r="REC368" s="153"/>
      <c r="RED368" s="153"/>
      <c r="REE368" s="648"/>
      <c r="REF368" s="641"/>
      <c r="REG368" s="642" t="s">
        <v>1841</v>
      </c>
      <c r="REH368" s="643"/>
      <c r="REI368" s="644"/>
      <c r="REJ368" s="644">
        <v>2013</v>
      </c>
      <c r="REK368" s="644">
        <v>2014</v>
      </c>
      <c r="REL368" s="644">
        <v>2015</v>
      </c>
      <c r="REM368" s="644">
        <v>2016</v>
      </c>
      <c r="REN368" s="644">
        <v>2017</v>
      </c>
      <c r="REO368" s="645">
        <v>2018</v>
      </c>
      <c r="REP368" s="646">
        <v>2019</v>
      </c>
      <c r="REQ368" s="647">
        <v>2020</v>
      </c>
      <c r="RER368" s="153"/>
      <c r="RES368" s="153"/>
      <c r="RET368" s="153"/>
      <c r="REU368" s="648"/>
      <c r="REV368" s="641"/>
      <c r="REW368" s="642" t="s">
        <v>1841</v>
      </c>
      <c r="REX368" s="643"/>
      <c r="REY368" s="644"/>
      <c r="REZ368" s="644">
        <v>2013</v>
      </c>
      <c r="RFA368" s="644">
        <v>2014</v>
      </c>
      <c r="RFB368" s="644">
        <v>2015</v>
      </c>
      <c r="RFC368" s="644">
        <v>2016</v>
      </c>
      <c r="RFD368" s="644">
        <v>2017</v>
      </c>
      <c r="RFE368" s="645">
        <v>2018</v>
      </c>
      <c r="RFF368" s="646">
        <v>2019</v>
      </c>
      <c r="RFG368" s="647">
        <v>2020</v>
      </c>
      <c r="RFH368" s="153"/>
      <c r="RFI368" s="153"/>
      <c r="RFJ368" s="153"/>
      <c r="RFK368" s="648"/>
      <c r="RFL368" s="641"/>
      <c r="RFM368" s="642" t="s">
        <v>1841</v>
      </c>
      <c r="RFN368" s="643"/>
      <c r="RFO368" s="644"/>
      <c r="RFP368" s="644">
        <v>2013</v>
      </c>
      <c r="RFQ368" s="644">
        <v>2014</v>
      </c>
      <c r="RFR368" s="644">
        <v>2015</v>
      </c>
      <c r="RFS368" s="644">
        <v>2016</v>
      </c>
      <c r="RFT368" s="644">
        <v>2017</v>
      </c>
      <c r="RFU368" s="645">
        <v>2018</v>
      </c>
      <c r="RFV368" s="646">
        <v>2019</v>
      </c>
      <c r="RFW368" s="647">
        <v>2020</v>
      </c>
      <c r="RFX368" s="153"/>
      <c r="RFY368" s="153"/>
      <c r="RFZ368" s="153"/>
      <c r="RGA368" s="648"/>
      <c r="RGB368" s="641"/>
      <c r="RGC368" s="642" t="s">
        <v>1841</v>
      </c>
      <c r="RGD368" s="643"/>
      <c r="RGE368" s="644"/>
      <c r="RGF368" s="644">
        <v>2013</v>
      </c>
      <c r="RGG368" s="644">
        <v>2014</v>
      </c>
      <c r="RGH368" s="644">
        <v>2015</v>
      </c>
      <c r="RGI368" s="644">
        <v>2016</v>
      </c>
      <c r="RGJ368" s="644">
        <v>2017</v>
      </c>
      <c r="RGK368" s="645">
        <v>2018</v>
      </c>
      <c r="RGL368" s="646">
        <v>2019</v>
      </c>
      <c r="RGM368" s="647">
        <v>2020</v>
      </c>
      <c r="RGN368" s="153"/>
      <c r="RGO368" s="153"/>
      <c r="RGP368" s="153"/>
      <c r="RGQ368" s="648"/>
      <c r="RGR368" s="641"/>
      <c r="RGS368" s="642" t="s">
        <v>1841</v>
      </c>
      <c r="RGT368" s="643"/>
      <c r="RGU368" s="644"/>
      <c r="RGV368" s="644">
        <v>2013</v>
      </c>
      <c r="RGW368" s="644">
        <v>2014</v>
      </c>
      <c r="RGX368" s="644">
        <v>2015</v>
      </c>
      <c r="RGY368" s="644">
        <v>2016</v>
      </c>
      <c r="RGZ368" s="644">
        <v>2017</v>
      </c>
      <c r="RHA368" s="645">
        <v>2018</v>
      </c>
      <c r="RHB368" s="646">
        <v>2019</v>
      </c>
      <c r="RHC368" s="647">
        <v>2020</v>
      </c>
      <c r="RHD368" s="153"/>
      <c r="RHE368" s="153"/>
      <c r="RHF368" s="153"/>
      <c r="RHG368" s="648"/>
      <c r="RHH368" s="641"/>
      <c r="RHI368" s="642" t="s">
        <v>1841</v>
      </c>
      <c r="RHJ368" s="643"/>
      <c r="RHK368" s="644"/>
      <c r="RHL368" s="644">
        <v>2013</v>
      </c>
      <c r="RHM368" s="644">
        <v>2014</v>
      </c>
      <c r="RHN368" s="644">
        <v>2015</v>
      </c>
      <c r="RHO368" s="644">
        <v>2016</v>
      </c>
      <c r="RHP368" s="644">
        <v>2017</v>
      </c>
      <c r="RHQ368" s="645">
        <v>2018</v>
      </c>
      <c r="RHR368" s="646">
        <v>2019</v>
      </c>
      <c r="RHS368" s="647">
        <v>2020</v>
      </c>
      <c r="RHT368" s="153"/>
      <c r="RHU368" s="153"/>
      <c r="RHV368" s="153"/>
      <c r="RHW368" s="648"/>
      <c r="RHX368" s="641"/>
      <c r="RHY368" s="642" t="s">
        <v>1841</v>
      </c>
      <c r="RHZ368" s="643"/>
      <c r="RIA368" s="644"/>
      <c r="RIB368" s="644">
        <v>2013</v>
      </c>
      <c r="RIC368" s="644">
        <v>2014</v>
      </c>
      <c r="RID368" s="644">
        <v>2015</v>
      </c>
      <c r="RIE368" s="644">
        <v>2016</v>
      </c>
      <c r="RIF368" s="644">
        <v>2017</v>
      </c>
      <c r="RIG368" s="645">
        <v>2018</v>
      </c>
      <c r="RIH368" s="646">
        <v>2019</v>
      </c>
      <c r="RII368" s="647">
        <v>2020</v>
      </c>
      <c r="RIJ368" s="153"/>
      <c r="RIK368" s="153"/>
      <c r="RIL368" s="153"/>
      <c r="RIM368" s="648"/>
      <c r="RIN368" s="641"/>
      <c r="RIO368" s="642" t="s">
        <v>1841</v>
      </c>
      <c r="RIP368" s="643"/>
      <c r="RIQ368" s="644"/>
      <c r="RIR368" s="644">
        <v>2013</v>
      </c>
      <c r="RIS368" s="644">
        <v>2014</v>
      </c>
      <c r="RIT368" s="644">
        <v>2015</v>
      </c>
      <c r="RIU368" s="644">
        <v>2016</v>
      </c>
      <c r="RIV368" s="644">
        <v>2017</v>
      </c>
      <c r="RIW368" s="645">
        <v>2018</v>
      </c>
      <c r="RIX368" s="646">
        <v>2019</v>
      </c>
      <c r="RIY368" s="647">
        <v>2020</v>
      </c>
      <c r="RIZ368" s="153"/>
      <c r="RJA368" s="153"/>
      <c r="RJB368" s="153"/>
      <c r="RJC368" s="648"/>
      <c r="RJD368" s="641"/>
      <c r="RJE368" s="642" t="s">
        <v>1841</v>
      </c>
      <c r="RJF368" s="643"/>
      <c r="RJG368" s="644"/>
      <c r="RJH368" s="644">
        <v>2013</v>
      </c>
      <c r="RJI368" s="644">
        <v>2014</v>
      </c>
      <c r="RJJ368" s="644">
        <v>2015</v>
      </c>
      <c r="RJK368" s="644">
        <v>2016</v>
      </c>
      <c r="RJL368" s="644">
        <v>2017</v>
      </c>
      <c r="RJM368" s="645">
        <v>2018</v>
      </c>
      <c r="RJN368" s="646">
        <v>2019</v>
      </c>
      <c r="RJO368" s="647">
        <v>2020</v>
      </c>
      <c r="RJP368" s="153"/>
      <c r="RJQ368" s="153"/>
      <c r="RJR368" s="153"/>
      <c r="RJS368" s="648"/>
      <c r="RJT368" s="641"/>
      <c r="RJU368" s="642" t="s">
        <v>1841</v>
      </c>
      <c r="RJV368" s="643"/>
      <c r="RJW368" s="644"/>
      <c r="RJX368" s="644">
        <v>2013</v>
      </c>
      <c r="RJY368" s="644">
        <v>2014</v>
      </c>
      <c r="RJZ368" s="644">
        <v>2015</v>
      </c>
      <c r="RKA368" s="644">
        <v>2016</v>
      </c>
      <c r="RKB368" s="644">
        <v>2017</v>
      </c>
      <c r="RKC368" s="645">
        <v>2018</v>
      </c>
      <c r="RKD368" s="646">
        <v>2019</v>
      </c>
      <c r="RKE368" s="647">
        <v>2020</v>
      </c>
      <c r="RKF368" s="153"/>
      <c r="RKG368" s="153"/>
      <c r="RKH368" s="153"/>
      <c r="RKI368" s="648"/>
      <c r="RKJ368" s="641"/>
      <c r="RKK368" s="642" t="s">
        <v>1841</v>
      </c>
      <c r="RKL368" s="643"/>
      <c r="RKM368" s="644"/>
      <c r="RKN368" s="644">
        <v>2013</v>
      </c>
      <c r="RKO368" s="644">
        <v>2014</v>
      </c>
      <c r="RKP368" s="644">
        <v>2015</v>
      </c>
      <c r="RKQ368" s="644">
        <v>2016</v>
      </c>
      <c r="RKR368" s="644">
        <v>2017</v>
      </c>
      <c r="RKS368" s="645">
        <v>2018</v>
      </c>
      <c r="RKT368" s="646">
        <v>2019</v>
      </c>
      <c r="RKU368" s="647">
        <v>2020</v>
      </c>
      <c r="RKV368" s="153"/>
      <c r="RKW368" s="153"/>
      <c r="RKX368" s="153"/>
      <c r="RKY368" s="648"/>
      <c r="RKZ368" s="641"/>
      <c r="RLA368" s="642" t="s">
        <v>1841</v>
      </c>
      <c r="RLB368" s="643"/>
      <c r="RLC368" s="644"/>
      <c r="RLD368" s="644">
        <v>2013</v>
      </c>
      <c r="RLE368" s="644">
        <v>2014</v>
      </c>
      <c r="RLF368" s="644">
        <v>2015</v>
      </c>
      <c r="RLG368" s="644">
        <v>2016</v>
      </c>
      <c r="RLH368" s="644">
        <v>2017</v>
      </c>
      <c r="RLI368" s="645">
        <v>2018</v>
      </c>
      <c r="RLJ368" s="646">
        <v>2019</v>
      </c>
      <c r="RLK368" s="647">
        <v>2020</v>
      </c>
      <c r="RLL368" s="153"/>
      <c r="RLM368" s="153"/>
      <c r="RLN368" s="153"/>
      <c r="RLO368" s="648"/>
      <c r="RLP368" s="641"/>
      <c r="RLQ368" s="642" t="s">
        <v>1841</v>
      </c>
      <c r="RLR368" s="643"/>
      <c r="RLS368" s="644"/>
      <c r="RLT368" s="644">
        <v>2013</v>
      </c>
      <c r="RLU368" s="644">
        <v>2014</v>
      </c>
      <c r="RLV368" s="644">
        <v>2015</v>
      </c>
      <c r="RLW368" s="644">
        <v>2016</v>
      </c>
      <c r="RLX368" s="644">
        <v>2017</v>
      </c>
      <c r="RLY368" s="645">
        <v>2018</v>
      </c>
      <c r="RLZ368" s="646">
        <v>2019</v>
      </c>
      <c r="RMA368" s="647">
        <v>2020</v>
      </c>
      <c r="RMB368" s="153"/>
      <c r="RMC368" s="153"/>
      <c r="RMD368" s="153"/>
      <c r="RME368" s="648"/>
      <c r="RMF368" s="641"/>
      <c r="RMG368" s="642" t="s">
        <v>1841</v>
      </c>
      <c r="RMH368" s="643"/>
      <c r="RMI368" s="644"/>
      <c r="RMJ368" s="644">
        <v>2013</v>
      </c>
      <c r="RMK368" s="644">
        <v>2014</v>
      </c>
      <c r="RML368" s="644">
        <v>2015</v>
      </c>
      <c r="RMM368" s="644">
        <v>2016</v>
      </c>
      <c r="RMN368" s="644">
        <v>2017</v>
      </c>
      <c r="RMO368" s="645">
        <v>2018</v>
      </c>
      <c r="RMP368" s="646">
        <v>2019</v>
      </c>
      <c r="RMQ368" s="647">
        <v>2020</v>
      </c>
      <c r="RMR368" s="153"/>
      <c r="RMS368" s="153"/>
      <c r="RMT368" s="153"/>
      <c r="RMU368" s="648"/>
      <c r="RMV368" s="641"/>
      <c r="RMW368" s="642" t="s">
        <v>1841</v>
      </c>
      <c r="RMX368" s="643"/>
      <c r="RMY368" s="644"/>
      <c r="RMZ368" s="644">
        <v>2013</v>
      </c>
      <c r="RNA368" s="644">
        <v>2014</v>
      </c>
      <c r="RNB368" s="644">
        <v>2015</v>
      </c>
      <c r="RNC368" s="644">
        <v>2016</v>
      </c>
      <c r="RND368" s="644">
        <v>2017</v>
      </c>
      <c r="RNE368" s="645">
        <v>2018</v>
      </c>
      <c r="RNF368" s="646">
        <v>2019</v>
      </c>
      <c r="RNG368" s="647">
        <v>2020</v>
      </c>
      <c r="RNH368" s="153"/>
      <c r="RNI368" s="153"/>
      <c r="RNJ368" s="153"/>
      <c r="RNK368" s="648"/>
      <c r="RNL368" s="641"/>
      <c r="RNM368" s="642" t="s">
        <v>1841</v>
      </c>
      <c r="RNN368" s="643"/>
      <c r="RNO368" s="644"/>
      <c r="RNP368" s="644">
        <v>2013</v>
      </c>
      <c r="RNQ368" s="644">
        <v>2014</v>
      </c>
      <c r="RNR368" s="644">
        <v>2015</v>
      </c>
      <c r="RNS368" s="644">
        <v>2016</v>
      </c>
      <c r="RNT368" s="644">
        <v>2017</v>
      </c>
      <c r="RNU368" s="645">
        <v>2018</v>
      </c>
      <c r="RNV368" s="646">
        <v>2019</v>
      </c>
      <c r="RNW368" s="647">
        <v>2020</v>
      </c>
      <c r="RNX368" s="153"/>
      <c r="RNY368" s="153"/>
      <c r="RNZ368" s="153"/>
      <c r="ROA368" s="648"/>
      <c r="ROB368" s="641"/>
      <c r="ROC368" s="642" t="s">
        <v>1841</v>
      </c>
      <c r="ROD368" s="643"/>
      <c r="ROE368" s="644"/>
      <c r="ROF368" s="644">
        <v>2013</v>
      </c>
      <c r="ROG368" s="644">
        <v>2014</v>
      </c>
      <c r="ROH368" s="644">
        <v>2015</v>
      </c>
      <c r="ROI368" s="644">
        <v>2016</v>
      </c>
      <c r="ROJ368" s="644">
        <v>2017</v>
      </c>
      <c r="ROK368" s="645">
        <v>2018</v>
      </c>
      <c r="ROL368" s="646">
        <v>2019</v>
      </c>
      <c r="ROM368" s="647">
        <v>2020</v>
      </c>
      <c r="RON368" s="153"/>
      <c r="ROO368" s="153"/>
      <c r="ROP368" s="153"/>
      <c r="ROQ368" s="648"/>
      <c r="ROR368" s="641"/>
      <c r="ROS368" s="642" t="s">
        <v>1841</v>
      </c>
      <c r="ROT368" s="643"/>
      <c r="ROU368" s="644"/>
      <c r="ROV368" s="644">
        <v>2013</v>
      </c>
      <c r="ROW368" s="644">
        <v>2014</v>
      </c>
      <c r="ROX368" s="644">
        <v>2015</v>
      </c>
      <c r="ROY368" s="644">
        <v>2016</v>
      </c>
      <c r="ROZ368" s="644">
        <v>2017</v>
      </c>
      <c r="RPA368" s="645">
        <v>2018</v>
      </c>
      <c r="RPB368" s="646">
        <v>2019</v>
      </c>
      <c r="RPC368" s="647">
        <v>2020</v>
      </c>
      <c r="RPD368" s="153"/>
      <c r="RPE368" s="153"/>
      <c r="RPF368" s="153"/>
      <c r="RPG368" s="648"/>
      <c r="RPH368" s="641"/>
      <c r="RPI368" s="642" t="s">
        <v>1841</v>
      </c>
      <c r="RPJ368" s="643"/>
      <c r="RPK368" s="644"/>
      <c r="RPL368" s="644">
        <v>2013</v>
      </c>
      <c r="RPM368" s="644">
        <v>2014</v>
      </c>
      <c r="RPN368" s="644">
        <v>2015</v>
      </c>
      <c r="RPO368" s="644">
        <v>2016</v>
      </c>
      <c r="RPP368" s="644">
        <v>2017</v>
      </c>
      <c r="RPQ368" s="645">
        <v>2018</v>
      </c>
      <c r="RPR368" s="646">
        <v>2019</v>
      </c>
      <c r="RPS368" s="647">
        <v>2020</v>
      </c>
      <c r="RPT368" s="153"/>
      <c r="RPU368" s="153"/>
      <c r="RPV368" s="153"/>
      <c r="RPW368" s="648"/>
      <c r="RPX368" s="641"/>
      <c r="RPY368" s="642" t="s">
        <v>1841</v>
      </c>
      <c r="RPZ368" s="643"/>
      <c r="RQA368" s="644"/>
      <c r="RQB368" s="644">
        <v>2013</v>
      </c>
      <c r="RQC368" s="644">
        <v>2014</v>
      </c>
      <c r="RQD368" s="644">
        <v>2015</v>
      </c>
      <c r="RQE368" s="644">
        <v>2016</v>
      </c>
      <c r="RQF368" s="644">
        <v>2017</v>
      </c>
      <c r="RQG368" s="645">
        <v>2018</v>
      </c>
      <c r="RQH368" s="646">
        <v>2019</v>
      </c>
      <c r="RQI368" s="647">
        <v>2020</v>
      </c>
      <c r="RQJ368" s="153"/>
      <c r="RQK368" s="153"/>
      <c r="RQL368" s="153"/>
      <c r="RQM368" s="648"/>
      <c r="RQN368" s="641"/>
      <c r="RQO368" s="642" t="s">
        <v>1841</v>
      </c>
      <c r="RQP368" s="643"/>
      <c r="RQQ368" s="644"/>
      <c r="RQR368" s="644">
        <v>2013</v>
      </c>
      <c r="RQS368" s="644">
        <v>2014</v>
      </c>
      <c r="RQT368" s="644">
        <v>2015</v>
      </c>
      <c r="RQU368" s="644">
        <v>2016</v>
      </c>
      <c r="RQV368" s="644">
        <v>2017</v>
      </c>
      <c r="RQW368" s="645">
        <v>2018</v>
      </c>
      <c r="RQX368" s="646">
        <v>2019</v>
      </c>
      <c r="RQY368" s="647">
        <v>2020</v>
      </c>
      <c r="RQZ368" s="153"/>
      <c r="RRA368" s="153"/>
      <c r="RRB368" s="153"/>
      <c r="RRC368" s="648"/>
      <c r="RRD368" s="641"/>
      <c r="RRE368" s="642" t="s">
        <v>1841</v>
      </c>
      <c r="RRF368" s="643"/>
      <c r="RRG368" s="644"/>
      <c r="RRH368" s="644">
        <v>2013</v>
      </c>
      <c r="RRI368" s="644">
        <v>2014</v>
      </c>
      <c r="RRJ368" s="644">
        <v>2015</v>
      </c>
      <c r="RRK368" s="644">
        <v>2016</v>
      </c>
      <c r="RRL368" s="644">
        <v>2017</v>
      </c>
      <c r="RRM368" s="645">
        <v>2018</v>
      </c>
      <c r="RRN368" s="646">
        <v>2019</v>
      </c>
      <c r="RRO368" s="647">
        <v>2020</v>
      </c>
      <c r="RRP368" s="153"/>
      <c r="RRQ368" s="153"/>
      <c r="RRR368" s="153"/>
      <c r="RRS368" s="648"/>
      <c r="RRT368" s="641"/>
      <c r="RRU368" s="642" t="s">
        <v>1841</v>
      </c>
      <c r="RRV368" s="643"/>
      <c r="RRW368" s="644"/>
      <c r="RRX368" s="644">
        <v>2013</v>
      </c>
      <c r="RRY368" s="644">
        <v>2014</v>
      </c>
      <c r="RRZ368" s="644">
        <v>2015</v>
      </c>
      <c r="RSA368" s="644">
        <v>2016</v>
      </c>
      <c r="RSB368" s="644">
        <v>2017</v>
      </c>
      <c r="RSC368" s="645">
        <v>2018</v>
      </c>
      <c r="RSD368" s="646">
        <v>2019</v>
      </c>
      <c r="RSE368" s="647">
        <v>2020</v>
      </c>
      <c r="RSF368" s="153"/>
      <c r="RSG368" s="153"/>
      <c r="RSH368" s="153"/>
      <c r="RSI368" s="648"/>
      <c r="RSJ368" s="641"/>
      <c r="RSK368" s="642" t="s">
        <v>1841</v>
      </c>
      <c r="RSL368" s="643"/>
      <c r="RSM368" s="644"/>
      <c r="RSN368" s="644">
        <v>2013</v>
      </c>
      <c r="RSO368" s="644">
        <v>2014</v>
      </c>
      <c r="RSP368" s="644">
        <v>2015</v>
      </c>
      <c r="RSQ368" s="644">
        <v>2016</v>
      </c>
      <c r="RSR368" s="644">
        <v>2017</v>
      </c>
      <c r="RSS368" s="645">
        <v>2018</v>
      </c>
      <c r="RST368" s="646">
        <v>2019</v>
      </c>
      <c r="RSU368" s="647">
        <v>2020</v>
      </c>
      <c r="RSV368" s="153"/>
      <c r="RSW368" s="153"/>
      <c r="RSX368" s="153"/>
      <c r="RSY368" s="648"/>
      <c r="RSZ368" s="641"/>
      <c r="RTA368" s="642" t="s">
        <v>1841</v>
      </c>
      <c r="RTB368" s="643"/>
      <c r="RTC368" s="644"/>
      <c r="RTD368" s="644">
        <v>2013</v>
      </c>
      <c r="RTE368" s="644">
        <v>2014</v>
      </c>
      <c r="RTF368" s="644">
        <v>2015</v>
      </c>
      <c r="RTG368" s="644">
        <v>2016</v>
      </c>
      <c r="RTH368" s="644">
        <v>2017</v>
      </c>
      <c r="RTI368" s="645">
        <v>2018</v>
      </c>
      <c r="RTJ368" s="646">
        <v>2019</v>
      </c>
      <c r="RTK368" s="647">
        <v>2020</v>
      </c>
      <c r="RTL368" s="153"/>
      <c r="RTM368" s="153"/>
      <c r="RTN368" s="153"/>
      <c r="RTO368" s="648"/>
      <c r="RTP368" s="641"/>
      <c r="RTQ368" s="642" t="s">
        <v>1841</v>
      </c>
      <c r="RTR368" s="643"/>
      <c r="RTS368" s="644"/>
      <c r="RTT368" s="644">
        <v>2013</v>
      </c>
      <c r="RTU368" s="644">
        <v>2014</v>
      </c>
      <c r="RTV368" s="644">
        <v>2015</v>
      </c>
      <c r="RTW368" s="644">
        <v>2016</v>
      </c>
      <c r="RTX368" s="644">
        <v>2017</v>
      </c>
      <c r="RTY368" s="645">
        <v>2018</v>
      </c>
      <c r="RTZ368" s="646">
        <v>2019</v>
      </c>
      <c r="RUA368" s="647">
        <v>2020</v>
      </c>
      <c r="RUB368" s="153"/>
      <c r="RUC368" s="153"/>
      <c r="RUD368" s="153"/>
      <c r="RUE368" s="648"/>
      <c r="RUF368" s="641"/>
      <c r="RUG368" s="642" t="s">
        <v>1841</v>
      </c>
      <c r="RUH368" s="643"/>
      <c r="RUI368" s="644"/>
      <c r="RUJ368" s="644">
        <v>2013</v>
      </c>
      <c r="RUK368" s="644">
        <v>2014</v>
      </c>
      <c r="RUL368" s="644">
        <v>2015</v>
      </c>
      <c r="RUM368" s="644">
        <v>2016</v>
      </c>
      <c r="RUN368" s="644">
        <v>2017</v>
      </c>
      <c r="RUO368" s="645">
        <v>2018</v>
      </c>
      <c r="RUP368" s="646">
        <v>2019</v>
      </c>
      <c r="RUQ368" s="647">
        <v>2020</v>
      </c>
      <c r="RUR368" s="153"/>
      <c r="RUS368" s="153"/>
      <c r="RUT368" s="153"/>
      <c r="RUU368" s="648"/>
      <c r="RUV368" s="641"/>
      <c r="RUW368" s="642" t="s">
        <v>1841</v>
      </c>
      <c r="RUX368" s="643"/>
      <c r="RUY368" s="644"/>
      <c r="RUZ368" s="644">
        <v>2013</v>
      </c>
      <c r="RVA368" s="644">
        <v>2014</v>
      </c>
      <c r="RVB368" s="644">
        <v>2015</v>
      </c>
      <c r="RVC368" s="644">
        <v>2016</v>
      </c>
      <c r="RVD368" s="644">
        <v>2017</v>
      </c>
      <c r="RVE368" s="645">
        <v>2018</v>
      </c>
      <c r="RVF368" s="646">
        <v>2019</v>
      </c>
      <c r="RVG368" s="647">
        <v>2020</v>
      </c>
      <c r="RVH368" s="153"/>
      <c r="RVI368" s="153"/>
      <c r="RVJ368" s="153"/>
      <c r="RVK368" s="648"/>
      <c r="RVL368" s="641"/>
      <c r="RVM368" s="642" t="s">
        <v>1841</v>
      </c>
      <c r="RVN368" s="643"/>
      <c r="RVO368" s="644"/>
      <c r="RVP368" s="644">
        <v>2013</v>
      </c>
      <c r="RVQ368" s="644">
        <v>2014</v>
      </c>
      <c r="RVR368" s="644">
        <v>2015</v>
      </c>
      <c r="RVS368" s="644">
        <v>2016</v>
      </c>
      <c r="RVT368" s="644">
        <v>2017</v>
      </c>
      <c r="RVU368" s="645">
        <v>2018</v>
      </c>
      <c r="RVV368" s="646">
        <v>2019</v>
      </c>
      <c r="RVW368" s="647">
        <v>2020</v>
      </c>
      <c r="RVX368" s="153"/>
      <c r="RVY368" s="153"/>
      <c r="RVZ368" s="153"/>
      <c r="RWA368" s="648"/>
      <c r="RWB368" s="641"/>
      <c r="RWC368" s="642" t="s">
        <v>1841</v>
      </c>
      <c r="RWD368" s="643"/>
      <c r="RWE368" s="644"/>
      <c r="RWF368" s="644">
        <v>2013</v>
      </c>
      <c r="RWG368" s="644">
        <v>2014</v>
      </c>
      <c r="RWH368" s="644">
        <v>2015</v>
      </c>
      <c r="RWI368" s="644">
        <v>2016</v>
      </c>
      <c r="RWJ368" s="644">
        <v>2017</v>
      </c>
      <c r="RWK368" s="645">
        <v>2018</v>
      </c>
      <c r="RWL368" s="646">
        <v>2019</v>
      </c>
      <c r="RWM368" s="647">
        <v>2020</v>
      </c>
      <c r="RWN368" s="153"/>
      <c r="RWO368" s="153"/>
      <c r="RWP368" s="153"/>
      <c r="RWQ368" s="648"/>
      <c r="RWR368" s="641"/>
      <c r="RWS368" s="642" t="s">
        <v>1841</v>
      </c>
      <c r="RWT368" s="643"/>
      <c r="RWU368" s="644"/>
      <c r="RWV368" s="644">
        <v>2013</v>
      </c>
      <c r="RWW368" s="644">
        <v>2014</v>
      </c>
      <c r="RWX368" s="644">
        <v>2015</v>
      </c>
      <c r="RWY368" s="644">
        <v>2016</v>
      </c>
      <c r="RWZ368" s="644">
        <v>2017</v>
      </c>
      <c r="RXA368" s="645">
        <v>2018</v>
      </c>
      <c r="RXB368" s="646">
        <v>2019</v>
      </c>
      <c r="RXC368" s="647">
        <v>2020</v>
      </c>
      <c r="RXD368" s="153"/>
      <c r="RXE368" s="153"/>
      <c r="RXF368" s="153"/>
      <c r="RXG368" s="648"/>
      <c r="RXH368" s="641"/>
      <c r="RXI368" s="642" t="s">
        <v>1841</v>
      </c>
      <c r="RXJ368" s="643"/>
      <c r="RXK368" s="644"/>
      <c r="RXL368" s="644">
        <v>2013</v>
      </c>
      <c r="RXM368" s="644">
        <v>2014</v>
      </c>
      <c r="RXN368" s="644">
        <v>2015</v>
      </c>
      <c r="RXO368" s="644">
        <v>2016</v>
      </c>
      <c r="RXP368" s="644">
        <v>2017</v>
      </c>
      <c r="RXQ368" s="645">
        <v>2018</v>
      </c>
      <c r="RXR368" s="646">
        <v>2019</v>
      </c>
      <c r="RXS368" s="647">
        <v>2020</v>
      </c>
      <c r="RXT368" s="153"/>
      <c r="RXU368" s="153"/>
      <c r="RXV368" s="153"/>
      <c r="RXW368" s="648"/>
      <c r="RXX368" s="641"/>
      <c r="RXY368" s="642" t="s">
        <v>1841</v>
      </c>
      <c r="RXZ368" s="643"/>
      <c r="RYA368" s="644"/>
      <c r="RYB368" s="644">
        <v>2013</v>
      </c>
      <c r="RYC368" s="644">
        <v>2014</v>
      </c>
      <c r="RYD368" s="644">
        <v>2015</v>
      </c>
      <c r="RYE368" s="644">
        <v>2016</v>
      </c>
      <c r="RYF368" s="644">
        <v>2017</v>
      </c>
      <c r="RYG368" s="645">
        <v>2018</v>
      </c>
      <c r="RYH368" s="646">
        <v>2019</v>
      </c>
      <c r="RYI368" s="647">
        <v>2020</v>
      </c>
      <c r="RYJ368" s="153"/>
      <c r="RYK368" s="153"/>
      <c r="RYL368" s="153"/>
      <c r="RYM368" s="648"/>
      <c r="RYN368" s="641"/>
      <c r="RYO368" s="642" t="s">
        <v>1841</v>
      </c>
      <c r="RYP368" s="643"/>
      <c r="RYQ368" s="644"/>
      <c r="RYR368" s="644">
        <v>2013</v>
      </c>
      <c r="RYS368" s="644">
        <v>2014</v>
      </c>
      <c r="RYT368" s="644">
        <v>2015</v>
      </c>
      <c r="RYU368" s="644">
        <v>2016</v>
      </c>
      <c r="RYV368" s="644">
        <v>2017</v>
      </c>
      <c r="RYW368" s="645">
        <v>2018</v>
      </c>
      <c r="RYX368" s="646">
        <v>2019</v>
      </c>
      <c r="RYY368" s="647">
        <v>2020</v>
      </c>
      <c r="RYZ368" s="153"/>
      <c r="RZA368" s="153"/>
      <c r="RZB368" s="153"/>
      <c r="RZC368" s="648"/>
      <c r="RZD368" s="641"/>
      <c r="RZE368" s="642" t="s">
        <v>1841</v>
      </c>
      <c r="RZF368" s="643"/>
      <c r="RZG368" s="644"/>
      <c r="RZH368" s="644">
        <v>2013</v>
      </c>
      <c r="RZI368" s="644">
        <v>2014</v>
      </c>
      <c r="RZJ368" s="644">
        <v>2015</v>
      </c>
      <c r="RZK368" s="644">
        <v>2016</v>
      </c>
      <c r="RZL368" s="644">
        <v>2017</v>
      </c>
      <c r="RZM368" s="645">
        <v>2018</v>
      </c>
      <c r="RZN368" s="646">
        <v>2019</v>
      </c>
      <c r="RZO368" s="647">
        <v>2020</v>
      </c>
      <c r="RZP368" s="153"/>
      <c r="RZQ368" s="153"/>
      <c r="RZR368" s="153"/>
      <c r="RZS368" s="648"/>
      <c r="RZT368" s="641"/>
      <c r="RZU368" s="642" t="s">
        <v>1841</v>
      </c>
      <c r="RZV368" s="643"/>
      <c r="RZW368" s="644"/>
      <c r="RZX368" s="644">
        <v>2013</v>
      </c>
      <c r="RZY368" s="644">
        <v>2014</v>
      </c>
      <c r="RZZ368" s="644">
        <v>2015</v>
      </c>
      <c r="SAA368" s="644">
        <v>2016</v>
      </c>
      <c r="SAB368" s="644">
        <v>2017</v>
      </c>
      <c r="SAC368" s="645">
        <v>2018</v>
      </c>
      <c r="SAD368" s="646">
        <v>2019</v>
      </c>
      <c r="SAE368" s="647">
        <v>2020</v>
      </c>
      <c r="SAF368" s="153"/>
      <c r="SAG368" s="153"/>
      <c r="SAH368" s="153"/>
      <c r="SAI368" s="648"/>
      <c r="SAJ368" s="641"/>
      <c r="SAK368" s="642" t="s">
        <v>1841</v>
      </c>
      <c r="SAL368" s="643"/>
      <c r="SAM368" s="644"/>
      <c r="SAN368" s="644">
        <v>2013</v>
      </c>
      <c r="SAO368" s="644">
        <v>2014</v>
      </c>
      <c r="SAP368" s="644">
        <v>2015</v>
      </c>
      <c r="SAQ368" s="644">
        <v>2016</v>
      </c>
      <c r="SAR368" s="644">
        <v>2017</v>
      </c>
      <c r="SAS368" s="645">
        <v>2018</v>
      </c>
      <c r="SAT368" s="646">
        <v>2019</v>
      </c>
      <c r="SAU368" s="647">
        <v>2020</v>
      </c>
      <c r="SAV368" s="153"/>
      <c r="SAW368" s="153"/>
      <c r="SAX368" s="153"/>
      <c r="SAY368" s="648"/>
      <c r="SAZ368" s="641"/>
      <c r="SBA368" s="642" t="s">
        <v>1841</v>
      </c>
      <c r="SBB368" s="643"/>
      <c r="SBC368" s="644"/>
      <c r="SBD368" s="644">
        <v>2013</v>
      </c>
      <c r="SBE368" s="644">
        <v>2014</v>
      </c>
      <c r="SBF368" s="644">
        <v>2015</v>
      </c>
      <c r="SBG368" s="644">
        <v>2016</v>
      </c>
      <c r="SBH368" s="644">
        <v>2017</v>
      </c>
      <c r="SBI368" s="645">
        <v>2018</v>
      </c>
      <c r="SBJ368" s="646">
        <v>2019</v>
      </c>
      <c r="SBK368" s="647">
        <v>2020</v>
      </c>
      <c r="SBL368" s="153"/>
      <c r="SBM368" s="153"/>
      <c r="SBN368" s="153"/>
      <c r="SBO368" s="648"/>
      <c r="SBP368" s="641"/>
      <c r="SBQ368" s="642" t="s">
        <v>1841</v>
      </c>
      <c r="SBR368" s="643"/>
      <c r="SBS368" s="644"/>
      <c r="SBT368" s="644">
        <v>2013</v>
      </c>
      <c r="SBU368" s="644">
        <v>2014</v>
      </c>
      <c r="SBV368" s="644">
        <v>2015</v>
      </c>
      <c r="SBW368" s="644">
        <v>2016</v>
      </c>
      <c r="SBX368" s="644">
        <v>2017</v>
      </c>
      <c r="SBY368" s="645">
        <v>2018</v>
      </c>
      <c r="SBZ368" s="646">
        <v>2019</v>
      </c>
      <c r="SCA368" s="647">
        <v>2020</v>
      </c>
      <c r="SCB368" s="153"/>
      <c r="SCC368" s="153"/>
      <c r="SCD368" s="153"/>
      <c r="SCE368" s="648"/>
      <c r="SCF368" s="641"/>
      <c r="SCG368" s="642" t="s">
        <v>1841</v>
      </c>
      <c r="SCH368" s="643"/>
      <c r="SCI368" s="644"/>
      <c r="SCJ368" s="644">
        <v>2013</v>
      </c>
      <c r="SCK368" s="644">
        <v>2014</v>
      </c>
      <c r="SCL368" s="644">
        <v>2015</v>
      </c>
      <c r="SCM368" s="644">
        <v>2016</v>
      </c>
      <c r="SCN368" s="644">
        <v>2017</v>
      </c>
      <c r="SCO368" s="645">
        <v>2018</v>
      </c>
      <c r="SCP368" s="646">
        <v>2019</v>
      </c>
      <c r="SCQ368" s="647">
        <v>2020</v>
      </c>
      <c r="SCR368" s="153"/>
      <c r="SCS368" s="153"/>
      <c r="SCT368" s="153"/>
      <c r="SCU368" s="648"/>
      <c r="SCV368" s="641"/>
      <c r="SCW368" s="642" t="s">
        <v>1841</v>
      </c>
      <c r="SCX368" s="643"/>
      <c r="SCY368" s="644"/>
      <c r="SCZ368" s="644">
        <v>2013</v>
      </c>
      <c r="SDA368" s="644">
        <v>2014</v>
      </c>
      <c r="SDB368" s="644">
        <v>2015</v>
      </c>
      <c r="SDC368" s="644">
        <v>2016</v>
      </c>
      <c r="SDD368" s="644">
        <v>2017</v>
      </c>
      <c r="SDE368" s="645">
        <v>2018</v>
      </c>
      <c r="SDF368" s="646">
        <v>2019</v>
      </c>
      <c r="SDG368" s="647">
        <v>2020</v>
      </c>
      <c r="SDH368" s="153"/>
      <c r="SDI368" s="153"/>
      <c r="SDJ368" s="153"/>
      <c r="SDK368" s="648"/>
      <c r="SDL368" s="641"/>
      <c r="SDM368" s="642" t="s">
        <v>1841</v>
      </c>
      <c r="SDN368" s="643"/>
      <c r="SDO368" s="644"/>
      <c r="SDP368" s="644">
        <v>2013</v>
      </c>
      <c r="SDQ368" s="644">
        <v>2014</v>
      </c>
      <c r="SDR368" s="644">
        <v>2015</v>
      </c>
      <c r="SDS368" s="644">
        <v>2016</v>
      </c>
      <c r="SDT368" s="644">
        <v>2017</v>
      </c>
      <c r="SDU368" s="645">
        <v>2018</v>
      </c>
      <c r="SDV368" s="646">
        <v>2019</v>
      </c>
      <c r="SDW368" s="647">
        <v>2020</v>
      </c>
      <c r="SDX368" s="153"/>
      <c r="SDY368" s="153"/>
      <c r="SDZ368" s="153"/>
      <c r="SEA368" s="648"/>
      <c r="SEB368" s="641"/>
      <c r="SEC368" s="642" t="s">
        <v>1841</v>
      </c>
      <c r="SED368" s="643"/>
      <c r="SEE368" s="644"/>
      <c r="SEF368" s="644">
        <v>2013</v>
      </c>
      <c r="SEG368" s="644">
        <v>2014</v>
      </c>
      <c r="SEH368" s="644">
        <v>2015</v>
      </c>
      <c r="SEI368" s="644">
        <v>2016</v>
      </c>
      <c r="SEJ368" s="644">
        <v>2017</v>
      </c>
      <c r="SEK368" s="645">
        <v>2018</v>
      </c>
      <c r="SEL368" s="646">
        <v>2019</v>
      </c>
      <c r="SEM368" s="647">
        <v>2020</v>
      </c>
      <c r="SEN368" s="153"/>
      <c r="SEO368" s="153"/>
      <c r="SEP368" s="153"/>
      <c r="SEQ368" s="648"/>
      <c r="SER368" s="641"/>
      <c r="SES368" s="642" t="s">
        <v>1841</v>
      </c>
      <c r="SET368" s="643"/>
      <c r="SEU368" s="644"/>
      <c r="SEV368" s="644">
        <v>2013</v>
      </c>
      <c r="SEW368" s="644">
        <v>2014</v>
      </c>
      <c r="SEX368" s="644">
        <v>2015</v>
      </c>
      <c r="SEY368" s="644">
        <v>2016</v>
      </c>
      <c r="SEZ368" s="644">
        <v>2017</v>
      </c>
      <c r="SFA368" s="645">
        <v>2018</v>
      </c>
      <c r="SFB368" s="646">
        <v>2019</v>
      </c>
      <c r="SFC368" s="647">
        <v>2020</v>
      </c>
      <c r="SFD368" s="153"/>
      <c r="SFE368" s="153"/>
      <c r="SFF368" s="153"/>
      <c r="SFG368" s="648"/>
      <c r="SFH368" s="641"/>
      <c r="SFI368" s="642" t="s">
        <v>1841</v>
      </c>
      <c r="SFJ368" s="643"/>
      <c r="SFK368" s="644"/>
      <c r="SFL368" s="644">
        <v>2013</v>
      </c>
      <c r="SFM368" s="644">
        <v>2014</v>
      </c>
      <c r="SFN368" s="644">
        <v>2015</v>
      </c>
      <c r="SFO368" s="644">
        <v>2016</v>
      </c>
      <c r="SFP368" s="644">
        <v>2017</v>
      </c>
      <c r="SFQ368" s="645">
        <v>2018</v>
      </c>
      <c r="SFR368" s="646">
        <v>2019</v>
      </c>
      <c r="SFS368" s="647">
        <v>2020</v>
      </c>
      <c r="SFT368" s="153"/>
      <c r="SFU368" s="153"/>
      <c r="SFV368" s="153"/>
      <c r="SFW368" s="648"/>
      <c r="SFX368" s="641"/>
      <c r="SFY368" s="642" t="s">
        <v>1841</v>
      </c>
      <c r="SFZ368" s="643"/>
      <c r="SGA368" s="644"/>
      <c r="SGB368" s="644">
        <v>2013</v>
      </c>
      <c r="SGC368" s="644">
        <v>2014</v>
      </c>
      <c r="SGD368" s="644">
        <v>2015</v>
      </c>
      <c r="SGE368" s="644">
        <v>2016</v>
      </c>
      <c r="SGF368" s="644">
        <v>2017</v>
      </c>
      <c r="SGG368" s="645">
        <v>2018</v>
      </c>
      <c r="SGH368" s="646">
        <v>2019</v>
      </c>
      <c r="SGI368" s="647">
        <v>2020</v>
      </c>
      <c r="SGJ368" s="153"/>
      <c r="SGK368" s="153"/>
      <c r="SGL368" s="153"/>
      <c r="SGM368" s="648"/>
      <c r="SGN368" s="641"/>
      <c r="SGO368" s="642" t="s">
        <v>1841</v>
      </c>
      <c r="SGP368" s="643"/>
      <c r="SGQ368" s="644"/>
      <c r="SGR368" s="644">
        <v>2013</v>
      </c>
      <c r="SGS368" s="644">
        <v>2014</v>
      </c>
      <c r="SGT368" s="644">
        <v>2015</v>
      </c>
      <c r="SGU368" s="644">
        <v>2016</v>
      </c>
      <c r="SGV368" s="644">
        <v>2017</v>
      </c>
      <c r="SGW368" s="645">
        <v>2018</v>
      </c>
      <c r="SGX368" s="646">
        <v>2019</v>
      </c>
      <c r="SGY368" s="647">
        <v>2020</v>
      </c>
      <c r="SGZ368" s="153"/>
      <c r="SHA368" s="153"/>
      <c r="SHB368" s="153"/>
      <c r="SHC368" s="648"/>
      <c r="SHD368" s="641"/>
      <c r="SHE368" s="642" t="s">
        <v>1841</v>
      </c>
      <c r="SHF368" s="643"/>
      <c r="SHG368" s="644"/>
      <c r="SHH368" s="644">
        <v>2013</v>
      </c>
      <c r="SHI368" s="644">
        <v>2014</v>
      </c>
      <c r="SHJ368" s="644">
        <v>2015</v>
      </c>
      <c r="SHK368" s="644">
        <v>2016</v>
      </c>
      <c r="SHL368" s="644">
        <v>2017</v>
      </c>
      <c r="SHM368" s="645">
        <v>2018</v>
      </c>
      <c r="SHN368" s="646">
        <v>2019</v>
      </c>
      <c r="SHO368" s="647">
        <v>2020</v>
      </c>
      <c r="SHP368" s="153"/>
      <c r="SHQ368" s="153"/>
      <c r="SHR368" s="153"/>
      <c r="SHS368" s="648"/>
      <c r="SHT368" s="641"/>
      <c r="SHU368" s="642" t="s">
        <v>1841</v>
      </c>
      <c r="SHV368" s="643"/>
      <c r="SHW368" s="644"/>
      <c r="SHX368" s="644">
        <v>2013</v>
      </c>
      <c r="SHY368" s="644">
        <v>2014</v>
      </c>
      <c r="SHZ368" s="644">
        <v>2015</v>
      </c>
      <c r="SIA368" s="644">
        <v>2016</v>
      </c>
      <c r="SIB368" s="644">
        <v>2017</v>
      </c>
      <c r="SIC368" s="645">
        <v>2018</v>
      </c>
      <c r="SID368" s="646">
        <v>2019</v>
      </c>
      <c r="SIE368" s="647">
        <v>2020</v>
      </c>
      <c r="SIF368" s="153"/>
      <c r="SIG368" s="153"/>
      <c r="SIH368" s="153"/>
      <c r="SII368" s="648"/>
      <c r="SIJ368" s="641"/>
      <c r="SIK368" s="642" t="s">
        <v>1841</v>
      </c>
      <c r="SIL368" s="643"/>
      <c r="SIM368" s="644"/>
      <c r="SIN368" s="644">
        <v>2013</v>
      </c>
      <c r="SIO368" s="644">
        <v>2014</v>
      </c>
      <c r="SIP368" s="644">
        <v>2015</v>
      </c>
      <c r="SIQ368" s="644">
        <v>2016</v>
      </c>
      <c r="SIR368" s="644">
        <v>2017</v>
      </c>
      <c r="SIS368" s="645">
        <v>2018</v>
      </c>
      <c r="SIT368" s="646">
        <v>2019</v>
      </c>
      <c r="SIU368" s="647">
        <v>2020</v>
      </c>
      <c r="SIV368" s="153"/>
      <c r="SIW368" s="153"/>
      <c r="SIX368" s="153"/>
      <c r="SIY368" s="648"/>
      <c r="SIZ368" s="641"/>
      <c r="SJA368" s="642" t="s">
        <v>1841</v>
      </c>
      <c r="SJB368" s="643"/>
      <c r="SJC368" s="644"/>
      <c r="SJD368" s="644">
        <v>2013</v>
      </c>
      <c r="SJE368" s="644">
        <v>2014</v>
      </c>
      <c r="SJF368" s="644">
        <v>2015</v>
      </c>
      <c r="SJG368" s="644">
        <v>2016</v>
      </c>
      <c r="SJH368" s="644">
        <v>2017</v>
      </c>
      <c r="SJI368" s="645">
        <v>2018</v>
      </c>
      <c r="SJJ368" s="646">
        <v>2019</v>
      </c>
      <c r="SJK368" s="647">
        <v>2020</v>
      </c>
      <c r="SJL368" s="153"/>
      <c r="SJM368" s="153"/>
      <c r="SJN368" s="153"/>
      <c r="SJO368" s="648"/>
      <c r="SJP368" s="641"/>
      <c r="SJQ368" s="642" t="s">
        <v>1841</v>
      </c>
      <c r="SJR368" s="643"/>
      <c r="SJS368" s="644"/>
      <c r="SJT368" s="644">
        <v>2013</v>
      </c>
      <c r="SJU368" s="644">
        <v>2014</v>
      </c>
      <c r="SJV368" s="644">
        <v>2015</v>
      </c>
      <c r="SJW368" s="644">
        <v>2016</v>
      </c>
      <c r="SJX368" s="644">
        <v>2017</v>
      </c>
      <c r="SJY368" s="645">
        <v>2018</v>
      </c>
      <c r="SJZ368" s="646">
        <v>2019</v>
      </c>
      <c r="SKA368" s="647">
        <v>2020</v>
      </c>
      <c r="SKB368" s="153"/>
      <c r="SKC368" s="153"/>
      <c r="SKD368" s="153"/>
      <c r="SKE368" s="648"/>
      <c r="SKF368" s="641"/>
      <c r="SKG368" s="642" t="s">
        <v>1841</v>
      </c>
      <c r="SKH368" s="643"/>
      <c r="SKI368" s="644"/>
      <c r="SKJ368" s="644">
        <v>2013</v>
      </c>
      <c r="SKK368" s="644">
        <v>2014</v>
      </c>
      <c r="SKL368" s="644">
        <v>2015</v>
      </c>
      <c r="SKM368" s="644">
        <v>2016</v>
      </c>
      <c r="SKN368" s="644">
        <v>2017</v>
      </c>
      <c r="SKO368" s="645">
        <v>2018</v>
      </c>
      <c r="SKP368" s="646">
        <v>2019</v>
      </c>
      <c r="SKQ368" s="647">
        <v>2020</v>
      </c>
      <c r="SKR368" s="153"/>
      <c r="SKS368" s="153"/>
      <c r="SKT368" s="153"/>
      <c r="SKU368" s="648"/>
      <c r="SKV368" s="641"/>
      <c r="SKW368" s="642" t="s">
        <v>1841</v>
      </c>
      <c r="SKX368" s="643"/>
      <c r="SKY368" s="644"/>
      <c r="SKZ368" s="644">
        <v>2013</v>
      </c>
      <c r="SLA368" s="644">
        <v>2014</v>
      </c>
      <c r="SLB368" s="644">
        <v>2015</v>
      </c>
      <c r="SLC368" s="644">
        <v>2016</v>
      </c>
      <c r="SLD368" s="644">
        <v>2017</v>
      </c>
      <c r="SLE368" s="645">
        <v>2018</v>
      </c>
      <c r="SLF368" s="646">
        <v>2019</v>
      </c>
      <c r="SLG368" s="647">
        <v>2020</v>
      </c>
      <c r="SLH368" s="153"/>
      <c r="SLI368" s="153"/>
      <c r="SLJ368" s="153"/>
      <c r="SLK368" s="648"/>
      <c r="SLL368" s="641"/>
      <c r="SLM368" s="642" t="s">
        <v>1841</v>
      </c>
      <c r="SLN368" s="643"/>
      <c r="SLO368" s="644"/>
      <c r="SLP368" s="644">
        <v>2013</v>
      </c>
      <c r="SLQ368" s="644">
        <v>2014</v>
      </c>
      <c r="SLR368" s="644">
        <v>2015</v>
      </c>
      <c r="SLS368" s="644">
        <v>2016</v>
      </c>
      <c r="SLT368" s="644">
        <v>2017</v>
      </c>
      <c r="SLU368" s="645">
        <v>2018</v>
      </c>
      <c r="SLV368" s="646">
        <v>2019</v>
      </c>
      <c r="SLW368" s="647">
        <v>2020</v>
      </c>
      <c r="SLX368" s="153"/>
      <c r="SLY368" s="153"/>
      <c r="SLZ368" s="153"/>
      <c r="SMA368" s="648"/>
      <c r="SMB368" s="641"/>
      <c r="SMC368" s="642" t="s">
        <v>1841</v>
      </c>
      <c r="SMD368" s="643"/>
      <c r="SME368" s="644"/>
      <c r="SMF368" s="644">
        <v>2013</v>
      </c>
      <c r="SMG368" s="644">
        <v>2014</v>
      </c>
      <c r="SMH368" s="644">
        <v>2015</v>
      </c>
      <c r="SMI368" s="644">
        <v>2016</v>
      </c>
      <c r="SMJ368" s="644">
        <v>2017</v>
      </c>
      <c r="SMK368" s="645">
        <v>2018</v>
      </c>
      <c r="SML368" s="646">
        <v>2019</v>
      </c>
      <c r="SMM368" s="647">
        <v>2020</v>
      </c>
      <c r="SMN368" s="153"/>
      <c r="SMO368" s="153"/>
      <c r="SMP368" s="153"/>
      <c r="SMQ368" s="648"/>
      <c r="SMR368" s="641"/>
      <c r="SMS368" s="642" t="s">
        <v>1841</v>
      </c>
      <c r="SMT368" s="643"/>
      <c r="SMU368" s="644"/>
      <c r="SMV368" s="644">
        <v>2013</v>
      </c>
      <c r="SMW368" s="644">
        <v>2014</v>
      </c>
      <c r="SMX368" s="644">
        <v>2015</v>
      </c>
      <c r="SMY368" s="644">
        <v>2016</v>
      </c>
      <c r="SMZ368" s="644">
        <v>2017</v>
      </c>
      <c r="SNA368" s="645">
        <v>2018</v>
      </c>
      <c r="SNB368" s="646">
        <v>2019</v>
      </c>
      <c r="SNC368" s="647">
        <v>2020</v>
      </c>
      <c r="SND368" s="153"/>
      <c r="SNE368" s="153"/>
      <c r="SNF368" s="153"/>
      <c r="SNG368" s="648"/>
      <c r="SNH368" s="641"/>
      <c r="SNI368" s="642" t="s">
        <v>1841</v>
      </c>
      <c r="SNJ368" s="643"/>
      <c r="SNK368" s="644"/>
      <c r="SNL368" s="644">
        <v>2013</v>
      </c>
      <c r="SNM368" s="644">
        <v>2014</v>
      </c>
      <c r="SNN368" s="644">
        <v>2015</v>
      </c>
      <c r="SNO368" s="644">
        <v>2016</v>
      </c>
      <c r="SNP368" s="644">
        <v>2017</v>
      </c>
      <c r="SNQ368" s="645">
        <v>2018</v>
      </c>
      <c r="SNR368" s="646">
        <v>2019</v>
      </c>
      <c r="SNS368" s="647">
        <v>2020</v>
      </c>
      <c r="SNT368" s="153"/>
      <c r="SNU368" s="153"/>
      <c r="SNV368" s="153"/>
      <c r="SNW368" s="648"/>
      <c r="SNX368" s="641"/>
      <c r="SNY368" s="642" t="s">
        <v>1841</v>
      </c>
      <c r="SNZ368" s="643"/>
      <c r="SOA368" s="644"/>
      <c r="SOB368" s="644">
        <v>2013</v>
      </c>
      <c r="SOC368" s="644">
        <v>2014</v>
      </c>
      <c r="SOD368" s="644">
        <v>2015</v>
      </c>
      <c r="SOE368" s="644">
        <v>2016</v>
      </c>
      <c r="SOF368" s="644">
        <v>2017</v>
      </c>
      <c r="SOG368" s="645">
        <v>2018</v>
      </c>
      <c r="SOH368" s="646">
        <v>2019</v>
      </c>
      <c r="SOI368" s="647">
        <v>2020</v>
      </c>
      <c r="SOJ368" s="153"/>
      <c r="SOK368" s="153"/>
      <c r="SOL368" s="153"/>
      <c r="SOM368" s="648"/>
      <c r="SON368" s="641"/>
      <c r="SOO368" s="642" t="s">
        <v>1841</v>
      </c>
      <c r="SOP368" s="643"/>
      <c r="SOQ368" s="644"/>
      <c r="SOR368" s="644">
        <v>2013</v>
      </c>
      <c r="SOS368" s="644">
        <v>2014</v>
      </c>
      <c r="SOT368" s="644">
        <v>2015</v>
      </c>
      <c r="SOU368" s="644">
        <v>2016</v>
      </c>
      <c r="SOV368" s="644">
        <v>2017</v>
      </c>
      <c r="SOW368" s="645">
        <v>2018</v>
      </c>
      <c r="SOX368" s="646">
        <v>2019</v>
      </c>
      <c r="SOY368" s="647">
        <v>2020</v>
      </c>
      <c r="SOZ368" s="153"/>
      <c r="SPA368" s="153"/>
      <c r="SPB368" s="153"/>
      <c r="SPC368" s="648"/>
      <c r="SPD368" s="641"/>
      <c r="SPE368" s="642" t="s">
        <v>1841</v>
      </c>
      <c r="SPF368" s="643"/>
      <c r="SPG368" s="644"/>
      <c r="SPH368" s="644">
        <v>2013</v>
      </c>
      <c r="SPI368" s="644">
        <v>2014</v>
      </c>
      <c r="SPJ368" s="644">
        <v>2015</v>
      </c>
      <c r="SPK368" s="644">
        <v>2016</v>
      </c>
      <c r="SPL368" s="644">
        <v>2017</v>
      </c>
      <c r="SPM368" s="645">
        <v>2018</v>
      </c>
      <c r="SPN368" s="646">
        <v>2019</v>
      </c>
      <c r="SPO368" s="647">
        <v>2020</v>
      </c>
      <c r="SPP368" s="153"/>
      <c r="SPQ368" s="153"/>
      <c r="SPR368" s="153"/>
      <c r="SPS368" s="648"/>
      <c r="SPT368" s="641"/>
      <c r="SPU368" s="642" t="s">
        <v>1841</v>
      </c>
      <c r="SPV368" s="643"/>
      <c r="SPW368" s="644"/>
      <c r="SPX368" s="644">
        <v>2013</v>
      </c>
      <c r="SPY368" s="644">
        <v>2014</v>
      </c>
      <c r="SPZ368" s="644">
        <v>2015</v>
      </c>
      <c r="SQA368" s="644">
        <v>2016</v>
      </c>
      <c r="SQB368" s="644">
        <v>2017</v>
      </c>
      <c r="SQC368" s="645">
        <v>2018</v>
      </c>
      <c r="SQD368" s="646">
        <v>2019</v>
      </c>
      <c r="SQE368" s="647">
        <v>2020</v>
      </c>
      <c r="SQF368" s="153"/>
      <c r="SQG368" s="153"/>
      <c r="SQH368" s="153"/>
      <c r="SQI368" s="648"/>
      <c r="SQJ368" s="641"/>
      <c r="SQK368" s="642" t="s">
        <v>1841</v>
      </c>
      <c r="SQL368" s="643"/>
      <c r="SQM368" s="644"/>
      <c r="SQN368" s="644">
        <v>2013</v>
      </c>
      <c r="SQO368" s="644">
        <v>2014</v>
      </c>
      <c r="SQP368" s="644">
        <v>2015</v>
      </c>
      <c r="SQQ368" s="644">
        <v>2016</v>
      </c>
      <c r="SQR368" s="644">
        <v>2017</v>
      </c>
      <c r="SQS368" s="645">
        <v>2018</v>
      </c>
      <c r="SQT368" s="646">
        <v>2019</v>
      </c>
      <c r="SQU368" s="647">
        <v>2020</v>
      </c>
      <c r="SQV368" s="153"/>
      <c r="SQW368" s="153"/>
      <c r="SQX368" s="153"/>
      <c r="SQY368" s="648"/>
      <c r="SQZ368" s="641"/>
      <c r="SRA368" s="642" t="s">
        <v>1841</v>
      </c>
      <c r="SRB368" s="643"/>
      <c r="SRC368" s="644"/>
      <c r="SRD368" s="644">
        <v>2013</v>
      </c>
      <c r="SRE368" s="644">
        <v>2014</v>
      </c>
      <c r="SRF368" s="644">
        <v>2015</v>
      </c>
      <c r="SRG368" s="644">
        <v>2016</v>
      </c>
      <c r="SRH368" s="644">
        <v>2017</v>
      </c>
      <c r="SRI368" s="645">
        <v>2018</v>
      </c>
      <c r="SRJ368" s="646">
        <v>2019</v>
      </c>
      <c r="SRK368" s="647">
        <v>2020</v>
      </c>
      <c r="SRL368" s="153"/>
      <c r="SRM368" s="153"/>
      <c r="SRN368" s="153"/>
      <c r="SRO368" s="648"/>
      <c r="SRP368" s="641"/>
      <c r="SRQ368" s="642" t="s">
        <v>1841</v>
      </c>
      <c r="SRR368" s="643"/>
      <c r="SRS368" s="644"/>
      <c r="SRT368" s="644">
        <v>2013</v>
      </c>
      <c r="SRU368" s="644">
        <v>2014</v>
      </c>
      <c r="SRV368" s="644">
        <v>2015</v>
      </c>
      <c r="SRW368" s="644">
        <v>2016</v>
      </c>
      <c r="SRX368" s="644">
        <v>2017</v>
      </c>
      <c r="SRY368" s="645">
        <v>2018</v>
      </c>
      <c r="SRZ368" s="646">
        <v>2019</v>
      </c>
      <c r="SSA368" s="647">
        <v>2020</v>
      </c>
      <c r="SSB368" s="153"/>
      <c r="SSC368" s="153"/>
      <c r="SSD368" s="153"/>
      <c r="SSE368" s="648"/>
      <c r="SSF368" s="641"/>
      <c r="SSG368" s="642" t="s">
        <v>1841</v>
      </c>
      <c r="SSH368" s="643"/>
      <c r="SSI368" s="644"/>
      <c r="SSJ368" s="644">
        <v>2013</v>
      </c>
      <c r="SSK368" s="644">
        <v>2014</v>
      </c>
      <c r="SSL368" s="644">
        <v>2015</v>
      </c>
      <c r="SSM368" s="644">
        <v>2016</v>
      </c>
      <c r="SSN368" s="644">
        <v>2017</v>
      </c>
      <c r="SSO368" s="645">
        <v>2018</v>
      </c>
      <c r="SSP368" s="646">
        <v>2019</v>
      </c>
      <c r="SSQ368" s="647">
        <v>2020</v>
      </c>
      <c r="SSR368" s="153"/>
      <c r="SSS368" s="153"/>
      <c r="SST368" s="153"/>
      <c r="SSU368" s="648"/>
      <c r="SSV368" s="641"/>
      <c r="SSW368" s="642" t="s">
        <v>1841</v>
      </c>
      <c r="SSX368" s="643"/>
      <c r="SSY368" s="644"/>
      <c r="SSZ368" s="644">
        <v>2013</v>
      </c>
      <c r="STA368" s="644">
        <v>2014</v>
      </c>
      <c r="STB368" s="644">
        <v>2015</v>
      </c>
      <c r="STC368" s="644">
        <v>2016</v>
      </c>
      <c r="STD368" s="644">
        <v>2017</v>
      </c>
      <c r="STE368" s="645">
        <v>2018</v>
      </c>
      <c r="STF368" s="646">
        <v>2019</v>
      </c>
      <c r="STG368" s="647">
        <v>2020</v>
      </c>
      <c r="STH368" s="153"/>
      <c r="STI368" s="153"/>
      <c r="STJ368" s="153"/>
      <c r="STK368" s="648"/>
      <c r="STL368" s="641"/>
      <c r="STM368" s="642" t="s">
        <v>1841</v>
      </c>
      <c r="STN368" s="643"/>
      <c r="STO368" s="644"/>
      <c r="STP368" s="644">
        <v>2013</v>
      </c>
      <c r="STQ368" s="644">
        <v>2014</v>
      </c>
      <c r="STR368" s="644">
        <v>2015</v>
      </c>
      <c r="STS368" s="644">
        <v>2016</v>
      </c>
      <c r="STT368" s="644">
        <v>2017</v>
      </c>
      <c r="STU368" s="645">
        <v>2018</v>
      </c>
      <c r="STV368" s="646">
        <v>2019</v>
      </c>
      <c r="STW368" s="647">
        <v>2020</v>
      </c>
      <c r="STX368" s="153"/>
      <c r="STY368" s="153"/>
      <c r="STZ368" s="153"/>
      <c r="SUA368" s="648"/>
      <c r="SUB368" s="641"/>
    </row>
    <row r="369" spans="1:13392" s="57" customFormat="1">
      <c r="A369" s="631" t="s">
        <v>90</v>
      </c>
      <c r="B369" s="632"/>
      <c r="C369" s="16"/>
      <c r="D369" s="636">
        <v>2.7</v>
      </c>
      <c r="E369" s="636">
        <v>2.7</v>
      </c>
      <c r="F369" s="636">
        <v>2.72</v>
      </c>
      <c r="G369" s="636">
        <v>2.72</v>
      </c>
      <c r="H369" s="636">
        <v>2.72</v>
      </c>
      <c r="I369" s="649">
        <v>2.72</v>
      </c>
      <c r="J369" s="16"/>
      <c r="K369" s="320">
        <v>2.69</v>
      </c>
      <c r="L369" s="153"/>
      <c r="M369" s="153"/>
      <c r="N369" s="153"/>
      <c r="O369" s="648"/>
      <c r="P369" s="641"/>
      <c r="Q369" s="693" t="s">
        <v>90</v>
      </c>
      <c r="R369" s="694"/>
      <c r="S369" s="687"/>
      <c r="T369" s="692">
        <v>2.7</v>
      </c>
      <c r="U369" s="692">
        <v>2.7</v>
      </c>
      <c r="V369" s="692">
        <v>2.72</v>
      </c>
      <c r="W369" s="692">
        <v>2.72</v>
      </c>
      <c r="X369" s="692">
        <v>2.72</v>
      </c>
      <c r="Y369" s="692">
        <v>2.72</v>
      </c>
      <c r="Z369" s="687"/>
      <c r="AA369" s="687">
        <v>2.69</v>
      </c>
      <c r="AB369" s="687"/>
      <c r="AC369" s="687"/>
      <c r="AD369" s="687"/>
      <c r="AE369" s="698"/>
      <c r="AF369" s="692"/>
      <c r="AG369" s="631" t="s">
        <v>90</v>
      </c>
      <c r="AH369" s="632"/>
      <c r="AI369" s="16"/>
      <c r="AJ369" s="636">
        <v>2.7</v>
      </c>
      <c r="AK369" s="636">
        <v>2.7</v>
      </c>
      <c r="AL369" s="636">
        <v>2.72</v>
      </c>
      <c r="AM369" s="636">
        <v>2.72</v>
      </c>
      <c r="AN369" s="636">
        <v>2.72</v>
      </c>
      <c r="AO369" s="649">
        <v>2.72</v>
      </c>
      <c r="AP369" s="16"/>
      <c r="AQ369" s="320">
        <v>2.69</v>
      </c>
      <c r="AR369" s="153"/>
      <c r="AS369" s="153"/>
      <c r="AT369" s="153"/>
      <c r="AU369" s="648"/>
      <c r="AV369" s="641"/>
      <c r="AW369" s="631" t="s">
        <v>90</v>
      </c>
      <c r="AX369" s="632"/>
      <c r="AY369" s="16"/>
      <c r="AZ369" s="636">
        <v>2.7</v>
      </c>
      <c r="BA369" s="636">
        <v>2.7</v>
      </c>
      <c r="BB369" s="636">
        <v>2.72</v>
      </c>
      <c r="BC369" s="636">
        <v>2.72</v>
      </c>
      <c r="BD369" s="636">
        <v>2.72</v>
      </c>
      <c r="BE369" s="649">
        <v>2.72</v>
      </c>
      <c r="BF369" s="16"/>
      <c r="BG369" s="320">
        <v>2.69</v>
      </c>
      <c r="BH369" s="153"/>
      <c r="BI369" s="153"/>
      <c r="BJ369" s="153"/>
      <c r="BK369" s="648"/>
      <c r="BL369" s="641"/>
      <c r="BM369" s="631" t="s">
        <v>90</v>
      </c>
      <c r="BN369" s="632"/>
      <c r="BO369" s="16"/>
      <c r="BP369" s="636">
        <v>2.7</v>
      </c>
      <c r="BQ369" s="636">
        <v>2.7</v>
      </c>
      <c r="BR369" s="636">
        <v>2.72</v>
      </c>
      <c r="BS369" s="636">
        <v>2.72</v>
      </c>
      <c r="BT369" s="636">
        <v>2.72</v>
      </c>
      <c r="BU369" s="649">
        <v>2.72</v>
      </c>
      <c r="BV369" s="16"/>
      <c r="BW369" s="320">
        <v>2.69</v>
      </c>
      <c r="BX369" s="153"/>
      <c r="BY369" s="153"/>
      <c r="BZ369" s="153"/>
      <c r="CA369" s="648"/>
      <c r="CB369" s="641"/>
      <c r="CC369" s="631" t="s">
        <v>90</v>
      </c>
      <c r="CD369" s="632"/>
      <c r="CE369" s="16"/>
      <c r="CF369" s="636">
        <v>2.7</v>
      </c>
      <c r="CG369" s="636">
        <v>2.7</v>
      </c>
      <c r="CH369" s="636">
        <v>2.72</v>
      </c>
      <c r="CI369" s="636">
        <v>2.72</v>
      </c>
      <c r="CJ369" s="636">
        <v>2.72</v>
      </c>
      <c r="CK369" s="649">
        <v>2.72</v>
      </c>
      <c r="CL369" s="16"/>
      <c r="CM369" s="320">
        <v>2.69</v>
      </c>
      <c r="CN369" s="153"/>
      <c r="CO369" s="153"/>
      <c r="CP369" s="153"/>
      <c r="CQ369" s="648"/>
      <c r="CR369" s="641"/>
      <c r="CS369" s="631" t="s">
        <v>90</v>
      </c>
      <c r="CT369" s="632"/>
      <c r="CU369" s="16"/>
      <c r="CV369" s="636">
        <v>2.7</v>
      </c>
      <c r="CW369" s="636">
        <v>2.7</v>
      </c>
      <c r="CX369" s="636">
        <v>2.72</v>
      </c>
      <c r="CY369" s="636">
        <v>2.72</v>
      </c>
      <c r="CZ369" s="636">
        <v>2.72</v>
      </c>
      <c r="DA369" s="649">
        <v>2.72</v>
      </c>
      <c r="DB369" s="16"/>
      <c r="DC369" s="320">
        <v>2.69</v>
      </c>
      <c r="DD369" s="153"/>
      <c r="DE369" s="153"/>
      <c r="DF369" s="153"/>
      <c r="DG369" s="648"/>
      <c r="DH369" s="641"/>
      <c r="DI369" s="631" t="s">
        <v>90</v>
      </c>
      <c r="DJ369" s="632"/>
      <c r="DK369" s="16"/>
      <c r="DL369" s="636">
        <v>2.7</v>
      </c>
      <c r="DM369" s="636">
        <v>2.7</v>
      </c>
      <c r="DN369" s="636">
        <v>2.72</v>
      </c>
      <c r="DO369" s="636">
        <v>2.72</v>
      </c>
      <c r="DP369" s="636">
        <v>2.72</v>
      </c>
      <c r="DQ369" s="649">
        <v>2.72</v>
      </c>
      <c r="DR369" s="16"/>
      <c r="DS369" s="320">
        <v>2.69</v>
      </c>
      <c r="DT369" s="153"/>
      <c r="DU369" s="153"/>
      <c r="DV369" s="153"/>
      <c r="DW369" s="648"/>
      <c r="DX369" s="641"/>
      <c r="DY369" s="631" t="s">
        <v>90</v>
      </c>
      <c r="DZ369" s="632"/>
      <c r="EA369" s="16"/>
      <c r="EB369" s="636">
        <v>2.7</v>
      </c>
      <c r="EC369" s="636">
        <v>2.7</v>
      </c>
      <c r="ED369" s="636">
        <v>2.72</v>
      </c>
      <c r="EE369" s="636">
        <v>2.72</v>
      </c>
      <c r="EF369" s="636">
        <v>2.72</v>
      </c>
      <c r="EG369" s="649">
        <v>2.72</v>
      </c>
      <c r="EH369" s="16"/>
      <c r="EI369" s="320">
        <v>2.69</v>
      </c>
      <c r="EJ369" s="153"/>
      <c r="EK369" s="153"/>
      <c r="EL369" s="153"/>
      <c r="EM369" s="648"/>
      <c r="EN369" s="641"/>
      <c r="EO369" s="631" t="s">
        <v>90</v>
      </c>
      <c r="EP369" s="632"/>
      <c r="EQ369" s="16"/>
      <c r="ER369" s="636">
        <v>2.7</v>
      </c>
      <c r="ES369" s="636">
        <v>2.7</v>
      </c>
      <c r="ET369" s="636">
        <v>2.72</v>
      </c>
      <c r="EU369" s="636">
        <v>2.72</v>
      </c>
      <c r="EV369" s="636">
        <v>2.72</v>
      </c>
      <c r="EW369" s="649">
        <v>2.72</v>
      </c>
      <c r="EX369" s="16"/>
      <c r="EY369" s="320">
        <v>2.69</v>
      </c>
      <c r="EZ369" s="153"/>
      <c r="FA369" s="153"/>
      <c r="FB369" s="153"/>
      <c r="FC369" s="648"/>
      <c r="FD369" s="641"/>
      <c r="FE369" s="631" t="s">
        <v>90</v>
      </c>
      <c r="FF369" s="632"/>
      <c r="FG369" s="16"/>
      <c r="FH369" s="636">
        <v>2.7</v>
      </c>
      <c r="FI369" s="636">
        <v>2.7</v>
      </c>
      <c r="FJ369" s="636">
        <v>2.72</v>
      </c>
      <c r="FK369" s="636">
        <v>2.72</v>
      </c>
      <c r="FL369" s="636">
        <v>2.72</v>
      </c>
      <c r="FM369" s="649">
        <v>2.72</v>
      </c>
      <c r="FN369" s="16"/>
      <c r="FO369" s="320">
        <v>2.69</v>
      </c>
      <c r="FP369" s="153"/>
      <c r="FQ369" s="153"/>
      <c r="FR369" s="153"/>
      <c r="FS369" s="648"/>
      <c r="FT369" s="641"/>
      <c r="FU369" s="631" t="s">
        <v>90</v>
      </c>
      <c r="FV369" s="632"/>
      <c r="FW369" s="16"/>
      <c r="FX369" s="636">
        <v>2.7</v>
      </c>
      <c r="FY369" s="636">
        <v>2.7</v>
      </c>
      <c r="FZ369" s="636">
        <v>2.72</v>
      </c>
      <c r="GA369" s="636">
        <v>2.72</v>
      </c>
      <c r="GB369" s="636">
        <v>2.72</v>
      </c>
      <c r="GC369" s="649">
        <v>2.72</v>
      </c>
      <c r="GD369" s="16"/>
      <c r="GE369" s="320">
        <v>2.69</v>
      </c>
      <c r="GF369" s="153"/>
      <c r="GG369" s="153"/>
      <c r="GH369" s="153"/>
      <c r="GI369" s="648"/>
      <c r="GJ369" s="641"/>
      <c r="GK369" s="631" t="s">
        <v>90</v>
      </c>
      <c r="GL369" s="632"/>
      <c r="GM369" s="16"/>
      <c r="GN369" s="636">
        <v>2.7</v>
      </c>
      <c r="GO369" s="636">
        <v>2.7</v>
      </c>
      <c r="GP369" s="636">
        <v>2.72</v>
      </c>
      <c r="GQ369" s="636">
        <v>2.72</v>
      </c>
      <c r="GR369" s="636">
        <v>2.72</v>
      </c>
      <c r="GS369" s="649">
        <v>2.72</v>
      </c>
      <c r="GT369" s="16"/>
      <c r="GU369" s="320">
        <v>2.69</v>
      </c>
      <c r="GV369" s="153"/>
      <c r="GW369" s="153"/>
      <c r="GX369" s="153"/>
      <c r="GY369" s="648"/>
      <c r="GZ369" s="641"/>
      <c r="HA369" s="631" t="s">
        <v>90</v>
      </c>
      <c r="HB369" s="632"/>
      <c r="HC369" s="16"/>
      <c r="HD369" s="636">
        <v>2.7</v>
      </c>
      <c r="HE369" s="636">
        <v>2.7</v>
      </c>
      <c r="HF369" s="636">
        <v>2.72</v>
      </c>
      <c r="HG369" s="636">
        <v>2.72</v>
      </c>
      <c r="HH369" s="636">
        <v>2.72</v>
      </c>
      <c r="HI369" s="649">
        <v>2.72</v>
      </c>
      <c r="HJ369" s="16"/>
      <c r="HK369" s="320">
        <v>2.69</v>
      </c>
      <c r="HL369" s="153"/>
      <c r="HM369" s="153"/>
      <c r="HN369" s="153"/>
      <c r="HO369" s="648"/>
      <c r="HP369" s="641"/>
      <c r="HQ369" s="631" t="s">
        <v>90</v>
      </c>
      <c r="HR369" s="632"/>
      <c r="HS369" s="16"/>
      <c r="HT369" s="636">
        <v>2.7</v>
      </c>
      <c r="HU369" s="636">
        <v>2.7</v>
      </c>
      <c r="HV369" s="636">
        <v>2.72</v>
      </c>
      <c r="HW369" s="636">
        <v>2.72</v>
      </c>
      <c r="HX369" s="636">
        <v>2.72</v>
      </c>
      <c r="HY369" s="649">
        <v>2.72</v>
      </c>
      <c r="HZ369" s="16"/>
      <c r="IA369" s="320">
        <v>2.69</v>
      </c>
      <c r="IB369" s="153"/>
      <c r="IC369" s="153"/>
      <c r="ID369" s="153"/>
      <c r="IE369" s="648"/>
      <c r="IF369" s="641"/>
      <c r="IG369" s="631" t="s">
        <v>90</v>
      </c>
      <c r="IH369" s="632"/>
      <c r="II369" s="16"/>
      <c r="IJ369" s="636">
        <v>2.7</v>
      </c>
      <c r="IK369" s="636">
        <v>2.7</v>
      </c>
      <c r="IL369" s="636">
        <v>2.72</v>
      </c>
      <c r="IM369" s="636">
        <v>2.72</v>
      </c>
      <c r="IN369" s="636">
        <v>2.72</v>
      </c>
      <c r="IO369" s="649">
        <v>2.72</v>
      </c>
      <c r="IP369" s="16"/>
      <c r="IQ369" s="320">
        <v>2.69</v>
      </c>
      <c r="IR369" s="153"/>
      <c r="IS369" s="153"/>
      <c r="IT369" s="153"/>
      <c r="IU369" s="648"/>
      <c r="IV369" s="641"/>
      <c r="IW369" s="631" t="s">
        <v>90</v>
      </c>
      <c r="IX369" s="632"/>
      <c r="IY369" s="16"/>
      <c r="IZ369" s="636">
        <v>2.7</v>
      </c>
      <c r="JA369" s="636">
        <v>2.7</v>
      </c>
      <c r="JB369" s="636">
        <v>2.72</v>
      </c>
      <c r="JC369" s="636">
        <v>2.72</v>
      </c>
      <c r="JD369" s="636">
        <v>2.72</v>
      </c>
      <c r="JE369" s="649">
        <v>2.72</v>
      </c>
      <c r="JF369" s="16"/>
      <c r="JG369" s="320">
        <v>2.69</v>
      </c>
      <c r="JH369" s="153"/>
      <c r="JI369" s="153"/>
      <c r="JJ369" s="153"/>
      <c r="JK369" s="648"/>
      <c r="JL369" s="641"/>
      <c r="JM369" s="631" t="s">
        <v>90</v>
      </c>
      <c r="JN369" s="632"/>
      <c r="JO369" s="16"/>
      <c r="JP369" s="636">
        <v>2.7</v>
      </c>
      <c r="JQ369" s="636">
        <v>2.7</v>
      </c>
      <c r="JR369" s="636">
        <v>2.72</v>
      </c>
      <c r="JS369" s="636">
        <v>2.72</v>
      </c>
      <c r="JT369" s="636">
        <v>2.72</v>
      </c>
      <c r="JU369" s="649">
        <v>2.72</v>
      </c>
      <c r="JV369" s="16"/>
      <c r="JW369" s="320">
        <v>2.69</v>
      </c>
      <c r="JX369" s="153"/>
      <c r="JY369" s="153"/>
      <c r="JZ369" s="153"/>
      <c r="KA369" s="648"/>
      <c r="KB369" s="641"/>
      <c r="KC369" s="631" t="s">
        <v>90</v>
      </c>
      <c r="KD369" s="632"/>
      <c r="KE369" s="16"/>
      <c r="KF369" s="636">
        <v>2.7</v>
      </c>
      <c r="KG369" s="636">
        <v>2.7</v>
      </c>
      <c r="KH369" s="636">
        <v>2.72</v>
      </c>
      <c r="KI369" s="636">
        <v>2.72</v>
      </c>
      <c r="KJ369" s="636">
        <v>2.72</v>
      </c>
      <c r="KK369" s="649">
        <v>2.72</v>
      </c>
      <c r="KL369" s="16"/>
      <c r="KM369" s="320">
        <v>2.69</v>
      </c>
      <c r="KN369" s="153"/>
      <c r="KO369" s="153"/>
      <c r="KP369" s="153"/>
      <c r="KQ369" s="648"/>
      <c r="KR369" s="641"/>
      <c r="KS369" s="631" t="s">
        <v>90</v>
      </c>
      <c r="KT369" s="632"/>
      <c r="KU369" s="16"/>
      <c r="KV369" s="636">
        <v>2.7</v>
      </c>
      <c r="KW369" s="636">
        <v>2.7</v>
      </c>
      <c r="KX369" s="636">
        <v>2.72</v>
      </c>
      <c r="KY369" s="636">
        <v>2.72</v>
      </c>
      <c r="KZ369" s="636">
        <v>2.72</v>
      </c>
      <c r="LA369" s="649">
        <v>2.72</v>
      </c>
      <c r="LB369" s="16"/>
      <c r="LC369" s="320">
        <v>2.69</v>
      </c>
      <c r="LD369" s="153"/>
      <c r="LE369" s="153"/>
      <c r="LF369" s="153"/>
      <c r="LG369" s="648"/>
      <c r="LH369" s="641"/>
      <c r="LI369" s="631" t="s">
        <v>90</v>
      </c>
      <c r="LJ369" s="632"/>
      <c r="LK369" s="16"/>
      <c r="LL369" s="636">
        <v>2.7</v>
      </c>
      <c r="LM369" s="636">
        <v>2.7</v>
      </c>
      <c r="LN369" s="636">
        <v>2.72</v>
      </c>
      <c r="LO369" s="636">
        <v>2.72</v>
      </c>
      <c r="LP369" s="636">
        <v>2.72</v>
      </c>
      <c r="LQ369" s="649">
        <v>2.72</v>
      </c>
      <c r="LR369" s="16"/>
      <c r="LS369" s="320">
        <v>2.69</v>
      </c>
      <c r="LT369" s="153"/>
      <c r="LU369" s="153"/>
      <c r="LV369" s="153"/>
      <c r="LW369" s="648"/>
      <c r="LX369" s="641"/>
      <c r="LY369" s="631" t="s">
        <v>90</v>
      </c>
      <c r="LZ369" s="632"/>
      <c r="MA369" s="16"/>
      <c r="MB369" s="636">
        <v>2.7</v>
      </c>
      <c r="MC369" s="636">
        <v>2.7</v>
      </c>
      <c r="MD369" s="636">
        <v>2.72</v>
      </c>
      <c r="ME369" s="636">
        <v>2.72</v>
      </c>
      <c r="MF369" s="636">
        <v>2.72</v>
      </c>
      <c r="MG369" s="649">
        <v>2.72</v>
      </c>
      <c r="MH369" s="16"/>
      <c r="MI369" s="320">
        <v>2.69</v>
      </c>
      <c r="MJ369" s="153"/>
      <c r="MK369" s="153"/>
      <c r="ML369" s="153"/>
      <c r="MM369" s="648"/>
      <c r="MN369" s="641"/>
      <c r="MO369" s="631" t="s">
        <v>90</v>
      </c>
      <c r="MP369" s="632"/>
      <c r="MQ369" s="16"/>
      <c r="MR369" s="636">
        <v>2.7</v>
      </c>
      <c r="MS369" s="636">
        <v>2.7</v>
      </c>
      <c r="MT369" s="636">
        <v>2.72</v>
      </c>
      <c r="MU369" s="636">
        <v>2.72</v>
      </c>
      <c r="MV369" s="636">
        <v>2.72</v>
      </c>
      <c r="MW369" s="649">
        <v>2.72</v>
      </c>
      <c r="MX369" s="16"/>
      <c r="MY369" s="320">
        <v>2.69</v>
      </c>
      <c r="MZ369" s="153"/>
      <c r="NA369" s="153"/>
      <c r="NB369" s="153"/>
      <c r="NC369" s="648"/>
      <c r="ND369" s="641"/>
      <c r="NE369" s="631" t="s">
        <v>90</v>
      </c>
      <c r="NF369" s="632"/>
      <c r="NG369" s="16"/>
      <c r="NH369" s="636">
        <v>2.7</v>
      </c>
      <c r="NI369" s="636">
        <v>2.7</v>
      </c>
      <c r="NJ369" s="636">
        <v>2.72</v>
      </c>
      <c r="NK369" s="636">
        <v>2.72</v>
      </c>
      <c r="NL369" s="636">
        <v>2.72</v>
      </c>
      <c r="NM369" s="649">
        <v>2.72</v>
      </c>
      <c r="NN369" s="16"/>
      <c r="NO369" s="320">
        <v>2.69</v>
      </c>
      <c r="NP369" s="153"/>
      <c r="NQ369" s="153"/>
      <c r="NR369" s="153"/>
      <c r="NS369" s="648"/>
      <c r="NT369" s="641"/>
      <c r="NU369" s="631" t="s">
        <v>90</v>
      </c>
      <c r="NV369" s="632"/>
      <c r="NW369" s="16"/>
      <c r="NX369" s="636">
        <v>2.7</v>
      </c>
      <c r="NY369" s="636">
        <v>2.7</v>
      </c>
      <c r="NZ369" s="636">
        <v>2.72</v>
      </c>
      <c r="OA369" s="636">
        <v>2.72</v>
      </c>
      <c r="OB369" s="636">
        <v>2.72</v>
      </c>
      <c r="OC369" s="649">
        <v>2.72</v>
      </c>
      <c r="OD369" s="16"/>
      <c r="OE369" s="320">
        <v>2.69</v>
      </c>
      <c r="OF369" s="153"/>
      <c r="OG369" s="153"/>
      <c r="OH369" s="153"/>
      <c r="OI369" s="648"/>
      <c r="OJ369" s="641"/>
      <c r="OK369" s="631" t="s">
        <v>90</v>
      </c>
      <c r="OL369" s="632"/>
      <c r="OM369" s="16"/>
      <c r="ON369" s="636">
        <v>2.7</v>
      </c>
      <c r="OO369" s="636">
        <v>2.7</v>
      </c>
      <c r="OP369" s="636">
        <v>2.72</v>
      </c>
      <c r="OQ369" s="636">
        <v>2.72</v>
      </c>
      <c r="OR369" s="636">
        <v>2.72</v>
      </c>
      <c r="OS369" s="649">
        <v>2.72</v>
      </c>
      <c r="OT369" s="16"/>
      <c r="OU369" s="320">
        <v>2.69</v>
      </c>
      <c r="OV369" s="153"/>
      <c r="OW369" s="153"/>
      <c r="OX369" s="153"/>
      <c r="OY369" s="648"/>
      <c r="OZ369" s="641"/>
      <c r="PA369" s="631" t="s">
        <v>90</v>
      </c>
      <c r="PB369" s="632"/>
      <c r="PC369" s="16"/>
      <c r="PD369" s="636">
        <v>2.7</v>
      </c>
      <c r="PE369" s="636">
        <v>2.7</v>
      </c>
      <c r="PF369" s="636">
        <v>2.72</v>
      </c>
      <c r="PG369" s="636">
        <v>2.72</v>
      </c>
      <c r="PH369" s="636">
        <v>2.72</v>
      </c>
      <c r="PI369" s="649">
        <v>2.72</v>
      </c>
      <c r="PJ369" s="16"/>
      <c r="PK369" s="320">
        <v>2.69</v>
      </c>
      <c r="PL369" s="153"/>
      <c r="PM369" s="153"/>
      <c r="PN369" s="153"/>
      <c r="PO369" s="648"/>
      <c r="PP369" s="641"/>
      <c r="PQ369" s="631" t="s">
        <v>90</v>
      </c>
      <c r="PR369" s="632"/>
      <c r="PS369" s="16"/>
      <c r="PT369" s="636">
        <v>2.7</v>
      </c>
      <c r="PU369" s="636">
        <v>2.7</v>
      </c>
      <c r="PV369" s="636">
        <v>2.72</v>
      </c>
      <c r="PW369" s="636">
        <v>2.72</v>
      </c>
      <c r="PX369" s="636">
        <v>2.72</v>
      </c>
      <c r="PY369" s="649">
        <v>2.72</v>
      </c>
      <c r="PZ369" s="16"/>
      <c r="QA369" s="320">
        <v>2.69</v>
      </c>
      <c r="QB369" s="153"/>
      <c r="QC369" s="153"/>
      <c r="QD369" s="153"/>
      <c r="QE369" s="648"/>
      <c r="QF369" s="641"/>
      <c r="QG369" s="631" t="s">
        <v>90</v>
      </c>
      <c r="QH369" s="632"/>
      <c r="QI369" s="16"/>
      <c r="QJ369" s="636">
        <v>2.7</v>
      </c>
      <c r="QK369" s="636">
        <v>2.7</v>
      </c>
      <c r="QL369" s="636">
        <v>2.72</v>
      </c>
      <c r="QM369" s="636">
        <v>2.72</v>
      </c>
      <c r="QN369" s="636">
        <v>2.72</v>
      </c>
      <c r="QO369" s="649">
        <v>2.72</v>
      </c>
      <c r="QP369" s="16"/>
      <c r="QQ369" s="320">
        <v>2.69</v>
      </c>
      <c r="QR369" s="153"/>
      <c r="QS369" s="153"/>
      <c r="QT369" s="153"/>
      <c r="QU369" s="648"/>
      <c r="QV369" s="641"/>
      <c r="QW369" s="631" t="s">
        <v>90</v>
      </c>
      <c r="QX369" s="632"/>
      <c r="QY369" s="16"/>
      <c r="QZ369" s="636">
        <v>2.7</v>
      </c>
      <c r="RA369" s="636">
        <v>2.7</v>
      </c>
      <c r="RB369" s="636">
        <v>2.72</v>
      </c>
      <c r="RC369" s="636">
        <v>2.72</v>
      </c>
      <c r="RD369" s="636">
        <v>2.72</v>
      </c>
      <c r="RE369" s="649">
        <v>2.72</v>
      </c>
      <c r="RF369" s="16"/>
      <c r="RG369" s="320">
        <v>2.69</v>
      </c>
      <c r="RH369" s="153"/>
      <c r="RI369" s="153"/>
      <c r="RJ369" s="153"/>
      <c r="RK369" s="648"/>
      <c r="RL369" s="641"/>
      <c r="RM369" s="631" t="s">
        <v>90</v>
      </c>
      <c r="RN369" s="632"/>
      <c r="RO369" s="16"/>
      <c r="RP369" s="636">
        <v>2.7</v>
      </c>
      <c r="RQ369" s="636">
        <v>2.7</v>
      </c>
      <c r="RR369" s="636">
        <v>2.72</v>
      </c>
      <c r="RS369" s="636">
        <v>2.72</v>
      </c>
      <c r="RT369" s="636">
        <v>2.72</v>
      </c>
      <c r="RU369" s="649">
        <v>2.72</v>
      </c>
      <c r="RV369" s="16"/>
      <c r="RW369" s="320">
        <v>2.69</v>
      </c>
      <c r="RX369" s="153"/>
      <c r="RY369" s="153"/>
      <c r="RZ369" s="153"/>
      <c r="SA369" s="648"/>
      <c r="SB369" s="641"/>
      <c r="SC369" s="631" t="s">
        <v>90</v>
      </c>
      <c r="SD369" s="632"/>
      <c r="SE369" s="16"/>
      <c r="SF369" s="636">
        <v>2.7</v>
      </c>
      <c r="SG369" s="636">
        <v>2.7</v>
      </c>
      <c r="SH369" s="636">
        <v>2.72</v>
      </c>
      <c r="SI369" s="636">
        <v>2.72</v>
      </c>
      <c r="SJ369" s="636">
        <v>2.72</v>
      </c>
      <c r="SK369" s="649">
        <v>2.72</v>
      </c>
      <c r="SL369" s="16"/>
      <c r="SM369" s="320">
        <v>2.69</v>
      </c>
      <c r="SN369" s="153"/>
      <c r="SO369" s="153"/>
      <c r="SP369" s="153"/>
      <c r="SQ369" s="648"/>
      <c r="SR369" s="641"/>
      <c r="SS369" s="631" t="s">
        <v>90</v>
      </c>
      <c r="ST369" s="632"/>
      <c r="SU369" s="16"/>
      <c r="SV369" s="636">
        <v>2.7</v>
      </c>
      <c r="SW369" s="636">
        <v>2.7</v>
      </c>
      <c r="SX369" s="636">
        <v>2.72</v>
      </c>
      <c r="SY369" s="636">
        <v>2.72</v>
      </c>
      <c r="SZ369" s="636">
        <v>2.72</v>
      </c>
      <c r="TA369" s="649">
        <v>2.72</v>
      </c>
      <c r="TB369" s="16"/>
      <c r="TC369" s="320">
        <v>2.69</v>
      </c>
      <c r="TD369" s="153"/>
      <c r="TE369" s="153"/>
      <c r="TF369" s="153"/>
      <c r="TG369" s="648"/>
      <c r="TH369" s="641"/>
      <c r="TI369" s="631" t="s">
        <v>90</v>
      </c>
      <c r="TJ369" s="632"/>
      <c r="TK369" s="16"/>
      <c r="TL369" s="636">
        <v>2.7</v>
      </c>
      <c r="TM369" s="636">
        <v>2.7</v>
      </c>
      <c r="TN369" s="636">
        <v>2.72</v>
      </c>
      <c r="TO369" s="636">
        <v>2.72</v>
      </c>
      <c r="TP369" s="636">
        <v>2.72</v>
      </c>
      <c r="TQ369" s="649">
        <v>2.72</v>
      </c>
      <c r="TR369" s="16"/>
      <c r="TS369" s="320">
        <v>2.69</v>
      </c>
      <c r="TT369" s="153"/>
      <c r="TU369" s="153"/>
      <c r="TV369" s="153"/>
      <c r="TW369" s="648"/>
      <c r="TX369" s="641"/>
      <c r="TY369" s="631" t="s">
        <v>90</v>
      </c>
      <c r="TZ369" s="632"/>
      <c r="UA369" s="16"/>
      <c r="UB369" s="636">
        <v>2.7</v>
      </c>
      <c r="UC369" s="636">
        <v>2.7</v>
      </c>
      <c r="UD369" s="636">
        <v>2.72</v>
      </c>
      <c r="UE369" s="636">
        <v>2.72</v>
      </c>
      <c r="UF369" s="636">
        <v>2.72</v>
      </c>
      <c r="UG369" s="649">
        <v>2.72</v>
      </c>
      <c r="UH369" s="16"/>
      <c r="UI369" s="320">
        <v>2.69</v>
      </c>
      <c r="UJ369" s="153"/>
      <c r="UK369" s="153"/>
      <c r="UL369" s="153"/>
      <c r="UM369" s="648"/>
      <c r="UN369" s="641"/>
      <c r="UO369" s="631" t="s">
        <v>90</v>
      </c>
      <c r="UP369" s="632"/>
      <c r="UQ369" s="16"/>
      <c r="UR369" s="636">
        <v>2.7</v>
      </c>
      <c r="US369" s="636">
        <v>2.7</v>
      </c>
      <c r="UT369" s="636">
        <v>2.72</v>
      </c>
      <c r="UU369" s="636">
        <v>2.72</v>
      </c>
      <c r="UV369" s="636">
        <v>2.72</v>
      </c>
      <c r="UW369" s="649">
        <v>2.72</v>
      </c>
      <c r="UX369" s="16"/>
      <c r="UY369" s="320">
        <v>2.69</v>
      </c>
      <c r="UZ369" s="153"/>
      <c r="VA369" s="153"/>
      <c r="VB369" s="153"/>
      <c r="VC369" s="648"/>
      <c r="VD369" s="641"/>
      <c r="VE369" s="631" t="s">
        <v>90</v>
      </c>
      <c r="VF369" s="632"/>
      <c r="VG369" s="16"/>
      <c r="VH369" s="636">
        <v>2.7</v>
      </c>
      <c r="VI369" s="636">
        <v>2.7</v>
      </c>
      <c r="VJ369" s="636">
        <v>2.72</v>
      </c>
      <c r="VK369" s="636">
        <v>2.72</v>
      </c>
      <c r="VL369" s="636">
        <v>2.72</v>
      </c>
      <c r="VM369" s="649">
        <v>2.72</v>
      </c>
      <c r="VN369" s="16"/>
      <c r="VO369" s="320">
        <v>2.69</v>
      </c>
      <c r="VP369" s="153"/>
      <c r="VQ369" s="153"/>
      <c r="VR369" s="153"/>
      <c r="VS369" s="648"/>
      <c r="VT369" s="641"/>
      <c r="VU369" s="631" t="s">
        <v>90</v>
      </c>
      <c r="VV369" s="632"/>
      <c r="VW369" s="16"/>
      <c r="VX369" s="636">
        <v>2.7</v>
      </c>
      <c r="VY369" s="636">
        <v>2.7</v>
      </c>
      <c r="VZ369" s="636">
        <v>2.72</v>
      </c>
      <c r="WA369" s="636">
        <v>2.72</v>
      </c>
      <c r="WB369" s="636">
        <v>2.72</v>
      </c>
      <c r="WC369" s="649">
        <v>2.72</v>
      </c>
      <c r="WD369" s="16"/>
      <c r="WE369" s="320">
        <v>2.69</v>
      </c>
      <c r="WF369" s="153"/>
      <c r="WG369" s="153"/>
      <c r="WH369" s="153"/>
      <c r="WI369" s="648"/>
      <c r="WJ369" s="641"/>
      <c r="WK369" s="631" t="s">
        <v>90</v>
      </c>
      <c r="WL369" s="632"/>
      <c r="WM369" s="16"/>
      <c r="WN369" s="636">
        <v>2.7</v>
      </c>
      <c r="WO369" s="636">
        <v>2.7</v>
      </c>
      <c r="WP369" s="636">
        <v>2.72</v>
      </c>
      <c r="WQ369" s="636">
        <v>2.72</v>
      </c>
      <c r="WR369" s="636">
        <v>2.72</v>
      </c>
      <c r="WS369" s="649">
        <v>2.72</v>
      </c>
      <c r="WT369" s="16"/>
      <c r="WU369" s="320">
        <v>2.69</v>
      </c>
      <c r="WV369" s="153"/>
      <c r="WW369" s="153"/>
      <c r="WX369" s="153"/>
      <c r="WY369" s="648"/>
      <c r="WZ369" s="641"/>
      <c r="XA369" s="631" t="s">
        <v>90</v>
      </c>
      <c r="XB369" s="632"/>
      <c r="XC369" s="16"/>
      <c r="XD369" s="636">
        <v>2.7</v>
      </c>
      <c r="XE369" s="636">
        <v>2.7</v>
      </c>
      <c r="XF369" s="636">
        <v>2.72</v>
      </c>
      <c r="XG369" s="636">
        <v>2.72</v>
      </c>
      <c r="XH369" s="636">
        <v>2.72</v>
      </c>
      <c r="XI369" s="649">
        <v>2.72</v>
      </c>
      <c r="XJ369" s="16"/>
      <c r="XK369" s="320">
        <v>2.69</v>
      </c>
      <c r="XL369" s="153"/>
      <c r="XM369" s="153"/>
      <c r="XN369" s="153"/>
      <c r="XO369" s="648"/>
      <c r="XP369" s="641"/>
      <c r="XQ369" s="631" t="s">
        <v>90</v>
      </c>
      <c r="XR369" s="632"/>
      <c r="XS369" s="16"/>
      <c r="XT369" s="636">
        <v>2.7</v>
      </c>
      <c r="XU369" s="636">
        <v>2.7</v>
      </c>
      <c r="XV369" s="636">
        <v>2.72</v>
      </c>
      <c r="XW369" s="636">
        <v>2.72</v>
      </c>
      <c r="XX369" s="636">
        <v>2.72</v>
      </c>
      <c r="XY369" s="649">
        <v>2.72</v>
      </c>
      <c r="XZ369" s="16"/>
      <c r="YA369" s="320">
        <v>2.69</v>
      </c>
      <c r="YB369" s="153"/>
      <c r="YC369" s="153"/>
      <c r="YD369" s="153"/>
      <c r="YE369" s="648"/>
      <c r="YF369" s="641"/>
      <c r="YG369" s="631" t="s">
        <v>90</v>
      </c>
      <c r="YH369" s="632"/>
      <c r="YI369" s="16"/>
      <c r="YJ369" s="636">
        <v>2.7</v>
      </c>
      <c r="YK369" s="636">
        <v>2.7</v>
      </c>
      <c r="YL369" s="636">
        <v>2.72</v>
      </c>
      <c r="YM369" s="636">
        <v>2.72</v>
      </c>
      <c r="YN369" s="636">
        <v>2.72</v>
      </c>
      <c r="YO369" s="649">
        <v>2.72</v>
      </c>
      <c r="YP369" s="16"/>
      <c r="YQ369" s="320">
        <v>2.69</v>
      </c>
      <c r="YR369" s="153"/>
      <c r="YS369" s="153"/>
      <c r="YT369" s="153"/>
      <c r="YU369" s="648"/>
      <c r="YV369" s="641"/>
      <c r="YW369" s="631" t="s">
        <v>90</v>
      </c>
      <c r="YX369" s="632"/>
      <c r="YY369" s="16"/>
      <c r="YZ369" s="636">
        <v>2.7</v>
      </c>
      <c r="ZA369" s="636">
        <v>2.7</v>
      </c>
      <c r="ZB369" s="636">
        <v>2.72</v>
      </c>
      <c r="ZC369" s="636">
        <v>2.72</v>
      </c>
      <c r="ZD369" s="636">
        <v>2.72</v>
      </c>
      <c r="ZE369" s="649">
        <v>2.72</v>
      </c>
      <c r="ZF369" s="16"/>
      <c r="ZG369" s="320">
        <v>2.69</v>
      </c>
      <c r="ZH369" s="153"/>
      <c r="ZI369" s="153"/>
      <c r="ZJ369" s="153"/>
      <c r="ZK369" s="648"/>
      <c r="ZL369" s="641"/>
      <c r="ZM369" s="631" t="s">
        <v>90</v>
      </c>
      <c r="ZN369" s="632"/>
      <c r="ZO369" s="16"/>
      <c r="ZP369" s="636">
        <v>2.7</v>
      </c>
      <c r="ZQ369" s="636">
        <v>2.7</v>
      </c>
      <c r="ZR369" s="636">
        <v>2.72</v>
      </c>
      <c r="ZS369" s="636">
        <v>2.72</v>
      </c>
      <c r="ZT369" s="636">
        <v>2.72</v>
      </c>
      <c r="ZU369" s="649">
        <v>2.72</v>
      </c>
      <c r="ZV369" s="16"/>
      <c r="ZW369" s="320">
        <v>2.69</v>
      </c>
      <c r="ZX369" s="153"/>
      <c r="ZY369" s="153"/>
      <c r="ZZ369" s="153"/>
      <c r="AAA369" s="648"/>
      <c r="AAB369" s="641"/>
      <c r="AAC369" s="631" t="s">
        <v>90</v>
      </c>
      <c r="AAD369" s="632"/>
      <c r="AAE369" s="16"/>
      <c r="AAF369" s="636">
        <v>2.7</v>
      </c>
      <c r="AAG369" s="636">
        <v>2.7</v>
      </c>
      <c r="AAH369" s="636">
        <v>2.72</v>
      </c>
      <c r="AAI369" s="636">
        <v>2.72</v>
      </c>
      <c r="AAJ369" s="636">
        <v>2.72</v>
      </c>
      <c r="AAK369" s="649">
        <v>2.72</v>
      </c>
      <c r="AAL369" s="16"/>
      <c r="AAM369" s="320">
        <v>2.69</v>
      </c>
      <c r="AAN369" s="153"/>
      <c r="AAO369" s="153"/>
      <c r="AAP369" s="153"/>
      <c r="AAQ369" s="648"/>
      <c r="AAR369" s="641"/>
      <c r="AAS369" s="631" t="s">
        <v>90</v>
      </c>
      <c r="AAT369" s="632"/>
      <c r="AAU369" s="16"/>
      <c r="AAV369" s="636">
        <v>2.7</v>
      </c>
      <c r="AAW369" s="636">
        <v>2.7</v>
      </c>
      <c r="AAX369" s="636">
        <v>2.72</v>
      </c>
      <c r="AAY369" s="636">
        <v>2.72</v>
      </c>
      <c r="AAZ369" s="636">
        <v>2.72</v>
      </c>
      <c r="ABA369" s="649">
        <v>2.72</v>
      </c>
      <c r="ABB369" s="16"/>
      <c r="ABC369" s="320">
        <v>2.69</v>
      </c>
      <c r="ABD369" s="153"/>
      <c r="ABE369" s="153"/>
      <c r="ABF369" s="153"/>
      <c r="ABG369" s="648"/>
      <c r="ABH369" s="641"/>
      <c r="ABI369" s="631" t="s">
        <v>90</v>
      </c>
      <c r="ABJ369" s="632"/>
      <c r="ABK369" s="16"/>
      <c r="ABL369" s="636">
        <v>2.7</v>
      </c>
      <c r="ABM369" s="636">
        <v>2.7</v>
      </c>
      <c r="ABN369" s="636">
        <v>2.72</v>
      </c>
      <c r="ABO369" s="636">
        <v>2.72</v>
      </c>
      <c r="ABP369" s="636">
        <v>2.72</v>
      </c>
      <c r="ABQ369" s="649">
        <v>2.72</v>
      </c>
      <c r="ABR369" s="16"/>
      <c r="ABS369" s="320">
        <v>2.69</v>
      </c>
      <c r="ABT369" s="153"/>
      <c r="ABU369" s="153"/>
      <c r="ABV369" s="153"/>
      <c r="ABW369" s="648"/>
      <c r="ABX369" s="641"/>
      <c r="ABY369" s="631" t="s">
        <v>90</v>
      </c>
      <c r="ABZ369" s="632"/>
      <c r="ACA369" s="16"/>
      <c r="ACB369" s="636">
        <v>2.7</v>
      </c>
      <c r="ACC369" s="636">
        <v>2.7</v>
      </c>
      <c r="ACD369" s="636">
        <v>2.72</v>
      </c>
      <c r="ACE369" s="636">
        <v>2.72</v>
      </c>
      <c r="ACF369" s="636">
        <v>2.72</v>
      </c>
      <c r="ACG369" s="649">
        <v>2.72</v>
      </c>
      <c r="ACH369" s="16"/>
      <c r="ACI369" s="320">
        <v>2.69</v>
      </c>
      <c r="ACJ369" s="153"/>
      <c r="ACK369" s="153"/>
      <c r="ACL369" s="153"/>
      <c r="ACM369" s="648"/>
      <c r="ACN369" s="641"/>
      <c r="ACO369" s="631" t="s">
        <v>90</v>
      </c>
      <c r="ACP369" s="632"/>
      <c r="ACQ369" s="16"/>
      <c r="ACR369" s="636">
        <v>2.7</v>
      </c>
      <c r="ACS369" s="636">
        <v>2.7</v>
      </c>
      <c r="ACT369" s="636">
        <v>2.72</v>
      </c>
      <c r="ACU369" s="636">
        <v>2.72</v>
      </c>
      <c r="ACV369" s="636">
        <v>2.72</v>
      </c>
      <c r="ACW369" s="649">
        <v>2.72</v>
      </c>
      <c r="ACX369" s="16"/>
      <c r="ACY369" s="320">
        <v>2.69</v>
      </c>
      <c r="ACZ369" s="153"/>
      <c r="ADA369" s="153"/>
      <c r="ADB369" s="153"/>
      <c r="ADC369" s="648"/>
      <c r="ADD369" s="641"/>
      <c r="ADE369" s="631" t="s">
        <v>90</v>
      </c>
      <c r="ADF369" s="632"/>
      <c r="ADG369" s="16"/>
      <c r="ADH369" s="636">
        <v>2.7</v>
      </c>
      <c r="ADI369" s="636">
        <v>2.7</v>
      </c>
      <c r="ADJ369" s="636">
        <v>2.72</v>
      </c>
      <c r="ADK369" s="636">
        <v>2.72</v>
      </c>
      <c r="ADL369" s="636">
        <v>2.72</v>
      </c>
      <c r="ADM369" s="649">
        <v>2.72</v>
      </c>
      <c r="ADN369" s="16"/>
      <c r="ADO369" s="320">
        <v>2.69</v>
      </c>
      <c r="ADP369" s="153"/>
      <c r="ADQ369" s="153"/>
      <c r="ADR369" s="153"/>
      <c r="ADS369" s="648"/>
      <c r="ADT369" s="641"/>
      <c r="ADU369" s="631" t="s">
        <v>90</v>
      </c>
      <c r="ADV369" s="632"/>
      <c r="ADW369" s="16"/>
      <c r="ADX369" s="636">
        <v>2.7</v>
      </c>
      <c r="ADY369" s="636">
        <v>2.7</v>
      </c>
      <c r="ADZ369" s="636">
        <v>2.72</v>
      </c>
      <c r="AEA369" s="636">
        <v>2.72</v>
      </c>
      <c r="AEB369" s="636">
        <v>2.72</v>
      </c>
      <c r="AEC369" s="649">
        <v>2.72</v>
      </c>
      <c r="AED369" s="16"/>
      <c r="AEE369" s="320">
        <v>2.69</v>
      </c>
      <c r="AEF369" s="153"/>
      <c r="AEG369" s="153"/>
      <c r="AEH369" s="153"/>
      <c r="AEI369" s="648"/>
      <c r="AEJ369" s="641"/>
      <c r="AEK369" s="631" t="s">
        <v>90</v>
      </c>
      <c r="AEL369" s="632"/>
      <c r="AEM369" s="16"/>
      <c r="AEN369" s="636">
        <v>2.7</v>
      </c>
      <c r="AEO369" s="636">
        <v>2.7</v>
      </c>
      <c r="AEP369" s="636">
        <v>2.72</v>
      </c>
      <c r="AEQ369" s="636">
        <v>2.72</v>
      </c>
      <c r="AER369" s="636">
        <v>2.72</v>
      </c>
      <c r="AES369" s="649">
        <v>2.72</v>
      </c>
      <c r="AET369" s="16"/>
      <c r="AEU369" s="320">
        <v>2.69</v>
      </c>
      <c r="AEV369" s="153"/>
      <c r="AEW369" s="153"/>
      <c r="AEX369" s="153"/>
      <c r="AEY369" s="648"/>
      <c r="AEZ369" s="641"/>
      <c r="AFA369" s="631" t="s">
        <v>90</v>
      </c>
      <c r="AFB369" s="632"/>
      <c r="AFC369" s="16"/>
      <c r="AFD369" s="636">
        <v>2.7</v>
      </c>
      <c r="AFE369" s="636">
        <v>2.7</v>
      </c>
      <c r="AFF369" s="636">
        <v>2.72</v>
      </c>
      <c r="AFG369" s="636">
        <v>2.72</v>
      </c>
      <c r="AFH369" s="636">
        <v>2.72</v>
      </c>
      <c r="AFI369" s="649">
        <v>2.72</v>
      </c>
      <c r="AFJ369" s="16"/>
      <c r="AFK369" s="320">
        <v>2.69</v>
      </c>
      <c r="AFL369" s="153"/>
      <c r="AFM369" s="153"/>
      <c r="AFN369" s="153"/>
      <c r="AFO369" s="648"/>
      <c r="AFP369" s="641"/>
      <c r="AFQ369" s="631" t="s">
        <v>90</v>
      </c>
      <c r="AFR369" s="632"/>
      <c r="AFS369" s="16"/>
      <c r="AFT369" s="636">
        <v>2.7</v>
      </c>
      <c r="AFU369" s="636">
        <v>2.7</v>
      </c>
      <c r="AFV369" s="636">
        <v>2.72</v>
      </c>
      <c r="AFW369" s="636">
        <v>2.72</v>
      </c>
      <c r="AFX369" s="636">
        <v>2.72</v>
      </c>
      <c r="AFY369" s="649">
        <v>2.72</v>
      </c>
      <c r="AFZ369" s="16"/>
      <c r="AGA369" s="320">
        <v>2.69</v>
      </c>
      <c r="AGB369" s="153"/>
      <c r="AGC369" s="153"/>
      <c r="AGD369" s="153"/>
      <c r="AGE369" s="648"/>
      <c r="AGF369" s="641"/>
      <c r="AGG369" s="631" t="s">
        <v>90</v>
      </c>
      <c r="AGH369" s="632"/>
      <c r="AGI369" s="16"/>
      <c r="AGJ369" s="636">
        <v>2.7</v>
      </c>
      <c r="AGK369" s="636">
        <v>2.7</v>
      </c>
      <c r="AGL369" s="636">
        <v>2.72</v>
      </c>
      <c r="AGM369" s="636">
        <v>2.72</v>
      </c>
      <c r="AGN369" s="636">
        <v>2.72</v>
      </c>
      <c r="AGO369" s="649">
        <v>2.72</v>
      </c>
      <c r="AGP369" s="16"/>
      <c r="AGQ369" s="320">
        <v>2.69</v>
      </c>
      <c r="AGR369" s="153"/>
      <c r="AGS369" s="153"/>
      <c r="AGT369" s="153"/>
      <c r="AGU369" s="648"/>
      <c r="AGV369" s="641"/>
      <c r="AGW369" s="631" t="s">
        <v>90</v>
      </c>
      <c r="AGX369" s="632"/>
      <c r="AGY369" s="16"/>
      <c r="AGZ369" s="636">
        <v>2.7</v>
      </c>
      <c r="AHA369" s="636">
        <v>2.7</v>
      </c>
      <c r="AHB369" s="636">
        <v>2.72</v>
      </c>
      <c r="AHC369" s="636">
        <v>2.72</v>
      </c>
      <c r="AHD369" s="636">
        <v>2.72</v>
      </c>
      <c r="AHE369" s="649">
        <v>2.72</v>
      </c>
      <c r="AHF369" s="16"/>
      <c r="AHG369" s="320">
        <v>2.69</v>
      </c>
      <c r="AHH369" s="153"/>
      <c r="AHI369" s="153"/>
      <c r="AHJ369" s="153"/>
      <c r="AHK369" s="648"/>
      <c r="AHL369" s="641"/>
      <c r="AHM369" s="631" t="s">
        <v>90</v>
      </c>
      <c r="AHN369" s="632"/>
      <c r="AHO369" s="16"/>
      <c r="AHP369" s="636">
        <v>2.7</v>
      </c>
      <c r="AHQ369" s="636">
        <v>2.7</v>
      </c>
      <c r="AHR369" s="636">
        <v>2.72</v>
      </c>
      <c r="AHS369" s="636">
        <v>2.72</v>
      </c>
      <c r="AHT369" s="636">
        <v>2.72</v>
      </c>
      <c r="AHU369" s="649">
        <v>2.72</v>
      </c>
      <c r="AHV369" s="16"/>
      <c r="AHW369" s="320">
        <v>2.69</v>
      </c>
      <c r="AHX369" s="153"/>
      <c r="AHY369" s="153"/>
      <c r="AHZ369" s="153"/>
      <c r="AIA369" s="648"/>
      <c r="AIB369" s="641"/>
      <c r="AIC369" s="631" t="s">
        <v>90</v>
      </c>
      <c r="AID369" s="632"/>
      <c r="AIE369" s="16"/>
      <c r="AIF369" s="636">
        <v>2.7</v>
      </c>
      <c r="AIG369" s="636">
        <v>2.7</v>
      </c>
      <c r="AIH369" s="636">
        <v>2.72</v>
      </c>
      <c r="AII369" s="636">
        <v>2.72</v>
      </c>
      <c r="AIJ369" s="636">
        <v>2.72</v>
      </c>
      <c r="AIK369" s="649">
        <v>2.72</v>
      </c>
      <c r="AIL369" s="16"/>
      <c r="AIM369" s="320">
        <v>2.69</v>
      </c>
      <c r="AIN369" s="153"/>
      <c r="AIO369" s="153"/>
      <c r="AIP369" s="153"/>
      <c r="AIQ369" s="648"/>
      <c r="AIR369" s="641"/>
      <c r="AIS369" s="631" t="s">
        <v>90</v>
      </c>
      <c r="AIT369" s="632"/>
      <c r="AIU369" s="16"/>
      <c r="AIV369" s="636">
        <v>2.7</v>
      </c>
      <c r="AIW369" s="636">
        <v>2.7</v>
      </c>
      <c r="AIX369" s="636">
        <v>2.72</v>
      </c>
      <c r="AIY369" s="636">
        <v>2.72</v>
      </c>
      <c r="AIZ369" s="636">
        <v>2.72</v>
      </c>
      <c r="AJA369" s="649">
        <v>2.72</v>
      </c>
      <c r="AJB369" s="16"/>
      <c r="AJC369" s="320">
        <v>2.69</v>
      </c>
      <c r="AJD369" s="153"/>
      <c r="AJE369" s="153"/>
      <c r="AJF369" s="153"/>
      <c r="AJG369" s="648"/>
      <c r="AJH369" s="641"/>
      <c r="AJI369" s="631" t="s">
        <v>90</v>
      </c>
      <c r="AJJ369" s="632"/>
      <c r="AJK369" s="16"/>
      <c r="AJL369" s="636">
        <v>2.7</v>
      </c>
      <c r="AJM369" s="636">
        <v>2.7</v>
      </c>
      <c r="AJN369" s="636">
        <v>2.72</v>
      </c>
      <c r="AJO369" s="636">
        <v>2.72</v>
      </c>
      <c r="AJP369" s="636">
        <v>2.72</v>
      </c>
      <c r="AJQ369" s="649">
        <v>2.72</v>
      </c>
      <c r="AJR369" s="16"/>
      <c r="AJS369" s="320">
        <v>2.69</v>
      </c>
      <c r="AJT369" s="153"/>
      <c r="AJU369" s="153"/>
      <c r="AJV369" s="153"/>
      <c r="AJW369" s="648"/>
      <c r="AJX369" s="641"/>
      <c r="AJY369" s="631" t="s">
        <v>90</v>
      </c>
      <c r="AJZ369" s="632"/>
      <c r="AKA369" s="16"/>
      <c r="AKB369" s="636">
        <v>2.7</v>
      </c>
      <c r="AKC369" s="636">
        <v>2.7</v>
      </c>
      <c r="AKD369" s="636">
        <v>2.72</v>
      </c>
      <c r="AKE369" s="636">
        <v>2.72</v>
      </c>
      <c r="AKF369" s="636">
        <v>2.72</v>
      </c>
      <c r="AKG369" s="649">
        <v>2.72</v>
      </c>
      <c r="AKH369" s="16"/>
      <c r="AKI369" s="320">
        <v>2.69</v>
      </c>
      <c r="AKJ369" s="153"/>
      <c r="AKK369" s="153"/>
      <c r="AKL369" s="153"/>
      <c r="AKM369" s="648"/>
      <c r="AKN369" s="641"/>
      <c r="AKO369" s="631" t="s">
        <v>90</v>
      </c>
      <c r="AKP369" s="632"/>
      <c r="AKQ369" s="16"/>
      <c r="AKR369" s="636">
        <v>2.7</v>
      </c>
      <c r="AKS369" s="636">
        <v>2.7</v>
      </c>
      <c r="AKT369" s="636">
        <v>2.72</v>
      </c>
      <c r="AKU369" s="636">
        <v>2.72</v>
      </c>
      <c r="AKV369" s="636">
        <v>2.72</v>
      </c>
      <c r="AKW369" s="649">
        <v>2.72</v>
      </c>
      <c r="AKX369" s="16"/>
      <c r="AKY369" s="320">
        <v>2.69</v>
      </c>
      <c r="AKZ369" s="153"/>
      <c r="ALA369" s="153"/>
      <c r="ALB369" s="153"/>
      <c r="ALC369" s="648"/>
      <c r="ALD369" s="641"/>
      <c r="ALE369" s="631" t="s">
        <v>90</v>
      </c>
      <c r="ALF369" s="632"/>
      <c r="ALG369" s="16"/>
      <c r="ALH369" s="636">
        <v>2.7</v>
      </c>
      <c r="ALI369" s="636">
        <v>2.7</v>
      </c>
      <c r="ALJ369" s="636">
        <v>2.72</v>
      </c>
      <c r="ALK369" s="636">
        <v>2.72</v>
      </c>
      <c r="ALL369" s="636">
        <v>2.72</v>
      </c>
      <c r="ALM369" s="649">
        <v>2.72</v>
      </c>
      <c r="ALN369" s="16"/>
      <c r="ALO369" s="320">
        <v>2.69</v>
      </c>
      <c r="ALP369" s="153"/>
      <c r="ALQ369" s="153"/>
      <c r="ALR369" s="153"/>
      <c r="ALS369" s="648"/>
      <c r="ALT369" s="641"/>
      <c r="ALU369" s="631" t="s">
        <v>90</v>
      </c>
      <c r="ALV369" s="632"/>
      <c r="ALW369" s="16"/>
      <c r="ALX369" s="636">
        <v>2.7</v>
      </c>
      <c r="ALY369" s="636">
        <v>2.7</v>
      </c>
      <c r="ALZ369" s="636">
        <v>2.72</v>
      </c>
      <c r="AMA369" s="636">
        <v>2.72</v>
      </c>
      <c r="AMB369" s="636">
        <v>2.72</v>
      </c>
      <c r="AMC369" s="649">
        <v>2.72</v>
      </c>
      <c r="AMD369" s="16"/>
      <c r="AME369" s="320">
        <v>2.69</v>
      </c>
      <c r="AMF369" s="153"/>
      <c r="AMG369" s="153"/>
      <c r="AMH369" s="153"/>
      <c r="AMI369" s="648"/>
      <c r="AMJ369" s="641"/>
      <c r="AMK369" s="631" t="s">
        <v>90</v>
      </c>
      <c r="AML369" s="632"/>
      <c r="AMM369" s="16"/>
      <c r="AMN369" s="636">
        <v>2.7</v>
      </c>
      <c r="AMO369" s="636">
        <v>2.7</v>
      </c>
      <c r="AMP369" s="636">
        <v>2.72</v>
      </c>
      <c r="AMQ369" s="636">
        <v>2.72</v>
      </c>
      <c r="AMR369" s="636">
        <v>2.72</v>
      </c>
      <c r="AMS369" s="649">
        <v>2.72</v>
      </c>
      <c r="AMT369" s="16"/>
      <c r="AMU369" s="320">
        <v>2.69</v>
      </c>
      <c r="AMV369" s="153"/>
      <c r="AMW369" s="153"/>
      <c r="AMX369" s="153"/>
      <c r="AMY369" s="648"/>
      <c r="AMZ369" s="641"/>
      <c r="ANA369" s="631" t="s">
        <v>90</v>
      </c>
      <c r="ANB369" s="632"/>
      <c r="ANC369" s="16"/>
      <c r="AND369" s="636">
        <v>2.7</v>
      </c>
      <c r="ANE369" s="636">
        <v>2.7</v>
      </c>
      <c r="ANF369" s="636">
        <v>2.72</v>
      </c>
      <c r="ANG369" s="636">
        <v>2.72</v>
      </c>
      <c r="ANH369" s="636">
        <v>2.72</v>
      </c>
      <c r="ANI369" s="649">
        <v>2.72</v>
      </c>
      <c r="ANJ369" s="16"/>
      <c r="ANK369" s="320">
        <v>2.69</v>
      </c>
      <c r="ANL369" s="153"/>
      <c r="ANM369" s="153"/>
      <c r="ANN369" s="153"/>
      <c r="ANO369" s="648"/>
      <c r="ANP369" s="641"/>
      <c r="ANQ369" s="631" t="s">
        <v>90</v>
      </c>
      <c r="ANR369" s="632"/>
      <c r="ANS369" s="16"/>
      <c r="ANT369" s="636">
        <v>2.7</v>
      </c>
      <c r="ANU369" s="636">
        <v>2.7</v>
      </c>
      <c r="ANV369" s="636">
        <v>2.72</v>
      </c>
      <c r="ANW369" s="636">
        <v>2.72</v>
      </c>
      <c r="ANX369" s="636">
        <v>2.72</v>
      </c>
      <c r="ANY369" s="649">
        <v>2.72</v>
      </c>
      <c r="ANZ369" s="16"/>
      <c r="AOA369" s="320">
        <v>2.69</v>
      </c>
      <c r="AOB369" s="153"/>
      <c r="AOC369" s="153"/>
      <c r="AOD369" s="153"/>
      <c r="AOE369" s="648"/>
      <c r="AOF369" s="641"/>
      <c r="AOG369" s="631" t="s">
        <v>90</v>
      </c>
      <c r="AOH369" s="632"/>
      <c r="AOI369" s="16"/>
      <c r="AOJ369" s="636">
        <v>2.7</v>
      </c>
      <c r="AOK369" s="636">
        <v>2.7</v>
      </c>
      <c r="AOL369" s="636">
        <v>2.72</v>
      </c>
      <c r="AOM369" s="636">
        <v>2.72</v>
      </c>
      <c r="AON369" s="636">
        <v>2.72</v>
      </c>
      <c r="AOO369" s="649">
        <v>2.72</v>
      </c>
      <c r="AOP369" s="16"/>
      <c r="AOQ369" s="320">
        <v>2.69</v>
      </c>
      <c r="AOR369" s="153"/>
      <c r="AOS369" s="153"/>
      <c r="AOT369" s="153"/>
      <c r="AOU369" s="648"/>
      <c r="AOV369" s="641"/>
      <c r="AOW369" s="631" t="s">
        <v>90</v>
      </c>
      <c r="AOX369" s="632"/>
      <c r="AOY369" s="16"/>
      <c r="AOZ369" s="636">
        <v>2.7</v>
      </c>
      <c r="APA369" s="636">
        <v>2.7</v>
      </c>
      <c r="APB369" s="636">
        <v>2.72</v>
      </c>
      <c r="APC369" s="636">
        <v>2.72</v>
      </c>
      <c r="APD369" s="636">
        <v>2.72</v>
      </c>
      <c r="APE369" s="649">
        <v>2.72</v>
      </c>
      <c r="APF369" s="16"/>
      <c r="APG369" s="320">
        <v>2.69</v>
      </c>
      <c r="APH369" s="153"/>
      <c r="API369" s="153"/>
      <c r="APJ369" s="153"/>
      <c r="APK369" s="648"/>
      <c r="APL369" s="641"/>
      <c r="APM369" s="631" t="s">
        <v>90</v>
      </c>
      <c r="APN369" s="632"/>
      <c r="APO369" s="16"/>
      <c r="APP369" s="636">
        <v>2.7</v>
      </c>
      <c r="APQ369" s="636">
        <v>2.7</v>
      </c>
      <c r="APR369" s="636">
        <v>2.72</v>
      </c>
      <c r="APS369" s="636">
        <v>2.72</v>
      </c>
      <c r="APT369" s="636">
        <v>2.72</v>
      </c>
      <c r="APU369" s="649">
        <v>2.72</v>
      </c>
      <c r="APV369" s="16"/>
      <c r="APW369" s="320">
        <v>2.69</v>
      </c>
      <c r="APX369" s="153"/>
      <c r="APY369" s="153"/>
      <c r="APZ369" s="153"/>
      <c r="AQA369" s="648"/>
      <c r="AQB369" s="641"/>
      <c r="AQC369" s="631" t="s">
        <v>90</v>
      </c>
      <c r="AQD369" s="632"/>
      <c r="AQE369" s="16"/>
      <c r="AQF369" s="636">
        <v>2.7</v>
      </c>
      <c r="AQG369" s="636">
        <v>2.7</v>
      </c>
      <c r="AQH369" s="636">
        <v>2.72</v>
      </c>
      <c r="AQI369" s="636">
        <v>2.72</v>
      </c>
      <c r="AQJ369" s="636">
        <v>2.72</v>
      </c>
      <c r="AQK369" s="649">
        <v>2.72</v>
      </c>
      <c r="AQL369" s="16"/>
      <c r="AQM369" s="320">
        <v>2.69</v>
      </c>
      <c r="AQN369" s="153"/>
      <c r="AQO369" s="153"/>
      <c r="AQP369" s="153"/>
      <c r="AQQ369" s="648"/>
      <c r="AQR369" s="641"/>
      <c r="AQS369" s="631" t="s">
        <v>90</v>
      </c>
      <c r="AQT369" s="632"/>
      <c r="AQU369" s="16"/>
      <c r="AQV369" s="636">
        <v>2.7</v>
      </c>
      <c r="AQW369" s="636">
        <v>2.7</v>
      </c>
      <c r="AQX369" s="636">
        <v>2.72</v>
      </c>
      <c r="AQY369" s="636">
        <v>2.72</v>
      </c>
      <c r="AQZ369" s="636">
        <v>2.72</v>
      </c>
      <c r="ARA369" s="649">
        <v>2.72</v>
      </c>
      <c r="ARB369" s="16"/>
      <c r="ARC369" s="320">
        <v>2.69</v>
      </c>
      <c r="ARD369" s="153"/>
      <c r="ARE369" s="153"/>
      <c r="ARF369" s="153"/>
      <c r="ARG369" s="648"/>
      <c r="ARH369" s="641"/>
      <c r="ARI369" s="631" t="s">
        <v>90</v>
      </c>
      <c r="ARJ369" s="632"/>
      <c r="ARK369" s="16"/>
      <c r="ARL369" s="636">
        <v>2.7</v>
      </c>
      <c r="ARM369" s="636">
        <v>2.7</v>
      </c>
      <c r="ARN369" s="636">
        <v>2.72</v>
      </c>
      <c r="ARO369" s="636">
        <v>2.72</v>
      </c>
      <c r="ARP369" s="636">
        <v>2.72</v>
      </c>
      <c r="ARQ369" s="649">
        <v>2.72</v>
      </c>
      <c r="ARR369" s="16"/>
      <c r="ARS369" s="320">
        <v>2.69</v>
      </c>
      <c r="ART369" s="153"/>
      <c r="ARU369" s="153"/>
      <c r="ARV369" s="153"/>
      <c r="ARW369" s="648"/>
      <c r="ARX369" s="641"/>
      <c r="ARY369" s="631" t="s">
        <v>90</v>
      </c>
      <c r="ARZ369" s="632"/>
      <c r="ASA369" s="16"/>
      <c r="ASB369" s="636">
        <v>2.7</v>
      </c>
      <c r="ASC369" s="636">
        <v>2.7</v>
      </c>
      <c r="ASD369" s="636">
        <v>2.72</v>
      </c>
      <c r="ASE369" s="636">
        <v>2.72</v>
      </c>
      <c r="ASF369" s="636">
        <v>2.72</v>
      </c>
      <c r="ASG369" s="649">
        <v>2.72</v>
      </c>
      <c r="ASH369" s="16"/>
      <c r="ASI369" s="320">
        <v>2.69</v>
      </c>
      <c r="ASJ369" s="153"/>
      <c r="ASK369" s="153"/>
      <c r="ASL369" s="153"/>
      <c r="ASM369" s="648"/>
      <c r="ASN369" s="641"/>
      <c r="ASO369" s="631" t="s">
        <v>90</v>
      </c>
      <c r="ASP369" s="632"/>
      <c r="ASQ369" s="16"/>
      <c r="ASR369" s="636">
        <v>2.7</v>
      </c>
      <c r="ASS369" s="636">
        <v>2.7</v>
      </c>
      <c r="AST369" s="636">
        <v>2.72</v>
      </c>
      <c r="ASU369" s="636">
        <v>2.72</v>
      </c>
      <c r="ASV369" s="636">
        <v>2.72</v>
      </c>
      <c r="ASW369" s="649">
        <v>2.72</v>
      </c>
      <c r="ASX369" s="16"/>
      <c r="ASY369" s="320">
        <v>2.69</v>
      </c>
      <c r="ASZ369" s="153"/>
      <c r="ATA369" s="153"/>
      <c r="ATB369" s="153"/>
      <c r="ATC369" s="648"/>
      <c r="ATD369" s="641"/>
      <c r="ATE369" s="631" t="s">
        <v>90</v>
      </c>
      <c r="ATF369" s="632"/>
      <c r="ATG369" s="16"/>
      <c r="ATH369" s="636">
        <v>2.7</v>
      </c>
      <c r="ATI369" s="636">
        <v>2.7</v>
      </c>
      <c r="ATJ369" s="636">
        <v>2.72</v>
      </c>
      <c r="ATK369" s="636">
        <v>2.72</v>
      </c>
      <c r="ATL369" s="636">
        <v>2.72</v>
      </c>
      <c r="ATM369" s="649">
        <v>2.72</v>
      </c>
      <c r="ATN369" s="16"/>
      <c r="ATO369" s="320">
        <v>2.69</v>
      </c>
      <c r="ATP369" s="153"/>
      <c r="ATQ369" s="153"/>
      <c r="ATR369" s="153"/>
      <c r="ATS369" s="648"/>
      <c r="ATT369" s="641"/>
      <c r="ATU369" s="631" t="s">
        <v>90</v>
      </c>
      <c r="ATV369" s="632"/>
      <c r="ATW369" s="16"/>
      <c r="ATX369" s="636">
        <v>2.7</v>
      </c>
      <c r="ATY369" s="636">
        <v>2.7</v>
      </c>
      <c r="ATZ369" s="636">
        <v>2.72</v>
      </c>
      <c r="AUA369" s="636">
        <v>2.72</v>
      </c>
      <c r="AUB369" s="636">
        <v>2.72</v>
      </c>
      <c r="AUC369" s="649">
        <v>2.72</v>
      </c>
      <c r="AUD369" s="16"/>
      <c r="AUE369" s="320">
        <v>2.69</v>
      </c>
      <c r="AUF369" s="153"/>
      <c r="AUG369" s="153"/>
      <c r="AUH369" s="153"/>
      <c r="AUI369" s="648"/>
      <c r="AUJ369" s="641"/>
      <c r="AUK369" s="631" t="s">
        <v>90</v>
      </c>
      <c r="AUL369" s="632"/>
      <c r="AUM369" s="16"/>
      <c r="AUN369" s="636">
        <v>2.7</v>
      </c>
      <c r="AUO369" s="636">
        <v>2.7</v>
      </c>
      <c r="AUP369" s="636">
        <v>2.72</v>
      </c>
      <c r="AUQ369" s="636">
        <v>2.72</v>
      </c>
      <c r="AUR369" s="636">
        <v>2.72</v>
      </c>
      <c r="AUS369" s="649">
        <v>2.72</v>
      </c>
      <c r="AUT369" s="16"/>
      <c r="AUU369" s="320">
        <v>2.69</v>
      </c>
      <c r="AUV369" s="153"/>
      <c r="AUW369" s="153"/>
      <c r="AUX369" s="153"/>
      <c r="AUY369" s="648"/>
      <c r="AUZ369" s="641"/>
      <c r="AVA369" s="631" t="s">
        <v>90</v>
      </c>
      <c r="AVB369" s="632"/>
      <c r="AVC369" s="16"/>
      <c r="AVD369" s="636">
        <v>2.7</v>
      </c>
      <c r="AVE369" s="636">
        <v>2.7</v>
      </c>
      <c r="AVF369" s="636">
        <v>2.72</v>
      </c>
      <c r="AVG369" s="636">
        <v>2.72</v>
      </c>
      <c r="AVH369" s="636">
        <v>2.72</v>
      </c>
      <c r="AVI369" s="649">
        <v>2.72</v>
      </c>
      <c r="AVJ369" s="16"/>
      <c r="AVK369" s="320">
        <v>2.69</v>
      </c>
      <c r="AVL369" s="153"/>
      <c r="AVM369" s="153"/>
      <c r="AVN369" s="153"/>
      <c r="AVO369" s="648"/>
      <c r="AVP369" s="641"/>
      <c r="AVQ369" s="631" t="s">
        <v>90</v>
      </c>
      <c r="AVR369" s="632"/>
      <c r="AVS369" s="16"/>
      <c r="AVT369" s="636">
        <v>2.7</v>
      </c>
      <c r="AVU369" s="636">
        <v>2.7</v>
      </c>
      <c r="AVV369" s="636">
        <v>2.72</v>
      </c>
      <c r="AVW369" s="636">
        <v>2.72</v>
      </c>
      <c r="AVX369" s="636">
        <v>2.72</v>
      </c>
      <c r="AVY369" s="649">
        <v>2.72</v>
      </c>
      <c r="AVZ369" s="16"/>
      <c r="AWA369" s="320">
        <v>2.69</v>
      </c>
      <c r="AWB369" s="153"/>
      <c r="AWC369" s="153"/>
      <c r="AWD369" s="153"/>
      <c r="AWE369" s="648"/>
      <c r="AWF369" s="641"/>
      <c r="AWG369" s="631" t="s">
        <v>90</v>
      </c>
      <c r="AWH369" s="632"/>
      <c r="AWI369" s="16"/>
      <c r="AWJ369" s="636">
        <v>2.7</v>
      </c>
      <c r="AWK369" s="636">
        <v>2.7</v>
      </c>
      <c r="AWL369" s="636">
        <v>2.72</v>
      </c>
      <c r="AWM369" s="636">
        <v>2.72</v>
      </c>
      <c r="AWN369" s="636">
        <v>2.72</v>
      </c>
      <c r="AWO369" s="649">
        <v>2.72</v>
      </c>
      <c r="AWP369" s="16"/>
      <c r="AWQ369" s="320">
        <v>2.69</v>
      </c>
      <c r="AWR369" s="153"/>
      <c r="AWS369" s="153"/>
      <c r="AWT369" s="153"/>
      <c r="AWU369" s="648"/>
      <c r="AWV369" s="641"/>
      <c r="AWW369" s="631" t="s">
        <v>90</v>
      </c>
      <c r="AWX369" s="632"/>
      <c r="AWY369" s="16"/>
      <c r="AWZ369" s="636">
        <v>2.7</v>
      </c>
      <c r="AXA369" s="636">
        <v>2.7</v>
      </c>
      <c r="AXB369" s="636">
        <v>2.72</v>
      </c>
      <c r="AXC369" s="636">
        <v>2.72</v>
      </c>
      <c r="AXD369" s="636">
        <v>2.72</v>
      </c>
      <c r="AXE369" s="649">
        <v>2.72</v>
      </c>
      <c r="AXF369" s="16"/>
      <c r="AXG369" s="320">
        <v>2.69</v>
      </c>
      <c r="AXH369" s="153"/>
      <c r="AXI369" s="153"/>
      <c r="AXJ369" s="153"/>
      <c r="AXK369" s="648"/>
      <c r="AXL369" s="641"/>
      <c r="AXM369" s="631" t="s">
        <v>90</v>
      </c>
      <c r="AXN369" s="632"/>
      <c r="AXO369" s="16"/>
      <c r="AXP369" s="636">
        <v>2.7</v>
      </c>
      <c r="AXQ369" s="636">
        <v>2.7</v>
      </c>
      <c r="AXR369" s="636">
        <v>2.72</v>
      </c>
      <c r="AXS369" s="636">
        <v>2.72</v>
      </c>
      <c r="AXT369" s="636">
        <v>2.72</v>
      </c>
      <c r="AXU369" s="649">
        <v>2.72</v>
      </c>
      <c r="AXV369" s="16"/>
      <c r="AXW369" s="320">
        <v>2.69</v>
      </c>
      <c r="AXX369" s="153"/>
      <c r="AXY369" s="153"/>
      <c r="AXZ369" s="153"/>
      <c r="AYA369" s="648"/>
      <c r="AYB369" s="641"/>
      <c r="AYC369" s="631" t="s">
        <v>90</v>
      </c>
      <c r="AYD369" s="632"/>
      <c r="AYE369" s="16"/>
      <c r="AYF369" s="636">
        <v>2.7</v>
      </c>
      <c r="AYG369" s="636">
        <v>2.7</v>
      </c>
      <c r="AYH369" s="636">
        <v>2.72</v>
      </c>
      <c r="AYI369" s="636">
        <v>2.72</v>
      </c>
      <c r="AYJ369" s="636">
        <v>2.72</v>
      </c>
      <c r="AYK369" s="649">
        <v>2.72</v>
      </c>
      <c r="AYL369" s="16"/>
      <c r="AYM369" s="320">
        <v>2.69</v>
      </c>
      <c r="AYN369" s="153"/>
      <c r="AYO369" s="153"/>
      <c r="AYP369" s="153"/>
      <c r="AYQ369" s="648"/>
      <c r="AYR369" s="641"/>
      <c r="AYS369" s="631" t="s">
        <v>90</v>
      </c>
      <c r="AYT369" s="632"/>
      <c r="AYU369" s="16"/>
      <c r="AYV369" s="636">
        <v>2.7</v>
      </c>
      <c r="AYW369" s="636">
        <v>2.7</v>
      </c>
      <c r="AYX369" s="636">
        <v>2.72</v>
      </c>
      <c r="AYY369" s="636">
        <v>2.72</v>
      </c>
      <c r="AYZ369" s="636">
        <v>2.72</v>
      </c>
      <c r="AZA369" s="649">
        <v>2.72</v>
      </c>
      <c r="AZB369" s="16"/>
      <c r="AZC369" s="320">
        <v>2.69</v>
      </c>
      <c r="AZD369" s="153"/>
      <c r="AZE369" s="153"/>
      <c r="AZF369" s="153"/>
      <c r="AZG369" s="648"/>
      <c r="AZH369" s="641"/>
      <c r="AZI369" s="631" t="s">
        <v>90</v>
      </c>
      <c r="AZJ369" s="632"/>
      <c r="AZK369" s="16"/>
      <c r="AZL369" s="636">
        <v>2.7</v>
      </c>
      <c r="AZM369" s="636">
        <v>2.7</v>
      </c>
      <c r="AZN369" s="636">
        <v>2.72</v>
      </c>
      <c r="AZO369" s="636">
        <v>2.72</v>
      </c>
      <c r="AZP369" s="636">
        <v>2.72</v>
      </c>
      <c r="AZQ369" s="649">
        <v>2.72</v>
      </c>
      <c r="AZR369" s="16"/>
      <c r="AZS369" s="320">
        <v>2.69</v>
      </c>
      <c r="AZT369" s="153"/>
      <c r="AZU369" s="153"/>
      <c r="AZV369" s="153"/>
      <c r="AZW369" s="648"/>
      <c r="AZX369" s="641"/>
      <c r="AZY369" s="631" t="s">
        <v>90</v>
      </c>
      <c r="AZZ369" s="632"/>
      <c r="BAA369" s="16"/>
      <c r="BAB369" s="636">
        <v>2.7</v>
      </c>
      <c r="BAC369" s="636">
        <v>2.7</v>
      </c>
      <c r="BAD369" s="636">
        <v>2.72</v>
      </c>
      <c r="BAE369" s="636">
        <v>2.72</v>
      </c>
      <c r="BAF369" s="636">
        <v>2.72</v>
      </c>
      <c r="BAG369" s="649">
        <v>2.72</v>
      </c>
      <c r="BAH369" s="16"/>
      <c r="BAI369" s="320">
        <v>2.69</v>
      </c>
      <c r="BAJ369" s="153"/>
      <c r="BAK369" s="153"/>
      <c r="BAL369" s="153"/>
      <c r="BAM369" s="648"/>
      <c r="BAN369" s="641"/>
      <c r="BAO369" s="631" t="s">
        <v>90</v>
      </c>
      <c r="BAP369" s="632"/>
      <c r="BAQ369" s="16"/>
      <c r="BAR369" s="636">
        <v>2.7</v>
      </c>
      <c r="BAS369" s="636">
        <v>2.7</v>
      </c>
      <c r="BAT369" s="636">
        <v>2.72</v>
      </c>
      <c r="BAU369" s="636">
        <v>2.72</v>
      </c>
      <c r="BAV369" s="636">
        <v>2.72</v>
      </c>
      <c r="BAW369" s="649">
        <v>2.72</v>
      </c>
      <c r="BAX369" s="16"/>
      <c r="BAY369" s="320">
        <v>2.69</v>
      </c>
      <c r="BAZ369" s="153"/>
      <c r="BBA369" s="153"/>
      <c r="BBB369" s="153"/>
      <c r="BBC369" s="648"/>
      <c r="BBD369" s="641"/>
      <c r="BBE369" s="631" t="s">
        <v>90</v>
      </c>
      <c r="BBF369" s="632"/>
      <c r="BBG369" s="16"/>
      <c r="BBH369" s="636">
        <v>2.7</v>
      </c>
      <c r="BBI369" s="636">
        <v>2.7</v>
      </c>
      <c r="BBJ369" s="636">
        <v>2.72</v>
      </c>
      <c r="BBK369" s="636">
        <v>2.72</v>
      </c>
      <c r="BBL369" s="636">
        <v>2.72</v>
      </c>
      <c r="BBM369" s="649">
        <v>2.72</v>
      </c>
      <c r="BBN369" s="16"/>
      <c r="BBO369" s="320">
        <v>2.69</v>
      </c>
      <c r="BBP369" s="153"/>
      <c r="BBQ369" s="153"/>
      <c r="BBR369" s="153"/>
      <c r="BBS369" s="648"/>
      <c r="BBT369" s="641"/>
      <c r="BBU369" s="631" t="s">
        <v>90</v>
      </c>
      <c r="BBV369" s="632"/>
      <c r="BBW369" s="16"/>
      <c r="BBX369" s="636">
        <v>2.7</v>
      </c>
      <c r="BBY369" s="636">
        <v>2.7</v>
      </c>
      <c r="BBZ369" s="636">
        <v>2.72</v>
      </c>
      <c r="BCA369" s="636">
        <v>2.72</v>
      </c>
      <c r="BCB369" s="636">
        <v>2.72</v>
      </c>
      <c r="BCC369" s="649">
        <v>2.72</v>
      </c>
      <c r="BCD369" s="16"/>
      <c r="BCE369" s="320">
        <v>2.69</v>
      </c>
      <c r="BCF369" s="153"/>
      <c r="BCG369" s="153"/>
      <c r="BCH369" s="153"/>
      <c r="BCI369" s="648"/>
      <c r="BCJ369" s="641"/>
      <c r="BCK369" s="631" t="s">
        <v>90</v>
      </c>
      <c r="BCL369" s="632"/>
      <c r="BCM369" s="16"/>
      <c r="BCN369" s="636">
        <v>2.7</v>
      </c>
      <c r="BCO369" s="636">
        <v>2.7</v>
      </c>
      <c r="BCP369" s="636">
        <v>2.72</v>
      </c>
      <c r="BCQ369" s="636">
        <v>2.72</v>
      </c>
      <c r="BCR369" s="636">
        <v>2.72</v>
      </c>
      <c r="BCS369" s="649">
        <v>2.72</v>
      </c>
      <c r="BCT369" s="16"/>
      <c r="BCU369" s="320">
        <v>2.69</v>
      </c>
      <c r="BCV369" s="153"/>
      <c r="BCW369" s="153"/>
      <c r="BCX369" s="153"/>
      <c r="BCY369" s="648"/>
      <c r="BCZ369" s="641"/>
      <c r="BDA369" s="631" t="s">
        <v>90</v>
      </c>
      <c r="BDB369" s="632"/>
      <c r="BDC369" s="16"/>
      <c r="BDD369" s="636">
        <v>2.7</v>
      </c>
      <c r="BDE369" s="636">
        <v>2.7</v>
      </c>
      <c r="BDF369" s="636">
        <v>2.72</v>
      </c>
      <c r="BDG369" s="636">
        <v>2.72</v>
      </c>
      <c r="BDH369" s="636">
        <v>2.72</v>
      </c>
      <c r="BDI369" s="649">
        <v>2.72</v>
      </c>
      <c r="BDJ369" s="16"/>
      <c r="BDK369" s="320">
        <v>2.69</v>
      </c>
      <c r="BDL369" s="153"/>
      <c r="BDM369" s="153"/>
      <c r="BDN369" s="153"/>
      <c r="BDO369" s="648"/>
      <c r="BDP369" s="641"/>
      <c r="BDQ369" s="631" t="s">
        <v>90</v>
      </c>
      <c r="BDR369" s="632"/>
      <c r="BDS369" s="16"/>
      <c r="BDT369" s="636">
        <v>2.7</v>
      </c>
      <c r="BDU369" s="636">
        <v>2.7</v>
      </c>
      <c r="BDV369" s="636">
        <v>2.72</v>
      </c>
      <c r="BDW369" s="636">
        <v>2.72</v>
      </c>
      <c r="BDX369" s="636">
        <v>2.72</v>
      </c>
      <c r="BDY369" s="649">
        <v>2.72</v>
      </c>
      <c r="BDZ369" s="16"/>
      <c r="BEA369" s="320">
        <v>2.69</v>
      </c>
      <c r="BEB369" s="153"/>
      <c r="BEC369" s="153"/>
      <c r="BED369" s="153"/>
      <c r="BEE369" s="648"/>
      <c r="BEF369" s="641"/>
      <c r="BEG369" s="631" t="s">
        <v>90</v>
      </c>
      <c r="BEH369" s="632"/>
      <c r="BEI369" s="16"/>
      <c r="BEJ369" s="636">
        <v>2.7</v>
      </c>
      <c r="BEK369" s="636">
        <v>2.7</v>
      </c>
      <c r="BEL369" s="636">
        <v>2.72</v>
      </c>
      <c r="BEM369" s="636">
        <v>2.72</v>
      </c>
      <c r="BEN369" s="636">
        <v>2.72</v>
      </c>
      <c r="BEO369" s="649">
        <v>2.72</v>
      </c>
      <c r="BEP369" s="16"/>
      <c r="BEQ369" s="320">
        <v>2.69</v>
      </c>
      <c r="BER369" s="153"/>
      <c r="BES369" s="153"/>
      <c r="BET369" s="153"/>
      <c r="BEU369" s="648"/>
      <c r="BEV369" s="641"/>
      <c r="BEW369" s="631" t="s">
        <v>90</v>
      </c>
      <c r="BEX369" s="632"/>
      <c r="BEY369" s="16"/>
      <c r="BEZ369" s="636">
        <v>2.7</v>
      </c>
      <c r="BFA369" s="636">
        <v>2.7</v>
      </c>
      <c r="BFB369" s="636">
        <v>2.72</v>
      </c>
      <c r="BFC369" s="636">
        <v>2.72</v>
      </c>
      <c r="BFD369" s="636">
        <v>2.72</v>
      </c>
      <c r="BFE369" s="649">
        <v>2.72</v>
      </c>
      <c r="BFF369" s="16"/>
      <c r="BFG369" s="320">
        <v>2.69</v>
      </c>
      <c r="BFH369" s="153"/>
      <c r="BFI369" s="153"/>
      <c r="BFJ369" s="153"/>
      <c r="BFK369" s="648"/>
      <c r="BFL369" s="641"/>
      <c r="BFM369" s="631" t="s">
        <v>90</v>
      </c>
      <c r="BFN369" s="632"/>
      <c r="BFO369" s="16"/>
      <c r="BFP369" s="636">
        <v>2.7</v>
      </c>
      <c r="BFQ369" s="636">
        <v>2.7</v>
      </c>
      <c r="BFR369" s="636">
        <v>2.72</v>
      </c>
      <c r="BFS369" s="636">
        <v>2.72</v>
      </c>
      <c r="BFT369" s="636">
        <v>2.72</v>
      </c>
      <c r="BFU369" s="649">
        <v>2.72</v>
      </c>
      <c r="BFV369" s="16"/>
      <c r="BFW369" s="320">
        <v>2.69</v>
      </c>
      <c r="BFX369" s="153"/>
      <c r="BFY369" s="153"/>
      <c r="BFZ369" s="153"/>
      <c r="BGA369" s="648"/>
      <c r="BGB369" s="641"/>
      <c r="BGC369" s="631" t="s">
        <v>90</v>
      </c>
      <c r="BGD369" s="632"/>
      <c r="BGE369" s="16"/>
      <c r="BGF369" s="636">
        <v>2.7</v>
      </c>
      <c r="BGG369" s="636">
        <v>2.7</v>
      </c>
      <c r="BGH369" s="636">
        <v>2.72</v>
      </c>
      <c r="BGI369" s="636">
        <v>2.72</v>
      </c>
      <c r="BGJ369" s="636">
        <v>2.72</v>
      </c>
      <c r="BGK369" s="649">
        <v>2.72</v>
      </c>
      <c r="BGL369" s="16"/>
      <c r="BGM369" s="320">
        <v>2.69</v>
      </c>
      <c r="BGN369" s="153"/>
      <c r="BGO369" s="153"/>
      <c r="BGP369" s="153"/>
      <c r="BGQ369" s="648"/>
      <c r="BGR369" s="641"/>
      <c r="BGS369" s="631" t="s">
        <v>90</v>
      </c>
      <c r="BGT369" s="632"/>
      <c r="BGU369" s="16"/>
      <c r="BGV369" s="636">
        <v>2.7</v>
      </c>
      <c r="BGW369" s="636">
        <v>2.7</v>
      </c>
      <c r="BGX369" s="636">
        <v>2.72</v>
      </c>
      <c r="BGY369" s="636">
        <v>2.72</v>
      </c>
      <c r="BGZ369" s="636">
        <v>2.72</v>
      </c>
      <c r="BHA369" s="649">
        <v>2.72</v>
      </c>
      <c r="BHB369" s="16"/>
      <c r="BHC369" s="320">
        <v>2.69</v>
      </c>
      <c r="BHD369" s="153"/>
      <c r="BHE369" s="153"/>
      <c r="BHF369" s="153"/>
      <c r="BHG369" s="648"/>
      <c r="BHH369" s="641"/>
      <c r="BHI369" s="631" t="s">
        <v>90</v>
      </c>
      <c r="BHJ369" s="632"/>
      <c r="BHK369" s="16"/>
      <c r="BHL369" s="636">
        <v>2.7</v>
      </c>
      <c r="BHM369" s="636">
        <v>2.7</v>
      </c>
      <c r="BHN369" s="636">
        <v>2.72</v>
      </c>
      <c r="BHO369" s="636">
        <v>2.72</v>
      </c>
      <c r="BHP369" s="636">
        <v>2.72</v>
      </c>
      <c r="BHQ369" s="649">
        <v>2.72</v>
      </c>
      <c r="BHR369" s="16"/>
      <c r="BHS369" s="320">
        <v>2.69</v>
      </c>
      <c r="BHT369" s="153"/>
      <c r="BHU369" s="153"/>
      <c r="BHV369" s="153"/>
      <c r="BHW369" s="648"/>
      <c r="BHX369" s="641"/>
      <c r="BHY369" s="631" t="s">
        <v>90</v>
      </c>
      <c r="BHZ369" s="632"/>
      <c r="BIA369" s="16"/>
      <c r="BIB369" s="636">
        <v>2.7</v>
      </c>
      <c r="BIC369" s="636">
        <v>2.7</v>
      </c>
      <c r="BID369" s="636">
        <v>2.72</v>
      </c>
      <c r="BIE369" s="636">
        <v>2.72</v>
      </c>
      <c r="BIF369" s="636">
        <v>2.72</v>
      </c>
      <c r="BIG369" s="649">
        <v>2.72</v>
      </c>
      <c r="BIH369" s="16"/>
      <c r="BII369" s="320">
        <v>2.69</v>
      </c>
      <c r="BIJ369" s="153"/>
      <c r="BIK369" s="153"/>
      <c r="BIL369" s="153"/>
      <c r="BIM369" s="648"/>
      <c r="BIN369" s="641"/>
      <c r="BIO369" s="631" t="s">
        <v>90</v>
      </c>
      <c r="BIP369" s="632"/>
      <c r="BIQ369" s="16"/>
      <c r="BIR369" s="636">
        <v>2.7</v>
      </c>
      <c r="BIS369" s="636">
        <v>2.7</v>
      </c>
      <c r="BIT369" s="636">
        <v>2.72</v>
      </c>
      <c r="BIU369" s="636">
        <v>2.72</v>
      </c>
      <c r="BIV369" s="636">
        <v>2.72</v>
      </c>
      <c r="BIW369" s="649">
        <v>2.72</v>
      </c>
      <c r="BIX369" s="16"/>
      <c r="BIY369" s="320">
        <v>2.69</v>
      </c>
      <c r="BIZ369" s="153"/>
      <c r="BJA369" s="153"/>
      <c r="BJB369" s="153"/>
      <c r="BJC369" s="648"/>
      <c r="BJD369" s="641"/>
      <c r="BJE369" s="631" t="s">
        <v>90</v>
      </c>
      <c r="BJF369" s="632"/>
      <c r="BJG369" s="16"/>
      <c r="BJH369" s="636">
        <v>2.7</v>
      </c>
      <c r="BJI369" s="636">
        <v>2.7</v>
      </c>
      <c r="BJJ369" s="636">
        <v>2.72</v>
      </c>
      <c r="BJK369" s="636">
        <v>2.72</v>
      </c>
      <c r="BJL369" s="636">
        <v>2.72</v>
      </c>
      <c r="BJM369" s="649">
        <v>2.72</v>
      </c>
      <c r="BJN369" s="16"/>
      <c r="BJO369" s="320">
        <v>2.69</v>
      </c>
      <c r="BJP369" s="153"/>
      <c r="BJQ369" s="153"/>
      <c r="BJR369" s="153"/>
      <c r="BJS369" s="648"/>
      <c r="BJT369" s="641"/>
      <c r="BJU369" s="631" t="s">
        <v>90</v>
      </c>
      <c r="BJV369" s="632"/>
      <c r="BJW369" s="16"/>
      <c r="BJX369" s="636">
        <v>2.7</v>
      </c>
      <c r="BJY369" s="636">
        <v>2.7</v>
      </c>
      <c r="BJZ369" s="636">
        <v>2.72</v>
      </c>
      <c r="BKA369" s="636">
        <v>2.72</v>
      </c>
      <c r="BKB369" s="636">
        <v>2.72</v>
      </c>
      <c r="BKC369" s="649">
        <v>2.72</v>
      </c>
      <c r="BKD369" s="16"/>
      <c r="BKE369" s="320">
        <v>2.69</v>
      </c>
      <c r="BKF369" s="153"/>
      <c r="BKG369" s="153"/>
      <c r="BKH369" s="153"/>
      <c r="BKI369" s="648"/>
      <c r="BKJ369" s="641"/>
      <c r="BKK369" s="631" t="s">
        <v>90</v>
      </c>
      <c r="BKL369" s="632"/>
      <c r="BKM369" s="16"/>
      <c r="BKN369" s="636">
        <v>2.7</v>
      </c>
      <c r="BKO369" s="636">
        <v>2.7</v>
      </c>
      <c r="BKP369" s="636">
        <v>2.72</v>
      </c>
      <c r="BKQ369" s="636">
        <v>2.72</v>
      </c>
      <c r="BKR369" s="636">
        <v>2.72</v>
      </c>
      <c r="BKS369" s="649">
        <v>2.72</v>
      </c>
      <c r="BKT369" s="16"/>
      <c r="BKU369" s="320">
        <v>2.69</v>
      </c>
      <c r="BKV369" s="153"/>
      <c r="BKW369" s="153"/>
      <c r="BKX369" s="153"/>
      <c r="BKY369" s="648"/>
      <c r="BKZ369" s="641"/>
      <c r="BLA369" s="631" t="s">
        <v>90</v>
      </c>
      <c r="BLB369" s="632"/>
      <c r="BLC369" s="16"/>
      <c r="BLD369" s="636">
        <v>2.7</v>
      </c>
      <c r="BLE369" s="636">
        <v>2.7</v>
      </c>
      <c r="BLF369" s="636">
        <v>2.72</v>
      </c>
      <c r="BLG369" s="636">
        <v>2.72</v>
      </c>
      <c r="BLH369" s="636">
        <v>2.72</v>
      </c>
      <c r="BLI369" s="649">
        <v>2.72</v>
      </c>
      <c r="BLJ369" s="16"/>
      <c r="BLK369" s="320">
        <v>2.69</v>
      </c>
      <c r="BLL369" s="153"/>
      <c r="BLM369" s="153"/>
      <c r="BLN369" s="153"/>
      <c r="BLO369" s="648"/>
      <c r="BLP369" s="641"/>
      <c r="BLQ369" s="631" t="s">
        <v>90</v>
      </c>
      <c r="BLR369" s="632"/>
      <c r="BLS369" s="16"/>
      <c r="BLT369" s="636">
        <v>2.7</v>
      </c>
      <c r="BLU369" s="636">
        <v>2.7</v>
      </c>
      <c r="BLV369" s="636">
        <v>2.72</v>
      </c>
      <c r="BLW369" s="636">
        <v>2.72</v>
      </c>
      <c r="BLX369" s="636">
        <v>2.72</v>
      </c>
      <c r="BLY369" s="649">
        <v>2.72</v>
      </c>
      <c r="BLZ369" s="16"/>
      <c r="BMA369" s="320">
        <v>2.69</v>
      </c>
      <c r="BMB369" s="153"/>
      <c r="BMC369" s="153"/>
      <c r="BMD369" s="153"/>
      <c r="BME369" s="648"/>
      <c r="BMF369" s="641"/>
      <c r="BMG369" s="631" t="s">
        <v>90</v>
      </c>
      <c r="BMH369" s="632"/>
      <c r="BMI369" s="16"/>
      <c r="BMJ369" s="636">
        <v>2.7</v>
      </c>
      <c r="BMK369" s="636">
        <v>2.7</v>
      </c>
      <c r="BML369" s="636">
        <v>2.72</v>
      </c>
      <c r="BMM369" s="636">
        <v>2.72</v>
      </c>
      <c r="BMN369" s="636">
        <v>2.72</v>
      </c>
      <c r="BMO369" s="649">
        <v>2.72</v>
      </c>
      <c r="BMP369" s="16"/>
      <c r="BMQ369" s="320">
        <v>2.69</v>
      </c>
      <c r="BMR369" s="153"/>
      <c r="BMS369" s="153"/>
      <c r="BMT369" s="153"/>
      <c r="BMU369" s="648"/>
      <c r="BMV369" s="641"/>
      <c r="BMW369" s="631" t="s">
        <v>90</v>
      </c>
      <c r="BMX369" s="632"/>
      <c r="BMY369" s="16"/>
      <c r="BMZ369" s="636">
        <v>2.7</v>
      </c>
      <c r="BNA369" s="636">
        <v>2.7</v>
      </c>
      <c r="BNB369" s="636">
        <v>2.72</v>
      </c>
      <c r="BNC369" s="636">
        <v>2.72</v>
      </c>
      <c r="BND369" s="636">
        <v>2.72</v>
      </c>
      <c r="BNE369" s="649">
        <v>2.72</v>
      </c>
      <c r="BNF369" s="16"/>
      <c r="BNG369" s="320">
        <v>2.69</v>
      </c>
      <c r="BNH369" s="153"/>
      <c r="BNI369" s="153"/>
      <c r="BNJ369" s="153"/>
      <c r="BNK369" s="648"/>
      <c r="BNL369" s="641"/>
      <c r="BNM369" s="631" t="s">
        <v>90</v>
      </c>
      <c r="BNN369" s="632"/>
      <c r="BNO369" s="16"/>
      <c r="BNP369" s="636">
        <v>2.7</v>
      </c>
      <c r="BNQ369" s="636">
        <v>2.7</v>
      </c>
      <c r="BNR369" s="636">
        <v>2.72</v>
      </c>
      <c r="BNS369" s="636">
        <v>2.72</v>
      </c>
      <c r="BNT369" s="636">
        <v>2.72</v>
      </c>
      <c r="BNU369" s="649">
        <v>2.72</v>
      </c>
      <c r="BNV369" s="16"/>
      <c r="BNW369" s="320">
        <v>2.69</v>
      </c>
      <c r="BNX369" s="153"/>
      <c r="BNY369" s="153"/>
      <c r="BNZ369" s="153"/>
      <c r="BOA369" s="648"/>
      <c r="BOB369" s="641"/>
      <c r="BOC369" s="631" t="s">
        <v>90</v>
      </c>
      <c r="BOD369" s="632"/>
      <c r="BOE369" s="16"/>
      <c r="BOF369" s="636">
        <v>2.7</v>
      </c>
      <c r="BOG369" s="636">
        <v>2.7</v>
      </c>
      <c r="BOH369" s="636">
        <v>2.72</v>
      </c>
      <c r="BOI369" s="636">
        <v>2.72</v>
      </c>
      <c r="BOJ369" s="636">
        <v>2.72</v>
      </c>
      <c r="BOK369" s="649">
        <v>2.72</v>
      </c>
      <c r="BOL369" s="16"/>
      <c r="BOM369" s="320">
        <v>2.69</v>
      </c>
      <c r="BON369" s="153"/>
      <c r="BOO369" s="153"/>
      <c r="BOP369" s="153"/>
      <c r="BOQ369" s="648"/>
      <c r="BOR369" s="641"/>
      <c r="BOS369" s="631" t="s">
        <v>90</v>
      </c>
      <c r="BOT369" s="632"/>
      <c r="BOU369" s="16"/>
      <c r="BOV369" s="636">
        <v>2.7</v>
      </c>
      <c r="BOW369" s="636">
        <v>2.7</v>
      </c>
      <c r="BOX369" s="636">
        <v>2.72</v>
      </c>
      <c r="BOY369" s="636">
        <v>2.72</v>
      </c>
      <c r="BOZ369" s="636">
        <v>2.72</v>
      </c>
      <c r="BPA369" s="649">
        <v>2.72</v>
      </c>
      <c r="BPB369" s="16"/>
      <c r="BPC369" s="320">
        <v>2.69</v>
      </c>
      <c r="BPD369" s="153"/>
      <c r="BPE369" s="153"/>
      <c r="BPF369" s="153"/>
      <c r="BPG369" s="648"/>
      <c r="BPH369" s="641"/>
      <c r="BPI369" s="631" t="s">
        <v>90</v>
      </c>
      <c r="BPJ369" s="632"/>
      <c r="BPK369" s="16"/>
      <c r="BPL369" s="636">
        <v>2.7</v>
      </c>
      <c r="BPM369" s="636">
        <v>2.7</v>
      </c>
      <c r="BPN369" s="636">
        <v>2.72</v>
      </c>
      <c r="BPO369" s="636">
        <v>2.72</v>
      </c>
      <c r="BPP369" s="636">
        <v>2.72</v>
      </c>
      <c r="BPQ369" s="649">
        <v>2.72</v>
      </c>
      <c r="BPR369" s="16"/>
      <c r="BPS369" s="320">
        <v>2.69</v>
      </c>
      <c r="BPT369" s="153"/>
      <c r="BPU369" s="153"/>
      <c r="BPV369" s="153"/>
      <c r="BPW369" s="648"/>
      <c r="BPX369" s="641"/>
      <c r="BPY369" s="631" t="s">
        <v>90</v>
      </c>
      <c r="BPZ369" s="632"/>
      <c r="BQA369" s="16"/>
      <c r="BQB369" s="636">
        <v>2.7</v>
      </c>
      <c r="BQC369" s="636">
        <v>2.7</v>
      </c>
      <c r="BQD369" s="636">
        <v>2.72</v>
      </c>
      <c r="BQE369" s="636">
        <v>2.72</v>
      </c>
      <c r="BQF369" s="636">
        <v>2.72</v>
      </c>
      <c r="BQG369" s="649">
        <v>2.72</v>
      </c>
      <c r="BQH369" s="16"/>
      <c r="BQI369" s="320">
        <v>2.69</v>
      </c>
      <c r="BQJ369" s="153"/>
      <c r="BQK369" s="153"/>
      <c r="BQL369" s="153"/>
      <c r="BQM369" s="648"/>
      <c r="BQN369" s="641"/>
      <c r="BQO369" s="631" t="s">
        <v>90</v>
      </c>
      <c r="BQP369" s="632"/>
      <c r="BQQ369" s="16"/>
      <c r="BQR369" s="636">
        <v>2.7</v>
      </c>
      <c r="BQS369" s="636">
        <v>2.7</v>
      </c>
      <c r="BQT369" s="636">
        <v>2.72</v>
      </c>
      <c r="BQU369" s="636">
        <v>2.72</v>
      </c>
      <c r="BQV369" s="636">
        <v>2.72</v>
      </c>
      <c r="BQW369" s="649">
        <v>2.72</v>
      </c>
      <c r="BQX369" s="16"/>
      <c r="BQY369" s="320">
        <v>2.69</v>
      </c>
      <c r="BQZ369" s="153"/>
      <c r="BRA369" s="153"/>
      <c r="BRB369" s="153"/>
      <c r="BRC369" s="648"/>
      <c r="BRD369" s="641"/>
      <c r="BRE369" s="631" t="s">
        <v>90</v>
      </c>
      <c r="BRF369" s="632"/>
      <c r="BRG369" s="16"/>
      <c r="BRH369" s="636">
        <v>2.7</v>
      </c>
      <c r="BRI369" s="636">
        <v>2.7</v>
      </c>
      <c r="BRJ369" s="636">
        <v>2.72</v>
      </c>
      <c r="BRK369" s="636">
        <v>2.72</v>
      </c>
      <c r="BRL369" s="636">
        <v>2.72</v>
      </c>
      <c r="BRM369" s="649">
        <v>2.72</v>
      </c>
      <c r="BRN369" s="16"/>
      <c r="BRO369" s="320">
        <v>2.69</v>
      </c>
      <c r="BRP369" s="153"/>
      <c r="BRQ369" s="153"/>
      <c r="BRR369" s="153"/>
      <c r="BRS369" s="648"/>
      <c r="BRT369" s="641"/>
      <c r="BRU369" s="631" t="s">
        <v>90</v>
      </c>
      <c r="BRV369" s="632"/>
      <c r="BRW369" s="16"/>
      <c r="BRX369" s="636">
        <v>2.7</v>
      </c>
      <c r="BRY369" s="636">
        <v>2.7</v>
      </c>
      <c r="BRZ369" s="636">
        <v>2.72</v>
      </c>
      <c r="BSA369" s="636">
        <v>2.72</v>
      </c>
      <c r="BSB369" s="636">
        <v>2.72</v>
      </c>
      <c r="BSC369" s="649">
        <v>2.72</v>
      </c>
      <c r="BSD369" s="16"/>
      <c r="BSE369" s="320">
        <v>2.69</v>
      </c>
      <c r="BSF369" s="153"/>
      <c r="BSG369" s="153"/>
      <c r="BSH369" s="153"/>
      <c r="BSI369" s="648"/>
      <c r="BSJ369" s="641"/>
      <c r="BSK369" s="631" t="s">
        <v>90</v>
      </c>
      <c r="BSL369" s="632"/>
      <c r="BSM369" s="16"/>
      <c r="BSN369" s="636">
        <v>2.7</v>
      </c>
      <c r="BSO369" s="636">
        <v>2.7</v>
      </c>
      <c r="BSP369" s="636">
        <v>2.72</v>
      </c>
      <c r="BSQ369" s="636">
        <v>2.72</v>
      </c>
      <c r="BSR369" s="636">
        <v>2.72</v>
      </c>
      <c r="BSS369" s="649">
        <v>2.72</v>
      </c>
      <c r="BST369" s="16"/>
      <c r="BSU369" s="320">
        <v>2.69</v>
      </c>
      <c r="BSV369" s="153"/>
      <c r="BSW369" s="153"/>
      <c r="BSX369" s="153"/>
      <c r="BSY369" s="648"/>
      <c r="BSZ369" s="641"/>
      <c r="BTA369" s="631" t="s">
        <v>90</v>
      </c>
      <c r="BTB369" s="632"/>
      <c r="BTC369" s="16"/>
      <c r="BTD369" s="636">
        <v>2.7</v>
      </c>
      <c r="BTE369" s="636">
        <v>2.7</v>
      </c>
      <c r="BTF369" s="636">
        <v>2.72</v>
      </c>
      <c r="BTG369" s="636">
        <v>2.72</v>
      </c>
      <c r="BTH369" s="636">
        <v>2.72</v>
      </c>
      <c r="BTI369" s="649">
        <v>2.72</v>
      </c>
      <c r="BTJ369" s="16"/>
      <c r="BTK369" s="320">
        <v>2.69</v>
      </c>
      <c r="BTL369" s="153"/>
      <c r="BTM369" s="153"/>
      <c r="BTN369" s="153"/>
      <c r="BTO369" s="648"/>
      <c r="BTP369" s="641"/>
      <c r="BTQ369" s="631" t="s">
        <v>90</v>
      </c>
      <c r="BTR369" s="632"/>
      <c r="BTS369" s="16"/>
      <c r="BTT369" s="636">
        <v>2.7</v>
      </c>
      <c r="BTU369" s="636">
        <v>2.7</v>
      </c>
      <c r="BTV369" s="636">
        <v>2.72</v>
      </c>
      <c r="BTW369" s="636">
        <v>2.72</v>
      </c>
      <c r="BTX369" s="636">
        <v>2.72</v>
      </c>
      <c r="BTY369" s="649">
        <v>2.72</v>
      </c>
      <c r="BTZ369" s="16"/>
      <c r="BUA369" s="320">
        <v>2.69</v>
      </c>
      <c r="BUB369" s="153"/>
      <c r="BUC369" s="153"/>
      <c r="BUD369" s="153"/>
      <c r="BUE369" s="648"/>
      <c r="BUF369" s="641"/>
      <c r="BUG369" s="631" t="s">
        <v>90</v>
      </c>
      <c r="BUH369" s="632"/>
      <c r="BUI369" s="16"/>
      <c r="BUJ369" s="636">
        <v>2.7</v>
      </c>
      <c r="BUK369" s="636">
        <v>2.7</v>
      </c>
      <c r="BUL369" s="636">
        <v>2.72</v>
      </c>
      <c r="BUM369" s="636">
        <v>2.72</v>
      </c>
      <c r="BUN369" s="636">
        <v>2.72</v>
      </c>
      <c r="BUO369" s="649">
        <v>2.72</v>
      </c>
      <c r="BUP369" s="16"/>
      <c r="BUQ369" s="320">
        <v>2.69</v>
      </c>
      <c r="BUR369" s="153"/>
      <c r="BUS369" s="153"/>
      <c r="BUT369" s="153"/>
      <c r="BUU369" s="648"/>
      <c r="BUV369" s="641"/>
      <c r="BUW369" s="631" t="s">
        <v>90</v>
      </c>
      <c r="BUX369" s="632"/>
      <c r="BUY369" s="16"/>
      <c r="BUZ369" s="636">
        <v>2.7</v>
      </c>
      <c r="BVA369" s="636">
        <v>2.7</v>
      </c>
      <c r="BVB369" s="636">
        <v>2.72</v>
      </c>
      <c r="BVC369" s="636">
        <v>2.72</v>
      </c>
      <c r="BVD369" s="636">
        <v>2.72</v>
      </c>
      <c r="BVE369" s="649">
        <v>2.72</v>
      </c>
      <c r="BVF369" s="16"/>
      <c r="BVG369" s="320">
        <v>2.69</v>
      </c>
      <c r="BVH369" s="153"/>
      <c r="BVI369" s="153"/>
      <c r="BVJ369" s="153"/>
      <c r="BVK369" s="648"/>
      <c r="BVL369" s="641"/>
      <c r="BVM369" s="631" t="s">
        <v>90</v>
      </c>
      <c r="BVN369" s="632"/>
      <c r="BVO369" s="16"/>
      <c r="BVP369" s="636">
        <v>2.7</v>
      </c>
      <c r="BVQ369" s="636">
        <v>2.7</v>
      </c>
      <c r="BVR369" s="636">
        <v>2.72</v>
      </c>
      <c r="BVS369" s="636">
        <v>2.72</v>
      </c>
      <c r="BVT369" s="636">
        <v>2.72</v>
      </c>
      <c r="BVU369" s="649">
        <v>2.72</v>
      </c>
      <c r="BVV369" s="16"/>
      <c r="BVW369" s="320">
        <v>2.69</v>
      </c>
      <c r="BVX369" s="153"/>
      <c r="BVY369" s="153"/>
      <c r="BVZ369" s="153"/>
      <c r="BWA369" s="648"/>
      <c r="BWB369" s="641"/>
      <c r="BWC369" s="631" t="s">
        <v>90</v>
      </c>
      <c r="BWD369" s="632"/>
      <c r="BWE369" s="16"/>
      <c r="BWF369" s="636">
        <v>2.7</v>
      </c>
      <c r="BWG369" s="636">
        <v>2.7</v>
      </c>
      <c r="BWH369" s="636">
        <v>2.72</v>
      </c>
      <c r="BWI369" s="636">
        <v>2.72</v>
      </c>
      <c r="BWJ369" s="636">
        <v>2.72</v>
      </c>
      <c r="BWK369" s="649">
        <v>2.72</v>
      </c>
      <c r="BWL369" s="16"/>
      <c r="BWM369" s="320">
        <v>2.69</v>
      </c>
      <c r="BWN369" s="153"/>
      <c r="BWO369" s="153"/>
      <c r="BWP369" s="153"/>
      <c r="BWQ369" s="648"/>
      <c r="BWR369" s="641"/>
      <c r="BWS369" s="631" t="s">
        <v>90</v>
      </c>
      <c r="BWT369" s="632"/>
      <c r="BWU369" s="16"/>
      <c r="BWV369" s="636">
        <v>2.7</v>
      </c>
      <c r="BWW369" s="636">
        <v>2.7</v>
      </c>
      <c r="BWX369" s="636">
        <v>2.72</v>
      </c>
      <c r="BWY369" s="636">
        <v>2.72</v>
      </c>
      <c r="BWZ369" s="636">
        <v>2.72</v>
      </c>
      <c r="BXA369" s="649">
        <v>2.72</v>
      </c>
      <c r="BXB369" s="16"/>
      <c r="BXC369" s="320">
        <v>2.69</v>
      </c>
      <c r="BXD369" s="153"/>
      <c r="BXE369" s="153"/>
      <c r="BXF369" s="153"/>
      <c r="BXG369" s="648"/>
      <c r="BXH369" s="641"/>
      <c r="BXI369" s="631" t="s">
        <v>90</v>
      </c>
      <c r="BXJ369" s="632"/>
      <c r="BXK369" s="16"/>
      <c r="BXL369" s="636">
        <v>2.7</v>
      </c>
      <c r="BXM369" s="636">
        <v>2.7</v>
      </c>
      <c r="BXN369" s="636">
        <v>2.72</v>
      </c>
      <c r="BXO369" s="636">
        <v>2.72</v>
      </c>
      <c r="BXP369" s="636">
        <v>2.72</v>
      </c>
      <c r="BXQ369" s="649">
        <v>2.72</v>
      </c>
      <c r="BXR369" s="16"/>
      <c r="BXS369" s="320">
        <v>2.69</v>
      </c>
      <c r="BXT369" s="153"/>
      <c r="BXU369" s="153"/>
      <c r="BXV369" s="153"/>
      <c r="BXW369" s="648"/>
      <c r="BXX369" s="641"/>
      <c r="BXY369" s="631" t="s">
        <v>90</v>
      </c>
      <c r="BXZ369" s="632"/>
      <c r="BYA369" s="16"/>
      <c r="BYB369" s="636">
        <v>2.7</v>
      </c>
      <c r="BYC369" s="636">
        <v>2.7</v>
      </c>
      <c r="BYD369" s="636">
        <v>2.72</v>
      </c>
      <c r="BYE369" s="636">
        <v>2.72</v>
      </c>
      <c r="BYF369" s="636">
        <v>2.72</v>
      </c>
      <c r="BYG369" s="649">
        <v>2.72</v>
      </c>
      <c r="BYH369" s="16"/>
      <c r="BYI369" s="320">
        <v>2.69</v>
      </c>
      <c r="BYJ369" s="153"/>
      <c r="BYK369" s="153"/>
      <c r="BYL369" s="153"/>
      <c r="BYM369" s="648"/>
      <c r="BYN369" s="641"/>
      <c r="BYO369" s="631" t="s">
        <v>90</v>
      </c>
      <c r="BYP369" s="632"/>
      <c r="BYQ369" s="16"/>
      <c r="BYR369" s="636">
        <v>2.7</v>
      </c>
      <c r="BYS369" s="636">
        <v>2.7</v>
      </c>
      <c r="BYT369" s="636">
        <v>2.72</v>
      </c>
      <c r="BYU369" s="636">
        <v>2.72</v>
      </c>
      <c r="BYV369" s="636">
        <v>2.72</v>
      </c>
      <c r="BYW369" s="649">
        <v>2.72</v>
      </c>
      <c r="BYX369" s="16"/>
      <c r="BYY369" s="320">
        <v>2.69</v>
      </c>
      <c r="BYZ369" s="153"/>
      <c r="BZA369" s="153"/>
      <c r="BZB369" s="153"/>
      <c r="BZC369" s="648"/>
      <c r="BZD369" s="641"/>
      <c r="BZE369" s="631" t="s">
        <v>90</v>
      </c>
      <c r="BZF369" s="632"/>
      <c r="BZG369" s="16"/>
      <c r="BZH369" s="636">
        <v>2.7</v>
      </c>
      <c r="BZI369" s="636">
        <v>2.7</v>
      </c>
      <c r="BZJ369" s="636">
        <v>2.72</v>
      </c>
      <c r="BZK369" s="636">
        <v>2.72</v>
      </c>
      <c r="BZL369" s="636">
        <v>2.72</v>
      </c>
      <c r="BZM369" s="649">
        <v>2.72</v>
      </c>
      <c r="BZN369" s="16"/>
      <c r="BZO369" s="320">
        <v>2.69</v>
      </c>
      <c r="BZP369" s="153"/>
      <c r="BZQ369" s="153"/>
      <c r="BZR369" s="153"/>
      <c r="BZS369" s="648"/>
      <c r="BZT369" s="641"/>
      <c r="BZU369" s="631" t="s">
        <v>90</v>
      </c>
      <c r="BZV369" s="632"/>
      <c r="BZW369" s="16"/>
      <c r="BZX369" s="636">
        <v>2.7</v>
      </c>
      <c r="BZY369" s="636">
        <v>2.7</v>
      </c>
      <c r="BZZ369" s="636">
        <v>2.72</v>
      </c>
      <c r="CAA369" s="636">
        <v>2.72</v>
      </c>
      <c r="CAB369" s="636">
        <v>2.72</v>
      </c>
      <c r="CAC369" s="649">
        <v>2.72</v>
      </c>
      <c r="CAD369" s="16"/>
      <c r="CAE369" s="320">
        <v>2.69</v>
      </c>
      <c r="CAF369" s="153"/>
      <c r="CAG369" s="153"/>
      <c r="CAH369" s="153"/>
      <c r="CAI369" s="648"/>
      <c r="CAJ369" s="641"/>
      <c r="CAK369" s="631" t="s">
        <v>90</v>
      </c>
      <c r="CAL369" s="632"/>
      <c r="CAM369" s="16"/>
      <c r="CAN369" s="636">
        <v>2.7</v>
      </c>
      <c r="CAO369" s="636">
        <v>2.7</v>
      </c>
      <c r="CAP369" s="636">
        <v>2.72</v>
      </c>
      <c r="CAQ369" s="636">
        <v>2.72</v>
      </c>
      <c r="CAR369" s="636">
        <v>2.72</v>
      </c>
      <c r="CAS369" s="649">
        <v>2.72</v>
      </c>
      <c r="CAT369" s="16"/>
      <c r="CAU369" s="320">
        <v>2.69</v>
      </c>
      <c r="CAV369" s="153"/>
      <c r="CAW369" s="153"/>
      <c r="CAX369" s="153"/>
      <c r="CAY369" s="648"/>
      <c r="CAZ369" s="641"/>
      <c r="CBA369" s="631" t="s">
        <v>90</v>
      </c>
      <c r="CBB369" s="632"/>
      <c r="CBC369" s="16"/>
      <c r="CBD369" s="636">
        <v>2.7</v>
      </c>
      <c r="CBE369" s="636">
        <v>2.7</v>
      </c>
      <c r="CBF369" s="636">
        <v>2.72</v>
      </c>
      <c r="CBG369" s="636">
        <v>2.72</v>
      </c>
      <c r="CBH369" s="636">
        <v>2.72</v>
      </c>
      <c r="CBI369" s="649">
        <v>2.72</v>
      </c>
      <c r="CBJ369" s="16"/>
      <c r="CBK369" s="320">
        <v>2.69</v>
      </c>
      <c r="CBL369" s="153"/>
      <c r="CBM369" s="153"/>
      <c r="CBN369" s="153"/>
      <c r="CBO369" s="648"/>
      <c r="CBP369" s="641"/>
      <c r="CBQ369" s="631" t="s">
        <v>90</v>
      </c>
      <c r="CBR369" s="632"/>
      <c r="CBS369" s="16"/>
      <c r="CBT369" s="636">
        <v>2.7</v>
      </c>
      <c r="CBU369" s="636">
        <v>2.7</v>
      </c>
      <c r="CBV369" s="636">
        <v>2.72</v>
      </c>
      <c r="CBW369" s="636">
        <v>2.72</v>
      </c>
      <c r="CBX369" s="636">
        <v>2.72</v>
      </c>
      <c r="CBY369" s="649">
        <v>2.72</v>
      </c>
      <c r="CBZ369" s="16"/>
      <c r="CCA369" s="320">
        <v>2.69</v>
      </c>
      <c r="CCB369" s="153"/>
      <c r="CCC369" s="153"/>
      <c r="CCD369" s="153"/>
      <c r="CCE369" s="648"/>
      <c r="CCF369" s="641"/>
      <c r="CCG369" s="631" t="s">
        <v>90</v>
      </c>
      <c r="CCH369" s="632"/>
      <c r="CCI369" s="16"/>
      <c r="CCJ369" s="636">
        <v>2.7</v>
      </c>
      <c r="CCK369" s="636">
        <v>2.7</v>
      </c>
      <c r="CCL369" s="636">
        <v>2.72</v>
      </c>
      <c r="CCM369" s="636">
        <v>2.72</v>
      </c>
      <c r="CCN369" s="636">
        <v>2.72</v>
      </c>
      <c r="CCO369" s="649">
        <v>2.72</v>
      </c>
      <c r="CCP369" s="16"/>
      <c r="CCQ369" s="320">
        <v>2.69</v>
      </c>
      <c r="CCR369" s="153"/>
      <c r="CCS369" s="153"/>
      <c r="CCT369" s="153"/>
      <c r="CCU369" s="648"/>
      <c r="CCV369" s="641"/>
      <c r="CCW369" s="631" t="s">
        <v>90</v>
      </c>
      <c r="CCX369" s="632"/>
      <c r="CCY369" s="16"/>
      <c r="CCZ369" s="636">
        <v>2.7</v>
      </c>
      <c r="CDA369" s="636">
        <v>2.7</v>
      </c>
      <c r="CDB369" s="636">
        <v>2.72</v>
      </c>
      <c r="CDC369" s="636">
        <v>2.72</v>
      </c>
      <c r="CDD369" s="636">
        <v>2.72</v>
      </c>
      <c r="CDE369" s="649">
        <v>2.72</v>
      </c>
      <c r="CDF369" s="16"/>
      <c r="CDG369" s="320">
        <v>2.69</v>
      </c>
      <c r="CDH369" s="153"/>
      <c r="CDI369" s="153"/>
      <c r="CDJ369" s="153"/>
      <c r="CDK369" s="648"/>
      <c r="CDL369" s="641"/>
      <c r="CDM369" s="631" t="s">
        <v>90</v>
      </c>
      <c r="CDN369" s="632"/>
      <c r="CDO369" s="16"/>
      <c r="CDP369" s="636">
        <v>2.7</v>
      </c>
      <c r="CDQ369" s="636">
        <v>2.7</v>
      </c>
      <c r="CDR369" s="636">
        <v>2.72</v>
      </c>
      <c r="CDS369" s="636">
        <v>2.72</v>
      </c>
      <c r="CDT369" s="636">
        <v>2.72</v>
      </c>
      <c r="CDU369" s="649">
        <v>2.72</v>
      </c>
      <c r="CDV369" s="16"/>
      <c r="CDW369" s="320">
        <v>2.69</v>
      </c>
      <c r="CDX369" s="153"/>
      <c r="CDY369" s="153"/>
      <c r="CDZ369" s="153"/>
      <c r="CEA369" s="648"/>
      <c r="CEB369" s="641"/>
      <c r="CEC369" s="631" t="s">
        <v>90</v>
      </c>
      <c r="CED369" s="632"/>
      <c r="CEE369" s="16"/>
      <c r="CEF369" s="636">
        <v>2.7</v>
      </c>
      <c r="CEG369" s="636">
        <v>2.7</v>
      </c>
      <c r="CEH369" s="636">
        <v>2.72</v>
      </c>
      <c r="CEI369" s="636">
        <v>2.72</v>
      </c>
      <c r="CEJ369" s="636">
        <v>2.72</v>
      </c>
      <c r="CEK369" s="649">
        <v>2.72</v>
      </c>
      <c r="CEL369" s="16"/>
      <c r="CEM369" s="320">
        <v>2.69</v>
      </c>
      <c r="CEN369" s="153"/>
      <c r="CEO369" s="153"/>
      <c r="CEP369" s="153"/>
      <c r="CEQ369" s="648"/>
      <c r="CER369" s="641"/>
      <c r="CES369" s="631" t="s">
        <v>90</v>
      </c>
      <c r="CET369" s="632"/>
      <c r="CEU369" s="16"/>
      <c r="CEV369" s="636">
        <v>2.7</v>
      </c>
      <c r="CEW369" s="636">
        <v>2.7</v>
      </c>
      <c r="CEX369" s="636">
        <v>2.72</v>
      </c>
      <c r="CEY369" s="636">
        <v>2.72</v>
      </c>
      <c r="CEZ369" s="636">
        <v>2.72</v>
      </c>
      <c r="CFA369" s="649">
        <v>2.72</v>
      </c>
      <c r="CFB369" s="16"/>
      <c r="CFC369" s="320">
        <v>2.69</v>
      </c>
      <c r="CFD369" s="153"/>
      <c r="CFE369" s="153"/>
      <c r="CFF369" s="153"/>
      <c r="CFG369" s="648"/>
      <c r="CFH369" s="641"/>
      <c r="CFI369" s="631" t="s">
        <v>90</v>
      </c>
      <c r="CFJ369" s="632"/>
      <c r="CFK369" s="16"/>
      <c r="CFL369" s="636">
        <v>2.7</v>
      </c>
      <c r="CFM369" s="636">
        <v>2.7</v>
      </c>
      <c r="CFN369" s="636">
        <v>2.72</v>
      </c>
      <c r="CFO369" s="636">
        <v>2.72</v>
      </c>
      <c r="CFP369" s="636">
        <v>2.72</v>
      </c>
      <c r="CFQ369" s="649">
        <v>2.72</v>
      </c>
      <c r="CFR369" s="16"/>
      <c r="CFS369" s="320">
        <v>2.69</v>
      </c>
      <c r="CFT369" s="153"/>
      <c r="CFU369" s="153"/>
      <c r="CFV369" s="153"/>
      <c r="CFW369" s="648"/>
      <c r="CFX369" s="641"/>
      <c r="CFY369" s="631" t="s">
        <v>90</v>
      </c>
      <c r="CFZ369" s="632"/>
      <c r="CGA369" s="16"/>
      <c r="CGB369" s="636">
        <v>2.7</v>
      </c>
      <c r="CGC369" s="636">
        <v>2.7</v>
      </c>
      <c r="CGD369" s="636">
        <v>2.72</v>
      </c>
      <c r="CGE369" s="636">
        <v>2.72</v>
      </c>
      <c r="CGF369" s="636">
        <v>2.72</v>
      </c>
      <c r="CGG369" s="649">
        <v>2.72</v>
      </c>
      <c r="CGH369" s="16"/>
      <c r="CGI369" s="320">
        <v>2.69</v>
      </c>
      <c r="CGJ369" s="153"/>
      <c r="CGK369" s="153"/>
      <c r="CGL369" s="153"/>
      <c r="CGM369" s="648"/>
      <c r="CGN369" s="641"/>
      <c r="CGO369" s="631" t="s">
        <v>90</v>
      </c>
      <c r="CGP369" s="632"/>
      <c r="CGQ369" s="16"/>
      <c r="CGR369" s="636">
        <v>2.7</v>
      </c>
      <c r="CGS369" s="636">
        <v>2.7</v>
      </c>
      <c r="CGT369" s="636">
        <v>2.72</v>
      </c>
      <c r="CGU369" s="636">
        <v>2.72</v>
      </c>
      <c r="CGV369" s="636">
        <v>2.72</v>
      </c>
      <c r="CGW369" s="649">
        <v>2.72</v>
      </c>
      <c r="CGX369" s="16"/>
      <c r="CGY369" s="320">
        <v>2.69</v>
      </c>
      <c r="CGZ369" s="153"/>
      <c r="CHA369" s="153"/>
      <c r="CHB369" s="153"/>
      <c r="CHC369" s="648"/>
      <c r="CHD369" s="641"/>
      <c r="CHE369" s="631" t="s">
        <v>90</v>
      </c>
      <c r="CHF369" s="632"/>
      <c r="CHG369" s="16"/>
      <c r="CHH369" s="636">
        <v>2.7</v>
      </c>
      <c r="CHI369" s="636">
        <v>2.7</v>
      </c>
      <c r="CHJ369" s="636">
        <v>2.72</v>
      </c>
      <c r="CHK369" s="636">
        <v>2.72</v>
      </c>
      <c r="CHL369" s="636">
        <v>2.72</v>
      </c>
      <c r="CHM369" s="649">
        <v>2.72</v>
      </c>
      <c r="CHN369" s="16"/>
      <c r="CHO369" s="320">
        <v>2.69</v>
      </c>
      <c r="CHP369" s="153"/>
      <c r="CHQ369" s="153"/>
      <c r="CHR369" s="153"/>
      <c r="CHS369" s="648"/>
      <c r="CHT369" s="641"/>
      <c r="CHU369" s="631" t="s">
        <v>90</v>
      </c>
      <c r="CHV369" s="632"/>
      <c r="CHW369" s="16"/>
      <c r="CHX369" s="636">
        <v>2.7</v>
      </c>
      <c r="CHY369" s="636">
        <v>2.7</v>
      </c>
      <c r="CHZ369" s="636">
        <v>2.72</v>
      </c>
      <c r="CIA369" s="636">
        <v>2.72</v>
      </c>
      <c r="CIB369" s="636">
        <v>2.72</v>
      </c>
      <c r="CIC369" s="649">
        <v>2.72</v>
      </c>
      <c r="CID369" s="16"/>
      <c r="CIE369" s="320">
        <v>2.69</v>
      </c>
      <c r="CIF369" s="153"/>
      <c r="CIG369" s="153"/>
      <c r="CIH369" s="153"/>
      <c r="CII369" s="648"/>
      <c r="CIJ369" s="641"/>
      <c r="CIK369" s="631" t="s">
        <v>90</v>
      </c>
      <c r="CIL369" s="632"/>
      <c r="CIM369" s="16"/>
      <c r="CIN369" s="636">
        <v>2.7</v>
      </c>
      <c r="CIO369" s="636">
        <v>2.7</v>
      </c>
      <c r="CIP369" s="636">
        <v>2.72</v>
      </c>
      <c r="CIQ369" s="636">
        <v>2.72</v>
      </c>
      <c r="CIR369" s="636">
        <v>2.72</v>
      </c>
      <c r="CIS369" s="649">
        <v>2.72</v>
      </c>
      <c r="CIT369" s="16"/>
      <c r="CIU369" s="320">
        <v>2.69</v>
      </c>
      <c r="CIV369" s="153"/>
      <c r="CIW369" s="153"/>
      <c r="CIX369" s="153"/>
      <c r="CIY369" s="648"/>
      <c r="CIZ369" s="641"/>
      <c r="CJA369" s="631" t="s">
        <v>90</v>
      </c>
      <c r="CJB369" s="632"/>
      <c r="CJC369" s="16"/>
      <c r="CJD369" s="636">
        <v>2.7</v>
      </c>
      <c r="CJE369" s="636">
        <v>2.7</v>
      </c>
      <c r="CJF369" s="636">
        <v>2.72</v>
      </c>
      <c r="CJG369" s="636">
        <v>2.72</v>
      </c>
      <c r="CJH369" s="636">
        <v>2.72</v>
      </c>
      <c r="CJI369" s="649">
        <v>2.72</v>
      </c>
      <c r="CJJ369" s="16"/>
      <c r="CJK369" s="320">
        <v>2.69</v>
      </c>
      <c r="CJL369" s="153"/>
      <c r="CJM369" s="153"/>
      <c r="CJN369" s="153"/>
      <c r="CJO369" s="648"/>
      <c r="CJP369" s="641"/>
      <c r="CJQ369" s="631" t="s">
        <v>90</v>
      </c>
      <c r="CJR369" s="632"/>
      <c r="CJS369" s="16"/>
      <c r="CJT369" s="636">
        <v>2.7</v>
      </c>
      <c r="CJU369" s="636">
        <v>2.7</v>
      </c>
      <c r="CJV369" s="636">
        <v>2.72</v>
      </c>
      <c r="CJW369" s="636">
        <v>2.72</v>
      </c>
      <c r="CJX369" s="636">
        <v>2.72</v>
      </c>
      <c r="CJY369" s="649">
        <v>2.72</v>
      </c>
      <c r="CJZ369" s="16"/>
      <c r="CKA369" s="320">
        <v>2.69</v>
      </c>
      <c r="CKB369" s="153"/>
      <c r="CKC369" s="153"/>
      <c r="CKD369" s="153"/>
      <c r="CKE369" s="648"/>
      <c r="CKF369" s="641"/>
      <c r="CKG369" s="631" t="s">
        <v>90</v>
      </c>
      <c r="CKH369" s="632"/>
      <c r="CKI369" s="16"/>
      <c r="CKJ369" s="636">
        <v>2.7</v>
      </c>
      <c r="CKK369" s="636">
        <v>2.7</v>
      </c>
      <c r="CKL369" s="636">
        <v>2.72</v>
      </c>
      <c r="CKM369" s="636">
        <v>2.72</v>
      </c>
      <c r="CKN369" s="636">
        <v>2.72</v>
      </c>
      <c r="CKO369" s="649">
        <v>2.72</v>
      </c>
      <c r="CKP369" s="16"/>
      <c r="CKQ369" s="320">
        <v>2.69</v>
      </c>
      <c r="CKR369" s="153"/>
      <c r="CKS369" s="153"/>
      <c r="CKT369" s="153"/>
      <c r="CKU369" s="648"/>
      <c r="CKV369" s="641"/>
      <c r="CKW369" s="631" t="s">
        <v>90</v>
      </c>
      <c r="CKX369" s="632"/>
      <c r="CKY369" s="16"/>
      <c r="CKZ369" s="636">
        <v>2.7</v>
      </c>
      <c r="CLA369" s="636">
        <v>2.7</v>
      </c>
      <c r="CLB369" s="636">
        <v>2.72</v>
      </c>
      <c r="CLC369" s="636">
        <v>2.72</v>
      </c>
      <c r="CLD369" s="636">
        <v>2.72</v>
      </c>
      <c r="CLE369" s="649">
        <v>2.72</v>
      </c>
      <c r="CLF369" s="16"/>
      <c r="CLG369" s="320">
        <v>2.69</v>
      </c>
      <c r="CLH369" s="153"/>
      <c r="CLI369" s="153"/>
      <c r="CLJ369" s="153"/>
      <c r="CLK369" s="648"/>
      <c r="CLL369" s="641"/>
      <c r="CLM369" s="631" t="s">
        <v>90</v>
      </c>
      <c r="CLN369" s="632"/>
      <c r="CLO369" s="16"/>
      <c r="CLP369" s="636">
        <v>2.7</v>
      </c>
      <c r="CLQ369" s="636">
        <v>2.7</v>
      </c>
      <c r="CLR369" s="636">
        <v>2.72</v>
      </c>
      <c r="CLS369" s="636">
        <v>2.72</v>
      </c>
      <c r="CLT369" s="636">
        <v>2.72</v>
      </c>
      <c r="CLU369" s="649">
        <v>2.72</v>
      </c>
      <c r="CLV369" s="16"/>
      <c r="CLW369" s="320">
        <v>2.69</v>
      </c>
      <c r="CLX369" s="153"/>
      <c r="CLY369" s="153"/>
      <c r="CLZ369" s="153"/>
      <c r="CMA369" s="648"/>
      <c r="CMB369" s="641"/>
      <c r="CMC369" s="631" t="s">
        <v>90</v>
      </c>
      <c r="CMD369" s="632"/>
      <c r="CME369" s="16"/>
      <c r="CMF369" s="636">
        <v>2.7</v>
      </c>
      <c r="CMG369" s="636">
        <v>2.7</v>
      </c>
      <c r="CMH369" s="636">
        <v>2.72</v>
      </c>
      <c r="CMI369" s="636">
        <v>2.72</v>
      </c>
      <c r="CMJ369" s="636">
        <v>2.72</v>
      </c>
      <c r="CMK369" s="649">
        <v>2.72</v>
      </c>
      <c r="CML369" s="16"/>
      <c r="CMM369" s="320">
        <v>2.69</v>
      </c>
      <c r="CMN369" s="153"/>
      <c r="CMO369" s="153"/>
      <c r="CMP369" s="153"/>
      <c r="CMQ369" s="648"/>
      <c r="CMR369" s="641"/>
      <c r="CMS369" s="631" t="s">
        <v>90</v>
      </c>
      <c r="CMT369" s="632"/>
      <c r="CMU369" s="16"/>
      <c r="CMV369" s="636">
        <v>2.7</v>
      </c>
      <c r="CMW369" s="636">
        <v>2.7</v>
      </c>
      <c r="CMX369" s="636">
        <v>2.72</v>
      </c>
      <c r="CMY369" s="636">
        <v>2.72</v>
      </c>
      <c r="CMZ369" s="636">
        <v>2.72</v>
      </c>
      <c r="CNA369" s="649">
        <v>2.72</v>
      </c>
      <c r="CNB369" s="16"/>
      <c r="CNC369" s="320">
        <v>2.69</v>
      </c>
      <c r="CND369" s="153"/>
      <c r="CNE369" s="153"/>
      <c r="CNF369" s="153"/>
      <c r="CNG369" s="648"/>
      <c r="CNH369" s="641"/>
      <c r="CNI369" s="631" t="s">
        <v>90</v>
      </c>
      <c r="CNJ369" s="632"/>
      <c r="CNK369" s="16"/>
      <c r="CNL369" s="636">
        <v>2.7</v>
      </c>
      <c r="CNM369" s="636">
        <v>2.7</v>
      </c>
      <c r="CNN369" s="636">
        <v>2.72</v>
      </c>
      <c r="CNO369" s="636">
        <v>2.72</v>
      </c>
      <c r="CNP369" s="636">
        <v>2.72</v>
      </c>
      <c r="CNQ369" s="649">
        <v>2.72</v>
      </c>
      <c r="CNR369" s="16"/>
      <c r="CNS369" s="320">
        <v>2.69</v>
      </c>
      <c r="CNT369" s="153"/>
      <c r="CNU369" s="153"/>
      <c r="CNV369" s="153"/>
      <c r="CNW369" s="648"/>
      <c r="CNX369" s="641"/>
      <c r="CNY369" s="631" t="s">
        <v>90</v>
      </c>
      <c r="CNZ369" s="632"/>
      <c r="COA369" s="16"/>
      <c r="COB369" s="636">
        <v>2.7</v>
      </c>
      <c r="COC369" s="636">
        <v>2.7</v>
      </c>
      <c r="COD369" s="636">
        <v>2.72</v>
      </c>
      <c r="COE369" s="636">
        <v>2.72</v>
      </c>
      <c r="COF369" s="636">
        <v>2.72</v>
      </c>
      <c r="COG369" s="649">
        <v>2.72</v>
      </c>
      <c r="COH369" s="16"/>
      <c r="COI369" s="320">
        <v>2.69</v>
      </c>
      <c r="COJ369" s="153"/>
      <c r="COK369" s="153"/>
      <c r="COL369" s="153"/>
      <c r="COM369" s="648"/>
      <c r="CON369" s="641"/>
      <c r="COO369" s="631" t="s">
        <v>90</v>
      </c>
      <c r="COP369" s="632"/>
      <c r="COQ369" s="16"/>
      <c r="COR369" s="636">
        <v>2.7</v>
      </c>
      <c r="COS369" s="636">
        <v>2.7</v>
      </c>
      <c r="COT369" s="636">
        <v>2.72</v>
      </c>
      <c r="COU369" s="636">
        <v>2.72</v>
      </c>
      <c r="COV369" s="636">
        <v>2.72</v>
      </c>
      <c r="COW369" s="649">
        <v>2.72</v>
      </c>
      <c r="COX369" s="16"/>
      <c r="COY369" s="320">
        <v>2.69</v>
      </c>
      <c r="COZ369" s="153"/>
      <c r="CPA369" s="153"/>
      <c r="CPB369" s="153"/>
      <c r="CPC369" s="648"/>
      <c r="CPD369" s="641"/>
      <c r="CPE369" s="631" t="s">
        <v>90</v>
      </c>
      <c r="CPF369" s="632"/>
      <c r="CPG369" s="16"/>
      <c r="CPH369" s="636">
        <v>2.7</v>
      </c>
      <c r="CPI369" s="636">
        <v>2.7</v>
      </c>
      <c r="CPJ369" s="636">
        <v>2.72</v>
      </c>
      <c r="CPK369" s="636">
        <v>2.72</v>
      </c>
      <c r="CPL369" s="636">
        <v>2.72</v>
      </c>
      <c r="CPM369" s="649">
        <v>2.72</v>
      </c>
      <c r="CPN369" s="16"/>
      <c r="CPO369" s="320">
        <v>2.69</v>
      </c>
      <c r="CPP369" s="153"/>
      <c r="CPQ369" s="153"/>
      <c r="CPR369" s="153"/>
      <c r="CPS369" s="648"/>
      <c r="CPT369" s="641"/>
      <c r="CPU369" s="631" t="s">
        <v>90</v>
      </c>
      <c r="CPV369" s="632"/>
      <c r="CPW369" s="16"/>
      <c r="CPX369" s="636">
        <v>2.7</v>
      </c>
      <c r="CPY369" s="636">
        <v>2.7</v>
      </c>
      <c r="CPZ369" s="636">
        <v>2.72</v>
      </c>
      <c r="CQA369" s="636">
        <v>2.72</v>
      </c>
      <c r="CQB369" s="636">
        <v>2.72</v>
      </c>
      <c r="CQC369" s="649">
        <v>2.72</v>
      </c>
      <c r="CQD369" s="16"/>
      <c r="CQE369" s="320">
        <v>2.69</v>
      </c>
      <c r="CQF369" s="153"/>
      <c r="CQG369" s="153"/>
      <c r="CQH369" s="153"/>
      <c r="CQI369" s="648"/>
      <c r="CQJ369" s="641"/>
      <c r="CQK369" s="631" t="s">
        <v>90</v>
      </c>
      <c r="CQL369" s="632"/>
      <c r="CQM369" s="16"/>
      <c r="CQN369" s="636">
        <v>2.7</v>
      </c>
      <c r="CQO369" s="636">
        <v>2.7</v>
      </c>
      <c r="CQP369" s="636">
        <v>2.72</v>
      </c>
      <c r="CQQ369" s="636">
        <v>2.72</v>
      </c>
      <c r="CQR369" s="636">
        <v>2.72</v>
      </c>
      <c r="CQS369" s="649">
        <v>2.72</v>
      </c>
      <c r="CQT369" s="16"/>
      <c r="CQU369" s="320">
        <v>2.69</v>
      </c>
      <c r="CQV369" s="153"/>
      <c r="CQW369" s="153"/>
      <c r="CQX369" s="153"/>
      <c r="CQY369" s="648"/>
      <c r="CQZ369" s="641"/>
      <c r="CRA369" s="631" t="s">
        <v>90</v>
      </c>
      <c r="CRB369" s="632"/>
      <c r="CRC369" s="16"/>
      <c r="CRD369" s="636">
        <v>2.7</v>
      </c>
      <c r="CRE369" s="636">
        <v>2.7</v>
      </c>
      <c r="CRF369" s="636">
        <v>2.72</v>
      </c>
      <c r="CRG369" s="636">
        <v>2.72</v>
      </c>
      <c r="CRH369" s="636">
        <v>2.72</v>
      </c>
      <c r="CRI369" s="649">
        <v>2.72</v>
      </c>
      <c r="CRJ369" s="16"/>
      <c r="CRK369" s="320">
        <v>2.69</v>
      </c>
      <c r="CRL369" s="153"/>
      <c r="CRM369" s="153"/>
      <c r="CRN369" s="153"/>
      <c r="CRO369" s="648"/>
      <c r="CRP369" s="641"/>
      <c r="CRQ369" s="631" t="s">
        <v>90</v>
      </c>
      <c r="CRR369" s="632"/>
      <c r="CRS369" s="16"/>
      <c r="CRT369" s="636">
        <v>2.7</v>
      </c>
      <c r="CRU369" s="636">
        <v>2.7</v>
      </c>
      <c r="CRV369" s="636">
        <v>2.72</v>
      </c>
      <c r="CRW369" s="636">
        <v>2.72</v>
      </c>
      <c r="CRX369" s="636">
        <v>2.72</v>
      </c>
      <c r="CRY369" s="649">
        <v>2.72</v>
      </c>
      <c r="CRZ369" s="16"/>
      <c r="CSA369" s="320">
        <v>2.69</v>
      </c>
      <c r="CSB369" s="153"/>
      <c r="CSC369" s="153"/>
      <c r="CSD369" s="153"/>
      <c r="CSE369" s="648"/>
      <c r="CSF369" s="641"/>
      <c r="CSG369" s="631" t="s">
        <v>90</v>
      </c>
      <c r="CSH369" s="632"/>
      <c r="CSI369" s="16"/>
      <c r="CSJ369" s="636">
        <v>2.7</v>
      </c>
      <c r="CSK369" s="636">
        <v>2.7</v>
      </c>
      <c r="CSL369" s="636">
        <v>2.72</v>
      </c>
      <c r="CSM369" s="636">
        <v>2.72</v>
      </c>
      <c r="CSN369" s="636">
        <v>2.72</v>
      </c>
      <c r="CSO369" s="649">
        <v>2.72</v>
      </c>
      <c r="CSP369" s="16"/>
      <c r="CSQ369" s="320">
        <v>2.69</v>
      </c>
      <c r="CSR369" s="153"/>
      <c r="CSS369" s="153"/>
      <c r="CST369" s="153"/>
      <c r="CSU369" s="648"/>
      <c r="CSV369" s="641"/>
      <c r="CSW369" s="631" t="s">
        <v>90</v>
      </c>
      <c r="CSX369" s="632"/>
      <c r="CSY369" s="16"/>
      <c r="CSZ369" s="636">
        <v>2.7</v>
      </c>
      <c r="CTA369" s="636">
        <v>2.7</v>
      </c>
      <c r="CTB369" s="636">
        <v>2.72</v>
      </c>
      <c r="CTC369" s="636">
        <v>2.72</v>
      </c>
      <c r="CTD369" s="636">
        <v>2.72</v>
      </c>
      <c r="CTE369" s="649">
        <v>2.72</v>
      </c>
      <c r="CTF369" s="16"/>
      <c r="CTG369" s="320">
        <v>2.69</v>
      </c>
      <c r="CTH369" s="153"/>
      <c r="CTI369" s="153"/>
      <c r="CTJ369" s="153"/>
      <c r="CTK369" s="648"/>
      <c r="CTL369" s="641"/>
      <c r="CTM369" s="631" t="s">
        <v>90</v>
      </c>
      <c r="CTN369" s="632"/>
      <c r="CTO369" s="16"/>
      <c r="CTP369" s="636">
        <v>2.7</v>
      </c>
      <c r="CTQ369" s="636">
        <v>2.7</v>
      </c>
      <c r="CTR369" s="636">
        <v>2.72</v>
      </c>
      <c r="CTS369" s="636">
        <v>2.72</v>
      </c>
      <c r="CTT369" s="636">
        <v>2.72</v>
      </c>
      <c r="CTU369" s="649">
        <v>2.72</v>
      </c>
      <c r="CTV369" s="16"/>
      <c r="CTW369" s="320">
        <v>2.69</v>
      </c>
      <c r="CTX369" s="153"/>
      <c r="CTY369" s="153"/>
      <c r="CTZ369" s="153"/>
      <c r="CUA369" s="648"/>
      <c r="CUB369" s="641"/>
      <c r="CUC369" s="631" t="s">
        <v>90</v>
      </c>
      <c r="CUD369" s="632"/>
      <c r="CUE369" s="16"/>
      <c r="CUF369" s="636">
        <v>2.7</v>
      </c>
      <c r="CUG369" s="636">
        <v>2.7</v>
      </c>
      <c r="CUH369" s="636">
        <v>2.72</v>
      </c>
      <c r="CUI369" s="636">
        <v>2.72</v>
      </c>
      <c r="CUJ369" s="636">
        <v>2.72</v>
      </c>
      <c r="CUK369" s="649">
        <v>2.72</v>
      </c>
      <c r="CUL369" s="16"/>
      <c r="CUM369" s="320">
        <v>2.69</v>
      </c>
      <c r="CUN369" s="153"/>
      <c r="CUO369" s="153"/>
      <c r="CUP369" s="153"/>
      <c r="CUQ369" s="648"/>
      <c r="CUR369" s="641"/>
      <c r="CUS369" s="631" t="s">
        <v>90</v>
      </c>
      <c r="CUT369" s="632"/>
      <c r="CUU369" s="16"/>
      <c r="CUV369" s="636">
        <v>2.7</v>
      </c>
      <c r="CUW369" s="636">
        <v>2.7</v>
      </c>
      <c r="CUX369" s="636">
        <v>2.72</v>
      </c>
      <c r="CUY369" s="636">
        <v>2.72</v>
      </c>
      <c r="CUZ369" s="636">
        <v>2.72</v>
      </c>
      <c r="CVA369" s="649">
        <v>2.72</v>
      </c>
      <c r="CVB369" s="16"/>
      <c r="CVC369" s="320">
        <v>2.69</v>
      </c>
      <c r="CVD369" s="153"/>
      <c r="CVE369" s="153"/>
      <c r="CVF369" s="153"/>
      <c r="CVG369" s="648"/>
      <c r="CVH369" s="641"/>
      <c r="CVI369" s="631" t="s">
        <v>90</v>
      </c>
      <c r="CVJ369" s="632"/>
      <c r="CVK369" s="16"/>
      <c r="CVL369" s="636">
        <v>2.7</v>
      </c>
      <c r="CVM369" s="636">
        <v>2.7</v>
      </c>
      <c r="CVN369" s="636">
        <v>2.72</v>
      </c>
      <c r="CVO369" s="636">
        <v>2.72</v>
      </c>
      <c r="CVP369" s="636">
        <v>2.72</v>
      </c>
      <c r="CVQ369" s="649">
        <v>2.72</v>
      </c>
      <c r="CVR369" s="16"/>
      <c r="CVS369" s="320">
        <v>2.69</v>
      </c>
      <c r="CVT369" s="153"/>
      <c r="CVU369" s="153"/>
      <c r="CVV369" s="153"/>
      <c r="CVW369" s="648"/>
      <c r="CVX369" s="641"/>
      <c r="CVY369" s="631" t="s">
        <v>90</v>
      </c>
      <c r="CVZ369" s="632"/>
      <c r="CWA369" s="16"/>
      <c r="CWB369" s="636">
        <v>2.7</v>
      </c>
      <c r="CWC369" s="636">
        <v>2.7</v>
      </c>
      <c r="CWD369" s="636">
        <v>2.72</v>
      </c>
      <c r="CWE369" s="636">
        <v>2.72</v>
      </c>
      <c r="CWF369" s="636">
        <v>2.72</v>
      </c>
      <c r="CWG369" s="649">
        <v>2.72</v>
      </c>
      <c r="CWH369" s="16"/>
      <c r="CWI369" s="320">
        <v>2.69</v>
      </c>
      <c r="CWJ369" s="153"/>
      <c r="CWK369" s="153"/>
      <c r="CWL369" s="153"/>
      <c r="CWM369" s="648"/>
      <c r="CWN369" s="641"/>
      <c r="CWO369" s="631" t="s">
        <v>90</v>
      </c>
      <c r="CWP369" s="632"/>
      <c r="CWQ369" s="16"/>
      <c r="CWR369" s="636">
        <v>2.7</v>
      </c>
      <c r="CWS369" s="636">
        <v>2.7</v>
      </c>
      <c r="CWT369" s="636">
        <v>2.72</v>
      </c>
      <c r="CWU369" s="636">
        <v>2.72</v>
      </c>
      <c r="CWV369" s="636">
        <v>2.72</v>
      </c>
      <c r="CWW369" s="649">
        <v>2.72</v>
      </c>
      <c r="CWX369" s="16"/>
      <c r="CWY369" s="320">
        <v>2.69</v>
      </c>
      <c r="CWZ369" s="153"/>
      <c r="CXA369" s="153"/>
      <c r="CXB369" s="153"/>
      <c r="CXC369" s="648"/>
      <c r="CXD369" s="641"/>
      <c r="CXE369" s="631" t="s">
        <v>90</v>
      </c>
      <c r="CXF369" s="632"/>
      <c r="CXG369" s="16"/>
      <c r="CXH369" s="636">
        <v>2.7</v>
      </c>
      <c r="CXI369" s="636">
        <v>2.7</v>
      </c>
      <c r="CXJ369" s="636">
        <v>2.72</v>
      </c>
      <c r="CXK369" s="636">
        <v>2.72</v>
      </c>
      <c r="CXL369" s="636">
        <v>2.72</v>
      </c>
      <c r="CXM369" s="649">
        <v>2.72</v>
      </c>
      <c r="CXN369" s="16"/>
      <c r="CXO369" s="320">
        <v>2.69</v>
      </c>
      <c r="CXP369" s="153"/>
      <c r="CXQ369" s="153"/>
      <c r="CXR369" s="153"/>
      <c r="CXS369" s="648"/>
      <c r="CXT369" s="641"/>
      <c r="CXU369" s="631" t="s">
        <v>90</v>
      </c>
      <c r="CXV369" s="632"/>
      <c r="CXW369" s="16"/>
      <c r="CXX369" s="636">
        <v>2.7</v>
      </c>
      <c r="CXY369" s="636">
        <v>2.7</v>
      </c>
      <c r="CXZ369" s="636">
        <v>2.72</v>
      </c>
      <c r="CYA369" s="636">
        <v>2.72</v>
      </c>
      <c r="CYB369" s="636">
        <v>2.72</v>
      </c>
      <c r="CYC369" s="649">
        <v>2.72</v>
      </c>
      <c r="CYD369" s="16"/>
      <c r="CYE369" s="320">
        <v>2.69</v>
      </c>
      <c r="CYF369" s="153"/>
      <c r="CYG369" s="153"/>
      <c r="CYH369" s="153"/>
      <c r="CYI369" s="648"/>
      <c r="CYJ369" s="641"/>
      <c r="CYK369" s="631" t="s">
        <v>90</v>
      </c>
      <c r="CYL369" s="632"/>
      <c r="CYM369" s="16"/>
      <c r="CYN369" s="636">
        <v>2.7</v>
      </c>
      <c r="CYO369" s="636">
        <v>2.7</v>
      </c>
      <c r="CYP369" s="636">
        <v>2.72</v>
      </c>
      <c r="CYQ369" s="636">
        <v>2.72</v>
      </c>
      <c r="CYR369" s="636">
        <v>2.72</v>
      </c>
      <c r="CYS369" s="649">
        <v>2.72</v>
      </c>
      <c r="CYT369" s="16"/>
      <c r="CYU369" s="320">
        <v>2.69</v>
      </c>
      <c r="CYV369" s="153"/>
      <c r="CYW369" s="153"/>
      <c r="CYX369" s="153"/>
      <c r="CYY369" s="648"/>
      <c r="CYZ369" s="641"/>
      <c r="CZA369" s="631" t="s">
        <v>90</v>
      </c>
      <c r="CZB369" s="632"/>
      <c r="CZC369" s="16"/>
      <c r="CZD369" s="636">
        <v>2.7</v>
      </c>
      <c r="CZE369" s="636">
        <v>2.7</v>
      </c>
      <c r="CZF369" s="636">
        <v>2.72</v>
      </c>
      <c r="CZG369" s="636">
        <v>2.72</v>
      </c>
      <c r="CZH369" s="636">
        <v>2.72</v>
      </c>
      <c r="CZI369" s="649">
        <v>2.72</v>
      </c>
      <c r="CZJ369" s="16"/>
      <c r="CZK369" s="320">
        <v>2.69</v>
      </c>
      <c r="CZL369" s="153"/>
      <c r="CZM369" s="153"/>
      <c r="CZN369" s="153"/>
      <c r="CZO369" s="648"/>
      <c r="CZP369" s="641"/>
      <c r="CZQ369" s="631" t="s">
        <v>90</v>
      </c>
      <c r="CZR369" s="632"/>
      <c r="CZS369" s="16"/>
      <c r="CZT369" s="636">
        <v>2.7</v>
      </c>
      <c r="CZU369" s="636">
        <v>2.7</v>
      </c>
      <c r="CZV369" s="636">
        <v>2.72</v>
      </c>
      <c r="CZW369" s="636">
        <v>2.72</v>
      </c>
      <c r="CZX369" s="636">
        <v>2.72</v>
      </c>
      <c r="CZY369" s="649">
        <v>2.72</v>
      </c>
      <c r="CZZ369" s="16"/>
      <c r="DAA369" s="320">
        <v>2.69</v>
      </c>
      <c r="DAB369" s="153"/>
      <c r="DAC369" s="153"/>
      <c r="DAD369" s="153"/>
      <c r="DAE369" s="648"/>
      <c r="DAF369" s="641"/>
      <c r="DAG369" s="631" t="s">
        <v>90</v>
      </c>
      <c r="DAH369" s="632"/>
      <c r="DAI369" s="16"/>
      <c r="DAJ369" s="636">
        <v>2.7</v>
      </c>
      <c r="DAK369" s="636">
        <v>2.7</v>
      </c>
      <c r="DAL369" s="636">
        <v>2.72</v>
      </c>
      <c r="DAM369" s="636">
        <v>2.72</v>
      </c>
      <c r="DAN369" s="636">
        <v>2.72</v>
      </c>
      <c r="DAO369" s="649">
        <v>2.72</v>
      </c>
      <c r="DAP369" s="16"/>
      <c r="DAQ369" s="320">
        <v>2.69</v>
      </c>
      <c r="DAR369" s="153"/>
      <c r="DAS369" s="153"/>
      <c r="DAT369" s="153"/>
      <c r="DAU369" s="648"/>
      <c r="DAV369" s="641"/>
      <c r="DAW369" s="631" t="s">
        <v>90</v>
      </c>
      <c r="DAX369" s="632"/>
      <c r="DAY369" s="16"/>
      <c r="DAZ369" s="636">
        <v>2.7</v>
      </c>
      <c r="DBA369" s="636">
        <v>2.7</v>
      </c>
      <c r="DBB369" s="636">
        <v>2.72</v>
      </c>
      <c r="DBC369" s="636">
        <v>2.72</v>
      </c>
      <c r="DBD369" s="636">
        <v>2.72</v>
      </c>
      <c r="DBE369" s="649">
        <v>2.72</v>
      </c>
      <c r="DBF369" s="16"/>
      <c r="DBG369" s="320">
        <v>2.69</v>
      </c>
      <c r="DBH369" s="153"/>
      <c r="DBI369" s="153"/>
      <c r="DBJ369" s="153"/>
      <c r="DBK369" s="648"/>
      <c r="DBL369" s="641"/>
      <c r="DBM369" s="631" t="s">
        <v>90</v>
      </c>
      <c r="DBN369" s="632"/>
      <c r="DBO369" s="16"/>
      <c r="DBP369" s="636">
        <v>2.7</v>
      </c>
      <c r="DBQ369" s="636">
        <v>2.7</v>
      </c>
      <c r="DBR369" s="636">
        <v>2.72</v>
      </c>
      <c r="DBS369" s="636">
        <v>2.72</v>
      </c>
      <c r="DBT369" s="636">
        <v>2.72</v>
      </c>
      <c r="DBU369" s="649">
        <v>2.72</v>
      </c>
      <c r="DBV369" s="16"/>
      <c r="DBW369" s="320">
        <v>2.69</v>
      </c>
      <c r="DBX369" s="153"/>
      <c r="DBY369" s="153"/>
      <c r="DBZ369" s="153"/>
      <c r="DCA369" s="648"/>
      <c r="DCB369" s="641"/>
      <c r="DCC369" s="631" t="s">
        <v>90</v>
      </c>
      <c r="DCD369" s="632"/>
      <c r="DCE369" s="16"/>
      <c r="DCF369" s="636">
        <v>2.7</v>
      </c>
      <c r="DCG369" s="636">
        <v>2.7</v>
      </c>
      <c r="DCH369" s="636">
        <v>2.72</v>
      </c>
      <c r="DCI369" s="636">
        <v>2.72</v>
      </c>
      <c r="DCJ369" s="636">
        <v>2.72</v>
      </c>
      <c r="DCK369" s="649">
        <v>2.72</v>
      </c>
      <c r="DCL369" s="16"/>
      <c r="DCM369" s="320">
        <v>2.69</v>
      </c>
      <c r="DCN369" s="153"/>
      <c r="DCO369" s="153"/>
      <c r="DCP369" s="153"/>
      <c r="DCQ369" s="648"/>
      <c r="DCR369" s="641"/>
      <c r="DCS369" s="631" t="s">
        <v>90</v>
      </c>
      <c r="DCT369" s="632"/>
      <c r="DCU369" s="16"/>
      <c r="DCV369" s="636">
        <v>2.7</v>
      </c>
      <c r="DCW369" s="636">
        <v>2.7</v>
      </c>
      <c r="DCX369" s="636">
        <v>2.72</v>
      </c>
      <c r="DCY369" s="636">
        <v>2.72</v>
      </c>
      <c r="DCZ369" s="636">
        <v>2.72</v>
      </c>
      <c r="DDA369" s="649">
        <v>2.72</v>
      </c>
      <c r="DDB369" s="16"/>
      <c r="DDC369" s="320">
        <v>2.69</v>
      </c>
      <c r="DDD369" s="153"/>
      <c r="DDE369" s="153"/>
      <c r="DDF369" s="153"/>
      <c r="DDG369" s="648"/>
      <c r="DDH369" s="641"/>
      <c r="DDI369" s="631" t="s">
        <v>90</v>
      </c>
      <c r="DDJ369" s="632"/>
      <c r="DDK369" s="16"/>
      <c r="DDL369" s="636">
        <v>2.7</v>
      </c>
      <c r="DDM369" s="636">
        <v>2.7</v>
      </c>
      <c r="DDN369" s="636">
        <v>2.72</v>
      </c>
      <c r="DDO369" s="636">
        <v>2.72</v>
      </c>
      <c r="DDP369" s="636">
        <v>2.72</v>
      </c>
      <c r="DDQ369" s="649">
        <v>2.72</v>
      </c>
      <c r="DDR369" s="16"/>
      <c r="DDS369" s="320">
        <v>2.69</v>
      </c>
      <c r="DDT369" s="153"/>
      <c r="DDU369" s="153"/>
      <c r="DDV369" s="153"/>
      <c r="DDW369" s="648"/>
      <c r="DDX369" s="641"/>
      <c r="DDY369" s="631" t="s">
        <v>90</v>
      </c>
      <c r="DDZ369" s="632"/>
      <c r="DEA369" s="16"/>
      <c r="DEB369" s="636">
        <v>2.7</v>
      </c>
      <c r="DEC369" s="636">
        <v>2.7</v>
      </c>
      <c r="DED369" s="636">
        <v>2.72</v>
      </c>
      <c r="DEE369" s="636">
        <v>2.72</v>
      </c>
      <c r="DEF369" s="636">
        <v>2.72</v>
      </c>
      <c r="DEG369" s="649">
        <v>2.72</v>
      </c>
      <c r="DEH369" s="16"/>
      <c r="DEI369" s="320">
        <v>2.69</v>
      </c>
      <c r="DEJ369" s="153"/>
      <c r="DEK369" s="153"/>
      <c r="DEL369" s="153"/>
      <c r="DEM369" s="648"/>
      <c r="DEN369" s="641"/>
      <c r="DEO369" s="631" t="s">
        <v>90</v>
      </c>
      <c r="DEP369" s="632"/>
      <c r="DEQ369" s="16"/>
      <c r="DER369" s="636">
        <v>2.7</v>
      </c>
      <c r="DES369" s="636">
        <v>2.7</v>
      </c>
      <c r="DET369" s="636">
        <v>2.72</v>
      </c>
      <c r="DEU369" s="636">
        <v>2.72</v>
      </c>
      <c r="DEV369" s="636">
        <v>2.72</v>
      </c>
      <c r="DEW369" s="649">
        <v>2.72</v>
      </c>
      <c r="DEX369" s="16"/>
      <c r="DEY369" s="320">
        <v>2.69</v>
      </c>
      <c r="DEZ369" s="153"/>
      <c r="DFA369" s="153"/>
      <c r="DFB369" s="153"/>
      <c r="DFC369" s="648"/>
      <c r="DFD369" s="641"/>
      <c r="DFE369" s="631" t="s">
        <v>90</v>
      </c>
      <c r="DFF369" s="632"/>
      <c r="DFG369" s="16"/>
      <c r="DFH369" s="636">
        <v>2.7</v>
      </c>
      <c r="DFI369" s="636">
        <v>2.7</v>
      </c>
      <c r="DFJ369" s="636">
        <v>2.72</v>
      </c>
      <c r="DFK369" s="636">
        <v>2.72</v>
      </c>
      <c r="DFL369" s="636">
        <v>2.72</v>
      </c>
      <c r="DFM369" s="649">
        <v>2.72</v>
      </c>
      <c r="DFN369" s="16"/>
      <c r="DFO369" s="320">
        <v>2.69</v>
      </c>
      <c r="DFP369" s="153"/>
      <c r="DFQ369" s="153"/>
      <c r="DFR369" s="153"/>
      <c r="DFS369" s="648"/>
      <c r="DFT369" s="641"/>
      <c r="DFU369" s="631" t="s">
        <v>90</v>
      </c>
      <c r="DFV369" s="632"/>
      <c r="DFW369" s="16"/>
      <c r="DFX369" s="636">
        <v>2.7</v>
      </c>
      <c r="DFY369" s="636">
        <v>2.7</v>
      </c>
      <c r="DFZ369" s="636">
        <v>2.72</v>
      </c>
      <c r="DGA369" s="636">
        <v>2.72</v>
      </c>
      <c r="DGB369" s="636">
        <v>2.72</v>
      </c>
      <c r="DGC369" s="649">
        <v>2.72</v>
      </c>
      <c r="DGD369" s="16"/>
      <c r="DGE369" s="320">
        <v>2.69</v>
      </c>
      <c r="DGF369" s="153"/>
      <c r="DGG369" s="153"/>
      <c r="DGH369" s="153"/>
      <c r="DGI369" s="648"/>
      <c r="DGJ369" s="641"/>
      <c r="DGK369" s="631" t="s">
        <v>90</v>
      </c>
      <c r="DGL369" s="632"/>
      <c r="DGM369" s="16"/>
      <c r="DGN369" s="636">
        <v>2.7</v>
      </c>
      <c r="DGO369" s="636">
        <v>2.7</v>
      </c>
      <c r="DGP369" s="636">
        <v>2.72</v>
      </c>
      <c r="DGQ369" s="636">
        <v>2.72</v>
      </c>
      <c r="DGR369" s="636">
        <v>2.72</v>
      </c>
      <c r="DGS369" s="649">
        <v>2.72</v>
      </c>
      <c r="DGT369" s="16"/>
      <c r="DGU369" s="320">
        <v>2.69</v>
      </c>
      <c r="DGV369" s="153"/>
      <c r="DGW369" s="153"/>
      <c r="DGX369" s="153"/>
      <c r="DGY369" s="648"/>
      <c r="DGZ369" s="641"/>
      <c r="DHA369" s="631" t="s">
        <v>90</v>
      </c>
      <c r="DHB369" s="632"/>
      <c r="DHC369" s="16"/>
      <c r="DHD369" s="636">
        <v>2.7</v>
      </c>
      <c r="DHE369" s="636">
        <v>2.7</v>
      </c>
      <c r="DHF369" s="636">
        <v>2.72</v>
      </c>
      <c r="DHG369" s="636">
        <v>2.72</v>
      </c>
      <c r="DHH369" s="636">
        <v>2.72</v>
      </c>
      <c r="DHI369" s="649">
        <v>2.72</v>
      </c>
      <c r="DHJ369" s="16"/>
      <c r="DHK369" s="320">
        <v>2.69</v>
      </c>
      <c r="DHL369" s="153"/>
      <c r="DHM369" s="153"/>
      <c r="DHN369" s="153"/>
      <c r="DHO369" s="648"/>
      <c r="DHP369" s="641"/>
      <c r="DHQ369" s="631" t="s">
        <v>90</v>
      </c>
      <c r="DHR369" s="632"/>
      <c r="DHS369" s="16"/>
      <c r="DHT369" s="636">
        <v>2.7</v>
      </c>
      <c r="DHU369" s="636">
        <v>2.7</v>
      </c>
      <c r="DHV369" s="636">
        <v>2.72</v>
      </c>
      <c r="DHW369" s="636">
        <v>2.72</v>
      </c>
      <c r="DHX369" s="636">
        <v>2.72</v>
      </c>
      <c r="DHY369" s="649">
        <v>2.72</v>
      </c>
      <c r="DHZ369" s="16"/>
      <c r="DIA369" s="320">
        <v>2.69</v>
      </c>
      <c r="DIB369" s="153"/>
      <c r="DIC369" s="153"/>
      <c r="DID369" s="153"/>
      <c r="DIE369" s="648"/>
      <c r="DIF369" s="641"/>
      <c r="DIG369" s="631" t="s">
        <v>90</v>
      </c>
      <c r="DIH369" s="632"/>
      <c r="DII369" s="16"/>
      <c r="DIJ369" s="636">
        <v>2.7</v>
      </c>
      <c r="DIK369" s="636">
        <v>2.7</v>
      </c>
      <c r="DIL369" s="636">
        <v>2.72</v>
      </c>
      <c r="DIM369" s="636">
        <v>2.72</v>
      </c>
      <c r="DIN369" s="636">
        <v>2.72</v>
      </c>
      <c r="DIO369" s="649">
        <v>2.72</v>
      </c>
      <c r="DIP369" s="16"/>
      <c r="DIQ369" s="320">
        <v>2.69</v>
      </c>
      <c r="DIR369" s="153"/>
      <c r="DIS369" s="153"/>
      <c r="DIT369" s="153"/>
      <c r="DIU369" s="648"/>
      <c r="DIV369" s="641"/>
      <c r="DIW369" s="631" t="s">
        <v>90</v>
      </c>
      <c r="DIX369" s="632"/>
      <c r="DIY369" s="16"/>
      <c r="DIZ369" s="636">
        <v>2.7</v>
      </c>
      <c r="DJA369" s="636">
        <v>2.7</v>
      </c>
      <c r="DJB369" s="636">
        <v>2.72</v>
      </c>
      <c r="DJC369" s="636">
        <v>2.72</v>
      </c>
      <c r="DJD369" s="636">
        <v>2.72</v>
      </c>
      <c r="DJE369" s="649">
        <v>2.72</v>
      </c>
      <c r="DJF369" s="16"/>
      <c r="DJG369" s="320">
        <v>2.69</v>
      </c>
      <c r="DJH369" s="153"/>
      <c r="DJI369" s="153"/>
      <c r="DJJ369" s="153"/>
      <c r="DJK369" s="648"/>
      <c r="DJL369" s="641"/>
      <c r="DJM369" s="631" t="s">
        <v>90</v>
      </c>
      <c r="DJN369" s="632"/>
      <c r="DJO369" s="16"/>
      <c r="DJP369" s="636">
        <v>2.7</v>
      </c>
      <c r="DJQ369" s="636">
        <v>2.7</v>
      </c>
      <c r="DJR369" s="636">
        <v>2.72</v>
      </c>
      <c r="DJS369" s="636">
        <v>2.72</v>
      </c>
      <c r="DJT369" s="636">
        <v>2.72</v>
      </c>
      <c r="DJU369" s="649">
        <v>2.72</v>
      </c>
      <c r="DJV369" s="16"/>
      <c r="DJW369" s="320">
        <v>2.69</v>
      </c>
      <c r="DJX369" s="153"/>
      <c r="DJY369" s="153"/>
      <c r="DJZ369" s="153"/>
      <c r="DKA369" s="648"/>
      <c r="DKB369" s="641"/>
      <c r="DKC369" s="631" t="s">
        <v>90</v>
      </c>
      <c r="DKD369" s="632"/>
      <c r="DKE369" s="16"/>
      <c r="DKF369" s="636">
        <v>2.7</v>
      </c>
      <c r="DKG369" s="636">
        <v>2.7</v>
      </c>
      <c r="DKH369" s="636">
        <v>2.72</v>
      </c>
      <c r="DKI369" s="636">
        <v>2.72</v>
      </c>
      <c r="DKJ369" s="636">
        <v>2.72</v>
      </c>
      <c r="DKK369" s="649">
        <v>2.72</v>
      </c>
      <c r="DKL369" s="16"/>
      <c r="DKM369" s="320">
        <v>2.69</v>
      </c>
      <c r="DKN369" s="153"/>
      <c r="DKO369" s="153"/>
      <c r="DKP369" s="153"/>
      <c r="DKQ369" s="648"/>
      <c r="DKR369" s="641"/>
      <c r="DKS369" s="631" t="s">
        <v>90</v>
      </c>
      <c r="DKT369" s="632"/>
      <c r="DKU369" s="16"/>
      <c r="DKV369" s="636">
        <v>2.7</v>
      </c>
      <c r="DKW369" s="636">
        <v>2.7</v>
      </c>
      <c r="DKX369" s="636">
        <v>2.72</v>
      </c>
      <c r="DKY369" s="636">
        <v>2.72</v>
      </c>
      <c r="DKZ369" s="636">
        <v>2.72</v>
      </c>
      <c r="DLA369" s="649">
        <v>2.72</v>
      </c>
      <c r="DLB369" s="16"/>
      <c r="DLC369" s="320">
        <v>2.69</v>
      </c>
      <c r="DLD369" s="153"/>
      <c r="DLE369" s="153"/>
      <c r="DLF369" s="153"/>
      <c r="DLG369" s="648"/>
      <c r="DLH369" s="641"/>
      <c r="DLI369" s="631" t="s">
        <v>90</v>
      </c>
      <c r="DLJ369" s="632"/>
      <c r="DLK369" s="16"/>
      <c r="DLL369" s="636">
        <v>2.7</v>
      </c>
      <c r="DLM369" s="636">
        <v>2.7</v>
      </c>
      <c r="DLN369" s="636">
        <v>2.72</v>
      </c>
      <c r="DLO369" s="636">
        <v>2.72</v>
      </c>
      <c r="DLP369" s="636">
        <v>2.72</v>
      </c>
      <c r="DLQ369" s="649">
        <v>2.72</v>
      </c>
      <c r="DLR369" s="16"/>
      <c r="DLS369" s="320">
        <v>2.69</v>
      </c>
      <c r="DLT369" s="153"/>
      <c r="DLU369" s="153"/>
      <c r="DLV369" s="153"/>
      <c r="DLW369" s="648"/>
      <c r="DLX369" s="641"/>
      <c r="DLY369" s="631" t="s">
        <v>90</v>
      </c>
      <c r="DLZ369" s="632"/>
      <c r="DMA369" s="16"/>
      <c r="DMB369" s="636">
        <v>2.7</v>
      </c>
      <c r="DMC369" s="636">
        <v>2.7</v>
      </c>
      <c r="DMD369" s="636">
        <v>2.72</v>
      </c>
      <c r="DME369" s="636">
        <v>2.72</v>
      </c>
      <c r="DMF369" s="636">
        <v>2.72</v>
      </c>
      <c r="DMG369" s="649">
        <v>2.72</v>
      </c>
      <c r="DMH369" s="16"/>
      <c r="DMI369" s="320">
        <v>2.69</v>
      </c>
      <c r="DMJ369" s="153"/>
      <c r="DMK369" s="153"/>
      <c r="DML369" s="153"/>
      <c r="DMM369" s="648"/>
      <c r="DMN369" s="641"/>
      <c r="DMO369" s="631" t="s">
        <v>90</v>
      </c>
      <c r="DMP369" s="632"/>
      <c r="DMQ369" s="16"/>
      <c r="DMR369" s="636">
        <v>2.7</v>
      </c>
      <c r="DMS369" s="636">
        <v>2.7</v>
      </c>
      <c r="DMT369" s="636">
        <v>2.72</v>
      </c>
      <c r="DMU369" s="636">
        <v>2.72</v>
      </c>
      <c r="DMV369" s="636">
        <v>2.72</v>
      </c>
      <c r="DMW369" s="649">
        <v>2.72</v>
      </c>
      <c r="DMX369" s="16"/>
      <c r="DMY369" s="320">
        <v>2.69</v>
      </c>
      <c r="DMZ369" s="153"/>
      <c r="DNA369" s="153"/>
      <c r="DNB369" s="153"/>
      <c r="DNC369" s="648"/>
      <c r="DND369" s="641"/>
      <c r="DNE369" s="631" t="s">
        <v>90</v>
      </c>
      <c r="DNF369" s="632"/>
      <c r="DNG369" s="16"/>
      <c r="DNH369" s="636">
        <v>2.7</v>
      </c>
      <c r="DNI369" s="636">
        <v>2.7</v>
      </c>
      <c r="DNJ369" s="636">
        <v>2.72</v>
      </c>
      <c r="DNK369" s="636">
        <v>2.72</v>
      </c>
      <c r="DNL369" s="636">
        <v>2.72</v>
      </c>
      <c r="DNM369" s="649">
        <v>2.72</v>
      </c>
      <c r="DNN369" s="16"/>
      <c r="DNO369" s="320">
        <v>2.69</v>
      </c>
      <c r="DNP369" s="153"/>
      <c r="DNQ369" s="153"/>
      <c r="DNR369" s="153"/>
      <c r="DNS369" s="648"/>
      <c r="DNT369" s="641"/>
      <c r="DNU369" s="631" t="s">
        <v>90</v>
      </c>
      <c r="DNV369" s="632"/>
      <c r="DNW369" s="16"/>
      <c r="DNX369" s="636">
        <v>2.7</v>
      </c>
      <c r="DNY369" s="636">
        <v>2.7</v>
      </c>
      <c r="DNZ369" s="636">
        <v>2.72</v>
      </c>
      <c r="DOA369" s="636">
        <v>2.72</v>
      </c>
      <c r="DOB369" s="636">
        <v>2.72</v>
      </c>
      <c r="DOC369" s="649">
        <v>2.72</v>
      </c>
      <c r="DOD369" s="16"/>
      <c r="DOE369" s="320">
        <v>2.69</v>
      </c>
      <c r="DOF369" s="153"/>
      <c r="DOG369" s="153"/>
      <c r="DOH369" s="153"/>
      <c r="DOI369" s="648"/>
      <c r="DOJ369" s="641"/>
      <c r="DOK369" s="631" t="s">
        <v>90</v>
      </c>
      <c r="DOL369" s="632"/>
      <c r="DOM369" s="16"/>
      <c r="DON369" s="636">
        <v>2.7</v>
      </c>
      <c r="DOO369" s="636">
        <v>2.7</v>
      </c>
      <c r="DOP369" s="636">
        <v>2.72</v>
      </c>
      <c r="DOQ369" s="636">
        <v>2.72</v>
      </c>
      <c r="DOR369" s="636">
        <v>2.72</v>
      </c>
      <c r="DOS369" s="649">
        <v>2.72</v>
      </c>
      <c r="DOT369" s="16"/>
      <c r="DOU369" s="320">
        <v>2.69</v>
      </c>
      <c r="DOV369" s="153"/>
      <c r="DOW369" s="153"/>
      <c r="DOX369" s="153"/>
      <c r="DOY369" s="648"/>
      <c r="DOZ369" s="641"/>
      <c r="DPA369" s="631" t="s">
        <v>90</v>
      </c>
      <c r="DPB369" s="632"/>
      <c r="DPC369" s="16"/>
      <c r="DPD369" s="636">
        <v>2.7</v>
      </c>
      <c r="DPE369" s="636">
        <v>2.7</v>
      </c>
      <c r="DPF369" s="636">
        <v>2.72</v>
      </c>
      <c r="DPG369" s="636">
        <v>2.72</v>
      </c>
      <c r="DPH369" s="636">
        <v>2.72</v>
      </c>
      <c r="DPI369" s="649">
        <v>2.72</v>
      </c>
      <c r="DPJ369" s="16"/>
      <c r="DPK369" s="320">
        <v>2.69</v>
      </c>
      <c r="DPL369" s="153"/>
      <c r="DPM369" s="153"/>
      <c r="DPN369" s="153"/>
      <c r="DPO369" s="648"/>
      <c r="DPP369" s="641"/>
      <c r="DPQ369" s="631" t="s">
        <v>90</v>
      </c>
      <c r="DPR369" s="632"/>
      <c r="DPS369" s="16"/>
      <c r="DPT369" s="636">
        <v>2.7</v>
      </c>
      <c r="DPU369" s="636">
        <v>2.7</v>
      </c>
      <c r="DPV369" s="636">
        <v>2.72</v>
      </c>
      <c r="DPW369" s="636">
        <v>2.72</v>
      </c>
      <c r="DPX369" s="636">
        <v>2.72</v>
      </c>
      <c r="DPY369" s="649">
        <v>2.72</v>
      </c>
      <c r="DPZ369" s="16"/>
      <c r="DQA369" s="320">
        <v>2.69</v>
      </c>
      <c r="DQB369" s="153"/>
      <c r="DQC369" s="153"/>
      <c r="DQD369" s="153"/>
      <c r="DQE369" s="648"/>
      <c r="DQF369" s="641"/>
      <c r="DQG369" s="631" t="s">
        <v>90</v>
      </c>
      <c r="DQH369" s="632"/>
      <c r="DQI369" s="16"/>
      <c r="DQJ369" s="636">
        <v>2.7</v>
      </c>
      <c r="DQK369" s="636">
        <v>2.7</v>
      </c>
      <c r="DQL369" s="636">
        <v>2.72</v>
      </c>
      <c r="DQM369" s="636">
        <v>2.72</v>
      </c>
      <c r="DQN369" s="636">
        <v>2.72</v>
      </c>
      <c r="DQO369" s="649">
        <v>2.72</v>
      </c>
      <c r="DQP369" s="16"/>
      <c r="DQQ369" s="320">
        <v>2.69</v>
      </c>
      <c r="DQR369" s="153"/>
      <c r="DQS369" s="153"/>
      <c r="DQT369" s="153"/>
      <c r="DQU369" s="648"/>
      <c r="DQV369" s="641"/>
      <c r="DQW369" s="631" t="s">
        <v>90</v>
      </c>
      <c r="DQX369" s="632"/>
      <c r="DQY369" s="16"/>
      <c r="DQZ369" s="636">
        <v>2.7</v>
      </c>
      <c r="DRA369" s="636">
        <v>2.7</v>
      </c>
      <c r="DRB369" s="636">
        <v>2.72</v>
      </c>
      <c r="DRC369" s="636">
        <v>2.72</v>
      </c>
      <c r="DRD369" s="636">
        <v>2.72</v>
      </c>
      <c r="DRE369" s="649">
        <v>2.72</v>
      </c>
      <c r="DRF369" s="16"/>
      <c r="DRG369" s="320">
        <v>2.69</v>
      </c>
      <c r="DRH369" s="153"/>
      <c r="DRI369" s="153"/>
      <c r="DRJ369" s="153"/>
      <c r="DRK369" s="648"/>
      <c r="DRL369" s="641"/>
      <c r="DRM369" s="631" t="s">
        <v>90</v>
      </c>
      <c r="DRN369" s="632"/>
      <c r="DRO369" s="16"/>
      <c r="DRP369" s="636">
        <v>2.7</v>
      </c>
      <c r="DRQ369" s="636">
        <v>2.7</v>
      </c>
      <c r="DRR369" s="636">
        <v>2.72</v>
      </c>
      <c r="DRS369" s="636">
        <v>2.72</v>
      </c>
      <c r="DRT369" s="636">
        <v>2.72</v>
      </c>
      <c r="DRU369" s="649">
        <v>2.72</v>
      </c>
      <c r="DRV369" s="16"/>
      <c r="DRW369" s="320">
        <v>2.69</v>
      </c>
      <c r="DRX369" s="153"/>
      <c r="DRY369" s="153"/>
      <c r="DRZ369" s="153"/>
      <c r="DSA369" s="648"/>
      <c r="DSB369" s="641"/>
      <c r="DSC369" s="631" t="s">
        <v>90</v>
      </c>
      <c r="DSD369" s="632"/>
      <c r="DSE369" s="16"/>
      <c r="DSF369" s="636">
        <v>2.7</v>
      </c>
      <c r="DSG369" s="636">
        <v>2.7</v>
      </c>
      <c r="DSH369" s="636">
        <v>2.72</v>
      </c>
      <c r="DSI369" s="636">
        <v>2.72</v>
      </c>
      <c r="DSJ369" s="636">
        <v>2.72</v>
      </c>
      <c r="DSK369" s="649">
        <v>2.72</v>
      </c>
      <c r="DSL369" s="16"/>
      <c r="DSM369" s="320">
        <v>2.69</v>
      </c>
      <c r="DSN369" s="153"/>
      <c r="DSO369" s="153"/>
      <c r="DSP369" s="153"/>
      <c r="DSQ369" s="648"/>
      <c r="DSR369" s="641"/>
      <c r="DSS369" s="631" t="s">
        <v>90</v>
      </c>
      <c r="DST369" s="632"/>
      <c r="DSU369" s="16"/>
      <c r="DSV369" s="636">
        <v>2.7</v>
      </c>
      <c r="DSW369" s="636">
        <v>2.7</v>
      </c>
      <c r="DSX369" s="636">
        <v>2.72</v>
      </c>
      <c r="DSY369" s="636">
        <v>2.72</v>
      </c>
      <c r="DSZ369" s="636">
        <v>2.72</v>
      </c>
      <c r="DTA369" s="649">
        <v>2.72</v>
      </c>
      <c r="DTB369" s="16"/>
      <c r="DTC369" s="320">
        <v>2.69</v>
      </c>
      <c r="DTD369" s="153"/>
      <c r="DTE369" s="153"/>
      <c r="DTF369" s="153"/>
      <c r="DTG369" s="648"/>
      <c r="DTH369" s="641"/>
      <c r="DTI369" s="631" t="s">
        <v>90</v>
      </c>
      <c r="DTJ369" s="632"/>
      <c r="DTK369" s="16"/>
      <c r="DTL369" s="636">
        <v>2.7</v>
      </c>
      <c r="DTM369" s="636">
        <v>2.7</v>
      </c>
      <c r="DTN369" s="636">
        <v>2.72</v>
      </c>
      <c r="DTO369" s="636">
        <v>2.72</v>
      </c>
      <c r="DTP369" s="636">
        <v>2.72</v>
      </c>
      <c r="DTQ369" s="649">
        <v>2.72</v>
      </c>
      <c r="DTR369" s="16"/>
      <c r="DTS369" s="320">
        <v>2.69</v>
      </c>
      <c r="DTT369" s="153"/>
      <c r="DTU369" s="153"/>
      <c r="DTV369" s="153"/>
      <c r="DTW369" s="648"/>
      <c r="DTX369" s="641"/>
      <c r="DTY369" s="631" t="s">
        <v>90</v>
      </c>
      <c r="DTZ369" s="632"/>
      <c r="DUA369" s="16"/>
      <c r="DUB369" s="636">
        <v>2.7</v>
      </c>
      <c r="DUC369" s="636">
        <v>2.7</v>
      </c>
      <c r="DUD369" s="636">
        <v>2.72</v>
      </c>
      <c r="DUE369" s="636">
        <v>2.72</v>
      </c>
      <c r="DUF369" s="636">
        <v>2.72</v>
      </c>
      <c r="DUG369" s="649">
        <v>2.72</v>
      </c>
      <c r="DUH369" s="16"/>
      <c r="DUI369" s="320">
        <v>2.69</v>
      </c>
      <c r="DUJ369" s="153"/>
      <c r="DUK369" s="153"/>
      <c r="DUL369" s="153"/>
      <c r="DUM369" s="648"/>
      <c r="DUN369" s="641"/>
      <c r="DUO369" s="631" t="s">
        <v>90</v>
      </c>
      <c r="DUP369" s="632"/>
      <c r="DUQ369" s="16"/>
      <c r="DUR369" s="636">
        <v>2.7</v>
      </c>
      <c r="DUS369" s="636">
        <v>2.7</v>
      </c>
      <c r="DUT369" s="636">
        <v>2.72</v>
      </c>
      <c r="DUU369" s="636">
        <v>2.72</v>
      </c>
      <c r="DUV369" s="636">
        <v>2.72</v>
      </c>
      <c r="DUW369" s="649">
        <v>2.72</v>
      </c>
      <c r="DUX369" s="16"/>
      <c r="DUY369" s="320">
        <v>2.69</v>
      </c>
      <c r="DUZ369" s="153"/>
      <c r="DVA369" s="153"/>
      <c r="DVB369" s="153"/>
      <c r="DVC369" s="648"/>
      <c r="DVD369" s="641"/>
      <c r="DVE369" s="631" t="s">
        <v>90</v>
      </c>
      <c r="DVF369" s="632"/>
      <c r="DVG369" s="16"/>
      <c r="DVH369" s="636">
        <v>2.7</v>
      </c>
      <c r="DVI369" s="636">
        <v>2.7</v>
      </c>
      <c r="DVJ369" s="636">
        <v>2.72</v>
      </c>
      <c r="DVK369" s="636">
        <v>2.72</v>
      </c>
      <c r="DVL369" s="636">
        <v>2.72</v>
      </c>
      <c r="DVM369" s="649">
        <v>2.72</v>
      </c>
      <c r="DVN369" s="16"/>
      <c r="DVO369" s="320">
        <v>2.69</v>
      </c>
      <c r="DVP369" s="153"/>
      <c r="DVQ369" s="153"/>
      <c r="DVR369" s="153"/>
      <c r="DVS369" s="648"/>
      <c r="DVT369" s="641"/>
      <c r="DVU369" s="631" t="s">
        <v>90</v>
      </c>
      <c r="DVV369" s="632"/>
      <c r="DVW369" s="16"/>
      <c r="DVX369" s="636">
        <v>2.7</v>
      </c>
      <c r="DVY369" s="636">
        <v>2.7</v>
      </c>
      <c r="DVZ369" s="636">
        <v>2.72</v>
      </c>
      <c r="DWA369" s="636">
        <v>2.72</v>
      </c>
      <c r="DWB369" s="636">
        <v>2.72</v>
      </c>
      <c r="DWC369" s="649">
        <v>2.72</v>
      </c>
      <c r="DWD369" s="16"/>
      <c r="DWE369" s="320">
        <v>2.69</v>
      </c>
      <c r="DWF369" s="153"/>
      <c r="DWG369" s="153"/>
      <c r="DWH369" s="153"/>
      <c r="DWI369" s="648"/>
      <c r="DWJ369" s="641"/>
      <c r="DWK369" s="631" t="s">
        <v>90</v>
      </c>
      <c r="DWL369" s="632"/>
      <c r="DWM369" s="16"/>
      <c r="DWN369" s="636">
        <v>2.7</v>
      </c>
      <c r="DWO369" s="636">
        <v>2.7</v>
      </c>
      <c r="DWP369" s="636">
        <v>2.72</v>
      </c>
      <c r="DWQ369" s="636">
        <v>2.72</v>
      </c>
      <c r="DWR369" s="636">
        <v>2.72</v>
      </c>
      <c r="DWS369" s="649">
        <v>2.72</v>
      </c>
      <c r="DWT369" s="16"/>
      <c r="DWU369" s="320">
        <v>2.69</v>
      </c>
      <c r="DWV369" s="153"/>
      <c r="DWW369" s="153"/>
      <c r="DWX369" s="153"/>
      <c r="DWY369" s="648"/>
      <c r="DWZ369" s="641"/>
      <c r="DXA369" s="631" t="s">
        <v>90</v>
      </c>
      <c r="DXB369" s="632"/>
      <c r="DXC369" s="16"/>
      <c r="DXD369" s="636">
        <v>2.7</v>
      </c>
      <c r="DXE369" s="636">
        <v>2.7</v>
      </c>
      <c r="DXF369" s="636">
        <v>2.72</v>
      </c>
      <c r="DXG369" s="636">
        <v>2.72</v>
      </c>
      <c r="DXH369" s="636">
        <v>2.72</v>
      </c>
      <c r="DXI369" s="649">
        <v>2.72</v>
      </c>
      <c r="DXJ369" s="16"/>
      <c r="DXK369" s="320">
        <v>2.69</v>
      </c>
      <c r="DXL369" s="153"/>
      <c r="DXM369" s="153"/>
      <c r="DXN369" s="153"/>
      <c r="DXO369" s="648"/>
      <c r="DXP369" s="641"/>
      <c r="DXQ369" s="631" t="s">
        <v>90</v>
      </c>
      <c r="DXR369" s="632"/>
      <c r="DXS369" s="16"/>
      <c r="DXT369" s="636">
        <v>2.7</v>
      </c>
      <c r="DXU369" s="636">
        <v>2.7</v>
      </c>
      <c r="DXV369" s="636">
        <v>2.72</v>
      </c>
      <c r="DXW369" s="636">
        <v>2.72</v>
      </c>
      <c r="DXX369" s="636">
        <v>2.72</v>
      </c>
      <c r="DXY369" s="649">
        <v>2.72</v>
      </c>
      <c r="DXZ369" s="16"/>
      <c r="DYA369" s="320">
        <v>2.69</v>
      </c>
      <c r="DYB369" s="153"/>
      <c r="DYC369" s="153"/>
      <c r="DYD369" s="153"/>
      <c r="DYE369" s="648"/>
      <c r="DYF369" s="641"/>
      <c r="DYG369" s="631" t="s">
        <v>90</v>
      </c>
      <c r="DYH369" s="632"/>
      <c r="DYI369" s="16"/>
      <c r="DYJ369" s="636">
        <v>2.7</v>
      </c>
      <c r="DYK369" s="636">
        <v>2.7</v>
      </c>
      <c r="DYL369" s="636">
        <v>2.72</v>
      </c>
      <c r="DYM369" s="636">
        <v>2.72</v>
      </c>
      <c r="DYN369" s="636">
        <v>2.72</v>
      </c>
      <c r="DYO369" s="649">
        <v>2.72</v>
      </c>
      <c r="DYP369" s="16"/>
      <c r="DYQ369" s="320">
        <v>2.69</v>
      </c>
      <c r="DYR369" s="153"/>
      <c r="DYS369" s="153"/>
      <c r="DYT369" s="153"/>
      <c r="DYU369" s="648"/>
      <c r="DYV369" s="641"/>
      <c r="DYW369" s="631" t="s">
        <v>90</v>
      </c>
      <c r="DYX369" s="632"/>
      <c r="DYY369" s="16"/>
      <c r="DYZ369" s="636">
        <v>2.7</v>
      </c>
      <c r="DZA369" s="636">
        <v>2.7</v>
      </c>
      <c r="DZB369" s="636">
        <v>2.72</v>
      </c>
      <c r="DZC369" s="636">
        <v>2.72</v>
      </c>
      <c r="DZD369" s="636">
        <v>2.72</v>
      </c>
      <c r="DZE369" s="649">
        <v>2.72</v>
      </c>
      <c r="DZF369" s="16"/>
      <c r="DZG369" s="320">
        <v>2.69</v>
      </c>
      <c r="DZH369" s="153"/>
      <c r="DZI369" s="153"/>
      <c r="DZJ369" s="153"/>
      <c r="DZK369" s="648"/>
      <c r="DZL369" s="641"/>
      <c r="DZM369" s="631" t="s">
        <v>90</v>
      </c>
      <c r="DZN369" s="632"/>
      <c r="DZO369" s="16"/>
      <c r="DZP369" s="636">
        <v>2.7</v>
      </c>
      <c r="DZQ369" s="636">
        <v>2.7</v>
      </c>
      <c r="DZR369" s="636">
        <v>2.72</v>
      </c>
      <c r="DZS369" s="636">
        <v>2.72</v>
      </c>
      <c r="DZT369" s="636">
        <v>2.72</v>
      </c>
      <c r="DZU369" s="649">
        <v>2.72</v>
      </c>
      <c r="DZV369" s="16"/>
      <c r="DZW369" s="320">
        <v>2.69</v>
      </c>
      <c r="DZX369" s="153"/>
      <c r="DZY369" s="153"/>
      <c r="DZZ369" s="153"/>
      <c r="EAA369" s="648"/>
      <c r="EAB369" s="641"/>
      <c r="EAC369" s="631" t="s">
        <v>90</v>
      </c>
      <c r="EAD369" s="632"/>
      <c r="EAE369" s="16"/>
      <c r="EAF369" s="636">
        <v>2.7</v>
      </c>
      <c r="EAG369" s="636">
        <v>2.7</v>
      </c>
      <c r="EAH369" s="636">
        <v>2.72</v>
      </c>
      <c r="EAI369" s="636">
        <v>2.72</v>
      </c>
      <c r="EAJ369" s="636">
        <v>2.72</v>
      </c>
      <c r="EAK369" s="649">
        <v>2.72</v>
      </c>
      <c r="EAL369" s="16"/>
      <c r="EAM369" s="320">
        <v>2.69</v>
      </c>
      <c r="EAN369" s="153"/>
      <c r="EAO369" s="153"/>
      <c r="EAP369" s="153"/>
      <c r="EAQ369" s="648"/>
      <c r="EAR369" s="641"/>
      <c r="EAS369" s="631" t="s">
        <v>90</v>
      </c>
      <c r="EAT369" s="632"/>
      <c r="EAU369" s="16"/>
      <c r="EAV369" s="636">
        <v>2.7</v>
      </c>
      <c r="EAW369" s="636">
        <v>2.7</v>
      </c>
      <c r="EAX369" s="636">
        <v>2.72</v>
      </c>
      <c r="EAY369" s="636">
        <v>2.72</v>
      </c>
      <c r="EAZ369" s="636">
        <v>2.72</v>
      </c>
      <c r="EBA369" s="649">
        <v>2.72</v>
      </c>
      <c r="EBB369" s="16"/>
      <c r="EBC369" s="320">
        <v>2.69</v>
      </c>
      <c r="EBD369" s="153"/>
      <c r="EBE369" s="153"/>
      <c r="EBF369" s="153"/>
      <c r="EBG369" s="648"/>
      <c r="EBH369" s="641"/>
      <c r="EBI369" s="631" t="s">
        <v>90</v>
      </c>
      <c r="EBJ369" s="632"/>
      <c r="EBK369" s="16"/>
      <c r="EBL369" s="636">
        <v>2.7</v>
      </c>
      <c r="EBM369" s="636">
        <v>2.7</v>
      </c>
      <c r="EBN369" s="636">
        <v>2.72</v>
      </c>
      <c r="EBO369" s="636">
        <v>2.72</v>
      </c>
      <c r="EBP369" s="636">
        <v>2.72</v>
      </c>
      <c r="EBQ369" s="649">
        <v>2.72</v>
      </c>
      <c r="EBR369" s="16"/>
      <c r="EBS369" s="320">
        <v>2.69</v>
      </c>
      <c r="EBT369" s="153"/>
      <c r="EBU369" s="153"/>
      <c r="EBV369" s="153"/>
      <c r="EBW369" s="648"/>
      <c r="EBX369" s="641"/>
      <c r="EBY369" s="631" t="s">
        <v>90</v>
      </c>
      <c r="EBZ369" s="632"/>
      <c r="ECA369" s="16"/>
      <c r="ECB369" s="636">
        <v>2.7</v>
      </c>
      <c r="ECC369" s="636">
        <v>2.7</v>
      </c>
      <c r="ECD369" s="636">
        <v>2.72</v>
      </c>
      <c r="ECE369" s="636">
        <v>2.72</v>
      </c>
      <c r="ECF369" s="636">
        <v>2.72</v>
      </c>
      <c r="ECG369" s="649">
        <v>2.72</v>
      </c>
      <c r="ECH369" s="16"/>
      <c r="ECI369" s="320">
        <v>2.69</v>
      </c>
      <c r="ECJ369" s="153"/>
      <c r="ECK369" s="153"/>
      <c r="ECL369" s="153"/>
      <c r="ECM369" s="648"/>
      <c r="ECN369" s="641"/>
      <c r="ECO369" s="631" t="s">
        <v>90</v>
      </c>
      <c r="ECP369" s="632"/>
      <c r="ECQ369" s="16"/>
      <c r="ECR369" s="636">
        <v>2.7</v>
      </c>
      <c r="ECS369" s="636">
        <v>2.7</v>
      </c>
      <c r="ECT369" s="636">
        <v>2.72</v>
      </c>
      <c r="ECU369" s="636">
        <v>2.72</v>
      </c>
      <c r="ECV369" s="636">
        <v>2.72</v>
      </c>
      <c r="ECW369" s="649">
        <v>2.72</v>
      </c>
      <c r="ECX369" s="16"/>
      <c r="ECY369" s="320">
        <v>2.69</v>
      </c>
      <c r="ECZ369" s="153"/>
      <c r="EDA369" s="153"/>
      <c r="EDB369" s="153"/>
      <c r="EDC369" s="648"/>
      <c r="EDD369" s="641"/>
      <c r="EDE369" s="631" t="s">
        <v>90</v>
      </c>
      <c r="EDF369" s="632"/>
      <c r="EDG369" s="16"/>
      <c r="EDH369" s="636">
        <v>2.7</v>
      </c>
      <c r="EDI369" s="636">
        <v>2.7</v>
      </c>
      <c r="EDJ369" s="636">
        <v>2.72</v>
      </c>
      <c r="EDK369" s="636">
        <v>2.72</v>
      </c>
      <c r="EDL369" s="636">
        <v>2.72</v>
      </c>
      <c r="EDM369" s="649">
        <v>2.72</v>
      </c>
      <c r="EDN369" s="16"/>
      <c r="EDO369" s="320">
        <v>2.69</v>
      </c>
      <c r="EDP369" s="153"/>
      <c r="EDQ369" s="153"/>
      <c r="EDR369" s="153"/>
      <c r="EDS369" s="648"/>
      <c r="EDT369" s="641"/>
      <c r="EDU369" s="631" t="s">
        <v>90</v>
      </c>
      <c r="EDV369" s="632"/>
      <c r="EDW369" s="16"/>
      <c r="EDX369" s="636">
        <v>2.7</v>
      </c>
      <c r="EDY369" s="636">
        <v>2.7</v>
      </c>
      <c r="EDZ369" s="636">
        <v>2.72</v>
      </c>
      <c r="EEA369" s="636">
        <v>2.72</v>
      </c>
      <c r="EEB369" s="636">
        <v>2.72</v>
      </c>
      <c r="EEC369" s="649">
        <v>2.72</v>
      </c>
      <c r="EED369" s="16"/>
      <c r="EEE369" s="320">
        <v>2.69</v>
      </c>
      <c r="EEF369" s="153"/>
      <c r="EEG369" s="153"/>
      <c r="EEH369" s="153"/>
      <c r="EEI369" s="648"/>
      <c r="EEJ369" s="641"/>
      <c r="EEK369" s="631" t="s">
        <v>90</v>
      </c>
      <c r="EEL369" s="632"/>
      <c r="EEM369" s="16"/>
      <c r="EEN369" s="636">
        <v>2.7</v>
      </c>
      <c r="EEO369" s="636">
        <v>2.7</v>
      </c>
      <c r="EEP369" s="636">
        <v>2.72</v>
      </c>
      <c r="EEQ369" s="636">
        <v>2.72</v>
      </c>
      <c r="EER369" s="636">
        <v>2.72</v>
      </c>
      <c r="EES369" s="649">
        <v>2.72</v>
      </c>
      <c r="EET369" s="16"/>
      <c r="EEU369" s="320">
        <v>2.69</v>
      </c>
      <c r="EEV369" s="153"/>
      <c r="EEW369" s="153"/>
      <c r="EEX369" s="153"/>
      <c r="EEY369" s="648"/>
      <c r="EEZ369" s="641"/>
      <c r="EFA369" s="631" t="s">
        <v>90</v>
      </c>
      <c r="EFB369" s="632"/>
      <c r="EFC369" s="16"/>
      <c r="EFD369" s="636">
        <v>2.7</v>
      </c>
      <c r="EFE369" s="636">
        <v>2.7</v>
      </c>
      <c r="EFF369" s="636">
        <v>2.72</v>
      </c>
      <c r="EFG369" s="636">
        <v>2.72</v>
      </c>
      <c r="EFH369" s="636">
        <v>2.72</v>
      </c>
      <c r="EFI369" s="649">
        <v>2.72</v>
      </c>
      <c r="EFJ369" s="16"/>
      <c r="EFK369" s="320">
        <v>2.69</v>
      </c>
      <c r="EFL369" s="153"/>
      <c r="EFM369" s="153"/>
      <c r="EFN369" s="153"/>
      <c r="EFO369" s="648"/>
      <c r="EFP369" s="641"/>
      <c r="EFQ369" s="631" t="s">
        <v>90</v>
      </c>
      <c r="EFR369" s="632"/>
      <c r="EFS369" s="16"/>
      <c r="EFT369" s="636">
        <v>2.7</v>
      </c>
      <c r="EFU369" s="636">
        <v>2.7</v>
      </c>
      <c r="EFV369" s="636">
        <v>2.72</v>
      </c>
      <c r="EFW369" s="636">
        <v>2.72</v>
      </c>
      <c r="EFX369" s="636">
        <v>2.72</v>
      </c>
      <c r="EFY369" s="649">
        <v>2.72</v>
      </c>
      <c r="EFZ369" s="16"/>
      <c r="EGA369" s="320">
        <v>2.69</v>
      </c>
      <c r="EGB369" s="153"/>
      <c r="EGC369" s="153"/>
      <c r="EGD369" s="153"/>
      <c r="EGE369" s="648"/>
      <c r="EGF369" s="641"/>
      <c r="EGG369" s="631" t="s">
        <v>90</v>
      </c>
      <c r="EGH369" s="632"/>
      <c r="EGI369" s="16"/>
      <c r="EGJ369" s="636">
        <v>2.7</v>
      </c>
      <c r="EGK369" s="636">
        <v>2.7</v>
      </c>
      <c r="EGL369" s="636">
        <v>2.72</v>
      </c>
      <c r="EGM369" s="636">
        <v>2.72</v>
      </c>
      <c r="EGN369" s="636">
        <v>2.72</v>
      </c>
      <c r="EGO369" s="649">
        <v>2.72</v>
      </c>
      <c r="EGP369" s="16"/>
      <c r="EGQ369" s="320">
        <v>2.69</v>
      </c>
      <c r="EGR369" s="153"/>
      <c r="EGS369" s="153"/>
      <c r="EGT369" s="153"/>
      <c r="EGU369" s="648"/>
      <c r="EGV369" s="641"/>
      <c r="EGW369" s="631" t="s">
        <v>90</v>
      </c>
      <c r="EGX369" s="632"/>
      <c r="EGY369" s="16"/>
      <c r="EGZ369" s="636">
        <v>2.7</v>
      </c>
      <c r="EHA369" s="636">
        <v>2.7</v>
      </c>
      <c r="EHB369" s="636">
        <v>2.72</v>
      </c>
      <c r="EHC369" s="636">
        <v>2.72</v>
      </c>
      <c r="EHD369" s="636">
        <v>2.72</v>
      </c>
      <c r="EHE369" s="649">
        <v>2.72</v>
      </c>
      <c r="EHF369" s="16"/>
      <c r="EHG369" s="320">
        <v>2.69</v>
      </c>
      <c r="EHH369" s="153"/>
      <c r="EHI369" s="153"/>
      <c r="EHJ369" s="153"/>
      <c r="EHK369" s="648"/>
      <c r="EHL369" s="641"/>
      <c r="EHM369" s="631" t="s">
        <v>90</v>
      </c>
      <c r="EHN369" s="632"/>
      <c r="EHO369" s="16"/>
      <c r="EHP369" s="636">
        <v>2.7</v>
      </c>
      <c r="EHQ369" s="636">
        <v>2.7</v>
      </c>
      <c r="EHR369" s="636">
        <v>2.72</v>
      </c>
      <c r="EHS369" s="636">
        <v>2.72</v>
      </c>
      <c r="EHT369" s="636">
        <v>2.72</v>
      </c>
      <c r="EHU369" s="649">
        <v>2.72</v>
      </c>
      <c r="EHV369" s="16"/>
      <c r="EHW369" s="320">
        <v>2.69</v>
      </c>
      <c r="EHX369" s="153"/>
      <c r="EHY369" s="153"/>
      <c r="EHZ369" s="153"/>
      <c r="EIA369" s="648"/>
      <c r="EIB369" s="641"/>
      <c r="EIC369" s="631" t="s">
        <v>90</v>
      </c>
      <c r="EID369" s="632"/>
      <c r="EIE369" s="16"/>
      <c r="EIF369" s="636">
        <v>2.7</v>
      </c>
      <c r="EIG369" s="636">
        <v>2.7</v>
      </c>
      <c r="EIH369" s="636">
        <v>2.72</v>
      </c>
      <c r="EII369" s="636">
        <v>2.72</v>
      </c>
      <c r="EIJ369" s="636">
        <v>2.72</v>
      </c>
      <c r="EIK369" s="649">
        <v>2.72</v>
      </c>
      <c r="EIL369" s="16"/>
      <c r="EIM369" s="320">
        <v>2.69</v>
      </c>
      <c r="EIN369" s="153"/>
      <c r="EIO369" s="153"/>
      <c r="EIP369" s="153"/>
      <c r="EIQ369" s="648"/>
      <c r="EIR369" s="641"/>
      <c r="EIS369" s="631" t="s">
        <v>90</v>
      </c>
      <c r="EIT369" s="632"/>
      <c r="EIU369" s="16"/>
      <c r="EIV369" s="636">
        <v>2.7</v>
      </c>
      <c r="EIW369" s="636">
        <v>2.7</v>
      </c>
      <c r="EIX369" s="636">
        <v>2.72</v>
      </c>
      <c r="EIY369" s="636">
        <v>2.72</v>
      </c>
      <c r="EIZ369" s="636">
        <v>2.72</v>
      </c>
      <c r="EJA369" s="649">
        <v>2.72</v>
      </c>
      <c r="EJB369" s="16"/>
      <c r="EJC369" s="320">
        <v>2.69</v>
      </c>
      <c r="EJD369" s="153"/>
      <c r="EJE369" s="153"/>
      <c r="EJF369" s="153"/>
      <c r="EJG369" s="648"/>
      <c r="EJH369" s="641"/>
      <c r="EJI369" s="631" t="s">
        <v>90</v>
      </c>
      <c r="EJJ369" s="632"/>
      <c r="EJK369" s="16"/>
      <c r="EJL369" s="636">
        <v>2.7</v>
      </c>
      <c r="EJM369" s="636">
        <v>2.7</v>
      </c>
      <c r="EJN369" s="636">
        <v>2.72</v>
      </c>
      <c r="EJO369" s="636">
        <v>2.72</v>
      </c>
      <c r="EJP369" s="636">
        <v>2.72</v>
      </c>
      <c r="EJQ369" s="649">
        <v>2.72</v>
      </c>
      <c r="EJR369" s="16"/>
      <c r="EJS369" s="320">
        <v>2.69</v>
      </c>
      <c r="EJT369" s="153"/>
      <c r="EJU369" s="153"/>
      <c r="EJV369" s="153"/>
      <c r="EJW369" s="648"/>
      <c r="EJX369" s="641"/>
      <c r="EJY369" s="631" t="s">
        <v>90</v>
      </c>
      <c r="EJZ369" s="632"/>
      <c r="EKA369" s="16"/>
      <c r="EKB369" s="636">
        <v>2.7</v>
      </c>
      <c r="EKC369" s="636">
        <v>2.7</v>
      </c>
      <c r="EKD369" s="636">
        <v>2.72</v>
      </c>
      <c r="EKE369" s="636">
        <v>2.72</v>
      </c>
      <c r="EKF369" s="636">
        <v>2.72</v>
      </c>
      <c r="EKG369" s="649">
        <v>2.72</v>
      </c>
      <c r="EKH369" s="16"/>
      <c r="EKI369" s="320">
        <v>2.69</v>
      </c>
      <c r="EKJ369" s="153"/>
      <c r="EKK369" s="153"/>
      <c r="EKL369" s="153"/>
      <c r="EKM369" s="648"/>
      <c r="EKN369" s="641"/>
      <c r="EKO369" s="631" t="s">
        <v>90</v>
      </c>
      <c r="EKP369" s="632"/>
      <c r="EKQ369" s="16"/>
      <c r="EKR369" s="636">
        <v>2.7</v>
      </c>
      <c r="EKS369" s="636">
        <v>2.7</v>
      </c>
      <c r="EKT369" s="636">
        <v>2.72</v>
      </c>
      <c r="EKU369" s="636">
        <v>2.72</v>
      </c>
      <c r="EKV369" s="636">
        <v>2.72</v>
      </c>
      <c r="EKW369" s="649">
        <v>2.72</v>
      </c>
      <c r="EKX369" s="16"/>
      <c r="EKY369" s="320">
        <v>2.69</v>
      </c>
      <c r="EKZ369" s="153"/>
      <c r="ELA369" s="153"/>
      <c r="ELB369" s="153"/>
      <c r="ELC369" s="648"/>
      <c r="ELD369" s="641"/>
      <c r="ELE369" s="631" t="s">
        <v>90</v>
      </c>
      <c r="ELF369" s="632"/>
      <c r="ELG369" s="16"/>
      <c r="ELH369" s="636">
        <v>2.7</v>
      </c>
      <c r="ELI369" s="636">
        <v>2.7</v>
      </c>
      <c r="ELJ369" s="636">
        <v>2.72</v>
      </c>
      <c r="ELK369" s="636">
        <v>2.72</v>
      </c>
      <c r="ELL369" s="636">
        <v>2.72</v>
      </c>
      <c r="ELM369" s="649">
        <v>2.72</v>
      </c>
      <c r="ELN369" s="16"/>
      <c r="ELO369" s="320">
        <v>2.69</v>
      </c>
      <c r="ELP369" s="153"/>
      <c r="ELQ369" s="153"/>
      <c r="ELR369" s="153"/>
      <c r="ELS369" s="648"/>
      <c r="ELT369" s="641"/>
      <c r="ELU369" s="631" t="s">
        <v>90</v>
      </c>
      <c r="ELV369" s="632"/>
      <c r="ELW369" s="16"/>
      <c r="ELX369" s="636">
        <v>2.7</v>
      </c>
      <c r="ELY369" s="636">
        <v>2.7</v>
      </c>
      <c r="ELZ369" s="636">
        <v>2.72</v>
      </c>
      <c r="EMA369" s="636">
        <v>2.72</v>
      </c>
      <c r="EMB369" s="636">
        <v>2.72</v>
      </c>
      <c r="EMC369" s="649">
        <v>2.72</v>
      </c>
      <c r="EMD369" s="16"/>
      <c r="EME369" s="320">
        <v>2.69</v>
      </c>
      <c r="EMF369" s="153"/>
      <c r="EMG369" s="153"/>
      <c r="EMH369" s="153"/>
      <c r="EMI369" s="648"/>
      <c r="EMJ369" s="641"/>
      <c r="EMK369" s="631" t="s">
        <v>90</v>
      </c>
      <c r="EML369" s="632"/>
      <c r="EMM369" s="16"/>
      <c r="EMN369" s="636">
        <v>2.7</v>
      </c>
      <c r="EMO369" s="636">
        <v>2.7</v>
      </c>
      <c r="EMP369" s="636">
        <v>2.72</v>
      </c>
      <c r="EMQ369" s="636">
        <v>2.72</v>
      </c>
      <c r="EMR369" s="636">
        <v>2.72</v>
      </c>
      <c r="EMS369" s="649">
        <v>2.72</v>
      </c>
      <c r="EMT369" s="16"/>
      <c r="EMU369" s="320">
        <v>2.69</v>
      </c>
      <c r="EMV369" s="153"/>
      <c r="EMW369" s="153"/>
      <c r="EMX369" s="153"/>
      <c r="EMY369" s="648"/>
      <c r="EMZ369" s="641"/>
      <c r="ENA369" s="631" t="s">
        <v>90</v>
      </c>
      <c r="ENB369" s="632"/>
      <c r="ENC369" s="16"/>
      <c r="END369" s="636">
        <v>2.7</v>
      </c>
      <c r="ENE369" s="636">
        <v>2.7</v>
      </c>
      <c r="ENF369" s="636">
        <v>2.72</v>
      </c>
      <c r="ENG369" s="636">
        <v>2.72</v>
      </c>
      <c r="ENH369" s="636">
        <v>2.72</v>
      </c>
      <c r="ENI369" s="649">
        <v>2.72</v>
      </c>
      <c r="ENJ369" s="16"/>
      <c r="ENK369" s="320">
        <v>2.69</v>
      </c>
      <c r="ENL369" s="153"/>
      <c r="ENM369" s="153"/>
      <c r="ENN369" s="153"/>
      <c r="ENO369" s="648"/>
      <c r="ENP369" s="641"/>
      <c r="ENQ369" s="631" t="s">
        <v>90</v>
      </c>
      <c r="ENR369" s="632"/>
      <c r="ENS369" s="16"/>
      <c r="ENT369" s="636">
        <v>2.7</v>
      </c>
      <c r="ENU369" s="636">
        <v>2.7</v>
      </c>
      <c r="ENV369" s="636">
        <v>2.72</v>
      </c>
      <c r="ENW369" s="636">
        <v>2.72</v>
      </c>
      <c r="ENX369" s="636">
        <v>2.72</v>
      </c>
      <c r="ENY369" s="649">
        <v>2.72</v>
      </c>
      <c r="ENZ369" s="16"/>
      <c r="EOA369" s="320">
        <v>2.69</v>
      </c>
      <c r="EOB369" s="153"/>
      <c r="EOC369" s="153"/>
      <c r="EOD369" s="153"/>
      <c r="EOE369" s="648"/>
      <c r="EOF369" s="641"/>
      <c r="EOG369" s="631" t="s">
        <v>90</v>
      </c>
      <c r="EOH369" s="632"/>
      <c r="EOI369" s="16"/>
      <c r="EOJ369" s="636">
        <v>2.7</v>
      </c>
      <c r="EOK369" s="636">
        <v>2.7</v>
      </c>
      <c r="EOL369" s="636">
        <v>2.72</v>
      </c>
      <c r="EOM369" s="636">
        <v>2.72</v>
      </c>
      <c r="EON369" s="636">
        <v>2.72</v>
      </c>
      <c r="EOO369" s="649">
        <v>2.72</v>
      </c>
      <c r="EOP369" s="16"/>
      <c r="EOQ369" s="320">
        <v>2.69</v>
      </c>
      <c r="EOR369" s="153"/>
      <c r="EOS369" s="153"/>
      <c r="EOT369" s="153"/>
      <c r="EOU369" s="648"/>
      <c r="EOV369" s="641"/>
      <c r="EOW369" s="631" t="s">
        <v>90</v>
      </c>
      <c r="EOX369" s="632"/>
      <c r="EOY369" s="16"/>
      <c r="EOZ369" s="636">
        <v>2.7</v>
      </c>
      <c r="EPA369" s="636">
        <v>2.7</v>
      </c>
      <c r="EPB369" s="636">
        <v>2.72</v>
      </c>
      <c r="EPC369" s="636">
        <v>2.72</v>
      </c>
      <c r="EPD369" s="636">
        <v>2.72</v>
      </c>
      <c r="EPE369" s="649">
        <v>2.72</v>
      </c>
      <c r="EPF369" s="16"/>
      <c r="EPG369" s="320">
        <v>2.69</v>
      </c>
      <c r="EPH369" s="153"/>
      <c r="EPI369" s="153"/>
      <c r="EPJ369" s="153"/>
      <c r="EPK369" s="648"/>
      <c r="EPL369" s="641"/>
      <c r="EPM369" s="631" t="s">
        <v>90</v>
      </c>
      <c r="EPN369" s="632"/>
      <c r="EPO369" s="16"/>
      <c r="EPP369" s="636">
        <v>2.7</v>
      </c>
      <c r="EPQ369" s="636">
        <v>2.7</v>
      </c>
      <c r="EPR369" s="636">
        <v>2.72</v>
      </c>
      <c r="EPS369" s="636">
        <v>2.72</v>
      </c>
      <c r="EPT369" s="636">
        <v>2.72</v>
      </c>
      <c r="EPU369" s="649">
        <v>2.72</v>
      </c>
      <c r="EPV369" s="16"/>
      <c r="EPW369" s="320">
        <v>2.69</v>
      </c>
      <c r="EPX369" s="153"/>
      <c r="EPY369" s="153"/>
      <c r="EPZ369" s="153"/>
      <c r="EQA369" s="648"/>
      <c r="EQB369" s="641"/>
      <c r="EQC369" s="631" t="s">
        <v>90</v>
      </c>
      <c r="EQD369" s="632"/>
      <c r="EQE369" s="16"/>
      <c r="EQF369" s="636">
        <v>2.7</v>
      </c>
      <c r="EQG369" s="636">
        <v>2.7</v>
      </c>
      <c r="EQH369" s="636">
        <v>2.72</v>
      </c>
      <c r="EQI369" s="636">
        <v>2.72</v>
      </c>
      <c r="EQJ369" s="636">
        <v>2.72</v>
      </c>
      <c r="EQK369" s="649">
        <v>2.72</v>
      </c>
      <c r="EQL369" s="16"/>
      <c r="EQM369" s="320">
        <v>2.69</v>
      </c>
      <c r="EQN369" s="153"/>
      <c r="EQO369" s="153"/>
      <c r="EQP369" s="153"/>
      <c r="EQQ369" s="648"/>
      <c r="EQR369" s="641"/>
      <c r="EQS369" s="631" t="s">
        <v>90</v>
      </c>
      <c r="EQT369" s="632"/>
      <c r="EQU369" s="16"/>
      <c r="EQV369" s="636">
        <v>2.7</v>
      </c>
      <c r="EQW369" s="636">
        <v>2.7</v>
      </c>
      <c r="EQX369" s="636">
        <v>2.72</v>
      </c>
      <c r="EQY369" s="636">
        <v>2.72</v>
      </c>
      <c r="EQZ369" s="636">
        <v>2.72</v>
      </c>
      <c r="ERA369" s="649">
        <v>2.72</v>
      </c>
      <c r="ERB369" s="16"/>
      <c r="ERC369" s="320">
        <v>2.69</v>
      </c>
      <c r="ERD369" s="153"/>
      <c r="ERE369" s="153"/>
      <c r="ERF369" s="153"/>
      <c r="ERG369" s="648"/>
      <c r="ERH369" s="641"/>
      <c r="ERI369" s="631" t="s">
        <v>90</v>
      </c>
      <c r="ERJ369" s="632"/>
      <c r="ERK369" s="16"/>
      <c r="ERL369" s="636">
        <v>2.7</v>
      </c>
      <c r="ERM369" s="636">
        <v>2.7</v>
      </c>
      <c r="ERN369" s="636">
        <v>2.72</v>
      </c>
      <c r="ERO369" s="636">
        <v>2.72</v>
      </c>
      <c r="ERP369" s="636">
        <v>2.72</v>
      </c>
      <c r="ERQ369" s="649">
        <v>2.72</v>
      </c>
      <c r="ERR369" s="16"/>
      <c r="ERS369" s="320">
        <v>2.69</v>
      </c>
      <c r="ERT369" s="153"/>
      <c r="ERU369" s="153"/>
      <c r="ERV369" s="153"/>
      <c r="ERW369" s="648"/>
      <c r="ERX369" s="641"/>
      <c r="ERY369" s="631" t="s">
        <v>90</v>
      </c>
      <c r="ERZ369" s="632"/>
      <c r="ESA369" s="16"/>
      <c r="ESB369" s="636">
        <v>2.7</v>
      </c>
      <c r="ESC369" s="636">
        <v>2.7</v>
      </c>
      <c r="ESD369" s="636">
        <v>2.72</v>
      </c>
      <c r="ESE369" s="636">
        <v>2.72</v>
      </c>
      <c r="ESF369" s="636">
        <v>2.72</v>
      </c>
      <c r="ESG369" s="649">
        <v>2.72</v>
      </c>
      <c r="ESH369" s="16"/>
      <c r="ESI369" s="320">
        <v>2.69</v>
      </c>
      <c r="ESJ369" s="153"/>
      <c r="ESK369" s="153"/>
      <c r="ESL369" s="153"/>
      <c r="ESM369" s="648"/>
      <c r="ESN369" s="641"/>
      <c r="ESO369" s="631" t="s">
        <v>90</v>
      </c>
      <c r="ESP369" s="632"/>
      <c r="ESQ369" s="16"/>
      <c r="ESR369" s="636">
        <v>2.7</v>
      </c>
      <c r="ESS369" s="636">
        <v>2.7</v>
      </c>
      <c r="EST369" s="636">
        <v>2.72</v>
      </c>
      <c r="ESU369" s="636">
        <v>2.72</v>
      </c>
      <c r="ESV369" s="636">
        <v>2.72</v>
      </c>
      <c r="ESW369" s="649">
        <v>2.72</v>
      </c>
      <c r="ESX369" s="16"/>
      <c r="ESY369" s="320">
        <v>2.69</v>
      </c>
      <c r="ESZ369" s="153"/>
      <c r="ETA369" s="153"/>
      <c r="ETB369" s="153"/>
      <c r="ETC369" s="648"/>
      <c r="ETD369" s="641"/>
      <c r="ETE369" s="631" t="s">
        <v>90</v>
      </c>
      <c r="ETF369" s="632"/>
      <c r="ETG369" s="16"/>
      <c r="ETH369" s="636">
        <v>2.7</v>
      </c>
      <c r="ETI369" s="636">
        <v>2.7</v>
      </c>
      <c r="ETJ369" s="636">
        <v>2.72</v>
      </c>
      <c r="ETK369" s="636">
        <v>2.72</v>
      </c>
      <c r="ETL369" s="636">
        <v>2.72</v>
      </c>
      <c r="ETM369" s="649">
        <v>2.72</v>
      </c>
      <c r="ETN369" s="16"/>
      <c r="ETO369" s="320">
        <v>2.69</v>
      </c>
      <c r="ETP369" s="153"/>
      <c r="ETQ369" s="153"/>
      <c r="ETR369" s="153"/>
      <c r="ETS369" s="648"/>
      <c r="ETT369" s="641"/>
      <c r="ETU369" s="631" t="s">
        <v>90</v>
      </c>
      <c r="ETV369" s="632"/>
      <c r="ETW369" s="16"/>
      <c r="ETX369" s="636">
        <v>2.7</v>
      </c>
      <c r="ETY369" s="636">
        <v>2.7</v>
      </c>
      <c r="ETZ369" s="636">
        <v>2.72</v>
      </c>
      <c r="EUA369" s="636">
        <v>2.72</v>
      </c>
      <c r="EUB369" s="636">
        <v>2.72</v>
      </c>
      <c r="EUC369" s="649">
        <v>2.72</v>
      </c>
      <c r="EUD369" s="16"/>
      <c r="EUE369" s="320">
        <v>2.69</v>
      </c>
      <c r="EUF369" s="153"/>
      <c r="EUG369" s="153"/>
      <c r="EUH369" s="153"/>
      <c r="EUI369" s="648"/>
      <c r="EUJ369" s="641"/>
      <c r="EUK369" s="631" t="s">
        <v>90</v>
      </c>
      <c r="EUL369" s="632"/>
      <c r="EUM369" s="16"/>
      <c r="EUN369" s="636">
        <v>2.7</v>
      </c>
      <c r="EUO369" s="636">
        <v>2.7</v>
      </c>
      <c r="EUP369" s="636">
        <v>2.72</v>
      </c>
      <c r="EUQ369" s="636">
        <v>2.72</v>
      </c>
      <c r="EUR369" s="636">
        <v>2.72</v>
      </c>
      <c r="EUS369" s="649">
        <v>2.72</v>
      </c>
      <c r="EUT369" s="16"/>
      <c r="EUU369" s="320">
        <v>2.69</v>
      </c>
      <c r="EUV369" s="153"/>
      <c r="EUW369" s="153"/>
      <c r="EUX369" s="153"/>
      <c r="EUY369" s="648"/>
      <c r="EUZ369" s="641"/>
      <c r="EVA369" s="631" t="s">
        <v>90</v>
      </c>
      <c r="EVB369" s="632"/>
      <c r="EVC369" s="16"/>
      <c r="EVD369" s="636">
        <v>2.7</v>
      </c>
      <c r="EVE369" s="636">
        <v>2.7</v>
      </c>
      <c r="EVF369" s="636">
        <v>2.72</v>
      </c>
      <c r="EVG369" s="636">
        <v>2.72</v>
      </c>
      <c r="EVH369" s="636">
        <v>2.72</v>
      </c>
      <c r="EVI369" s="649">
        <v>2.72</v>
      </c>
      <c r="EVJ369" s="16"/>
      <c r="EVK369" s="320">
        <v>2.69</v>
      </c>
      <c r="EVL369" s="153"/>
      <c r="EVM369" s="153"/>
      <c r="EVN369" s="153"/>
      <c r="EVO369" s="648"/>
      <c r="EVP369" s="641"/>
      <c r="EVQ369" s="631" t="s">
        <v>90</v>
      </c>
      <c r="EVR369" s="632"/>
      <c r="EVS369" s="16"/>
      <c r="EVT369" s="636">
        <v>2.7</v>
      </c>
      <c r="EVU369" s="636">
        <v>2.7</v>
      </c>
      <c r="EVV369" s="636">
        <v>2.72</v>
      </c>
      <c r="EVW369" s="636">
        <v>2.72</v>
      </c>
      <c r="EVX369" s="636">
        <v>2.72</v>
      </c>
      <c r="EVY369" s="649">
        <v>2.72</v>
      </c>
      <c r="EVZ369" s="16"/>
      <c r="EWA369" s="320">
        <v>2.69</v>
      </c>
      <c r="EWB369" s="153"/>
      <c r="EWC369" s="153"/>
      <c r="EWD369" s="153"/>
      <c r="EWE369" s="648"/>
      <c r="EWF369" s="641"/>
      <c r="EWG369" s="631" t="s">
        <v>90</v>
      </c>
      <c r="EWH369" s="632"/>
      <c r="EWI369" s="16"/>
      <c r="EWJ369" s="636">
        <v>2.7</v>
      </c>
      <c r="EWK369" s="636">
        <v>2.7</v>
      </c>
      <c r="EWL369" s="636">
        <v>2.72</v>
      </c>
      <c r="EWM369" s="636">
        <v>2.72</v>
      </c>
      <c r="EWN369" s="636">
        <v>2.72</v>
      </c>
      <c r="EWO369" s="649">
        <v>2.72</v>
      </c>
      <c r="EWP369" s="16"/>
      <c r="EWQ369" s="320">
        <v>2.69</v>
      </c>
      <c r="EWR369" s="153"/>
      <c r="EWS369" s="153"/>
      <c r="EWT369" s="153"/>
      <c r="EWU369" s="648"/>
      <c r="EWV369" s="641"/>
      <c r="EWW369" s="631" t="s">
        <v>90</v>
      </c>
      <c r="EWX369" s="632"/>
      <c r="EWY369" s="16"/>
      <c r="EWZ369" s="636">
        <v>2.7</v>
      </c>
      <c r="EXA369" s="636">
        <v>2.7</v>
      </c>
      <c r="EXB369" s="636">
        <v>2.72</v>
      </c>
      <c r="EXC369" s="636">
        <v>2.72</v>
      </c>
      <c r="EXD369" s="636">
        <v>2.72</v>
      </c>
      <c r="EXE369" s="649">
        <v>2.72</v>
      </c>
      <c r="EXF369" s="16"/>
      <c r="EXG369" s="320">
        <v>2.69</v>
      </c>
      <c r="EXH369" s="153"/>
      <c r="EXI369" s="153"/>
      <c r="EXJ369" s="153"/>
      <c r="EXK369" s="648"/>
      <c r="EXL369" s="641"/>
      <c r="EXM369" s="631" t="s">
        <v>90</v>
      </c>
      <c r="EXN369" s="632"/>
      <c r="EXO369" s="16"/>
      <c r="EXP369" s="636">
        <v>2.7</v>
      </c>
      <c r="EXQ369" s="636">
        <v>2.7</v>
      </c>
      <c r="EXR369" s="636">
        <v>2.72</v>
      </c>
      <c r="EXS369" s="636">
        <v>2.72</v>
      </c>
      <c r="EXT369" s="636">
        <v>2.72</v>
      </c>
      <c r="EXU369" s="649">
        <v>2.72</v>
      </c>
      <c r="EXV369" s="16"/>
      <c r="EXW369" s="320">
        <v>2.69</v>
      </c>
      <c r="EXX369" s="153"/>
      <c r="EXY369" s="153"/>
      <c r="EXZ369" s="153"/>
      <c r="EYA369" s="648"/>
      <c r="EYB369" s="641"/>
      <c r="EYC369" s="631" t="s">
        <v>90</v>
      </c>
      <c r="EYD369" s="632"/>
      <c r="EYE369" s="16"/>
      <c r="EYF369" s="636">
        <v>2.7</v>
      </c>
      <c r="EYG369" s="636">
        <v>2.7</v>
      </c>
      <c r="EYH369" s="636">
        <v>2.72</v>
      </c>
      <c r="EYI369" s="636">
        <v>2.72</v>
      </c>
      <c r="EYJ369" s="636">
        <v>2.72</v>
      </c>
      <c r="EYK369" s="649">
        <v>2.72</v>
      </c>
      <c r="EYL369" s="16"/>
      <c r="EYM369" s="320">
        <v>2.69</v>
      </c>
      <c r="EYN369" s="153"/>
      <c r="EYO369" s="153"/>
      <c r="EYP369" s="153"/>
      <c r="EYQ369" s="648"/>
      <c r="EYR369" s="641"/>
      <c r="EYS369" s="631" t="s">
        <v>90</v>
      </c>
      <c r="EYT369" s="632"/>
      <c r="EYU369" s="16"/>
      <c r="EYV369" s="636">
        <v>2.7</v>
      </c>
      <c r="EYW369" s="636">
        <v>2.7</v>
      </c>
      <c r="EYX369" s="636">
        <v>2.72</v>
      </c>
      <c r="EYY369" s="636">
        <v>2.72</v>
      </c>
      <c r="EYZ369" s="636">
        <v>2.72</v>
      </c>
      <c r="EZA369" s="649">
        <v>2.72</v>
      </c>
      <c r="EZB369" s="16"/>
      <c r="EZC369" s="320">
        <v>2.69</v>
      </c>
      <c r="EZD369" s="153"/>
      <c r="EZE369" s="153"/>
      <c r="EZF369" s="153"/>
      <c r="EZG369" s="648"/>
      <c r="EZH369" s="641"/>
      <c r="EZI369" s="631" t="s">
        <v>90</v>
      </c>
      <c r="EZJ369" s="632"/>
      <c r="EZK369" s="16"/>
      <c r="EZL369" s="636">
        <v>2.7</v>
      </c>
      <c r="EZM369" s="636">
        <v>2.7</v>
      </c>
      <c r="EZN369" s="636">
        <v>2.72</v>
      </c>
      <c r="EZO369" s="636">
        <v>2.72</v>
      </c>
      <c r="EZP369" s="636">
        <v>2.72</v>
      </c>
      <c r="EZQ369" s="649">
        <v>2.72</v>
      </c>
      <c r="EZR369" s="16"/>
      <c r="EZS369" s="320">
        <v>2.69</v>
      </c>
      <c r="EZT369" s="153"/>
      <c r="EZU369" s="153"/>
      <c r="EZV369" s="153"/>
      <c r="EZW369" s="648"/>
      <c r="EZX369" s="641"/>
      <c r="EZY369" s="631" t="s">
        <v>90</v>
      </c>
      <c r="EZZ369" s="632"/>
      <c r="FAA369" s="16"/>
      <c r="FAB369" s="636">
        <v>2.7</v>
      </c>
      <c r="FAC369" s="636">
        <v>2.7</v>
      </c>
      <c r="FAD369" s="636">
        <v>2.72</v>
      </c>
      <c r="FAE369" s="636">
        <v>2.72</v>
      </c>
      <c r="FAF369" s="636">
        <v>2.72</v>
      </c>
      <c r="FAG369" s="649">
        <v>2.72</v>
      </c>
      <c r="FAH369" s="16"/>
      <c r="FAI369" s="320">
        <v>2.69</v>
      </c>
      <c r="FAJ369" s="153"/>
      <c r="FAK369" s="153"/>
      <c r="FAL369" s="153"/>
      <c r="FAM369" s="648"/>
      <c r="FAN369" s="641"/>
      <c r="FAO369" s="631" t="s">
        <v>90</v>
      </c>
      <c r="FAP369" s="632"/>
      <c r="FAQ369" s="16"/>
      <c r="FAR369" s="636">
        <v>2.7</v>
      </c>
      <c r="FAS369" s="636">
        <v>2.7</v>
      </c>
      <c r="FAT369" s="636">
        <v>2.72</v>
      </c>
      <c r="FAU369" s="636">
        <v>2.72</v>
      </c>
      <c r="FAV369" s="636">
        <v>2.72</v>
      </c>
      <c r="FAW369" s="649">
        <v>2.72</v>
      </c>
      <c r="FAX369" s="16"/>
      <c r="FAY369" s="320">
        <v>2.69</v>
      </c>
      <c r="FAZ369" s="153"/>
      <c r="FBA369" s="153"/>
      <c r="FBB369" s="153"/>
      <c r="FBC369" s="648"/>
      <c r="FBD369" s="641"/>
      <c r="FBE369" s="631" t="s">
        <v>90</v>
      </c>
      <c r="FBF369" s="632"/>
      <c r="FBG369" s="16"/>
      <c r="FBH369" s="636">
        <v>2.7</v>
      </c>
      <c r="FBI369" s="636">
        <v>2.7</v>
      </c>
      <c r="FBJ369" s="636">
        <v>2.72</v>
      </c>
      <c r="FBK369" s="636">
        <v>2.72</v>
      </c>
      <c r="FBL369" s="636">
        <v>2.72</v>
      </c>
      <c r="FBM369" s="649">
        <v>2.72</v>
      </c>
      <c r="FBN369" s="16"/>
      <c r="FBO369" s="320">
        <v>2.69</v>
      </c>
      <c r="FBP369" s="153"/>
      <c r="FBQ369" s="153"/>
      <c r="FBR369" s="153"/>
      <c r="FBS369" s="648"/>
      <c r="FBT369" s="641"/>
      <c r="FBU369" s="631" t="s">
        <v>90</v>
      </c>
      <c r="FBV369" s="632"/>
      <c r="FBW369" s="16"/>
      <c r="FBX369" s="636">
        <v>2.7</v>
      </c>
      <c r="FBY369" s="636">
        <v>2.7</v>
      </c>
      <c r="FBZ369" s="636">
        <v>2.72</v>
      </c>
      <c r="FCA369" s="636">
        <v>2.72</v>
      </c>
      <c r="FCB369" s="636">
        <v>2.72</v>
      </c>
      <c r="FCC369" s="649">
        <v>2.72</v>
      </c>
      <c r="FCD369" s="16"/>
      <c r="FCE369" s="320">
        <v>2.69</v>
      </c>
      <c r="FCF369" s="153"/>
      <c r="FCG369" s="153"/>
      <c r="FCH369" s="153"/>
      <c r="FCI369" s="648"/>
      <c r="FCJ369" s="641"/>
      <c r="FCK369" s="631" t="s">
        <v>90</v>
      </c>
      <c r="FCL369" s="632"/>
      <c r="FCM369" s="16"/>
      <c r="FCN369" s="636">
        <v>2.7</v>
      </c>
      <c r="FCO369" s="636">
        <v>2.7</v>
      </c>
      <c r="FCP369" s="636">
        <v>2.72</v>
      </c>
      <c r="FCQ369" s="636">
        <v>2.72</v>
      </c>
      <c r="FCR369" s="636">
        <v>2.72</v>
      </c>
      <c r="FCS369" s="649">
        <v>2.72</v>
      </c>
      <c r="FCT369" s="16"/>
      <c r="FCU369" s="320">
        <v>2.69</v>
      </c>
      <c r="FCV369" s="153"/>
      <c r="FCW369" s="153"/>
      <c r="FCX369" s="153"/>
      <c r="FCY369" s="648"/>
      <c r="FCZ369" s="641"/>
      <c r="FDA369" s="631" t="s">
        <v>90</v>
      </c>
      <c r="FDB369" s="632"/>
      <c r="FDC369" s="16"/>
      <c r="FDD369" s="636">
        <v>2.7</v>
      </c>
      <c r="FDE369" s="636">
        <v>2.7</v>
      </c>
      <c r="FDF369" s="636">
        <v>2.72</v>
      </c>
      <c r="FDG369" s="636">
        <v>2.72</v>
      </c>
      <c r="FDH369" s="636">
        <v>2.72</v>
      </c>
      <c r="FDI369" s="649">
        <v>2.72</v>
      </c>
      <c r="FDJ369" s="16"/>
      <c r="FDK369" s="320">
        <v>2.69</v>
      </c>
      <c r="FDL369" s="153"/>
      <c r="FDM369" s="153"/>
      <c r="FDN369" s="153"/>
      <c r="FDO369" s="648"/>
      <c r="FDP369" s="641"/>
      <c r="FDQ369" s="631" t="s">
        <v>90</v>
      </c>
      <c r="FDR369" s="632"/>
      <c r="FDS369" s="16"/>
      <c r="FDT369" s="636">
        <v>2.7</v>
      </c>
      <c r="FDU369" s="636">
        <v>2.7</v>
      </c>
      <c r="FDV369" s="636">
        <v>2.72</v>
      </c>
      <c r="FDW369" s="636">
        <v>2.72</v>
      </c>
      <c r="FDX369" s="636">
        <v>2.72</v>
      </c>
      <c r="FDY369" s="649">
        <v>2.72</v>
      </c>
      <c r="FDZ369" s="16"/>
      <c r="FEA369" s="320">
        <v>2.69</v>
      </c>
      <c r="FEB369" s="153"/>
      <c r="FEC369" s="153"/>
      <c r="FED369" s="153"/>
      <c r="FEE369" s="648"/>
      <c r="FEF369" s="641"/>
      <c r="FEG369" s="631" t="s">
        <v>90</v>
      </c>
      <c r="FEH369" s="632"/>
      <c r="FEI369" s="16"/>
      <c r="FEJ369" s="636">
        <v>2.7</v>
      </c>
      <c r="FEK369" s="636">
        <v>2.7</v>
      </c>
      <c r="FEL369" s="636">
        <v>2.72</v>
      </c>
      <c r="FEM369" s="636">
        <v>2.72</v>
      </c>
      <c r="FEN369" s="636">
        <v>2.72</v>
      </c>
      <c r="FEO369" s="649">
        <v>2.72</v>
      </c>
      <c r="FEP369" s="16"/>
      <c r="FEQ369" s="320">
        <v>2.69</v>
      </c>
      <c r="FER369" s="153"/>
      <c r="FES369" s="153"/>
      <c r="FET369" s="153"/>
      <c r="FEU369" s="648"/>
      <c r="FEV369" s="641"/>
      <c r="FEW369" s="631" t="s">
        <v>90</v>
      </c>
      <c r="FEX369" s="632"/>
      <c r="FEY369" s="16"/>
      <c r="FEZ369" s="636">
        <v>2.7</v>
      </c>
      <c r="FFA369" s="636">
        <v>2.7</v>
      </c>
      <c r="FFB369" s="636">
        <v>2.72</v>
      </c>
      <c r="FFC369" s="636">
        <v>2.72</v>
      </c>
      <c r="FFD369" s="636">
        <v>2.72</v>
      </c>
      <c r="FFE369" s="649">
        <v>2.72</v>
      </c>
      <c r="FFF369" s="16"/>
      <c r="FFG369" s="320">
        <v>2.69</v>
      </c>
      <c r="FFH369" s="153"/>
      <c r="FFI369" s="153"/>
      <c r="FFJ369" s="153"/>
      <c r="FFK369" s="648"/>
      <c r="FFL369" s="641"/>
      <c r="FFM369" s="631" t="s">
        <v>90</v>
      </c>
      <c r="FFN369" s="632"/>
      <c r="FFO369" s="16"/>
      <c r="FFP369" s="636">
        <v>2.7</v>
      </c>
      <c r="FFQ369" s="636">
        <v>2.7</v>
      </c>
      <c r="FFR369" s="636">
        <v>2.72</v>
      </c>
      <c r="FFS369" s="636">
        <v>2.72</v>
      </c>
      <c r="FFT369" s="636">
        <v>2.72</v>
      </c>
      <c r="FFU369" s="649">
        <v>2.72</v>
      </c>
      <c r="FFV369" s="16"/>
      <c r="FFW369" s="320">
        <v>2.69</v>
      </c>
      <c r="FFX369" s="153"/>
      <c r="FFY369" s="153"/>
      <c r="FFZ369" s="153"/>
      <c r="FGA369" s="648"/>
      <c r="FGB369" s="641"/>
      <c r="FGC369" s="631" t="s">
        <v>90</v>
      </c>
      <c r="FGD369" s="632"/>
      <c r="FGE369" s="16"/>
      <c r="FGF369" s="636">
        <v>2.7</v>
      </c>
      <c r="FGG369" s="636">
        <v>2.7</v>
      </c>
      <c r="FGH369" s="636">
        <v>2.72</v>
      </c>
      <c r="FGI369" s="636">
        <v>2.72</v>
      </c>
      <c r="FGJ369" s="636">
        <v>2.72</v>
      </c>
      <c r="FGK369" s="649">
        <v>2.72</v>
      </c>
      <c r="FGL369" s="16"/>
      <c r="FGM369" s="320">
        <v>2.69</v>
      </c>
      <c r="FGN369" s="153"/>
      <c r="FGO369" s="153"/>
      <c r="FGP369" s="153"/>
      <c r="FGQ369" s="648"/>
      <c r="FGR369" s="641"/>
      <c r="FGS369" s="631" t="s">
        <v>90</v>
      </c>
      <c r="FGT369" s="632"/>
      <c r="FGU369" s="16"/>
      <c r="FGV369" s="636">
        <v>2.7</v>
      </c>
      <c r="FGW369" s="636">
        <v>2.7</v>
      </c>
      <c r="FGX369" s="636">
        <v>2.72</v>
      </c>
      <c r="FGY369" s="636">
        <v>2.72</v>
      </c>
      <c r="FGZ369" s="636">
        <v>2.72</v>
      </c>
      <c r="FHA369" s="649">
        <v>2.72</v>
      </c>
      <c r="FHB369" s="16"/>
      <c r="FHC369" s="320">
        <v>2.69</v>
      </c>
      <c r="FHD369" s="153"/>
      <c r="FHE369" s="153"/>
      <c r="FHF369" s="153"/>
      <c r="FHG369" s="648"/>
      <c r="FHH369" s="641"/>
      <c r="FHI369" s="631" t="s">
        <v>90</v>
      </c>
      <c r="FHJ369" s="632"/>
      <c r="FHK369" s="16"/>
      <c r="FHL369" s="636">
        <v>2.7</v>
      </c>
      <c r="FHM369" s="636">
        <v>2.7</v>
      </c>
      <c r="FHN369" s="636">
        <v>2.72</v>
      </c>
      <c r="FHO369" s="636">
        <v>2.72</v>
      </c>
      <c r="FHP369" s="636">
        <v>2.72</v>
      </c>
      <c r="FHQ369" s="649">
        <v>2.72</v>
      </c>
      <c r="FHR369" s="16"/>
      <c r="FHS369" s="320">
        <v>2.69</v>
      </c>
      <c r="FHT369" s="153"/>
      <c r="FHU369" s="153"/>
      <c r="FHV369" s="153"/>
      <c r="FHW369" s="648"/>
      <c r="FHX369" s="641"/>
      <c r="FHY369" s="631" t="s">
        <v>90</v>
      </c>
      <c r="FHZ369" s="632"/>
      <c r="FIA369" s="16"/>
      <c r="FIB369" s="636">
        <v>2.7</v>
      </c>
      <c r="FIC369" s="636">
        <v>2.7</v>
      </c>
      <c r="FID369" s="636">
        <v>2.72</v>
      </c>
      <c r="FIE369" s="636">
        <v>2.72</v>
      </c>
      <c r="FIF369" s="636">
        <v>2.72</v>
      </c>
      <c r="FIG369" s="649">
        <v>2.72</v>
      </c>
      <c r="FIH369" s="16"/>
      <c r="FII369" s="320">
        <v>2.69</v>
      </c>
      <c r="FIJ369" s="153"/>
      <c r="FIK369" s="153"/>
      <c r="FIL369" s="153"/>
      <c r="FIM369" s="648"/>
      <c r="FIN369" s="641"/>
      <c r="FIO369" s="631" t="s">
        <v>90</v>
      </c>
      <c r="FIP369" s="632"/>
      <c r="FIQ369" s="16"/>
      <c r="FIR369" s="636">
        <v>2.7</v>
      </c>
      <c r="FIS369" s="636">
        <v>2.7</v>
      </c>
      <c r="FIT369" s="636">
        <v>2.72</v>
      </c>
      <c r="FIU369" s="636">
        <v>2.72</v>
      </c>
      <c r="FIV369" s="636">
        <v>2.72</v>
      </c>
      <c r="FIW369" s="649">
        <v>2.72</v>
      </c>
      <c r="FIX369" s="16"/>
      <c r="FIY369" s="320">
        <v>2.69</v>
      </c>
      <c r="FIZ369" s="153"/>
      <c r="FJA369" s="153"/>
      <c r="FJB369" s="153"/>
      <c r="FJC369" s="648"/>
      <c r="FJD369" s="641"/>
      <c r="FJE369" s="631" t="s">
        <v>90</v>
      </c>
      <c r="FJF369" s="632"/>
      <c r="FJG369" s="16"/>
      <c r="FJH369" s="636">
        <v>2.7</v>
      </c>
      <c r="FJI369" s="636">
        <v>2.7</v>
      </c>
      <c r="FJJ369" s="636">
        <v>2.72</v>
      </c>
      <c r="FJK369" s="636">
        <v>2.72</v>
      </c>
      <c r="FJL369" s="636">
        <v>2.72</v>
      </c>
      <c r="FJM369" s="649">
        <v>2.72</v>
      </c>
      <c r="FJN369" s="16"/>
      <c r="FJO369" s="320">
        <v>2.69</v>
      </c>
      <c r="FJP369" s="153"/>
      <c r="FJQ369" s="153"/>
      <c r="FJR369" s="153"/>
      <c r="FJS369" s="648"/>
      <c r="FJT369" s="641"/>
      <c r="FJU369" s="631" t="s">
        <v>90</v>
      </c>
      <c r="FJV369" s="632"/>
      <c r="FJW369" s="16"/>
      <c r="FJX369" s="636">
        <v>2.7</v>
      </c>
      <c r="FJY369" s="636">
        <v>2.7</v>
      </c>
      <c r="FJZ369" s="636">
        <v>2.72</v>
      </c>
      <c r="FKA369" s="636">
        <v>2.72</v>
      </c>
      <c r="FKB369" s="636">
        <v>2.72</v>
      </c>
      <c r="FKC369" s="649">
        <v>2.72</v>
      </c>
      <c r="FKD369" s="16"/>
      <c r="FKE369" s="320">
        <v>2.69</v>
      </c>
      <c r="FKF369" s="153"/>
      <c r="FKG369" s="153"/>
      <c r="FKH369" s="153"/>
      <c r="FKI369" s="648"/>
      <c r="FKJ369" s="641"/>
      <c r="FKK369" s="631" t="s">
        <v>90</v>
      </c>
      <c r="FKL369" s="632"/>
      <c r="FKM369" s="16"/>
      <c r="FKN369" s="636">
        <v>2.7</v>
      </c>
      <c r="FKO369" s="636">
        <v>2.7</v>
      </c>
      <c r="FKP369" s="636">
        <v>2.72</v>
      </c>
      <c r="FKQ369" s="636">
        <v>2.72</v>
      </c>
      <c r="FKR369" s="636">
        <v>2.72</v>
      </c>
      <c r="FKS369" s="649">
        <v>2.72</v>
      </c>
      <c r="FKT369" s="16"/>
      <c r="FKU369" s="320">
        <v>2.69</v>
      </c>
      <c r="FKV369" s="153"/>
      <c r="FKW369" s="153"/>
      <c r="FKX369" s="153"/>
      <c r="FKY369" s="648"/>
      <c r="FKZ369" s="641"/>
      <c r="FLA369" s="631" t="s">
        <v>90</v>
      </c>
      <c r="FLB369" s="632"/>
      <c r="FLC369" s="16"/>
      <c r="FLD369" s="636">
        <v>2.7</v>
      </c>
      <c r="FLE369" s="636">
        <v>2.7</v>
      </c>
      <c r="FLF369" s="636">
        <v>2.72</v>
      </c>
      <c r="FLG369" s="636">
        <v>2.72</v>
      </c>
      <c r="FLH369" s="636">
        <v>2.72</v>
      </c>
      <c r="FLI369" s="649">
        <v>2.72</v>
      </c>
      <c r="FLJ369" s="16"/>
      <c r="FLK369" s="320">
        <v>2.69</v>
      </c>
      <c r="FLL369" s="153"/>
      <c r="FLM369" s="153"/>
      <c r="FLN369" s="153"/>
      <c r="FLO369" s="648"/>
      <c r="FLP369" s="641"/>
      <c r="FLQ369" s="631" t="s">
        <v>90</v>
      </c>
      <c r="FLR369" s="632"/>
      <c r="FLS369" s="16"/>
      <c r="FLT369" s="636">
        <v>2.7</v>
      </c>
      <c r="FLU369" s="636">
        <v>2.7</v>
      </c>
      <c r="FLV369" s="636">
        <v>2.72</v>
      </c>
      <c r="FLW369" s="636">
        <v>2.72</v>
      </c>
      <c r="FLX369" s="636">
        <v>2.72</v>
      </c>
      <c r="FLY369" s="649">
        <v>2.72</v>
      </c>
      <c r="FLZ369" s="16"/>
      <c r="FMA369" s="320">
        <v>2.69</v>
      </c>
      <c r="FMB369" s="153"/>
      <c r="FMC369" s="153"/>
      <c r="FMD369" s="153"/>
      <c r="FME369" s="648"/>
      <c r="FMF369" s="641"/>
      <c r="FMG369" s="631" t="s">
        <v>90</v>
      </c>
      <c r="FMH369" s="632"/>
      <c r="FMI369" s="16"/>
      <c r="FMJ369" s="636">
        <v>2.7</v>
      </c>
      <c r="FMK369" s="636">
        <v>2.7</v>
      </c>
      <c r="FML369" s="636">
        <v>2.72</v>
      </c>
      <c r="FMM369" s="636">
        <v>2.72</v>
      </c>
      <c r="FMN369" s="636">
        <v>2.72</v>
      </c>
      <c r="FMO369" s="649">
        <v>2.72</v>
      </c>
      <c r="FMP369" s="16"/>
      <c r="FMQ369" s="320">
        <v>2.69</v>
      </c>
      <c r="FMR369" s="153"/>
      <c r="FMS369" s="153"/>
      <c r="FMT369" s="153"/>
      <c r="FMU369" s="648"/>
      <c r="FMV369" s="641"/>
      <c r="FMW369" s="631" t="s">
        <v>90</v>
      </c>
      <c r="FMX369" s="632"/>
      <c r="FMY369" s="16"/>
      <c r="FMZ369" s="636">
        <v>2.7</v>
      </c>
      <c r="FNA369" s="636">
        <v>2.7</v>
      </c>
      <c r="FNB369" s="636">
        <v>2.72</v>
      </c>
      <c r="FNC369" s="636">
        <v>2.72</v>
      </c>
      <c r="FND369" s="636">
        <v>2.72</v>
      </c>
      <c r="FNE369" s="649">
        <v>2.72</v>
      </c>
      <c r="FNF369" s="16"/>
      <c r="FNG369" s="320">
        <v>2.69</v>
      </c>
      <c r="FNH369" s="153"/>
      <c r="FNI369" s="153"/>
      <c r="FNJ369" s="153"/>
      <c r="FNK369" s="648"/>
      <c r="FNL369" s="641"/>
      <c r="FNM369" s="631" t="s">
        <v>90</v>
      </c>
      <c r="FNN369" s="632"/>
      <c r="FNO369" s="16"/>
      <c r="FNP369" s="636">
        <v>2.7</v>
      </c>
      <c r="FNQ369" s="636">
        <v>2.7</v>
      </c>
      <c r="FNR369" s="636">
        <v>2.72</v>
      </c>
      <c r="FNS369" s="636">
        <v>2.72</v>
      </c>
      <c r="FNT369" s="636">
        <v>2.72</v>
      </c>
      <c r="FNU369" s="649">
        <v>2.72</v>
      </c>
      <c r="FNV369" s="16"/>
      <c r="FNW369" s="320">
        <v>2.69</v>
      </c>
      <c r="FNX369" s="153"/>
      <c r="FNY369" s="153"/>
      <c r="FNZ369" s="153"/>
      <c r="FOA369" s="648"/>
      <c r="FOB369" s="641"/>
      <c r="FOC369" s="631" t="s">
        <v>90</v>
      </c>
      <c r="FOD369" s="632"/>
      <c r="FOE369" s="16"/>
      <c r="FOF369" s="636">
        <v>2.7</v>
      </c>
      <c r="FOG369" s="636">
        <v>2.7</v>
      </c>
      <c r="FOH369" s="636">
        <v>2.72</v>
      </c>
      <c r="FOI369" s="636">
        <v>2.72</v>
      </c>
      <c r="FOJ369" s="636">
        <v>2.72</v>
      </c>
      <c r="FOK369" s="649">
        <v>2.72</v>
      </c>
      <c r="FOL369" s="16"/>
      <c r="FOM369" s="320">
        <v>2.69</v>
      </c>
      <c r="FON369" s="153"/>
      <c r="FOO369" s="153"/>
      <c r="FOP369" s="153"/>
      <c r="FOQ369" s="648"/>
      <c r="FOR369" s="641"/>
      <c r="FOS369" s="631" t="s">
        <v>90</v>
      </c>
      <c r="FOT369" s="632"/>
      <c r="FOU369" s="16"/>
      <c r="FOV369" s="636">
        <v>2.7</v>
      </c>
      <c r="FOW369" s="636">
        <v>2.7</v>
      </c>
      <c r="FOX369" s="636">
        <v>2.72</v>
      </c>
      <c r="FOY369" s="636">
        <v>2.72</v>
      </c>
      <c r="FOZ369" s="636">
        <v>2.72</v>
      </c>
      <c r="FPA369" s="649">
        <v>2.72</v>
      </c>
      <c r="FPB369" s="16"/>
      <c r="FPC369" s="320">
        <v>2.69</v>
      </c>
      <c r="FPD369" s="153"/>
      <c r="FPE369" s="153"/>
      <c r="FPF369" s="153"/>
      <c r="FPG369" s="648"/>
      <c r="FPH369" s="641"/>
      <c r="FPI369" s="631" t="s">
        <v>90</v>
      </c>
      <c r="FPJ369" s="632"/>
      <c r="FPK369" s="16"/>
      <c r="FPL369" s="636">
        <v>2.7</v>
      </c>
      <c r="FPM369" s="636">
        <v>2.7</v>
      </c>
      <c r="FPN369" s="636">
        <v>2.72</v>
      </c>
      <c r="FPO369" s="636">
        <v>2.72</v>
      </c>
      <c r="FPP369" s="636">
        <v>2.72</v>
      </c>
      <c r="FPQ369" s="649">
        <v>2.72</v>
      </c>
      <c r="FPR369" s="16"/>
      <c r="FPS369" s="320">
        <v>2.69</v>
      </c>
      <c r="FPT369" s="153"/>
      <c r="FPU369" s="153"/>
      <c r="FPV369" s="153"/>
      <c r="FPW369" s="648"/>
      <c r="FPX369" s="641"/>
      <c r="FPY369" s="631" t="s">
        <v>90</v>
      </c>
      <c r="FPZ369" s="632"/>
      <c r="FQA369" s="16"/>
      <c r="FQB369" s="636">
        <v>2.7</v>
      </c>
      <c r="FQC369" s="636">
        <v>2.7</v>
      </c>
      <c r="FQD369" s="636">
        <v>2.72</v>
      </c>
      <c r="FQE369" s="636">
        <v>2.72</v>
      </c>
      <c r="FQF369" s="636">
        <v>2.72</v>
      </c>
      <c r="FQG369" s="649">
        <v>2.72</v>
      </c>
      <c r="FQH369" s="16"/>
      <c r="FQI369" s="320">
        <v>2.69</v>
      </c>
      <c r="FQJ369" s="153"/>
      <c r="FQK369" s="153"/>
      <c r="FQL369" s="153"/>
      <c r="FQM369" s="648"/>
      <c r="FQN369" s="641"/>
      <c r="FQO369" s="631" t="s">
        <v>90</v>
      </c>
      <c r="FQP369" s="632"/>
      <c r="FQQ369" s="16"/>
      <c r="FQR369" s="636">
        <v>2.7</v>
      </c>
      <c r="FQS369" s="636">
        <v>2.7</v>
      </c>
      <c r="FQT369" s="636">
        <v>2.72</v>
      </c>
      <c r="FQU369" s="636">
        <v>2.72</v>
      </c>
      <c r="FQV369" s="636">
        <v>2.72</v>
      </c>
      <c r="FQW369" s="649">
        <v>2.72</v>
      </c>
      <c r="FQX369" s="16"/>
      <c r="FQY369" s="320">
        <v>2.69</v>
      </c>
      <c r="FQZ369" s="153"/>
      <c r="FRA369" s="153"/>
      <c r="FRB369" s="153"/>
      <c r="FRC369" s="648"/>
      <c r="FRD369" s="641"/>
      <c r="FRE369" s="631" t="s">
        <v>90</v>
      </c>
      <c r="FRF369" s="632"/>
      <c r="FRG369" s="16"/>
      <c r="FRH369" s="636">
        <v>2.7</v>
      </c>
      <c r="FRI369" s="636">
        <v>2.7</v>
      </c>
      <c r="FRJ369" s="636">
        <v>2.72</v>
      </c>
      <c r="FRK369" s="636">
        <v>2.72</v>
      </c>
      <c r="FRL369" s="636">
        <v>2.72</v>
      </c>
      <c r="FRM369" s="649">
        <v>2.72</v>
      </c>
      <c r="FRN369" s="16"/>
      <c r="FRO369" s="320">
        <v>2.69</v>
      </c>
      <c r="FRP369" s="153"/>
      <c r="FRQ369" s="153"/>
      <c r="FRR369" s="153"/>
      <c r="FRS369" s="648"/>
      <c r="FRT369" s="641"/>
      <c r="FRU369" s="631" t="s">
        <v>90</v>
      </c>
      <c r="FRV369" s="632"/>
      <c r="FRW369" s="16"/>
      <c r="FRX369" s="636">
        <v>2.7</v>
      </c>
      <c r="FRY369" s="636">
        <v>2.7</v>
      </c>
      <c r="FRZ369" s="636">
        <v>2.72</v>
      </c>
      <c r="FSA369" s="636">
        <v>2.72</v>
      </c>
      <c r="FSB369" s="636">
        <v>2.72</v>
      </c>
      <c r="FSC369" s="649">
        <v>2.72</v>
      </c>
      <c r="FSD369" s="16"/>
      <c r="FSE369" s="320">
        <v>2.69</v>
      </c>
      <c r="FSF369" s="153"/>
      <c r="FSG369" s="153"/>
      <c r="FSH369" s="153"/>
      <c r="FSI369" s="648"/>
      <c r="FSJ369" s="641"/>
      <c r="FSK369" s="631" t="s">
        <v>90</v>
      </c>
      <c r="FSL369" s="632"/>
      <c r="FSM369" s="16"/>
      <c r="FSN369" s="636">
        <v>2.7</v>
      </c>
      <c r="FSO369" s="636">
        <v>2.7</v>
      </c>
      <c r="FSP369" s="636">
        <v>2.72</v>
      </c>
      <c r="FSQ369" s="636">
        <v>2.72</v>
      </c>
      <c r="FSR369" s="636">
        <v>2.72</v>
      </c>
      <c r="FSS369" s="649">
        <v>2.72</v>
      </c>
      <c r="FST369" s="16"/>
      <c r="FSU369" s="320">
        <v>2.69</v>
      </c>
      <c r="FSV369" s="153"/>
      <c r="FSW369" s="153"/>
      <c r="FSX369" s="153"/>
      <c r="FSY369" s="648"/>
      <c r="FSZ369" s="641"/>
      <c r="FTA369" s="631" t="s">
        <v>90</v>
      </c>
      <c r="FTB369" s="632"/>
      <c r="FTC369" s="16"/>
      <c r="FTD369" s="636">
        <v>2.7</v>
      </c>
      <c r="FTE369" s="636">
        <v>2.7</v>
      </c>
      <c r="FTF369" s="636">
        <v>2.72</v>
      </c>
      <c r="FTG369" s="636">
        <v>2.72</v>
      </c>
      <c r="FTH369" s="636">
        <v>2.72</v>
      </c>
      <c r="FTI369" s="649">
        <v>2.72</v>
      </c>
      <c r="FTJ369" s="16"/>
      <c r="FTK369" s="320">
        <v>2.69</v>
      </c>
      <c r="FTL369" s="153"/>
      <c r="FTM369" s="153"/>
      <c r="FTN369" s="153"/>
      <c r="FTO369" s="648"/>
      <c r="FTP369" s="641"/>
      <c r="FTQ369" s="631" t="s">
        <v>90</v>
      </c>
      <c r="FTR369" s="632"/>
      <c r="FTS369" s="16"/>
      <c r="FTT369" s="636">
        <v>2.7</v>
      </c>
      <c r="FTU369" s="636">
        <v>2.7</v>
      </c>
      <c r="FTV369" s="636">
        <v>2.72</v>
      </c>
      <c r="FTW369" s="636">
        <v>2.72</v>
      </c>
      <c r="FTX369" s="636">
        <v>2.72</v>
      </c>
      <c r="FTY369" s="649">
        <v>2.72</v>
      </c>
      <c r="FTZ369" s="16"/>
      <c r="FUA369" s="320">
        <v>2.69</v>
      </c>
      <c r="FUB369" s="153"/>
      <c r="FUC369" s="153"/>
      <c r="FUD369" s="153"/>
      <c r="FUE369" s="648"/>
      <c r="FUF369" s="641"/>
      <c r="FUG369" s="631" t="s">
        <v>90</v>
      </c>
      <c r="FUH369" s="632"/>
      <c r="FUI369" s="16"/>
      <c r="FUJ369" s="636">
        <v>2.7</v>
      </c>
      <c r="FUK369" s="636">
        <v>2.7</v>
      </c>
      <c r="FUL369" s="636">
        <v>2.72</v>
      </c>
      <c r="FUM369" s="636">
        <v>2.72</v>
      </c>
      <c r="FUN369" s="636">
        <v>2.72</v>
      </c>
      <c r="FUO369" s="649">
        <v>2.72</v>
      </c>
      <c r="FUP369" s="16"/>
      <c r="FUQ369" s="320">
        <v>2.69</v>
      </c>
      <c r="FUR369" s="153"/>
      <c r="FUS369" s="153"/>
      <c r="FUT369" s="153"/>
      <c r="FUU369" s="648"/>
      <c r="FUV369" s="641"/>
      <c r="FUW369" s="631" t="s">
        <v>90</v>
      </c>
      <c r="FUX369" s="632"/>
      <c r="FUY369" s="16"/>
      <c r="FUZ369" s="636">
        <v>2.7</v>
      </c>
      <c r="FVA369" s="636">
        <v>2.7</v>
      </c>
      <c r="FVB369" s="636">
        <v>2.72</v>
      </c>
      <c r="FVC369" s="636">
        <v>2.72</v>
      </c>
      <c r="FVD369" s="636">
        <v>2.72</v>
      </c>
      <c r="FVE369" s="649">
        <v>2.72</v>
      </c>
      <c r="FVF369" s="16"/>
      <c r="FVG369" s="320">
        <v>2.69</v>
      </c>
      <c r="FVH369" s="153"/>
      <c r="FVI369" s="153"/>
      <c r="FVJ369" s="153"/>
      <c r="FVK369" s="648"/>
      <c r="FVL369" s="641"/>
      <c r="FVM369" s="631" t="s">
        <v>90</v>
      </c>
      <c r="FVN369" s="632"/>
      <c r="FVO369" s="16"/>
      <c r="FVP369" s="636">
        <v>2.7</v>
      </c>
      <c r="FVQ369" s="636">
        <v>2.7</v>
      </c>
      <c r="FVR369" s="636">
        <v>2.72</v>
      </c>
      <c r="FVS369" s="636">
        <v>2.72</v>
      </c>
      <c r="FVT369" s="636">
        <v>2.72</v>
      </c>
      <c r="FVU369" s="649">
        <v>2.72</v>
      </c>
      <c r="FVV369" s="16"/>
      <c r="FVW369" s="320">
        <v>2.69</v>
      </c>
      <c r="FVX369" s="153"/>
      <c r="FVY369" s="153"/>
      <c r="FVZ369" s="153"/>
      <c r="FWA369" s="648"/>
      <c r="FWB369" s="641"/>
      <c r="FWC369" s="631" t="s">
        <v>90</v>
      </c>
      <c r="FWD369" s="632"/>
      <c r="FWE369" s="16"/>
      <c r="FWF369" s="636">
        <v>2.7</v>
      </c>
      <c r="FWG369" s="636">
        <v>2.7</v>
      </c>
      <c r="FWH369" s="636">
        <v>2.72</v>
      </c>
      <c r="FWI369" s="636">
        <v>2.72</v>
      </c>
      <c r="FWJ369" s="636">
        <v>2.72</v>
      </c>
      <c r="FWK369" s="649">
        <v>2.72</v>
      </c>
      <c r="FWL369" s="16"/>
      <c r="FWM369" s="320">
        <v>2.69</v>
      </c>
      <c r="FWN369" s="153"/>
      <c r="FWO369" s="153"/>
      <c r="FWP369" s="153"/>
      <c r="FWQ369" s="648"/>
      <c r="FWR369" s="641"/>
      <c r="FWS369" s="631" t="s">
        <v>90</v>
      </c>
      <c r="FWT369" s="632"/>
      <c r="FWU369" s="16"/>
      <c r="FWV369" s="636">
        <v>2.7</v>
      </c>
      <c r="FWW369" s="636">
        <v>2.7</v>
      </c>
      <c r="FWX369" s="636">
        <v>2.72</v>
      </c>
      <c r="FWY369" s="636">
        <v>2.72</v>
      </c>
      <c r="FWZ369" s="636">
        <v>2.72</v>
      </c>
      <c r="FXA369" s="649">
        <v>2.72</v>
      </c>
      <c r="FXB369" s="16"/>
      <c r="FXC369" s="320">
        <v>2.69</v>
      </c>
      <c r="FXD369" s="153"/>
      <c r="FXE369" s="153"/>
      <c r="FXF369" s="153"/>
      <c r="FXG369" s="648"/>
      <c r="FXH369" s="641"/>
      <c r="FXI369" s="631" t="s">
        <v>90</v>
      </c>
      <c r="FXJ369" s="632"/>
      <c r="FXK369" s="16"/>
      <c r="FXL369" s="636">
        <v>2.7</v>
      </c>
      <c r="FXM369" s="636">
        <v>2.7</v>
      </c>
      <c r="FXN369" s="636">
        <v>2.72</v>
      </c>
      <c r="FXO369" s="636">
        <v>2.72</v>
      </c>
      <c r="FXP369" s="636">
        <v>2.72</v>
      </c>
      <c r="FXQ369" s="649">
        <v>2.72</v>
      </c>
      <c r="FXR369" s="16"/>
      <c r="FXS369" s="320">
        <v>2.69</v>
      </c>
      <c r="FXT369" s="153"/>
      <c r="FXU369" s="153"/>
      <c r="FXV369" s="153"/>
      <c r="FXW369" s="648"/>
      <c r="FXX369" s="641"/>
      <c r="FXY369" s="631" t="s">
        <v>90</v>
      </c>
      <c r="FXZ369" s="632"/>
      <c r="FYA369" s="16"/>
      <c r="FYB369" s="636">
        <v>2.7</v>
      </c>
      <c r="FYC369" s="636">
        <v>2.7</v>
      </c>
      <c r="FYD369" s="636">
        <v>2.72</v>
      </c>
      <c r="FYE369" s="636">
        <v>2.72</v>
      </c>
      <c r="FYF369" s="636">
        <v>2.72</v>
      </c>
      <c r="FYG369" s="649">
        <v>2.72</v>
      </c>
      <c r="FYH369" s="16"/>
      <c r="FYI369" s="320">
        <v>2.69</v>
      </c>
      <c r="FYJ369" s="153"/>
      <c r="FYK369" s="153"/>
      <c r="FYL369" s="153"/>
      <c r="FYM369" s="648"/>
      <c r="FYN369" s="641"/>
      <c r="FYO369" s="631" t="s">
        <v>90</v>
      </c>
      <c r="FYP369" s="632"/>
      <c r="FYQ369" s="16"/>
      <c r="FYR369" s="636">
        <v>2.7</v>
      </c>
      <c r="FYS369" s="636">
        <v>2.7</v>
      </c>
      <c r="FYT369" s="636">
        <v>2.72</v>
      </c>
      <c r="FYU369" s="636">
        <v>2.72</v>
      </c>
      <c r="FYV369" s="636">
        <v>2.72</v>
      </c>
      <c r="FYW369" s="649">
        <v>2.72</v>
      </c>
      <c r="FYX369" s="16"/>
      <c r="FYY369" s="320">
        <v>2.69</v>
      </c>
      <c r="FYZ369" s="153"/>
      <c r="FZA369" s="153"/>
      <c r="FZB369" s="153"/>
      <c r="FZC369" s="648"/>
      <c r="FZD369" s="641"/>
      <c r="FZE369" s="631" t="s">
        <v>90</v>
      </c>
      <c r="FZF369" s="632"/>
      <c r="FZG369" s="16"/>
      <c r="FZH369" s="636">
        <v>2.7</v>
      </c>
      <c r="FZI369" s="636">
        <v>2.7</v>
      </c>
      <c r="FZJ369" s="636">
        <v>2.72</v>
      </c>
      <c r="FZK369" s="636">
        <v>2.72</v>
      </c>
      <c r="FZL369" s="636">
        <v>2.72</v>
      </c>
      <c r="FZM369" s="649">
        <v>2.72</v>
      </c>
      <c r="FZN369" s="16"/>
      <c r="FZO369" s="320">
        <v>2.69</v>
      </c>
      <c r="FZP369" s="153"/>
      <c r="FZQ369" s="153"/>
      <c r="FZR369" s="153"/>
      <c r="FZS369" s="648"/>
      <c r="FZT369" s="641"/>
      <c r="FZU369" s="631" t="s">
        <v>90</v>
      </c>
      <c r="FZV369" s="632"/>
      <c r="FZW369" s="16"/>
      <c r="FZX369" s="636">
        <v>2.7</v>
      </c>
      <c r="FZY369" s="636">
        <v>2.7</v>
      </c>
      <c r="FZZ369" s="636">
        <v>2.72</v>
      </c>
      <c r="GAA369" s="636">
        <v>2.72</v>
      </c>
      <c r="GAB369" s="636">
        <v>2.72</v>
      </c>
      <c r="GAC369" s="649">
        <v>2.72</v>
      </c>
      <c r="GAD369" s="16"/>
      <c r="GAE369" s="320">
        <v>2.69</v>
      </c>
      <c r="GAF369" s="153"/>
      <c r="GAG369" s="153"/>
      <c r="GAH369" s="153"/>
      <c r="GAI369" s="648"/>
      <c r="GAJ369" s="641"/>
      <c r="GAK369" s="631" t="s">
        <v>90</v>
      </c>
      <c r="GAL369" s="632"/>
      <c r="GAM369" s="16"/>
      <c r="GAN369" s="636">
        <v>2.7</v>
      </c>
      <c r="GAO369" s="636">
        <v>2.7</v>
      </c>
      <c r="GAP369" s="636">
        <v>2.72</v>
      </c>
      <c r="GAQ369" s="636">
        <v>2.72</v>
      </c>
      <c r="GAR369" s="636">
        <v>2.72</v>
      </c>
      <c r="GAS369" s="649">
        <v>2.72</v>
      </c>
      <c r="GAT369" s="16"/>
      <c r="GAU369" s="320">
        <v>2.69</v>
      </c>
      <c r="GAV369" s="153"/>
      <c r="GAW369" s="153"/>
      <c r="GAX369" s="153"/>
      <c r="GAY369" s="648"/>
      <c r="GAZ369" s="641"/>
      <c r="GBA369" s="631" t="s">
        <v>90</v>
      </c>
      <c r="GBB369" s="632"/>
      <c r="GBC369" s="16"/>
      <c r="GBD369" s="636">
        <v>2.7</v>
      </c>
      <c r="GBE369" s="636">
        <v>2.7</v>
      </c>
      <c r="GBF369" s="636">
        <v>2.72</v>
      </c>
      <c r="GBG369" s="636">
        <v>2.72</v>
      </c>
      <c r="GBH369" s="636">
        <v>2.72</v>
      </c>
      <c r="GBI369" s="649">
        <v>2.72</v>
      </c>
      <c r="GBJ369" s="16"/>
      <c r="GBK369" s="320">
        <v>2.69</v>
      </c>
      <c r="GBL369" s="153"/>
      <c r="GBM369" s="153"/>
      <c r="GBN369" s="153"/>
      <c r="GBO369" s="648"/>
      <c r="GBP369" s="641"/>
      <c r="GBQ369" s="631" t="s">
        <v>90</v>
      </c>
      <c r="GBR369" s="632"/>
      <c r="GBS369" s="16"/>
      <c r="GBT369" s="636">
        <v>2.7</v>
      </c>
      <c r="GBU369" s="636">
        <v>2.7</v>
      </c>
      <c r="GBV369" s="636">
        <v>2.72</v>
      </c>
      <c r="GBW369" s="636">
        <v>2.72</v>
      </c>
      <c r="GBX369" s="636">
        <v>2.72</v>
      </c>
      <c r="GBY369" s="649">
        <v>2.72</v>
      </c>
      <c r="GBZ369" s="16"/>
      <c r="GCA369" s="320">
        <v>2.69</v>
      </c>
      <c r="GCB369" s="153"/>
      <c r="GCC369" s="153"/>
      <c r="GCD369" s="153"/>
      <c r="GCE369" s="648"/>
      <c r="GCF369" s="641"/>
      <c r="GCG369" s="631" t="s">
        <v>90</v>
      </c>
      <c r="GCH369" s="632"/>
      <c r="GCI369" s="16"/>
      <c r="GCJ369" s="636">
        <v>2.7</v>
      </c>
      <c r="GCK369" s="636">
        <v>2.7</v>
      </c>
      <c r="GCL369" s="636">
        <v>2.72</v>
      </c>
      <c r="GCM369" s="636">
        <v>2.72</v>
      </c>
      <c r="GCN369" s="636">
        <v>2.72</v>
      </c>
      <c r="GCO369" s="649">
        <v>2.72</v>
      </c>
      <c r="GCP369" s="16"/>
      <c r="GCQ369" s="320">
        <v>2.69</v>
      </c>
      <c r="GCR369" s="153"/>
      <c r="GCS369" s="153"/>
      <c r="GCT369" s="153"/>
      <c r="GCU369" s="648"/>
      <c r="GCV369" s="641"/>
      <c r="GCW369" s="631" t="s">
        <v>90</v>
      </c>
      <c r="GCX369" s="632"/>
      <c r="GCY369" s="16"/>
      <c r="GCZ369" s="636">
        <v>2.7</v>
      </c>
      <c r="GDA369" s="636">
        <v>2.7</v>
      </c>
      <c r="GDB369" s="636">
        <v>2.72</v>
      </c>
      <c r="GDC369" s="636">
        <v>2.72</v>
      </c>
      <c r="GDD369" s="636">
        <v>2.72</v>
      </c>
      <c r="GDE369" s="649">
        <v>2.72</v>
      </c>
      <c r="GDF369" s="16"/>
      <c r="GDG369" s="320">
        <v>2.69</v>
      </c>
      <c r="GDH369" s="153"/>
      <c r="GDI369" s="153"/>
      <c r="GDJ369" s="153"/>
      <c r="GDK369" s="648"/>
      <c r="GDL369" s="641"/>
      <c r="GDM369" s="631" t="s">
        <v>90</v>
      </c>
      <c r="GDN369" s="632"/>
      <c r="GDO369" s="16"/>
      <c r="GDP369" s="636">
        <v>2.7</v>
      </c>
      <c r="GDQ369" s="636">
        <v>2.7</v>
      </c>
      <c r="GDR369" s="636">
        <v>2.72</v>
      </c>
      <c r="GDS369" s="636">
        <v>2.72</v>
      </c>
      <c r="GDT369" s="636">
        <v>2.72</v>
      </c>
      <c r="GDU369" s="649">
        <v>2.72</v>
      </c>
      <c r="GDV369" s="16"/>
      <c r="GDW369" s="320">
        <v>2.69</v>
      </c>
      <c r="GDX369" s="153"/>
      <c r="GDY369" s="153"/>
      <c r="GDZ369" s="153"/>
      <c r="GEA369" s="648"/>
      <c r="GEB369" s="641"/>
      <c r="GEC369" s="631" t="s">
        <v>90</v>
      </c>
      <c r="GED369" s="632"/>
      <c r="GEE369" s="16"/>
      <c r="GEF369" s="636">
        <v>2.7</v>
      </c>
      <c r="GEG369" s="636">
        <v>2.7</v>
      </c>
      <c r="GEH369" s="636">
        <v>2.72</v>
      </c>
      <c r="GEI369" s="636">
        <v>2.72</v>
      </c>
      <c r="GEJ369" s="636">
        <v>2.72</v>
      </c>
      <c r="GEK369" s="649">
        <v>2.72</v>
      </c>
      <c r="GEL369" s="16"/>
      <c r="GEM369" s="320">
        <v>2.69</v>
      </c>
      <c r="GEN369" s="153"/>
      <c r="GEO369" s="153"/>
      <c r="GEP369" s="153"/>
      <c r="GEQ369" s="648"/>
      <c r="GER369" s="641"/>
      <c r="GES369" s="631" t="s">
        <v>90</v>
      </c>
      <c r="GET369" s="632"/>
      <c r="GEU369" s="16"/>
      <c r="GEV369" s="636">
        <v>2.7</v>
      </c>
      <c r="GEW369" s="636">
        <v>2.7</v>
      </c>
      <c r="GEX369" s="636">
        <v>2.72</v>
      </c>
      <c r="GEY369" s="636">
        <v>2.72</v>
      </c>
      <c r="GEZ369" s="636">
        <v>2.72</v>
      </c>
      <c r="GFA369" s="649">
        <v>2.72</v>
      </c>
      <c r="GFB369" s="16"/>
      <c r="GFC369" s="320">
        <v>2.69</v>
      </c>
      <c r="GFD369" s="153"/>
      <c r="GFE369" s="153"/>
      <c r="GFF369" s="153"/>
      <c r="GFG369" s="648"/>
      <c r="GFH369" s="641"/>
      <c r="GFI369" s="631" t="s">
        <v>90</v>
      </c>
      <c r="GFJ369" s="632"/>
      <c r="GFK369" s="16"/>
      <c r="GFL369" s="636">
        <v>2.7</v>
      </c>
      <c r="GFM369" s="636">
        <v>2.7</v>
      </c>
      <c r="GFN369" s="636">
        <v>2.72</v>
      </c>
      <c r="GFO369" s="636">
        <v>2.72</v>
      </c>
      <c r="GFP369" s="636">
        <v>2.72</v>
      </c>
      <c r="GFQ369" s="649">
        <v>2.72</v>
      </c>
      <c r="GFR369" s="16"/>
      <c r="GFS369" s="320">
        <v>2.69</v>
      </c>
      <c r="GFT369" s="153"/>
      <c r="GFU369" s="153"/>
      <c r="GFV369" s="153"/>
      <c r="GFW369" s="648"/>
      <c r="GFX369" s="641"/>
      <c r="GFY369" s="631" t="s">
        <v>90</v>
      </c>
      <c r="GFZ369" s="632"/>
      <c r="GGA369" s="16"/>
      <c r="GGB369" s="636">
        <v>2.7</v>
      </c>
      <c r="GGC369" s="636">
        <v>2.7</v>
      </c>
      <c r="GGD369" s="636">
        <v>2.72</v>
      </c>
      <c r="GGE369" s="636">
        <v>2.72</v>
      </c>
      <c r="GGF369" s="636">
        <v>2.72</v>
      </c>
      <c r="GGG369" s="649">
        <v>2.72</v>
      </c>
      <c r="GGH369" s="16"/>
      <c r="GGI369" s="320">
        <v>2.69</v>
      </c>
      <c r="GGJ369" s="153"/>
      <c r="GGK369" s="153"/>
      <c r="GGL369" s="153"/>
      <c r="GGM369" s="648"/>
      <c r="GGN369" s="641"/>
      <c r="GGO369" s="631" t="s">
        <v>90</v>
      </c>
      <c r="GGP369" s="632"/>
      <c r="GGQ369" s="16"/>
      <c r="GGR369" s="636">
        <v>2.7</v>
      </c>
      <c r="GGS369" s="636">
        <v>2.7</v>
      </c>
      <c r="GGT369" s="636">
        <v>2.72</v>
      </c>
      <c r="GGU369" s="636">
        <v>2.72</v>
      </c>
      <c r="GGV369" s="636">
        <v>2.72</v>
      </c>
      <c r="GGW369" s="649">
        <v>2.72</v>
      </c>
      <c r="GGX369" s="16"/>
      <c r="GGY369" s="320">
        <v>2.69</v>
      </c>
      <c r="GGZ369" s="153"/>
      <c r="GHA369" s="153"/>
      <c r="GHB369" s="153"/>
      <c r="GHC369" s="648"/>
      <c r="GHD369" s="641"/>
      <c r="GHE369" s="631" t="s">
        <v>90</v>
      </c>
      <c r="GHF369" s="632"/>
      <c r="GHG369" s="16"/>
      <c r="GHH369" s="636">
        <v>2.7</v>
      </c>
      <c r="GHI369" s="636">
        <v>2.7</v>
      </c>
      <c r="GHJ369" s="636">
        <v>2.72</v>
      </c>
      <c r="GHK369" s="636">
        <v>2.72</v>
      </c>
      <c r="GHL369" s="636">
        <v>2.72</v>
      </c>
      <c r="GHM369" s="649">
        <v>2.72</v>
      </c>
      <c r="GHN369" s="16"/>
      <c r="GHO369" s="320">
        <v>2.69</v>
      </c>
      <c r="GHP369" s="153"/>
      <c r="GHQ369" s="153"/>
      <c r="GHR369" s="153"/>
      <c r="GHS369" s="648"/>
      <c r="GHT369" s="641"/>
      <c r="GHU369" s="631" t="s">
        <v>90</v>
      </c>
      <c r="GHV369" s="632"/>
      <c r="GHW369" s="16"/>
      <c r="GHX369" s="636">
        <v>2.7</v>
      </c>
      <c r="GHY369" s="636">
        <v>2.7</v>
      </c>
      <c r="GHZ369" s="636">
        <v>2.72</v>
      </c>
      <c r="GIA369" s="636">
        <v>2.72</v>
      </c>
      <c r="GIB369" s="636">
        <v>2.72</v>
      </c>
      <c r="GIC369" s="649">
        <v>2.72</v>
      </c>
      <c r="GID369" s="16"/>
      <c r="GIE369" s="320">
        <v>2.69</v>
      </c>
      <c r="GIF369" s="153"/>
      <c r="GIG369" s="153"/>
      <c r="GIH369" s="153"/>
      <c r="GII369" s="648"/>
      <c r="GIJ369" s="641"/>
      <c r="GIK369" s="631" t="s">
        <v>90</v>
      </c>
      <c r="GIL369" s="632"/>
      <c r="GIM369" s="16"/>
      <c r="GIN369" s="636">
        <v>2.7</v>
      </c>
      <c r="GIO369" s="636">
        <v>2.7</v>
      </c>
      <c r="GIP369" s="636">
        <v>2.72</v>
      </c>
      <c r="GIQ369" s="636">
        <v>2.72</v>
      </c>
      <c r="GIR369" s="636">
        <v>2.72</v>
      </c>
      <c r="GIS369" s="649">
        <v>2.72</v>
      </c>
      <c r="GIT369" s="16"/>
      <c r="GIU369" s="320">
        <v>2.69</v>
      </c>
      <c r="GIV369" s="153"/>
      <c r="GIW369" s="153"/>
      <c r="GIX369" s="153"/>
      <c r="GIY369" s="648"/>
      <c r="GIZ369" s="641"/>
      <c r="GJA369" s="631" t="s">
        <v>90</v>
      </c>
      <c r="GJB369" s="632"/>
      <c r="GJC369" s="16"/>
      <c r="GJD369" s="636">
        <v>2.7</v>
      </c>
      <c r="GJE369" s="636">
        <v>2.7</v>
      </c>
      <c r="GJF369" s="636">
        <v>2.72</v>
      </c>
      <c r="GJG369" s="636">
        <v>2.72</v>
      </c>
      <c r="GJH369" s="636">
        <v>2.72</v>
      </c>
      <c r="GJI369" s="649">
        <v>2.72</v>
      </c>
      <c r="GJJ369" s="16"/>
      <c r="GJK369" s="320">
        <v>2.69</v>
      </c>
      <c r="GJL369" s="153"/>
      <c r="GJM369" s="153"/>
      <c r="GJN369" s="153"/>
      <c r="GJO369" s="648"/>
      <c r="GJP369" s="641"/>
      <c r="GJQ369" s="631" t="s">
        <v>90</v>
      </c>
      <c r="GJR369" s="632"/>
      <c r="GJS369" s="16"/>
      <c r="GJT369" s="636">
        <v>2.7</v>
      </c>
      <c r="GJU369" s="636">
        <v>2.7</v>
      </c>
      <c r="GJV369" s="636">
        <v>2.72</v>
      </c>
      <c r="GJW369" s="636">
        <v>2.72</v>
      </c>
      <c r="GJX369" s="636">
        <v>2.72</v>
      </c>
      <c r="GJY369" s="649">
        <v>2.72</v>
      </c>
      <c r="GJZ369" s="16"/>
      <c r="GKA369" s="320">
        <v>2.69</v>
      </c>
      <c r="GKB369" s="153"/>
      <c r="GKC369" s="153"/>
      <c r="GKD369" s="153"/>
      <c r="GKE369" s="648"/>
      <c r="GKF369" s="641"/>
      <c r="GKG369" s="631" t="s">
        <v>90</v>
      </c>
      <c r="GKH369" s="632"/>
      <c r="GKI369" s="16"/>
      <c r="GKJ369" s="636">
        <v>2.7</v>
      </c>
      <c r="GKK369" s="636">
        <v>2.7</v>
      </c>
      <c r="GKL369" s="636">
        <v>2.72</v>
      </c>
      <c r="GKM369" s="636">
        <v>2.72</v>
      </c>
      <c r="GKN369" s="636">
        <v>2.72</v>
      </c>
      <c r="GKO369" s="649">
        <v>2.72</v>
      </c>
      <c r="GKP369" s="16"/>
      <c r="GKQ369" s="320">
        <v>2.69</v>
      </c>
      <c r="GKR369" s="153"/>
      <c r="GKS369" s="153"/>
      <c r="GKT369" s="153"/>
      <c r="GKU369" s="648"/>
      <c r="GKV369" s="641"/>
      <c r="GKW369" s="631" t="s">
        <v>90</v>
      </c>
      <c r="GKX369" s="632"/>
      <c r="GKY369" s="16"/>
      <c r="GKZ369" s="636">
        <v>2.7</v>
      </c>
      <c r="GLA369" s="636">
        <v>2.7</v>
      </c>
      <c r="GLB369" s="636">
        <v>2.72</v>
      </c>
      <c r="GLC369" s="636">
        <v>2.72</v>
      </c>
      <c r="GLD369" s="636">
        <v>2.72</v>
      </c>
      <c r="GLE369" s="649">
        <v>2.72</v>
      </c>
      <c r="GLF369" s="16"/>
      <c r="GLG369" s="320">
        <v>2.69</v>
      </c>
      <c r="GLH369" s="153"/>
      <c r="GLI369" s="153"/>
      <c r="GLJ369" s="153"/>
      <c r="GLK369" s="648"/>
      <c r="GLL369" s="641"/>
      <c r="GLM369" s="631" t="s">
        <v>90</v>
      </c>
      <c r="GLN369" s="632"/>
      <c r="GLO369" s="16"/>
      <c r="GLP369" s="636">
        <v>2.7</v>
      </c>
      <c r="GLQ369" s="636">
        <v>2.7</v>
      </c>
      <c r="GLR369" s="636">
        <v>2.72</v>
      </c>
      <c r="GLS369" s="636">
        <v>2.72</v>
      </c>
      <c r="GLT369" s="636">
        <v>2.72</v>
      </c>
      <c r="GLU369" s="649">
        <v>2.72</v>
      </c>
      <c r="GLV369" s="16"/>
      <c r="GLW369" s="320">
        <v>2.69</v>
      </c>
      <c r="GLX369" s="153"/>
      <c r="GLY369" s="153"/>
      <c r="GLZ369" s="153"/>
      <c r="GMA369" s="648"/>
      <c r="GMB369" s="641"/>
      <c r="GMC369" s="631" t="s">
        <v>90</v>
      </c>
      <c r="GMD369" s="632"/>
      <c r="GME369" s="16"/>
      <c r="GMF369" s="636">
        <v>2.7</v>
      </c>
      <c r="GMG369" s="636">
        <v>2.7</v>
      </c>
      <c r="GMH369" s="636">
        <v>2.72</v>
      </c>
      <c r="GMI369" s="636">
        <v>2.72</v>
      </c>
      <c r="GMJ369" s="636">
        <v>2.72</v>
      </c>
      <c r="GMK369" s="649">
        <v>2.72</v>
      </c>
      <c r="GML369" s="16"/>
      <c r="GMM369" s="320">
        <v>2.69</v>
      </c>
      <c r="GMN369" s="153"/>
      <c r="GMO369" s="153"/>
      <c r="GMP369" s="153"/>
      <c r="GMQ369" s="648"/>
      <c r="GMR369" s="641"/>
      <c r="GMS369" s="631" t="s">
        <v>90</v>
      </c>
      <c r="GMT369" s="632"/>
      <c r="GMU369" s="16"/>
      <c r="GMV369" s="636">
        <v>2.7</v>
      </c>
      <c r="GMW369" s="636">
        <v>2.7</v>
      </c>
      <c r="GMX369" s="636">
        <v>2.72</v>
      </c>
      <c r="GMY369" s="636">
        <v>2.72</v>
      </c>
      <c r="GMZ369" s="636">
        <v>2.72</v>
      </c>
      <c r="GNA369" s="649">
        <v>2.72</v>
      </c>
      <c r="GNB369" s="16"/>
      <c r="GNC369" s="320">
        <v>2.69</v>
      </c>
      <c r="GND369" s="153"/>
      <c r="GNE369" s="153"/>
      <c r="GNF369" s="153"/>
      <c r="GNG369" s="648"/>
      <c r="GNH369" s="641"/>
      <c r="GNI369" s="631" t="s">
        <v>90</v>
      </c>
      <c r="GNJ369" s="632"/>
      <c r="GNK369" s="16"/>
      <c r="GNL369" s="636">
        <v>2.7</v>
      </c>
      <c r="GNM369" s="636">
        <v>2.7</v>
      </c>
      <c r="GNN369" s="636">
        <v>2.72</v>
      </c>
      <c r="GNO369" s="636">
        <v>2.72</v>
      </c>
      <c r="GNP369" s="636">
        <v>2.72</v>
      </c>
      <c r="GNQ369" s="649">
        <v>2.72</v>
      </c>
      <c r="GNR369" s="16"/>
      <c r="GNS369" s="320">
        <v>2.69</v>
      </c>
      <c r="GNT369" s="153"/>
      <c r="GNU369" s="153"/>
      <c r="GNV369" s="153"/>
      <c r="GNW369" s="648"/>
      <c r="GNX369" s="641"/>
      <c r="GNY369" s="631" t="s">
        <v>90</v>
      </c>
      <c r="GNZ369" s="632"/>
      <c r="GOA369" s="16"/>
      <c r="GOB369" s="636">
        <v>2.7</v>
      </c>
      <c r="GOC369" s="636">
        <v>2.7</v>
      </c>
      <c r="GOD369" s="636">
        <v>2.72</v>
      </c>
      <c r="GOE369" s="636">
        <v>2.72</v>
      </c>
      <c r="GOF369" s="636">
        <v>2.72</v>
      </c>
      <c r="GOG369" s="649">
        <v>2.72</v>
      </c>
      <c r="GOH369" s="16"/>
      <c r="GOI369" s="320">
        <v>2.69</v>
      </c>
      <c r="GOJ369" s="153"/>
      <c r="GOK369" s="153"/>
      <c r="GOL369" s="153"/>
      <c r="GOM369" s="648"/>
      <c r="GON369" s="641"/>
      <c r="GOO369" s="631" t="s">
        <v>90</v>
      </c>
      <c r="GOP369" s="632"/>
      <c r="GOQ369" s="16"/>
      <c r="GOR369" s="636">
        <v>2.7</v>
      </c>
      <c r="GOS369" s="636">
        <v>2.7</v>
      </c>
      <c r="GOT369" s="636">
        <v>2.72</v>
      </c>
      <c r="GOU369" s="636">
        <v>2.72</v>
      </c>
      <c r="GOV369" s="636">
        <v>2.72</v>
      </c>
      <c r="GOW369" s="649">
        <v>2.72</v>
      </c>
      <c r="GOX369" s="16"/>
      <c r="GOY369" s="320">
        <v>2.69</v>
      </c>
      <c r="GOZ369" s="153"/>
      <c r="GPA369" s="153"/>
      <c r="GPB369" s="153"/>
      <c r="GPC369" s="648"/>
      <c r="GPD369" s="641"/>
      <c r="GPE369" s="631" t="s">
        <v>90</v>
      </c>
      <c r="GPF369" s="632"/>
      <c r="GPG369" s="16"/>
      <c r="GPH369" s="636">
        <v>2.7</v>
      </c>
      <c r="GPI369" s="636">
        <v>2.7</v>
      </c>
      <c r="GPJ369" s="636">
        <v>2.72</v>
      </c>
      <c r="GPK369" s="636">
        <v>2.72</v>
      </c>
      <c r="GPL369" s="636">
        <v>2.72</v>
      </c>
      <c r="GPM369" s="649">
        <v>2.72</v>
      </c>
      <c r="GPN369" s="16"/>
      <c r="GPO369" s="320">
        <v>2.69</v>
      </c>
      <c r="GPP369" s="153"/>
      <c r="GPQ369" s="153"/>
      <c r="GPR369" s="153"/>
      <c r="GPS369" s="648"/>
      <c r="GPT369" s="641"/>
      <c r="GPU369" s="631" t="s">
        <v>90</v>
      </c>
      <c r="GPV369" s="632"/>
      <c r="GPW369" s="16"/>
      <c r="GPX369" s="636">
        <v>2.7</v>
      </c>
      <c r="GPY369" s="636">
        <v>2.7</v>
      </c>
      <c r="GPZ369" s="636">
        <v>2.72</v>
      </c>
      <c r="GQA369" s="636">
        <v>2.72</v>
      </c>
      <c r="GQB369" s="636">
        <v>2.72</v>
      </c>
      <c r="GQC369" s="649">
        <v>2.72</v>
      </c>
      <c r="GQD369" s="16"/>
      <c r="GQE369" s="320">
        <v>2.69</v>
      </c>
      <c r="GQF369" s="153"/>
      <c r="GQG369" s="153"/>
      <c r="GQH369" s="153"/>
      <c r="GQI369" s="648"/>
      <c r="GQJ369" s="641"/>
      <c r="GQK369" s="631" t="s">
        <v>90</v>
      </c>
      <c r="GQL369" s="632"/>
      <c r="GQM369" s="16"/>
      <c r="GQN369" s="636">
        <v>2.7</v>
      </c>
      <c r="GQO369" s="636">
        <v>2.7</v>
      </c>
      <c r="GQP369" s="636">
        <v>2.72</v>
      </c>
      <c r="GQQ369" s="636">
        <v>2.72</v>
      </c>
      <c r="GQR369" s="636">
        <v>2.72</v>
      </c>
      <c r="GQS369" s="649">
        <v>2.72</v>
      </c>
      <c r="GQT369" s="16"/>
      <c r="GQU369" s="320">
        <v>2.69</v>
      </c>
      <c r="GQV369" s="153"/>
      <c r="GQW369" s="153"/>
      <c r="GQX369" s="153"/>
      <c r="GQY369" s="648"/>
      <c r="GQZ369" s="641"/>
      <c r="GRA369" s="631" t="s">
        <v>90</v>
      </c>
      <c r="GRB369" s="632"/>
      <c r="GRC369" s="16"/>
      <c r="GRD369" s="636">
        <v>2.7</v>
      </c>
      <c r="GRE369" s="636">
        <v>2.7</v>
      </c>
      <c r="GRF369" s="636">
        <v>2.72</v>
      </c>
      <c r="GRG369" s="636">
        <v>2.72</v>
      </c>
      <c r="GRH369" s="636">
        <v>2.72</v>
      </c>
      <c r="GRI369" s="649">
        <v>2.72</v>
      </c>
      <c r="GRJ369" s="16"/>
      <c r="GRK369" s="320">
        <v>2.69</v>
      </c>
      <c r="GRL369" s="153"/>
      <c r="GRM369" s="153"/>
      <c r="GRN369" s="153"/>
      <c r="GRO369" s="648"/>
      <c r="GRP369" s="641"/>
      <c r="GRQ369" s="631" t="s">
        <v>90</v>
      </c>
      <c r="GRR369" s="632"/>
      <c r="GRS369" s="16"/>
      <c r="GRT369" s="636">
        <v>2.7</v>
      </c>
      <c r="GRU369" s="636">
        <v>2.7</v>
      </c>
      <c r="GRV369" s="636">
        <v>2.72</v>
      </c>
      <c r="GRW369" s="636">
        <v>2.72</v>
      </c>
      <c r="GRX369" s="636">
        <v>2.72</v>
      </c>
      <c r="GRY369" s="649">
        <v>2.72</v>
      </c>
      <c r="GRZ369" s="16"/>
      <c r="GSA369" s="320">
        <v>2.69</v>
      </c>
      <c r="GSB369" s="153"/>
      <c r="GSC369" s="153"/>
      <c r="GSD369" s="153"/>
      <c r="GSE369" s="648"/>
      <c r="GSF369" s="641"/>
      <c r="GSG369" s="631" t="s">
        <v>90</v>
      </c>
      <c r="GSH369" s="632"/>
      <c r="GSI369" s="16"/>
      <c r="GSJ369" s="636">
        <v>2.7</v>
      </c>
      <c r="GSK369" s="636">
        <v>2.7</v>
      </c>
      <c r="GSL369" s="636">
        <v>2.72</v>
      </c>
      <c r="GSM369" s="636">
        <v>2.72</v>
      </c>
      <c r="GSN369" s="636">
        <v>2.72</v>
      </c>
      <c r="GSO369" s="649">
        <v>2.72</v>
      </c>
      <c r="GSP369" s="16"/>
      <c r="GSQ369" s="320">
        <v>2.69</v>
      </c>
      <c r="GSR369" s="153"/>
      <c r="GSS369" s="153"/>
      <c r="GST369" s="153"/>
      <c r="GSU369" s="648"/>
      <c r="GSV369" s="641"/>
      <c r="GSW369" s="631" t="s">
        <v>90</v>
      </c>
      <c r="GSX369" s="632"/>
      <c r="GSY369" s="16"/>
      <c r="GSZ369" s="636">
        <v>2.7</v>
      </c>
      <c r="GTA369" s="636">
        <v>2.7</v>
      </c>
      <c r="GTB369" s="636">
        <v>2.72</v>
      </c>
      <c r="GTC369" s="636">
        <v>2.72</v>
      </c>
      <c r="GTD369" s="636">
        <v>2.72</v>
      </c>
      <c r="GTE369" s="649">
        <v>2.72</v>
      </c>
      <c r="GTF369" s="16"/>
      <c r="GTG369" s="320">
        <v>2.69</v>
      </c>
      <c r="GTH369" s="153"/>
      <c r="GTI369" s="153"/>
      <c r="GTJ369" s="153"/>
      <c r="GTK369" s="648"/>
      <c r="GTL369" s="641"/>
      <c r="GTM369" s="631" t="s">
        <v>90</v>
      </c>
      <c r="GTN369" s="632"/>
      <c r="GTO369" s="16"/>
      <c r="GTP369" s="636">
        <v>2.7</v>
      </c>
      <c r="GTQ369" s="636">
        <v>2.7</v>
      </c>
      <c r="GTR369" s="636">
        <v>2.72</v>
      </c>
      <c r="GTS369" s="636">
        <v>2.72</v>
      </c>
      <c r="GTT369" s="636">
        <v>2.72</v>
      </c>
      <c r="GTU369" s="649">
        <v>2.72</v>
      </c>
      <c r="GTV369" s="16"/>
      <c r="GTW369" s="320">
        <v>2.69</v>
      </c>
      <c r="GTX369" s="153"/>
      <c r="GTY369" s="153"/>
      <c r="GTZ369" s="153"/>
      <c r="GUA369" s="648"/>
      <c r="GUB369" s="641"/>
      <c r="GUC369" s="631" t="s">
        <v>90</v>
      </c>
      <c r="GUD369" s="632"/>
      <c r="GUE369" s="16"/>
      <c r="GUF369" s="636">
        <v>2.7</v>
      </c>
      <c r="GUG369" s="636">
        <v>2.7</v>
      </c>
      <c r="GUH369" s="636">
        <v>2.72</v>
      </c>
      <c r="GUI369" s="636">
        <v>2.72</v>
      </c>
      <c r="GUJ369" s="636">
        <v>2.72</v>
      </c>
      <c r="GUK369" s="649">
        <v>2.72</v>
      </c>
      <c r="GUL369" s="16"/>
      <c r="GUM369" s="320">
        <v>2.69</v>
      </c>
      <c r="GUN369" s="153"/>
      <c r="GUO369" s="153"/>
      <c r="GUP369" s="153"/>
      <c r="GUQ369" s="648"/>
      <c r="GUR369" s="641"/>
      <c r="GUS369" s="631" t="s">
        <v>90</v>
      </c>
      <c r="GUT369" s="632"/>
      <c r="GUU369" s="16"/>
      <c r="GUV369" s="636">
        <v>2.7</v>
      </c>
      <c r="GUW369" s="636">
        <v>2.7</v>
      </c>
      <c r="GUX369" s="636">
        <v>2.72</v>
      </c>
      <c r="GUY369" s="636">
        <v>2.72</v>
      </c>
      <c r="GUZ369" s="636">
        <v>2.72</v>
      </c>
      <c r="GVA369" s="649">
        <v>2.72</v>
      </c>
      <c r="GVB369" s="16"/>
      <c r="GVC369" s="320">
        <v>2.69</v>
      </c>
      <c r="GVD369" s="153"/>
      <c r="GVE369" s="153"/>
      <c r="GVF369" s="153"/>
      <c r="GVG369" s="648"/>
      <c r="GVH369" s="641"/>
      <c r="GVI369" s="631" t="s">
        <v>90</v>
      </c>
      <c r="GVJ369" s="632"/>
      <c r="GVK369" s="16"/>
      <c r="GVL369" s="636">
        <v>2.7</v>
      </c>
      <c r="GVM369" s="636">
        <v>2.7</v>
      </c>
      <c r="GVN369" s="636">
        <v>2.72</v>
      </c>
      <c r="GVO369" s="636">
        <v>2.72</v>
      </c>
      <c r="GVP369" s="636">
        <v>2.72</v>
      </c>
      <c r="GVQ369" s="649">
        <v>2.72</v>
      </c>
      <c r="GVR369" s="16"/>
      <c r="GVS369" s="320">
        <v>2.69</v>
      </c>
      <c r="GVT369" s="153"/>
      <c r="GVU369" s="153"/>
      <c r="GVV369" s="153"/>
      <c r="GVW369" s="648"/>
      <c r="GVX369" s="641"/>
      <c r="GVY369" s="631" t="s">
        <v>90</v>
      </c>
      <c r="GVZ369" s="632"/>
      <c r="GWA369" s="16"/>
      <c r="GWB369" s="636">
        <v>2.7</v>
      </c>
      <c r="GWC369" s="636">
        <v>2.7</v>
      </c>
      <c r="GWD369" s="636">
        <v>2.72</v>
      </c>
      <c r="GWE369" s="636">
        <v>2.72</v>
      </c>
      <c r="GWF369" s="636">
        <v>2.72</v>
      </c>
      <c r="GWG369" s="649">
        <v>2.72</v>
      </c>
      <c r="GWH369" s="16"/>
      <c r="GWI369" s="320">
        <v>2.69</v>
      </c>
      <c r="GWJ369" s="153"/>
      <c r="GWK369" s="153"/>
      <c r="GWL369" s="153"/>
      <c r="GWM369" s="648"/>
      <c r="GWN369" s="641"/>
      <c r="GWO369" s="631" t="s">
        <v>90</v>
      </c>
      <c r="GWP369" s="632"/>
      <c r="GWQ369" s="16"/>
      <c r="GWR369" s="636">
        <v>2.7</v>
      </c>
      <c r="GWS369" s="636">
        <v>2.7</v>
      </c>
      <c r="GWT369" s="636">
        <v>2.72</v>
      </c>
      <c r="GWU369" s="636">
        <v>2.72</v>
      </c>
      <c r="GWV369" s="636">
        <v>2.72</v>
      </c>
      <c r="GWW369" s="649">
        <v>2.72</v>
      </c>
      <c r="GWX369" s="16"/>
      <c r="GWY369" s="320">
        <v>2.69</v>
      </c>
      <c r="GWZ369" s="153"/>
      <c r="GXA369" s="153"/>
      <c r="GXB369" s="153"/>
      <c r="GXC369" s="648"/>
      <c r="GXD369" s="641"/>
      <c r="GXE369" s="631" t="s">
        <v>90</v>
      </c>
      <c r="GXF369" s="632"/>
      <c r="GXG369" s="16"/>
      <c r="GXH369" s="636">
        <v>2.7</v>
      </c>
      <c r="GXI369" s="636">
        <v>2.7</v>
      </c>
      <c r="GXJ369" s="636">
        <v>2.72</v>
      </c>
      <c r="GXK369" s="636">
        <v>2.72</v>
      </c>
      <c r="GXL369" s="636">
        <v>2.72</v>
      </c>
      <c r="GXM369" s="649">
        <v>2.72</v>
      </c>
      <c r="GXN369" s="16"/>
      <c r="GXO369" s="320">
        <v>2.69</v>
      </c>
      <c r="GXP369" s="153"/>
      <c r="GXQ369" s="153"/>
      <c r="GXR369" s="153"/>
      <c r="GXS369" s="648"/>
      <c r="GXT369" s="641"/>
      <c r="GXU369" s="631" t="s">
        <v>90</v>
      </c>
      <c r="GXV369" s="632"/>
      <c r="GXW369" s="16"/>
      <c r="GXX369" s="636">
        <v>2.7</v>
      </c>
      <c r="GXY369" s="636">
        <v>2.7</v>
      </c>
      <c r="GXZ369" s="636">
        <v>2.72</v>
      </c>
      <c r="GYA369" s="636">
        <v>2.72</v>
      </c>
      <c r="GYB369" s="636">
        <v>2.72</v>
      </c>
      <c r="GYC369" s="649">
        <v>2.72</v>
      </c>
      <c r="GYD369" s="16"/>
      <c r="GYE369" s="320">
        <v>2.69</v>
      </c>
      <c r="GYF369" s="153"/>
      <c r="GYG369" s="153"/>
      <c r="GYH369" s="153"/>
      <c r="GYI369" s="648"/>
      <c r="GYJ369" s="641"/>
      <c r="GYK369" s="631" t="s">
        <v>90</v>
      </c>
      <c r="GYL369" s="632"/>
      <c r="GYM369" s="16"/>
      <c r="GYN369" s="636">
        <v>2.7</v>
      </c>
      <c r="GYO369" s="636">
        <v>2.7</v>
      </c>
      <c r="GYP369" s="636">
        <v>2.72</v>
      </c>
      <c r="GYQ369" s="636">
        <v>2.72</v>
      </c>
      <c r="GYR369" s="636">
        <v>2.72</v>
      </c>
      <c r="GYS369" s="649">
        <v>2.72</v>
      </c>
      <c r="GYT369" s="16"/>
      <c r="GYU369" s="320">
        <v>2.69</v>
      </c>
      <c r="GYV369" s="153"/>
      <c r="GYW369" s="153"/>
      <c r="GYX369" s="153"/>
      <c r="GYY369" s="648"/>
      <c r="GYZ369" s="641"/>
      <c r="GZA369" s="631" t="s">
        <v>90</v>
      </c>
      <c r="GZB369" s="632"/>
      <c r="GZC369" s="16"/>
      <c r="GZD369" s="636">
        <v>2.7</v>
      </c>
      <c r="GZE369" s="636">
        <v>2.7</v>
      </c>
      <c r="GZF369" s="636">
        <v>2.72</v>
      </c>
      <c r="GZG369" s="636">
        <v>2.72</v>
      </c>
      <c r="GZH369" s="636">
        <v>2.72</v>
      </c>
      <c r="GZI369" s="649">
        <v>2.72</v>
      </c>
      <c r="GZJ369" s="16"/>
      <c r="GZK369" s="320">
        <v>2.69</v>
      </c>
      <c r="GZL369" s="153"/>
      <c r="GZM369" s="153"/>
      <c r="GZN369" s="153"/>
      <c r="GZO369" s="648"/>
      <c r="GZP369" s="641"/>
      <c r="GZQ369" s="631" t="s">
        <v>90</v>
      </c>
      <c r="GZR369" s="632"/>
      <c r="GZS369" s="16"/>
      <c r="GZT369" s="636">
        <v>2.7</v>
      </c>
      <c r="GZU369" s="636">
        <v>2.7</v>
      </c>
      <c r="GZV369" s="636">
        <v>2.72</v>
      </c>
      <c r="GZW369" s="636">
        <v>2.72</v>
      </c>
      <c r="GZX369" s="636">
        <v>2.72</v>
      </c>
      <c r="GZY369" s="649">
        <v>2.72</v>
      </c>
      <c r="GZZ369" s="16"/>
      <c r="HAA369" s="320">
        <v>2.69</v>
      </c>
      <c r="HAB369" s="153"/>
      <c r="HAC369" s="153"/>
      <c r="HAD369" s="153"/>
      <c r="HAE369" s="648"/>
      <c r="HAF369" s="641"/>
      <c r="HAG369" s="631" t="s">
        <v>90</v>
      </c>
      <c r="HAH369" s="632"/>
      <c r="HAI369" s="16"/>
      <c r="HAJ369" s="636">
        <v>2.7</v>
      </c>
      <c r="HAK369" s="636">
        <v>2.7</v>
      </c>
      <c r="HAL369" s="636">
        <v>2.72</v>
      </c>
      <c r="HAM369" s="636">
        <v>2.72</v>
      </c>
      <c r="HAN369" s="636">
        <v>2.72</v>
      </c>
      <c r="HAO369" s="649">
        <v>2.72</v>
      </c>
      <c r="HAP369" s="16"/>
      <c r="HAQ369" s="320">
        <v>2.69</v>
      </c>
      <c r="HAR369" s="153"/>
      <c r="HAS369" s="153"/>
      <c r="HAT369" s="153"/>
      <c r="HAU369" s="648"/>
      <c r="HAV369" s="641"/>
      <c r="HAW369" s="631" t="s">
        <v>90</v>
      </c>
      <c r="HAX369" s="632"/>
      <c r="HAY369" s="16"/>
      <c r="HAZ369" s="636">
        <v>2.7</v>
      </c>
      <c r="HBA369" s="636">
        <v>2.7</v>
      </c>
      <c r="HBB369" s="636">
        <v>2.72</v>
      </c>
      <c r="HBC369" s="636">
        <v>2.72</v>
      </c>
      <c r="HBD369" s="636">
        <v>2.72</v>
      </c>
      <c r="HBE369" s="649">
        <v>2.72</v>
      </c>
      <c r="HBF369" s="16"/>
      <c r="HBG369" s="320">
        <v>2.69</v>
      </c>
      <c r="HBH369" s="153"/>
      <c r="HBI369" s="153"/>
      <c r="HBJ369" s="153"/>
      <c r="HBK369" s="648"/>
      <c r="HBL369" s="641"/>
      <c r="HBM369" s="631" t="s">
        <v>90</v>
      </c>
      <c r="HBN369" s="632"/>
      <c r="HBO369" s="16"/>
      <c r="HBP369" s="636">
        <v>2.7</v>
      </c>
      <c r="HBQ369" s="636">
        <v>2.7</v>
      </c>
      <c r="HBR369" s="636">
        <v>2.72</v>
      </c>
      <c r="HBS369" s="636">
        <v>2.72</v>
      </c>
      <c r="HBT369" s="636">
        <v>2.72</v>
      </c>
      <c r="HBU369" s="649">
        <v>2.72</v>
      </c>
      <c r="HBV369" s="16"/>
      <c r="HBW369" s="320">
        <v>2.69</v>
      </c>
      <c r="HBX369" s="153"/>
      <c r="HBY369" s="153"/>
      <c r="HBZ369" s="153"/>
      <c r="HCA369" s="648"/>
      <c r="HCB369" s="641"/>
      <c r="HCC369" s="631" t="s">
        <v>90</v>
      </c>
      <c r="HCD369" s="632"/>
      <c r="HCE369" s="16"/>
      <c r="HCF369" s="636">
        <v>2.7</v>
      </c>
      <c r="HCG369" s="636">
        <v>2.7</v>
      </c>
      <c r="HCH369" s="636">
        <v>2.72</v>
      </c>
      <c r="HCI369" s="636">
        <v>2.72</v>
      </c>
      <c r="HCJ369" s="636">
        <v>2.72</v>
      </c>
      <c r="HCK369" s="649">
        <v>2.72</v>
      </c>
      <c r="HCL369" s="16"/>
      <c r="HCM369" s="320">
        <v>2.69</v>
      </c>
      <c r="HCN369" s="153"/>
      <c r="HCO369" s="153"/>
      <c r="HCP369" s="153"/>
      <c r="HCQ369" s="648"/>
      <c r="HCR369" s="641"/>
      <c r="HCS369" s="631" t="s">
        <v>90</v>
      </c>
      <c r="HCT369" s="632"/>
      <c r="HCU369" s="16"/>
      <c r="HCV369" s="636">
        <v>2.7</v>
      </c>
      <c r="HCW369" s="636">
        <v>2.7</v>
      </c>
      <c r="HCX369" s="636">
        <v>2.72</v>
      </c>
      <c r="HCY369" s="636">
        <v>2.72</v>
      </c>
      <c r="HCZ369" s="636">
        <v>2.72</v>
      </c>
      <c r="HDA369" s="649">
        <v>2.72</v>
      </c>
      <c r="HDB369" s="16"/>
      <c r="HDC369" s="320">
        <v>2.69</v>
      </c>
      <c r="HDD369" s="153"/>
      <c r="HDE369" s="153"/>
      <c r="HDF369" s="153"/>
      <c r="HDG369" s="648"/>
      <c r="HDH369" s="641"/>
      <c r="HDI369" s="631" t="s">
        <v>90</v>
      </c>
      <c r="HDJ369" s="632"/>
      <c r="HDK369" s="16"/>
      <c r="HDL369" s="636">
        <v>2.7</v>
      </c>
      <c r="HDM369" s="636">
        <v>2.7</v>
      </c>
      <c r="HDN369" s="636">
        <v>2.72</v>
      </c>
      <c r="HDO369" s="636">
        <v>2.72</v>
      </c>
      <c r="HDP369" s="636">
        <v>2.72</v>
      </c>
      <c r="HDQ369" s="649">
        <v>2.72</v>
      </c>
      <c r="HDR369" s="16"/>
      <c r="HDS369" s="320">
        <v>2.69</v>
      </c>
      <c r="HDT369" s="153"/>
      <c r="HDU369" s="153"/>
      <c r="HDV369" s="153"/>
      <c r="HDW369" s="648"/>
      <c r="HDX369" s="641"/>
      <c r="HDY369" s="631" t="s">
        <v>90</v>
      </c>
      <c r="HDZ369" s="632"/>
      <c r="HEA369" s="16"/>
      <c r="HEB369" s="636">
        <v>2.7</v>
      </c>
      <c r="HEC369" s="636">
        <v>2.7</v>
      </c>
      <c r="HED369" s="636">
        <v>2.72</v>
      </c>
      <c r="HEE369" s="636">
        <v>2.72</v>
      </c>
      <c r="HEF369" s="636">
        <v>2.72</v>
      </c>
      <c r="HEG369" s="649">
        <v>2.72</v>
      </c>
      <c r="HEH369" s="16"/>
      <c r="HEI369" s="320">
        <v>2.69</v>
      </c>
      <c r="HEJ369" s="153"/>
      <c r="HEK369" s="153"/>
      <c r="HEL369" s="153"/>
      <c r="HEM369" s="648"/>
      <c r="HEN369" s="641"/>
      <c r="HEO369" s="631" t="s">
        <v>90</v>
      </c>
      <c r="HEP369" s="632"/>
      <c r="HEQ369" s="16"/>
      <c r="HER369" s="636">
        <v>2.7</v>
      </c>
      <c r="HES369" s="636">
        <v>2.7</v>
      </c>
      <c r="HET369" s="636">
        <v>2.72</v>
      </c>
      <c r="HEU369" s="636">
        <v>2.72</v>
      </c>
      <c r="HEV369" s="636">
        <v>2.72</v>
      </c>
      <c r="HEW369" s="649">
        <v>2.72</v>
      </c>
      <c r="HEX369" s="16"/>
      <c r="HEY369" s="320">
        <v>2.69</v>
      </c>
      <c r="HEZ369" s="153"/>
      <c r="HFA369" s="153"/>
      <c r="HFB369" s="153"/>
      <c r="HFC369" s="648"/>
      <c r="HFD369" s="641"/>
      <c r="HFE369" s="631" t="s">
        <v>90</v>
      </c>
      <c r="HFF369" s="632"/>
      <c r="HFG369" s="16"/>
      <c r="HFH369" s="636">
        <v>2.7</v>
      </c>
      <c r="HFI369" s="636">
        <v>2.7</v>
      </c>
      <c r="HFJ369" s="636">
        <v>2.72</v>
      </c>
      <c r="HFK369" s="636">
        <v>2.72</v>
      </c>
      <c r="HFL369" s="636">
        <v>2.72</v>
      </c>
      <c r="HFM369" s="649">
        <v>2.72</v>
      </c>
      <c r="HFN369" s="16"/>
      <c r="HFO369" s="320">
        <v>2.69</v>
      </c>
      <c r="HFP369" s="153"/>
      <c r="HFQ369" s="153"/>
      <c r="HFR369" s="153"/>
      <c r="HFS369" s="648"/>
      <c r="HFT369" s="641"/>
      <c r="HFU369" s="631" t="s">
        <v>90</v>
      </c>
      <c r="HFV369" s="632"/>
      <c r="HFW369" s="16"/>
      <c r="HFX369" s="636">
        <v>2.7</v>
      </c>
      <c r="HFY369" s="636">
        <v>2.7</v>
      </c>
      <c r="HFZ369" s="636">
        <v>2.72</v>
      </c>
      <c r="HGA369" s="636">
        <v>2.72</v>
      </c>
      <c r="HGB369" s="636">
        <v>2.72</v>
      </c>
      <c r="HGC369" s="649">
        <v>2.72</v>
      </c>
      <c r="HGD369" s="16"/>
      <c r="HGE369" s="320">
        <v>2.69</v>
      </c>
      <c r="HGF369" s="153"/>
      <c r="HGG369" s="153"/>
      <c r="HGH369" s="153"/>
      <c r="HGI369" s="648"/>
      <c r="HGJ369" s="641"/>
      <c r="HGK369" s="631" t="s">
        <v>90</v>
      </c>
      <c r="HGL369" s="632"/>
      <c r="HGM369" s="16"/>
      <c r="HGN369" s="636">
        <v>2.7</v>
      </c>
      <c r="HGO369" s="636">
        <v>2.7</v>
      </c>
      <c r="HGP369" s="636">
        <v>2.72</v>
      </c>
      <c r="HGQ369" s="636">
        <v>2.72</v>
      </c>
      <c r="HGR369" s="636">
        <v>2.72</v>
      </c>
      <c r="HGS369" s="649">
        <v>2.72</v>
      </c>
      <c r="HGT369" s="16"/>
      <c r="HGU369" s="320">
        <v>2.69</v>
      </c>
      <c r="HGV369" s="153"/>
      <c r="HGW369" s="153"/>
      <c r="HGX369" s="153"/>
      <c r="HGY369" s="648"/>
      <c r="HGZ369" s="641"/>
      <c r="HHA369" s="631" t="s">
        <v>90</v>
      </c>
      <c r="HHB369" s="632"/>
      <c r="HHC369" s="16"/>
      <c r="HHD369" s="636">
        <v>2.7</v>
      </c>
      <c r="HHE369" s="636">
        <v>2.7</v>
      </c>
      <c r="HHF369" s="636">
        <v>2.72</v>
      </c>
      <c r="HHG369" s="636">
        <v>2.72</v>
      </c>
      <c r="HHH369" s="636">
        <v>2.72</v>
      </c>
      <c r="HHI369" s="649">
        <v>2.72</v>
      </c>
      <c r="HHJ369" s="16"/>
      <c r="HHK369" s="320">
        <v>2.69</v>
      </c>
      <c r="HHL369" s="153"/>
      <c r="HHM369" s="153"/>
      <c r="HHN369" s="153"/>
      <c r="HHO369" s="648"/>
      <c r="HHP369" s="641"/>
      <c r="HHQ369" s="631" t="s">
        <v>90</v>
      </c>
      <c r="HHR369" s="632"/>
      <c r="HHS369" s="16"/>
      <c r="HHT369" s="636">
        <v>2.7</v>
      </c>
      <c r="HHU369" s="636">
        <v>2.7</v>
      </c>
      <c r="HHV369" s="636">
        <v>2.72</v>
      </c>
      <c r="HHW369" s="636">
        <v>2.72</v>
      </c>
      <c r="HHX369" s="636">
        <v>2.72</v>
      </c>
      <c r="HHY369" s="649">
        <v>2.72</v>
      </c>
      <c r="HHZ369" s="16"/>
      <c r="HIA369" s="320">
        <v>2.69</v>
      </c>
      <c r="HIB369" s="153"/>
      <c r="HIC369" s="153"/>
      <c r="HID369" s="153"/>
      <c r="HIE369" s="648"/>
      <c r="HIF369" s="641"/>
      <c r="HIG369" s="631" t="s">
        <v>90</v>
      </c>
      <c r="HIH369" s="632"/>
      <c r="HII369" s="16"/>
      <c r="HIJ369" s="636">
        <v>2.7</v>
      </c>
      <c r="HIK369" s="636">
        <v>2.7</v>
      </c>
      <c r="HIL369" s="636">
        <v>2.72</v>
      </c>
      <c r="HIM369" s="636">
        <v>2.72</v>
      </c>
      <c r="HIN369" s="636">
        <v>2.72</v>
      </c>
      <c r="HIO369" s="649">
        <v>2.72</v>
      </c>
      <c r="HIP369" s="16"/>
      <c r="HIQ369" s="320">
        <v>2.69</v>
      </c>
      <c r="HIR369" s="153"/>
      <c r="HIS369" s="153"/>
      <c r="HIT369" s="153"/>
      <c r="HIU369" s="648"/>
      <c r="HIV369" s="641"/>
      <c r="HIW369" s="631" t="s">
        <v>90</v>
      </c>
      <c r="HIX369" s="632"/>
      <c r="HIY369" s="16"/>
      <c r="HIZ369" s="636">
        <v>2.7</v>
      </c>
      <c r="HJA369" s="636">
        <v>2.7</v>
      </c>
      <c r="HJB369" s="636">
        <v>2.72</v>
      </c>
      <c r="HJC369" s="636">
        <v>2.72</v>
      </c>
      <c r="HJD369" s="636">
        <v>2.72</v>
      </c>
      <c r="HJE369" s="649">
        <v>2.72</v>
      </c>
      <c r="HJF369" s="16"/>
      <c r="HJG369" s="320">
        <v>2.69</v>
      </c>
      <c r="HJH369" s="153"/>
      <c r="HJI369" s="153"/>
      <c r="HJJ369" s="153"/>
      <c r="HJK369" s="648"/>
      <c r="HJL369" s="641"/>
      <c r="HJM369" s="631" t="s">
        <v>90</v>
      </c>
      <c r="HJN369" s="632"/>
      <c r="HJO369" s="16"/>
      <c r="HJP369" s="636">
        <v>2.7</v>
      </c>
      <c r="HJQ369" s="636">
        <v>2.7</v>
      </c>
      <c r="HJR369" s="636">
        <v>2.72</v>
      </c>
      <c r="HJS369" s="636">
        <v>2.72</v>
      </c>
      <c r="HJT369" s="636">
        <v>2.72</v>
      </c>
      <c r="HJU369" s="649">
        <v>2.72</v>
      </c>
      <c r="HJV369" s="16"/>
      <c r="HJW369" s="320">
        <v>2.69</v>
      </c>
      <c r="HJX369" s="153"/>
      <c r="HJY369" s="153"/>
      <c r="HJZ369" s="153"/>
      <c r="HKA369" s="648"/>
      <c r="HKB369" s="641"/>
      <c r="HKC369" s="631" t="s">
        <v>90</v>
      </c>
      <c r="HKD369" s="632"/>
      <c r="HKE369" s="16"/>
      <c r="HKF369" s="636">
        <v>2.7</v>
      </c>
      <c r="HKG369" s="636">
        <v>2.7</v>
      </c>
      <c r="HKH369" s="636">
        <v>2.72</v>
      </c>
      <c r="HKI369" s="636">
        <v>2.72</v>
      </c>
      <c r="HKJ369" s="636">
        <v>2.72</v>
      </c>
      <c r="HKK369" s="649">
        <v>2.72</v>
      </c>
      <c r="HKL369" s="16"/>
      <c r="HKM369" s="320">
        <v>2.69</v>
      </c>
      <c r="HKN369" s="153"/>
      <c r="HKO369" s="153"/>
      <c r="HKP369" s="153"/>
      <c r="HKQ369" s="648"/>
      <c r="HKR369" s="641"/>
      <c r="HKS369" s="631" t="s">
        <v>90</v>
      </c>
      <c r="HKT369" s="632"/>
      <c r="HKU369" s="16"/>
      <c r="HKV369" s="636">
        <v>2.7</v>
      </c>
      <c r="HKW369" s="636">
        <v>2.7</v>
      </c>
      <c r="HKX369" s="636">
        <v>2.72</v>
      </c>
      <c r="HKY369" s="636">
        <v>2.72</v>
      </c>
      <c r="HKZ369" s="636">
        <v>2.72</v>
      </c>
      <c r="HLA369" s="649">
        <v>2.72</v>
      </c>
      <c r="HLB369" s="16"/>
      <c r="HLC369" s="320">
        <v>2.69</v>
      </c>
      <c r="HLD369" s="153"/>
      <c r="HLE369" s="153"/>
      <c r="HLF369" s="153"/>
      <c r="HLG369" s="648"/>
      <c r="HLH369" s="641"/>
      <c r="HLI369" s="631" t="s">
        <v>90</v>
      </c>
      <c r="HLJ369" s="632"/>
      <c r="HLK369" s="16"/>
      <c r="HLL369" s="636">
        <v>2.7</v>
      </c>
      <c r="HLM369" s="636">
        <v>2.7</v>
      </c>
      <c r="HLN369" s="636">
        <v>2.72</v>
      </c>
      <c r="HLO369" s="636">
        <v>2.72</v>
      </c>
      <c r="HLP369" s="636">
        <v>2.72</v>
      </c>
      <c r="HLQ369" s="649">
        <v>2.72</v>
      </c>
      <c r="HLR369" s="16"/>
      <c r="HLS369" s="320">
        <v>2.69</v>
      </c>
      <c r="HLT369" s="153"/>
      <c r="HLU369" s="153"/>
      <c r="HLV369" s="153"/>
      <c r="HLW369" s="648"/>
      <c r="HLX369" s="641"/>
      <c r="HLY369" s="631" t="s">
        <v>90</v>
      </c>
      <c r="HLZ369" s="632"/>
      <c r="HMA369" s="16"/>
      <c r="HMB369" s="636">
        <v>2.7</v>
      </c>
      <c r="HMC369" s="636">
        <v>2.7</v>
      </c>
      <c r="HMD369" s="636">
        <v>2.72</v>
      </c>
      <c r="HME369" s="636">
        <v>2.72</v>
      </c>
      <c r="HMF369" s="636">
        <v>2.72</v>
      </c>
      <c r="HMG369" s="649">
        <v>2.72</v>
      </c>
      <c r="HMH369" s="16"/>
      <c r="HMI369" s="320">
        <v>2.69</v>
      </c>
      <c r="HMJ369" s="153"/>
      <c r="HMK369" s="153"/>
      <c r="HML369" s="153"/>
      <c r="HMM369" s="648"/>
      <c r="HMN369" s="641"/>
      <c r="HMO369" s="631" t="s">
        <v>90</v>
      </c>
      <c r="HMP369" s="632"/>
      <c r="HMQ369" s="16"/>
      <c r="HMR369" s="636">
        <v>2.7</v>
      </c>
      <c r="HMS369" s="636">
        <v>2.7</v>
      </c>
      <c r="HMT369" s="636">
        <v>2.72</v>
      </c>
      <c r="HMU369" s="636">
        <v>2.72</v>
      </c>
      <c r="HMV369" s="636">
        <v>2.72</v>
      </c>
      <c r="HMW369" s="649">
        <v>2.72</v>
      </c>
      <c r="HMX369" s="16"/>
      <c r="HMY369" s="320">
        <v>2.69</v>
      </c>
      <c r="HMZ369" s="153"/>
      <c r="HNA369" s="153"/>
      <c r="HNB369" s="153"/>
      <c r="HNC369" s="648"/>
      <c r="HND369" s="641"/>
      <c r="HNE369" s="631" t="s">
        <v>90</v>
      </c>
      <c r="HNF369" s="632"/>
      <c r="HNG369" s="16"/>
      <c r="HNH369" s="636">
        <v>2.7</v>
      </c>
      <c r="HNI369" s="636">
        <v>2.7</v>
      </c>
      <c r="HNJ369" s="636">
        <v>2.72</v>
      </c>
      <c r="HNK369" s="636">
        <v>2.72</v>
      </c>
      <c r="HNL369" s="636">
        <v>2.72</v>
      </c>
      <c r="HNM369" s="649">
        <v>2.72</v>
      </c>
      <c r="HNN369" s="16"/>
      <c r="HNO369" s="320">
        <v>2.69</v>
      </c>
      <c r="HNP369" s="153"/>
      <c r="HNQ369" s="153"/>
      <c r="HNR369" s="153"/>
      <c r="HNS369" s="648"/>
      <c r="HNT369" s="641"/>
      <c r="HNU369" s="631" t="s">
        <v>90</v>
      </c>
      <c r="HNV369" s="632"/>
      <c r="HNW369" s="16"/>
      <c r="HNX369" s="636">
        <v>2.7</v>
      </c>
      <c r="HNY369" s="636">
        <v>2.7</v>
      </c>
      <c r="HNZ369" s="636">
        <v>2.72</v>
      </c>
      <c r="HOA369" s="636">
        <v>2.72</v>
      </c>
      <c r="HOB369" s="636">
        <v>2.72</v>
      </c>
      <c r="HOC369" s="649">
        <v>2.72</v>
      </c>
      <c r="HOD369" s="16"/>
      <c r="HOE369" s="320">
        <v>2.69</v>
      </c>
      <c r="HOF369" s="153"/>
      <c r="HOG369" s="153"/>
      <c r="HOH369" s="153"/>
      <c r="HOI369" s="648"/>
      <c r="HOJ369" s="641"/>
      <c r="HOK369" s="631" t="s">
        <v>90</v>
      </c>
      <c r="HOL369" s="632"/>
      <c r="HOM369" s="16"/>
      <c r="HON369" s="636">
        <v>2.7</v>
      </c>
      <c r="HOO369" s="636">
        <v>2.7</v>
      </c>
      <c r="HOP369" s="636">
        <v>2.72</v>
      </c>
      <c r="HOQ369" s="636">
        <v>2.72</v>
      </c>
      <c r="HOR369" s="636">
        <v>2.72</v>
      </c>
      <c r="HOS369" s="649">
        <v>2.72</v>
      </c>
      <c r="HOT369" s="16"/>
      <c r="HOU369" s="320">
        <v>2.69</v>
      </c>
      <c r="HOV369" s="153"/>
      <c r="HOW369" s="153"/>
      <c r="HOX369" s="153"/>
      <c r="HOY369" s="648"/>
      <c r="HOZ369" s="641"/>
      <c r="HPA369" s="631" t="s">
        <v>90</v>
      </c>
      <c r="HPB369" s="632"/>
      <c r="HPC369" s="16"/>
      <c r="HPD369" s="636">
        <v>2.7</v>
      </c>
      <c r="HPE369" s="636">
        <v>2.7</v>
      </c>
      <c r="HPF369" s="636">
        <v>2.72</v>
      </c>
      <c r="HPG369" s="636">
        <v>2.72</v>
      </c>
      <c r="HPH369" s="636">
        <v>2.72</v>
      </c>
      <c r="HPI369" s="649">
        <v>2.72</v>
      </c>
      <c r="HPJ369" s="16"/>
      <c r="HPK369" s="320">
        <v>2.69</v>
      </c>
      <c r="HPL369" s="153"/>
      <c r="HPM369" s="153"/>
      <c r="HPN369" s="153"/>
      <c r="HPO369" s="648"/>
      <c r="HPP369" s="641"/>
      <c r="HPQ369" s="631" t="s">
        <v>90</v>
      </c>
      <c r="HPR369" s="632"/>
      <c r="HPS369" s="16"/>
      <c r="HPT369" s="636">
        <v>2.7</v>
      </c>
      <c r="HPU369" s="636">
        <v>2.7</v>
      </c>
      <c r="HPV369" s="636">
        <v>2.72</v>
      </c>
      <c r="HPW369" s="636">
        <v>2.72</v>
      </c>
      <c r="HPX369" s="636">
        <v>2.72</v>
      </c>
      <c r="HPY369" s="649">
        <v>2.72</v>
      </c>
      <c r="HPZ369" s="16"/>
      <c r="HQA369" s="320">
        <v>2.69</v>
      </c>
      <c r="HQB369" s="153"/>
      <c r="HQC369" s="153"/>
      <c r="HQD369" s="153"/>
      <c r="HQE369" s="648"/>
      <c r="HQF369" s="641"/>
      <c r="HQG369" s="631" t="s">
        <v>90</v>
      </c>
      <c r="HQH369" s="632"/>
      <c r="HQI369" s="16"/>
      <c r="HQJ369" s="636">
        <v>2.7</v>
      </c>
      <c r="HQK369" s="636">
        <v>2.7</v>
      </c>
      <c r="HQL369" s="636">
        <v>2.72</v>
      </c>
      <c r="HQM369" s="636">
        <v>2.72</v>
      </c>
      <c r="HQN369" s="636">
        <v>2.72</v>
      </c>
      <c r="HQO369" s="649">
        <v>2.72</v>
      </c>
      <c r="HQP369" s="16"/>
      <c r="HQQ369" s="320">
        <v>2.69</v>
      </c>
      <c r="HQR369" s="153"/>
      <c r="HQS369" s="153"/>
      <c r="HQT369" s="153"/>
      <c r="HQU369" s="648"/>
      <c r="HQV369" s="641"/>
      <c r="HQW369" s="631" t="s">
        <v>90</v>
      </c>
      <c r="HQX369" s="632"/>
      <c r="HQY369" s="16"/>
      <c r="HQZ369" s="636">
        <v>2.7</v>
      </c>
      <c r="HRA369" s="636">
        <v>2.7</v>
      </c>
      <c r="HRB369" s="636">
        <v>2.72</v>
      </c>
      <c r="HRC369" s="636">
        <v>2.72</v>
      </c>
      <c r="HRD369" s="636">
        <v>2.72</v>
      </c>
      <c r="HRE369" s="649">
        <v>2.72</v>
      </c>
      <c r="HRF369" s="16"/>
      <c r="HRG369" s="320">
        <v>2.69</v>
      </c>
      <c r="HRH369" s="153"/>
      <c r="HRI369" s="153"/>
      <c r="HRJ369" s="153"/>
      <c r="HRK369" s="648"/>
      <c r="HRL369" s="641"/>
      <c r="HRM369" s="631" t="s">
        <v>90</v>
      </c>
      <c r="HRN369" s="632"/>
      <c r="HRO369" s="16"/>
      <c r="HRP369" s="636">
        <v>2.7</v>
      </c>
      <c r="HRQ369" s="636">
        <v>2.7</v>
      </c>
      <c r="HRR369" s="636">
        <v>2.72</v>
      </c>
      <c r="HRS369" s="636">
        <v>2.72</v>
      </c>
      <c r="HRT369" s="636">
        <v>2.72</v>
      </c>
      <c r="HRU369" s="649">
        <v>2.72</v>
      </c>
      <c r="HRV369" s="16"/>
      <c r="HRW369" s="320">
        <v>2.69</v>
      </c>
      <c r="HRX369" s="153"/>
      <c r="HRY369" s="153"/>
      <c r="HRZ369" s="153"/>
      <c r="HSA369" s="648"/>
      <c r="HSB369" s="641"/>
      <c r="HSC369" s="631" t="s">
        <v>90</v>
      </c>
      <c r="HSD369" s="632"/>
      <c r="HSE369" s="16"/>
      <c r="HSF369" s="636">
        <v>2.7</v>
      </c>
      <c r="HSG369" s="636">
        <v>2.7</v>
      </c>
      <c r="HSH369" s="636">
        <v>2.72</v>
      </c>
      <c r="HSI369" s="636">
        <v>2.72</v>
      </c>
      <c r="HSJ369" s="636">
        <v>2.72</v>
      </c>
      <c r="HSK369" s="649">
        <v>2.72</v>
      </c>
      <c r="HSL369" s="16"/>
      <c r="HSM369" s="320">
        <v>2.69</v>
      </c>
      <c r="HSN369" s="153"/>
      <c r="HSO369" s="153"/>
      <c r="HSP369" s="153"/>
      <c r="HSQ369" s="648"/>
      <c r="HSR369" s="641"/>
      <c r="HSS369" s="631" t="s">
        <v>90</v>
      </c>
      <c r="HST369" s="632"/>
      <c r="HSU369" s="16"/>
      <c r="HSV369" s="636">
        <v>2.7</v>
      </c>
      <c r="HSW369" s="636">
        <v>2.7</v>
      </c>
      <c r="HSX369" s="636">
        <v>2.72</v>
      </c>
      <c r="HSY369" s="636">
        <v>2.72</v>
      </c>
      <c r="HSZ369" s="636">
        <v>2.72</v>
      </c>
      <c r="HTA369" s="649">
        <v>2.72</v>
      </c>
      <c r="HTB369" s="16"/>
      <c r="HTC369" s="320">
        <v>2.69</v>
      </c>
      <c r="HTD369" s="153"/>
      <c r="HTE369" s="153"/>
      <c r="HTF369" s="153"/>
      <c r="HTG369" s="648"/>
      <c r="HTH369" s="641"/>
      <c r="HTI369" s="631" t="s">
        <v>90</v>
      </c>
      <c r="HTJ369" s="632"/>
      <c r="HTK369" s="16"/>
      <c r="HTL369" s="636">
        <v>2.7</v>
      </c>
      <c r="HTM369" s="636">
        <v>2.7</v>
      </c>
      <c r="HTN369" s="636">
        <v>2.72</v>
      </c>
      <c r="HTO369" s="636">
        <v>2.72</v>
      </c>
      <c r="HTP369" s="636">
        <v>2.72</v>
      </c>
      <c r="HTQ369" s="649">
        <v>2.72</v>
      </c>
      <c r="HTR369" s="16"/>
      <c r="HTS369" s="320">
        <v>2.69</v>
      </c>
      <c r="HTT369" s="153"/>
      <c r="HTU369" s="153"/>
      <c r="HTV369" s="153"/>
      <c r="HTW369" s="648"/>
      <c r="HTX369" s="641"/>
      <c r="HTY369" s="631" t="s">
        <v>90</v>
      </c>
      <c r="HTZ369" s="632"/>
      <c r="HUA369" s="16"/>
      <c r="HUB369" s="636">
        <v>2.7</v>
      </c>
      <c r="HUC369" s="636">
        <v>2.7</v>
      </c>
      <c r="HUD369" s="636">
        <v>2.72</v>
      </c>
      <c r="HUE369" s="636">
        <v>2.72</v>
      </c>
      <c r="HUF369" s="636">
        <v>2.72</v>
      </c>
      <c r="HUG369" s="649">
        <v>2.72</v>
      </c>
      <c r="HUH369" s="16"/>
      <c r="HUI369" s="320">
        <v>2.69</v>
      </c>
      <c r="HUJ369" s="153"/>
      <c r="HUK369" s="153"/>
      <c r="HUL369" s="153"/>
      <c r="HUM369" s="648"/>
      <c r="HUN369" s="641"/>
      <c r="HUO369" s="631" t="s">
        <v>90</v>
      </c>
      <c r="HUP369" s="632"/>
      <c r="HUQ369" s="16"/>
      <c r="HUR369" s="636">
        <v>2.7</v>
      </c>
      <c r="HUS369" s="636">
        <v>2.7</v>
      </c>
      <c r="HUT369" s="636">
        <v>2.72</v>
      </c>
      <c r="HUU369" s="636">
        <v>2.72</v>
      </c>
      <c r="HUV369" s="636">
        <v>2.72</v>
      </c>
      <c r="HUW369" s="649">
        <v>2.72</v>
      </c>
      <c r="HUX369" s="16"/>
      <c r="HUY369" s="320">
        <v>2.69</v>
      </c>
      <c r="HUZ369" s="153"/>
      <c r="HVA369" s="153"/>
      <c r="HVB369" s="153"/>
      <c r="HVC369" s="648"/>
      <c r="HVD369" s="641"/>
      <c r="HVE369" s="631" t="s">
        <v>90</v>
      </c>
      <c r="HVF369" s="632"/>
      <c r="HVG369" s="16"/>
      <c r="HVH369" s="636">
        <v>2.7</v>
      </c>
      <c r="HVI369" s="636">
        <v>2.7</v>
      </c>
      <c r="HVJ369" s="636">
        <v>2.72</v>
      </c>
      <c r="HVK369" s="636">
        <v>2.72</v>
      </c>
      <c r="HVL369" s="636">
        <v>2.72</v>
      </c>
      <c r="HVM369" s="649">
        <v>2.72</v>
      </c>
      <c r="HVN369" s="16"/>
      <c r="HVO369" s="320">
        <v>2.69</v>
      </c>
      <c r="HVP369" s="153"/>
      <c r="HVQ369" s="153"/>
      <c r="HVR369" s="153"/>
      <c r="HVS369" s="648"/>
      <c r="HVT369" s="641"/>
      <c r="HVU369" s="631" t="s">
        <v>90</v>
      </c>
      <c r="HVV369" s="632"/>
      <c r="HVW369" s="16"/>
      <c r="HVX369" s="636">
        <v>2.7</v>
      </c>
      <c r="HVY369" s="636">
        <v>2.7</v>
      </c>
      <c r="HVZ369" s="636">
        <v>2.72</v>
      </c>
      <c r="HWA369" s="636">
        <v>2.72</v>
      </c>
      <c r="HWB369" s="636">
        <v>2.72</v>
      </c>
      <c r="HWC369" s="649">
        <v>2.72</v>
      </c>
      <c r="HWD369" s="16"/>
      <c r="HWE369" s="320">
        <v>2.69</v>
      </c>
      <c r="HWF369" s="153"/>
      <c r="HWG369" s="153"/>
      <c r="HWH369" s="153"/>
      <c r="HWI369" s="648"/>
      <c r="HWJ369" s="641"/>
      <c r="HWK369" s="631" t="s">
        <v>90</v>
      </c>
      <c r="HWL369" s="632"/>
      <c r="HWM369" s="16"/>
      <c r="HWN369" s="636">
        <v>2.7</v>
      </c>
      <c r="HWO369" s="636">
        <v>2.7</v>
      </c>
      <c r="HWP369" s="636">
        <v>2.72</v>
      </c>
      <c r="HWQ369" s="636">
        <v>2.72</v>
      </c>
      <c r="HWR369" s="636">
        <v>2.72</v>
      </c>
      <c r="HWS369" s="649">
        <v>2.72</v>
      </c>
      <c r="HWT369" s="16"/>
      <c r="HWU369" s="320">
        <v>2.69</v>
      </c>
      <c r="HWV369" s="153"/>
      <c r="HWW369" s="153"/>
      <c r="HWX369" s="153"/>
      <c r="HWY369" s="648"/>
      <c r="HWZ369" s="641"/>
      <c r="HXA369" s="631" t="s">
        <v>90</v>
      </c>
      <c r="HXB369" s="632"/>
      <c r="HXC369" s="16"/>
      <c r="HXD369" s="636">
        <v>2.7</v>
      </c>
      <c r="HXE369" s="636">
        <v>2.7</v>
      </c>
      <c r="HXF369" s="636">
        <v>2.72</v>
      </c>
      <c r="HXG369" s="636">
        <v>2.72</v>
      </c>
      <c r="HXH369" s="636">
        <v>2.72</v>
      </c>
      <c r="HXI369" s="649">
        <v>2.72</v>
      </c>
      <c r="HXJ369" s="16"/>
      <c r="HXK369" s="320">
        <v>2.69</v>
      </c>
      <c r="HXL369" s="153"/>
      <c r="HXM369" s="153"/>
      <c r="HXN369" s="153"/>
      <c r="HXO369" s="648"/>
      <c r="HXP369" s="641"/>
      <c r="HXQ369" s="631" t="s">
        <v>90</v>
      </c>
      <c r="HXR369" s="632"/>
      <c r="HXS369" s="16"/>
      <c r="HXT369" s="636">
        <v>2.7</v>
      </c>
      <c r="HXU369" s="636">
        <v>2.7</v>
      </c>
      <c r="HXV369" s="636">
        <v>2.72</v>
      </c>
      <c r="HXW369" s="636">
        <v>2.72</v>
      </c>
      <c r="HXX369" s="636">
        <v>2.72</v>
      </c>
      <c r="HXY369" s="649">
        <v>2.72</v>
      </c>
      <c r="HXZ369" s="16"/>
      <c r="HYA369" s="320">
        <v>2.69</v>
      </c>
      <c r="HYB369" s="153"/>
      <c r="HYC369" s="153"/>
      <c r="HYD369" s="153"/>
      <c r="HYE369" s="648"/>
      <c r="HYF369" s="641"/>
      <c r="HYG369" s="631" t="s">
        <v>90</v>
      </c>
      <c r="HYH369" s="632"/>
      <c r="HYI369" s="16"/>
      <c r="HYJ369" s="636">
        <v>2.7</v>
      </c>
      <c r="HYK369" s="636">
        <v>2.7</v>
      </c>
      <c r="HYL369" s="636">
        <v>2.72</v>
      </c>
      <c r="HYM369" s="636">
        <v>2.72</v>
      </c>
      <c r="HYN369" s="636">
        <v>2.72</v>
      </c>
      <c r="HYO369" s="649">
        <v>2.72</v>
      </c>
      <c r="HYP369" s="16"/>
      <c r="HYQ369" s="320">
        <v>2.69</v>
      </c>
      <c r="HYR369" s="153"/>
      <c r="HYS369" s="153"/>
      <c r="HYT369" s="153"/>
      <c r="HYU369" s="648"/>
      <c r="HYV369" s="641"/>
      <c r="HYW369" s="631" t="s">
        <v>90</v>
      </c>
      <c r="HYX369" s="632"/>
      <c r="HYY369" s="16"/>
      <c r="HYZ369" s="636">
        <v>2.7</v>
      </c>
      <c r="HZA369" s="636">
        <v>2.7</v>
      </c>
      <c r="HZB369" s="636">
        <v>2.72</v>
      </c>
      <c r="HZC369" s="636">
        <v>2.72</v>
      </c>
      <c r="HZD369" s="636">
        <v>2.72</v>
      </c>
      <c r="HZE369" s="649">
        <v>2.72</v>
      </c>
      <c r="HZF369" s="16"/>
      <c r="HZG369" s="320">
        <v>2.69</v>
      </c>
      <c r="HZH369" s="153"/>
      <c r="HZI369" s="153"/>
      <c r="HZJ369" s="153"/>
      <c r="HZK369" s="648"/>
      <c r="HZL369" s="641"/>
      <c r="HZM369" s="631" t="s">
        <v>90</v>
      </c>
      <c r="HZN369" s="632"/>
      <c r="HZO369" s="16"/>
      <c r="HZP369" s="636">
        <v>2.7</v>
      </c>
      <c r="HZQ369" s="636">
        <v>2.7</v>
      </c>
      <c r="HZR369" s="636">
        <v>2.72</v>
      </c>
      <c r="HZS369" s="636">
        <v>2.72</v>
      </c>
      <c r="HZT369" s="636">
        <v>2.72</v>
      </c>
      <c r="HZU369" s="649">
        <v>2.72</v>
      </c>
      <c r="HZV369" s="16"/>
      <c r="HZW369" s="320">
        <v>2.69</v>
      </c>
      <c r="HZX369" s="153"/>
      <c r="HZY369" s="153"/>
      <c r="HZZ369" s="153"/>
      <c r="IAA369" s="648"/>
      <c r="IAB369" s="641"/>
      <c r="IAC369" s="631" t="s">
        <v>90</v>
      </c>
      <c r="IAD369" s="632"/>
      <c r="IAE369" s="16"/>
      <c r="IAF369" s="636">
        <v>2.7</v>
      </c>
      <c r="IAG369" s="636">
        <v>2.7</v>
      </c>
      <c r="IAH369" s="636">
        <v>2.72</v>
      </c>
      <c r="IAI369" s="636">
        <v>2.72</v>
      </c>
      <c r="IAJ369" s="636">
        <v>2.72</v>
      </c>
      <c r="IAK369" s="649">
        <v>2.72</v>
      </c>
      <c r="IAL369" s="16"/>
      <c r="IAM369" s="320">
        <v>2.69</v>
      </c>
      <c r="IAN369" s="153"/>
      <c r="IAO369" s="153"/>
      <c r="IAP369" s="153"/>
      <c r="IAQ369" s="648"/>
      <c r="IAR369" s="641"/>
      <c r="IAS369" s="631" t="s">
        <v>90</v>
      </c>
      <c r="IAT369" s="632"/>
      <c r="IAU369" s="16"/>
      <c r="IAV369" s="636">
        <v>2.7</v>
      </c>
      <c r="IAW369" s="636">
        <v>2.7</v>
      </c>
      <c r="IAX369" s="636">
        <v>2.72</v>
      </c>
      <c r="IAY369" s="636">
        <v>2.72</v>
      </c>
      <c r="IAZ369" s="636">
        <v>2.72</v>
      </c>
      <c r="IBA369" s="649">
        <v>2.72</v>
      </c>
      <c r="IBB369" s="16"/>
      <c r="IBC369" s="320">
        <v>2.69</v>
      </c>
      <c r="IBD369" s="153"/>
      <c r="IBE369" s="153"/>
      <c r="IBF369" s="153"/>
      <c r="IBG369" s="648"/>
      <c r="IBH369" s="641"/>
      <c r="IBI369" s="631" t="s">
        <v>90</v>
      </c>
      <c r="IBJ369" s="632"/>
      <c r="IBK369" s="16"/>
      <c r="IBL369" s="636">
        <v>2.7</v>
      </c>
      <c r="IBM369" s="636">
        <v>2.7</v>
      </c>
      <c r="IBN369" s="636">
        <v>2.72</v>
      </c>
      <c r="IBO369" s="636">
        <v>2.72</v>
      </c>
      <c r="IBP369" s="636">
        <v>2.72</v>
      </c>
      <c r="IBQ369" s="649">
        <v>2.72</v>
      </c>
      <c r="IBR369" s="16"/>
      <c r="IBS369" s="320">
        <v>2.69</v>
      </c>
      <c r="IBT369" s="153"/>
      <c r="IBU369" s="153"/>
      <c r="IBV369" s="153"/>
      <c r="IBW369" s="648"/>
      <c r="IBX369" s="641"/>
      <c r="IBY369" s="631" t="s">
        <v>90</v>
      </c>
      <c r="IBZ369" s="632"/>
      <c r="ICA369" s="16"/>
      <c r="ICB369" s="636">
        <v>2.7</v>
      </c>
      <c r="ICC369" s="636">
        <v>2.7</v>
      </c>
      <c r="ICD369" s="636">
        <v>2.72</v>
      </c>
      <c r="ICE369" s="636">
        <v>2.72</v>
      </c>
      <c r="ICF369" s="636">
        <v>2.72</v>
      </c>
      <c r="ICG369" s="649">
        <v>2.72</v>
      </c>
      <c r="ICH369" s="16"/>
      <c r="ICI369" s="320">
        <v>2.69</v>
      </c>
      <c r="ICJ369" s="153"/>
      <c r="ICK369" s="153"/>
      <c r="ICL369" s="153"/>
      <c r="ICM369" s="648"/>
      <c r="ICN369" s="641"/>
      <c r="ICO369" s="631" t="s">
        <v>90</v>
      </c>
      <c r="ICP369" s="632"/>
      <c r="ICQ369" s="16"/>
      <c r="ICR369" s="636">
        <v>2.7</v>
      </c>
      <c r="ICS369" s="636">
        <v>2.7</v>
      </c>
      <c r="ICT369" s="636">
        <v>2.72</v>
      </c>
      <c r="ICU369" s="636">
        <v>2.72</v>
      </c>
      <c r="ICV369" s="636">
        <v>2.72</v>
      </c>
      <c r="ICW369" s="649">
        <v>2.72</v>
      </c>
      <c r="ICX369" s="16"/>
      <c r="ICY369" s="320">
        <v>2.69</v>
      </c>
      <c r="ICZ369" s="153"/>
      <c r="IDA369" s="153"/>
      <c r="IDB369" s="153"/>
      <c r="IDC369" s="648"/>
      <c r="IDD369" s="641"/>
      <c r="IDE369" s="631" t="s">
        <v>90</v>
      </c>
      <c r="IDF369" s="632"/>
      <c r="IDG369" s="16"/>
      <c r="IDH369" s="636">
        <v>2.7</v>
      </c>
      <c r="IDI369" s="636">
        <v>2.7</v>
      </c>
      <c r="IDJ369" s="636">
        <v>2.72</v>
      </c>
      <c r="IDK369" s="636">
        <v>2.72</v>
      </c>
      <c r="IDL369" s="636">
        <v>2.72</v>
      </c>
      <c r="IDM369" s="649">
        <v>2.72</v>
      </c>
      <c r="IDN369" s="16"/>
      <c r="IDO369" s="320">
        <v>2.69</v>
      </c>
      <c r="IDP369" s="153"/>
      <c r="IDQ369" s="153"/>
      <c r="IDR369" s="153"/>
      <c r="IDS369" s="648"/>
      <c r="IDT369" s="641"/>
      <c r="IDU369" s="631" t="s">
        <v>90</v>
      </c>
      <c r="IDV369" s="632"/>
      <c r="IDW369" s="16"/>
      <c r="IDX369" s="636">
        <v>2.7</v>
      </c>
      <c r="IDY369" s="636">
        <v>2.7</v>
      </c>
      <c r="IDZ369" s="636">
        <v>2.72</v>
      </c>
      <c r="IEA369" s="636">
        <v>2.72</v>
      </c>
      <c r="IEB369" s="636">
        <v>2.72</v>
      </c>
      <c r="IEC369" s="649">
        <v>2.72</v>
      </c>
      <c r="IED369" s="16"/>
      <c r="IEE369" s="320">
        <v>2.69</v>
      </c>
      <c r="IEF369" s="153"/>
      <c r="IEG369" s="153"/>
      <c r="IEH369" s="153"/>
      <c r="IEI369" s="648"/>
      <c r="IEJ369" s="641"/>
      <c r="IEK369" s="631" t="s">
        <v>90</v>
      </c>
      <c r="IEL369" s="632"/>
      <c r="IEM369" s="16"/>
      <c r="IEN369" s="636">
        <v>2.7</v>
      </c>
      <c r="IEO369" s="636">
        <v>2.7</v>
      </c>
      <c r="IEP369" s="636">
        <v>2.72</v>
      </c>
      <c r="IEQ369" s="636">
        <v>2.72</v>
      </c>
      <c r="IER369" s="636">
        <v>2.72</v>
      </c>
      <c r="IES369" s="649">
        <v>2.72</v>
      </c>
      <c r="IET369" s="16"/>
      <c r="IEU369" s="320">
        <v>2.69</v>
      </c>
      <c r="IEV369" s="153"/>
      <c r="IEW369" s="153"/>
      <c r="IEX369" s="153"/>
      <c r="IEY369" s="648"/>
      <c r="IEZ369" s="641"/>
      <c r="IFA369" s="631" t="s">
        <v>90</v>
      </c>
      <c r="IFB369" s="632"/>
      <c r="IFC369" s="16"/>
      <c r="IFD369" s="636">
        <v>2.7</v>
      </c>
      <c r="IFE369" s="636">
        <v>2.7</v>
      </c>
      <c r="IFF369" s="636">
        <v>2.72</v>
      </c>
      <c r="IFG369" s="636">
        <v>2.72</v>
      </c>
      <c r="IFH369" s="636">
        <v>2.72</v>
      </c>
      <c r="IFI369" s="649">
        <v>2.72</v>
      </c>
      <c r="IFJ369" s="16"/>
      <c r="IFK369" s="320">
        <v>2.69</v>
      </c>
      <c r="IFL369" s="153"/>
      <c r="IFM369" s="153"/>
      <c r="IFN369" s="153"/>
      <c r="IFO369" s="648"/>
      <c r="IFP369" s="641"/>
      <c r="IFQ369" s="631" t="s">
        <v>90</v>
      </c>
      <c r="IFR369" s="632"/>
      <c r="IFS369" s="16"/>
      <c r="IFT369" s="636">
        <v>2.7</v>
      </c>
      <c r="IFU369" s="636">
        <v>2.7</v>
      </c>
      <c r="IFV369" s="636">
        <v>2.72</v>
      </c>
      <c r="IFW369" s="636">
        <v>2.72</v>
      </c>
      <c r="IFX369" s="636">
        <v>2.72</v>
      </c>
      <c r="IFY369" s="649">
        <v>2.72</v>
      </c>
      <c r="IFZ369" s="16"/>
      <c r="IGA369" s="320">
        <v>2.69</v>
      </c>
      <c r="IGB369" s="153"/>
      <c r="IGC369" s="153"/>
      <c r="IGD369" s="153"/>
      <c r="IGE369" s="648"/>
      <c r="IGF369" s="641"/>
      <c r="IGG369" s="631" t="s">
        <v>90</v>
      </c>
      <c r="IGH369" s="632"/>
      <c r="IGI369" s="16"/>
      <c r="IGJ369" s="636">
        <v>2.7</v>
      </c>
      <c r="IGK369" s="636">
        <v>2.7</v>
      </c>
      <c r="IGL369" s="636">
        <v>2.72</v>
      </c>
      <c r="IGM369" s="636">
        <v>2.72</v>
      </c>
      <c r="IGN369" s="636">
        <v>2.72</v>
      </c>
      <c r="IGO369" s="649">
        <v>2.72</v>
      </c>
      <c r="IGP369" s="16"/>
      <c r="IGQ369" s="320">
        <v>2.69</v>
      </c>
      <c r="IGR369" s="153"/>
      <c r="IGS369" s="153"/>
      <c r="IGT369" s="153"/>
      <c r="IGU369" s="648"/>
      <c r="IGV369" s="641"/>
      <c r="IGW369" s="631" t="s">
        <v>90</v>
      </c>
      <c r="IGX369" s="632"/>
      <c r="IGY369" s="16"/>
      <c r="IGZ369" s="636">
        <v>2.7</v>
      </c>
      <c r="IHA369" s="636">
        <v>2.7</v>
      </c>
      <c r="IHB369" s="636">
        <v>2.72</v>
      </c>
      <c r="IHC369" s="636">
        <v>2.72</v>
      </c>
      <c r="IHD369" s="636">
        <v>2.72</v>
      </c>
      <c r="IHE369" s="649">
        <v>2.72</v>
      </c>
      <c r="IHF369" s="16"/>
      <c r="IHG369" s="320">
        <v>2.69</v>
      </c>
      <c r="IHH369" s="153"/>
      <c r="IHI369" s="153"/>
      <c r="IHJ369" s="153"/>
      <c r="IHK369" s="648"/>
      <c r="IHL369" s="641"/>
      <c r="IHM369" s="631" t="s">
        <v>90</v>
      </c>
      <c r="IHN369" s="632"/>
      <c r="IHO369" s="16"/>
      <c r="IHP369" s="636">
        <v>2.7</v>
      </c>
      <c r="IHQ369" s="636">
        <v>2.7</v>
      </c>
      <c r="IHR369" s="636">
        <v>2.72</v>
      </c>
      <c r="IHS369" s="636">
        <v>2.72</v>
      </c>
      <c r="IHT369" s="636">
        <v>2.72</v>
      </c>
      <c r="IHU369" s="649">
        <v>2.72</v>
      </c>
      <c r="IHV369" s="16"/>
      <c r="IHW369" s="320">
        <v>2.69</v>
      </c>
      <c r="IHX369" s="153"/>
      <c r="IHY369" s="153"/>
      <c r="IHZ369" s="153"/>
      <c r="IIA369" s="648"/>
      <c r="IIB369" s="641"/>
      <c r="IIC369" s="631" t="s">
        <v>90</v>
      </c>
      <c r="IID369" s="632"/>
      <c r="IIE369" s="16"/>
      <c r="IIF369" s="636">
        <v>2.7</v>
      </c>
      <c r="IIG369" s="636">
        <v>2.7</v>
      </c>
      <c r="IIH369" s="636">
        <v>2.72</v>
      </c>
      <c r="III369" s="636">
        <v>2.72</v>
      </c>
      <c r="IIJ369" s="636">
        <v>2.72</v>
      </c>
      <c r="IIK369" s="649">
        <v>2.72</v>
      </c>
      <c r="IIL369" s="16"/>
      <c r="IIM369" s="320">
        <v>2.69</v>
      </c>
      <c r="IIN369" s="153"/>
      <c r="IIO369" s="153"/>
      <c r="IIP369" s="153"/>
      <c r="IIQ369" s="648"/>
      <c r="IIR369" s="641"/>
      <c r="IIS369" s="631" t="s">
        <v>90</v>
      </c>
      <c r="IIT369" s="632"/>
      <c r="IIU369" s="16"/>
      <c r="IIV369" s="636">
        <v>2.7</v>
      </c>
      <c r="IIW369" s="636">
        <v>2.7</v>
      </c>
      <c r="IIX369" s="636">
        <v>2.72</v>
      </c>
      <c r="IIY369" s="636">
        <v>2.72</v>
      </c>
      <c r="IIZ369" s="636">
        <v>2.72</v>
      </c>
      <c r="IJA369" s="649">
        <v>2.72</v>
      </c>
      <c r="IJB369" s="16"/>
      <c r="IJC369" s="320">
        <v>2.69</v>
      </c>
      <c r="IJD369" s="153"/>
      <c r="IJE369" s="153"/>
      <c r="IJF369" s="153"/>
      <c r="IJG369" s="648"/>
      <c r="IJH369" s="641"/>
      <c r="IJI369" s="631" t="s">
        <v>90</v>
      </c>
      <c r="IJJ369" s="632"/>
      <c r="IJK369" s="16"/>
      <c r="IJL369" s="636">
        <v>2.7</v>
      </c>
      <c r="IJM369" s="636">
        <v>2.7</v>
      </c>
      <c r="IJN369" s="636">
        <v>2.72</v>
      </c>
      <c r="IJO369" s="636">
        <v>2.72</v>
      </c>
      <c r="IJP369" s="636">
        <v>2.72</v>
      </c>
      <c r="IJQ369" s="649">
        <v>2.72</v>
      </c>
      <c r="IJR369" s="16"/>
      <c r="IJS369" s="320">
        <v>2.69</v>
      </c>
      <c r="IJT369" s="153"/>
      <c r="IJU369" s="153"/>
      <c r="IJV369" s="153"/>
      <c r="IJW369" s="648"/>
      <c r="IJX369" s="641"/>
      <c r="IJY369" s="631" t="s">
        <v>90</v>
      </c>
      <c r="IJZ369" s="632"/>
      <c r="IKA369" s="16"/>
      <c r="IKB369" s="636">
        <v>2.7</v>
      </c>
      <c r="IKC369" s="636">
        <v>2.7</v>
      </c>
      <c r="IKD369" s="636">
        <v>2.72</v>
      </c>
      <c r="IKE369" s="636">
        <v>2.72</v>
      </c>
      <c r="IKF369" s="636">
        <v>2.72</v>
      </c>
      <c r="IKG369" s="649">
        <v>2.72</v>
      </c>
      <c r="IKH369" s="16"/>
      <c r="IKI369" s="320">
        <v>2.69</v>
      </c>
      <c r="IKJ369" s="153"/>
      <c r="IKK369" s="153"/>
      <c r="IKL369" s="153"/>
      <c r="IKM369" s="648"/>
      <c r="IKN369" s="641"/>
      <c r="IKO369" s="631" t="s">
        <v>90</v>
      </c>
      <c r="IKP369" s="632"/>
      <c r="IKQ369" s="16"/>
      <c r="IKR369" s="636">
        <v>2.7</v>
      </c>
      <c r="IKS369" s="636">
        <v>2.7</v>
      </c>
      <c r="IKT369" s="636">
        <v>2.72</v>
      </c>
      <c r="IKU369" s="636">
        <v>2.72</v>
      </c>
      <c r="IKV369" s="636">
        <v>2.72</v>
      </c>
      <c r="IKW369" s="649">
        <v>2.72</v>
      </c>
      <c r="IKX369" s="16"/>
      <c r="IKY369" s="320">
        <v>2.69</v>
      </c>
      <c r="IKZ369" s="153"/>
      <c r="ILA369" s="153"/>
      <c r="ILB369" s="153"/>
      <c r="ILC369" s="648"/>
      <c r="ILD369" s="641"/>
      <c r="ILE369" s="631" t="s">
        <v>90</v>
      </c>
      <c r="ILF369" s="632"/>
      <c r="ILG369" s="16"/>
      <c r="ILH369" s="636">
        <v>2.7</v>
      </c>
      <c r="ILI369" s="636">
        <v>2.7</v>
      </c>
      <c r="ILJ369" s="636">
        <v>2.72</v>
      </c>
      <c r="ILK369" s="636">
        <v>2.72</v>
      </c>
      <c r="ILL369" s="636">
        <v>2.72</v>
      </c>
      <c r="ILM369" s="649">
        <v>2.72</v>
      </c>
      <c r="ILN369" s="16"/>
      <c r="ILO369" s="320">
        <v>2.69</v>
      </c>
      <c r="ILP369" s="153"/>
      <c r="ILQ369" s="153"/>
      <c r="ILR369" s="153"/>
      <c r="ILS369" s="648"/>
      <c r="ILT369" s="641"/>
      <c r="ILU369" s="631" t="s">
        <v>90</v>
      </c>
      <c r="ILV369" s="632"/>
      <c r="ILW369" s="16"/>
      <c r="ILX369" s="636">
        <v>2.7</v>
      </c>
      <c r="ILY369" s="636">
        <v>2.7</v>
      </c>
      <c r="ILZ369" s="636">
        <v>2.72</v>
      </c>
      <c r="IMA369" s="636">
        <v>2.72</v>
      </c>
      <c r="IMB369" s="636">
        <v>2.72</v>
      </c>
      <c r="IMC369" s="649">
        <v>2.72</v>
      </c>
      <c r="IMD369" s="16"/>
      <c r="IME369" s="320">
        <v>2.69</v>
      </c>
      <c r="IMF369" s="153"/>
      <c r="IMG369" s="153"/>
      <c r="IMH369" s="153"/>
      <c r="IMI369" s="648"/>
      <c r="IMJ369" s="641"/>
      <c r="IMK369" s="631" t="s">
        <v>90</v>
      </c>
      <c r="IML369" s="632"/>
      <c r="IMM369" s="16"/>
      <c r="IMN369" s="636">
        <v>2.7</v>
      </c>
      <c r="IMO369" s="636">
        <v>2.7</v>
      </c>
      <c r="IMP369" s="636">
        <v>2.72</v>
      </c>
      <c r="IMQ369" s="636">
        <v>2.72</v>
      </c>
      <c r="IMR369" s="636">
        <v>2.72</v>
      </c>
      <c r="IMS369" s="649">
        <v>2.72</v>
      </c>
      <c r="IMT369" s="16"/>
      <c r="IMU369" s="320">
        <v>2.69</v>
      </c>
      <c r="IMV369" s="153"/>
      <c r="IMW369" s="153"/>
      <c r="IMX369" s="153"/>
      <c r="IMY369" s="648"/>
      <c r="IMZ369" s="641"/>
      <c r="INA369" s="631" t="s">
        <v>90</v>
      </c>
      <c r="INB369" s="632"/>
      <c r="INC369" s="16"/>
      <c r="IND369" s="636">
        <v>2.7</v>
      </c>
      <c r="INE369" s="636">
        <v>2.7</v>
      </c>
      <c r="INF369" s="636">
        <v>2.72</v>
      </c>
      <c r="ING369" s="636">
        <v>2.72</v>
      </c>
      <c r="INH369" s="636">
        <v>2.72</v>
      </c>
      <c r="INI369" s="649">
        <v>2.72</v>
      </c>
      <c r="INJ369" s="16"/>
      <c r="INK369" s="320">
        <v>2.69</v>
      </c>
      <c r="INL369" s="153"/>
      <c r="INM369" s="153"/>
      <c r="INN369" s="153"/>
      <c r="INO369" s="648"/>
      <c r="INP369" s="641"/>
      <c r="INQ369" s="631" t="s">
        <v>90</v>
      </c>
      <c r="INR369" s="632"/>
      <c r="INS369" s="16"/>
      <c r="INT369" s="636">
        <v>2.7</v>
      </c>
      <c r="INU369" s="636">
        <v>2.7</v>
      </c>
      <c r="INV369" s="636">
        <v>2.72</v>
      </c>
      <c r="INW369" s="636">
        <v>2.72</v>
      </c>
      <c r="INX369" s="636">
        <v>2.72</v>
      </c>
      <c r="INY369" s="649">
        <v>2.72</v>
      </c>
      <c r="INZ369" s="16"/>
      <c r="IOA369" s="320">
        <v>2.69</v>
      </c>
      <c r="IOB369" s="153"/>
      <c r="IOC369" s="153"/>
      <c r="IOD369" s="153"/>
      <c r="IOE369" s="648"/>
      <c r="IOF369" s="641"/>
      <c r="IOG369" s="631" t="s">
        <v>90</v>
      </c>
      <c r="IOH369" s="632"/>
      <c r="IOI369" s="16"/>
      <c r="IOJ369" s="636">
        <v>2.7</v>
      </c>
      <c r="IOK369" s="636">
        <v>2.7</v>
      </c>
      <c r="IOL369" s="636">
        <v>2.72</v>
      </c>
      <c r="IOM369" s="636">
        <v>2.72</v>
      </c>
      <c r="ION369" s="636">
        <v>2.72</v>
      </c>
      <c r="IOO369" s="649">
        <v>2.72</v>
      </c>
      <c r="IOP369" s="16"/>
      <c r="IOQ369" s="320">
        <v>2.69</v>
      </c>
      <c r="IOR369" s="153"/>
      <c r="IOS369" s="153"/>
      <c r="IOT369" s="153"/>
      <c r="IOU369" s="648"/>
      <c r="IOV369" s="641"/>
      <c r="IOW369" s="631" t="s">
        <v>90</v>
      </c>
      <c r="IOX369" s="632"/>
      <c r="IOY369" s="16"/>
      <c r="IOZ369" s="636">
        <v>2.7</v>
      </c>
      <c r="IPA369" s="636">
        <v>2.7</v>
      </c>
      <c r="IPB369" s="636">
        <v>2.72</v>
      </c>
      <c r="IPC369" s="636">
        <v>2.72</v>
      </c>
      <c r="IPD369" s="636">
        <v>2.72</v>
      </c>
      <c r="IPE369" s="649">
        <v>2.72</v>
      </c>
      <c r="IPF369" s="16"/>
      <c r="IPG369" s="320">
        <v>2.69</v>
      </c>
      <c r="IPH369" s="153"/>
      <c r="IPI369" s="153"/>
      <c r="IPJ369" s="153"/>
      <c r="IPK369" s="648"/>
      <c r="IPL369" s="641"/>
      <c r="IPM369" s="631" t="s">
        <v>90</v>
      </c>
      <c r="IPN369" s="632"/>
      <c r="IPO369" s="16"/>
      <c r="IPP369" s="636">
        <v>2.7</v>
      </c>
      <c r="IPQ369" s="636">
        <v>2.7</v>
      </c>
      <c r="IPR369" s="636">
        <v>2.72</v>
      </c>
      <c r="IPS369" s="636">
        <v>2.72</v>
      </c>
      <c r="IPT369" s="636">
        <v>2.72</v>
      </c>
      <c r="IPU369" s="649">
        <v>2.72</v>
      </c>
      <c r="IPV369" s="16"/>
      <c r="IPW369" s="320">
        <v>2.69</v>
      </c>
      <c r="IPX369" s="153"/>
      <c r="IPY369" s="153"/>
      <c r="IPZ369" s="153"/>
      <c r="IQA369" s="648"/>
      <c r="IQB369" s="641"/>
      <c r="IQC369" s="631" t="s">
        <v>90</v>
      </c>
      <c r="IQD369" s="632"/>
      <c r="IQE369" s="16"/>
      <c r="IQF369" s="636">
        <v>2.7</v>
      </c>
      <c r="IQG369" s="636">
        <v>2.7</v>
      </c>
      <c r="IQH369" s="636">
        <v>2.72</v>
      </c>
      <c r="IQI369" s="636">
        <v>2.72</v>
      </c>
      <c r="IQJ369" s="636">
        <v>2.72</v>
      </c>
      <c r="IQK369" s="649">
        <v>2.72</v>
      </c>
      <c r="IQL369" s="16"/>
      <c r="IQM369" s="320">
        <v>2.69</v>
      </c>
      <c r="IQN369" s="153"/>
      <c r="IQO369" s="153"/>
      <c r="IQP369" s="153"/>
      <c r="IQQ369" s="648"/>
      <c r="IQR369" s="641"/>
      <c r="IQS369" s="631" t="s">
        <v>90</v>
      </c>
      <c r="IQT369" s="632"/>
      <c r="IQU369" s="16"/>
      <c r="IQV369" s="636">
        <v>2.7</v>
      </c>
      <c r="IQW369" s="636">
        <v>2.7</v>
      </c>
      <c r="IQX369" s="636">
        <v>2.72</v>
      </c>
      <c r="IQY369" s="636">
        <v>2.72</v>
      </c>
      <c r="IQZ369" s="636">
        <v>2.72</v>
      </c>
      <c r="IRA369" s="649">
        <v>2.72</v>
      </c>
      <c r="IRB369" s="16"/>
      <c r="IRC369" s="320">
        <v>2.69</v>
      </c>
      <c r="IRD369" s="153"/>
      <c r="IRE369" s="153"/>
      <c r="IRF369" s="153"/>
      <c r="IRG369" s="648"/>
      <c r="IRH369" s="641"/>
      <c r="IRI369" s="631" t="s">
        <v>90</v>
      </c>
      <c r="IRJ369" s="632"/>
      <c r="IRK369" s="16"/>
      <c r="IRL369" s="636">
        <v>2.7</v>
      </c>
      <c r="IRM369" s="636">
        <v>2.7</v>
      </c>
      <c r="IRN369" s="636">
        <v>2.72</v>
      </c>
      <c r="IRO369" s="636">
        <v>2.72</v>
      </c>
      <c r="IRP369" s="636">
        <v>2.72</v>
      </c>
      <c r="IRQ369" s="649">
        <v>2.72</v>
      </c>
      <c r="IRR369" s="16"/>
      <c r="IRS369" s="320">
        <v>2.69</v>
      </c>
      <c r="IRT369" s="153"/>
      <c r="IRU369" s="153"/>
      <c r="IRV369" s="153"/>
      <c r="IRW369" s="648"/>
      <c r="IRX369" s="641"/>
      <c r="IRY369" s="631" t="s">
        <v>90</v>
      </c>
      <c r="IRZ369" s="632"/>
      <c r="ISA369" s="16"/>
      <c r="ISB369" s="636">
        <v>2.7</v>
      </c>
      <c r="ISC369" s="636">
        <v>2.7</v>
      </c>
      <c r="ISD369" s="636">
        <v>2.72</v>
      </c>
      <c r="ISE369" s="636">
        <v>2.72</v>
      </c>
      <c r="ISF369" s="636">
        <v>2.72</v>
      </c>
      <c r="ISG369" s="649">
        <v>2.72</v>
      </c>
      <c r="ISH369" s="16"/>
      <c r="ISI369" s="320">
        <v>2.69</v>
      </c>
      <c r="ISJ369" s="153"/>
      <c r="ISK369" s="153"/>
      <c r="ISL369" s="153"/>
      <c r="ISM369" s="648"/>
      <c r="ISN369" s="641"/>
      <c r="ISO369" s="631" t="s">
        <v>90</v>
      </c>
      <c r="ISP369" s="632"/>
      <c r="ISQ369" s="16"/>
      <c r="ISR369" s="636">
        <v>2.7</v>
      </c>
      <c r="ISS369" s="636">
        <v>2.7</v>
      </c>
      <c r="IST369" s="636">
        <v>2.72</v>
      </c>
      <c r="ISU369" s="636">
        <v>2.72</v>
      </c>
      <c r="ISV369" s="636">
        <v>2.72</v>
      </c>
      <c r="ISW369" s="649">
        <v>2.72</v>
      </c>
      <c r="ISX369" s="16"/>
      <c r="ISY369" s="320">
        <v>2.69</v>
      </c>
      <c r="ISZ369" s="153"/>
      <c r="ITA369" s="153"/>
      <c r="ITB369" s="153"/>
      <c r="ITC369" s="648"/>
      <c r="ITD369" s="641"/>
      <c r="ITE369" s="631" t="s">
        <v>90</v>
      </c>
      <c r="ITF369" s="632"/>
      <c r="ITG369" s="16"/>
      <c r="ITH369" s="636">
        <v>2.7</v>
      </c>
      <c r="ITI369" s="636">
        <v>2.7</v>
      </c>
      <c r="ITJ369" s="636">
        <v>2.72</v>
      </c>
      <c r="ITK369" s="636">
        <v>2.72</v>
      </c>
      <c r="ITL369" s="636">
        <v>2.72</v>
      </c>
      <c r="ITM369" s="649">
        <v>2.72</v>
      </c>
      <c r="ITN369" s="16"/>
      <c r="ITO369" s="320">
        <v>2.69</v>
      </c>
      <c r="ITP369" s="153"/>
      <c r="ITQ369" s="153"/>
      <c r="ITR369" s="153"/>
      <c r="ITS369" s="648"/>
      <c r="ITT369" s="641"/>
      <c r="ITU369" s="631" t="s">
        <v>90</v>
      </c>
      <c r="ITV369" s="632"/>
      <c r="ITW369" s="16"/>
      <c r="ITX369" s="636">
        <v>2.7</v>
      </c>
      <c r="ITY369" s="636">
        <v>2.7</v>
      </c>
      <c r="ITZ369" s="636">
        <v>2.72</v>
      </c>
      <c r="IUA369" s="636">
        <v>2.72</v>
      </c>
      <c r="IUB369" s="636">
        <v>2.72</v>
      </c>
      <c r="IUC369" s="649">
        <v>2.72</v>
      </c>
      <c r="IUD369" s="16"/>
      <c r="IUE369" s="320">
        <v>2.69</v>
      </c>
      <c r="IUF369" s="153"/>
      <c r="IUG369" s="153"/>
      <c r="IUH369" s="153"/>
      <c r="IUI369" s="648"/>
      <c r="IUJ369" s="641"/>
      <c r="IUK369" s="631" t="s">
        <v>90</v>
      </c>
      <c r="IUL369" s="632"/>
      <c r="IUM369" s="16"/>
      <c r="IUN369" s="636">
        <v>2.7</v>
      </c>
      <c r="IUO369" s="636">
        <v>2.7</v>
      </c>
      <c r="IUP369" s="636">
        <v>2.72</v>
      </c>
      <c r="IUQ369" s="636">
        <v>2.72</v>
      </c>
      <c r="IUR369" s="636">
        <v>2.72</v>
      </c>
      <c r="IUS369" s="649">
        <v>2.72</v>
      </c>
      <c r="IUT369" s="16"/>
      <c r="IUU369" s="320">
        <v>2.69</v>
      </c>
      <c r="IUV369" s="153"/>
      <c r="IUW369" s="153"/>
      <c r="IUX369" s="153"/>
      <c r="IUY369" s="648"/>
      <c r="IUZ369" s="641"/>
      <c r="IVA369" s="631" t="s">
        <v>90</v>
      </c>
      <c r="IVB369" s="632"/>
      <c r="IVC369" s="16"/>
      <c r="IVD369" s="636">
        <v>2.7</v>
      </c>
      <c r="IVE369" s="636">
        <v>2.7</v>
      </c>
      <c r="IVF369" s="636">
        <v>2.72</v>
      </c>
      <c r="IVG369" s="636">
        <v>2.72</v>
      </c>
      <c r="IVH369" s="636">
        <v>2.72</v>
      </c>
      <c r="IVI369" s="649">
        <v>2.72</v>
      </c>
      <c r="IVJ369" s="16"/>
      <c r="IVK369" s="320">
        <v>2.69</v>
      </c>
      <c r="IVL369" s="153"/>
      <c r="IVM369" s="153"/>
      <c r="IVN369" s="153"/>
      <c r="IVO369" s="648"/>
      <c r="IVP369" s="641"/>
      <c r="IVQ369" s="631" t="s">
        <v>90</v>
      </c>
      <c r="IVR369" s="632"/>
      <c r="IVS369" s="16"/>
      <c r="IVT369" s="636">
        <v>2.7</v>
      </c>
      <c r="IVU369" s="636">
        <v>2.7</v>
      </c>
      <c r="IVV369" s="636">
        <v>2.72</v>
      </c>
      <c r="IVW369" s="636">
        <v>2.72</v>
      </c>
      <c r="IVX369" s="636">
        <v>2.72</v>
      </c>
      <c r="IVY369" s="649">
        <v>2.72</v>
      </c>
      <c r="IVZ369" s="16"/>
      <c r="IWA369" s="320">
        <v>2.69</v>
      </c>
      <c r="IWB369" s="153"/>
      <c r="IWC369" s="153"/>
      <c r="IWD369" s="153"/>
      <c r="IWE369" s="648"/>
      <c r="IWF369" s="641"/>
      <c r="IWG369" s="631" t="s">
        <v>90</v>
      </c>
      <c r="IWH369" s="632"/>
      <c r="IWI369" s="16"/>
      <c r="IWJ369" s="636">
        <v>2.7</v>
      </c>
      <c r="IWK369" s="636">
        <v>2.7</v>
      </c>
      <c r="IWL369" s="636">
        <v>2.72</v>
      </c>
      <c r="IWM369" s="636">
        <v>2.72</v>
      </c>
      <c r="IWN369" s="636">
        <v>2.72</v>
      </c>
      <c r="IWO369" s="649">
        <v>2.72</v>
      </c>
      <c r="IWP369" s="16"/>
      <c r="IWQ369" s="320">
        <v>2.69</v>
      </c>
      <c r="IWR369" s="153"/>
      <c r="IWS369" s="153"/>
      <c r="IWT369" s="153"/>
      <c r="IWU369" s="648"/>
      <c r="IWV369" s="641"/>
      <c r="IWW369" s="631" t="s">
        <v>90</v>
      </c>
      <c r="IWX369" s="632"/>
      <c r="IWY369" s="16"/>
      <c r="IWZ369" s="636">
        <v>2.7</v>
      </c>
      <c r="IXA369" s="636">
        <v>2.7</v>
      </c>
      <c r="IXB369" s="636">
        <v>2.72</v>
      </c>
      <c r="IXC369" s="636">
        <v>2.72</v>
      </c>
      <c r="IXD369" s="636">
        <v>2.72</v>
      </c>
      <c r="IXE369" s="649">
        <v>2.72</v>
      </c>
      <c r="IXF369" s="16"/>
      <c r="IXG369" s="320">
        <v>2.69</v>
      </c>
      <c r="IXH369" s="153"/>
      <c r="IXI369" s="153"/>
      <c r="IXJ369" s="153"/>
      <c r="IXK369" s="648"/>
      <c r="IXL369" s="641"/>
      <c r="IXM369" s="631" t="s">
        <v>90</v>
      </c>
      <c r="IXN369" s="632"/>
      <c r="IXO369" s="16"/>
      <c r="IXP369" s="636">
        <v>2.7</v>
      </c>
      <c r="IXQ369" s="636">
        <v>2.7</v>
      </c>
      <c r="IXR369" s="636">
        <v>2.72</v>
      </c>
      <c r="IXS369" s="636">
        <v>2.72</v>
      </c>
      <c r="IXT369" s="636">
        <v>2.72</v>
      </c>
      <c r="IXU369" s="649">
        <v>2.72</v>
      </c>
      <c r="IXV369" s="16"/>
      <c r="IXW369" s="320">
        <v>2.69</v>
      </c>
      <c r="IXX369" s="153"/>
      <c r="IXY369" s="153"/>
      <c r="IXZ369" s="153"/>
      <c r="IYA369" s="648"/>
      <c r="IYB369" s="641"/>
      <c r="IYC369" s="631" t="s">
        <v>90</v>
      </c>
      <c r="IYD369" s="632"/>
      <c r="IYE369" s="16"/>
      <c r="IYF369" s="636">
        <v>2.7</v>
      </c>
      <c r="IYG369" s="636">
        <v>2.7</v>
      </c>
      <c r="IYH369" s="636">
        <v>2.72</v>
      </c>
      <c r="IYI369" s="636">
        <v>2.72</v>
      </c>
      <c r="IYJ369" s="636">
        <v>2.72</v>
      </c>
      <c r="IYK369" s="649">
        <v>2.72</v>
      </c>
      <c r="IYL369" s="16"/>
      <c r="IYM369" s="320">
        <v>2.69</v>
      </c>
      <c r="IYN369" s="153"/>
      <c r="IYO369" s="153"/>
      <c r="IYP369" s="153"/>
      <c r="IYQ369" s="648"/>
      <c r="IYR369" s="641"/>
      <c r="IYS369" s="631" t="s">
        <v>90</v>
      </c>
      <c r="IYT369" s="632"/>
      <c r="IYU369" s="16"/>
      <c r="IYV369" s="636">
        <v>2.7</v>
      </c>
      <c r="IYW369" s="636">
        <v>2.7</v>
      </c>
      <c r="IYX369" s="636">
        <v>2.72</v>
      </c>
      <c r="IYY369" s="636">
        <v>2.72</v>
      </c>
      <c r="IYZ369" s="636">
        <v>2.72</v>
      </c>
      <c r="IZA369" s="649">
        <v>2.72</v>
      </c>
      <c r="IZB369" s="16"/>
      <c r="IZC369" s="320">
        <v>2.69</v>
      </c>
      <c r="IZD369" s="153"/>
      <c r="IZE369" s="153"/>
      <c r="IZF369" s="153"/>
      <c r="IZG369" s="648"/>
      <c r="IZH369" s="641"/>
      <c r="IZI369" s="631" t="s">
        <v>90</v>
      </c>
      <c r="IZJ369" s="632"/>
      <c r="IZK369" s="16"/>
      <c r="IZL369" s="636">
        <v>2.7</v>
      </c>
      <c r="IZM369" s="636">
        <v>2.7</v>
      </c>
      <c r="IZN369" s="636">
        <v>2.72</v>
      </c>
      <c r="IZO369" s="636">
        <v>2.72</v>
      </c>
      <c r="IZP369" s="636">
        <v>2.72</v>
      </c>
      <c r="IZQ369" s="649">
        <v>2.72</v>
      </c>
      <c r="IZR369" s="16"/>
      <c r="IZS369" s="320">
        <v>2.69</v>
      </c>
      <c r="IZT369" s="153"/>
      <c r="IZU369" s="153"/>
      <c r="IZV369" s="153"/>
      <c r="IZW369" s="648"/>
      <c r="IZX369" s="641"/>
      <c r="IZY369" s="631" t="s">
        <v>90</v>
      </c>
      <c r="IZZ369" s="632"/>
      <c r="JAA369" s="16"/>
      <c r="JAB369" s="636">
        <v>2.7</v>
      </c>
      <c r="JAC369" s="636">
        <v>2.7</v>
      </c>
      <c r="JAD369" s="636">
        <v>2.72</v>
      </c>
      <c r="JAE369" s="636">
        <v>2.72</v>
      </c>
      <c r="JAF369" s="636">
        <v>2.72</v>
      </c>
      <c r="JAG369" s="649">
        <v>2.72</v>
      </c>
      <c r="JAH369" s="16"/>
      <c r="JAI369" s="320">
        <v>2.69</v>
      </c>
      <c r="JAJ369" s="153"/>
      <c r="JAK369" s="153"/>
      <c r="JAL369" s="153"/>
      <c r="JAM369" s="648"/>
      <c r="JAN369" s="641"/>
      <c r="JAO369" s="631" t="s">
        <v>90</v>
      </c>
      <c r="JAP369" s="632"/>
      <c r="JAQ369" s="16"/>
      <c r="JAR369" s="636">
        <v>2.7</v>
      </c>
      <c r="JAS369" s="636">
        <v>2.7</v>
      </c>
      <c r="JAT369" s="636">
        <v>2.72</v>
      </c>
      <c r="JAU369" s="636">
        <v>2.72</v>
      </c>
      <c r="JAV369" s="636">
        <v>2.72</v>
      </c>
      <c r="JAW369" s="649">
        <v>2.72</v>
      </c>
      <c r="JAX369" s="16"/>
      <c r="JAY369" s="320">
        <v>2.69</v>
      </c>
      <c r="JAZ369" s="153"/>
      <c r="JBA369" s="153"/>
      <c r="JBB369" s="153"/>
      <c r="JBC369" s="648"/>
      <c r="JBD369" s="641"/>
      <c r="JBE369" s="631" t="s">
        <v>90</v>
      </c>
      <c r="JBF369" s="632"/>
      <c r="JBG369" s="16"/>
      <c r="JBH369" s="636">
        <v>2.7</v>
      </c>
      <c r="JBI369" s="636">
        <v>2.7</v>
      </c>
      <c r="JBJ369" s="636">
        <v>2.72</v>
      </c>
      <c r="JBK369" s="636">
        <v>2.72</v>
      </c>
      <c r="JBL369" s="636">
        <v>2.72</v>
      </c>
      <c r="JBM369" s="649">
        <v>2.72</v>
      </c>
      <c r="JBN369" s="16"/>
      <c r="JBO369" s="320">
        <v>2.69</v>
      </c>
      <c r="JBP369" s="153"/>
      <c r="JBQ369" s="153"/>
      <c r="JBR369" s="153"/>
      <c r="JBS369" s="648"/>
      <c r="JBT369" s="641"/>
      <c r="JBU369" s="631" t="s">
        <v>90</v>
      </c>
      <c r="JBV369" s="632"/>
      <c r="JBW369" s="16"/>
      <c r="JBX369" s="636">
        <v>2.7</v>
      </c>
      <c r="JBY369" s="636">
        <v>2.7</v>
      </c>
      <c r="JBZ369" s="636">
        <v>2.72</v>
      </c>
      <c r="JCA369" s="636">
        <v>2.72</v>
      </c>
      <c r="JCB369" s="636">
        <v>2.72</v>
      </c>
      <c r="JCC369" s="649">
        <v>2.72</v>
      </c>
      <c r="JCD369" s="16"/>
      <c r="JCE369" s="320">
        <v>2.69</v>
      </c>
      <c r="JCF369" s="153"/>
      <c r="JCG369" s="153"/>
      <c r="JCH369" s="153"/>
      <c r="JCI369" s="648"/>
      <c r="JCJ369" s="641"/>
      <c r="JCK369" s="631" t="s">
        <v>90</v>
      </c>
      <c r="JCL369" s="632"/>
      <c r="JCM369" s="16"/>
      <c r="JCN369" s="636">
        <v>2.7</v>
      </c>
      <c r="JCO369" s="636">
        <v>2.7</v>
      </c>
      <c r="JCP369" s="636">
        <v>2.72</v>
      </c>
      <c r="JCQ369" s="636">
        <v>2.72</v>
      </c>
      <c r="JCR369" s="636">
        <v>2.72</v>
      </c>
      <c r="JCS369" s="649">
        <v>2.72</v>
      </c>
      <c r="JCT369" s="16"/>
      <c r="JCU369" s="320">
        <v>2.69</v>
      </c>
      <c r="JCV369" s="153"/>
      <c r="JCW369" s="153"/>
      <c r="JCX369" s="153"/>
      <c r="JCY369" s="648"/>
      <c r="JCZ369" s="641"/>
      <c r="JDA369" s="631" t="s">
        <v>90</v>
      </c>
      <c r="JDB369" s="632"/>
      <c r="JDC369" s="16"/>
      <c r="JDD369" s="636">
        <v>2.7</v>
      </c>
      <c r="JDE369" s="636">
        <v>2.7</v>
      </c>
      <c r="JDF369" s="636">
        <v>2.72</v>
      </c>
      <c r="JDG369" s="636">
        <v>2.72</v>
      </c>
      <c r="JDH369" s="636">
        <v>2.72</v>
      </c>
      <c r="JDI369" s="649">
        <v>2.72</v>
      </c>
      <c r="JDJ369" s="16"/>
      <c r="JDK369" s="320">
        <v>2.69</v>
      </c>
      <c r="JDL369" s="153"/>
      <c r="JDM369" s="153"/>
      <c r="JDN369" s="153"/>
      <c r="JDO369" s="648"/>
      <c r="JDP369" s="641"/>
      <c r="JDQ369" s="631" t="s">
        <v>90</v>
      </c>
      <c r="JDR369" s="632"/>
      <c r="JDS369" s="16"/>
      <c r="JDT369" s="636">
        <v>2.7</v>
      </c>
      <c r="JDU369" s="636">
        <v>2.7</v>
      </c>
      <c r="JDV369" s="636">
        <v>2.72</v>
      </c>
      <c r="JDW369" s="636">
        <v>2.72</v>
      </c>
      <c r="JDX369" s="636">
        <v>2.72</v>
      </c>
      <c r="JDY369" s="649">
        <v>2.72</v>
      </c>
      <c r="JDZ369" s="16"/>
      <c r="JEA369" s="320">
        <v>2.69</v>
      </c>
      <c r="JEB369" s="153"/>
      <c r="JEC369" s="153"/>
      <c r="JED369" s="153"/>
      <c r="JEE369" s="648"/>
      <c r="JEF369" s="641"/>
      <c r="JEG369" s="631" t="s">
        <v>90</v>
      </c>
      <c r="JEH369" s="632"/>
      <c r="JEI369" s="16"/>
      <c r="JEJ369" s="636">
        <v>2.7</v>
      </c>
      <c r="JEK369" s="636">
        <v>2.7</v>
      </c>
      <c r="JEL369" s="636">
        <v>2.72</v>
      </c>
      <c r="JEM369" s="636">
        <v>2.72</v>
      </c>
      <c r="JEN369" s="636">
        <v>2.72</v>
      </c>
      <c r="JEO369" s="649">
        <v>2.72</v>
      </c>
      <c r="JEP369" s="16"/>
      <c r="JEQ369" s="320">
        <v>2.69</v>
      </c>
      <c r="JER369" s="153"/>
      <c r="JES369" s="153"/>
      <c r="JET369" s="153"/>
      <c r="JEU369" s="648"/>
      <c r="JEV369" s="641"/>
      <c r="JEW369" s="631" t="s">
        <v>90</v>
      </c>
      <c r="JEX369" s="632"/>
      <c r="JEY369" s="16"/>
      <c r="JEZ369" s="636">
        <v>2.7</v>
      </c>
      <c r="JFA369" s="636">
        <v>2.7</v>
      </c>
      <c r="JFB369" s="636">
        <v>2.72</v>
      </c>
      <c r="JFC369" s="636">
        <v>2.72</v>
      </c>
      <c r="JFD369" s="636">
        <v>2.72</v>
      </c>
      <c r="JFE369" s="649">
        <v>2.72</v>
      </c>
      <c r="JFF369" s="16"/>
      <c r="JFG369" s="320">
        <v>2.69</v>
      </c>
      <c r="JFH369" s="153"/>
      <c r="JFI369" s="153"/>
      <c r="JFJ369" s="153"/>
      <c r="JFK369" s="648"/>
      <c r="JFL369" s="641"/>
      <c r="JFM369" s="631" t="s">
        <v>90</v>
      </c>
      <c r="JFN369" s="632"/>
      <c r="JFO369" s="16"/>
      <c r="JFP369" s="636">
        <v>2.7</v>
      </c>
      <c r="JFQ369" s="636">
        <v>2.7</v>
      </c>
      <c r="JFR369" s="636">
        <v>2.72</v>
      </c>
      <c r="JFS369" s="636">
        <v>2.72</v>
      </c>
      <c r="JFT369" s="636">
        <v>2.72</v>
      </c>
      <c r="JFU369" s="649">
        <v>2.72</v>
      </c>
      <c r="JFV369" s="16"/>
      <c r="JFW369" s="320">
        <v>2.69</v>
      </c>
      <c r="JFX369" s="153"/>
      <c r="JFY369" s="153"/>
      <c r="JFZ369" s="153"/>
      <c r="JGA369" s="648"/>
      <c r="JGB369" s="641"/>
      <c r="JGC369" s="631" t="s">
        <v>90</v>
      </c>
      <c r="JGD369" s="632"/>
      <c r="JGE369" s="16"/>
      <c r="JGF369" s="636">
        <v>2.7</v>
      </c>
      <c r="JGG369" s="636">
        <v>2.7</v>
      </c>
      <c r="JGH369" s="636">
        <v>2.72</v>
      </c>
      <c r="JGI369" s="636">
        <v>2.72</v>
      </c>
      <c r="JGJ369" s="636">
        <v>2.72</v>
      </c>
      <c r="JGK369" s="649">
        <v>2.72</v>
      </c>
      <c r="JGL369" s="16"/>
      <c r="JGM369" s="320">
        <v>2.69</v>
      </c>
      <c r="JGN369" s="153"/>
      <c r="JGO369" s="153"/>
      <c r="JGP369" s="153"/>
      <c r="JGQ369" s="648"/>
      <c r="JGR369" s="641"/>
      <c r="JGS369" s="631" t="s">
        <v>90</v>
      </c>
      <c r="JGT369" s="632"/>
      <c r="JGU369" s="16"/>
      <c r="JGV369" s="636">
        <v>2.7</v>
      </c>
      <c r="JGW369" s="636">
        <v>2.7</v>
      </c>
      <c r="JGX369" s="636">
        <v>2.72</v>
      </c>
      <c r="JGY369" s="636">
        <v>2.72</v>
      </c>
      <c r="JGZ369" s="636">
        <v>2.72</v>
      </c>
      <c r="JHA369" s="649">
        <v>2.72</v>
      </c>
      <c r="JHB369" s="16"/>
      <c r="JHC369" s="320">
        <v>2.69</v>
      </c>
      <c r="JHD369" s="153"/>
      <c r="JHE369" s="153"/>
      <c r="JHF369" s="153"/>
      <c r="JHG369" s="648"/>
      <c r="JHH369" s="641"/>
      <c r="JHI369" s="631" t="s">
        <v>90</v>
      </c>
      <c r="JHJ369" s="632"/>
      <c r="JHK369" s="16"/>
      <c r="JHL369" s="636">
        <v>2.7</v>
      </c>
      <c r="JHM369" s="636">
        <v>2.7</v>
      </c>
      <c r="JHN369" s="636">
        <v>2.72</v>
      </c>
      <c r="JHO369" s="636">
        <v>2.72</v>
      </c>
      <c r="JHP369" s="636">
        <v>2.72</v>
      </c>
      <c r="JHQ369" s="649">
        <v>2.72</v>
      </c>
      <c r="JHR369" s="16"/>
      <c r="JHS369" s="320">
        <v>2.69</v>
      </c>
      <c r="JHT369" s="153"/>
      <c r="JHU369" s="153"/>
      <c r="JHV369" s="153"/>
      <c r="JHW369" s="648"/>
      <c r="JHX369" s="641"/>
      <c r="JHY369" s="631" t="s">
        <v>90</v>
      </c>
      <c r="JHZ369" s="632"/>
      <c r="JIA369" s="16"/>
      <c r="JIB369" s="636">
        <v>2.7</v>
      </c>
      <c r="JIC369" s="636">
        <v>2.7</v>
      </c>
      <c r="JID369" s="636">
        <v>2.72</v>
      </c>
      <c r="JIE369" s="636">
        <v>2.72</v>
      </c>
      <c r="JIF369" s="636">
        <v>2.72</v>
      </c>
      <c r="JIG369" s="649">
        <v>2.72</v>
      </c>
      <c r="JIH369" s="16"/>
      <c r="JII369" s="320">
        <v>2.69</v>
      </c>
      <c r="JIJ369" s="153"/>
      <c r="JIK369" s="153"/>
      <c r="JIL369" s="153"/>
      <c r="JIM369" s="648"/>
      <c r="JIN369" s="641"/>
      <c r="JIO369" s="631" t="s">
        <v>90</v>
      </c>
      <c r="JIP369" s="632"/>
      <c r="JIQ369" s="16"/>
      <c r="JIR369" s="636">
        <v>2.7</v>
      </c>
      <c r="JIS369" s="636">
        <v>2.7</v>
      </c>
      <c r="JIT369" s="636">
        <v>2.72</v>
      </c>
      <c r="JIU369" s="636">
        <v>2.72</v>
      </c>
      <c r="JIV369" s="636">
        <v>2.72</v>
      </c>
      <c r="JIW369" s="649">
        <v>2.72</v>
      </c>
      <c r="JIX369" s="16"/>
      <c r="JIY369" s="320">
        <v>2.69</v>
      </c>
      <c r="JIZ369" s="153"/>
      <c r="JJA369" s="153"/>
      <c r="JJB369" s="153"/>
      <c r="JJC369" s="648"/>
      <c r="JJD369" s="641"/>
      <c r="JJE369" s="631" t="s">
        <v>90</v>
      </c>
      <c r="JJF369" s="632"/>
      <c r="JJG369" s="16"/>
      <c r="JJH369" s="636">
        <v>2.7</v>
      </c>
      <c r="JJI369" s="636">
        <v>2.7</v>
      </c>
      <c r="JJJ369" s="636">
        <v>2.72</v>
      </c>
      <c r="JJK369" s="636">
        <v>2.72</v>
      </c>
      <c r="JJL369" s="636">
        <v>2.72</v>
      </c>
      <c r="JJM369" s="649">
        <v>2.72</v>
      </c>
      <c r="JJN369" s="16"/>
      <c r="JJO369" s="320">
        <v>2.69</v>
      </c>
      <c r="JJP369" s="153"/>
      <c r="JJQ369" s="153"/>
      <c r="JJR369" s="153"/>
      <c r="JJS369" s="648"/>
      <c r="JJT369" s="641"/>
      <c r="JJU369" s="631" t="s">
        <v>90</v>
      </c>
      <c r="JJV369" s="632"/>
      <c r="JJW369" s="16"/>
      <c r="JJX369" s="636">
        <v>2.7</v>
      </c>
      <c r="JJY369" s="636">
        <v>2.7</v>
      </c>
      <c r="JJZ369" s="636">
        <v>2.72</v>
      </c>
      <c r="JKA369" s="636">
        <v>2.72</v>
      </c>
      <c r="JKB369" s="636">
        <v>2.72</v>
      </c>
      <c r="JKC369" s="649">
        <v>2.72</v>
      </c>
      <c r="JKD369" s="16"/>
      <c r="JKE369" s="320">
        <v>2.69</v>
      </c>
      <c r="JKF369" s="153"/>
      <c r="JKG369" s="153"/>
      <c r="JKH369" s="153"/>
      <c r="JKI369" s="648"/>
      <c r="JKJ369" s="641"/>
      <c r="JKK369" s="631" t="s">
        <v>90</v>
      </c>
      <c r="JKL369" s="632"/>
      <c r="JKM369" s="16"/>
      <c r="JKN369" s="636">
        <v>2.7</v>
      </c>
      <c r="JKO369" s="636">
        <v>2.7</v>
      </c>
      <c r="JKP369" s="636">
        <v>2.72</v>
      </c>
      <c r="JKQ369" s="636">
        <v>2.72</v>
      </c>
      <c r="JKR369" s="636">
        <v>2.72</v>
      </c>
      <c r="JKS369" s="649">
        <v>2.72</v>
      </c>
      <c r="JKT369" s="16"/>
      <c r="JKU369" s="320">
        <v>2.69</v>
      </c>
      <c r="JKV369" s="153"/>
      <c r="JKW369" s="153"/>
      <c r="JKX369" s="153"/>
      <c r="JKY369" s="648"/>
      <c r="JKZ369" s="641"/>
      <c r="JLA369" s="631" t="s">
        <v>90</v>
      </c>
      <c r="JLB369" s="632"/>
      <c r="JLC369" s="16"/>
      <c r="JLD369" s="636">
        <v>2.7</v>
      </c>
      <c r="JLE369" s="636">
        <v>2.7</v>
      </c>
      <c r="JLF369" s="636">
        <v>2.72</v>
      </c>
      <c r="JLG369" s="636">
        <v>2.72</v>
      </c>
      <c r="JLH369" s="636">
        <v>2.72</v>
      </c>
      <c r="JLI369" s="649">
        <v>2.72</v>
      </c>
      <c r="JLJ369" s="16"/>
      <c r="JLK369" s="320">
        <v>2.69</v>
      </c>
      <c r="JLL369" s="153"/>
      <c r="JLM369" s="153"/>
      <c r="JLN369" s="153"/>
      <c r="JLO369" s="648"/>
      <c r="JLP369" s="641"/>
      <c r="JLQ369" s="631" t="s">
        <v>90</v>
      </c>
      <c r="JLR369" s="632"/>
      <c r="JLS369" s="16"/>
      <c r="JLT369" s="636">
        <v>2.7</v>
      </c>
      <c r="JLU369" s="636">
        <v>2.7</v>
      </c>
      <c r="JLV369" s="636">
        <v>2.72</v>
      </c>
      <c r="JLW369" s="636">
        <v>2.72</v>
      </c>
      <c r="JLX369" s="636">
        <v>2.72</v>
      </c>
      <c r="JLY369" s="649">
        <v>2.72</v>
      </c>
      <c r="JLZ369" s="16"/>
      <c r="JMA369" s="320">
        <v>2.69</v>
      </c>
      <c r="JMB369" s="153"/>
      <c r="JMC369" s="153"/>
      <c r="JMD369" s="153"/>
      <c r="JME369" s="648"/>
      <c r="JMF369" s="641"/>
      <c r="JMG369" s="631" t="s">
        <v>90</v>
      </c>
      <c r="JMH369" s="632"/>
      <c r="JMI369" s="16"/>
      <c r="JMJ369" s="636">
        <v>2.7</v>
      </c>
      <c r="JMK369" s="636">
        <v>2.7</v>
      </c>
      <c r="JML369" s="636">
        <v>2.72</v>
      </c>
      <c r="JMM369" s="636">
        <v>2.72</v>
      </c>
      <c r="JMN369" s="636">
        <v>2.72</v>
      </c>
      <c r="JMO369" s="649">
        <v>2.72</v>
      </c>
      <c r="JMP369" s="16"/>
      <c r="JMQ369" s="320">
        <v>2.69</v>
      </c>
      <c r="JMR369" s="153"/>
      <c r="JMS369" s="153"/>
      <c r="JMT369" s="153"/>
      <c r="JMU369" s="648"/>
      <c r="JMV369" s="641"/>
      <c r="JMW369" s="631" t="s">
        <v>90</v>
      </c>
      <c r="JMX369" s="632"/>
      <c r="JMY369" s="16"/>
      <c r="JMZ369" s="636">
        <v>2.7</v>
      </c>
      <c r="JNA369" s="636">
        <v>2.7</v>
      </c>
      <c r="JNB369" s="636">
        <v>2.72</v>
      </c>
      <c r="JNC369" s="636">
        <v>2.72</v>
      </c>
      <c r="JND369" s="636">
        <v>2.72</v>
      </c>
      <c r="JNE369" s="649">
        <v>2.72</v>
      </c>
      <c r="JNF369" s="16"/>
      <c r="JNG369" s="320">
        <v>2.69</v>
      </c>
      <c r="JNH369" s="153"/>
      <c r="JNI369" s="153"/>
      <c r="JNJ369" s="153"/>
      <c r="JNK369" s="648"/>
      <c r="JNL369" s="641"/>
      <c r="JNM369" s="631" t="s">
        <v>90</v>
      </c>
      <c r="JNN369" s="632"/>
      <c r="JNO369" s="16"/>
      <c r="JNP369" s="636">
        <v>2.7</v>
      </c>
      <c r="JNQ369" s="636">
        <v>2.7</v>
      </c>
      <c r="JNR369" s="636">
        <v>2.72</v>
      </c>
      <c r="JNS369" s="636">
        <v>2.72</v>
      </c>
      <c r="JNT369" s="636">
        <v>2.72</v>
      </c>
      <c r="JNU369" s="649">
        <v>2.72</v>
      </c>
      <c r="JNV369" s="16"/>
      <c r="JNW369" s="320">
        <v>2.69</v>
      </c>
      <c r="JNX369" s="153"/>
      <c r="JNY369" s="153"/>
      <c r="JNZ369" s="153"/>
      <c r="JOA369" s="648"/>
      <c r="JOB369" s="641"/>
      <c r="JOC369" s="631" t="s">
        <v>90</v>
      </c>
      <c r="JOD369" s="632"/>
      <c r="JOE369" s="16"/>
      <c r="JOF369" s="636">
        <v>2.7</v>
      </c>
      <c r="JOG369" s="636">
        <v>2.7</v>
      </c>
      <c r="JOH369" s="636">
        <v>2.72</v>
      </c>
      <c r="JOI369" s="636">
        <v>2.72</v>
      </c>
      <c r="JOJ369" s="636">
        <v>2.72</v>
      </c>
      <c r="JOK369" s="649">
        <v>2.72</v>
      </c>
      <c r="JOL369" s="16"/>
      <c r="JOM369" s="320">
        <v>2.69</v>
      </c>
      <c r="JON369" s="153"/>
      <c r="JOO369" s="153"/>
      <c r="JOP369" s="153"/>
      <c r="JOQ369" s="648"/>
      <c r="JOR369" s="641"/>
      <c r="JOS369" s="631" t="s">
        <v>90</v>
      </c>
      <c r="JOT369" s="632"/>
      <c r="JOU369" s="16"/>
      <c r="JOV369" s="636">
        <v>2.7</v>
      </c>
      <c r="JOW369" s="636">
        <v>2.7</v>
      </c>
      <c r="JOX369" s="636">
        <v>2.72</v>
      </c>
      <c r="JOY369" s="636">
        <v>2.72</v>
      </c>
      <c r="JOZ369" s="636">
        <v>2.72</v>
      </c>
      <c r="JPA369" s="649">
        <v>2.72</v>
      </c>
      <c r="JPB369" s="16"/>
      <c r="JPC369" s="320">
        <v>2.69</v>
      </c>
      <c r="JPD369" s="153"/>
      <c r="JPE369" s="153"/>
      <c r="JPF369" s="153"/>
      <c r="JPG369" s="648"/>
      <c r="JPH369" s="641"/>
      <c r="JPI369" s="631" t="s">
        <v>90</v>
      </c>
      <c r="JPJ369" s="632"/>
      <c r="JPK369" s="16"/>
      <c r="JPL369" s="636">
        <v>2.7</v>
      </c>
      <c r="JPM369" s="636">
        <v>2.7</v>
      </c>
      <c r="JPN369" s="636">
        <v>2.72</v>
      </c>
      <c r="JPO369" s="636">
        <v>2.72</v>
      </c>
      <c r="JPP369" s="636">
        <v>2.72</v>
      </c>
      <c r="JPQ369" s="649">
        <v>2.72</v>
      </c>
      <c r="JPR369" s="16"/>
      <c r="JPS369" s="320">
        <v>2.69</v>
      </c>
      <c r="JPT369" s="153"/>
      <c r="JPU369" s="153"/>
      <c r="JPV369" s="153"/>
      <c r="JPW369" s="648"/>
      <c r="JPX369" s="641"/>
      <c r="JPY369" s="631" t="s">
        <v>90</v>
      </c>
      <c r="JPZ369" s="632"/>
      <c r="JQA369" s="16"/>
      <c r="JQB369" s="636">
        <v>2.7</v>
      </c>
      <c r="JQC369" s="636">
        <v>2.7</v>
      </c>
      <c r="JQD369" s="636">
        <v>2.72</v>
      </c>
      <c r="JQE369" s="636">
        <v>2.72</v>
      </c>
      <c r="JQF369" s="636">
        <v>2.72</v>
      </c>
      <c r="JQG369" s="649">
        <v>2.72</v>
      </c>
      <c r="JQH369" s="16"/>
      <c r="JQI369" s="320">
        <v>2.69</v>
      </c>
      <c r="JQJ369" s="153"/>
      <c r="JQK369" s="153"/>
      <c r="JQL369" s="153"/>
      <c r="JQM369" s="648"/>
      <c r="JQN369" s="641"/>
      <c r="JQO369" s="631" t="s">
        <v>90</v>
      </c>
      <c r="JQP369" s="632"/>
      <c r="JQQ369" s="16"/>
      <c r="JQR369" s="636">
        <v>2.7</v>
      </c>
      <c r="JQS369" s="636">
        <v>2.7</v>
      </c>
      <c r="JQT369" s="636">
        <v>2.72</v>
      </c>
      <c r="JQU369" s="636">
        <v>2.72</v>
      </c>
      <c r="JQV369" s="636">
        <v>2.72</v>
      </c>
      <c r="JQW369" s="649">
        <v>2.72</v>
      </c>
      <c r="JQX369" s="16"/>
      <c r="JQY369" s="320">
        <v>2.69</v>
      </c>
      <c r="JQZ369" s="153"/>
      <c r="JRA369" s="153"/>
      <c r="JRB369" s="153"/>
      <c r="JRC369" s="648"/>
      <c r="JRD369" s="641"/>
      <c r="JRE369" s="631" t="s">
        <v>90</v>
      </c>
      <c r="JRF369" s="632"/>
      <c r="JRG369" s="16"/>
      <c r="JRH369" s="636">
        <v>2.7</v>
      </c>
      <c r="JRI369" s="636">
        <v>2.7</v>
      </c>
      <c r="JRJ369" s="636">
        <v>2.72</v>
      </c>
      <c r="JRK369" s="636">
        <v>2.72</v>
      </c>
      <c r="JRL369" s="636">
        <v>2.72</v>
      </c>
      <c r="JRM369" s="649">
        <v>2.72</v>
      </c>
      <c r="JRN369" s="16"/>
      <c r="JRO369" s="320">
        <v>2.69</v>
      </c>
      <c r="JRP369" s="153"/>
      <c r="JRQ369" s="153"/>
      <c r="JRR369" s="153"/>
      <c r="JRS369" s="648"/>
      <c r="JRT369" s="641"/>
      <c r="JRU369" s="631" t="s">
        <v>90</v>
      </c>
      <c r="JRV369" s="632"/>
      <c r="JRW369" s="16"/>
      <c r="JRX369" s="636">
        <v>2.7</v>
      </c>
      <c r="JRY369" s="636">
        <v>2.7</v>
      </c>
      <c r="JRZ369" s="636">
        <v>2.72</v>
      </c>
      <c r="JSA369" s="636">
        <v>2.72</v>
      </c>
      <c r="JSB369" s="636">
        <v>2.72</v>
      </c>
      <c r="JSC369" s="649">
        <v>2.72</v>
      </c>
      <c r="JSD369" s="16"/>
      <c r="JSE369" s="320">
        <v>2.69</v>
      </c>
      <c r="JSF369" s="153"/>
      <c r="JSG369" s="153"/>
      <c r="JSH369" s="153"/>
      <c r="JSI369" s="648"/>
      <c r="JSJ369" s="641"/>
      <c r="JSK369" s="631" t="s">
        <v>90</v>
      </c>
      <c r="JSL369" s="632"/>
      <c r="JSM369" s="16"/>
      <c r="JSN369" s="636">
        <v>2.7</v>
      </c>
      <c r="JSO369" s="636">
        <v>2.7</v>
      </c>
      <c r="JSP369" s="636">
        <v>2.72</v>
      </c>
      <c r="JSQ369" s="636">
        <v>2.72</v>
      </c>
      <c r="JSR369" s="636">
        <v>2.72</v>
      </c>
      <c r="JSS369" s="649">
        <v>2.72</v>
      </c>
      <c r="JST369" s="16"/>
      <c r="JSU369" s="320">
        <v>2.69</v>
      </c>
      <c r="JSV369" s="153"/>
      <c r="JSW369" s="153"/>
      <c r="JSX369" s="153"/>
      <c r="JSY369" s="648"/>
      <c r="JSZ369" s="641"/>
      <c r="JTA369" s="631" t="s">
        <v>90</v>
      </c>
      <c r="JTB369" s="632"/>
      <c r="JTC369" s="16"/>
      <c r="JTD369" s="636">
        <v>2.7</v>
      </c>
      <c r="JTE369" s="636">
        <v>2.7</v>
      </c>
      <c r="JTF369" s="636">
        <v>2.72</v>
      </c>
      <c r="JTG369" s="636">
        <v>2.72</v>
      </c>
      <c r="JTH369" s="636">
        <v>2.72</v>
      </c>
      <c r="JTI369" s="649">
        <v>2.72</v>
      </c>
      <c r="JTJ369" s="16"/>
      <c r="JTK369" s="320">
        <v>2.69</v>
      </c>
      <c r="JTL369" s="153"/>
      <c r="JTM369" s="153"/>
      <c r="JTN369" s="153"/>
      <c r="JTO369" s="648"/>
      <c r="JTP369" s="641"/>
      <c r="JTQ369" s="631" t="s">
        <v>90</v>
      </c>
      <c r="JTR369" s="632"/>
      <c r="JTS369" s="16"/>
      <c r="JTT369" s="636">
        <v>2.7</v>
      </c>
      <c r="JTU369" s="636">
        <v>2.7</v>
      </c>
      <c r="JTV369" s="636">
        <v>2.72</v>
      </c>
      <c r="JTW369" s="636">
        <v>2.72</v>
      </c>
      <c r="JTX369" s="636">
        <v>2.72</v>
      </c>
      <c r="JTY369" s="649">
        <v>2.72</v>
      </c>
      <c r="JTZ369" s="16"/>
      <c r="JUA369" s="320">
        <v>2.69</v>
      </c>
      <c r="JUB369" s="153"/>
      <c r="JUC369" s="153"/>
      <c r="JUD369" s="153"/>
      <c r="JUE369" s="648"/>
      <c r="JUF369" s="641"/>
      <c r="JUG369" s="631" t="s">
        <v>90</v>
      </c>
      <c r="JUH369" s="632"/>
      <c r="JUI369" s="16"/>
      <c r="JUJ369" s="636">
        <v>2.7</v>
      </c>
      <c r="JUK369" s="636">
        <v>2.7</v>
      </c>
      <c r="JUL369" s="636">
        <v>2.72</v>
      </c>
      <c r="JUM369" s="636">
        <v>2.72</v>
      </c>
      <c r="JUN369" s="636">
        <v>2.72</v>
      </c>
      <c r="JUO369" s="649">
        <v>2.72</v>
      </c>
      <c r="JUP369" s="16"/>
      <c r="JUQ369" s="320">
        <v>2.69</v>
      </c>
      <c r="JUR369" s="153"/>
      <c r="JUS369" s="153"/>
      <c r="JUT369" s="153"/>
      <c r="JUU369" s="648"/>
      <c r="JUV369" s="641"/>
      <c r="JUW369" s="631" t="s">
        <v>90</v>
      </c>
      <c r="JUX369" s="632"/>
      <c r="JUY369" s="16"/>
      <c r="JUZ369" s="636">
        <v>2.7</v>
      </c>
      <c r="JVA369" s="636">
        <v>2.7</v>
      </c>
      <c r="JVB369" s="636">
        <v>2.72</v>
      </c>
      <c r="JVC369" s="636">
        <v>2.72</v>
      </c>
      <c r="JVD369" s="636">
        <v>2.72</v>
      </c>
      <c r="JVE369" s="649">
        <v>2.72</v>
      </c>
      <c r="JVF369" s="16"/>
      <c r="JVG369" s="320">
        <v>2.69</v>
      </c>
      <c r="JVH369" s="153"/>
      <c r="JVI369" s="153"/>
      <c r="JVJ369" s="153"/>
      <c r="JVK369" s="648"/>
      <c r="JVL369" s="641"/>
      <c r="JVM369" s="631" t="s">
        <v>90</v>
      </c>
      <c r="JVN369" s="632"/>
      <c r="JVO369" s="16"/>
      <c r="JVP369" s="636">
        <v>2.7</v>
      </c>
      <c r="JVQ369" s="636">
        <v>2.7</v>
      </c>
      <c r="JVR369" s="636">
        <v>2.72</v>
      </c>
      <c r="JVS369" s="636">
        <v>2.72</v>
      </c>
      <c r="JVT369" s="636">
        <v>2.72</v>
      </c>
      <c r="JVU369" s="649">
        <v>2.72</v>
      </c>
      <c r="JVV369" s="16"/>
      <c r="JVW369" s="320">
        <v>2.69</v>
      </c>
      <c r="JVX369" s="153"/>
      <c r="JVY369" s="153"/>
      <c r="JVZ369" s="153"/>
      <c r="JWA369" s="648"/>
      <c r="JWB369" s="641"/>
      <c r="JWC369" s="631" t="s">
        <v>90</v>
      </c>
      <c r="JWD369" s="632"/>
      <c r="JWE369" s="16"/>
      <c r="JWF369" s="636">
        <v>2.7</v>
      </c>
      <c r="JWG369" s="636">
        <v>2.7</v>
      </c>
      <c r="JWH369" s="636">
        <v>2.72</v>
      </c>
      <c r="JWI369" s="636">
        <v>2.72</v>
      </c>
      <c r="JWJ369" s="636">
        <v>2.72</v>
      </c>
      <c r="JWK369" s="649">
        <v>2.72</v>
      </c>
      <c r="JWL369" s="16"/>
      <c r="JWM369" s="320">
        <v>2.69</v>
      </c>
      <c r="JWN369" s="153"/>
      <c r="JWO369" s="153"/>
      <c r="JWP369" s="153"/>
      <c r="JWQ369" s="648"/>
      <c r="JWR369" s="641"/>
      <c r="JWS369" s="631" t="s">
        <v>90</v>
      </c>
      <c r="JWT369" s="632"/>
      <c r="JWU369" s="16"/>
      <c r="JWV369" s="636">
        <v>2.7</v>
      </c>
      <c r="JWW369" s="636">
        <v>2.7</v>
      </c>
      <c r="JWX369" s="636">
        <v>2.72</v>
      </c>
      <c r="JWY369" s="636">
        <v>2.72</v>
      </c>
      <c r="JWZ369" s="636">
        <v>2.72</v>
      </c>
      <c r="JXA369" s="649">
        <v>2.72</v>
      </c>
      <c r="JXB369" s="16"/>
      <c r="JXC369" s="320">
        <v>2.69</v>
      </c>
      <c r="JXD369" s="153"/>
      <c r="JXE369" s="153"/>
      <c r="JXF369" s="153"/>
      <c r="JXG369" s="648"/>
      <c r="JXH369" s="641"/>
      <c r="JXI369" s="631" t="s">
        <v>90</v>
      </c>
      <c r="JXJ369" s="632"/>
      <c r="JXK369" s="16"/>
      <c r="JXL369" s="636">
        <v>2.7</v>
      </c>
      <c r="JXM369" s="636">
        <v>2.7</v>
      </c>
      <c r="JXN369" s="636">
        <v>2.72</v>
      </c>
      <c r="JXO369" s="636">
        <v>2.72</v>
      </c>
      <c r="JXP369" s="636">
        <v>2.72</v>
      </c>
      <c r="JXQ369" s="649">
        <v>2.72</v>
      </c>
      <c r="JXR369" s="16"/>
      <c r="JXS369" s="320">
        <v>2.69</v>
      </c>
      <c r="JXT369" s="153"/>
      <c r="JXU369" s="153"/>
      <c r="JXV369" s="153"/>
      <c r="JXW369" s="648"/>
      <c r="JXX369" s="641"/>
      <c r="JXY369" s="631" t="s">
        <v>90</v>
      </c>
      <c r="JXZ369" s="632"/>
      <c r="JYA369" s="16"/>
      <c r="JYB369" s="636">
        <v>2.7</v>
      </c>
      <c r="JYC369" s="636">
        <v>2.7</v>
      </c>
      <c r="JYD369" s="636">
        <v>2.72</v>
      </c>
      <c r="JYE369" s="636">
        <v>2.72</v>
      </c>
      <c r="JYF369" s="636">
        <v>2.72</v>
      </c>
      <c r="JYG369" s="649">
        <v>2.72</v>
      </c>
      <c r="JYH369" s="16"/>
      <c r="JYI369" s="320">
        <v>2.69</v>
      </c>
      <c r="JYJ369" s="153"/>
      <c r="JYK369" s="153"/>
      <c r="JYL369" s="153"/>
      <c r="JYM369" s="648"/>
      <c r="JYN369" s="641"/>
      <c r="JYO369" s="631" t="s">
        <v>90</v>
      </c>
      <c r="JYP369" s="632"/>
      <c r="JYQ369" s="16"/>
      <c r="JYR369" s="636">
        <v>2.7</v>
      </c>
      <c r="JYS369" s="636">
        <v>2.7</v>
      </c>
      <c r="JYT369" s="636">
        <v>2.72</v>
      </c>
      <c r="JYU369" s="636">
        <v>2.72</v>
      </c>
      <c r="JYV369" s="636">
        <v>2.72</v>
      </c>
      <c r="JYW369" s="649">
        <v>2.72</v>
      </c>
      <c r="JYX369" s="16"/>
      <c r="JYY369" s="320">
        <v>2.69</v>
      </c>
      <c r="JYZ369" s="153"/>
      <c r="JZA369" s="153"/>
      <c r="JZB369" s="153"/>
      <c r="JZC369" s="648"/>
      <c r="JZD369" s="641"/>
      <c r="JZE369" s="631" t="s">
        <v>90</v>
      </c>
      <c r="JZF369" s="632"/>
      <c r="JZG369" s="16"/>
      <c r="JZH369" s="636">
        <v>2.7</v>
      </c>
      <c r="JZI369" s="636">
        <v>2.7</v>
      </c>
      <c r="JZJ369" s="636">
        <v>2.72</v>
      </c>
      <c r="JZK369" s="636">
        <v>2.72</v>
      </c>
      <c r="JZL369" s="636">
        <v>2.72</v>
      </c>
      <c r="JZM369" s="649">
        <v>2.72</v>
      </c>
      <c r="JZN369" s="16"/>
      <c r="JZO369" s="320">
        <v>2.69</v>
      </c>
      <c r="JZP369" s="153"/>
      <c r="JZQ369" s="153"/>
      <c r="JZR369" s="153"/>
      <c r="JZS369" s="648"/>
      <c r="JZT369" s="641"/>
      <c r="JZU369" s="631" t="s">
        <v>90</v>
      </c>
      <c r="JZV369" s="632"/>
      <c r="JZW369" s="16"/>
      <c r="JZX369" s="636">
        <v>2.7</v>
      </c>
      <c r="JZY369" s="636">
        <v>2.7</v>
      </c>
      <c r="JZZ369" s="636">
        <v>2.72</v>
      </c>
      <c r="KAA369" s="636">
        <v>2.72</v>
      </c>
      <c r="KAB369" s="636">
        <v>2.72</v>
      </c>
      <c r="KAC369" s="649">
        <v>2.72</v>
      </c>
      <c r="KAD369" s="16"/>
      <c r="KAE369" s="320">
        <v>2.69</v>
      </c>
      <c r="KAF369" s="153"/>
      <c r="KAG369" s="153"/>
      <c r="KAH369" s="153"/>
      <c r="KAI369" s="648"/>
      <c r="KAJ369" s="641"/>
      <c r="KAK369" s="631" t="s">
        <v>90</v>
      </c>
      <c r="KAL369" s="632"/>
      <c r="KAM369" s="16"/>
      <c r="KAN369" s="636">
        <v>2.7</v>
      </c>
      <c r="KAO369" s="636">
        <v>2.7</v>
      </c>
      <c r="KAP369" s="636">
        <v>2.72</v>
      </c>
      <c r="KAQ369" s="636">
        <v>2.72</v>
      </c>
      <c r="KAR369" s="636">
        <v>2.72</v>
      </c>
      <c r="KAS369" s="649">
        <v>2.72</v>
      </c>
      <c r="KAT369" s="16"/>
      <c r="KAU369" s="320">
        <v>2.69</v>
      </c>
      <c r="KAV369" s="153"/>
      <c r="KAW369" s="153"/>
      <c r="KAX369" s="153"/>
      <c r="KAY369" s="648"/>
      <c r="KAZ369" s="641"/>
      <c r="KBA369" s="631" t="s">
        <v>90</v>
      </c>
      <c r="KBB369" s="632"/>
      <c r="KBC369" s="16"/>
      <c r="KBD369" s="636">
        <v>2.7</v>
      </c>
      <c r="KBE369" s="636">
        <v>2.7</v>
      </c>
      <c r="KBF369" s="636">
        <v>2.72</v>
      </c>
      <c r="KBG369" s="636">
        <v>2.72</v>
      </c>
      <c r="KBH369" s="636">
        <v>2.72</v>
      </c>
      <c r="KBI369" s="649">
        <v>2.72</v>
      </c>
      <c r="KBJ369" s="16"/>
      <c r="KBK369" s="320">
        <v>2.69</v>
      </c>
      <c r="KBL369" s="153"/>
      <c r="KBM369" s="153"/>
      <c r="KBN369" s="153"/>
      <c r="KBO369" s="648"/>
      <c r="KBP369" s="641"/>
      <c r="KBQ369" s="631" t="s">
        <v>90</v>
      </c>
      <c r="KBR369" s="632"/>
      <c r="KBS369" s="16"/>
      <c r="KBT369" s="636">
        <v>2.7</v>
      </c>
      <c r="KBU369" s="636">
        <v>2.7</v>
      </c>
      <c r="KBV369" s="636">
        <v>2.72</v>
      </c>
      <c r="KBW369" s="636">
        <v>2.72</v>
      </c>
      <c r="KBX369" s="636">
        <v>2.72</v>
      </c>
      <c r="KBY369" s="649">
        <v>2.72</v>
      </c>
      <c r="KBZ369" s="16"/>
      <c r="KCA369" s="320">
        <v>2.69</v>
      </c>
      <c r="KCB369" s="153"/>
      <c r="KCC369" s="153"/>
      <c r="KCD369" s="153"/>
      <c r="KCE369" s="648"/>
      <c r="KCF369" s="641"/>
      <c r="KCG369" s="631" t="s">
        <v>90</v>
      </c>
      <c r="KCH369" s="632"/>
      <c r="KCI369" s="16"/>
      <c r="KCJ369" s="636">
        <v>2.7</v>
      </c>
      <c r="KCK369" s="636">
        <v>2.7</v>
      </c>
      <c r="KCL369" s="636">
        <v>2.72</v>
      </c>
      <c r="KCM369" s="636">
        <v>2.72</v>
      </c>
      <c r="KCN369" s="636">
        <v>2.72</v>
      </c>
      <c r="KCO369" s="649">
        <v>2.72</v>
      </c>
      <c r="KCP369" s="16"/>
      <c r="KCQ369" s="320">
        <v>2.69</v>
      </c>
      <c r="KCR369" s="153"/>
      <c r="KCS369" s="153"/>
      <c r="KCT369" s="153"/>
      <c r="KCU369" s="648"/>
      <c r="KCV369" s="641"/>
      <c r="KCW369" s="631" t="s">
        <v>90</v>
      </c>
      <c r="KCX369" s="632"/>
      <c r="KCY369" s="16"/>
      <c r="KCZ369" s="636">
        <v>2.7</v>
      </c>
      <c r="KDA369" s="636">
        <v>2.7</v>
      </c>
      <c r="KDB369" s="636">
        <v>2.72</v>
      </c>
      <c r="KDC369" s="636">
        <v>2.72</v>
      </c>
      <c r="KDD369" s="636">
        <v>2.72</v>
      </c>
      <c r="KDE369" s="649">
        <v>2.72</v>
      </c>
      <c r="KDF369" s="16"/>
      <c r="KDG369" s="320">
        <v>2.69</v>
      </c>
      <c r="KDH369" s="153"/>
      <c r="KDI369" s="153"/>
      <c r="KDJ369" s="153"/>
      <c r="KDK369" s="648"/>
      <c r="KDL369" s="641"/>
      <c r="KDM369" s="631" t="s">
        <v>90</v>
      </c>
      <c r="KDN369" s="632"/>
      <c r="KDO369" s="16"/>
      <c r="KDP369" s="636">
        <v>2.7</v>
      </c>
      <c r="KDQ369" s="636">
        <v>2.7</v>
      </c>
      <c r="KDR369" s="636">
        <v>2.72</v>
      </c>
      <c r="KDS369" s="636">
        <v>2.72</v>
      </c>
      <c r="KDT369" s="636">
        <v>2.72</v>
      </c>
      <c r="KDU369" s="649">
        <v>2.72</v>
      </c>
      <c r="KDV369" s="16"/>
      <c r="KDW369" s="320">
        <v>2.69</v>
      </c>
      <c r="KDX369" s="153"/>
      <c r="KDY369" s="153"/>
      <c r="KDZ369" s="153"/>
      <c r="KEA369" s="648"/>
      <c r="KEB369" s="641"/>
      <c r="KEC369" s="631" t="s">
        <v>90</v>
      </c>
      <c r="KED369" s="632"/>
      <c r="KEE369" s="16"/>
      <c r="KEF369" s="636">
        <v>2.7</v>
      </c>
      <c r="KEG369" s="636">
        <v>2.7</v>
      </c>
      <c r="KEH369" s="636">
        <v>2.72</v>
      </c>
      <c r="KEI369" s="636">
        <v>2.72</v>
      </c>
      <c r="KEJ369" s="636">
        <v>2.72</v>
      </c>
      <c r="KEK369" s="649">
        <v>2.72</v>
      </c>
      <c r="KEL369" s="16"/>
      <c r="KEM369" s="320">
        <v>2.69</v>
      </c>
      <c r="KEN369" s="153"/>
      <c r="KEO369" s="153"/>
      <c r="KEP369" s="153"/>
      <c r="KEQ369" s="648"/>
      <c r="KER369" s="641"/>
      <c r="KES369" s="631" t="s">
        <v>90</v>
      </c>
      <c r="KET369" s="632"/>
      <c r="KEU369" s="16"/>
      <c r="KEV369" s="636">
        <v>2.7</v>
      </c>
      <c r="KEW369" s="636">
        <v>2.7</v>
      </c>
      <c r="KEX369" s="636">
        <v>2.72</v>
      </c>
      <c r="KEY369" s="636">
        <v>2.72</v>
      </c>
      <c r="KEZ369" s="636">
        <v>2.72</v>
      </c>
      <c r="KFA369" s="649">
        <v>2.72</v>
      </c>
      <c r="KFB369" s="16"/>
      <c r="KFC369" s="320">
        <v>2.69</v>
      </c>
      <c r="KFD369" s="153"/>
      <c r="KFE369" s="153"/>
      <c r="KFF369" s="153"/>
      <c r="KFG369" s="648"/>
      <c r="KFH369" s="641"/>
      <c r="KFI369" s="631" t="s">
        <v>90</v>
      </c>
      <c r="KFJ369" s="632"/>
      <c r="KFK369" s="16"/>
      <c r="KFL369" s="636">
        <v>2.7</v>
      </c>
      <c r="KFM369" s="636">
        <v>2.7</v>
      </c>
      <c r="KFN369" s="636">
        <v>2.72</v>
      </c>
      <c r="KFO369" s="636">
        <v>2.72</v>
      </c>
      <c r="KFP369" s="636">
        <v>2.72</v>
      </c>
      <c r="KFQ369" s="649">
        <v>2.72</v>
      </c>
      <c r="KFR369" s="16"/>
      <c r="KFS369" s="320">
        <v>2.69</v>
      </c>
      <c r="KFT369" s="153"/>
      <c r="KFU369" s="153"/>
      <c r="KFV369" s="153"/>
      <c r="KFW369" s="648"/>
      <c r="KFX369" s="641"/>
      <c r="KFY369" s="631" t="s">
        <v>90</v>
      </c>
      <c r="KFZ369" s="632"/>
      <c r="KGA369" s="16"/>
      <c r="KGB369" s="636">
        <v>2.7</v>
      </c>
      <c r="KGC369" s="636">
        <v>2.7</v>
      </c>
      <c r="KGD369" s="636">
        <v>2.72</v>
      </c>
      <c r="KGE369" s="636">
        <v>2.72</v>
      </c>
      <c r="KGF369" s="636">
        <v>2.72</v>
      </c>
      <c r="KGG369" s="649">
        <v>2.72</v>
      </c>
      <c r="KGH369" s="16"/>
      <c r="KGI369" s="320">
        <v>2.69</v>
      </c>
      <c r="KGJ369" s="153"/>
      <c r="KGK369" s="153"/>
      <c r="KGL369" s="153"/>
      <c r="KGM369" s="648"/>
      <c r="KGN369" s="641"/>
      <c r="KGO369" s="631" t="s">
        <v>90</v>
      </c>
      <c r="KGP369" s="632"/>
      <c r="KGQ369" s="16"/>
      <c r="KGR369" s="636">
        <v>2.7</v>
      </c>
      <c r="KGS369" s="636">
        <v>2.7</v>
      </c>
      <c r="KGT369" s="636">
        <v>2.72</v>
      </c>
      <c r="KGU369" s="636">
        <v>2.72</v>
      </c>
      <c r="KGV369" s="636">
        <v>2.72</v>
      </c>
      <c r="KGW369" s="649">
        <v>2.72</v>
      </c>
      <c r="KGX369" s="16"/>
      <c r="KGY369" s="320">
        <v>2.69</v>
      </c>
      <c r="KGZ369" s="153"/>
      <c r="KHA369" s="153"/>
      <c r="KHB369" s="153"/>
      <c r="KHC369" s="648"/>
      <c r="KHD369" s="641"/>
      <c r="KHE369" s="631" t="s">
        <v>90</v>
      </c>
      <c r="KHF369" s="632"/>
      <c r="KHG369" s="16"/>
      <c r="KHH369" s="636">
        <v>2.7</v>
      </c>
      <c r="KHI369" s="636">
        <v>2.7</v>
      </c>
      <c r="KHJ369" s="636">
        <v>2.72</v>
      </c>
      <c r="KHK369" s="636">
        <v>2.72</v>
      </c>
      <c r="KHL369" s="636">
        <v>2.72</v>
      </c>
      <c r="KHM369" s="649">
        <v>2.72</v>
      </c>
      <c r="KHN369" s="16"/>
      <c r="KHO369" s="320">
        <v>2.69</v>
      </c>
      <c r="KHP369" s="153"/>
      <c r="KHQ369" s="153"/>
      <c r="KHR369" s="153"/>
      <c r="KHS369" s="648"/>
      <c r="KHT369" s="641"/>
      <c r="KHU369" s="631" t="s">
        <v>90</v>
      </c>
      <c r="KHV369" s="632"/>
      <c r="KHW369" s="16"/>
      <c r="KHX369" s="636">
        <v>2.7</v>
      </c>
      <c r="KHY369" s="636">
        <v>2.7</v>
      </c>
      <c r="KHZ369" s="636">
        <v>2.72</v>
      </c>
      <c r="KIA369" s="636">
        <v>2.72</v>
      </c>
      <c r="KIB369" s="636">
        <v>2.72</v>
      </c>
      <c r="KIC369" s="649">
        <v>2.72</v>
      </c>
      <c r="KID369" s="16"/>
      <c r="KIE369" s="320">
        <v>2.69</v>
      </c>
      <c r="KIF369" s="153"/>
      <c r="KIG369" s="153"/>
      <c r="KIH369" s="153"/>
      <c r="KII369" s="648"/>
      <c r="KIJ369" s="641"/>
      <c r="KIK369" s="631" t="s">
        <v>90</v>
      </c>
      <c r="KIL369" s="632"/>
      <c r="KIM369" s="16"/>
      <c r="KIN369" s="636">
        <v>2.7</v>
      </c>
      <c r="KIO369" s="636">
        <v>2.7</v>
      </c>
      <c r="KIP369" s="636">
        <v>2.72</v>
      </c>
      <c r="KIQ369" s="636">
        <v>2.72</v>
      </c>
      <c r="KIR369" s="636">
        <v>2.72</v>
      </c>
      <c r="KIS369" s="649">
        <v>2.72</v>
      </c>
      <c r="KIT369" s="16"/>
      <c r="KIU369" s="320">
        <v>2.69</v>
      </c>
      <c r="KIV369" s="153"/>
      <c r="KIW369" s="153"/>
      <c r="KIX369" s="153"/>
      <c r="KIY369" s="648"/>
      <c r="KIZ369" s="641"/>
      <c r="KJA369" s="631" t="s">
        <v>90</v>
      </c>
      <c r="KJB369" s="632"/>
      <c r="KJC369" s="16"/>
      <c r="KJD369" s="636">
        <v>2.7</v>
      </c>
      <c r="KJE369" s="636">
        <v>2.7</v>
      </c>
      <c r="KJF369" s="636">
        <v>2.72</v>
      </c>
      <c r="KJG369" s="636">
        <v>2.72</v>
      </c>
      <c r="KJH369" s="636">
        <v>2.72</v>
      </c>
      <c r="KJI369" s="649">
        <v>2.72</v>
      </c>
      <c r="KJJ369" s="16"/>
      <c r="KJK369" s="320">
        <v>2.69</v>
      </c>
      <c r="KJL369" s="153"/>
      <c r="KJM369" s="153"/>
      <c r="KJN369" s="153"/>
      <c r="KJO369" s="648"/>
      <c r="KJP369" s="641"/>
      <c r="KJQ369" s="631" t="s">
        <v>90</v>
      </c>
      <c r="KJR369" s="632"/>
      <c r="KJS369" s="16"/>
      <c r="KJT369" s="636">
        <v>2.7</v>
      </c>
      <c r="KJU369" s="636">
        <v>2.7</v>
      </c>
      <c r="KJV369" s="636">
        <v>2.72</v>
      </c>
      <c r="KJW369" s="636">
        <v>2.72</v>
      </c>
      <c r="KJX369" s="636">
        <v>2.72</v>
      </c>
      <c r="KJY369" s="649">
        <v>2.72</v>
      </c>
      <c r="KJZ369" s="16"/>
      <c r="KKA369" s="320">
        <v>2.69</v>
      </c>
      <c r="KKB369" s="153"/>
      <c r="KKC369" s="153"/>
      <c r="KKD369" s="153"/>
      <c r="KKE369" s="648"/>
      <c r="KKF369" s="641"/>
      <c r="KKG369" s="631" t="s">
        <v>90</v>
      </c>
      <c r="KKH369" s="632"/>
      <c r="KKI369" s="16"/>
      <c r="KKJ369" s="636">
        <v>2.7</v>
      </c>
      <c r="KKK369" s="636">
        <v>2.7</v>
      </c>
      <c r="KKL369" s="636">
        <v>2.72</v>
      </c>
      <c r="KKM369" s="636">
        <v>2.72</v>
      </c>
      <c r="KKN369" s="636">
        <v>2.72</v>
      </c>
      <c r="KKO369" s="649">
        <v>2.72</v>
      </c>
      <c r="KKP369" s="16"/>
      <c r="KKQ369" s="320">
        <v>2.69</v>
      </c>
      <c r="KKR369" s="153"/>
      <c r="KKS369" s="153"/>
      <c r="KKT369" s="153"/>
      <c r="KKU369" s="648"/>
      <c r="KKV369" s="641"/>
      <c r="KKW369" s="631" t="s">
        <v>90</v>
      </c>
      <c r="KKX369" s="632"/>
      <c r="KKY369" s="16"/>
      <c r="KKZ369" s="636">
        <v>2.7</v>
      </c>
      <c r="KLA369" s="636">
        <v>2.7</v>
      </c>
      <c r="KLB369" s="636">
        <v>2.72</v>
      </c>
      <c r="KLC369" s="636">
        <v>2.72</v>
      </c>
      <c r="KLD369" s="636">
        <v>2.72</v>
      </c>
      <c r="KLE369" s="649">
        <v>2.72</v>
      </c>
      <c r="KLF369" s="16"/>
      <c r="KLG369" s="320">
        <v>2.69</v>
      </c>
      <c r="KLH369" s="153"/>
      <c r="KLI369" s="153"/>
      <c r="KLJ369" s="153"/>
      <c r="KLK369" s="648"/>
      <c r="KLL369" s="641"/>
      <c r="KLM369" s="631" t="s">
        <v>90</v>
      </c>
      <c r="KLN369" s="632"/>
      <c r="KLO369" s="16"/>
      <c r="KLP369" s="636">
        <v>2.7</v>
      </c>
      <c r="KLQ369" s="636">
        <v>2.7</v>
      </c>
      <c r="KLR369" s="636">
        <v>2.72</v>
      </c>
      <c r="KLS369" s="636">
        <v>2.72</v>
      </c>
      <c r="KLT369" s="636">
        <v>2.72</v>
      </c>
      <c r="KLU369" s="649">
        <v>2.72</v>
      </c>
      <c r="KLV369" s="16"/>
      <c r="KLW369" s="320">
        <v>2.69</v>
      </c>
      <c r="KLX369" s="153"/>
      <c r="KLY369" s="153"/>
      <c r="KLZ369" s="153"/>
      <c r="KMA369" s="648"/>
      <c r="KMB369" s="641"/>
      <c r="KMC369" s="631" t="s">
        <v>90</v>
      </c>
      <c r="KMD369" s="632"/>
      <c r="KME369" s="16"/>
      <c r="KMF369" s="636">
        <v>2.7</v>
      </c>
      <c r="KMG369" s="636">
        <v>2.7</v>
      </c>
      <c r="KMH369" s="636">
        <v>2.72</v>
      </c>
      <c r="KMI369" s="636">
        <v>2.72</v>
      </c>
      <c r="KMJ369" s="636">
        <v>2.72</v>
      </c>
      <c r="KMK369" s="649">
        <v>2.72</v>
      </c>
      <c r="KML369" s="16"/>
      <c r="KMM369" s="320">
        <v>2.69</v>
      </c>
      <c r="KMN369" s="153"/>
      <c r="KMO369" s="153"/>
      <c r="KMP369" s="153"/>
      <c r="KMQ369" s="648"/>
      <c r="KMR369" s="641"/>
      <c r="KMS369" s="631" t="s">
        <v>90</v>
      </c>
      <c r="KMT369" s="632"/>
      <c r="KMU369" s="16"/>
      <c r="KMV369" s="636">
        <v>2.7</v>
      </c>
      <c r="KMW369" s="636">
        <v>2.7</v>
      </c>
      <c r="KMX369" s="636">
        <v>2.72</v>
      </c>
      <c r="KMY369" s="636">
        <v>2.72</v>
      </c>
      <c r="KMZ369" s="636">
        <v>2.72</v>
      </c>
      <c r="KNA369" s="649">
        <v>2.72</v>
      </c>
      <c r="KNB369" s="16"/>
      <c r="KNC369" s="320">
        <v>2.69</v>
      </c>
      <c r="KND369" s="153"/>
      <c r="KNE369" s="153"/>
      <c r="KNF369" s="153"/>
      <c r="KNG369" s="648"/>
      <c r="KNH369" s="641"/>
      <c r="KNI369" s="631" t="s">
        <v>90</v>
      </c>
      <c r="KNJ369" s="632"/>
      <c r="KNK369" s="16"/>
      <c r="KNL369" s="636">
        <v>2.7</v>
      </c>
      <c r="KNM369" s="636">
        <v>2.7</v>
      </c>
      <c r="KNN369" s="636">
        <v>2.72</v>
      </c>
      <c r="KNO369" s="636">
        <v>2.72</v>
      </c>
      <c r="KNP369" s="636">
        <v>2.72</v>
      </c>
      <c r="KNQ369" s="649">
        <v>2.72</v>
      </c>
      <c r="KNR369" s="16"/>
      <c r="KNS369" s="320">
        <v>2.69</v>
      </c>
      <c r="KNT369" s="153"/>
      <c r="KNU369" s="153"/>
      <c r="KNV369" s="153"/>
      <c r="KNW369" s="648"/>
      <c r="KNX369" s="641"/>
      <c r="KNY369" s="631" t="s">
        <v>90</v>
      </c>
      <c r="KNZ369" s="632"/>
      <c r="KOA369" s="16"/>
      <c r="KOB369" s="636">
        <v>2.7</v>
      </c>
      <c r="KOC369" s="636">
        <v>2.7</v>
      </c>
      <c r="KOD369" s="636">
        <v>2.72</v>
      </c>
      <c r="KOE369" s="636">
        <v>2.72</v>
      </c>
      <c r="KOF369" s="636">
        <v>2.72</v>
      </c>
      <c r="KOG369" s="649">
        <v>2.72</v>
      </c>
      <c r="KOH369" s="16"/>
      <c r="KOI369" s="320">
        <v>2.69</v>
      </c>
      <c r="KOJ369" s="153"/>
      <c r="KOK369" s="153"/>
      <c r="KOL369" s="153"/>
      <c r="KOM369" s="648"/>
      <c r="KON369" s="641"/>
      <c r="KOO369" s="631" t="s">
        <v>90</v>
      </c>
      <c r="KOP369" s="632"/>
      <c r="KOQ369" s="16"/>
      <c r="KOR369" s="636">
        <v>2.7</v>
      </c>
      <c r="KOS369" s="636">
        <v>2.7</v>
      </c>
      <c r="KOT369" s="636">
        <v>2.72</v>
      </c>
      <c r="KOU369" s="636">
        <v>2.72</v>
      </c>
      <c r="KOV369" s="636">
        <v>2.72</v>
      </c>
      <c r="KOW369" s="649">
        <v>2.72</v>
      </c>
      <c r="KOX369" s="16"/>
      <c r="KOY369" s="320">
        <v>2.69</v>
      </c>
      <c r="KOZ369" s="153"/>
      <c r="KPA369" s="153"/>
      <c r="KPB369" s="153"/>
      <c r="KPC369" s="648"/>
      <c r="KPD369" s="641"/>
      <c r="KPE369" s="631" t="s">
        <v>90</v>
      </c>
      <c r="KPF369" s="632"/>
      <c r="KPG369" s="16"/>
      <c r="KPH369" s="636">
        <v>2.7</v>
      </c>
      <c r="KPI369" s="636">
        <v>2.7</v>
      </c>
      <c r="KPJ369" s="636">
        <v>2.72</v>
      </c>
      <c r="KPK369" s="636">
        <v>2.72</v>
      </c>
      <c r="KPL369" s="636">
        <v>2.72</v>
      </c>
      <c r="KPM369" s="649">
        <v>2.72</v>
      </c>
      <c r="KPN369" s="16"/>
      <c r="KPO369" s="320">
        <v>2.69</v>
      </c>
      <c r="KPP369" s="153"/>
      <c r="KPQ369" s="153"/>
      <c r="KPR369" s="153"/>
      <c r="KPS369" s="648"/>
      <c r="KPT369" s="641"/>
      <c r="KPU369" s="631" t="s">
        <v>90</v>
      </c>
      <c r="KPV369" s="632"/>
      <c r="KPW369" s="16"/>
      <c r="KPX369" s="636">
        <v>2.7</v>
      </c>
      <c r="KPY369" s="636">
        <v>2.7</v>
      </c>
      <c r="KPZ369" s="636">
        <v>2.72</v>
      </c>
      <c r="KQA369" s="636">
        <v>2.72</v>
      </c>
      <c r="KQB369" s="636">
        <v>2.72</v>
      </c>
      <c r="KQC369" s="649">
        <v>2.72</v>
      </c>
      <c r="KQD369" s="16"/>
      <c r="KQE369" s="320">
        <v>2.69</v>
      </c>
      <c r="KQF369" s="153"/>
      <c r="KQG369" s="153"/>
      <c r="KQH369" s="153"/>
      <c r="KQI369" s="648"/>
      <c r="KQJ369" s="641"/>
      <c r="KQK369" s="631" t="s">
        <v>90</v>
      </c>
      <c r="KQL369" s="632"/>
      <c r="KQM369" s="16"/>
      <c r="KQN369" s="636">
        <v>2.7</v>
      </c>
      <c r="KQO369" s="636">
        <v>2.7</v>
      </c>
      <c r="KQP369" s="636">
        <v>2.72</v>
      </c>
      <c r="KQQ369" s="636">
        <v>2.72</v>
      </c>
      <c r="KQR369" s="636">
        <v>2.72</v>
      </c>
      <c r="KQS369" s="649">
        <v>2.72</v>
      </c>
      <c r="KQT369" s="16"/>
      <c r="KQU369" s="320">
        <v>2.69</v>
      </c>
      <c r="KQV369" s="153"/>
      <c r="KQW369" s="153"/>
      <c r="KQX369" s="153"/>
      <c r="KQY369" s="648"/>
      <c r="KQZ369" s="641"/>
      <c r="KRA369" s="631" t="s">
        <v>90</v>
      </c>
      <c r="KRB369" s="632"/>
      <c r="KRC369" s="16"/>
      <c r="KRD369" s="636">
        <v>2.7</v>
      </c>
      <c r="KRE369" s="636">
        <v>2.7</v>
      </c>
      <c r="KRF369" s="636">
        <v>2.72</v>
      </c>
      <c r="KRG369" s="636">
        <v>2.72</v>
      </c>
      <c r="KRH369" s="636">
        <v>2.72</v>
      </c>
      <c r="KRI369" s="649">
        <v>2.72</v>
      </c>
      <c r="KRJ369" s="16"/>
      <c r="KRK369" s="320">
        <v>2.69</v>
      </c>
      <c r="KRL369" s="153"/>
      <c r="KRM369" s="153"/>
      <c r="KRN369" s="153"/>
      <c r="KRO369" s="648"/>
      <c r="KRP369" s="641"/>
      <c r="KRQ369" s="631" t="s">
        <v>90</v>
      </c>
      <c r="KRR369" s="632"/>
      <c r="KRS369" s="16"/>
      <c r="KRT369" s="636">
        <v>2.7</v>
      </c>
      <c r="KRU369" s="636">
        <v>2.7</v>
      </c>
      <c r="KRV369" s="636">
        <v>2.72</v>
      </c>
      <c r="KRW369" s="636">
        <v>2.72</v>
      </c>
      <c r="KRX369" s="636">
        <v>2.72</v>
      </c>
      <c r="KRY369" s="649">
        <v>2.72</v>
      </c>
      <c r="KRZ369" s="16"/>
      <c r="KSA369" s="320">
        <v>2.69</v>
      </c>
      <c r="KSB369" s="153"/>
      <c r="KSC369" s="153"/>
      <c r="KSD369" s="153"/>
      <c r="KSE369" s="648"/>
      <c r="KSF369" s="641"/>
      <c r="KSG369" s="631" t="s">
        <v>90</v>
      </c>
      <c r="KSH369" s="632"/>
      <c r="KSI369" s="16"/>
      <c r="KSJ369" s="636">
        <v>2.7</v>
      </c>
      <c r="KSK369" s="636">
        <v>2.7</v>
      </c>
      <c r="KSL369" s="636">
        <v>2.72</v>
      </c>
      <c r="KSM369" s="636">
        <v>2.72</v>
      </c>
      <c r="KSN369" s="636">
        <v>2.72</v>
      </c>
      <c r="KSO369" s="649">
        <v>2.72</v>
      </c>
      <c r="KSP369" s="16"/>
      <c r="KSQ369" s="320">
        <v>2.69</v>
      </c>
      <c r="KSR369" s="153"/>
      <c r="KSS369" s="153"/>
      <c r="KST369" s="153"/>
      <c r="KSU369" s="648"/>
      <c r="KSV369" s="641"/>
      <c r="KSW369" s="631" t="s">
        <v>90</v>
      </c>
      <c r="KSX369" s="632"/>
      <c r="KSY369" s="16"/>
      <c r="KSZ369" s="636">
        <v>2.7</v>
      </c>
      <c r="KTA369" s="636">
        <v>2.7</v>
      </c>
      <c r="KTB369" s="636">
        <v>2.72</v>
      </c>
      <c r="KTC369" s="636">
        <v>2.72</v>
      </c>
      <c r="KTD369" s="636">
        <v>2.72</v>
      </c>
      <c r="KTE369" s="649">
        <v>2.72</v>
      </c>
      <c r="KTF369" s="16"/>
      <c r="KTG369" s="320">
        <v>2.69</v>
      </c>
      <c r="KTH369" s="153"/>
      <c r="KTI369" s="153"/>
      <c r="KTJ369" s="153"/>
      <c r="KTK369" s="648"/>
      <c r="KTL369" s="641"/>
      <c r="KTM369" s="631" t="s">
        <v>90</v>
      </c>
      <c r="KTN369" s="632"/>
      <c r="KTO369" s="16"/>
      <c r="KTP369" s="636">
        <v>2.7</v>
      </c>
      <c r="KTQ369" s="636">
        <v>2.7</v>
      </c>
      <c r="KTR369" s="636">
        <v>2.72</v>
      </c>
      <c r="KTS369" s="636">
        <v>2.72</v>
      </c>
      <c r="KTT369" s="636">
        <v>2.72</v>
      </c>
      <c r="KTU369" s="649">
        <v>2.72</v>
      </c>
      <c r="KTV369" s="16"/>
      <c r="KTW369" s="320">
        <v>2.69</v>
      </c>
      <c r="KTX369" s="153"/>
      <c r="KTY369" s="153"/>
      <c r="KTZ369" s="153"/>
      <c r="KUA369" s="648"/>
      <c r="KUB369" s="641"/>
      <c r="KUC369" s="631" t="s">
        <v>90</v>
      </c>
      <c r="KUD369" s="632"/>
      <c r="KUE369" s="16"/>
      <c r="KUF369" s="636">
        <v>2.7</v>
      </c>
      <c r="KUG369" s="636">
        <v>2.7</v>
      </c>
      <c r="KUH369" s="636">
        <v>2.72</v>
      </c>
      <c r="KUI369" s="636">
        <v>2.72</v>
      </c>
      <c r="KUJ369" s="636">
        <v>2.72</v>
      </c>
      <c r="KUK369" s="649">
        <v>2.72</v>
      </c>
      <c r="KUL369" s="16"/>
      <c r="KUM369" s="320">
        <v>2.69</v>
      </c>
      <c r="KUN369" s="153"/>
      <c r="KUO369" s="153"/>
      <c r="KUP369" s="153"/>
      <c r="KUQ369" s="648"/>
      <c r="KUR369" s="641"/>
      <c r="KUS369" s="631" t="s">
        <v>90</v>
      </c>
      <c r="KUT369" s="632"/>
      <c r="KUU369" s="16"/>
      <c r="KUV369" s="636">
        <v>2.7</v>
      </c>
      <c r="KUW369" s="636">
        <v>2.7</v>
      </c>
      <c r="KUX369" s="636">
        <v>2.72</v>
      </c>
      <c r="KUY369" s="636">
        <v>2.72</v>
      </c>
      <c r="KUZ369" s="636">
        <v>2.72</v>
      </c>
      <c r="KVA369" s="649">
        <v>2.72</v>
      </c>
      <c r="KVB369" s="16"/>
      <c r="KVC369" s="320">
        <v>2.69</v>
      </c>
      <c r="KVD369" s="153"/>
      <c r="KVE369" s="153"/>
      <c r="KVF369" s="153"/>
      <c r="KVG369" s="648"/>
      <c r="KVH369" s="641"/>
      <c r="KVI369" s="631" t="s">
        <v>90</v>
      </c>
      <c r="KVJ369" s="632"/>
      <c r="KVK369" s="16"/>
      <c r="KVL369" s="636">
        <v>2.7</v>
      </c>
      <c r="KVM369" s="636">
        <v>2.7</v>
      </c>
      <c r="KVN369" s="636">
        <v>2.72</v>
      </c>
      <c r="KVO369" s="636">
        <v>2.72</v>
      </c>
      <c r="KVP369" s="636">
        <v>2.72</v>
      </c>
      <c r="KVQ369" s="649">
        <v>2.72</v>
      </c>
      <c r="KVR369" s="16"/>
      <c r="KVS369" s="320">
        <v>2.69</v>
      </c>
      <c r="KVT369" s="153"/>
      <c r="KVU369" s="153"/>
      <c r="KVV369" s="153"/>
      <c r="KVW369" s="648"/>
      <c r="KVX369" s="641"/>
      <c r="KVY369" s="631" t="s">
        <v>90</v>
      </c>
      <c r="KVZ369" s="632"/>
      <c r="KWA369" s="16"/>
      <c r="KWB369" s="636">
        <v>2.7</v>
      </c>
      <c r="KWC369" s="636">
        <v>2.7</v>
      </c>
      <c r="KWD369" s="636">
        <v>2.72</v>
      </c>
      <c r="KWE369" s="636">
        <v>2.72</v>
      </c>
      <c r="KWF369" s="636">
        <v>2.72</v>
      </c>
      <c r="KWG369" s="649">
        <v>2.72</v>
      </c>
      <c r="KWH369" s="16"/>
      <c r="KWI369" s="320">
        <v>2.69</v>
      </c>
      <c r="KWJ369" s="153"/>
      <c r="KWK369" s="153"/>
      <c r="KWL369" s="153"/>
      <c r="KWM369" s="648"/>
      <c r="KWN369" s="641"/>
      <c r="KWO369" s="631" t="s">
        <v>90</v>
      </c>
      <c r="KWP369" s="632"/>
      <c r="KWQ369" s="16"/>
      <c r="KWR369" s="636">
        <v>2.7</v>
      </c>
      <c r="KWS369" s="636">
        <v>2.7</v>
      </c>
      <c r="KWT369" s="636">
        <v>2.72</v>
      </c>
      <c r="KWU369" s="636">
        <v>2.72</v>
      </c>
      <c r="KWV369" s="636">
        <v>2.72</v>
      </c>
      <c r="KWW369" s="649">
        <v>2.72</v>
      </c>
      <c r="KWX369" s="16"/>
      <c r="KWY369" s="320">
        <v>2.69</v>
      </c>
      <c r="KWZ369" s="153"/>
      <c r="KXA369" s="153"/>
      <c r="KXB369" s="153"/>
      <c r="KXC369" s="648"/>
      <c r="KXD369" s="641"/>
      <c r="KXE369" s="631" t="s">
        <v>90</v>
      </c>
      <c r="KXF369" s="632"/>
      <c r="KXG369" s="16"/>
      <c r="KXH369" s="636">
        <v>2.7</v>
      </c>
      <c r="KXI369" s="636">
        <v>2.7</v>
      </c>
      <c r="KXJ369" s="636">
        <v>2.72</v>
      </c>
      <c r="KXK369" s="636">
        <v>2.72</v>
      </c>
      <c r="KXL369" s="636">
        <v>2.72</v>
      </c>
      <c r="KXM369" s="649">
        <v>2.72</v>
      </c>
      <c r="KXN369" s="16"/>
      <c r="KXO369" s="320">
        <v>2.69</v>
      </c>
      <c r="KXP369" s="153"/>
      <c r="KXQ369" s="153"/>
      <c r="KXR369" s="153"/>
      <c r="KXS369" s="648"/>
      <c r="KXT369" s="641"/>
      <c r="KXU369" s="631" t="s">
        <v>90</v>
      </c>
      <c r="KXV369" s="632"/>
      <c r="KXW369" s="16"/>
      <c r="KXX369" s="636">
        <v>2.7</v>
      </c>
      <c r="KXY369" s="636">
        <v>2.7</v>
      </c>
      <c r="KXZ369" s="636">
        <v>2.72</v>
      </c>
      <c r="KYA369" s="636">
        <v>2.72</v>
      </c>
      <c r="KYB369" s="636">
        <v>2.72</v>
      </c>
      <c r="KYC369" s="649">
        <v>2.72</v>
      </c>
      <c r="KYD369" s="16"/>
      <c r="KYE369" s="320">
        <v>2.69</v>
      </c>
      <c r="KYF369" s="153"/>
      <c r="KYG369" s="153"/>
      <c r="KYH369" s="153"/>
      <c r="KYI369" s="648"/>
      <c r="KYJ369" s="641"/>
      <c r="KYK369" s="631" t="s">
        <v>90</v>
      </c>
      <c r="KYL369" s="632"/>
      <c r="KYM369" s="16"/>
      <c r="KYN369" s="636">
        <v>2.7</v>
      </c>
      <c r="KYO369" s="636">
        <v>2.7</v>
      </c>
      <c r="KYP369" s="636">
        <v>2.72</v>
      </c>
      <c r="KYQ369" s="636">
        <v>2.72</v>
      </c>
      <c r="KYR369" s="636">
        <v>2.72</v>
      </c>
      <c r="KYS369" s="649">
        <v>2.72</v>
      </c>
      <c r="KYT369" s="16"/>
      <c r="KYU369" s="320">
        <v>2.69</v>
      </c>
      <c r="KYV369" s="153"/>
      <c r="KYW369" s="153"/>
      <c r="KYX369" s="153"/>
      <c r="KYY369" s="648"/>
      <c r="KYZ369" s="641"/>
      <c r="KZA369" s="631" t="s">
        <v>90</v>
      </c>
      <c r="KZB369" s="632"/>
      <c r="KZC369" s="16"/>
      <c r="KZD369" s="636">
        <v>2.7</v>
      </c>
      <c r="KZE369" s="636">
        <v>2.7</v>
      </c>
      <c r="KZF369" s="636">
        <v>2.72</v>
      </c>
      <c r="KZG369" s="636">
        <v>2.72</v>
      </c>
      <c r="KZH369" s="636">
        <v>2.72</v>
      </c>
      <c r="KZI369" s="649">
        <v>2.72</v>
      </c>
      <c r="KZJ369" s="16"/>
      <c r="KZK369" s="320">
        <v>2.69</v>
      </c>
      <c r="KZL369" s="153"/>
      <c r="KZM369" s="153"/>
      <c r="KZN369" s="153"/>
      <c r="KZO369" s="648"/>
      <c r="KZP369" s="641"/>
      <c r="KZQ369" s="631" t="s">
        <v>90</v>
      </c>
      <c r="KZR369" s="632"/>
      <c r="KZS369" s="16"/>
      <c r="KZT369" s="636">
        <v>2.7</v>
      </c>
      <c r="KZU369" s="636">
        <v>2.7</v>
      </c>
      <c r="KZV369" s="636">
        <v>2.72</v>
      </c>
      <c r="KZW369" s="636">
        <v>2.72</v>
      </c>
      <c r="KZX369" s="636">
        <v>2.72</v>
      </c>
      <c r="KZY369" s="649">
        <v>2.72</v>
      </c>
      <c r="KZZ369" s="16"/>
      <c r="LAA369" s="320">
        <v>2.69</v>
      </c>
      <c r="LAB369" s="153"/>
      <c r="LAC369" s="153"/>
      <c r="LAD369" s="153"/>
      <c r="LAE369" s="648"/>
      <c r="LAF369" s="641"/>
      <c r="LAG369" s="631" t="s">
        <v>90</v>
      </c>
      <c r="LAH369" s="632"/>
      <c r="LAI369" s="16"/>
      <c r="LAJ369" s="636">
        <v>2.7</v>
      </c>
      <c r="LAK369" s="636">
        <v>2.7</v>
      </c>
      <c r="LAL369" s="636">
        <v>2.72</v>
      </c>
      <c r="LAM369" s="636">
        <v>2.72</v>
      </c>
      <c r="LAN369" s="636">
        <v>2.72</v>
      </c>
      <c r="LAO369" s="649">
        <v>2.72</v>
      </c>
      <c r="LAP369" s="16"/>
      <c r="LAQ369" s="320">
        <v>2.69</v>
      </c>
      <c r="LAR369" s="153"/>
      <c r="LAS369" s="153"/>
      <c r="LAT369" s="153"/>
      <c r="LAU369" s="648"/>
      <c r="LAV369" s="641"/>
      <c r="LAW369" s="631" t="s">
        <v>90</v>
      </c>
      <c r="LAX369" s="632"/>
      <c r="LAY369" s="16"/>
      <c r="LAZ369" s="636">
        <v>2.7</v>
      </c>
      <c r="LBA369" s="636">
        <v>2.7</v>
      </c>
      <c r="LBB369" s="636">
        <v>2.72</v>
      </c>
      <c r="LBC369" s="636">
        <v>2.72</v>
      </c>
      <c r="LBD369" s="636">
        <v>2.72</v>
      </c>
      <c r="LBE369" s="649">
        <v>2.72</v>
      </c>
      <c r="LBF369" s="16"/>
      <c r="LBG369" s="320">
        <v>2.69</v>
      </c>
      <c r="LBH369" s="153"/>
      <c r="LBI369" s="153"/>
      <c r="LBJ369" s="153"/>
      <c r="LBK369" s="648"/>
      <c r="LBL369" s="641"/>
      <c r="LBM369" s="631" t="s">
        <v>90</v>
      </c>
      <c r="LBN369" s="632"/>
      <c r="LBO369" s="16"/>
      <c r="LBP369" s="636">
        <v>2.7</v>
      </c>
      <c r="LBQ369" s="636">
        <v>2.7</v>
      </c>
      <c r="LBR369" s="636">
        <v>2.72</v>
      </c>
      <c r="LBS369" s="636">
        <v>2.72</v>
      </c>
      <c r="LBT369" s="636">
        <v>2.72</v>
      </c>
      <c r="LBU369" s="649">
        <v>2.72</v>
      </c>
      <c r="LBV369" s="16"/>
      <c r="LBW369" s="320">
        <v>2.69</v>
      </c>
      <c r="LBX369" s="153"/>
      <c r="LBY369" s="153"/>
      <c r="LBZ369" s="153"/>
      <c r="LCA369" s="648"/>
      <c r="LCB369" s="641"/>
      <c r="LCC369" s="631" t="s">
        <v>90</v>
      </c>
      <c r="LCD369" s="632"/>
      <c r="LCE369" s="16"/>
      <c r="LCF369" s="636">
        <v>2.7</v>
      </c>
      <c r="LCG369" s="636">
        <v>2.7</v>
      </c>
      <c r="LCH369" s="636">
        <v>2.72</v>
      </c>
      <c r="LCI369" s="636">
        <v>2.72</v>
      </c>
      <c r="LCJ369" s="636">
        <v>2.72</v>
      </c>
      <c r="LCK369" s="649">
        <v>2.72</v>
      </c>
      <c r="LCL369" s="16"/>
      <c r="LCM369" s="320">
        <v>2.69</v>
      </c>
      <c r="LCN369" s="153"/>
      <c r="LCO369" s="153"/>
      <c r="LCP369" s="153"/>
      <c r="LCQ369" s="648"/>
      <c r="LCR369" s="641"/>
      <c r="LCS369" s="631" t="s">
        <v>90</v>
      </c>
      <c r="LCT369" s="632"/>
      <c r="LCU369" s="16"/>
      <c r="LCV369" s="636">
        <v>2.7</v>
      </c>
      <c r="LCW369" s="636">
        <v>2.7</v>
      </c>
      <c r="LCX369" s="636">
        <v>2.72</v>
      </c>
      <c r="LCY369" s="636">
        <v>2.72</v>
      </c>
      <c r="LCZ369" s="636">
        <v>2.72</v>
      </c>
      <c r="LDA369" s="649">
        <v>2.72</v>
      </c>
      <c r="LDB369" s="16"/>
      <c r="LDC369" s="320">
        <v>2.69</v>
      </c>
      <c r="LDD369" s="153"/>
      <c r="LDE369" s="153"/>
      <c r="LDF369" s="153"/>
      <c r="LDG369" s="648"/>
      <c r="LDH369" s="641"/>
      <c r="LDI369" s="631" t="s">
        <v>90</v>
      </c>
      <c r="LDJ369" s="632"/>
      <c r="LDK369" s="16"/>
      <c r="LDL369" s="636">
        <v>2.7</v>
      </c>
      <c r="LDM369" s="636">
        <v>2.7</v>
      </c>
      <c r="LDN369" s="636">
        <v>2.72</v>
      </c>
      <c r="LDO369" s="636">
        <v>2.72</v>
      </c>
      <c r="LDP369" s="636">
        <v>2.72</v>
      </c>
      <c r="LDQ369" s="649">
        <v>2.72</v>
      </c>
      <c r="LDR369" s="16"/>
      <c r="LDS369" s="320">
        <v>2.69</v>
      </c>
      <c r="LDT369" s="153"/>
      <c r="LDU369" s="153"/>
      <c r="LDV369" s="153"/>
      <c r="LDW369" s="648"/>
      <c r="LDX369" s="641"/>
      <c r="LDY369" s="631" t="s">
        <v>90</v>
      </c>
      <c r="LDZ369" s="632"/>
      <c r="LEA369" s="16"/>
      <c r="LEB369" s="636">
        <v>2.7</v>
      </c>
      <c r="LEC369" s="636">
        <v>2.7</v>
      </c>
      <c r="LED369" s="636">
        <v>2.72</v>
      </c>
      <c r="LEE369" s="636">
        <v>2.72</v>
      </c>
      <c r="LEF369" s="636">
        <v>2.72</v>
      </c>
      <c r="LEG369" s="649">
        <v>2.72</v>
      </c>
      <c r="LEH369" s="16"/>
      <c r="LEI369" s="320">
        <v>2.69</v>
      </c>
      <c r="LEJ369" s="153"/>
      <c r="LEK369" s="153"/>
      <c r="LEL369" s="153"/>
      <c r="LEM369" s="648"/>
      <c r="LEN369" s="641"/>
      <c r="LEO369" s="631" t="s">
        <v>90</v>
      </c>
      <c r="LEP369" s="632"/>
      <c r="LEQ369" s="16"/>
      <c r="LER369" s="636">
        <v>2.7</v>
      </c>
      <c r="LES369" s="636">
        <v>2.7</v>
      </c>
      <c r="LET369" s="636">
        <v>2.72</v>
      </c>
      <c r="LEU369" s="636">
        <v>2.72</v>
      </c>
      <c r="LEV369" s="636">
        <v>2.72</v>
      </c>
      <c r="LEW369" s="649">
        <v>2.72</v>
      </c>
      <c r="LEX369" s="16"/>
      <c r="LEY369" s="320">
        <v>2.69</v>
      </c>
      <c r="LEZ369" s="153"/>
      <c r="LFA369" s="153"/>
      <c r="LFB369" s="153"/>
      <c r="LFC369" s="648"/>
      <c r="LFD369" s="641"/>
      <c r="LFE369" s="631" t="s">
        <v>90</v>
      </c>
      <c r="LFF369" s="632"/>
      <c r="LFG369" s="16"/>
      <c r="LFH369" s="636">
        <v>2.7</v>
      </c>
      <c r="LFI369" s="636">
        <v>2.7</v>
      </c>
      <c r="LFJ369" s="636">
        <v>2.72</v>
      </c>
      <c r="LFK369" s="636">
        <v>2.72</v>
      </c>
      <c r="LFL369" s="636">
        <v>2.72</v>
      </c>
      <c r="LFM369" s="649">
        <v>2.72</v>
      </c>
      <c r="LFN369" s="16"/>
      <c r="LFO369" s="320">
        <v>2.69</v>
      </c>
      <c r="LFP369" s="153"/>
      <c r="LFQ369" s="153"/>
      <c r="LFR369" s="153"/>
      <c r="LFS369" s="648"/>
      <c r="LFT369" s="641"/>
      <c r="LFU369" s="631" t="s">
        <v>90</v>
      </c>
      <c r="LFV369" s="632"/>
      <c r="LFW369" s="16"/>
      <c r="LFX369" s="636">
        <v>2.7</v>
      </c>
      <c r="LFY369" s="636">
        <v>2.7</v>
      </c>
      <c r="LFZ369" s="636">
        <v>2.72</v>
      </c>
      <c r="LGA369" s="636">
        <v>2.72</v>
      </c>
      <c r="LGB369" s="636">
        <v>2.72</v>
      </c>
      <c r="LGC369" s="649">
        <v>2.72</v>
      </c>
      <c r="LGD369" s="16"/>
      <c r="LGE369" s="320">
        <v>2.69</v>
      </c>
      <c r="LGF369" s="153"/>
      <c r="LGG369" s="153"/>
      <c r="LGH369" s="153"/>
      <c r="LGI369" s="648"/>
      <c r="LGJ369" s="641"/>
      <c r="LGK369" s="631" t="s">
        <v>90</v>
      </c>
      <c r="LGL369" s="632"/>
      <c r="LGM369" s="16"/>
      <c r="LGN369" s="636">
        <v>2.7</v>
      </c>
      <c r="LGO369" s="636">
        <v>2.7</v>
      </c>
      <c r="LGP369" s="636">
        <v>2.72</v>
      </c>
      <c r="LGQ369" s="636">
        <v>2.72</v>
      </c>
      <c r="LGR369" s="636">
        <v>2.72</v>
      </c>
      <c r="LGS369" s="649">
        <v>2.72</v>
      </c>
      <c r="LGT369" s="16"/>
      <c r="LGU369" s="320">
        <v>2.69</v>
      </c>
      <c r="LGV369" s="153"/>
      <c r="LGW369" s="153"/>
      <c r="LGX369" s="153"/>
      <c r="LGY369" s="648"/>
      <c r="LGZ369" s="641"/>
      <c r="LHA369" s="631" t="s">
        <v>90</v>
      </c>
      <c r="LHB369" s="632"/>
      <c r="LHC369" s="16"/>
      <c r="LHD369" s="636">
        <v>2.7</v>
      </c>
      <c r="LHE369" s="636">
        <v>2.7</v>
      </c>
      <c r="LHF369" s="636">
        <v>2.72</v>
      </c>
      <c r="LHG369" s="636">
        <v>2.72</v>
      </c>
      <c r="LHH369" s="636">
        <v>2.72</v>
      </c>
      <c r="LHI369" s="649">
        <v>2.72</v>
      </c>
      <c r="LHJ369" s="16"/>
      <c r="LHK369" s="320">
        <v>2.69</v>
      </c>
      <c r="LHL369" s="153"/>
      <c r="LHM369" s="153"/>
      <c r="LHN369" s="153"/>
      <c r="LHO369" s="648"/>
      <c r="LHP369" s="641"/>
      <c r="LHQ369" s="631" t="s">
        <v>90</v>
      </c>
      <c r="LHR369" s="632"/>
      <c r="LHS369" s="16"/>
      <c r="LHT369" s="636">
        <v>2.7</v>
      </c>
      <c r="LHU369" s="636">
        <v>2.7</v>
      </c>
      <c r="LHV369" s="636">
        <v>2.72</v>
      </c>
      <c r="LHW369" s="636">
        <v>2.72</v>
      </c>
      <c r="LHX369" s="636">
        <v>2.72</v>
      </c>
      <c r="LHY369" s="649">
        <v>2.72</v>
      </c>
      <c r="LHZ369" s="16"/>
      <c r="LIA369" s="320">
        <v>2.69</v>
      </c>
      <c r="LIB369" s="153"/>
      <c r="LIC369" s="153"/>
      <c r="LID369" s="153"/>
      <c r="LIE369" s="648"/>
      <c r="LIF369" s="641"/>
      <c r="LIG369" s="631" t="s">
        <v>90</v>
      </c>
      <c r="LIH369" s="632"/>
      <c r="LII369" s="16"/>
      <c r="LIJ369" s="636">
        <v>2.7</v>
      </c>
      <c r="LIK369" s="636">
        <v>2.7</v>
      </c>
      <c r="LIL369" s="636">
        <v>2.72</v>
      </c>
      <c r="LIM369" s="636">
        <v>2.72</v>
      </c>
      <c r="LIN369" s="636">
        <v>2.72</v>
      </c>
      <c r="LIO369" s="649">
        <v>2.72</v>
      </c>
      <c r="LIP369" s="16"/>
      <c r="LIQ369" s="320">
        <v>2.69</v>
      </c>
      <c r="LIR369" s="153"/>
      <c r="LIS369" s="153"/>
      <c r="LIT369" s="153"/>
      <c r="LIU369" s="648"/>
      <c r="LIV369" s="641"/>
      <c r="LIW369" s="631" t="s">
        <v>90</v>
      </c>
      <c r="LIX369" s="632"/>
      <c r="LIY369" s="16"/>
      <c r="LIZ369" s="636">
        <v>2.7</v>
      </c>
      <c r="LJA369" s="636">
        <v>2.7</v>
      </c>
      <c r="LJB369" s="636">
        <v>2.72</v>
      </c>
      <c r="LJC369" s="636">
        <v>2.72</v>
      </c>
      <c r="LJD369" s="636">
        <v>2.72</v>
      </c>
      <c r="LJE369" s="649">
        <v>2.72</v>
      </c>
      <c r="LJF369" s="16"/>
      <c r="LJG369" s="320">
        <v>2.69</v>
      </c>
      <c r="LJH369" s="153"/>
      <c r="LJI369" s="153"/>
      <c r="LJJ369" s="153"/>
      <c r="LJK369" s="648"/>
      <c r="LJL369" s="641"/>
      <c r="LJM369" s="631" t="s">
        <v>90</v>
      </c>
      <c r="LJN369" s="632"/>
      <c r="LJO369" s="16"/>
      <c r="LJP369" s="636">
        <v>2.7</v>
      </c>
      <c r="LJQ369" s="636">
        <v>2.7</v>
      </c>
      <c r="LJR369" s="636">
        <v>2.72</v>
      </c>
      <c r="LJS369" s="636">
        <v>2.72</v>
      </c>
      <c r="LJT369" s="636">
        <v>2.72</v>
      </c>
      <c r="LJU369" s="649">
        <v>2.72</v>
      </c>
      <c r="LJV369" s="16"/>
      <c r="LJW369" s="320">
        <v>2.69</v>
      </c>
      <c r="LJX369" s="153"/>
      <c r="LJY369" s="153"/>
      <c r="LJZ369" s="153"/>
      <c r="LKA369" s="648"/>
      <c r="LKB369" s="641"/>
      <c r="LKC369" s="631" t="s">
        <v>90</v>
      </c>
      <c r="LKD369" s="632"/>
      <c r="LKE369" s="16"/>
      <c r="LKF369" s="636">
        <v>2.7</v>
      </c>
      <c r="LKG369" s="636">
        <v>2.7</v>
      </c>
      <c r="LKH369" s="636">
        <v>2.72</v>
      </c>
      <c r="LKI369" s="636">
        <v>2.72</v>
      </c>
      <c r="LKJ369" s="636">
        <v>2.72</v>
      </c>
      <c r="LKK369" s="649">
        <v>2.72</v>
      </c>
      <c r="LKL369" s="16"/>
      <c r="LKM369" s="320">
        <v>2.69</v>
      </c>
      <c r="LKN369" s="153"/>
      <c r="LKO369" s="153"/>
      <c r="LKP369" s="153"/>
      <c r="LKQ369" s="648"/>
      <c r="LKR369" s="641"/>
      <c r="LKS369" s="631" t="s">
        <v>90</v>
      </c>
      <c r="LKT369" s="632"/>
      <c r="LKU369" s="16"/>
      <c r="LKV369" s="636">
        <v>2.7</v>
      </c>
      <c r="LKW369" s="636">
        <v>2.7</v>
      </c>
      <c r="LKX369" s="636">
        <v>2.72</v>
      </c>
      <c r="LKY369" s="636">
        <v>2.72</v>
      </c>
      <c r="LKZ369" s="636">
        <v>2.72</v>
      </c>
      <c r="LLA369" s="649">
        <v>2.72</v>
      </c>
      <c r="LLB369" s="16"/>
      <c r="LLC369" s="320">
        <v>2.69</v>
      </c>
      <c r="LLD369" s="153"/>
      <c r="LLE369" s="153"/>
      <c r="LLF369" s="153"/>
      <c r="LLG369" s="648"/>
      <c r="LLH369" s="641"/>
      <c r="LLI369" s="631" t="s">
        <v>90</v>
      </c>
      <c r="LLJ369" s="632"/>
      <c r="LLK369" s="16"/>
      <c r="LLL369" s="636">
        <v>2.7</v>
      </c>
      <c r="LLM369" s="636">
        <v>2.7</v>
      </c>
      <c r="LLN369" s="636">
        <v>2.72</v>
      </c>
      <c r="LLO369" s="636">
        <v>2.72</v>
      </c>
      <c r="LLP369" s="636">
        <v>2.72</v>
      </c>
      <c r="LLQ369" s="649">
        <v>2.72</v>
      </c>
      <c r="LLR369" s="16"/>
      <c r="LLS369" s="320">
        <v>2.69</v>
      </c>
      <c r="LLT369" s="153"/>
      <c r="LLU369" s="153"/>
      <c r="LLV369" s="153"/>
      <c r="LLW369" s="648"/>
      <c r="LLX369" s="641"/>
      <c r="LLY369" s="631" t="s">
        <v>90</v>
      </c>
      <c r="LLZ369" s="632"/>
      <c r="LMA369" s="16"/>
      <c r="LMB369" s="636">
        <v>2.7</v>
      </c>
      <c r="LMC369" s="636">
        <v>2.7</v>
      </c>
      <c r="LMD369" s="636">
        <v>2.72</v>
      </c>
      <c r="LME369" s="636">
        <v>2.72</v>
      </c>
      <c r="LMF369" s="636">
        <v>2.72</v>
      </c>
      <c r="LMG369" s="649">
        <v>2.72</v>
      </c>
      <c r="LMH369" s="16"/>
      <c r="LMI369" s="320">
        <v>2.69</v>
      </c>
      <c r="LMJ369" s="153"/>
      <c r="LMK369" s="153"/>
      <c r="LML369" s="153"/>
      <c r="LMM369" s="648"/>
      <c r="LMN369" s="641"/>
      <c r="LMO369" s="631" t="s">
        <v>90</v>
      </c>
      <c r="LMP369" s="632"/>
      <c r="LMQ369" s="16"/>
      <c r="LMR369" s="636">
        <v>2.7</v>
      </c>
      <c r="LMS369" s="636">
        <v>2.7</v>
      </c>
      <c r="LMT369" s="636">
        <v>2.72</v>
      </c>
      <c r="LMU369" s="636">
        <v>2.72</v>
      </c>
      <c r="LMV369" s="636">
        <v>2.72</v>
      </c>
      <c r="LMW369" s="649">
        <v>2.72</v>
      </c>
      <c r="LMX369" s="16"/>
      <c r="LMY369" s="320">
        <v>2.69</v>
      </c>
      <c r="LMZ369" s="153"/>
      <c r="LNA369" s="153"/>
      <c r="LNB369" s="153"/>
      <c r="LNC369" s="648"/>
      <c r="LND369" s="641"/>
      <c r="LNE369" s="631" t="s">
        <v>90</v>
      </c>
      <c r="LNF369" s="632"/>
      <c r="LNG369" s="16"/>
      <c r="LNH369" s="636">
        <v>2.7</v>
      </c>
      <c r="LNI369" s="636">
        <v>2.7</v>
      </c>
      <c r="LNJ369" s="636">
        <v>2.72</v>
      </c>
      <c r="LNK369" s="636">
        <v>2.72</v>
      </c>
      <c r="LNL369" s="636">
        <v>2.72</v>
      </c>
      <c r="LNM369" s="649">
        <v>2.72</v>
      </c>
      <c r="LNN369" s="16"/>
      <c r="LNO369" s="320">
        <v>2.69</v>
      </c>
      <c r="LNP369" s="153"/>
      <c r="LNQ369" s="153"/>
      <c r="LNR369" s="153"/>
      <c r="LNS369" s="648"/>
      <c r="LNT369" s="641"/>
      <c r="LNU369" s="631" t="s">
        <v>90</v>
      </c>
      <c r="LNV369" s="632"/>
      <c r="LNW369" s="16"/>
      <c r="LNX369" s="636">
        <v>2.7</v>
      </c>
      <c r="LNY369" s="636">
        <v>2.7</v>
      </c>
      <c r="LNZ369" s="636">
        <v>2.72</v>
      </c>
      <c r="LOA369" s="636">
        <v>2.72</v>
      </c>
      <c r="LOB369" s="636">
        <v>2.72</v>
      </c>
      <c r="LOC369" s="649">
        <v>2.72</v>
      </c>
      <c r="LOD369" s="16"/>
      <c r="LOE369" s="320">
        <v>2.69</v>
      </c>
      <c r="LOF369" s="153"/>
      <c r="LOG369" s="153"/>
      <c r="LOH369" s="153"/>
      <c r="LOI369" s="648"/>
      <c r="LOJ369" s="641"/>
      <c r="LOK369" s="631" t="s">
        <v>90</v>
      </c>
      <c r="LOL369" s="632"/>
      <c r="LOM369" s="16"/>
      <c r="LON369" s="636">
        <v>2.7</v>
      </c>
      <c r="LOO369" s="636">
        <v>2.7</v>
      </c>
      <c r="LOP369" s="636">
        <v>2.72</v>
      </c>
      <c r="LOQ369" s="636">
        <v>2.72</v>
      </c>
      <c r="LOR369" s="636">
        <v>2.72</v>
      </c>
      <c r="LOS369" s="649">
        <v>2.72</v>
      </c>
      <c r="LOT369" s="16"/>
      <c r="LOU369" s="320">
        <v>2.69</v>
      </c>
      <c r="LOV369" s="153"/>
      <c r="LOW369" s="153"/>
      <c r="LOX369" s="153"/>
      <c r="LOY369" s="648"/>
      <c r="LOZ369" s="641"/>
      <c r="LPA369" s="631" t="s">
        <v>90</v>
      </c>
      <c r="LPB369" s="632"/>
      <c r="LPC369" s="16"/>
      <c r="LPD369" s="636">
        <v>2.7</v>
      </c>
      <c r="LPE369" s="636">
        <v>2.7</v>
      </c>
      <c r="LPF369" s="636">
        <v>2.72</v>
      </c>
      <c r="LPG369" s="636">
        <v>2.72</v>
      </c>
      <c r="LPH369" s="636">
        <v>2.72</v>
      </c>
      <c r="LPI369" s="649">
        <v>2.72</v>
      </c>
      <c r="LPJ369" s="16"/>
      <c r="LPK369" s="320">
        <v>2.69</v>
      </c>
      <c r="LPL369" s="153"/>
      <c r="LPM369" s="153"/>
      <c r="LPN369" s="153"/>
      <c r="LPO369" s="648"/>
      <c r="LPP369" s="641"/>
      <c r="LPQ369" s="631" t="s">
        <v>90</v>
      </c>
      <c r="LPR369" s="632"/>
      <c r="LPS369" s="16"/>
      <c r="LPT369" s="636">
        <v>2.7</v>
      </c>
      <c r="LPU369" s="636">
        <v>2.7</v>
      </c>
      <c r="LPV369" s="636">
        <v>2.72</v>
      </c>
      <c r="LPW369" s="636">
        <v>2.72</v>
      </c>
      <c r="LPX369" s="636">
        <v>2.72</v>
      </c>
      <c r="LPY369" s="649">
        <v>2.72</v>
      </c>
      <c r="LPZ369" s="16"/>
      <c r="LQA369" s="320">
        <v>2.69</v>
      </c>
      <c r="LQB369" s="153"/>
      <c r="LQC369" s="153"/>
      <c r="LQD369" s="153"/>
      <c r="LQE369" s="648"/>
      <c r="LQF369" s="641"/>
      <c r="LQG369" s="631" t="s">
        <v>90</v>
      </c>
      <c r="LQH369" s="632"/>
      <c r="LQI369" s="16"/>
      <c r="LQJ369" s="636">
        <v>2.7</v>
      </c>
      <c r="LQK369" s="636">
        <v>2.7</v>
      </c>
      <c r="LQL369" s="636">
        <v>2.72</v>
      </c>
      <c r="LQM369" s="636">
        <v>2.72</v>
      </c>
      <c r="LQN369" s="636">
        <v>2.72</v>
      </c>
      <c r="LQO369" s="649">
        <v>2.72</v>
      </c>
      <c r="LQP369" s="16"/>
      <c r="LQQ369" s="320">
        <v>2.69</v>
      </c>
      <c r="LQR369" s="153"/>
      <c r="LQS369" s="153"/>
      <c r="LQT369" s="153"/>
      <c r="LQU369" s="648"/>
      <c r="LQV369" s="641"/>
      <c r="LQW369" s="631" t="s">
        <v>90</v>
      </c>
      <c r="LQX369" s="632"/>
      <c r="LQY369" s="16"/>
      <c r="LQZ369" s="636">
        <v>2.7</v>
      </c>
      <c r="LRA369" s="636">
        <v>2.7</v>
      </c>
      <c r="LRB369" s="636">
        <v>2.72</v>
      </c>
      <c r="LRC369" s="636">
        <v>2.72</v>
      </c>
      <c r="LRD369" s="636">
        <v>2.72</v>
      </c>
      <c r="LRE369" s="649">
        <v>2.72</v>
      </c>
      <c r="LRF369" s="16"/>
      <c r="LRG369" s="320">
        <v>2.69</v>
      </c>
      <c r="LRH369" s="153"/>
      <c r="LRI369" s="153"/>
      <c r="LRJ369" s="153"/>
      <c r="LRK369" s="648"/>
      <c r="LRL369" s="641"/>
      <c r="LRM369" s="631" t="s">
        <v>90</v>
      </c>
      <c r="LRN369" s="632"/>
      <c r="LRO369" s="16"/>
      <c r="LRP369" s="636">
        <v>2.7</v>
      </c>
      <c r="LRQ369" s="636">
        <v>2.7</v>
      </c>
      <c r="LRR369" s="636">
        <v>2.72</v>
      </c>
      <c r="LRS369" s="636">
        <v>2.72</v>
      </c>
      <c r="LRT369" s="636">
        <v>2.72</v>
      </c>
      <c r="LRU369" s="649">
        <v>2.72</v>
      </c>
      <c r="LRV369" s="16"/>
      <c r="LRW369" s="320">
        <v>2.69</v>
      </c>
      <c r="LRX369" s="153"/>
      <c r="LRY369" s="153"/>
      <c r="LRZ369" s="153"/>
      <c r="LSA369" s="648"/>
      <c r="LSB369" s="641"/>
      <c r="LSC369" s="631" t="s">
        <v>90</v>
      </c>
      <c r="LSD369" s="632"/>
      <c r="LSE369" s="16"/>
      <c r="LSF369" s="636">
        <v>2.7</v>
      </c>
      <c r="LSG369" s="636">
        <v>2.7</v>
      </c>
      <c r="LSH369" s="636">
        <v>2.72</v>
      </c>
      <c r="LSI369" s="636">
        <v>2.72</v>
      </c>
      <c r="LSJ369" s="636">
        <v>2.72</v>
      </c>
      <c r="LSK369" s="649">
        <v>2.72</v>
      </c>
      <c r="LSL369" s="16"/>
      <c r="LSM369" s="320">
        <v>2.69</v>
      </c>
      <c r="LSN369" s="153"/>
      <c r="LSO369" s="153"/>
      <c r="LSP369" s="153"/>
      <c r="LSQ369" s="648"/>
      <c r="LSR369" s="641"/>
      <c r="LSS369" s="631" t="s">
        <v>90</v>
      </c>
      <c r="LST369" s="632"/>
      <c r="LSU369" s="16"/>
      <c r="LSV369" s="636">
        <v>2.7</v>
      </c>
      <c r="LSW369" s="636">
        <v>2.7</v>
      </c>
      <c r="LSX369" s="636">
        <v>2.72</v>
      </c>
      <c r="LSY369" s="636">
        <v>2.72</v>
      </c>
      <c r="LSZ369" s="636">
        <v>2.72</v>
      </c>
      <c r="LTA369" s="649">
        <v>2.72</v>
      </c>
      <c r="LTB369" s="16"/>
      <c r="LTC369" s="320">
        <v>2.69</v>
      </c>
      <c r="LTD369" s="153"/>
      <c r="LTE369" s="153"/>
      <c r="LTF369" s="153"/>
      <c r="LTG369" s="648"/>
      <c r="LTH369" s="641"/>
      <c r="LTI369" s="631" t="s">
        <v>90</v>
      </c>
      <c r="LTJ369" s="632"/>
      <c r="LTK369" s="16"/>
      <c r="LTL369" s="636">
        <v>2.7</v>
      </c>
      <c r="LTM369" s="636">
        <v>2.7</v>
      </c>
      <c r="LTN369" s="636">
        <v>2.72</v>
      </c>
      <c r="LTO369" s="636">
        <v>2.72</v>
      </c>
      <c r="LTP369" s="636">
        <v>2.72</v>
      </c>
      <c r="LTQ369" s="649">
        <v>2.72</v>
      </c>
      <c r="LTR369" s="16"/>
      <c r="LTS369" s="320">
        <v>2.69</v>
      </c>
      <c r="LTT369" s="153"/>
      <c r="LTU369" s="153"/>
      <c r="LTV369" s="153"/>
      <c r="LTW369" s="648"/>
      <c r="LTX369" s="641"/>
      <c r="LTY369" s="631" t="s">
        <v>90</v>
      </c>
      <c r="LTZ369" s="632"/>
      <c r="LUA369" s="16"/>
      <c r="LUB369" s="636">
        <v>2.7</v>
      </c>
      <c r="LUC369" s="636">
        <v>2.7</v>
      </c>
      <c r="LUD369" s="636">
        <v>2.72</v>
      </c>
      <c r="LUE369" s="636">
        <v>2.72</v>
      </c>
      <c r="LUF369" s="636">
        <v>2.72</v>
      </c>
      <c r="LUG369" s="649">
        <v>2.72</v>
      </c>
      <c r="LUH369" s="16"/>
      <c r="LUI369" s="320">
        <v>2.69</v>
      </c>
      <c r="LUJ369" s="153"/>
      <c r="LUK369" s="153"/>
      <c r="LUL369" s="153"/>
      <c r="LUM369" s="648"/>
      <c r="LUN369" s="641"/>
      <c r="LUO369" s="631" t="s">
        <v>90</v>
      </c>
      <c r="LUP369" s="632"/>
      <c r="LUQ369" s="16"/>
      <c r="LUR369" s="636">
        <v>2.7</v>
      </c>
      <c r="LUS369" s="636">
        <v>2.7</v>
      </c>
      <c r="LUT369" s="636">
        <v>2.72</v>
      </c>
      <c r="LUU369" s="636">
        <v>2.72</v>
      </c>
      <c r="LUV369" s="636">
        <v>2.72</v>
      </c>
      <c r="LUW369" s="649">
        <v>2.72</v>
      </c>
      <c r="LUX369" s="16"/>
      <c r="LUY369" s="320">
        <v>2.69</v>
      </c>
      <c r="LUZ369" s="153"/>
      <c r="LVA369" s="153"/>
      <c r="LVB369" s="153"/>
      <c r="LVC369" s="648"/>
      <c r="LVD369" s="641"/>
      <c r="LVE369" s="631" t="s">
        <v>90</v>
      </c>
      <c r="LVF369" s="632"/>
      <c r="LVG369" s="16"/>
      <c r="LVH369" s="636">
        <v>2.7</v>
      </c>
      <c r="LVI369" s="636">
        <v>2.7</v>
      </c>
      <c r="LVJ369" s="636">
        <v>2.72</v>
      </c>
      <c r="LVK369" s="636">
        <v>2.72</v>
      </c>
      <c r="LVL369" s="636">
        <v>2.72</v>
      </c>
      <c r="LVM369" s="649">
        <v>2.72</v>
      </c>
      <c r="LVN369" s="16"/>
      <c r="LVO369" s="320">
        <v>2.69</v>
      </c>
      <c r="LVP369" s="153"/>
      <c r="LVQ369" s="153"/>
      <c r="LVR369" s="153"/>
      <c r="LVS369" s="648"/>
      <c r="LVT369" s="641"/>
      <c r="LVU369" s="631" t="s">
        <v>90</v>
      </c>
      <c r="LVV369" s="632"/>
      <c r="LVW369" s="16"/>
      <c r="LVX369" s="636">
        <v>2.7</v>
      </c>
      <c r="LVY369" s="636">
        <v>2.7</v>
      </c>
      <c r="LVZ369" s="636">
        <v>2.72</v>
      </c>
      <c r="LWA369" s="636">
        <v>2.72</v>
      </c>
      <c r="LWB369" s="636">
        <v>2.72</v>
      </c>
      <c r="LWC369" s="649">
        <v>2.72</v>
      </c>
      <c r="LWD369" s="16"/>
      <c r="LWE369" s="320">
        <v>2.69</v>
      </c>
      <c r="LWF369" s="153"/>
      <c r="LWG369" s="153"/>
      <c r="LWH369" s="153"/>
      <c r="LWI369" s="648"/>
      <c r="LWJ369" s="641"/>
      <c r="LWK369" s="631" t="s">
        <v>90</v>
      </c>
      <c r="LWL369" s="632"/>
      <c r="LWM369" s="16"/>
      <c r="LWN369" s="636">
        <v>2.7</v>
      </c>
      <c r="LWO369" s="636">
        <v>2.7</v>
      </c>
      <c r="LWP369" s="636">
        <v>2.72</v>
      </c>
      <c r="LWQ369" s="636">
        <v>2.72</v>
      </c>
      <c r="LWR369" s="636">
        <v>2.72</v>
      </c>
      <c r="LWS369" s="649">
        <v>2.72</v>
      </c>
      <c r="LWT369" s="16"/>
      <c r="LWU369" s="320">
        <v>2.69</v>
      </c>
      <c r="LWV369" s="153"/>
      <c r="LWW369" s="153"/>
      <c r="LWX369" s="153"/>
      <c r="LWY369" s="648"/>
      <c r="LWZ369" s="641"/>
      <c r="LXA369" s="631" t="s">
        <v>90</v>
      </c>
      <c r="LXB369" s="632"/>
      <c r="LXC369" s="16"/>
      <c r="LXD369" s="636">
        <v>2.7</v>
      </c>
      <c r="LXE369" s="636">
        <v>2.7</v>
      </c>
      <c r="LXF369" s="636">
        <v>2.72</v>
      </c>
      <c r="LXG369" s="636">
        <v>2.72</v>
      </c>
      <c r="LXH369" s="636">
        <v>2.72</v>
      </c>
      <c r="LXI369" s="649">
        <v>2.72</v>
      </c>
      <c r="LXJ369" s="16"/>
      <c r="LXK369" s="320">
        <v>2.69</v>
      </c>
      <c r="LXL369" s="153"/>
      <c r="LXM369" s="153"/>
      <c r="LXN369" s="153"/>
      <c r="LXO369" s="648"/>
      <c r="LXP369" s="641"/>
      <c r="LXQ369" s="631" t="s">
        <v>90</v>
      </c>
      <c r="LXR369" s="632"/>
      <c r="LXS369" s="16"/>
      <c r="LXT369" s="636">
        <v>2.7</v>
      </c>
      <c r="LXU369" s="636">
        <v>2.7</v>
      </c>
      <c r="LXV369" s="636">
        <v>2.72</v>
      </c>
      <c r="LXW369" s="636">
        <v>2.72</v>
      </c>
      <c r="LXX369" s="636">
        <v>2.72</v>
      </c>
      <c r="LXY369" s="649">
        <v>2.72</v>
      </c>
      <c r="LXZ369" s="16"/>
      <c r="LYA369" s="320">
        <v>2.69</v>
      </c>
      <c r="LYB369" s="153"/>
      <c r="LYC369" s="153"/>
      <c r="LYD369" s="153"/>
      <c r="LYE369" s="648"/>
      <c r="LYF369" s="641"/>
      <c r="LYG369" s="631" t="s">
        <v>90</v>
      </c>
      <c r="LYH369" s="632"/>
      <c r="LYI369" s="16"/>
      <c r="LYJ369" s="636">
        <v>2.7</v>
      </c>
      <c r="LYK369" s="636">
        <v>2.7</v>
      </c>
      <c r="LYL369" s="636">
        <v>2.72</v>
      </c>
      <c r="LYM369" s="636">
        <v>2.72</v>
      </c>
      <c r="LYN369" s="636">
        <v>2.72</v>
      </c>
      <c r="LYO369" s="649">
        <v>2.72</v>
      </c>
      <c r="LYP369" s="16"/>
      <c r="LYQ369" s="320">
        <v>2.69</v>
      </c>
      <c r="LYR369" s="153"/>
      <c r="LYS369" s="153"/>
      <c r="LYT369" s="153"/>
      <c r="LYU369" s="648"/>
      <c r="LYV369" s="641"/>
      <c r="LYW369" s="631" t="s">
        <v>90</v>
      </c>
      <c r="LYX369" s="632"/>
      <c r="LYY369" s="16"/>
      <c r="LYZ369" s="636">
        <v>2.7</v>
      </c>
      <c r="LZA369" s="636">
        <v>2.7</v>
      </c>
      <c r="LZB369" s="636">
        <v>2.72</v>
      </c>
      <c r="LZC369" s="636">
        <v>2.72</v>
      </c>
      <c r="LZD369" s="636">
        <v>2.72</v>
      </c>
      <c r="LZE369" s="649">
        <v>2.72</v>
      </c>
      <c r="LZF369" s="16"/>
      <c r="LZG369" s="320">
        <v>2.69</v>
      </c>
      <c r="LZH369" s="153"/>
      <c r="LZI369" s="153"/>
      <c r="LZJ369" s="153"/>
      <c r="LZK369" s="648"/>
      <c r="LZL369" s="641"/>
      <c r="LZM369" s="631" t="s">
        <v>90</v>
      </c>
      <c r="LZN369" s="632"/>
      <c r="LZO369" s="16"/>
      <c r="LZP369" s="636">
        <v>2.7</v>
      </c>
      <c r="LZQ369" s="636">
        <v>2.7</v>
      </c>
      <c r="LZR369" s="636">
        <v>2.72</v>
      </c>
      <c r="LZS369" s="636">
        <v>2.72</v>
      </c>
      <c r="LZT369" s="636">
        <v>2.72</v>
      </c>
      <c r="LZU369" s="649">
        <v>2.72</v>
      </c>
      <c r="LZV369" s="16"/>
      <c r="LZW369" s="320">
        <v>2.69</v>
      </c>
      <c r="LZX369" s="153"/>
      <c r="LZY369" s="153"/>
      <c r="LZZ369" s="153"/>
      <c r="MAA369" s="648"/>
      <c r="MAB369" s="641"/>
      <c r="MAC369" s="631" t="s">
        <v>90</v>
      </c>
      <c r="MAD369" s="632"/>
      <c r="MAE369" s="16"/>
      <c r="MAF369" s="636">
        <v>2.7</v>
      </c>
      <c r="MAG369" s="636">
        <v>2.7</v>
      </c>
      <c r="MAH369" s="636">
        <v>2.72</v>
      </c>
      <c r="MAI369" s="636">
        <v>2.72</v>
      </c>
      <c r="MAJ369" s="636">
        <v>2.72</v>
      </c>
      <c r="MAK369" s="649">
        <v>2.72</v>
      </c>
      <c r="MAL369" s="16"/>
      <c r="MAM369" s="320">
        <v>2.69</v>
      </c>
      <c r="MAN369" s="153"/>
      <c r="MAO369" s="153"/>
      <c r="MAP369" s="153"/>
      <c r="MAQ369" s="648"/>
      <c r="MAR369" s="641"/>
      <c r="MAS369" s="631" t="s">
        <v>90</v>
      </c>
      <c r="MAT369" s="632"/>
      <c r="MAU369" s="16"/>
      <c r="MAV369" s="636">
        <v>2.7</v>
      </c>
      <c r="MAW369" s="636">
        <v>2.7</v>
      </c>
      <c r="MAX369" s="636">
        <v>2.72</v>
      </c>
      <c r="MAY369" s="636">
        <v>2.72</v>
      </c>
      <c r="MAZ369" s="636">
        <v>2.72</v>
      </c>
      <c r="MBA369" s="649">
        <v>2.72</v>
      </c>
      <c r="MBB369" s="16"/>
      <c r="MBC369" s="320">
        <v>2.69</v>
      </c>
      <c r="MBD369" s="153"/>
      <c r="MBE369" s="153"/>
      <c r="MBF369" s="153"/>
      <c r="MBG369" s="648"/>
      <c r="MBH369" s="641"/>
      <c r="MBI369" s="631" t="s">
        <v>90</v>
      </c>
      <c r="MBJ369" s="632"/>
      <c r="MBK369" s="16"/>
      <c r="MBL369" s="636">
        <v>2.7</v>
      </c>
      <c r="MBM369" s="636">
        <v>2.7</v>
      </c>
      <c r="MBN369" s="636">
        <v>2.72</v>
      </c>
      <c r="MBO369" s="636">
        <v>2.72</v>
      </c>
      <c r="MBP369" s="636">
        <v>2.72</v>
      </c>
      <c r="MBQ369" s="649">
        <v>2.72</v>
      </c>
      <c r="MBR369" s="16"/>
      <c r="MBS369" s="320">
        <v>2.69</v>
      </c>
      <c r="MBT369" s="153"/>
      <c r="MBU369" s="153"/>
      <c r="MBV369" s="153"/>
      <c r="MBW369" s="648"/>
      <c r="MBX369" s="641"/>
      <c r="MBY369" s="631" t="s">
        <v>90</v>
      </c>
      <c r="MBZ369" s="632"/>
      <c r="MCA369" s="16"/>
      <c r="MCB369" s="636">
        <v>2.7</v>
      </c>
      <c r="MCC369" s="636">
        <v>2.7</v>
      </c>
      <c r="MCD369" s="636">
        <v>2.72</v>
      </c>
      <c r="MCE369" s="636">
        <v>2.72</v>
      </c>
      <c r="MCF369" s="636">
        <v>2.72</v>
      </c>
      <c r="MCG369" s="649">
        <v>2.72</v>
      </c>
      <c r="MCH369" s="16"/>
      <c r="MCI369" s="320">
        <v>2.69</v>
      </c>
      <c r="MCJ369" s="153"/>
      <c r="MCK369" s="153"/>
      <c r="MCL369" s="153"/>
      <c r="MCM369" s="648"/>
      <c r="MCN369" s="641"/>
      <c r="MCO369" s="631" t="s">
        <v>90</v>
      </c>
      <c r="MCP369" s="632"/>
      <c r="MCQ369" s="16"/>
      <c r="MCR369" s="636">
        <v>2.7</v>
      </c>
      <c r="MCS369" s="636">
        <v>2.7</v>
      </c>
      <c r="MCT369" s="636">
        <v>2.72</v>
      </c>
      <c r="MCU369" s="636">
        <v>2.72</v>
      </c>
      <c r="MCV369" s="636">
        <v>2.72</v>
      </c>
      <c r="MCW369" s="649">
        <v>2.72</v>
      </c>
      <c r="MCX369" s="16"/>
      <c r="MCY369" s="320">
        <v>2.69</v>
      </c>
      <c r="MCZ369" s="153"/>
      <c r="MDA369" s="153"/>
      <c r="MDB369" s="153"/>
      <c r="MDC369" s="648"/>
      <c r="MDD369" s="641"/>
      <c r="MDE369" s="631" t="s">
        <v>90</v>
      </c>
      <c r="MDF369" s="632"/>
      <c r="MDG369" s="16"/>
      <c r="MDH369" s="636">
        <v>2.7</v>
      </c>
      <c r="MDI369" s="636">
        <v>2.7</v>
      </c>
      <c r="MDJ369" s="636">
        <v>2.72</v>
      </c>
      <c r="MDK369" s="636">
        <v>2.72</v>
      </c>
      <c r="MDL369" s="636">
        <v>2.72</v>
      </c>
      <c r="MDM369" s="649">
        <v>2.72</v>
      </c>
      <c r="MDN369" s="16"/>
      <c r="MDO369" s="320">
        <v>2.69</v>
      </c>
      <c r="MDP369" s="153"/>
      <c r="MDQ369" s="153"/>
      <c r="MDR369" s="153"/>
      <c r="MDS369" s="648"/>
      <c r="MDT369" s="641"/>
      <c r="MDU369" s="631" t="s">
        <v>90</v>
      </c>
      <c r="MDV369" s="632"/>
      <c r="MDW369" s="16"/>
      <c r="MDX369" s="636">
        <v>2.7</v>
      </c>
      <c r="MDY369" s="636">
        <v>2.7</v>
      </c>
      <c r="MDZ369" s="636">
        <v>2.72</v>
      </c>
      <c r="MEA369" s="636">
        <v>2.72</v>
      </c>
      <c r="MEB369" s="636">
        <v>2.72</v>
      </c>
      <c r="MEC369" s="649">
        <v>2.72</v>
      </c>
      <c r="MED369" s="16"/>
      <c r="MEE369" s="320">
        <v>2.69</v>
      </c>
      <c r="MEF369" s="153"/>
      <c r="MEG369" s="153"/>
      <c r="MEH369" s="153"/>
      <c r="MEI369" s="648"/>
      <c r="MEJ369" s="641"/>
      <c r="MEK369" s="631" t="s">
        <v>90</v>
      </c>
      <c r="MEL369" s="632"/>
      <c r="MEM369" s="16"/>
      <c r="MEN369" s="636">
        <v>2.7</v>
      </c>
      <c r="MEO369" s="636">
        <v>2.7</v>
      </c>
      <c r="MEP369" s="636">
        <v>2.72</v>
      </c>
      <c r="MEQ369" s="636">
        <v>2.72</v>
      </c>
      <c r="MER369" s="636">
        <v>2.72</v>
      </c>
      <c r="MES369" s="649">
        <v>2.72</v>
      </c>
      <c r="MET369" s="16"/>
      <c r="MEU369" s="320">
        <v>2.69</v>
      </c>
      <c r="MEV369" s="153"/>
      <c r="MEW369" s="153"/>
      <c r="MEX369" s="153"/>
      <c r="MEY369" s="648"/>
      <c r="MEZ369" s="641"/>
      <c r="MFA369" s="631" t="s">
        <v>90</v>
      </c>
      <c r="MFB369" s="632"/>
      <c r="MFC369" s="16"/>
      <c r="MFD369" s="636">
        <v>2.7</v>
      </c>
      <c r="MFE369" s="636">
        <v>2.7</v>
      </c>
      <c r="MFF369" s="636">
        <v>2.72</v>
      </c>
      <c r="MFG369" s="636">
        <v>2.72</v>
      </c>
      <c r="MFH369" s="636">
        <v>2.72</v>
      </c>
      <c r="MFI369" s="649">
        <v>2.72</v>
      </c>
      <c r="MFJ369" s="16"/>
      <c r="MFK369" s="320">
        <v>2.69</v>
      </c>
      <c r="MFL369" s="153"/>
      <c r="MFM369" s="153"/>
      <c r="MFN369" s="153"/>
      <c r="MFO369" s="648"/>
      <c r="MFP369" s="641"/>
      <c r="MFQ369" s="631" t="s">
        <v>90</v>
      </c>
      <c r="MFR369" s="632"/>
      <c r="MFS369" s="16"/>
      <c r="MFT369" s="636">
        <v>2.7</v>
      </c>
      <c r="MFU369" s="636">
        <v>2.7</v>
      </c>
      <c r="MFV369" s="636">
        <v>2.72</v>
      </c>
      <c r="MFW369" s="636">
        <v>2.72</v>
      </c>
      <c r="MFX369" s="636">
        <v>2.72</v>
      </c>
      <c r="MFY369" s="649">
        <v>2.72</v>
      </c>
      <c r="MFZ369" s="16"/>
      <c r="MGA369" s="320">
        <v>2.69</v>
      </c>
      <c r="MGB369" s="153"/>
      <c r="MGC369" s="153"/>
      <c r="MGD369" s="153"/>
      <c r="MGE369" s="648"/>
      <c r="MGF369" s="641"/>
      <c r="MGG369" s="631" t="s">
        <v>90</v>
      </c>
      <c r="MGH369" s="632"/>
      <c r="MGI369" s="16"/>
      <c r="MGJ369" s="636">
        <v>2.7</v>
      </c>
      <c r="MGK369" s="636">
        <v>2.7</v>
      </c>
      <c r="MGL369" s="636">
        <v>2.72</v>
      </c>
      <c r="MGM369" s="636">
        <v>2.72</v>
      </c>
      <c r="MGN369" s="636">
        <v>2.72</v>
      </c>
      <c r="MGO369" s="649">
        <v>2.72</v>
      </c>
      <c r="MGP369" s="16"/>
      <c r="MGQ369" s="320">
        <v>2.69</v>
      </c>
      <c r="MGR369" s="153"/>
      <c r="MGS369" s="153"/>
      <c r="MGT369" s="153"/>
      <c r="MGU369" s="648"/>
      <c r="MGV369" s="641"/>
      <c r="MGW369" s="631" t="s">
        <v>90</v>
      </c>
      <c r="MGX369" s="632"/>
      <c r="MGY369" s="16"/>
      <c r="MGZ369" s="636">
        <v>2.7</v>
      </c>
      <c r="MHA369" s="636">
        <v>2.7</v>
      </c>
      <c r="MHB369" s="636">
        <v>2.72</v>
      </c>
      <c r="MHC369" s="636">
        <v>2.72</v>
      </c>
      <c r="MHD369" s="636">
        <v>2.72</v>
      </c>
      <c r="MHE369" s="649">
        <v>2.72</v>
      </c>
      <c r="MHF369" s="16"/>
      <c r="MHG369" s="320">
        <v>2.69</v>
      </c>
      <c r="MHH369" s="153"/>
      <c r="MHI369" s="153"/>
      <c r="MHJ369" s="153"/>
      <c r="MHK369" s="648"/>
      <c r="MHL369" s="641"/>
      <c r="MHM369" s="631" t="s">
        <v>90</v>
      </c>
      <c r="MHN369" s="632"/>
      <c r="MHO369" s="16"/>
      <c r="MHP369" s="636">
        <v>2.7</v>
      </c>
      <c r="MHQ369" s="636">
        <v>2.7</v>
      </c>
      <c r="MHR369" s="636">
        <v>2.72</v>
      </c>
      <c r="MHS369" s="636">
        <v>2.72</v>
      </c>
      <c r="MHT369" s="636">
        <v>2.72</v>
      </c>
      <c r="MHU369" s="649">
        <v>2.72</v>
      </c>
      <c r="MHV369" s="16"/>
      <c r="MHW369" s="320">
        <v>2.69</v>
      </c>
      <c r="MHX369" s="153"/>
      <c r="MHY369" s="153"/>
      <c r="MHZ369" s="153"/>
      <c r="MIA369" s="648"/>
      <c r="MIB369" s="641"/>
      <c r="MIC369" s="631" t="s">
        <v>90</v>
      </c>
      <c r="MID369" s="632"/>
      <c r="MIE369" s="16"/>
      <c r="MIF369" s="636">
        <v>2.7</v>
      </c>
      <c r="MIG369" s="636">
        <v>2.7</v>
      </c>
      <c r="MIH369" s="636">
        <v>2.72</v>
      </c>
      <c r="MII369" s="636">
        <v>2.72</v>
      </c>
      <c r="MIJ369" s="636">
        <v>2.72</v>
      </c>
      <c r="MIK369" s="649">
        <v>2.72</v>
      </c>
      <c r="MIL369" s="16"/>
      <c r="MIM369" s="320">
        <v>2.69</v>
      </c>
      <c r="MIN369" s="153"/>
      <c r="MIO369" s="153"/>
      <c r="MIP369" s="153"/>
      <c r="MIQ369" s="648"/>
      <c r="MIR369" s="641"/>
      <c r="MIS369" s="631" t="s">
        <v>90</v>
      </c>
      <c r="MIT369" s="632"/>
      <c r="MIU369" s="16"/>
      <c r="MIV369" s="636">
        <v>2.7</v>
      </c>
      <c r="MIW369" s="636">
        <v>2.7</v>
      </c>
      <c r="MIX369" s="636">
        <v>2.72</v>
      </c>
      <c r="MIY369" s="636">
        <v>2.72</v>
      </c>
      <c r="MIZ369" s="636">
        <v>2.72</v>
      </c>
      <c r="MJA369" s="649">
        <v>2.72</v>
      </c>
      <c r="MJB369" s="16"/>
      <c r="MJC369" s="320">
        <v>2.69</v>
      </c>
      <c r="MJD369" s="153"/>
      <c r="MJE369" s="153"/>
      <c r="MJF369" s="153"/>
      <c r="MJG369" s="648"/>
      <c r="MJH369" s="641"/>
      <c r="MJI369" s="631" t="s">
        <v>90</v>
      </c>
      <c r="MJJ369" s="632"/>
      <c r="MJK369" s="16"/>
      <c r="MJL369" s="636">
        <v>2.7</v>
      </c>
      <c r="MJM369" s="636">
        <v>2.7</v>
      </c>
      <c r="MJN369" s="636">
        <v>2.72</v>
      </c>
      <c r="MJO369" s="636">
        <v>2.72</v>
      </c>
      <c r="MJP369" s="636">
        <v>2.72</v>
      </c>
      <c r="MJQ369" s="649">
        <v>2.72</v>
      </c>
      <c r="MJR369" s="16"/>
      <c r="MJS369" s="320">
        <v>2.69</v>
      </c>
      <c r="MJT369" s="153"/>
      <c r="MJU369" s="153"/>
      <c r="MJV369" s="153"/>
      <c r="MJW369" s="648"/>
      <c r="MJX369" s="641"/>
      <c r="MJY369" s="631" t="s">
        <v>90</v>
      </c>
      <c r="MJZ369" s="632"/>
      <c r="MKA369" s="16"/>
      <c r="MKB369" s="636">
        <v>2.7</v>
      </c>
      <c r="MKC369" s="636">
        <v>2.7</v>
      </c>
      <c r="MKD369" s="636">
        <v>2.72</v>
      </c>
      <c r="MKE369" s="636">
        <v>2.72</v>
      </c>
      <c r="MKF369" s="636">
        <v>2.72</v>
      </c>
      <c r="MKG369" s="649">
        <v>2.72</v>
      </c>
      <c r="MKH369" s="16"/>
      <c r="MKI369" s="320">
        <v>2.69</v>
      </c>
      <c r="MKJ369" s="153"/>
      <c r="MKK369" s="153"/>
      <c r="MKL369" s="153"/>
      <c r="MKM369" s="648"/>
      <c r="MKN369" s="641"/>
      <c r="MKO369" s="631" t="s">
        <v>90</v>
      </c>
      <c r="MKP369" s="632"/>
      <c r="MKQ369" s="16"/>
      <c r="MKR369" s="636">
        <v>2.7</v>
      </c>
      <c r="MKS369" s="636">
        <v>2.7</v>
      </c>
      <c r="MKT369" s="636">
        <v>2.72</v>
      </c>
      <c r="MKU369" s="636">
        <v>2.72</v>
      </c>
      <c r="MKV369" s="636">
        <v>2.72</v>
      </c>
      <c r="MKW369" s="649">
        <v>2.72</v>
      </c>
      <c r="MKX369" s="16"/>
      <c r="MKY369" s="320">
        <v>2.69</v>
      </c>
      <c r="MKZ369" s="153"/>
      <c r="MLA369" s="153"/>
      <c r="MLB369" s="153"/>
      <c r="MLC369" s="648"/>
      <c r="MLD369" s="641"/>
      <c r="MLE369" s="631" t="s">
        <v>90</v>
      </c>
      <c r="MLF369" s="632"/>
      <c r="MLG369" s="16"/>
      <c r="MLH369" s="636">
        <v>2.7</v>
      </c>
      <c r="MLI369" s="636">
        <v>2.7</v>
      </c>
      <c r="MLJ369" s="636">
        <v>2.72</v>
      </c>
      <c r="MLK369" s="636">
        <v>2.72</v>
      </c>
      <c r="MLL369" s="636">
        <v>2.72</v>
      </c>
      <c r="MLM369" s="649">
        <v>2.72</v>
      </c>
      <c r="MLN369" s="16"/>
      <c r="MLO369" s="320">
        <v>2.69</v>
      </c>
      <c r="MLP369" s="153"/>
      <c r="MLQ369" s="153"/>
      <c r="MLR369" s="153"/>
      <c r="MLS369" s="648"/>
      <c r="MLT369" s="641"/>
      <c r="MLU369" s="631" t="s">
        <v>90</v>
      </c>
      <c r="MLV369" s="632"/>
      <c r="MLW369" s="16"/>
      <c r="MLX369" s="636">
        <v>2.7</v>
      </c>
      <c r="MLY369" s="636">
        <v>2.7</v>
      </c>
      <c r="MLZ369" s="636">
        <v>2.72</v>
      </c>
      <c r="MMA369" s="636">
        <v>2.72</v>
      </c>
      <c r="MMB369" s="636">
        <v>2.72</v>
      </c>
      <c r="MMC369" s="649">
        <v>2.72</v>
      </c>
      <c r="MMD369" s="16"/>
      <c r="MME369" s="320">
        <v>2.69</v>
      </c>
      <c r="MMF369" s="153"/>
      <c r="MMG369" s="153"/>
      <c r="MMH369" s="153"/>
      <c r="MMI369" s="648"/>
      <c r="MMJ369" s="641"/>
      <c r="MMK369" s="631" t="s">
        <v>90</v>
      </c>
      <c r="MML369" s="632"/>
      <c r="MMM369" s="16"/>
      <c r="MMN369" s="636">
        <v>2.7</v>
      </c>
      <c r="MMO369" s="636">
        <v>2.7</v>
      </c>
      <c r="MMP369" s="636">
        <v>2.72</v>
      </c>
      <c r="MMQ369" s="636">
        <v>2.72</v>
      </c>
      <c r="MMR369" s="636">
        <v>2.72</v>
      </c>
      <c r="MMS369" s="649">
        <v>2.72</v>
      </c>
      <c r="MMT369" s="16"/>
      <c r="MMU369" s="320">
        <v>2.69</v>
      </c>
      <c r="MMV369" s="153"/>
      <c r="MMW369" s="153"/>
      <c r="MMX369" s="153"/>
      <c r="MMY369" s="648"/>
      <c r="MMZ369" s="641"/>
      <c r="MNA369" s="631" t="s">
        <v>90</v>
      </c>
      <c r="MNB369" s="632"/>
      <c r="MNC369" s="16"/>
      <c r="MND369" s="636">
        <v>2.7</v>
      </c>
      <c r="MNE369" s="636">
        <v>2.7</v>
      </c>
      <c r="MNF369" s="636">
        <v>2.72</v>
      </c>
      <c r="MNG369" s="636">
        <v>2.72</v>
      </c>
      <c r="MNH369" s="636">
        <v>2.72</v>
      </c>
      <c r="MNI369" s="649">
        <v>2.72</v>
      </c>
      <c r="MNJ369" s="16"/>
      <c r="MNK369" s="320">
        <v>2.69</v>
      </c>
      <c r="MNL369" s="153"/>
      <c r="MNM369" s="153"/>
      <c r="MNN369" s="153"/>
      <c r="MNO369" s="648"/>
      <c r="MNP369" s="641"/>
      <c r="MNQ369" s="631" t="s">
        <v>90</v>
      </c>
      <c r="MNR369" s="632"/>
      <c r="MNS369" s="16"/>
      <c r="MNT369" s="636">
        <v>2.7</v>
      </c>
      <c r="MNU369" s="636">
        <v>2.7</v>
      </c>
      <c r="MNV369" s="636">
        <v>2.72</v>
      </c>
      <c r="MNW369" s="636">
        <v>2.72</v>
      </c>
      <c r="MNX369" s="636">
        <v>2.72</v>
      </c>
      <c r="MNY369" s="649">
        <v>2.72</v>
      </c>
      <c r="MNZ369" s="16"/>
      <c r="MOA369" s="320">
        <v>2.69</v>
      </c>
      <c r="MOB369" s="153"/>
      <c r="MOC369" s="153"/>
      <c r="MOD369" s="153"/>
      <c r="MOE369" s="648"/>
      <c r="MOF369" s="641"/>
      <c r="MOG369" s="631" t="s">
        <v>90</v>
      </c>
      <c r="MOH369" s="632"/>
      <c r="MOI369" s="16"/>
      <c r="MOJ369" s="636">
        <v>2.7</v>
      </c>
      <c r="MOK369" s="636">
        <v>2.7</v>
      </c>
      <c r="MOL369" s="636">
        <v>2.72</v>
      </c>
      <c r="MOM369" s="636">
        <v>2.72</v>
      </c>
      <c r="MON369" s="636">
        <v>2.72</v>
      </c>
      <c r="MOO369" s="649">
        <v>2.72</v>
      </c>
      <c r="MOP369" s="16"/>
      <c r="MOQ369" s="320">
        <v>2.69</v>
      </c>
      <c r="MOR369" s="153"/>
      <c r="MOS369" s="153"/>
      <c r="MOT369" s="153"/>
      <c r="MOU369" s="648"/>
      <c r="MOV369" s="641"/>
      <c r="MOW369" s="631" t="s">
        <v>90</v>
      </c>
      <c r="MOX369" s="632"/>
      <c r="MOY369" s="16"/>
      <c r="MOZ369" s="636">
        <v>2.7</v>
      </c>
      <c r="MPA369" s="636">
        <v>2.7</v>
      </c>
      <c r="MPB369" s="636">
        <v>2.72</v>
      </c>
      <c r="MPC369" s="636">
        <v>2.72</v>
      </c>
      <c r="MPD369" s="636">
        <v>2.72</v>
      </c>
      <c r="MPE369" s="649">
        <v>2.72</v>
      </c>
      <c r="MPF369" s="16"/>
      <c r="MPG369" s="320">
        <v>2.69</v>
      </c>
      <c r="MPH369" s="153"/>
      <c r="MPI369" s="153"/>
      <c r="MPJ369" s="153"/>
      <c r="MPK369" s="648"/>
      <c r="MPL369" s="641"/>
      <c r="MPM369" s="631" t="s">
        <v>90</v>
      </c>
      <c r="MPN369" s="632"/>
      <c r="MPO369" s="16"/>
      <c r="MPP369" s="636">
        <v>2.7</v>
      </c>
      <c r="MPQ369" s="636">
        <v>2.7</v>
      </c>
      <c r="MPR369" s="636">
        <v>2.72</v>
      </c>
      <c r="MPS369" s="636">
        <v>2.72</v>
      </c>
      <c r="MPT369" s="636">
        <v>2.72</v>
      </c>
      <c r="MPU369" s="649">
        <v>2.72</v>
      </c>
      <c r="MPV369" s="16"/>
      <c r="MPW369" s="320">
        <v>2.69</v>
      </c>
      <c r="MPX369" s="153"/>
      <c r="MPY369" s="153"/>
      <c r="MPZ369" s="153"/>
      <c r="MQA369" s="648"/>
      <c r="MQB369" s="641"/>
      <c r="MQC369" s="631" t="s">
        <v>90</v>
      </c>
      <c r="MQD369" s="632"/>
      <c r="MQE369" s="16"/>
      <c r="MQF369" s="636">
        <v>2.7</v>
      </c>
      <c r="MQG369" s="636">
        <v>2.7</v>
      </c>
      <c r="MQH369" s="636">
        <v>2.72</v>
      </c>
      <c r="MQI369" s="636">
        <v>2.72</v>
      </c>
      <c r="MQJ369" s="636">
        <v>2.72</v>
      </c>
      <c r="MQK369" s="649">
        <v>2.72</v>
      </c>
      <c r="MQL369" s="16"/>
      <c r="MQM369" s="320">
        <v>2.69</v>
      </c>
      <c r="MQN369" s="153"/>
      <c r="MQO369" s="153"/>
      <c r="MQP369" s="153"/>
      <c r="MQQ369" s="648"/>
      <c r="MQR369" s="641"/>
      <c r="MQS369" s="631" t="s">
        <v>90</v>
      </c>
      <c r="MQT369" s="632"/>
      <c r="MQU369" s="16"/>
      <c r="MQV369" s="636">
        <v>2.7</v>
      </c>
      <c r="MQW369" s="636">
        <v>2.7</v>
      </c>
      <c r="MQX369" s="636">
        <v>2.72</v>
      </c>
      <c r="MQY369" s="636">
        <v>2.72</v>
      </c>
      <c r="MQZ369" s="636">
        <v>2.72</v>
      </c>
      <c r="MRA369" s="649">
        <v>2.72</v>
      </c>
      <c r="MRB369" s="16"/>
      <c r="MRC369" s="320">
        <v>2.69</v>
      </c>
      <c r="MRD369" s="153"/>
      <c r="MRE369" s="153"/>
      <c r="MRF369" s="153"/>
      <c r="MRG369" s="648"/>
      <c r="MRH369" s="641"/>
      <c r="MRI369" s="631" t="s">
        <v>90</v>
      </c>
      <c r="MRJ369" s="632"/>
      <c r="MRK369" s="16"/>
      <c r="MRL369" s="636">
        <v>2.7</v>
      </c>
      <c r="MRM369" s="636">
        <v>2.7</v>
      </c>
      <c r="MRN369" s="636">
        <v>2.72</v>
      </c>
      <c r="MRO369" s="636">
        <v>2.72</v>
      </c>
      <c r="MRP369" s="636">
        <v>2.72</v>
      </c>
      <c r="MRQ369" s="649">
        <v>2.72</v>
      </c>
      <c r="MRR369" s="16"/>
      <c r="MRS369" s="320">
        <v>2.69</v>
      </c>
      <c r="MRT369" s="153"/>
      <c r="MRU369" s="153"/>
      <c r="MRV369" s="153"/>
      <c r="MRW369" s="648"/>
      <c r="MRX369" s="641"/>
      <c r="MRY369" s="631" t="s">
        <v>90</v>
      </c>
      <c r="MRZ369" s="632"/>
      <c r="MSA369" s="16"/>
      <c r="MSB369" s="636">
        <v>2.7</v>
      </c>
      <c r="MSC369" s="636">
        <v>2.7</v>
      </c>
      <c r="MSD369" s="636">
        <v>2.72</v>
      </c>
      <c r="MSE369" s="636">
        <v>2.72</v>
      </c>
      <c r="MSF369" s="636">
        <v>2.72</v>
      </c>
      <c r="MSG369" s="649">
        <v>2.72</v>
      </c>
      <c r="MSH369" s="16"/>
      <c r="MSI369" s="320">
        <v>2.69</v>
      </c>
      <c r="MSJ369" s="153"/>
      <c r="MSK369" s="153"/>
      <c r="MSL369" s="153"/>
      <c r="MSM369" s="648"/>
      <c r="MSN369" s="641"/>
      <c r="MSO369" s="631" t="s">
        <v>90</v>
      </c>
      <c r="MSP369" s="632"/>
      <c r="MSQ369" s="16"/>
      <c r="MSR369" s="636">
        <v>2.7</v>
      </c>
      <c r="MSS369" s="636">
        <v>2.7</v>
      </c>
      <c r="MST369" s="636">
        <v>2.72</v>
      </c>
      <c r="MSU369" s="636">
        <v>2.72</v>
      </c>
      <c r="MSV369" s="636">
        <v>2.72</v>
      </c>
      <c r="MSW369" s="649">
        <v>2.72</v>
      </c>
      <c r="MSX369" s="16"/>
      <c r="MSY369" s="320">
        <v>2.69</v>
      </c>
      <c r="MSZ369" s="153"/>
      <c r="MTA369" s="153"/>
      <c r="MTB369" s="153"/>
      <c r="MTC369" s="648"/>
      <c r="MTD369" s="641"/>
      <c r="MTE369" s="631" t="s">
        <v>90</v>
      </c>
      <c r="MTF369" s="632"/>
      <c r="MTG369" s="16"/>
      <c r="MTH369" s="636">
        <v>2.7</v>
      </c>
      <c r="MTI369" s="636">
        <v>2.7</v>
      </c>
      <c r="MTJ369" s="636">
        <v>2.72</v>
      </c>
      <c r="MTK369" s="636">
        <v>2.72</v>
      </c>
      <c r="MTL369" s="636">
        <v>2.72</v>
      </c>
      <c r="MTM369" s="649">
        <v>2.72</v>
      </c>
      <c r="MTN369" s="16"/>
      <c r="MTO369" s="320">
        <v>2.69</v>
      </c>
      <c r="MTP369" s="153"/>
      <c r="MTQ369" s="153"/>
      <c r="MTR369" s="153"/>
      <c r="MTS369" s="648"/>
      <c r="MTT369" s="641"/>
      <c r="MTU369" s="631" t="s">
        <v>90</v>
      </c>
      <c r="MTV369" s="632"/>
      <c r="MTW369" s="16"/>
      <c r="MTX369" s="636">
        <v>2.7</v>
      </c>
      <c r="MTY369" s="636">
        <v>2.7</v>
      </c>
      <c r="MTZ369" s="636">
        <v>2.72</v>
      </c>
      <c r="MUA369" s="636">
        <v>2.72</v>
      </c>
      <c r="MUB369" s="636">
        <v>2.72</v>
      </c>
      <c r="MUC369" s="649">
        <v>2.72</v>
      </c>
      <c r="MUD369" s="16"/>
      <c r="MUE369" s="320">
        <v>2.69</v>
      </c>
      <c r="MUF369" s="153"/>
      <c r="MUG369" s="153"/>
      <c r="MUH369" s="153"/>
      <c r="MUI369" s="648"/>
      <c r="MUJ369" s="641"/>
      <c r="MUK369" s="631" t="s">
        <v>90</v>
      </c>
      <c r="MUL369" s="632"/>
      <c r="MUM369" s="16"/>
      <c r="MUN369" s="636">
        <v>2.7</v>
      </c>
      <c r="MUO369" s="636">
        <v>2.7</v>
      </c>
      <c r="MUP369" s="636">
        <v>2.72</v>
      </c>
      <c r="MUQ369" s="636">
        <v>2.72</v>
      </c>
      <c r="MUR369" s="636">
        <v>2.72</v>
      </c>
      <c r="MUS369" s="649">
        <v>2.72</v>
      </c>
      <c r="MUT369" s="16"/>
      <c r="MUU369" s="320">
        <v>2.69</v>
      </c>
      <c r="MUV369" s="153"/>
      <c r="MUW369" s="153"/>
      <c r="MUX369" s="153"/>
      <c r="MUY369" s="648"/>
      <c r="MUZ369" s="641"/>
      <c r="MVA369" s="631" t="s">
        <v>90</v>
      </c>
      <c r="MVB369" s="632"/>
      <c r="MVC369" s="16"/>
      <c r="MVD369" s="636">
        <v>2.7</v>
      </c>
      <c r="MVE369" s="636">
        <v>2.7</v>
      </c>
      <c r="MVF369" s="636">
        <v>2.72</v>
      </c>
      <c r="MVG369" s="636">
        <v>2.72</v>
      </c>
      <c r="MVH369" s="636">
        <v>2.72</v>
      </c>
      <c r="MVI369" s="649">
        <v>2.72</v>
      </c>
      <c r="MVJ369" s="16"/>
      <c r="MVK369" s="320">
        <v>2.69</v>
      </c>
      <c r="MVL369" s="153"/>
      <c r="MVM369" s="153"/>
      <c r="MVN369" s="153"/>
      <c r="MVO369" s="648"/>
      <c r="MVP369" s="641"/>
      <c r="MVQ369" s="631" t="s">
        <v>90</v>
      </c>
      <c r="MVR369" s="632"/>
      <c r="MVS369" s="16"/>
      <c r="MVT369" s="636">
        <v>2.7</v>
      </c>
      <c r="MVU369" s="636">
        <v>2.7</v>
      </c>
      <c r="MVV369" s="636">
        <v>2.72</v>
      </c>
      <c r="MVW369" s="636">
        <v>2.72</v>
      </c>
      <c r="MVX369" s="636">
        <v>2.72</v>
      </c>
      <c r="MVY369" s="649">
        <v>2.72</v>
      </c>
      <c r="MVZ369" s="16"/>
      <c r="MWA369" s="320">
        <v>2.69</v>
      </c>
      <c r="MWB369" s="153"/>
      <c r="MWC369" s="153"/>
      <c r="MWD369" s="153"/>
      <c r="MWE369" s="648"/>
      <c r="MWF369" s="641"/>
      <c r="MWG369" s="631" t="s">
        <v>90</v>
      </c>
      <c r="MWH369" s="632"/>
      <c r="MWI369" s="16"/>
      <c r="MWJ369" s="636">
        <v>2.7</v>
      </c>
      <c r="MWK369" s="636">
        <v>2.7</v>
      </c>
      <c r="MWL369" s="636">
        <v>2.72</v>
      </c>
      <c r="MWM369" s="636">
        <v>2.72</v>
      </c>
      <c r="MWN369" s="636">
        <v>2.72</v>
      </c>
      <c r="MWO369" s="649">
        <v>2.72</v>
      </c>
      <c r="MWP369" s="16"/>
      <c r="MWQ369" s="320">
        <v>2.69</v>
      </c>
      <c r="MWR369" s="153"/>
      <c r="MWS369" s="153"/>
      <c r="MWT369" s="153"/>
      <c r="MWU369" s="648"/>
      <c r="MWV369" s="641"/>
      <c r="MWW369" s="631" t="s">
        <v>90</v>
      </c>
      <c r="MWX369" s="632"/>
      <c r="MWY369" s="16"/>
      <c r="MWZ369" s="636">
        <v>2.7</v>
      </c>
      <c r="MXA369" s="636">
        <v>2.7</v>
      </c>
      <c r="MXB369" s="636">
        <v>2.72</v>
      </c>
      <c r="MXC369" s="636">
        <v>2.72</v>
      </c>
      <c r="MXD369" s="636">
        <v>2.72</v>
      </c>
      <c r="MXE369" s="649">
        <v>2.72</v>
      </c>
      <c r="MXF369" s="16"/>
      <c r="MXG369" s="320">
        <v>2.69</v>
      </c>
      <c r="MXH369" s="153"/>
      <c r="MXI369" s="153"/>
      <c r="MXJ369" s="153"/>
      <c r="MXK369" s="648"/>
      <c r="MXL369" s="641"/>
      <c r="MXM369" s="631" t="s">
        <v>90</v>
      </c>
      <c r="MXN369" s="632"/>
      <c r="MXO369" s="16"/>
      <c r="MXP369" s="636">
        <v>2.7</v>
      </c>
      <c r="MXQ369" s="636">
        <v>2.7</v>
      </c>
      <c r="MXR369" s="636">
        <v>2.72</v>
      </c>
      <c r="MXS369" s="636">
        <v>2.72</v>
      </c>
      <c r="MXT369" s="636">
        <v>2.72</v>
      </c>
      <c r="MXU369" s="649">
        <v>2.72</v>
      </c>
      <c r="MXV369" s="16"/>
      <c r="MXW369" s="320">
        <v>2.69</v>
      </c>
      <c r="MXX369" s="153"/>
      <c r="MXY369" s="153"/>
      <c r="MXZ369" s="153"/>
      <c r="MYA369" s="648"/>
      <c r="MYB369" s="641"/>
      <c r="MYC369" s="631" t="s">
        <v>90</v>
      </c>
      <c r="MYD369" s="632"/>
      <c r="MYE369" s="16"/>
      <c r="MYF369" s="636">
        <v>2.7</v>
      </c>
      <c r="MYG369" s="636">
        <v>2.7</v>
      </c>
      <c r="MYH369" s="636">
        <v>2.72</v>
      </c>
      <c r="MYI369" s="636">
        <v>2.72</v>
      </c>
      <c r="MYJ369" s="636">
        <v>2.72</v>
      </c>
      <c r="MYK369" s="649">
        <v>2.72</v>
      </c>
      <c r="MYL369" s="16"/>
      <c r="MYM369" s="320">
        <v>2.69</v>
      </c>
      <c r="MYN369" s="153"/>
      <c r="MYO369" s="153"/>
      <c r="MYP369" s="153"/>
      <c r="MYQ369" s="648"/>
      <c r="MYR369" s="641"/>
      <c r="MYS369" s="631" t="s">
        <v>90</v>
      </c>
      <c r="MYT369" s="632"/>
      <c r="MYU369" s="16"/>
      <c r="MYV369" s="636">
        <v>2.7</v>
      </c>
      <c r="MYW369" s="636">
        <v>2.7</v>
      </c>
      <c r="MYX369" s="636">
        <v>2.72</v>
      </c>
      <c r="MYY369" s="636">
        <v>2.72</v>
      </c>
      <c r="MYZ369" s="636">
        <v>2.72</v>
      </c>
      <c r="MZA369" s="649">
        <v>2.72</v>
      </c>
      <c r="MZB369" s="16"/>
      <c r="MZC369" s="320">
        <v>2.69</v>
      </c>
      <c r="MZD369" s="153"/>
      <c r="MZE369" s="153"/>
      <c r="MZF369" s="153"/>
      <c r="MZG369" s="648"/>
      <c r="MZH369" s="641"/>
      <c r="MZI369" s="631" t="s">
        <v>90</v>
      </c>
      <c r="MZJ369" s="632"/>
      <c r="MZK369" s="16"/>
      <c r="MZL369" s="636">
        <v>2.7</v>
      </c>
      <c r="MZM369" s="636">
        <v>2.7</v>
      </c>
      <c r="MZN369" s="636">
        <v>2.72</v>
      </c>
      <c r="MZO369" s="636">
        <v>2.72</v>
      </c>
      <c r="MZP369" s="636">
        <v>2.72</v>
      </c>
      <c r="MZQ369" s="649">
        <v>2.72</v>
      </c>
      <c r="MZR369" s="16"/>
      <c r="MZS369" s="320">
        <v>2.69</v>
      </c>
      <c r="MZT369" s="153"/>
      <c r="MZU369" s="153"/>
      <c r="MZV369" s="153"/>
      <c r="MZW369" s="648"/>
      <c r="MZX369" s="641"/>
      <c r="MZY369" s="631" t="s">
        <v>90</v>
      </c>
      <c r="MZZ369" s="632"/>
      <c r="NAA369" s="16"/>
      <c r="NAB369" s="636">
        <v>2.7</v>
      </c>
      <c r="NAC369" s="636">
        <v>2.7</v>
      </c>
      <c r="NAD369" s="636">
        <v>2.72</v>
      </c>
      <c r="NAE369" s="636">
        <v>2.72</v>
      </c>
      <c r="NAF369" s="636">
        <v>2.72</v>
      </c>
      <c r="NAG369" s="649">
        <v>2.72</v>
      </c>
      <c r="NAH369" s="16"/>
      <c r="NAI369" s="320">
        <v>2.69</v>
      </c>
      <c r="NAJ369" s="153"/>
      <c r="NAK369" s="153"/>
      <c r="NAL369" s="153"/>
      <c r="NAM369" s="648"/>
      <c r="NAN369" s="641"/>
      <c r="NAO369" s="631" t="s">
        <v>90</v>
      </c>
      <c r="NAP369" s="632"/>
      <c r="NAQ369" s="16"/>
      <c r="NAR369" s="636">
        <v>2.7</v>
      </c>
      <c r="NAS369" s="636">
        <v>2.7</v>
      </c>
      <c r="NAT369" s="636">
        <v>2.72</v>
      </c>
      <c r="NAU369" s="636">
        <v>2.72</v>
      </c>
      <c r="NAV369" s="636">
        <v>2.72</v>
      </c>
      <c r="NAW369" s="649">
        <v>2.72</v>
      </c>
      <c r="NAX369" s="16"/>
      <c r="NAY369" s="320">
        <v>2.69</v>
      </c>
      <c r="NAZ369" s="153"/>
      <c r="NBA369" s="153"/>
      <c r="NBB369" s="153"/>
      <c r="NBC369" s="648"/>
      <c r="NBD369" s="641"/>
      <c r="NBE369" s="631" t="s">
        <v>90</v>
      </c>
      <c r="NBF369" s="632"/>
      <c r="NBG369" s="16"/>
      <c r="NBH369" s="636">
        <v>2.7</v>
      </c>
      <c r="NBI369" s="636">
        <v>2.7</v>
      </c>
      <c r="NBJ369" s="636">
        <v>2.72</v>
      </c>
      <c r="NBK369" s="636">
        <v>2.72</v>
      </c>
      <c r="NBL369" s="636">
        <v>2.72</v>
      </c>
      <c r="NBM369" s="649">
        <v>2.72</v>
      </c>
      <c r="NBN369" s="16"/>
      <c r="NBO369" s="320">
        <v>2.69</v>
      </c>
      <c r="NBP369" s="153"/>
      <c r="NBQ369" s="153"/>
      <c r="NBR369" s="153"/>
      <c r="NBS369" s="648"/>
      <c r="NBT369" s="641"/>
      <c r="NBU369" s="631" t="s">
        <v>90</v>
      </c>
      <c r="NBV369" s="632"/>
      <c r="NBW369" s="16"/>
      <c r="NBX369" s="636">
        <v>2.7</v>
      </c>
      <c r="NBY369" s="636">
        <v>2.7</v>
      </c>
      <c r="NBZ369" s="636">
        <v>2.72</v>
      </c>
      <c r="NCA369" s="636">
        <v>2.72</v>
      </c>
      <c r="NCB369" s="636">
        <v>2.72</v>
      </c>
      <c r="NCC369" s="649">
        <v>2.72</v>
      </c>
      <c r="NCD369" s="16"/>
      <c r="NCE369" s="320">
        <v>2.69</v>
      </c>
      <c r="NCF369" s="153"/>
      <c r="NCG369" s="153"/>
      <c r="NCH369" s="153"/>
      <c r="NCI369" s="648"/>
      <c r="NCJ369" s="641"/>
      <c r="NCK369" s="631" t="s">
        <v>90</v>
      </c>
      <c r="NCL369" s="632"/>
      <c r="NCM369" s="16"/>
      <c r="NCN369" s="636">
        <v>2.7</v>
      </c>
      <c r="NCO369" s="636">
        <v>2.7</v>
      </c>
      <c r="NCP369" s="636">
        <v>2.72</v>
      </c>
      <c r="NCQ369" s="636">
        <v>2.72</v>
      </c>
      <c r="NCR369" s="636">
        <v>2.72</v>
      </c>
      <c r="NCS369" s="649">
        <v>2.72</v>
      </c>
      <c r="NCT369" s="16"/>
      <c r="NCU369" s="320">
        <v>2.69</v>
      </c>
      <c r="NCV369" s="153"/>
      <c r="NCW369" s="153"/>
      <c r="NCX369" s="153"/>
      <c r="NCY369" s="648"/>
      <c r="NCZ369" s="641"/>
      <c r="NDA369" s="631" t="s">
        <v>90</v>
      </c>
      <c r="NDB369" s="632"/>
      <c r="NDC369" s="16"/>
      <c r="NDD369" s="636">
        <v>2.7</v>
      </c>
      <c r="NDE369" s="636">
        <v>2.7</v>
      </c>
      <c r="NDF369" s="636">
        <v>2.72</v>
      </c>
      <c r="NDG369" s="636">
        <v>2.72</v>
      </c>
      <c r="NDH369" s="636">
        <v>2.72</v>
      </c>
      <c r="NDI369" s="649">
        <v>2.72</v>
      </c>
      <c r="NDJ369" s="16"/>
      <c r="NDK369" s="320">
        <v>2.69</v>
      </c>
      <c r="NDL369" s="153"/>
      <c r="NDM369" s="153"/>
      <c r="NDN369" s="153"/>
      <c r="NDO369" s="648"/>
      <c r="NDP369" s="641"/>
      <c r="NDQ369" s="631" t="s">
        <v>90</v>
      </c>
      <c r="NDR369" s="632"/>
      <c r="NDS369" s="16"/>
      <c r="NDT369" s="636">
        <v>2.7</v>
      </c>
      <c r="NDU369" s="636">
        <v>2.7</v>
      </c>
      <c r="NDV369" s="636">
        <v>2.72</v>
      </c>
      <c r="NDW369" s="636">
        <v>2.72</v>
      </c>
      <c r="NDX369" s="636">
        <v>2.72</v>
      </c>
      <c r="NDY369" s="649">
        <v>2.72</v>
      </c>
      <c r="NDZ369" s="16"/>
      <c r="NEA369" s="320">
        <v>2.69</v>
      </c>
      <c r="NEB369" s="153"/>
      <c r="NEC369" s="153"/>
      <c r="NED369" s="153"/>
      <c r="NEE369" s="648"/>
      <c r="NEF369" s="641"/>
      <c r="NEG369" s="631" t="s">
        <v>90</v>
      </c>
      <c r="NEH369" s="632"/>
      <c r="NEI369" s="16"/>
      <c r="NEJ369" s="636">
        <v>2.7</v>
      </c>
      <c r="NEK369" s="636">
        <v>2.7</v>
      </c>
      <c r="NEL369" s="636">
        <v>2.72</v>
      </c>
      <c r="NEM369" s="636">
        <v>2.72</v>
      </c>
      <c r="NEN369" s="636">
        <v>2.72</v>
      </c>
      <c r="NEO369" s="649">
        <v>2.72</v>
      </c>
      <c r="NEP369" s="16"/>
      <c r="NEQ369" s="320">
        <v>2.69</v>
      </c>
      <c r="NER369" s="153"/>
      <c r="NES369" s="153"/>
      <c r="NET369" s="153"/>
      <c r="NEU369" s="648"/>
      <c r="NEV369" s="641"/>
      <c r="NEW369" s="631" t="s">
        <v>90</v>
      </c>
      <c r="NEX369" s="632"/>
      <c r="NEY369" s="16"/>
      <c r="NEZ369" s="636">
        <v>2.7</v>
      </c>
      <c r="NFA369" s="636">
        <v>2.7</v>
      </c>
      <c r="NFB369" s="636">
        <v>2.72</v>
      </c>
      <c r="NFC369" s="636">
        <v>2.72</v>
      </c>
      <c r="NFD369" s="636">
        <v>2.72</v>
      </c>
      <c r="NFE369" s="649">
        <v>2.72</v>
      </c>
      <c r="NFF369" s="16"/>
      <c r="NFG369" s="320">
        <v>2.69</v>
      </c>
      <c r="NFH369" s="153"/>
      <c r="NFI369" s="153"/>
      <c r="NFJ369" s="153"/>
      <c r="NFK369" s="648"/>
      <c r="NFL369" s="641"/>
      <c r="NFM369" s="631" t="s">
        <v>90</v>
      </c>
      <c r="NFN369" s="632"/>
      <c r="NFO369" s="16"/>
      <c r="NFP369" s="636">
        <v>2.7</v>
      </c>
      <c r="NFQ369" s="636">
        <v>2.7</v>
      </c>
      <c r="NFR369" s="636">
        <v>2.72</v>
      </c>
      <c r="NFS369" s="636">
        <v>2.72</v>
      </c>
      <c r="NFT369" s="636">
        <v>2.72</v>
      </c>
      <c r="NFU369" s="649">
        <v>2.72</v>
      </c>
      <c r="NFV369" s="16"/>
      <c r="NFW369" s="320">
        <v>2.69</v>
      </c>
      <c r="NFX369" s="153"/>
      <c r="NFY369" s="153"/>
      <c r="NFZ369" s="153"/>
      <c r="NGA369" s="648"/>
      <c r="NGB369" s="641"/>
      <c r="NGC369" s="631" t="s">
        <v>90</v>
      </c>
      <c r="NGD369" s="632"/>
      <c r="NGE369" s="16"/>
      <c r="NGF369" s="636">
        <v>2.7</v>
      </c>
      <c r="NGG369" s="636">
        <v>2.7</v>
      </c>
      <c r="NGH369" s="636">
        <v>2.72</v>
      </c>
      <c r="NGI369" s="636">
        <v>2.72</v>
      </c>
      <c r="NGJ369" s="636">
        <v>2.72</v>
      </c>
      <c r="NGK369" s="649">
        <v>2.72</v>
      </c>
      <c r="NGL369" s="16"/>
      <c r="NGM369" s="320">
        <v>2.69</v>
      </c>
      <c r="NGN369" s="153"/>
      <c r="NGO369" s="153"/>
      <c r="NGP369" s="153"/>
      <c r="NGQ369" s="648"/>
      <c r="NGR369" s="641"/>
      <c r="NGS369" s="631" t="s">
        <v>90</v>
      </c>
      <c r="NGT369" s="632"/>
      <c r="NGU369" s="16"/>
      <c r="NGV369" s="636">
        <v>2.7</v>
      </c>
      <c r="NGW369" s="636">
        <v>2.7</v>
      </c>
      <c r="NGX369" s="636">
        <v>2.72</v>
      </c>
      <c r="NGY369" s="636">
        <v>2.72</v>
      </c>
      <c r="NGZ369" s="636">
        <v>2.72</v>
      </c>
      <c r="NHA369" s="649">
        <v>2.72</v>
      </c>
      <c r="NHB369" s="16"/>
      <c r="NHC369" s="320">
        <v>2.69</v>
      </c>
      <c r="NHD369" s="153"/>
      <c r="NHE369" s="153"/>
      <c r="NHF369" s="153"/>
      <c r="NHG369" s="648"/>
      <c r="NHH369" s="641"/>
      <c r="NHI369" s="631" t="s">
        <v>90</v>
      </c>
      <c r="NHJ369" s="632"/>
      <c r="NHK369" s="16"/>
      <c r="NHL369" s="636">
        <v>2.7</v>
      </c>
      <c r="NHM369" s="636">
        <v>2.7</v>
      </c>
      <c r="NHN369" s="636">
        <v>2.72</v>
      </c>
      <c r="NHO369" s="636">
        <v>2.72</v>
      </c>
      <c r="NHP369" s="636">
        <v>2.72</v>
      </c>
      <c r="NHQ369" s="649">
        <v>2.72</v>
      </c>
      <c r="NHR369" s="16"/>
      <c r="NHS369" s="320">
        <v>2.69</v>
      </c>
      <c r="NHT369" s="153"/>
      <c r="NHU369" s="153"/>
      <c r="NHV369" s="153"/>
      <c r="NHW369" s="648"/>
      <c r="NHX369" s="641"/>
      <c r="NHY369" s="631" t="s">
        <v>90</v>
      </c>
      <c r="NHZ369" s="632"/>
      <c r="NIA369" s="16"/>
      <c r="NIB369" s="636">
        <v>2.7</v>
      </c>
      <c r="NIC369" s="636">
        <v>2.7</v>
      </c>
      <c r="NID369" s="636">
        <v>2.72</v>
      </c>
      <c r="NIE369" s="636">
        <v>2.72</v>
      </c>
      <c r="NIF369" s="636">
        <v>2.72</v>
      </c>
      <c r="NIG369" s="649">
        <v>2.72</v>
      </c>
      <c r="NIH369" s="16"/>
      <c r="NII369" s="320">
        <v>2.69</v>
      </c>
      <c r="NIJ369" s="153"/>
      <c r="NIK369" s="153"/>
      <c r="NIL369" s="153"/>
      <c r="NIM369" s="648"/>
      <c r="NIN369" s="641"/>
      <c r="NIO369" s="631" t="s">
        <v>90</v>
      </c>
      <c r="NIP369" s="632"/>
      <c r="NIQ369" s="16"/>
      <c r="NIR369" s="636">
        <v>2.7</v>
      </c>
      <c r="NIS369" s="636">
        <v>2.7</v>
      </c>
      <c r="NIT369" s="636">
        <v>2.72</v>
      </c>
      <c r="NIU369" s="636">
        <v>2.72</v>
      </c>
      <c r="NIV369" s="636">
        <v>2.72</v>
      </c>
      <c r="NIW369" s="649">
        <v>2.72</v>
      </c>
      <c r="NIX369" s="16"/>
      <c r="NIY369" s="320">
        <v>2.69</v>
      </c>
      <c r="NIZ369" s="153"/>
      <c r="NJA369" s="153"/>
      <c r="NJB369" s="153"/>
      <c r="NJC369" s="648"/>
      <c r="NJD369" s="641"/>
      <c r="NJE369" s="631" t="s">
        <v>90</v>
      </c>
      <c r="NJF369" s="632"/>
      <c r="NJG369" s="16"/>
      <c r="NJH369" s="636">
        <v>2.7</v>
      </c>
      <c r="NJI369" s="636">
        <v>2.7</v>
      </c>
      <c r="NJJ369" s="636">
        <v>2.72</v>
      </c>
      <c r="NJK369" s="636">
        <v>2.72</v>
      </c>
      <c r="NJL369" s="636">
        <v>2.72</v>
      </c>
      <c r="NJM369" s="649">
        <v>2.72</v>
      </c>
      <c r="NJN369" s="16"/>
      <c r="NJO369" s="320">
        <v>2.69</v>
      </c>
      <c r="NJP369" s="153"/>
      <c r="NJQ369" s="153"/>
      <c r="NJR369" s="153"/>
      <c r="NJS369" s="648"/>
      <c r="NJT369" s="641"/>
      <c r="NJU369" s="631" t="s">
        <v>90</v>
      </c>
      <c r="NJV369" s="632"/>
      <c r="NJW369" s="16"/>
      <c r="NJX369" s="636">
        <v>2.7</v>
      </c>
      <c r="NJY369" s="636">
        <v>2.7</v>
      </c>
      <c r="NJZ369" s="636">
        <v>2.72</v>
      </c>
      <c r="NKA369" s="636">
        <v>2.72</v>
      </c>
      <c r="NKB369" s="636">
        <v>2.72</v>
      </c>
      <c r="NKC369" s="649">
        <v>2.72</v>
      </c>
      <c r="NKD369" s="16"/>
      <c r="NKE369" s="320">
        <v>2.69</v>
      </c>
      <c r="NKF369" s="153"/>
      <c r="NKG369" s="153"/>
      <c r="NKH369" s="153"/>
      <c r="NKI369" s="648"/>
      <c r="NKJ369" s="641"/>
      <c r="NKK369" s="631" t="s">
        <v>90</v>
      </c>
      <c r="NKL369" s="632"/>
      <c r="NKM369" s="16"/>
      <c r="NKN369" s="636">
        <v>2.7</v>
      </c>
      <c r="NKO369" s="636">
        <v>2.7</v>
      </c>
      <c r="NKP369" s="636">
        <v>2.72</v>
      </c>
      <c r="NKQ369" s="636">
        <v>2.72</v>
      </c>
      <c r="NKR369" s="636">
        <v>2.72</v>
      </c>
      <c r="NKS369" s="649">
        <v>2.72</v>
      </c>
      <c r="NKT369" s="16"/>
      <c r="NKU369" s="320">
        <v>2.69</v>
      </c>
      <c r="NKV369" s="153"/>
      <c r="NKW369" s="153"/>
      <c r="NKX369" s="153"/>
      <c r="NKY369" s="648"/>
      <c r="NKZ369" s="641"/>
      <c r="NLA369" s="631" t="s">
        <v>90</v>
      </c>
      <c r="NLB369" s="632"/>
      <c r="NLC369" s="16"/>
      <c r="NLD369" s="636">
        <v>2.7</v>
      </c>
      <c r="NLE369" s="636">
        <v>2.7</v>
      </c>
      <c r="NLF369" s="636">
        <v>2.72</v>
      </c>
      <c r="NLG369" s="636">
        <v>2.72</v>
      </c>
      <c r="NLH369" s="636">
        <v>2.72</v>
      </c>
      <c r="NLI369" s="649">
        <v>2.72</v>
      </c>
      <c r="NLJ369" s="16"/>
      <c r="NLK369" s="320">
        <v>2.69</v>
      </c>
      <c r="NLL369" s="153"/>
      <c r="NLM369" s="153"/>
      <c r="NLN369" s="153"/>
      <c r="NLO369" s="648"/>
      <c r="NLP369" s="641"/>
      <c r="NLQ369" s="631" t="s">
        <v>90</v>
      </c>
      <c r="NLR369" s="632"/>
      <c r="NLS369" s="16"/>
      <c r="NLT369" s="636">
        <v>2.7</v>
      </c>
      <c r="NLU369" s="636">
        <v>2.7</v>
      </c>
      <c r="NLV369" s="636">
        <v>2.72</v>
      </c>
      <c r="NLW369" s="636">
        <v>2.72</v>
      </c>
      <c r="NLX369" s="636">
        <v>2.72</v>
      </c>
      <c r="NLY369" s="649">
        <v>2.72</v>
      </c>
      <c r="NLZ369" s="16"/>
      <c r="NMA369" s="320">
        <v>2.69</v>
      </c>
      <c r="NMB369" s="153"/>
      <c r="NMC369" s="153"/>
      <c r="NMD369" s="153"/>
      <c r="NME369" s="648"/>
      <c r="NMF369" s="641"/>
      <c r="NMG369" s="631" t="s">
        <v>90</v>
      </c>
      <c r="NMH369" s="632"/>
      <c r="NMI369" s="16"/>
      <c r="NMJ369" s="636">
        <v>2.7</v>
      </c>
      <c r="NMK369" s="636">
        <v>2.7</v>
      </c>
      <c r="NML369" s="636">
        <v>2.72</v>
      </c>
      <c r="NMM369" s="636">
        <v>2.72</v>
      </c>
      <c r="NMN369" s="636">
        <v>2.72</v>
      </c>
      <c r="NMO369" s="649">
        <v>2.72</v>
      </c>
      <c r="NMP369" s="16"/>
      <c r="NMQ369" s="320">
        <v>2.69</v>
      </c>
      <c r="NMR369" s="153"/>
      <c r="NMS369" s="153"/>
      <c r="NMT369" s="153"/>
      <c r="NMU369" s="648"/>
      <c r="NMV369" s="641"/>
      <c r="NMW369" s="631" t="s">
        <v>90</v>
      </c>
      <c r="NMX369" s="632"/>
      <c r="NMY369" s="16"/>
      <c r="NMZ369" s="636">
        <v>2.7</v>
      </c>
      <c r="NNA369" s="636">
        <v>2.7</v>
      </c>
      <c r="NNB369" s="636">
        <v>2.72</v>
      </c>
      <c r="NNC369" s="636">
        <v>2.72</v>
      </c>
      <c r="NND369" s="636">
        <v>2.72</v>
      </c>
      <c r="NNE369" s="649">
        <v>2.72</v>
      </c>
      <c r="NNF369" s="16"/>
      <c r="NNG369" s="320">
        <v>2.69</v>
      </c>
      <c r="NNH369" s="153"/>
      <c r="NNI369" s="153"/>
      <c r="NNJ369" s="153"/>
      <c r="NNK369" s="648"/>
      <c r="NNL369" s="641"/>
      <c r="NNM369" s="631" t="s">
        <v>90</v>
      </c>
      <c r="NNN369" s="632"/>
      <c r="NNO369" s="16"/>
      <c r="NNP369" s="636">
        <v>2.7</v>
      </c>
      <c r="NNQ369" s="636">
        <v>2.7</v>
      </c>
      <c r="NNR369" s="636">
        <v>2.72</v>
      </c>
      <c r="NNS369" s="636">
        <v>2.72</v>
      </c>
      <c r="NNT369" s="636">
        <v>2.72</v>
      </c>
      <c r="NNU369" s="649">
        <v>2.72</v>
      </c>
      <c r="NNV369" s="16"/>
      <c r="NNW369" s="320">
        <v>2.69</v>
      </c>
      <c r="NNX369" s="153"/>
      <c r="NNY369" s="153"/>
      <c r="NNZ369" s="153"/>
      <c r="NOA369" s="648"/>
      <c r="NOB369" s="641"/>
      <c r="NOC369" s="631" t="s">
        <v>90</v>
      </c>
      <c r="NOD369" s="632"/>
      <c r="NOE369" s="16"/>
      <c r="NOF369" s="636">
        <v>2.7</v>
      </c>
      <c r="NOG369" s="636">
        <v>2.7</v>
      </c>
      <c r="NOH369" s="636">
        <v>2.72</v>
      </c>
      <c r="NOI369" s="636">
        <v>2.72</v>
      </c>
      <c r="NOJ369" s="636">
        <v>2.72</v>
      </c>
      <c r="NOK369" s="649">
        <v>2.72</v>
      </c>
      <c r="NOL369" s="16"/>
      <c r="NOM369" s="320">
        <v>2.69</v>
      </c>
      <c r="NON369" s="153"/>
      <c r="NOO369" s="153"/>
      <c r="NOP369" s="153"/>
      <c r="NOQ369" s="648"/>
      <c r="NOR369" s="641"/>
      <c r="NOS369" s="631" t="s">
        <v>90</v>
      </c>
      <c r="NOT369" s="632"/>
      <c r="NOU369" s="16"/>
      <c r="NOV369" s="636">
        <v>2.7</v>
      </c>
      <c r="NOW369" s="636">
        <v>2.7</v>
      </c>
      <c r="NOX369" s="636">
        <v>2.72</v>
      </c>
      <c r="NOY369" s="636">
        <v>2.72</v>
      </c>
      <c r="NOZ369" s="636">
        <v>2.72</v>
      </c>
      <c r="NPA369" s="649">
        <v>2.72</v>
      </c>
      <c r="NPB369" s="16"/>
      <c r="NPC369" s="320">
        <v>2.69</v>
      </c>
      <c r="NPD369" s="153"/>
      <c r="NPE369" s="153"/>
      <c r="NPF369" s="153"/>
      <c r="NPG369" s="648"/>
      <c r="NPH369" s="641"/>
      <c r="NPI369" s="631" t="s">
        <v>90</v>
      </c>
      <c r="NPJ369" s="632"/>
      <c r="NPK369" s="16"/>
      <c r="NPL369" s="636">
        <v>2.7</v>
      </c>
      <c r="NPM369" s="636">
        <v>2.7</v>
      </c>
      <c r="NPN369" s="636">
        <v>2.72</v>
      </c>
      <c r="NPO369" s="636">
        <v>2.72</v>
      </c>
      <c r="NPP369" s="636">
        <v>2.72</v>
      </c>
      <c r="NPQ369" s="649">
        <v>2.72</v>
      </c>
      <c r="NPR369" s="16"/>
      <c r="NPS369" s="320">
        <v>2.69</v>
      </c>
      <c r="NPT369" s="153"/>
      <c r="NPU369" s="153"/>
      <c r="NPV369" s="153"/>
      <c r="NPW369" s="648"/>
      <c r="NPX369" s="641"/>
      <c r="NPY369" s="631" t="s">
        <v>90</v>
      </c>
      <c r="NPZ369" s="632"/>
      <c r="NQA369" s="16"/>
      <c r="NQB369" s="636">
        <v>2.7</v>
      </c>
      <c r="NQC369" s="636">
        <v>2.7</v>
      </c>
      <c r="NQD369" s="636">
        <v>2.72</v>
      </c>
      <c r="NQE369" s="636">
        <v>2.72</v>
      </c>
      <c r="NQF369" s="636">
        <v>2.72</v>
      </c>
      <c r="NQG369" s="649">
        <v>2.72</v>
      </c>
      <c r="NQH369" s="16"/>
      <c r="NQI369" s="320">
        <v>2.69</v>
      </c>
      <c r="NQJ369" s="153"/>
      <c r="NQK369" s="153"/>
      <c r="NQL369" s="153"/>
      <c r="NQM369" s="648"/>
      <c r="NQN369" s="641"/>
      <c r="NQO369" s="631" t="s">
        <v>90</v>
      </c>
      <c r="NQP369" s="632"/>
      <c r="NQQ369" s="16"/>
      <c r="NQR369" s="636">
        <v>2.7</v>
      </c>
      <c r="NQS369" s="636">
        <v>2.7</v>
      </c>
      <c r="NQT369" s="636">
        <v>2.72</v>
      </c>
      <c r="NQU369" s="636">
        <v>2.72</v>
      </c>
      <c r="NQV369" s="636">
        <v>2.72</v>
      </c>
      <c r="NQW369" s="649">
        <v>2.72</v>
      </c>
      <c r="NQX369" s="16"/>
      <c r="NQY369" s="320">
        <v>2.69</v>
      </c>
      <c r="NQZ369" s="153"/>
      <c r="NRA369" s="153"/>
      <c r="NRB369" s="153"/>
      <c r="NRC369" s="648"/>
      <c r="NRD369" s="641"/>
      <c r="NRE369" s="631" t="s">
        <v>90</v>
      </c>
      <c r="NRF369" s="632"/>
      <c r="NRG369" s="16"/>
      <c r="NRH369" s="636">
        <v>2.7</v>
      </c>
      <c r="NRI369" s="636">
        <v>2.7</v>
      </c>
      <c r="NRJ369" s="636">
        <v>2.72</v>
      </c>
      <c r="NRK369" s="636">
        <v>2.72</v>
      </c>
      <c r="NRL369" s="636">
        <v>2.72</v>
      </c>
      <c r="NRM369" s="649">
        <v>2.72</v>
      </c>
      <c r="NRN369" s="16"/>
      <c r="NRO369" s="320">
        <v>2.69</v>
      </c>
      <c r="NRP369" s="153"/>
      <c r="NRQ369" s="153"/>
      <c r="NRR369" s="153"/>
      <c r="NRS369" s="648"/>
      <c r="NRT369" s="641"/>
      <c r="NRU369" s="631" t="s">
        <v>90</v>
      </c>
      <c r="NRV369" s="632"/>
      <c r="NRW369" s="16"/>
      <c r="NRX369" s="636">
        <v>2.7</v>
      </c>
      <c r="NRY369" s="636">
        <v>2.7</v>
      </c>
      <c r="NRZ369" s="636">
        <v>2.72</v>
      </c>
      <c r="NSA369" s="636">
        <v>2.72</v>
      </c>
      <c r="NSB369" s="636">
        <v>2.72</v>
      </c>
      <c r="NSC369" s="649">
        <v>2.72</v>
      </c>
      <c r="NSD369" s="16"/>
      <c r="NSE369" s="320">
        <v>2.69</v>
      </c>
      <c r="NSF369" s="153"/>
      <c r="NSG369" s="153"/>
      <c r="NSH369" s="153"/>
      <c r="NSI369" s="648"/>
      <c r="NSJ369" s="641"/>
      <c r="NSK369" s="631" t="s">
        <v>90</v>
      </c>
      <c r="NSL369" s="632"/>
      <c r="NSM369" s="16"/>
      <c r="NSN369" s="636">
        <v>2.7</v>
      </c>
      <c r="NSO369" s="636">
        <v>2.7</v>
      </c>
      <c r="NSP369" s="636">
        <v>2.72</v>
      </c>
      <c r="NSQ369" s="636">
        <v>2.72</v>
      </c>
      <c r="NSR369" s="636">
        <v>2.72</v>
      </c>
      <c r="NSS369" s="649">
        <v>2.72</v>
      </c>
      <c r="NST369" s="16"/>
      <c r="NSU369" s="320">
        <v>2.69</v>
      </c>
      <c r="NSV369" s="153"/>
      <c r="NSW369" s="153"/>
      <c r="NSX369" s="153"/>
      <c r="NSY369" s="648"/>
      <c r="NSZ369" s="641"/>
      <c r="NTA369" s="631" t="s">
        <v>90</v>
      </c>
      <c r="NTB369" s="632"/>
      <c r="NTC369" s="16"/>
      <c r="NTD369" s="636">
        <v>2.7</v>
      </c>
      <c r="NTE369" s="636">
        <v>2.7</v>
      </c>
      <c r="NTF369" s="636">
        <v>2.72</v>
      </c>
      <c r="NTG369" s="636">
        <v>2.72</v>
      </c>
      <c r="NTH369" s="636">
        <v>2.72</v>
      </c>
      <c r="NTI369" s="649">
        <v>2.72</v>
      </c>
      <c r="NTJ369" s="16"/>
      <c r="NTK369" s="320">
        <v>2.69</v>
      </c>
      <c r="NTL369" s="153"/>
      <c r="NTM369" s="153"/>
      <c r="NTN369" s="153"/>
      <c r="NTO369" s="648"/>
      <c r="NTP369" s="641"/>
      <c r="NTQ369" s="631" t="s">
        <v>90</v>
      </c>
      <c r="NTR369" s="632"/>
      <c r="NTS369" s="16"/>
      <c r="NTT369" s="636">
        <v>2.7</v>
      </c>
      <c r="NTU369" s="636">
        <v>2.7</v>
      </c>
      <c r="NTV369" s="636">
        <v>2.72</v>
      </c>
      <c r="NTW369" s="636">
        <v>2.72</v>
      </c>
      <c r="NTX369" s="636">
        <v>2.72</v>
      </c>
      <c r="NTY369" s="649">
        <v>2.72</v>
      </c>
      <c r="NTZ369" s="16"/>
      <c r="NUA369" s="320">
        <v>2.69</v>
      </c>
      <c r="NUB369" s="153"/>
      <c r="NUC369" s="153"/>
      <c r="NUD369" s="153"/>
      <c r="NUE369" s="648"/>
      <c r="NUF369" s="641"/>
      <c r="NUG369" s="631" t="s">
        <v>90</v>
      </c>
      <c r="NUH369" s="632"/>
      <c r="NUI369" s="16"/>
      <c r="NUJ369" s="636">
        <v>2.7</v>
      </c>
      <c r="NUK369" s="636">
        <v>2.7</v>
      </c>
      <c r="NUL369" s="636">
        <v>2.72</v>
      </c>
      <c r="NUM369" s="636">
        <v>2.72</v>
      </c>
      <c r="NUN369" s="636">
        <v>2.72</v>
      </c>
      <c r="NUO369" s="649">
        <v>2.72</v>
      </c>
      <c r="NUP369" s="16"/>
      <c r="NUQ369" s="320">
        <v>2.69</v>
      </c>
      <c r="NUR369" s="153"/>
      <c r="NUS369" s="153"/>
      <c r="NUT369" s="153"/>
      <c r="NUU369" s="648"/>
      <c r="NUV369" s="641"/>
      <c r="NUW369" s="631" t="s">
        <v>90</v>
      </c>
      <c r="NUX369" s="632"/>
      <c r="NUY369" s="16"/>
      <c r="NUZ369" s="636">
        <v>2.7</v>
      </c>
      <c r="NVA369" s="636">
        <v>2.7</v>
      </c>
      <c r="NVB369" s="636">
        <v>2.72</v>
      </c>
      <c r="NVC369" s="636">
        <v>2.72</v>
      </c>
      <c r="NVD369" s="636">
        <v>2.72</v>
      </c>
      <c r="NVE369" s="649">
        <v>2.72</v>
      </c>
      <c r="NVF369" s="16"/>
      <c r="NVG369" s="320">
        <v>2.69</v>
      </c>
      <c r="NVH369" s="153"/>
      <c r="NVI369" s="153"/>
      <c r="NVJ369" s="153"/>
      <c r="NVK369" s="648"/>
      <c r="NVL369" s="641"/>
      <c r="NVM369" s="631" t="s">
        <v>90</v>
      </c>
      <c r="NVN369" s="632"/>
      <c r="NVO369" s="16"/>
      <c r="NVP369" s="636">
        <v>2.7</v>
      </c>
      <c r="NVQ369" s="636">
        <v>2.7</v>
      </c>
      <c r="NVR369" s="636">
        <v>2.72</v>
      </c>
      <c r="NVS369" s="636">
        <v>2.72</v>
      </c>
      <c r="NVT369" s="636">
        <v>2.72</v>
      </c>
      <c r="NVU369" s="649">
        <v>2.72</v>
      </c>
      <c r="NVV369" s="16"/>
      <c r="NVW369" s="320">
        <v>2.69</v>
      </c>
      <c r="NVX369" s="153"/>
      <c r="NVY369" s="153"/>
      <c r="NVZ369" s="153"/>
      <c r="NWA369" s="648"/>
      <c r="NWB369" s="641"/>
      <c r="NWC369" s="631" t="s">
        <v>90</v>
      </c>
      <c r="NWD369" s="632"/>
      <c r="NWE369" s="16"/>
      <c r="NWF369" s="636">
        <v>2.7</v>
      </c>
      <c r="NWG369" s="636">
        <v>2.7</v>
      </c>
      <c r="NWH369" s="636">
        <v>2.72</v>
      </c>
      <c r="NWI369" s="636">
        <v>2.72</v>
      </c>
      <c r="NWJ369" s="636">
        <v>2.72</v>
      </c>
      <c r="NWK369" s="649">
        <v>2.72</v>
      </c>
      <c r="NWL369" s="16"/>
      <c r="NWM369" s="320">
        <v>2.69</v>
      </c>
      <c r="NWN369" s="153"/>
      <c r="NWO369" s="153"/>
      <c r="NWP369" s="153"/>
      <c r="NWQ369" s="648"/>
      <c r="NWR369" s="641"/>
      <c r="NWS369" s="631" t="s">
        <v>90</v>
      </c>
      <c r="NWT369" s="632"/>
      <c r="NWU369" s="16"/>
      <c r="NWV369" s="636">
        <v>2.7</v>
      </c>
      <c r="NWW369" s="636">
        <v>2.7</v>
      </c>
      <c r="NWX369" s="636">
        <v>2.72</v>
      </c>
      <c r="NWY369" s="636">
        <v>2.72</v>
      </c>
      <c r="NWZ369" s="636">
        <v>2.72</v>
      </c>
      <c r="NXA369" s="649">
        <v>2.72</v>
      </c>
      <c r="NXB369" s="16"/>
      <c r="NXC369" s="320">
        <v>2.69</v>
      </c>
      <c r="NXD369" s="153"/>
      <c r="NXE369" s="153"/>
      <c r="NXF369" s="153"/>
      <c r="NXG369" s="648"/>
      <c r="NXH369" s="641"/>
      <c r="NXI369" s="631" t="s">
        <v>90</v>
      </c>
      <c r="NXJ369" s="632"/>
      <c r="NXK369" s="16"/>
      <c r="NXL369" s="636">
        <v>2.7</v>
      </c>
      <c r="NXM369" s="636">
        <v>2.7</v>
      </c>
      <c r="NXN369" s="636">
        <v>2.72</v>
      </c>
      <c r="NXO369" s="636">
        <v>2.72</v>
      </c>
      <c r="NXP369" s="636">
        <v>2.72</v>
      </c>
      <c r="NXQ369" s="649">
        <v>2.72</v>
      </c>
      <c r="NXR369" s="16"/>
      <c r="NXS369" s="320">
        <v>2.69</v>
      </c>
      <c r="NXT369" s="153"/>
      <c r="NXU369" s="153"/>
      <c r="NXV369" s="153"/>
      <c r="NXW369" s="648"/>
      <c r="NXX369" s="641"/>
      <c r="NXY369" s="631" t="s">
        <v>90</v>
      </c>
      <c r="NXZ369" s="632"/>
      <c r="NYA369" s="16"/>
      <c r="NYB369" s="636">
        <v>2.7</v>
      </c>
      <c r="NYC369" s="636">
        <v>2.7</v>
      </c>
      <c r="NYD369" s="636">
        <v>2.72</v>
      </c>
      <c r="NYE369" s="636">
        <v>2.72</v>
      </c>
      <c r="NYF369" s="636">
        <v>2.72</v>
      </c>
      <c r="NYG369" s="649">
        <v>2.72</v>
      </c>
      <c r="NYH369" s="16"/>
      <c r="NYI369" s="320">
        <v>2.69</v>
      </c>
      <c r="NYJ369" s="153"/>
      <c r="NYK369" s="153"/>
      <c r="NYL369" s="153"/>
      <c r="NYM369" s="648"/>
      <c r="NYN369" s="641"/>
      <c r="NYO369" s="631" t="s">
        <v>90</v>
      </c>
      <c r="NYP369" s="632"/>
      <c r="NYQ369" s="16"/>
      <c r="NYR369" s="636">
        <v>2.7</v>
      </c>
      <c r="NYS369" s="636">
        <v>2.7</v>
      </c>
      <c r="NYT369" s="636">
        <v>2.72</v>
      </c>
      <c r="NYU369" s="636">
        <v>2.72</v>
      </c>
      <c r="NYV369" s="636">
        <v>2.72</v>
      </c>
      <c r="NYW369" s="649">
        <v>2.72</v>
      </c>
      <c r="NYX369" s="16"/>
      <c r="NYY369" s="320">
        <v>2.69</v>
      </c>
      <c r="NYZ369" s="153"/>
      <c r="NZA369" s="153"/>
      <c r="NZB369" s="153"/>
      <c r="NZC369" s="648"/>
      <c r="NZD369" s="641"/>
      <c r="NZE369" s="631" t="s">
        <v>90</v>
      </c>
      <c r="NZF369" s="632"/>
      <c r="NZG369" s="16"/>
      <c r="NZH369" s="636">
        <v>2.7</v>
      </c>
      <c r="NZI369" s="636">
        <v>2.7</v>
      </c>
      <c r="NZJ369" s="636">
        <v>2.72</v>
      </c>
      <c r="NZK369" s="636">
        <v>2.72</v>
      </c>
      <c r="NZL369" s="636">
        <v>2.72</v>
      </c>
      <c r="NZM369" s="649">
        <v>2.72</v>
      </c>
      <c r="NZN369" s="16"/>
      <c r="NZO369" s="320">
        <v>2.69</v>
      </c>
      <c r="NZP369" s="153"/>
      <c r="NZQ369" s="153"/>
      <c r="NZR369" s="153"/>
      <c r="NZS369" s="648"/>
      <c r="NZT369" s="641"/>
      <c r="NZU369" s="631" t="s">
        <v>90</v>
      </c>
      <c r="NZV369" s="632"/>
      <c r="NZW369" s="16"/>
      <c r="NZX369" s="636">
        <v>2.7</v>
      </c>
      <c r="NZY369" s="636">
        <v>2.7</v>
      </c>
      <c r="NZZ369" s="636">
        <v>2.72</v>
      </c>
      <c r="OAA369" s="636">
        <v>2.72</v>
      </c>
      <c r="OAB369" s="636">
        <v>2.72</v>
      </c>
      <c r="OAC369" s="649">
        <v>2.72</v>
      </c>
      <c r="OAD369" s="16"/>
      <c r="OAE369" s="320">
        <v>2.69</v>
      </c>
      <c r="OAF369" s="153"/>
      <c r="OAG369" s="153"/>
      <c r="OAH369" s="153"/>
      <c r="OAI369" s="648"/>
      <c r="OAJ369" s="641"/>
      <c r="OAK369" s="631" t="s">
        <v>90</v>
      </c>
      <c r="OAL369" s="632"/>
      <c r="OAM369" s="16"/>
      <c r="OAN369" s="636">
        <v>2.7</v>
      </c>
      <c r="OAO369" s="636">
        <v>2.7</v>
      </c>
      <c r="OAP369" s="636">
        <v>2.72</v>
      </c>
      <c r="OAQ369" s="636">
        <v>2.72</v>
      </c>
      <c r="OAR369" s="636">
        <v>2.72</v>
      </c>
      <c r="OAS369" s="649">
        <v>2.72</v>
      </c>
      <c r="OAT369" s="16"/>
      <c r="OAU369" s="320">
        <v>2.69</v>
      </c>
      <c r="OAV369" s="153"/>
      <c r="OAW369" s="153"/>
      <c r="OAX369" s="153"/>
      <c r="OAY369" s="648"/>
      <c r="OAZ369" s="641"/>
      <c r="OBA369" s="631" t="s">
        <v>90</v>
      </c>
      <c r="OBB369" s="632"/>
      <c r="OBC369" s="16"/>
      <c r="OBD369" s="636">
        <v>2.7</v>
      </c>
      <c r="OBE369" s="636">
        <v>2.7</v>
      </c>
      <c r="OBF369" s="636">
        <v>2.72</v>
      </c>
      <c r="OBG369" s="636">
        <v>2.72</v>
      </c>
      <c r="OBH369" s="636">
        <v>2.72</v>
      </c>
      <c r="OBI369" s="649">
        <v>2.72</v>
      </c>
      <c r="OBJ369" s="16"/>
      <c r="OBK369" s="320">
        <v>2.69</v>
      </c>
      <c r="OBL369" s="153"/>
      <c r="OBM369" s="153"/>
      <c r="OBN369" s="153"/>
      <c r="OBO369" s="648"/>
      <c r="OBP369" s="641"/>
      <c r="OBQ369" s="631" t="s">
        <v>90</v>
      </c>
      <c r="OBR369" s="632"/>
      <c r="OBS369" s="16"/>
      <c r="OBT369" s="636">
        <v>2.7</v>
      </c>
      <c r="OBU369" s="636">
        <v>2.7</v>
      </c>
      <c r="OBV369" s="636">
        <v>2.72</v>
      </c>
      <c r="OBW369" s="636">
        <v>2.72</v>
      </c>
      <c r="OBX369" s="636">
        <v>2.72</v>
      </c>
      <c r="OBY369" s="649">
        <v>2.72</v>
      </c>
      <c r="OBZ369" s="16"/>
      <c r="OCA369" s="320">
        <v>2.69</v>
      </c>
      <c r="OCB369" s="153"/>
      <c r="OCC369" s="153"/>
      <c r="OCD369" s="153"/>
      <c r="OCE369" s="648"/>
      <c r="OCF369" s="641"/>
      <c r="OCG369" s="631" t="s">
        <v>90</v>
      </c>
      <c r="OCH369" s="632"/>
      <c r="OCI369" s="16"/>
      <c r="OCJ369" s="636">
        <v>2.7</v>
      </c>
      <c r="OCK369" s="636">
        <v>2.7</v>
      </c>
      <c r="OCL369" s="636">
        <v>2.72</v>
      </c>
      <c r="OCM369" s="636">
        <v>2.72</v>
      </c>
      <c r="OCN369" s="636">
        <v>2.72</v>
      </c>
      <c r="OCO369" s="649">
        <v>2.72</v>
      </c>
      <c r="OCP369" s="16"/>
      <c r="OCQ369" s="320">
        <v>2.69</v>
      </c>
      <c r="OCR369" s="153"/>
      <c r="OCS369" s="153"/>
      <c r="OCT369" s="153"/>
      <c r="OCU369" s="648"/>
      <c r="OCV369" s="641"/>
      <c r="OCW369" s="631" t="s">
        <v>90</v>
      </c>
      <c r="OCX369" s="632"/>
      <c r="OCY369" s="16"/>
      <c r="OCZ369" s="636">
        <v>2.7</v>
      </c>
      <c r="ODA369" s="636">
        <v>2.7</v>
      </c>
      <c r="ODB369" s="636">
        <v>2.72</v>
      </c>
      <c r="ODC369" s="636">
        <v>2.72</v>
      </c>
      <c r="ODD369" s="636">
        <v>2.72</v>
      </c>
      <c r="ODE369" s="649">
        <v>2.72</v>
      </c>
      <c r="ODF369" s="16"/>
      <c r="ODG369" s="320">
        <v>2.69</v>
      </c>
      <c r="ODH369" s="153"/>
      <c r="ODI369" s="153"/>
      <c r="ODJ369" s="153"/>
      <c r="ODK369" s="648"/>
      <c r="ODL369" s="641"/>
      <c r="ODM369" s="631" t="s">
        <v>90</v>
      </c>
      <c r="ODN369" s="632"/>
      <c r="ODO369" s="16"/>
      <c r="ODP369" s="636">
        <v>2.7</v>
      </c>
      <c r="ODQ369" s="636">
        <v>2.7</v>
      </c>
      <c r="ODR369" s="636">
        <v>2.72</v>
      </c>
      <c r="ODS369" s="636">
        <v>2.72</v>
      </c>
      <c r="ODT369" s="636">
        <v>2.72</v>
      </c>
      <c r="ODU369" s="649">
        <v>2.72</v>
      </c>
      <c r="ODV369" s="16"/>
      <c r="ODW369" s="320">
        <v>2.69</v>
      </c>
      <c r="ODX369" s="153"/>
      <c r="ODY369" s="153"/>
      <c r="ODZ369" s="153"/>
      <c r="OEA369" s="648"/>
      <c r="OEB369" s="641"/>
      <c r="OEC369" s="631" t="s">
        <v>90</v>
      </c>
      <c r="OED369" s="632"/>
      <c r="OEE369" s="16"/>
      <c r="OEF369" s="636">
        <v>2.7</v>
      </c>
      <c r="OEG369" s="636">
        <v>2.7</v>
      </c>
      <c r="OEH369" s="636">
        <v>2.72</v>
      </c>
      <c r="OEI369" s="636">
        <v>2.72</v>
      </c>
      <c r="OEJ369" s="636">
        <v>2.72</v>
      </c>
      <c r="OEK369" s="649">
        <v>2.72</v>
      </c>
      <c r="OEL369" s="16"/>
      <c r="OEM369" s="320">
        <v>2.69</v>
      </c>
      <c r="OEN369" s="153"/>
      <c r="OEO369" s="153"/>
      <c r="OEP369" s="153"/>
      <c r="OEQ369" s="648"/>
      <c r="OER369" s="641"/>
      <c r="OES369" s="631" t="s">
        <v>90</v>
      </c>
      <c r="OET369" s="632"/>
      <c r="OEU369" s="16"/>
      <c r="OEV369" s="636">
        <v>2.7</v>
      </c>
      <c r="OEW369" s="636">
        <v>2.7</v>
      </c>
      <c r="OEX369" s="636">
        <v>2.72</v>
      </c>
      <c r="OEY369" s="636">
        <v>2.72</v>
      </c>
      <c r="OEZ369" s="636">
        <v>2.72</v>
      </c>
      <c r="OFA369" s="649">
        <v>2.72</v>
      </c>
      <c r="OFB369" s="16"/>
      <c r="OFC369" s="320">
        <v>2.69</v>
      </c>
      <c r="OFD369" s="153"/>
      <c r="OFE369" s="153"/>
      <c r="OFF369" s="153"/>
      <c r="OFG369" s="648"/>
      <c r="OFH369" s="641"/>
      <c r="OFI369" s="631" t="s">
        <v>90</v>
      </c>
      <c r="OFJ369" s="632"/>
      <c r="OFK369" s="16"/>
      <c r="OFL369" s="636">
        <v>2.7</v>
      </c>
      <c r="OFM369" s="636">
        <v>2.7</v>
      </c>
      <c r="OFN369" s="636">
        <v>2.72</v>
      </c>
      <c r="OFO369" s="636">
        <v>2.72</v>
      </c>
      <c r="OFP369" s="636">
        <v>2.72</v>
      </c>
      <c r="OFQ369" s="649">
        <v>2.72</v>
      </c>
      <c r="OFR369" s="16"/>
      <c r="OFS369" s="320">
        <v>2.69</v>
      </c>
      <c r="OFT369" s="153"/>
      <c r="OFU369" s="153"/>
      <c r="OFV369" s="153"/>
      <c r="OFW369" s="648"/>
      <c r="OFX369" s="641"/>
      <c r="OFY369" s="631" t="s">
        <v>90</v>
      </c>
      <c r="OFZ369" s="632"/>
      <c r="OGA369" s="16"/>
      <c r="OGB369" s="636">
        <v>2.7</v>
      </c>
      <c r="OGC369" s="636">
        <v>2.7</v>
      </c>
      <c r="OGD369" s="636">
        <v>2.72</v>
      </c>
      <c r="OGE369" s="636">
        <v>2.72</v>
      </c>
      <c r="OGF369" s="636">
        <v>2.72</v>
      </c>
      <c r="OGG369" s="649">
        <v>2.72</v>
      </c>
      <c r="OGH369" s="16"/>
      <c r="OGI369" s="320">
        <v>2.69</v>
      </c>
      <c r="OGJ369" s="153"/>
      <c r="OGK369" s="153"/>
      <c r="OGL369" s="153"/>
      <c r="OGM369" s="648"/>
      <c r="OGN369" s="641"/>
      <c r="OGO369" s="631" t="s">
        <v>90</v>
      </c>
      <c r="OGP369" s="632"/>
      <c r="OGQ369" s="16"/>
      <c r="OGR369" s="636">
        <v>2.7</v>
      </c>
      <c r="OGS369" s="636">
        <v>2.7</v>
      </c>
      <c r="OGT369" s="636">
        <v>2.72</v>
      </c>
      <c r="OGU369" s="636">
        <v>2.72</v>
      </c>
      <c r="OGV369" s="636">
        <v>2.72</v>
      </c>
      <c r="OGW369" s="649">
        <v>2.72</v>
      </c>
      <c r="OGX369" s="16"/>
      <c r="OGY369" s="320">
        <v>2.69</v>
      </c>
      <c r="OGZ369" s="153"/>
      <c r="OHA369" s="153"/>
      <c r="OHB369" s="153"/>
      <c r="OHC369" s="648"/>
      <c r="OHD369" s="641"/>
      <c r="OHE369" s="631" t="s">
        <v>90</v>
      </c>
      <c r="OHF369" s="632"/>
      <c r="OHG369" s="16"/>
      <c r="OHH369" s="636">
        <v>2.7</v>
      </c>
      <c r="OHI369" s="636">
        <v>2.7</v>
      </c>
      <c r="OHJ369" s="636">
        <v>2.72</v>
      </c>
      <c r="OHK369" s="636">
        <v>2.72</v>
      </c>
      <c r="OHL369" s="636">
        <v>2.72</v>
      </c>
      <c r="OHM369" s="649">
        <v>2.72</v>
      </c>
      <c r="OHN369" s="16"/>
      <c r="OHO369" s="320">
        <v>2.69</v>
      </c>
      <c r="OHP369" s="153"/>
      <c r="OHQ369" s="153"/>
      <c r="OHR369" s="153"/>
      <c r="OHS369" s="648"/>
      <c r="OHT369" s="641"/>
      <c r="OHU369" s="631" t="s">
        <v>90</v>
      </c>
      <c r="OHV369" s="632"/>
      <c r="OHW369" s="16"/>
      <c r="OHX369" s="636">
        <v>2.7</v>
      </c>
      <c r="OHY369" s="636">
        <v>2.7</v>
      </c>
      <c r="OHZ369" s="636">
        <v>2.72</v>
      </c>
      <c r="OIA369" s="636">
        <v>2.72</v>
      </c>
      <c r="OIB369" s="636">
        <v>2.72</v>
      </c>
      <c r="OIC369" s="649">
        <v>2.72</v>
      </c>
      <c r="OID369" s="16"/>
      <c r="OIE369" s="320">
        <v>2.69</v>
      </c>
      <c r="OIF369" s="153"/>
      <c r="OIG369" s="153"/>
      <c r="OIH369" s="153"/>
      <c r="OII369" s="648"/>
      <c r="OIJ369" s="641"/>
      <c r="OIK369" s="631" t="s">
        <v>90</v>
      </c>
      <c r="OIL369" s="632"/>
      <c r="OIM369" s="16"/>
      <c r="OIN369" s="636">
        <v>2.7</v>
      </c>
      <c r="OIO369" s="636">
        <v>2.7</v>
      </c>
      <c r="OIP369" s="636">
        <v>2.72</v>
      </c>
      <c r="OIQ369" s="636">
        <v>2.72</v>
      </c>
      <c r="OIR369" s="636">
        <v>2.72</v>
      </c>
      <c r="OIS369" s="649">
        <v>2.72</v>
      </c>
      <c r="OIT369" s="16"/>
      <c r="OIU369" s="320">
        <v>2.69</v>
      </c>
      <c r="OIV369" s="153"/>
      <c r="OIW369" s="153"/>
      <c r="OIX369" s="153"/>
      <c r="OIY369" s="648"/>
      <c r="OIZ369" s="641"/>
      <c r="OJA369" s="631" t="s">
        <v>90</v>
      </c>
      <c r="OJB369" s="632"/>
      <c r="OJC369" s="16"/>
      <c r="OJD369" s="636">
        <v>2.7</v>
      </c>
      <c r="OJE369" s="636">
        <v>2.7</v>
      </c>
      <c r="OJF369" s="636">
        <v>2.72</v>
      </c>
      <c r="OJG369" s="636">
        <v>2.72</v>
      </c>
      <c r="OJH369" s="636">
        <v>2.72</v>
      </c>
      <c r="OJI369" s="649">
        <v>2.72</v>
      </c>
      <c r="OJJ369" s="16"/>
      <c r="OJK369" s="320">
        <v>2.69</v>
      </c>
      <c r="OJL369" s="153"/>
      <c r="OJM369" s="153"/>
      <c r="OJN369" s="153"/>
      <c r="OJO369" s="648"/>
      <c r="OJP369" s="641"/>
      <c r="OJQ369" s="631" t="s">
        <v>90</v>
      </c>
      <c r="OJR369" s="632"/>
      <c r="OJS369" s="16"/>
      <c r="OJT369" s="636">
        <v>2.7</v>
      </c>
      <c r="OJU369" s="636">
        <v>2.7</v>
      </c>
      <c r="OJV369" s="636">
        <v>2.72</v>
      </c>
      <c r="OJW369" s="636">
        <v>2.72</v>
      </c>
      <c r="OJX369" s="636">
        <v>2.72</v>
      </c>
      <c r="OJY369" s="649">
        <v>2.72</v>
      </c>
      <c r="OJZ369" s="16"/>
      <c r="OKA369" s="320">
        <v>2.69</v>
      </c>
      <c r="OKB369" s="153"/>
      <c r="OKC369" s="153"/>
      <c r="OKD369" s="153"/>
      <c r="OKE369" s="648"/>
      <c r="OKF369" s="641"/>
      <c r="OKG369" s="631" t="s">
        <v>90</v>
      </c>
      <c r="OKH369" s="632"/>
      <c r="OKI369" s="16"/>
      <c r="OKJ369" s="636">
        <v>2.7</v>
      </c>
      <c r="OKK369" s="636">
        <v>2.7</v>
      </c>
      <c r="OKL369" s="636">
        <v>2.72</v>
      </c>
      <c r="OKM369" s="636">
        <v>2.72</v>
      </c>
      <c r="OKN369" s="636">
        <v>2.72</v>
      </c>
      <c r="OKO369" s="649">
        <v>2.72</v>
      </c>
      <c r="OKP369" s="16"/>
      <c r="OKQ369" s="320">
        <v>2.69</v>
      </c>
      <c r="OKR369" s="153"/>
      <c r="OKS369" s="153"/>
      <c r="OKT369" s="153"/>
      <c r="OKU369" s="648"/>
      <c r="OKV369" s="641"/>
      <c r="OKW369" s="631" t="s">
        <v>90</v>
      </c>
      <c r="OKX369" s="632"/>
      <c r="OKY369" s="16"/>
      <c r="OKZ369" s="636">
        <v>2.7</v>
      </c>
      <c r="OLA369" s="636">
        <v>2.7</v>
      </c>
      <c r="OLB369" s="636">
        <v>2.72</v>
      </c>
      <c r="OLC369" s="636">
        <v>2.72</v>
      </c>
      <c r="OLD369" s="636">
        <v>2.72</v>
      </c>
      <c r="OLE369" s="649">
        <v>2.72</v>
      </c>
      <c r="OLF369" s="16"/>
      <c r="OLG369" s="320">
        <v>2.69</v>
      </c>
      <c r="OLH369" s="153"/>
      <c r="OLI369" s="153"/>
      <c r="OLJ369" s="153"/>
      <c r="OLK369" s="648"/>
      <c r="OLL369" s="641"/>
      <c r="OLM369" s="631" t="s">
        <v>90</v>
      </c>
      <c r="OLN369" s="632"/>
      <c r="OLO369" s="16"/>
      <c r="OLP369" s="636">
        <v>2.7</v>
      </c>
      <c r="OLQ369" s="636">
        <v>2.7</v>
      </c>
      <c r="OLR369" s="636">
        <v>2.72</v>
      </c>
      <c r="OLS369" s="636">
        <v>2.72</v>
      </c>
      <c r="OLT369" s="636">
        <v>2.72</v>
      </c>
      <c r="OLU369" s="649">
        <v>2.72</v>
      </c>
      <c r="OLV369" s="16"/>
      <c r="OLW369" s="320">
        <v>2.69</v>
      </c>
      <c r="OLX369" s="153"/>
      <c r="OLY369" s="153"/>
      <c r="OLZ369" s="153"/>
      <c r="OMA369" s="648"/>
      <c r="OMB369" s="641"/>
      <c r="OMC369" s="631" t="s">
        <v>90</v>
      </c>
      <c r="OMD369" s="632"/>
      <c r="OME369" s="16"/>
      <c r="OMF369" s="636">
        <v>2.7</v>
      </c>
      <c r="OMG369" s="636">
        <v>2.7</v>
      </c>
      <c r="OMH369" s="636">
        <v>2.72</v>
      </c>
      <c r="OMI369" s="636">
        <v>2.72</v>
      </c>
      <c r="OMJ369" s="636">
        <v>2.72</v>
      </c>
      <c r="OMK369" s="649">
        <v>2.72</v>
      </c>
      <c r="OML369" s="16"/>
      <c r="OMM369" s="320">
        <v>2.69</v>
      </c>
      <c r="OMN369" s="153"/>
      <c r="OMO369" s="153"/>
      <c r="OMP369" s="153"/>
      <c r="OMQ369" s="648"/>
      <c r="OMR369" s="641"/>
      <c r="OMS369" s="631" t="s">
        <v>90</v>
      </c>
      <c r="OMT369" s="632"/>
      <c r="OMU369" s="16"/>
      <c r="OMV369" s="636">
        <v>2.7</v>
      </c>
      <c r="OMW369" s="636">
        <v>2.7</v>
      </c>
      <c r="OMX369" s="636">
        <v>2.72</v>
      </c>
      <c r="OMY369" s="636">
        <v>2.72</v>
      </c>
      <c r="OMZ369" s="636">
        <v>2.72</v>
      </c>
      <c r="ONA369" s="649">
        <v>2.72</v>
      </c>
      <c r="ONB369" s="16"/>
      <c r="ONC369" s="320">
        <v>2.69</v>
      </c>
      <c r="OND369" s="153"/>
      <c r="ONE369" s="153"/>
      <c r="ONF369" s="153"/>
      <c r="ONG369" s="648"/>
      <c r="ONH369" s="641"/>
      <c r="ONI369" s="631" t="s">
        <v>90</v>
      </c>
      <c r="ONJ369" s="632"/>
      <c r="ONK369" s="16"/>
      <c r="ONL369" s="636">
        <v>2.7</v>
      </c>
      <c r="ONM369" s="636">
        <v>2.7</v>
      </c>
      <c r="ONN369" s="636">
        <v>2.72</v>
      </c>
      <c r="ONO369" s="636">
        <v>2.72</v>
      </c>
      <c r="ONP369" s="636">
        <v>2.72</v>
      </c>
      <c r="ONQ369" s="649">
        <v>2.72</v>
      </c>
      <c r="ONR369" s="16"/>
      <c r="ONS369" s="320">
        <v>2.69</v>
      </c>
      <c r="ONT369" s="153"/>
      <c r="ONU369" s="153"/>
      <c r="ONV369" s="153"/>
      <c r="ONW369" s="648"/>
      <c r="ONX369" s="641"/>
      <c r="ONY369" s="631" t="s">
        <v>90</v>
      </c>
      <c r="ONZ369" s="632"/>
      <c r="OOA369" s="16"/>
      <c r="OOB369" s="636">
        <v>2.7</v>
      </c>
      <c r="OOC369" s="636">
        <v>2.7</v>
      </c>
      <c r="OOD369" s="636">
        <v>2.72</v>
      </c>
      <c r="OOE369" s="636">
        <v>2.72</v>
      </c>
      <c r="OOF369" s="636">
        <v>2.72</v>
      </c>
      <c r="OOG369" s="649">
        <v>2.72</v>
      </c>
      <c r="OOH369" s="16"/>
      <c r="OOI369" s="320">
        <v>2.69</v>
      </c>
      <c r="OOJ369" s="153"/>
      <c r="OOK369" s="153"/>
      <c r="OOL369" s="153"/>
      <c r="OOM369" s="648"/>
      <c r="OON369" s="641"/>
      <c r="OOO369" s="631" t="s">
        <v>90</v>
      </c>
      <c r="OOP369" s="632"/>
      <c r="OOQ369" s="16"/>
      <c r="OOR369" s="636">
        <v>2.7</v>
      </c>
      <c r="OOS369" s="636">
        <v>2.7</v>
      </c>
      <c r="OOT369" s="636">
        <v>2.72</v>
      </c>
      <c r="OOU369" s="636">
        <v>2.72</v>
      </c>
      <c r="OOV369" s="636">
        <v>2.72</v>
      </c>
      <c r="OOW369" s="649">
        <v>2.72</v>
      </c>
      <c r="OOX369" s="16"/>
      <c r="OOY369" s="320">
        <v>2.69</v>
      </c>
      <c r="OOZ369" s="153"/>
      <c r="OPA369" s="153"/>
      <c r="OPB369" s="153"/>
      <c r="OPC369" s="648"/>
      <c r="OPD369" s="641"/>
      <c r="OPE369" s="631" t="s">
        <v>90</v>
      </c>
      <c r="OPF369" s="632"/>
      <c r="OPG369" s="16"/>
      <c r="OPH369" s="636">
        <v>2.7</v>
      </c>
      <c r="OPI369" s="636">
        <v>2.7</v>
      </c>
      <c r="OPJ369" s="636">
        <v>2.72</v>
      </c>
      <c r="OPK369" s="636">
        <v>2.72</v>
      </c>
      <c r="OPL369" s="636">
        <v>2.72</v>
      </c>
      <c r="OPM369" s="649">
        <v>2.72</v>
      </c>
      <c r="OPN369" s="16"/>
      <c r="OPO369" s="320">
        <v>2.69</v>
      </c>
      <c r="OPP369" s="153"/>
      <c r="OPQ369" s="153"/>
      <c r="OPR369" s="153"/>
      <c r="OPS369" s="648"/>
      <c r="OPT369" s="641"/>
      <c r="OPU369" s="631" t="s">
        <v>90</v>
      </c>
      <c r="OPV369" s="632"/>
      <c r="OPW369" s="16"/>
      <c r="OPX369" s="636">
        <v>2.7</v>
      </c>
      <c r="OPY369" s="636">
        <v>2.7</v>
      </c>
      <c r="OPZ369" s="636">
        <v>2.72</v>
      </c>
      <c r="OQA369" s="636">
        <v>2.72</v>
      </c>
      <c r="OQB369" s="636">
        <v>2.72</v>
      </c>
      <c r="OQC369" s="649">
        <v>2.72</v>
      </c>
      <c r="OQD369" s="16"/>
      <c r="OQE369" s="320">
        <v>2.69</v>
      </c>
      <c r="OQF369" s="153"/>
      <c r="OQG369" s="153"/>
      <c r="OQH369" s="153"/>
      <c r="OQI369" s="648"/>
      <c r="OQJ369" s="641"/>
      <c r="OQK369" s="631" t="s">
        <v>90</v>
      </c>
      <c r="OQL369" s="632"/>
      <c r="OQM369" s="16"/>
      <c r="OQN369" s="636">
        <v>2.7</v>
      </c>
      <c r="OQO369" s="636">
        <v>2.7</v>
      </c>
      <c r="OQP369" s="636">
        <v>2.72</v>
      </c>
      <c r="OQQ369" s="636">
        <v>2.72</v>
      </c>
      <c r="OQR369" s="636">
        <v>2.72</v>
      </c>
      <c r="OQS369" s="649">
        <v>2.72</v>
      </c>
      <c r="OQT369" s="16"/>
      <c r="OQU369" s="320">
        <v>2.69</v>
      </c>
      <c r="OQV369" s="153"/>
      <c r="OQW369" s="153"/>
      <c r="OQX369" s="153"/>
      <c r="OQY369" s="648"/>
      <c r="OQZ369" s="641"/>
      <c r="ORA369" s="631" t="s">
        <v>90</v>
      </c>
      <c r="ORB369" s="632"/>
      <c r="ORC369" s="16"/>
      <c r="ORD369" s="636">
        <v>2.7</v>
      </c>
      <c r="ORE369" s="636">
        <v>2.7</v>
      </c>
      <c r="ORF369" s="636">
        <v>2.72</v>
      </c>
      <c r="ORG369" s="636">
        <v>2.72</v>
      </c>
      <c r="ORH369" s="636">
        <v>2.72</v>
      </c>
      <c r="ORI369" s="649">
        <v>2.72</v>
      </c>
      <c r="ORJ369" s="16"/>
      <c r="ORK369" s="320">
        <v>2.69</v>
      </c>
      <c r="ORL369" s="153"/>
      <c r="ORM369" s="153"/>
      <c r="ORN369" s="153"/>
      <c r="ORO369" s="648"/>
      <c r="ORP369" s="641"/>
      <c r="ORQ369" s="631" t="s">
        <v>90</v>
      </c>
      <c r="ORR369" s="632"/>
      <c r="ORS369" s="16"/>
      <c r="ORT369" s="636">
        <v>2.7</v>
      </c>
      <c r="ORU369" s="636">
        <v>2.7</v>
      </c>
      <c r="ORV369" s="636">
        <v>2.72</v>
      </c>
      <c r="ORW369" s="636">
        <v>2.72</v>
      </c>
      <c r="ORX369" s="636">
        <v>2.72</v>
      </c>
      <c r="ORY369" s="649">
        <v>2.72</v>
      </c>
      <c r="ORZ369" s="16"/>
      <c r="OSA369" s="320">
        <v>2.69</v>
      </c>
      <c r="OSB369" s="153"/>
      <c r="OSC369" s="153"/>
      <c r="OSD369" s="153"/>
      <c r="OSE369" s="648"/>
      <c r="OSF369" s="641"/>
      <c r="OSG369" s="631" t="s">
        <v>90</v>
      </c>
      <c r="OSH369" s="632"/>
      <c r="OSI369" s="16"/>
      <c r="OSJ369" s="636">
        <v>2.7</v>
      </c>
      <c r="OSK369" s="636">
        <v>2.7</v>
      </c>
      <c r="OSL369" s="636">
        <v>2.72</v>
      </c>
      <c r="OSM369" s="636">
        <v>2.72</v>
      </c>
      <c r="OSN369" s="636">
        <v>2.72</v>
      </c>
      <c r="OSO369" s="649">
        <v>2.72</v>
      </c>
      <c r="OSP369" s="16"/>
      <c r="OSQ369" s="320">
        <v>2.69</v>
      </c>
      <c r="OSR369" s="153"/>
      <c r="OSS369" s="153"/>
      <c r="OST369" s="153"/>
      <c r="OSU369" s="648"/>
      <c r="OSV369" s="641"/>
      <c r="OSW369" s="631" t="s">
        <v>90</v>
      </c>
      <c r="OSX369" s="632"/>
      <c r="OSY369" s="16"/>
      <c r="OSZ369" s="636">
        <v>2.7</v>
      </c>
      <c r="OTA369" s="636">
        <v>2.7</v>
      </c>
      <c r="OTB369" s="636">
        <v>2.72</v>
      </c>
      <c r="OTC369" s="636">
        <v>2.72</v>
      </c>
      <c r="OTD369" s="636">
        <v>2.72</v>
      </c>
      <c r="OTE369" s="649">
        <v>2.72</v>
      </c>
      <c r="OTF369" s="16"/>
      <c r="OTG369" s="320">
        <v>2.69</v>
      </c>
      <c r="OTH369" s="153"/>
      <c r="OTI369" s="153"/>
      <c r="OTJ369" s="153"/>
      <c r="OTK369" s="648"/>
      <c r="OTL369" s="641"/>
      <c r="OTM369" s="631" t="s">
        <v>90</v>
      </c>
      <c r="OTN369" s="632"/>
      <c r="OTO369" s="16"/>
      <c r="OTP369" s="636">
        <v>2.7</v>
      </c>
      <c r="OTQ369" s="636">
        <v>2.7</v>
      </c>
      <c r="OTR369" s="636">
        <v>2.72</v>
      </c>
      <c r="OTS369" s="636">
        <v>2.72</v>
      </c>
      <c r="OTT369" s="636">
        <v>2.72</v>
      </c>
      <c r="OTU369" s="649">
        <v>2.72</v>
      </c>
      <c r="OTV369" s="16"/>
      <c r="OTW369" s="320">
        <v>2.69</v>
      </c>
      <c r="OTX369" s="153"/>
      <c r="OTY369" s="153"/>
      <c r="OTZ369" s="153"/>
      <c r="OUA369" s="648"/>
      <c r="OUB369" s="641"/>
      <c r="OUC369" s="631" t="s">
        <v>90</v>
      </c>
      <c r="OUD369" s="632"/>
      <c r="OUE369" s="16"/>
      <c r="OUF369" s="636">
        <v>2.7</v>
      </c>
      <c r="OUG369" s="636">
        <v>2.7</v>
      </c>
      <c r="OUH369" s="636">
        <v>2.72</v>
      </c>
      <c r="OUI369" s="636">
        <v>2.72</v>
      </c>
      <c r="OUJ369" s="636">
        <v>2.72</v>
      </c>
      <c r="OUK369" s="649">
        <v>2.72</v>
      </c>
      <c r="OUL369" s="16"/>
      <c r="OUM369" s="320">
        <v>2.69</v>
      </c>
      <c r="OUN369" s="153"/>
      <c r="OUO369" s="153"/>
      <c r="OUP369" s="153"/>
      <c r="OUQ369" s="648"/>
      <c r="OUR369" s="641"/>
      <c r="OUS369" s="631" t="s">
        <v>90</v>
      </c>
      <c r="OUT369" s="632"/>
      <c r="OUU369" s="16"/>
      <c r="OUV369" s="636">
        <v>2.7</v>
      </c>
      <c r="OUW369" s="636">
        <v>2.7</v>
      </c>
      <c r="OUX369" s="636">
        <v>2.72</v>
      </c>
      <c r="OUY369" s="636">
        <v>2.72</v>
      </c>
      <c r="OUZ369" s="636">
        <v>2.72</v>
      </c>
      <c r="OVA369" s="649">
        <v>2.72</v>
      </c>
      <c r="OVB369" s="16"/>
      <c r="OVC369" s="320">
        <v>2.69</v>
      </c>
      <c r="OVD369" s="153"/>
      <c r="OVE369" s="153"/>
      <c r="OVF369" s="153"/>
      <c r="OVG369" s="648"/>
      <c r="OVH369" s="641"/>
      <c r="OVI369" s="631" t="s">
        <v>90</v>
      </c>
      <c r="OVJ369" s="632"/>
      <c r="OVK369" s="16"/>
      <c r="OVL369" s="636">
        <v>2.7</v>
      </c>
      <c r="OVM369" s="636">
        <v>2.7</v>
      </c>
      <c r="OVN369" s="636">
        <v>2.72</v>
      </c>
      <c r="OVO369" s="636">
        <v>2.72</v>
      </c>
      <c r="OVP369" s="636">
        <v>2.72</v>
      </c>
      <c r="OVQ369" s="649">
        <v>2.72</v>
      </c>
      <c r="OVR369" s="16"/>
      <c r="OVS369" s="320">
        <v>2.69</v>
      </c>
      <c r="OVT369" s="153"/>
      <c r="OVU369" s="153"/>
      <c r="OVV369" s="153"/>
      <c r="OVW369" s="648"/>
      <c r="OVX369" s="641"/>
      <c r="OVY369" s="631" t="s">
        <v>90</v>
      </c>
      <c r="OVZ369" s="632"/>
      <c r="OWA369" s="16"/>
      <c r="OWB369" s="636">
        <v>2.7</v>
      </c>
      <c r="OWC369" s="636">
        <v>2.7</v>
      </c>
      <c r="OWD369" s="636">
        <v>2.72</v>
      </c>
      <c r="OWE369" s="636">
        <v>2.72</v>
      </c>
      <c r="OWF369" s="636">
        <v>2.72</v>
      </c>
      <c r="OWG369" s="649">
        <v>2.72</v>
      </c>
      <c r="OWH369" s="16"/>
      <c r="OWI369" s="320">
        <v>2.69</v>
      </c>
      <c r="OWJ369" s="153"/>
      <c r="OWK369" s="153"/>
      <c r="OWL369" s="153"/>
      <c r="OWM369" s="648"/>
      <c r="OWN369" s="641"/>
      <c r="OWO369" s="631" t="s">
        <v>90</v>
      </c>
      <c r="OWP369" s="632"/>
      <c r="OWQ369" s="16"/>
      <c r="OWR369" s="636">
        <v>2.7</v>
      </c>
      <c r="OWS369" s="636">
        <v>2.7</v>
      </c>
      <c r="OWT369" s="636">
        <v>2.72</v>
      </c>
      <c r="OWU369" s="636">
        <v>2.72</v>
      </c>
      <c r="OWV369" s="636">
        <v>2.72</v>
      </c>
      <c r="OWW369" s="649">
        <v>2.72</v>
      </c>
      <c r="OWX369" s="16"/>
      <c r="OWY369" s="320">
        <v>2.69</v>
      </c>
      <c r="OWZ369" s="153"/>
      <c r="OXA369" s="153"/>
      <c r="OXB369" s="153"/>
      <c r="OXC369" s="648"/>
      <c r="OXD369" s="641"/>
      <c r="OXE369" s="631" t="s">
        <v>90</v>
      </c>
      <c r="OXF369" s="632"/>
      <c r="OXG369" s="16"/>
      <c r="OXH369" s="636">
        <v>2.7</v>
      </c>
      <c r="OXI369" s="636">
        <v>2.7</v>
      </c>
      <c r="OXJ369" s="636">
        <v>2.72</v>
      </c>
      <c r="OXK369" s="636">
        <v>2.72</v>
      </c>
      <c r="OXL369" s="636">
        <v>2.72</v>
      </c>
      <c r="OXM369" s="649">
        <v>2.72</v>
      </c>
      <c r="OXN369" s="16"/>
      <c r="OXO369" s="320">
        <v>2.69</v>
      </c>
      <c r="OXP369" s="153"/>
      <c r="OXQ369" s="153"/>
      <c r="OXR369" s="153"/>
      <c r="OXS369" s="648"/>
      <c r="OXT369" s="641"/>
      <c r="OXU369" s="631" t="s">
        <v>90</v>
      </c>
      <c r="OXV369" s="632"/>
      <c r="OXW369" s="16"/>
      <c r="OXX369" s="636">
        <v>2.7</v>
      </c>
      <c r="OXY369" s="636">
        <v>2.7</v>
      </c>
      <c r="OXZ369" s="636">
        <v>2.72</v>
      </c>
      <c r="OYA369" s="636">
        <v>2.72</v>
      </c>
      <c r="OYB369" s="636">
        <v>2.72</v>
      </c>
      <c r="OYC369" s="649">
        <v>2.72</v>
      </c>
      <c r="OYD369" s="16"/>
      <c r="OYE369" s="320">
        <v>2.69</v>
      </c>
      <c r="OYF369" s="153"/>
      <c r="OYG369" s="153"/>
      <c r="OYH369" s="153"/>
      <c r="OYI369" s="648"/>
      <c r="OYJ369" s="641"/>
      <c r="OYK369" s="631" t="s">
        <v>90</v>
      </c>
      <c r="OYL369" s="632"/>
      <c r="OYM369" s="16"/>
      <c r="OYN369" s="636">
        <v>2.7</v>
      </c>
      <c r="OYO369" s="636">
        <v>2.7</v>
      </c>
      <c r="OYP369" s="636">
        <v>2.72</v>
      </c>
      <c r="OYQ369" s="636">
        <v>2.72</v>
      </c>
      <c r="OYR369" s="636">
        <v>2.72</v>
      </c>
      <c r="OYS369" s="649">
        <v>2.72</v>
      </c>
      <c r="OYT369" s="16"/>
      <c r="OYU369" s="320">
        <v>2.69</v>
      </c>
      <c r="OYV369" s="153"/>
      <c r="OYW369" s="153"/>
      <c r="OYX369" s="153"/>
      <c r="OYY369" s="648"/>
      <c r="OYZ369" s="641"/>
      <c r="OZA369" s="631" t="s">
        <v>90</v>
      </c>
      <c r="OZB369" s="632"/>
      <c r="OZC369" s="16"/>
      <c r="OZD369" s="636">
        <v>2.7</v>
      </c>
      <c r="OZE369" s="636">
        <v>2.7</v>
      </c>
      <c r="OZF369" s="636">
        <v>2.72</v>
      </c>
      <c r="OZG369" s="636">
        <v>2.72</v>
      </c>
      <c r="OZH369" s="636">
        <v>2.72</v>
      </c>
      <c r="OZI369" s="649">
        <v>2.72</v>
      </c>
      <c r="OZJ369" s="16"/>
      <c r="OZK369" s="320">
        <v>2.69</v>
      </c>
      <c r="OZL369" s="153"/>
      <c r="OZM369" s="153"/>
      <c r="OZN369" s="153"/>
      <c r="OZO369" s="648"/>
      <c r="OZP369" s="641"/>
      <c r="OZQ369" s="631" t="s">
        <v>90</v>
      </c>
      <c r="OZR369" s="632"/>
      <c r="OZS369" s="16"/>
      <c r="OZT369" s="636">
        <v>2.7</v>
      </c>
      <c r="OZU369" s="636">
        <v>2.7</v>
      </c>
      <c r="OZV369" s="636">
        <v>2.72</v>
      </c>
      <c r="OZW369" s="636">
        <v>2.72</v>
      </c>
      <c r="OZX369" s="636">
        <v>2.72</v>
      </c>
      <c r="OZY369" s="649">
        <v>2.72</v>
      </c>
      <c r="OZZ369" s="16"/>
      <c r="PAA369" s="320">
        <v>2.69</v>
      </c>
      <c r="PAB369" s="153"/>
      <c r="PAC369" s="153"/>
      <c r="PAD369" s="153"/>
      <c r="PAE369" s="648"/>
      <c r="PAF369" s="641"/>
      <c r="PAG369" s="631" t="s">
        <v>90</v>
      </c>
      <c r="PAH369" s="632"/>
      <c r="PAI369" s="16"/>
      <c r="PAJ369" s="636">
        <v>2.7</v>
      </c>
      <c r="PAK369" s="636">
        <v>2.7</v>
      </c>
      <c r="PAL369" s="636">
        <v>2.72</v>
      </c>
      <c r="PAM369" s="636">
        <v>2.72</v>
      </c>
      <c r="PAN369" s="636">
        <v>2.72</v>
      </c>
      <c r="PAO369" s="649">
        <v>2.72</v>
      </c>
      <c r="PAP369" s="16"/>
      <c r="PAQ369" s="320">
        <v>2.69</v>
      </c>
      <c r="PAR369" s="153"/>
      <c r="PAS369" s="153"/>
      <c r="PAT369" s="153"/>
      <c r="PAU369" s="648"/>
      <c r="PAV369" s="641"/>
      <c r="PAW369" s="631" t="s">
        <v>90</v>
      </c>
      <c r="PAX369" s="632"/>
      <c r="PAY369" s="16"/>
      <c r="PAZ369" s="636">
        <v>2.7</v>
      </c>
      <c r="PBA369" s="636">
        <v>2.7</v>
      </c>
      <c r="PBB369" s="636">
        <v>2.72</v>
      </c>
      <c r="PBC369" s="636">
        <v>2.72</v>
      </c>
      <c r="PBD369" s="636">
        <v>2.72</v>
      </c>
      <c r="PBE369" s="649">
        <v>2.72</v>
      </c>
      <c r="PBF369" s="16"/>
      <c r="PBG369" s="320">
        <v>2.69</v>
      </c>
      <c r="PBH369" s="153"/>
      <c r="PBI369" s="153"/>
      <c r="PBJ369" s="153"/>
      <c r="PBK369" s="648"/>
      <c r="PBL369" s="641"/>
      <c r="PBM369" s="631" t="s">
        <v>90</v>
      </c>
      <c r="PBN369" s="632"/>
      <c r="PBO369" s="16"/>
      <c r="PBP369" s="636">
        <v>2.7</v>
      </c>
      <c r="PBQ369" s="636">
        <v>2.7</v>
      </c>
      <c r="PBR369" s="636">
        <v>2.72</v>
      </c>
      <c r="PBS369" s="636">
        <v>2.72</v>
      </c>
      <c r="PBT369" s="636">
        <v>2.72</v>
      </c>
      <c r="PBU369" s="649">
        <v>2.72</v>
      </c>
      <c r="PBV369" s="16"/>
      <c r="PBW369" s="320">
        <v>2.69</v>
      </c>
      <c r="PBX369" s="153"/>
      <c r="PBY369" s="153"/>
      <c r="PBZ369" s="153"/>
      <c r="PCA369" s="648"/>
      <c r="PCB369" s="641"/>
      <c r="PCC369" s="631" t="s">
        <v>90</v>
      </c>
      <c r="PCD369" s="632"/>
      <c r="PCE369" s="16"/>
      <c r="PCF369" s="636">
        <v>2.7</v>
      </c>
      <c r="PCG369" s="636">
        <v>2.7</v>
      </c>
      <c r="PCH369" s="636">
        <v>2.72</v>
      </c>
      <c r="PCI369" s="636">
        <v>2.72</v>
      </c>
      <c r="PCJ369" s="636">
        <v>2.72</v>
      </c>
      <c r="PCK369" s="649">
        <v>2.72</v>
      </c>
      <c r="PCL369" s="16"/>
      <c r="PCM369" s="320">
        <v>2.69</v>
      </c>
      <c r="PCN369" s="153"/>
      <c r="PCO369" s="153"/>
      <c r="PCP369" s="153"/>
      <c r="PCQ369" s="648"/>
      <c r="PCR369" s="641"/>
      <c r="PCS369" s="631" t="s">
        <v>90</v>
      </c>
      <c r="PCT369" s="632"/>
      <c r="PCU369" s="16"/>
      <c r="PCV369" s="636">
        <v>2.7</v>
      </c>
      <c r="PCW369" s="636">
        <v>2.7</v>
      </c>
      <c r="PCX369" s="636">
        <v>2.72</v>
      </c>
      <c r="PCY369" s="636">
        <v>2.72</v>
      </c>
      <c r="PCZ369" s="636">
        <v>2.72</v>
      </c>
      <c r="PDA369" s="649">
        <v>2.72</v>
      </c>
      <c r="PDB369" s="16"/>
      <c r="PDC369" s="320">
        <v>2.69</v>
      </c>
      <c r="PDD369" s="153"/>
      <c r="PDE369" s="153"/>
      <c r="PDF369" s="153"/>
      <c r="PDG369" s="648"/>
      <c r="PDH369" s="641"/>
      <c r="PDI369" s="631" t="s">
        <v>90</v>
      </c>
      <c r="PDJ369" s="632"/>
      <c r="PDK369" s="16"/>
      <c r="PDL369" s="636">
        <v>2.7</v>
      </c>
      <c r="PDM369" s="636">
        <v>2.7</v>
      </c>
      <c r="PDN369" s="636">
        <v>2.72</v>
      </c>
      <c r="PDO369" s="636">
        <v>2.72</v>
      </c>
      <c r="PDP369" s="636">
        <v>2.72</v>
      </c>
      <c r="PDQ369" s="649">
        <v>2.72</v>
      </c>
      <c r="PDR369" s="16"/>
      <c r="PDS369" s="320">
        <v>2.69</v>
      </c>
      <c r="PDT369" s="153"/>
      <c r="PDU369" s="153"/>
      <c r="PDV369" s="153"/>
      <c r="PDW369" s="648"/>
      <c r="PDX369" s="641"/>
      <c r="PDY369" s="631" t="s">
        <v>90</v>
      </c>
      <c r="PDZ369" s="632"/>
      <c r="PEA369" s="16"/>
      <c r="PEB369" s="636">
        <v>2.7</v>
      </c>
      <c r="PEC369" s="636">
        <v>2.7</v>
      </c>
      <c r="PED369" s="636">
        <v>2.72</v>
      </c>
      <c r="PEE369" s="636">
        <v>2.72</v>
      </c>
      <c r="PEF369" s="636">
        <v>2.72</v>
      </c>
      <c r="PEG369" s="649">
        <v>2.72</v>
      </c>
      <c r="PEH369" s="16"/>
      <c r="PEI369" s="320">
        <v>2.69</v>
      </c>
      <c r="PEJ369" s="153"/>
      <c r="PEK369" s="153"/>
      <c r="PEL369" s="153"/>
      <c r="PEM369" s="648"/>
      <c r="PEN369" s="641"/>
      <c r="PEO369" s="631" t="s">
        <v>90</v>
      </c>
      <c r="PEP369" s="632"/>
      <c r="PEQ369" s="16"/>
      <c r="PER369" s="636">
        <v>2.7</v>
      </c>
      <c r="PES369" s="636">
        <v>2.7</v>
      </c>
      <c r="PET369" s="636">
        <v>2.72</v>
      </c>
      <c r="PEU369" s="636">
        <v>2.72</v>
      </c>
      <c r="PEV369" s="636">
        <v>2.72</v>
      </c>
      <c r="PEW369" s="649">
        <v>2.72</v>
      </c>
      <c r="PEX369" s="16"/>
      <c r="PEY369" s="320">
        <v>2.69</v>
      </c>
      <c r="PEZ369" s="153"/>
      <c r="PFA369" s="153"/>
      <c r="PFB369" s="153"/>
      <c r="PFC369" s="648"/>
      <c r="PFD369" s="641"/>
      <c r="PFE369" s="631" t="s">
        <v>90</v>
      </c>
      <c r="PFF369" s="632"/>
      <c r="PFG369" s="16"/>
      <c r="PFH369" s="636">
        <v>2.7</v>
      </c>
      <c r="PFI369" s="636">
        <v>2.7</v>
      </c>
      <c r="PFJ369" s="636">
        <v>2.72</v>
      </c>
      <c r="PFK369" s="636">
        <v>2.72</v>
      </c>
      <c r="PFL369" s="636">
        <v>2.72</v>
      </c>
      <c r="PFM369" s="649">
        <v>2.72</v>
      </c>
      <c r="PFN369" s="16"/>
      <c r="PFO369" s="320">
        <v>2.69</v>
      </c>
      <c r="PFP369" s="153"/>
      <c r="PFQ369" s="153"/>
      <c r="PFR369" s="153"/>
      <c r="PFS369" s="648"/>
      <c r="PFT369" s="641"/>
      <c r="PFU369" s="631" t="s">
        <v>90</v>
      </c>
      <c r="PFV369" s="632"/>
      <c r="PFW369" s="16"/>
      <c r="PFX369" s="636">
        <v>2.7</v>
      </c>
      <c r="PFY369" s="636">
        <v>2.7</v>
      </c>
      <c r="PFZ369" s="636">
        <v>2.72</v>
      </c>
      <c r="PGA369" s="636">
        <v>2.72</v>
      </c>
      <c r="PGB369" s="636">
        <v>2.72</v>
      </c>
      <c r="PGC369" s="649">
        <v>2.72</v>
      </c>
      <c r="PGD369" s="16"/>
      <c r="PGE369" s="320">
        <v>2.69</v>
      </c>
      <c r="PGF369" s="153"/>
      <c r="PGG369" s="153"/>
      <c r="PGH369" s="153"/>
      <c r="PGI369" s="648"/>
      <c r="PGJ369" s="641"/>
      <c r="PGK369" s="631" t="s">
        <v>90</v>
      </c>
      <c r="PGL369" s="632"/>
      <c r="PGM369" s="16"/>
      <c r="PGN369" s="636">
        <v>2.7</v>
      </c>
      <c r="PGO369" s="636">
        <v>2.7</v>
      </c>
      <c r="PGP369" s="636">
        <v>2.72</v>
      </c>
      <c r="PGQ369" s="636">
        <v>2.72</v>
      </c>
      <c r="PGR369" s="636">
        <v>2.72</v>
      </c>
      <c r="PGS369" s="649">
        <v>2.72</v>
      </c>
      <c r="PGT369" s="16"/>
      <c r="PGU369" s="320">
        <v>2.69</v>
      </c>
      <c r="PGV369" s="153"/>
      <c r="PGW369" s="153"/>
      <c r="PGX369" s="153"/>
      <c r="PGY369" s="648"/>
      <c r="PGZ369" s="641"/>
      <c r="PHA369" s="631" t="s">
        <v>90</v>
      </c>
      <c r="PHB369" s="632"/>
      <c r="PHC369" s="16"/>
      <c r="PHD369" s="636">
        <v>2.7</v>
      </c>
      <c r="PHE369" s="636">
        <v>2.7</v>
      </c>
      <c r="PHF369" s="636">
        <v>2.72</v>
      </c>
      <c r="PHG369" s="636">
        <v>2.72</v>
      </c>
      <c r="PHH369" s="636">
        <v>2.72</v>
      </c>
      <c r="PHI369" s="649">
        <v>2.72</v>
      </c>
      <c r="PHJ369" s="16"/>
      <c r="PHK369" s="320">
        <v>2.69</v>
      </c>
      <c r="PHL369" s="153"/>
      <c r="PHM369" s="153"/>
      <c r="PHN369" s="153"/>
      <c r="PHO369" s="648"/>
      <c r="PHP369" s="641"/>
      <c r="PHQ369" s="631" t="s">
        <v>90</v>
      </c>
      <c r="PHR369" s="632"/>
      <c r="PHS369" s="16"/>
      <c r="PHT369" s="636">
        <v>2.7</v>
      </c>
      <c r="PHU369" s="636">
        <v>2.7</v>
      </c>
      <c r="PHV369" s="636">
        <v>2.72</v>
      </c>
      <c r="PHW369" s="636">
        <v>2.72</v>
      </c>
      <c r="PHX369" s="636">
        <v>2.72</v>
      </c>
      <c r="PHY369" s="649">
        <v>2.72</v>
      </c>
      <c r="PHZ369" s="16"/>
      <c r="PIA369" s="320">
        <v>2.69</v>
      </c>
      <c r="PIB369" s="153"/>
      <c r="PIC369" s="153"/>
      <c r="PID369" s="153"/>
      <c r="PIE369" s="648"/>
      <c r="PIF369" s="641"/>
      <c r="PIG369" s="631" t="s">
        <v>90</v>
      </c>
      <c r="PIH369" s="632"/>
      <c r="PII369" s="16"/>
      <c r="PIJ369" s="636">
        <v>2.7</v>
      </c>
      <c r="PIK369" s="636">
        <v>2.7</v>
      </c>
      <c r="PIL369" s="636">
        <v>2.72</v>
      </c>
      <c r="PIM369" s="636">
        <v>2.72</v>
      </c>
      <c r="PIN369" s="636">
        <v>2.72</v>
      </c>
      <c r="PIO369" s="649">
        <v>2.72</v>
      </c>
      <c r="PIP369" s="16"/>
      <c r="PIQ369" s="320">
        <v>2.69</v>
      </c>
      <c r="PIR369" s="153"/>
      <c r="PIS369" s="153"/>
      <c r="PIT369" s="153"/>
      <c r="PIU369" s="648"/>
      <c r="PIV369" s="641"/>
      <c r="PIW369" s="631" t="s">
        <v>90</v>
      </c>
      <c r="PIX369" s="632"/>
      <c r="PIY369" s="16"/>
      <c r="PIZ369" s="636">
        <v>2.7</v>
      </c>
      <c r="PJA369" s="636">
        <v>2.7</v>
      </c>
      <c r="PJB369" s="636">
        <v>2.72</v>
      </c>
      <c r="PJC369" s="636">
        <v>2.72</v>
      </c>
      <c r="PJD369" s="636">
        <v>2.72</v>
      </c>
      <c r="PJE369" s="649">
        <v>2.72</v>
      </c>
      <c r="PJF369" s="16"/>
      <c r="PJG369" s="320">
        <v>2.69</v>
      </c>
      <c r="PJH369" s="153"/>
      <c r="PJI369" s="153"/>
      <c r="PJJ369" s="153"/>
      <c r="PJK369" s="648"/>
      <c r="PJL369" s="641"/>
      <c r="PJM369" s="631" t="s">
        <v>90</v>
      </c>
      <c r="PJN369" s="632"/>
      <c r="PJO369" s="16"/>
      <c r="PJP369" s="636">
        <v>2.7</v>
      </c>
      <c r="PJQ369" s="636">
        <v>2.7</v>
      </c>
      <c r="PJR369" s="636">
        <v>2.72</v>
      </c>
      <c r="PJS369" s="636">
        <v>2.72</v>
      </c>
      <c r="PJT369" s="636">
        <v>2.72</v>
      </c>
      <c r="PJU369" s="649">
        <v>2.72</v>
      </c>
      <c r="PJV369" s="16"/>
      <c r="PJW369" s="320">
        <v>2.69</v>
      </c>
      <c r="PJX369" s="153"/>
      <c r="PJY369" s="153"/>
      <c r="PJZ369" s="153"/>
      <c r="PKA369" s="648"/>
      <c r="PKB369" s="641"/>
      <c r="PKC369" s="631" t="s">
        <v>90</v>
      </c>
      <c r="PKD369" s="632"/>
      <c r="PKE369" s="16"/>
      <c r="PKF369" s="636">
        <v>2.7</v>
      </c>
      <c r="PKG369" s="636">
        <v>2.7</v>
      </c>
      <c r="PKH369" s="636">
        <v>2.72</v>
      </c>
      <c r="PKI369" s="636">
        <v>2.72</v>
      </c>
      <c r="PKJ369" s="636">
        <v>2.72</v>
      </c>
      <c r="PKK369" s="649">
        <v>2.72</v>
      </c>
      <c r="PKL369" s="16"/>
      <c r="PKM369" s="320">
        <v>2.69</v>
      </c>
      <c r="PKN369" s="153"/>
      <c r="PKO369" s="153"/>
      <c r="PKP369" s="153"/>
      <c r="PKQ369" s="648"/>
      <c r="PKR369" s="641"/>
      <c r="PKS369" s="631" t="s">
        <v>90</v>
      </c>
      <c r="PKT369" s="632"/>
      <c r="PKU369" s="16"/>
      <c r="PKV369" s="636">
        <v>2.7</v>
      </c>
      <c r="PKW369" s="636">
        <v>2.7</v>
      </c>
      <c r="PKX369" s="636">
        <v>2.72</v>
      </c>
      <c r="PKY369" s="636">
        <v>2.72</v>
      </c>
      <c r="PKZ369" s="636">
        <v>2.72</v>
      </c>
      <c r="PLA369" s="649">
        <v>2.72</v>
      </c>
      <c r="PLB369" s="16"/>
      <c r="PLC369" s="320">
        <v>2.69</v>
      </c>
      <c r="PLD369" s="153"/>
      <c r="PLE369" s="153"/>
      <c r="PLF369" s="153"/>
      <c r="PLG369" s="648"/>
      <c r="PLH369" s="641"/>
      <c r="PLI369" s="631" t="s">
        <v>90</v>
      </c>
      <c r="PLJ369" s="632"/>
      <c r="PLK369" s="16"/>
      <c r="PLL369" s="636">
        <v>2.7</v>
      </c>
      <c r="PLM369" s="636">
        <v>2.7</v>
      </c>
      <c r="PLN369" s="636">
        <v>2.72</v>
      </c>
      <c r="PLO369" s="636">
        <v>2.72</v>
      </c>
      <c r="PLP369" s="636">
        <v>2.72</v>
      </c>
      <c r="PLQ369" s="649">
        <v>2.72</v>
      </c>
      <c r="PLR369" s="16"/>
      <c r="PLS369" s="320">
        <v>2.69</v>
      </c>
      <c r="PLT369" s="153"/>
      <c r="PLU369" s="153"/>
      <c r="PLV369" s="153"/>
      <c r="PLW369" s="648"/>
      <c r="PLX369" s="641"/>
      <c r="PLY369" s="631" t="s">
        <v>90</v>
      </c>
      <c r="PLZ369" s="632"/>
      <c r="PMA369" s="16"/>
      <c r="PMB369" s="636">
        <v>2.7</v>
      </c>
      <c r="PMC369" s="636">
        <v>2.7</v>
      </c>
      <c r="PMD369" s="636">
        <v>2.72</v>
      </c>
      <c r="PME369" s="636">
        <v>2.72</v>
      </c>
      <c r="PMF369" s="636">
        <v>2.72</v>
      </c>
      <c r="PMG369" s="649">
        <v>2.72</v>
      </c>
      <c r="PMH369" s="16"/>
      <c r="PMI369" s="320">
        <v>2.69</v>
      </c>
      <c r="PMJ369" s="153"/>
      <c r="PMK369" s="153"/>
      <c r="PML369" s="153"/>
      <c r="PMM369" s="648"/>
      <c r="PMN369" s="641"/>
      <c r="PMO369" s="631" t="s">
        <v>90</v>
      </c>
      <c r="PMP369" s="632"/>
      <c r="PMQ369" s="16"/>
      <c r="PMR369" s="636">
        <v>2.7</v>
      </c>
      <c r="PMS369" s="636">
        <v>2.7</v>
      </c>
      <c r="PMT369" s="636">
        <v>2.72</v>
      </c>
      <c r="PMU369" s="636">
        <v>2.72</v>
      </c>
      <c r="PMV369" s="636">
        <v>2.72</v>
      </c>
      <c r="PMW369" s="649">
        <v>2.72</v>
      </c>
      <c r="PMX369" s="16"/>
      <c r="PMY369" s="320">
        <v>2.69</v>
      </c>
      <c r="PMZ369" s="153"/>
      <c r="PNA369" s="153"/>
      <c r="PNB369" s="153"/>
      <c r="PNC369" s="648"/>
      <c r="PND369" s="641"/>
      <c r="PNE369" s="631" t="s">
        <v>90</v>
      </c>
      <c r="PNF369" s="632"/>
      <c r="PNG369" s="16"/>
      <c r="PNH369" s="636">
        <v>2.7</v>
      </c>
      <c r="PNI369" s="636">
        <v>2.7</v>
      </c>
      <c r="PNJ369" s="636">
        <v>2.72</v>
      </c>
      <c r="PNK369" s="636">
        <v>2.72</v>
      </c>
      <c r="PNL369" s="636">
        <v>2.72</v>
      </c>
      <c r="PNM369" s="649">
        <v>2.72</v>
      </c>
      <c r="PNN369" s="16"/>
      <c r="PNO369" s="320">
        <v>2.69</v>
      </c>
      <c r="PNP369" s="153"/>
      <c r="PNQ369" s="153"/>
      <c r="PNR369" s="153"/>
      <c r="PNS369" s="648"/>
      <c r="PNT369" s="641"/>
      <c r="PNU369" s="631" t="s">
        <v>90</v>
      </c>
      <c r="PNV369" s="632"/>
      <c r="PNW369" s="16"/>
      <c r="PNX369" s="636">
        <v>2.7</v>
      </c>
      <c r="PNY369" s="636">
        <v>2.7</v>
      </c>
      <c r="PNZ369" s="636">
        <v>2.72</v>
      </c>
      <c r="POA369" s="636">
        <v>2.72</v>
      </c>
      <c r="POB369" s="636">
        <v>2.72</v>
      </c>
      <c r="POC369" s="649">
        <v>2.72</v>
      </c>
      <c r="POD369" s="16"/>
      <c r="POE369" s="320">
        <v>2.69</v>
      </c>
      <c r="POF369" s="153"/>
      <c r="POG369" s="153"/>
      <c r="POH369" s="153"/>
      <c r="POI369" s="648"/>
      <c r="POJ369" s="641"/>
      <c r="POK369" s="631" t="s">
        <v>90</v>
      </c>
      <c r="POL369" s="632"/>
      <c r="POM369" s="16"/>
      <c r="PON369" s="636">
        <v>2.7</v>
      </c>
      <c r="POO369" s="636">
        <v>2.7</v>
      </c>
      <c r="POP369" s="636">
        <v>2.72</v>
      </c>
      <c r="POQ369" s="636">
        <v>2.72</v>
      </c>
      <c r="POR369" s="636">
        <v>2.72</v>
      </c>
      <c r="POS369" s="649">
        <v>2.72</v>
      </c>
      <c r="POT369" s="16"/>
      <c r="POU369" s="320">
        <v>2.69</v>
      </c>
      <c r="POV369" s="153"/>
      <c r="POW369" s="153"/>
      <c r="POX369" s="153"/>
      <c r="POY369" s="648"/>
      <c r="POZ369" s="641"/>
      <c r="PPA369" s="631" t="s">
        <v>90</v>
      </c>
      <c r="PPB369" s="632"/>
      <c r="PPC369" s="16"/>
      <c r="PPD369" s="636">
        <v>2.7</v>
      </c>
      <c r="PPE369" s="636">
        <v>2.7</v>
      </c>
      <c r="PPF369" s="636">
        <v>2.72</v>
      </c>
      <c r="PPG369" s="636">
        <v>2.72</v>
      </c>
      <c r="PPH369" s="636">
        <v>2.72</v>
      </c>
      <c r="PPI369" s="649">
        <v>2.72</v>
      </c>
      <c r="PPJ369" s="16"/>
      <c r="PPK369" s="320">
        <v>2.69</v>
      </c>
      <c r="PPL369" s="153"/>
      <c r="PPM369" s="153"/>
      <c r="PPN369" s="153"/>
      <c r="PPO369" s="648"/>
      <c r="PPP369" s="641"/>
      <c r="PPQ369" s="631" t="s">
        <v>90</v>
      </c>
      <c r="PPR369" s="632"/>
      <c r="PPS369" s="16"/>
      <c r="PPT369" s="636">
        <v>2.7</v>
      </c>
      <c r="PPU369" s="636">
        <v>2.7</v>
      </c>
      <c r="PPV369" s="636">
        <v>2.72</v>
      </c>
      <c r="PPW369" s="636">
        <v>2.72</v>
      </c>
      <c r="PPX369" s="636">
        <v>2.72</v>
      </c>
      <c r="PPY369" s="649">
        <v>2.72</v>
      </c>
      <c r="PPZ369" s="16"/>
      <c r="PQA369" s="320">
        <v>2.69</v>
      </c>
      <c r="PQB369" s="153"/>
      <c r="PQC369" s="153"/>
      <c r="PQD369" s="153"/>
      <c r="PQE369" s="648"/>
      <c r="PQF369" s="641"/>
      <c r="PQG369" s="631" t="s">
        <v>90</v>
      </c>
      <c r="PQH369" s="632"/>
      <c r="PQI369" s="16"/>
      <c r="PQJ369" s="636">
        <v>2.7</v>
      </c>
      <c r="PQK369" s="636">
        <v>2.7</v>
      </c>
      <c r="PQL369" s="636">
        <v>2.72</v>
      </c>
      <c r="PQM369" s="636">
        <v>2.72</v>
      </c>
      <c r="PQN369" s="636">
        <v>2.72</v>
      </c>
      <c r="PQO369" s="649">
        <v>2.72</v>
      </c>
      <c r="PQP369" s="16"/>
      <c r="PQQ369" s="320">
        <v>2.69</v>
      </c>
      <c r="PQR369" s="153"/>
      <c r="PQS369" s="153"/>
      <c r="PQT369" s="153"/>
      <c r="PQU369" s="648"/>
      <c r="PQV369" s="641"/>
      <c r="PQW369" s="631" t="s">
        <v>90</v>
      </c>
      <c r="PQX369" s="632"/>
      <c r="PQY369" s="16"/>
      <c r="PQZ369" s="636">
        <v>2.7</v>
      </c>
      <c r="PRA369" s="636">
        <v>2.7</v>
      </c>
      <c r="PRB369" s="636">
        <v>2.72</v>
      </c>
      <c r="PRC369" s="636">
        <v>2.72</v>
      </c>
      <c r="PRD369" s="636">
        <v>2.72</v>
      </c>
      <c r="PRE369" s="649">
        <v>2.72</v>
      </c>
      <c r="PRF369" s="16"/>
      <c r="PRG369" s="320">
        <v>2.69</v>
      </c>
      <c r="PRH369" s="153"/>
      <c r="PRI369" s="153"/>
      <c r="PRJ369" s="153"/>
      <c r="PRK369" s="648"/>
      <c r="PRL369" s="641"/>
      <c r="PRM369" s="631" t="s">
        <v>90</v>
      </c>
      <c r="PRN369" s="632"/>
      <c r="PRO369" s="16"/>
      <c r="PRP369" s="636">
        <v>2.7</v>
      </c>
      <c r="PRQ369" s="636">
        <v>2.7</v>
      </c>
      <c r="PRR369" s="636">
        <v>2.72</v>
      </c>
      <c r="PRS369" s="636">
        <v>2.72</v>
      </c>
      <c r="PRT369" s="636">
        <v>2.72</v>
      </c>
      <c r="PRU369" s="649">
        <v>2.72</v>
      </c>
      <c r="PRV369" s="16"/>
      <c r="PRW369" s="320">
        <v>2.69</v>
      </c>
      <c r="PRX369" s="153"/>
      <c r="PRY369" s="153"/>
      <c r="PRZ369" s="153"/>
      <c r="PSA369" s="648"/>
      <c r="PSB369" s="641"/>
      <c r="PSC369" s="631" t="s">
        <v>90</v>
      </c>
      <c r="PSD369" s="632"/>
      <c r="PSE369" s="16"/>
      <c r="PSF369" s="636">
        <v>2.7</v>
      </c>
      <c r="PSG369" s="636">
        <v>2.7</v>
      </c>
      <c r="PSH369" s="636">
        <v>2.72</v>
      </c>
      <c r="PSI369" s="636">
        <v>2.72</v>
      </c>
      <c r="PSJ369" s="636">
        <v>2.72</v>
      </c>
      <c r="PSK369" s="649">
        <v>2.72</v>
      </c>
      <c r="PSL369" s="16"/>
      <c r="PSM369" s="320">
        <v>2.69</v>
      </c>
      <c r="PSN369" s="153"/>
      <c r="PSO369" s="153"/>
      <c r="PSP369" s="153"/>
      <c r="PSQ369" s="648"/>
      <c r="PSR369" s="641"/>
      <c r="PSS369" s="631" t="s">
        <v>90</v>
      </c>
      <c r="PST369" s="632"/>
      <c r="PSU369" s="16"/>
      <c r="PSV369" s="636">
        <v>2.7</v>
      </c>
      <c r="PSW369" s="636">
        <v>2.7</v>
      </c>
      <c r="PSX369" s="636">
        <v>2.72</v>
      </c>
      <c r="PSY369" s="636">
        <v>2.72</v>
      </c>
      <c r="PSZ369" s="636">
        <v>2.72</v>
      </c>
      <c r="PTA369" s="649">
        <v>2.72</v>
      </c>
      <c r="PTB369" s="16"/>
      <c r="PTC369" s="320">
        <v>2.69</v>
      </c>
      <c r="PTD369" s="153"/>
      <c r="PTE369" s="153"/>
      <c r="PTF369" s="153"/>
      <c r="PTG369" s="648"/>
      <c r="PTH369" s="641"/>
      <c r="PTI369" s="631" t="s">
        <v>90</v>
      </c>
      <c r="PTJ369" s="632"/>
      <c r="PTK369" s="16"/>
      <c r="PTL369" s="636">
        <v>2.7</v>
      </c>
      <c r="PTM369" s="636">
        <v>2.7</v>
      </c>
      <c r="PTN369" s="636">
        <v>2.72</v>
      </c>
      <c r="PTO369" s="636">
        <v>2.72</v>
      </c>
      <c r="PTP369" s="636">
        <v>2.72</v>
      </c>
      <c r="PTQ369" s="649">
        <v>2.72</v>
      </c>
      <c r="PTR369" s="16"/>
      <c r="PTS369" s="320">
        <v>2.69</v>
      </c>
      <c r="PTT369" s="153"/>
      <c r="PTU369" s="153"/>
      <c r="PTV369" s="153"/>
      <c r="PTW369" s="648"/>
      <c r="PTX369" s="641"/>
      <c r="PTY369" s="631" t="s">
        <v>90</v>
      </c>
      <c r="PTZ369" s="632"/>
      <c r="PUA369" s="16"/>
      <c r="PUB369" s="636">
        <v>2.7</v>
      </c>
      <c r="PUC369" s="636">
        <v>2.7</v>
      </c>
      <c r="PUD369" s="636">
        <v>2.72</v>
      </c>
      <c r="PUE369" s="636">
        <v>2.72</v>
      </c>
      <c r="PUF369" s="636">
        <v>2.72</v>
      </c>
      <c r="PUG369" s="649">
        <v>2.72</v>
      </c>
      <c r="PUH369" s="16"/>
      <c r="PUI369" s="320">
        <v>2.69</v>
      </c>
      <c r="PUJ369" s="153"/>
      <c r="PUK369" s="153"/>
      <c r="PUL369" s="153"/>
      <c r="PUM369" s="648"/>
      <c r="PUN369" s="641"/>
      <c r="PUO369" s="631" t="s">
        <v>90</v>
      </c>
      <c r="PUP369" s="632"/>
      <c r="PUQ369" s="16"/>
      <c r="PUR369" s="636">
        <v>2.7</v>
      </c>
      <c r="PUS369" s="636">
        <v>2.7</v>
      </c>
      <c r="PUT369" s="636">
        <v>2.72</v>
      </c>
      <c r="PUU369" s="636">
        <v>2.72</v>
      </c>
      <c r="PUV369" s="636">
        <v>2.72</v>
      </c>
      <c r="PUW369" s="649">
        <v>2.72</v>
      </c>
      <c r="PUX369" s="16"/>
      <c r="PUY369" s="320">
        <v>2.69</v>
      </c>
      <c r="PUZ369" s="153"/>
      <c r="PVA369" s="153"/>
      <c r="PVB369" s="153"/>
      <c r="PVC369" s="648"/>
      <c r="PVD369" s="641"/>
      <c r="PVE369" s="631" t="s">
        <v>90</v>
      </c>
      <c r="PVF369" s="632"/>
      <c r="PVG369" s="16"/>
      <c r="PVH369" s="636">
        <v>2.7</v>
      </c>
      <c r="PVI369" s="636">
        <v>2.7</v>
      </c>
      <c r="PVJ369" s="636">
        <v>2.72</v>
      </c>
      <c r="PVK369" s="636">
        <v>2.72</v>
      </c>
      <c r="PVL369" s="636">
        <v>2.72</v>
      </c>
      <c r="PVM369" s="649">
        <v>2.72</v>
      </c>
      <c r="PVN369" s="16"/>
      <c r="PVO369" s="320">
        <v>2.69</v>
      </c>
      <c r="PVP369" s="153"/>
      <c r="PVQ369" s="153"/>
      <c r="PVR369" s="153"/>
      <c r="PVS369" s="648"/>
      <c r="PVT369" s="641"/>
      <c r="PVU369" s="631" t="s">
        <v>90</v>
      </c>
      <c r="PVV369" s="632"/>
      <c r="PVW369" s="16"/>
      <c r="PVX369" s="636">
        <v>2.7</v>
      </c>
      <c r="PVY369" s="636">
        <v>2.7</v>
      </c>
      <c r="PVZ369" s="636">
        <v>2.72</v>
      </c>
      <c r="PWA369" s="636">
        <v>2.72</v>
      </c>
      <c r="PWB369" s="636">
        <v>2.72</v>
      </c>
      <c r="PWC369" s="649">
        <v>2.72</v>
      </c>
      <c r="PWD369" s="16"/>
      <c r="PWE369" s="320">
        <v>2.69</v>
      </c>
      <c r="PWF369" s="153"/>
      <c r="PWG369" s="153"/>
      <c r="PWH369" s="153"/>
      <c r="PWI369" s="648"/>
      <c r="PWJ369" s="641"/>
      <c r="PWK369" s="631" t="s">
        <v>90</v>
      </c>
      <c r="PWL369" s="632"/>
      <c r="PWM369" s="16"/>
      <c r="PWN369" s="636">
        <v>2.7</v>
      </c>
      <c r="PWO369" s="636">
        <v>2.7</v>
      </c>
      <c r="PWP369" s="636">
        <v>2.72</v>
      </c>
      <c r="PWQ369" s="636">
        <v>2.72</v>
      </c>
      <c r="PWR369" s="636">
        <v>2.72</v>
      </c>
      <c r="PWS369" s="649">
        <v>2.72</v>
      </c>
      <c r="PWT369" s="16"/>
      <c r="PWU369" s="320">
        <v>2.69</v>
      </c>
      <c r="PWV369" s="153"/>
      <c r="PWW369" s="153"/>
      <c r="PWX369" s="153"/>
      <c r="PWY369" s="648"/>
      <c r="PWZ369" s="641"/>
      <c r="PXA369" s="631" t="s">
        <v>90</v>
      </c>
      <c r="PXB369" s="632"/>
      <c r="PXC369" s="16"/>
      <c r="PXD369" s="636">
        <v>2.7</v>
      </c>
      <c r="PXE369" s="636">
        <v>2.7</v>
      </c>
      <c r="PXF369" s="636">
        <v>2.72</v>
      </c>
      <c r="PXG369" s="636">
        <v>2.72</v>
      </c>
      <c r="PXH369" s="636">
        <v>2.72</v>
      </c>
      <c r="PXI369" s="649">
        <v>2.72</v>
      </c>
      <c r="PXJ369" s="16"/>
      <c r="PXK369" s="320">
        <v>2.69</v>
      </c>
      <c r="PXL369" s="153"/>
      <c r="PXM369" s="153"/>
      <c r="PXN369" s="153"/>
      <c r="PXO369" s="648"/>
      <c r="PXP369" s="641"/>
      <c r="PXQ369" s="631" t="s">
        <v>90</v>
      </c>
      <c r="PXR369" s="632"/>
      <c r="PXS369" s="16"/>
      <c r="PXT369" s="636">
        <v>2.7</v>
      </c>
      <c r="PXU369" s="636">
        <v>2.7</v>
      </c>
      <c r="PXV369" s="636">
        <v>2.72</v>
      </c>
      <c r="PXW369" s="636">
        <v>2.72</v>
      </c>
      <c r="PXX369" s="636">
        <v>2.72</v>
      </c>
      <c r="PXY369" s="649">
        <v>2.72</v>
      </c>
      <c r="PXZ369" s="16"/>
      <c r="PYA369" s="320">
        <v>2.69</v>
      </c>
      <c r="PYB369" s="153"/>
      <c r="PYC369" s="153"/>
      <c r="PYD369" s="153"/>
      <c r="PYE369" s="648"/>
      <c r="PYF369" s="641"/>
      <c r="PYG369" s="631" t="s">
        <v>90</v>
      </c>
      <c r="PYH369" s="632"/>
      <c r="PYI369" s="16"/>
      <c r="PYJ369" s="636">
        <v>2.7</v>
      </c>
      <c r="PYK369" s="636">
        <v>2.7</v>
      </c>
      <c r="PYL369" s="636">
        <v>2.72</v>
      </c>
      <c r="PYM369" s="636">
        <v>2.72</v>
      </c>
      <c r="PYN369" s="636">
        <v>2.72</v>
      </c>
      <c r="PYO369" s="649">
        <v>2.72</v>
      </c>
      <c r="PYP369" s="16"/>
      <c r="PYQ369" s="320">
        <v>2.69</v>
      </c>
      <c r="PYR369" s="153"/>
      <c r="PYS369" s="153"/>
      <c r="PYT369" s="153"/>
      <c r="PYU369" s="648"/>
      <c r="PYV369" s="641"/>
      <c r="PYW369" s="631" t="s">
        <v>90</v>
      </c>
      <c r="PYX369" s="632"/>
      <c r="PYY369" s="16"/>
      <c r="PYZ369" s="636">
        <v>2.7</v>
      </c>
      <c r="PZA369" s="636">
        <v>2.7</v>
      </c>
      <c r="PZB369" s="636">
        <v>2.72</v>
      </c>
      <c r="PZC369" s="636">
        <v>2.72</v>
      </c>
      <c r="PZD369" s="636">
        <v>2.72</v>
      </c>
      <c r="PZE369" s="649">
        <v>2.72</v>
      </c>
      <c r="PZF369" s="16"/>
      <c r="PZG369" s="320">
        <v>2.69</v>
      </c>
      <c r="PZH369" s="153"/>
      <c r="PZI369" s="153"/>
      <c r="PZJ369" s="153"/>
      <c r="PZK369" s="648"/>
      <c r="PZL369" s="641"/>
      <c r="PZM369" s="631" t="s">
        <v>90</v>
      </c>
      <c r="PZN369" s="632"/>
      <c r="PZO369" s="16"/>
      <c r="PZP369" s="636">
        <v>2.7</v>
      </c>
      <c r="PZQ369" s="636">
        <v>2.7</v>
      </c>
      <c r="PZR369" s="636">
        <v>2.72</v>
      </c>
      <c r="PZS369" s="636">
        <v>2.72</v>
      </c>
      <c r="PZT369" s="636">
        <v>2.72</v>
      </c>
      <c r="PZU369" s="649">
        <v>2.72</v>
      </c>
      <c r="PZV369" s="16"/>
      <c r="PZW369" s="320">
        <v>2.69</v>
      </c>
      <c r="PZX369" s="153"/>
      <c r="PZY369" s="153"/>
      <c r="PZZ369" s="153"/>
      <c r="QAA369" s="648"/>
      <c r="QAB369" s="641"/>
      <c r="QAC369" s="631" t="s">
        <v>90</v>
      </c>
      <c r="QAD369" s="632"/>
      <c r="QAE369" s="16"/>
      <c r="QAF369" s="636">
        <v>2.7</v>
      </c>
      <c r="QAG369" s="636">
        <v>2.7</v>
      </c>
      <c r="QAH369" s="636">
        <v>2.72</v>
      </c>
      <c r="QAI369" s="636">
        <v>2.72</v>
      </c>
      <c r="QAJ369" s="636">
        <v>2.72</v>
      </c>
      <c r="QAK369" s="649">
        <v>2.72</v>
      </c>
      <c r="QAL369" s="16"/>
      <c r="QAM369" s="320">
        <v>2.69</v>
      </c>
      <c r="QAN369" s="153"/>
      <c r="QAO369" s="153"/>
      <c r="QAP369" s="153"/>
      <c r="QAQ369" s="648"/>
      <c r="QAR369" s="641"/>
      <c r="QAS369" s="631" t="s">
        <v>90</v>
      </c>
      <c r="QAT369" s="632"/>
      <c r="QAU369" s="16"/>
      <c r="QAV369" s="636">
        <v>2.7</v>
      </c>
      <c r="QAW369" s="636">
        <v>2.7</v>
      </c>
      <c r="QAX369" s="636">
        <v>2.72</v>
      </c>
      <c r="QAY369" s="636">
        <v>2.72</v>
      </c>
      <c r="QAZ369" s="636">
        <v>2.72</v>
      </c>
      <c r="QBA369" s="649">
        <v>2.72</v>
      </c>
      <c r="QBB369" s="16"/>
      <c r="QBC369" s="320">
        <v>2.69</v>
      </c>
      <c r="QBD369" s="153"/>
      <c r="QBE369" s="153"/>
      <c r="QBF369" s="153"/>
      <c r="QBG369" s="648"/>
      <c r="QBH369" s="641"/>
      <c r="QBI369" s="631" t="s">
        <v>90</v>
      </c>
      <c r="QBJ369" s="632"/>
      <c r="QBK369" s="16"/>
      <c r="QBL369" s="636">
        <v>2.7</v>
      </c>
      <c r="QBM369" s="636">
        <v>2.7</v>
      </c>
      <c r="QBN369" s="636">
        <v>2.72</v>
      </c>
      <c r="QBO369" s="636">
        <v>2.72</v>
      </c>
      <c r="QBP369" s="636">
        <v>2.72</v>
      </c>
      <c r="QBQ369" s="649">
        <v>2.72</v>
      </c>
      <c r="QBR369" s="16"/>
      <c r="QBS369" s="320">
        <v>2.69</v>
      </c>
      <c r="QBT369" s="153"/>
      <c r="QBU369" s="153"/>
      <c r="QBV369" s="153"/>
      <c r="QBW369" s="648"/>
      <c r="QBX369" s="641"/>
      <c r="QBY369" s="631" t="s">
        <v>90</v>
      </c>
      <c r="QBZ369" s="632"/>
      <c r="QCA369" s="16"/>
      <c r="QCB369" s="636">
        <v>2.7</v>
      </c>
      <c r="QCC369" s="636">
        <v>2.7</v>
      </c>
      <c r="QCD369" s="636">
        <v>2.72</v>
      </c>
      <c r="QCE369" s="636">
        <v>2.72</v>
      </c>
      <c r="QCF369" s="636">
        <v>2.72</v>
      </c>
      <c r="QCG369" s="649">
        <v>2.72</v>
      </c>
      <c r="QCH369" s="16"/>
      <c r="QCI369" s="320">
        <v>2.69</v>
      </c>
      <c r="QCJ369" s="153"/>
      <c r="QCK369" s="153"/>
      <c r="QCL369" s="153"/>
      <c r="QCM369" s="648"/>
      <c r="QCN369" s="641"/>
      <c r="QCO369" s="631" t="s">
        <v>90</v>
      </c>
      <c r="QCP369" s="632"/>
      <c r="QCQ369" s="16"/>
      <c r="QCR369" s="636">
        <v>2.7</v>
      </c>
      <c r="QCS369" s="636">
        <v>2.7</v>
      </c>
      <c r="QCT369" s="636">
        <v>2.72</v>
      </c>
      <c r="QCU369" s="636">
        <v>2.72</v>
      </c>
      <c r="QCV369" s="636">
        <v>2.72</v>
      </c>
      <c r="QCW369" s="649">
        <v>2.72</v>
      </c>
      <c r="QCX369" s="16"/>
      <c r="QCY369" s="320">
        <v>2.69</v>
      </c>
      <c r="QCZ369" s="153"/>
      <c r="QDA369" s="153"/>
      <c r="QDB369" s="153"/>
      <c r="QDC369" s="648"/>
      <c r="QDD369" s="641"/>
      <c r="QDE369" s="631" t="s">
        <v>90</v>
      </c>
      <c r="QDF369" s="632"/>
      <c r="QDG369" s="16"/>
      <c r="QDH369" s="636">
        <v>2.7</v>
      </c>
      <c r="QDI369" s="636">
        <v>2.7</v>
      </c>
      <c r="QDJ369" s="636">
        <v>2.72</v>
      </c>
      <c r="QDK369" s="636">
        <v>2.72</v>
      </c>
      <c r="QDL369" s="636">
        <v>2.72</v>
      </c>
      <c r="QDM369" s="649">
        <v>2.72</v>
      </c>
      <c r="QDN369" s="16"/>
      <c r="QDO369" s="320">
        <v>2.69</v>
      </c>
      <c r="QDP369" s="153"/>
      <c r="QDQ369" s="153"/>
      <c r="QDR369" s="153"/>
      <c r="QDS369" s="648"/>
      <c r="QDT369" s="641"/>
      <c r="QDU369" s="631" t="s">
        <v>90</v>
      </c>
      <c r="QDV369" s="632"/>
      <c r="QDW369" s="16"/>
      <c r="QDX369" s="636">
        <v>2.7</v>
      </c>
      <c r="QDY369" s="636">
        <v>2.7</v>
      </c>
      <c r="QDZ369" s="636">
        <v>2.72</v>
      </c>
      <c r="QEA369" s="636">
        <v>2.72</v>
      </c>
      <c r="QEB369" s="636">
        <v>2.72</v>
      </c>
      <c r="QEC369" s="649">
        <v>2.72</v>
      </c>
      <c r="QED369" s="16"/>
      <c r="QEE369" s="320">
        <v>2.69</v>
      </c>
      <c r="QEF369" s="153"/>
      <c r="QEG369" s="153"/>
      <c r="QEH369" s="153"/>
      <c r="QEI369" s="648"/>
      <c r="QEJ369" s="641"/>
      <c r="QEK369" s="631" t="s">
        <v>90</v>
      </c>
      <c r="QEL369" s="632"/>
      <c r="QEM369" s="16"/>
      <c r="QEN369" s="636">
        <v>2.7</v>
      </c>
      <c r="QEO369" s="636">
        <v>2.7</v>
      </c>
      <c r="QEP369" s="636">
        <v>2.72</v>
      </c>
      <c r="QEQ369" s="636">
        <v>2.72</v>
      </c>
      <c r="QER369" s="636">
        <v>2.72</v>
      </c>
      <c r="QES369" s="649">
        <v>2.72</v>
      </c>
      <c r="QET369" s="16"/>
      <c r="QEU369" s="320">
        <v>2.69</v>
      </c>
      <c r="QEV369" s="153"/>
      <c r="QEW369" s="153"/>
      <c r="QEX369" s="153"/>
      <c r="QEY369" s="648"/>
      <c r="QEZ369" s="641"/>
      <c r="QFA369" s="631" t="s">
        <v>90</v>
      </c>
      <c r="QFB369" s="632"/>
      <c r="QFC369" s="16"/>
      <c r="QFD369" s="636">
        <v>2.7</v>
      </c>
      <c r="QFE369" s="636">
        <v>2.7</v>
      </c>
      <c r="QFF369" s="636">
        <v>2.72</v>
      </c>
      <c r="QFG369" s="636">
        <v>2.72</v>
      </c>
      <c r="QFH369" s="636">
        <v>2.72</v>
      </c>
      <c r="QFI369" s="649">
        <v>2.72</v>
      </c>
      <c r="QFJ369" s="16"/>
      <c r="QFK369" s="320">
        <v>2.69</v>
      </c>
      <c r="QFL369" s="153"/>
      <c r="QFM369" s="153"/>
      <c r="QFN369" s="153"/>
      <c r="QFO369" s="648"/>
      <c r="QFP369" s="641"/>
      <c r="QFQ369" s="631" t="s">
        <v>90</v>
      </c>
      <c r="QFR369" s="632"/>
      <c r="QFS369" s="16"/>
      <c r="QFT369" s="636">
        <v>2.7</v>
      </c>
      <c r="QFU369" s="636">
        <v>2.7</v>
      </c>
      <c r="QFV369" s="636">
        <v>2.72</v>
      </c>
      <c r="QFW369" s="636">
        <v>2.72</v>
      </c>
      <c r="QFX369" s="636">
        <v>2.72</v>
      </c>
      <c r="QFY369" s="649">
        <v>2.72</v>
      </c>
      <c r="QFZ369" s="16"/>
      <c r="QGA369" s="320">
        <v>2.69</v>
      </c>
      <c r="QGB369" s="153"/>
      <c r="QGC369" s="153"/>
      <c r="QGD369" s="153"/>
      <c r="QGE369" s="648"/>
      <c r="QGF369" s="641"/>
      <c r="QGG369" s="631" t="s">
        <v>90</v>
      </c>
      <c r="QGH369" s="632"/>
      <c r="QGI369" s="16"/>
      <c r="QGJ369" s="636">
        <v>2.7</v>
      </c>
      <c r="QGK369" s="636">
        <v>2.7</v>
      </c>
      <c r="QGL369" s="636">
        <v>2.72</v>
      </c>
      <c r="QGM369" s="636">
        <v>2.72</v>
      </c>
      <c r="QGN369" s="636">
        <v>2.72</v>
      </c>
      <c r="QGO369" s="649">
        <v>2.72</v>
      </c>
      <c r="QGP369" s="16"/>
      <c r="QGQ369" s="320">
        <v>2.69</v>
      </c>
      <c r="QGR369" s="153"/>
      <c r="QGS369" s="153"/>
      <c r="QGT369" s="153"/>
      <c r="QGU369" s="648"/>
      <c r="QGV369" s="641"/>
      <c r="QGW369" s="631" t="s">
        <v>90</v>
      </c>
      <c r="QGX369" s="632"/>
      <c r="QGY369" s="16"/>
      <c r="QGZ369" s="636">
        <v>2.7</v>
      </c>
      <c r="QHA369" s="636">
        <v>2.7</v>
      </c>
      <c r="QHB369" s="636">
        <v>2.72</v>
      </c>
      <c r="QHC369" s="636">
        <v>2.72</v>
      </c>
      <c r="QHD369" s="636">
        <v>2.72</v>
      </c>
      <c r="QHE369" s="649">
        <v>2.72</v>
      </c>
      <c r="QHF369" s="16"/>
      <c r="QHG369" s="320">
        <v>2.69</v>
      </c>
      <c r="QHH369" s="153"/>
      <c r="QHI369" s="153"/>
      <c r="QHJ369" s="153"/>
      <c r="QHK369" s="648"/>
      <c r="QHL369" s="641"/>
      <c r="QHM369" s="631" t="s">
        <v>90</v>
      </c>
      <c r="QHN369" s="632"/>
      <c r="QHO369" s="16"/>
      <c r="QHP369" s="636">
        <v>2.7</v>
      </c>
      <c r="QHQ369" s="636">
        <v>2.7</v>
      </c>
      <c r="QHR369" s="636">
        <v>2.72</v>
      </c>
      <c r="QHS369" s="636">
        <v>2.72</v>
      </c>
      <c r="QHT369" s="636">
        <v>2.72</v>
      </c>
      <c r="QHU369" s="649">
        <v>2.72</v>
      </c>
      <c r="QHV369" s="16"/>
      <c r="QHW369" s="320">
        <v>2.69</v>
      </c>
      <c r="QHX369" s="153"/>
      <c r="QHY369" s="153"/>
      <c r="QHZ369" s="153"/>
      <c r="QIA369" s="648"/>
      <c r="QIB369" s="641"/>
      <c r="QIC369" s="631" t="s">
        <v>90</v>
      </c>
      <c r="QID369" s="632"/>
      <c r="QIE369" s="16"/>
      <c r="QIF369" s="636">
        <v>2.7</v>
      </c>
      <c r="QIG369" s="636">
        <v>2.7</v>
      </c>
      <c r="QIH369" s="636">
        <v>2.72</v>
      </c>
      <c r="QII369" s="636">
        <v>2.72</v>
      </c>
      <c r="QIJ369" s="636">
        <v>2.72</v>
      </c>
      <c r="QIK369" s="649">
        <v>2.72</v>
      </c>
      <c r="QIL369" s="16"/>
      <c r="QIM369" s="320">
        <v>2.69</v>
      </c>
      <c r="QIN369" s="153"/>
      <c r="QIO369" s="153"/>
      <c r="QIP369" s="153"/>
      <c r="QIQ369" s="648"/>
      <c r="QIR369" s="641"/>
      <c r="QIS369" s="631" t="s">
        <v>90</v>
      </c>
      <c r="QIT369" s="632"/>
      <c r="QIU369" s="16"/>
      <c r="QIV369" s="636">
        <v>2.7</v>
      </c>
      <c r="QIW369" s="636">
        <v>2.7</v>
      </c>
      <c r="QIX369" s="636">
        <v>2.72</v>
      </c>
      <c r="QIY369" s="636">
        <v>2.72</v>
      </c>
      <c r="QIZ369" s="636">
        <v>2.72</v>
      </c>
      <c r="QJA369" s="649">
        <v>2.72</v>
      </c>
      <c r="QJB369" s="16"/>
      <c r="QJC369" s="320">
        <v>2.69</v>
      </c>
      <c r="QJD369" s="153"/>
      <c r="QJE369" s="153"/>
      <c r="QJF369" s="153"/>
      <c r="QJG369" s="648"/>
      <c r="QJH369" s="641"/>
      <c r="QJI369" s="631" t="s">
        <v>90</v>
      </c>
      <c r="QJJ369" s="632"/>
      <c r="QJK369" s="16"/>
      <c r="QJL369" s="636">
        <v>2.7</v>
      </c>
      <c r="QJM369" s="636">
        <v>2.7</v>
      </c>
      <c r="QJN369" s="636">
        <v>2.72</v>
      </c>
      <c r="QJO369" s="636">
        <v>2.72</v>
      </c>
      <c r="QJP369" s="636">
        <v>2.72</v>
      </c>
      <c r="QJQ369" s="649">
        <v>2.72</v>
      </c>
      <c r="QJR369" s="16"/>
      <c r="QJS369" s="320">
        <v>2.69</v>
      </c>
      <c r="QJT369" s="153"/>
      <c r="QJU369" s="153"/>
      <c r="QJV369" s="153"/>
      <c r="QJW369" s="648"/>
      <c r="QJX369" s="641"/>
      <c r="QJY369" s="631" t="s">
        <v>90</v>
      </c>
      <c r="QJZ369" s="632"/>
      <c r="QKA369" s="16"/>
      <c r="QKB369" s="636">
        <v>2.7</v>
      </c>
      <c r="QKC369" s="636">
        <v>2.7</v>
      </c>
      <c r="QKD369" s="636">
        <v>2.72</v>
      </c>
      <c r="QKE369" s="636">
        <v>2.72</v>
      </c>
      <c r="QKF369" s="636">
        <v>2.72</v>
      </c>
      <c r="QKG369" s="649">
        <v>2.72</v>
      </c>
      <c r="QKH369" s="16"/>
      <c r="QKI369" s="320">
        <v>2.69</v>
      </c>
      <c r="QKJ369" s="153"/>
      <c r="QKK369" s="153"/>
      <c r="QKL369" s="153"/>
      <c r="QKM369" s="648"/>
      <c r="QKN369" s="641"/>
      <c r="QKO369" s="631" t="s">
        <v>90</v>
      </c>
      <c r="QKP369" s="632"/>
      <c r="QKQ369" s="16"/>
      <c r="QKR369" s="636">
        <v>2.7</v>
      </c>
      <c r="QKS369" s="636">
        <v>2.7</v>
      </c>
      <c r="QKT369" s="636">
        <v>2.72</v>
      </c>
      <c r="QKU369" s="636">
        <v>2.72</v>
      </c>
      <c r="QKV369" s="636">
        <v>2.72</v>
      </c>
      <c r="QKW369" s="649">
        <v>2.72</v>
      </c>
      <c r="QKX369" s="16"/>
      <c r="QKY369" s="320">
        <v>2.69</v>
      </c>
      <c r="QKZ369" s="153"/>
      <c r="QLA369" s="153"/>
      <c r="QLB369" s="153"/>
      <c r="QLC369" s="648"/>
      <c r="QLD369" s="641"/>
      <c r="QLE369" s="631" t="s">
        <v>90</v>
      </c>
      <c r="QLF369" s="632"/>
      <c r="QLG369" s="16"/>
      <c r="QLH369" s="636">
        <v>2.7</v>
      </c>
      <c r="QLI369" s="636">
        <v>2.7</v>
      </c>
      <c r="QLJ369" s="636">
        <v>2.72</v>
      </c>
      <c r="QLK369" s="636">
        <v>2.72</v>
      </c>
      <c r="QLL369" s="636">
        <v>2.72</v>
      </c>
      <c r="QLM369" s="649">
        <v>2.72</v>
      </c>
      <c r="QLN369" s="16"/>
      <c r="QLO369" s="320">
        <v>2.69</v>
      </c>
      <c r="QLP369" s="153"/>
      <c r="QLQ369" s="153"/>
      <c r="QLR369" s="153"/>
      <c r="QLS369" s="648"/>
      <c r="QLT369" s="641"/>
      <c r="QLU369" s="631" t="s">
        <v>90</v>
      </c>
      <c r="QLV369" s="632"/>
      <c r="QLW369" s="16"/>
      <c r="QLX369" s="636">
        <v>2.7</v>
      </c>
      <c r="QLY369" s="636">
        <v>2.7</v>
      </c>
      <c r="QLZ369" s="636">
        <v>2.72</v>
      </c>
      <c r="QMA369" s="636">
        <v>2.72</v>
      </c>
      <c r="QMB369" s="636">
        <v>2.72</v>
      </c>
      <c r="QMC369" s="649">
        <v>2.72</v>
      </c>
      <c r="QMD369" s="16"/>
      <c r="QME369" s="320">
        <v>2.69</v>
      </c>
      <c r="QMF369" s="153"/>
      <c r="QMG369" s="153"/>
      <c r="QMH369" s="153"/>
      <c r="QMI369" s="648"/>
      <c r="QMJ369" s="641"/>
      <c r="QMK369" s="631" t="s">
        <v>90</v>
      </c>
      <c r="QML369" s="632"/>
      <c r="QMM369" s="16"/>
      <c r="QMN369" s="636">
        <v>2.7</v>
      </c>
      <c r="QMO369" s="636">
        <v>2.7</v>
      </c>
      <c r="QMP369" s="636">
        <v>2.72</v>
      </c>
      <c r="QMQ369" s="636">
        <v>2.72</v>
      </c>
      <c r="QMR369" s="636">
        <v>2.72</v>
      </c>
      <c r="QMS369" s="649">
        <v>2.72</v>
      </c>
      <c r="QMT369" s="16"/>
      <c r="QMU369" s="320">
        <v>2.69</v>
      </c>
      <c r="QMV369" s="153"/>
      <c r="QMW369" s="153"/>
      <c r="QMX369" s="153"/>
      <c r="QMY369" s="648"/>
      <c r="QMZ369" s="641"/>
      <c r="QNA369" s="631" t="s">
        <v>90</v>
      </c>
      <c r="QNB369" s="632"/>
      <c r="QNC369" s="16"/>
      <c r="QND369" s="636">
        <v>2.7</v>
      </c>
      <c r="QNE369" s="636">
        <v>2.7</v>
      </c>
      <c r="QNF369" s="636">
        <v>2.72</v>
      </c>
      <c r="QNG369" s="636">
        <v>2.72</v>
      </c>
      <c r="QNH369" s="636">
        <v>2.72</v>
      </c>
      <c r="QNI369" s="649">
        <v>2.72</v>
      </c>
      <c r="QNJ369" s="16"/>
      <c r="QNK369" s="320">
        <v>2.69</v>
      </c>
      <c r="QNL369" s="153"/>
      <c r="QNM369" s="153"/>
      <c r="QNN369" s="153"/>
      <c r="QNO369" s="648"/>
      <c r="QNP369" s="641"/>
      <c r="QNQ369" s="631" t="s">
        <v>90</v>
      </c>
      <c r="QNR369" s="632"/>
      <c r="QNS369" s="16"/>
      <c r="QNT369" s="636">
        <v>2.7</v>
      </c>
      <c r="QNU369" s="636">
        <v>2.7</v>
      </c>
      <c r="QNV369" s="636">
        <v>2.72</v>
      </c>
      <c r="QNW369" s="636">
        <v>2.72</v>
      </c>
      <c r="QNX369" s="636">
        <v>2.72</v>
      </c>
      <c r="QNY369" s="649">
        <v>2.72</v>
      </c>
      <c r="QNZ369" s="16"/>
      <c r="QOA369" s="320">
        <v>2.69</v>
      </c>
      <c r="QOB369" s="153"/>
      <c r="QOC369" s="153"/>
      <c r="QOD369" s="153"/>
      <c r="QOE369" s="648"/>
      <c r="QOF369" s="641"/>
      <c r="QOG369" s="631" t="s">
        <v>90</v>
      </c>
      <c r="QOH369" s="632"/>
      <c r="QOI369" s="16"/>
      <c r="QOJ369" s="636">
        <v>2.7</v>
      </c>
      <c r="QOK369" s="636">
        <v>2.7</v>
      </c>
      <c r="QOL369" s="636">
        <v>2.72</v>
      </c>
      <c r="QOM369" s="636">
        <v>2.72</v>
      </c>
      <c r="QON369" s="636">
        <v>2.72</v>
      </c>
      <c r="QOO369" s="649">
        <v>2.72</v>
      </c>
      <c r="QOP369" s="16"/>
      <c r="QOQ369" s="320">
        <v>2.69</v>
      </c>
      <c r="QOR369" s="153"/>
      <c r="QOS369" s="153"/>
      <c r="QOT369" s="153"/>
      <c r="QOU369" s="648"/>
      <c r="QOV369" s="641"/>
      <c r="QOW369" s="631" t="s">
        <v>90</v>
      </c>
      <c r="QOX369" s="632"/>
      <c r="QOY369" s="16"/>
      <c r="QOZ369" s="636">
        <v>2.7</v>
      </c>
      <c r="QPA369" s="636">
        <v>2.7</v>
      </c>
      <c r="QPB369" s="636">
        <v>2.72</v>
      </c>
      <c r="QPC369" s="636">
        <v>2.72</v>
      </c>
      <c r="QPD369" s="636">
        <v>2.72</v>
      </c>
      <c r="QPE369" s="649">
        <v>2.72</v>
      </c>
      <c r="QPF369" s="16"/>
      <c r="QPG369" s="320">
        <v>2.69</v>
      </c>
      <c r="QPH369" s="153"/>
      <c r="QPI369" s="153"/>
      <c r="QPJ369" s="153"/>
      <c r="QPK369" s="648"/>
      <c r="QPL369" s="641"/>
      <c r="QPM369" s="631" t="s">
        <v>90</v>
      </c>
      <c r="QPN369" s="632"/>
      <c r="QPO369" s="16"/>
      <c r="QPP369" s="636">
        <v>2.7</v>
      </c>
      <c r="QPQ369" s="636">
        <v>2.7</v>
      </c>
      <c r="QPR369" s="636">
        <v>2.72</v>
      </c>
      <c r="QPS369" s="636">
        <v>2.72</v>
      </c>
      <c r="QPT369" s="636">
        <v>2.72</v>
      </c>
      <c r="QPU369" s="649">
        <v>2.72</v>
      </c>
      <c r="QPV369" s="16"/>
      <c r="QPW369" s="320">
        <v>2.69</v>
      </c>
      <c r="QPX369" s="153"/>
      <c r="QPY369" s="153"/>
      <c r="QPZ369" s="153"/>
      <c r="QQA369" s="648"/>
      <c r="QQB369" s="641"/>
      <c r="QQC369" s="631" t="s">
        <v>90</v>
      </c>
      <c r="QQD369" s="632"/>
      <c r="QQE369" s="16"/>
      <c r="QQF369" s="636">
        <v>2.7</v>
      </c>
      <c r="QQG369" s="636">
        <v>2.7</v>
      </c>
      <c r="QQH369" s="636">
        <v>2.72</v>
      </c>
      <c r="QQI369" s="636">
        <v>2.72</v>
      </c>
      <c r="QQJ369" s="636">
        <v>2.72</v>
      </c>
      <c r="QQK369" s="649">
        <v>2.72</v>
      </c>
      <c r="QQL369" s="16"/>
      <c r="QQM369" s="320">
        <v>2.69</v>
      </c>
      <c r="QQN369" s="153"/>
      <c r="QQO369" s="153"/>
      <c r="QQP369" s="153"/>
      <c r="QQQ369" s="648"/>
      <c r="QQR369" s="641"/>
      <c r="QQS369" s="631" t="s">
        <v>90</v>
      </c>
      <c r="QQT369" s="632"/>
      <c r="QQU369" s="16"/>
      <c r="QQV369" s="636">
        <v>2.7</v>
      </c>
      <c r="QQW369" s="636">
        <v>2.7</v>
      </c>
      <c r="QQX369" s="636">
        <v>2.72</v>
      </c>
      <c r="QQY369" s="636">
        <v>2.72</v>
      </c>
      <c r="QQZ369" s="636">
        <v>2.72</v>
      </c>
      <c r="QRA369" s="649">
        <v>2.72</v>
      </c>
      <c r="QRB369" s="16"/>
      <c r="QRC369" s="320">
        <v>2.69</v>
      </c>
      <c r="QRD369" s="153"/>
      <c r="QRE369" s="153"/>
      <c r="QRF369" s="153"/>
      <c r="QRG369" s="648"/>
      <c r="QRH369" s="641"/>
      <c r="QRI369" s="631" t="s">
        <v>90</v>
      </c>
      <c r="QRJ369" s="632"/>
      <c r="QRK369" s="16"/>
      <c r="QRL369" s="636">
        <v>2.7</v>
      </c>
      <c r="QRM369" s="636">
        <v>2.7</v>
      </c>
      <c r="QRN369" s="636">
        <v>2.72</v>
      </c>
      <c r="QRO369" s="636">
        <v>2.72</v>
      </c>
      <c r="QRP369" s="636">
        <v>2.72</v>
      </c>
      <c r="QRQ369" s="649">
        <v>2.72</v>
      </c>
      <c r="QRR369" s="16"/>
      <c r="QRS369" s="320">
        <v>2.69</v>
      </c>
      <c r="QRT369" s="153"/>
      <c r="QRU369" s="153"/>
      <c r="QRV369" s="153"/>
      <c r="QRW369" s="648"/>
      <c r="QRX369" s="641"/>
      <c r="QRY369" s="631" t="s">
        <v>90</v>
      </c>
      <c r="QRZ369" s="632"/>
      <c r="QSA369" s="16"/>
      <c r="QSB369" s="636">
        <v>2.7</v>
      </c>
      <c r="QSC369" s="636">
        <v>2.7</v>
      </c>
      <c r="QSD369" s="636">
        <v>2.72</v>
      </c>
      <c r="QSE369" s="636">
        <v>2.72</v>
      </c>
      <c r="QSF369" s="636">
        <v>2.72</v>
      </c>
      <c r="QSG369" s="649">
        <v>2.72</v>
      </c>
      <c r="QSH369" s="16"/>
      <c r="QSI369" s="320">
        <v>2.69</v>
      </c>
      <c r="QSJ369" s="153"/>
      <c r="QSK369" s="153"/>
      <c r="QSL369" s="153"/>
      <c r="QSM369" s="648"/>
      <c r="QSN369" s="641"/>
      <c r="QSO369" s="631" t="s">
        <v>90</v>
      </c>
      <c r="QSP369" s="632"/>
      <c r="QSQ369" s="16"/>
      <c r="QSR369" s="636">
        <v>2.7</v>
      </c>
      <c r="QSS369" s="636">
        <v>2.7</v>
      </c>
      <c r="QST369" s="636">
        <v>2.72</v>
      </c>
      <c r="QSU369" s="636">
        <v>2.72</v>
      </c>
      <c r="QSV369" s="636">
        <v>2.72</v>
      </c>
      <c r="QSW369" s="649">
        <v>2.72</v>
      </c>
      <c r="QSX369" s="16"/>
      <c r="QSY369" s="320">
        <v>2.69</v>
      </c>
      <c r="QSZ369" s="153"/>
      <c r="QTA369" s="153"/>
      <c r="QTB369" s="153"/>
      <c r="QTC369" s="648"/>
      <c r="QTD369" s="641"/>
      <c r="QTE369" s="631" t="s">
        <v>90</v>
      </c>
      <c r="QTF369" s="632"/>
      <c r="QTG369" s="16"/>
      <c r="QTH369" s="636">
        <v>2.7</v>
      </c>
      <c r="QTI369" s="636">
        <v>2.7</v>
      </c>
      <c r="QTJ369" s="636">
        <v>2.72</v>
      </c>
      <c r="QTK369" s="636">
        <v>2.72</v>
      </c>
      <c r="QTL369" s="636">
        <v>2.72</v>
      </c>
      <c r="QTM369" s="649">
        <v>2.72</v>
      </c>
      <c r="QTN369" s="16"/>
      <c r="QTO369" s="320">
        <v>2.69</v>
      </c>
      <c r="QTP369" s="153"/>
      <c r="QTQ369" s="153"/>
      <c r="QTR369" s="153"/>
      <c r="QTS369" s="648"/>
      <c r="QTT369" s="641"/>
      <c r="QTU369" s="631" t="s">
        <v>90</v>
      </c>
      <c r="QTV369" s="632"/>
      <c r="QTW369" s="16"/>
      <c r="QTX369" s="636">
        <v>2.7</v>
      </c>
      <c r="QTY369" s="636">
        <v>2.7</v>
      </c>
      <c r="QTZ369" s="636">
        <v>2.72</v>
      </c>
      <c r="QUA369" s="636">
        <v>2.72</v>
      </c>
      <c r="QUB369" s="636">
        <v>2.72</v>
      </c>
      <c r="QUC369" s="649">
        <v>2.72</v>
      </c>
      <c r="QUD369" s="16"/>
      <c r="QUE369" s="320">
        <v>2.69</v>
      </c>
      <c r="QUF369" s="153"/>
      <c r="QUG369" s="153"/>
      <c r="QUH369" s="153"/>
      <c r="QUI369" s="648"/>
      <c r="QUJ369" s="641"/>
      <c r="QUK369" s="631" t="s">
        <v>90</v>
      </c>
      <c r="QUL369" s="632"/>
      <c r="QUM369" s="16"/>
      <c r="QUN369" s="636">
        <v>2.7</v>
      </c>
      <c r="QUO369" s="636">
        <v>2.7</v>
      </c>
      <c r="QUP369" s="636">
        <v>2.72</v>
      </c>
      <c r="QUQ369" s="636">
        <v>2.72</v>
      </c>
      <c r="QUR369" s="636">
        <v>2.72</v>
      </c>
      <c r="QUS369" s="649">
        <v>2.72</v>
      </c>
      <c r="QUT369" s="16"/>
      <c r="QUU369" s="320">
        <v>2.69</v>
      </c>
      <c r="QUV369" s="153"/>
      <c r="QUW369" s="153"/>
      <c r="QUX369" s="153"/>
      <c r="QUY369" s="648"/>
      <c r="QUZ369" s="641"/>
      <c r="QVA369" s="631" t="s">
        <v>90</v>
      </c>
      <c r="QVB369" s="632"/>
      <c r="QVC369" s="16"/>
      <c r="QVD369" s="636">
        <v>2.7</v>
      </c>
      <c r="QVE369" s="636">
        <v>2.7</v>
      </c>
      <c r="QVF369" s="636">
        <v>2.72</v>
      </c>
      <c r="QVG369" s="636">
        <v>2.72</v>
      </c>
      <c r="QVH369" s="636">
        <v>2.72</v>
      </c>
      <c r="QVI369" s="649">
        <v>2.72</v>
      </c>
      <c r="QVJ369" s="16"/>
      <c r="QVK369" s="320">
        <v>2.69</v>
      </c>
      <c r="QVL369" s="153"/>
      <c r="QVM369" s="153"/>
      <c r="QVN369" s="153"/>
      <c r="QVO369" s="648"/>
      <c r="QVP369" s="641"/>
      <c r="QVQ369" s="631" t="s">
        <v>90</v>
      </c>
      <c r="QVR369" s="632"/>
      <c r="QVS369" s="16"/>
      <c r="QVT369" s="636">
        <v>2.7</v>
      </c>
      <c r="QVU369" s="636">
        <v>2.7</v>
      </c>
      <c r="QVV369" s="636">
        <v>2.72</v>
      </c>
      <c r="QVW369" s="636">
        <v>2.72</v>
      </c>
      <c r="QVX369" s="636">
        <v>2.72</v>
      </c>
      <c r="QVY369" s="649">
        <v>2.72</v>
      </c>
      <c r="QVZ369" s="16"/>
      <c r="QWA369" s="320">
        <v>2.69</v>
      </c>
      <c r="QWB369" s="153"/>
      <c r="QWC369" s="153"/>
      <c r="QWD369" s="153"/>
      <c r="QWE369" s="648"/>
      <c r="QWF369" s="641"/>
      <c r="QWG369" s="631" t="s">
        <v>90</v>
      </c>
      <c r="QWH369" s="632"/>
      <c r="QWI369" s="16"/>
      <c r="QWJ369" s="636">
        <v>2.7</v>
      </c>
      <c r="QWK369" s="636">
        <v>2.7</v>
      </c>
      <c r="QWL369" s="636">
        <v>2.72</v>
      </c>
      <c r="QWM369" s="636">
        <v>2.72</v>
      </c>
      <c r="QWN369" s="636">
        <v>2.72</v>
      </c>
      <c r="QWO369" s="649">
        <v>2.72</v>
      </c>
      <c r="QWP369" s="16"/>
      <c r="QWQ369" s="320">
        <v>2.69</v>
      </c>
      <c r="QWR369" s="153"/>
      <c r="QWS369" s="153"/>
      <c r="QWT369" s="153"/>
      <c r="QWU369" s="648"/>
      <c r="QWV369" s="641"/>
      <c r="QWW369" s="631" t="s">
        <v>90</v>
      </c>
      <c r="QWX369" s="632"/>
      <c r="QWY369" s="16"/>
      <c r="QWZ369" s="636">
        <v>2.7</v>
      </c>
      <c r="QXA369" s="636">
        <v>2.7</v>
      </c>
      <c r="QXB369" s="636">
        <v>2.72</v>
      </c>
      <c r="QXC369" s="636">
        <v>2.72</v>
      </c>
      <c r="QXD369" s="636">
        <v>2.72</v>
      </c>
      <c r="QXE369" s="649">
        <v>2.72</v>
      </c>
      <c r="QXF369" s="16"/>
      <c r="QXG369" s="320">
        <v>2.69</v>
      </c>
      <c r="QXH369" s="153"/>
      <c r="QXI369" s="153"/>
      <c r="QXJ369" s="153"/>
      <c r="QXK369" s="648"/>
      <c r="QXL369" s="641"/>
      <c r="QXM369" s="631" t="s">
        <v>90</v>
      </c>
      <c r="QXN369" s="632"/>
      <c r="QXO369" s="16"/>
      <c r="QXP369" s="636">
        <v>2.7</v>
      </c>
      <c r="QXQ369" s="636">
        <v>2.7</v>
      </c>
      <c r="QXR369" s="636">
        <v>2.72</v>
      </c>
      <c r="QXS369" s="636">
        <v>2.72</v>
      </c>
      <c r="QXT369" s="636">
        <v>2.72</v>
      </c>
      <c r="QXU369" s="649">
        <v>2.72</v>
      </c>
      <c r="QXV369" s="16"/>
      <c r="QXW369" s="320">
        <v>2.69</v>
      </c>
      <c r="QXX369" s="153"/>
      <c r="QXY369" s="153"/>
      <c r="QXZ369" s="153"/>
      <c r="QYA369" s="648"/>
      <c r="QYB369" s="641"/>
      <c r="QYC369" s="631" t="s">
        <v>90</v>
      </c>
      <c r="QYD369" s="632"/>
      <c r="QYE369" s="16"/>
      <c r="QYF369" s="636">
        <v>2.7</v>
      </c>
      <c r="QYG369" s="636">
        <v>2.7</v>
      </c>
      <c r="QYH369" s="636">
        <v>2.72</v>
      </c>
      <c r="QYI369" s="636">
        <v>2.72</v>
      </c>
      <c r="QYJ369" s="636">
        <v>2.72</v>
      </c>
      <c r="QYK369" s="649">
        <v>2.72</v>
      </c>
      <c r="QYL369" s="16"/>
      <c r="QYM369" s="320">
        <v>2.69</v>
      </c>
      <c r="QYN369" s="153"/>
      <c r="QYO369" s="153"/>
      <c r="QYP369" s="153"/>
      <c r="QYQ369" s="648"/>
      <c r="QYR369" s="641"/>
      <c r="QYS369" s="631" t="s">
        <v>90</v>
      </c>
      <c r="QYT369" s="632"/>
      <c r="QYU369" s="16"/>
      <c r="QYV369" s="636">
        <v>2.7</v>
      </c>
      <c r="QYW369" s="636">
        <v>2.7</v>
      </c>
      <c r="QYX369" s="636">
        <v>2.72</v>
      </c>
      <c r="QYY369" s="636">
        <v>2.72</v>
      </c>
      <c r="QYZ369" s="636">
        <v>2.72</v>
      </c>
      <c r="QZA369" s="649">
        <v>2.72</v>
      </c>
      <c r="QZB369" s="16"/>
      <c r="QZC369" s="320">
        <v>2.69</v>
      </c>
      <c r="QZD369" s="153"/>
      <c r="QZE369" s="153"/>
      <c r="QZF369" s="153"/>
      <c r="QZG369" s="648"/>
      <c r="QZH369" s="641"/>
      <c r="QZI369" s="631" t="s">
        <v>90</v>
      </c>
      <c r="QZJ369" s="632"/>
      <c r="QZK369" s="16"/>
      <c r="QZL369" s="636">
        <v>2.7</v>
      </c>
      <c r="QZM369" s="636">
        <v>2.7</v>
      </c>
      <c r="QZN369" s="636">
        <v>2.72</v>
      </c>
      <c r="QZO369" s="636">
        <v>2.72</v>
      </c>
      <c r="QZP369" s="636">
        <v>2.72</v>
      </c>
      <c r="QZQ369" s="649">
        <v>2.72</v>
      </c>
      <c r="QZR369" s="16"/>
      <c r="QZS369" s="320">
        <v>2.69</v>
      </c>
      <c r="QZT369" s="153"/>
      <c r="QZU369" s="153"/>
      <c r="QZV369" s="153"/>
      <c r="QZW369" s="648"/>
      <c r="QZX369" s="641"/>
      <c r="QZY369" s="631" t="s">
        <v>90</v>
      </c>
      <c r="QZZ369" s="632"/>
      <c r="RAA369" s="16"/>
      <c r="RAB369" s="636">
        <v>2.7</v>
      </c>
      <c r="RAC369" s="636">
        <v>2.7</v>
      </c>
      <c r="RAD369" s="636">
        <v>2.72</v>
      </c>
      <c r="RAE369" s="636">
        <v>2.72</v>
      </c>
      <c r="RAF369" s="636">
        <v>2.72</v>
      </c>
      <c r="RAG369" s="649">
        <v>2.72</v>
      </c>
      <c r="RAH369" s="16"/>
      <c r="RAI369" s="320">
        <v>2.69</v>
      </c>
      <c r="RAJ369" s="153"/>
      <c r="RAK369" s="153"/>
      <c r="RAL369" s="153"/>
      <c r="RAM369" s="648"/>
      <c r="RAN369" s="641"/>
      <c r="RAO369" s="631" t="s">
        <v>90</v>
      </c>
      <c r="RAP369" s="632"/>
      <c r="RAQ369" s="16"/>
      <c r="RAR369" s="636">
        <v>2.7</v>
      </c>
      <c r="RAS369" s="636">
        <v>2.7</v>
      </c>
      <c r="RAT369" s="636">
        <v>2.72</v>
      </c>
      <c r="RAU369" s="636">
        <v>2.72</v>
      </c>
      <c r="RAV369" s="636">
        <v>2.72</v>
      </c>
      <c r="RAW369" s="649">
        <v>2.72</v>
      </c>
      <c r="RAX369" s="16"/>
      <c r="RAY369" s="320">
        <v>2.69</v>
      </c>
      <c r="RAZ369" s="153"/>
      <c r="RBA369" s="153"/>
      <c r="RBB369" s="153"/>
      <c r="RBC369" s="648"/>
      <c r="RBD369" s="641"/>
      <c r="RBE369" s="631" t="s">
        <v>90</v>
      </c>
      <c r="RBF369" s="632"/>
      <c r="RBG369" s="16"/>
      <c r="RBH369" s="636">
        <v>2.7</v>
      </c>
      <c r="RBI369" s="636">
        <v>2.7</v>
      </c>
      <c r="RBJ369" s="636">
        <v>2.72</v>
      </c>
      <c r="RBK369" s="636">
        <v>2.72</v>
      </c>
      <c r="RBL369" s="636">
        <v>2.72</v>
      </c>
      <c r="RBM369" s="649">
        <v>2.72</v>
      </c>
      <c r="RBN369" s="16"/>
      <c r="RBO369" s="320">
        <v>2.69</v>
      </c>
      <c r="RBP369" s="153"/>
      <c r="RBQ369" s="153"/>
      <c r="RBR369" s="153"/>
      <c r="RBS369" s="648"/>
      <c r="RBT369" s="641"/>
      <c r="RBU369" s="631" t="s">
        <v>90</v>
      </c>
      <c r="RBV369" s="632"/>
      <c r="RBW369" s="16"/>
      <c r="RBX369" s="636">
        <v>2.7</v>
      </c>
      <c r="RBY369" s="636">
        <v>2.7</v>
      </c>
      <c r="RBZ369" s="636">
        <v>2.72</v>
      </c>
      <c r="RCA369" s="636">
        <v>2.72</v>
      </c>
      <c r="RCB369" s="636">
        <v>2.72</v>
      </c>
      <c r="RCC369" s="649">
        <v>2.72</v>
      </c>
      <c r="RCD369" s="16"/>
      <c r="RCE369" s="320">
        <v>2.69</v>
      </c>
      <c r="RCF369" s="153"/>
      <c r="RCG369" s="153"/>
      <c r="RCH369" s="153"/>
      <c r="RCI369" s="648"/>
      <c r="RCJ369" s="641"/>
      <c r="RCK369" s="631" t="s">
        <v>90</v>
      </c>
      <c r="RCL369" s="632"/>
      <c r="RCM369" s="16"/>
      <c r="RCN369" s="636">
        <v>2.7</v>
      </c>
      <c r="RCO369" s="636">
        <v>2.7</v>
      </c>
      <c r="RCP369" s="636">
        <v>2.72</v>
      </c>
      <c r="RCQ369" s="636">
        <v>2.72</v>
      </c>
      <c r="RCR369" s="636">
        <v>2.72</v>
      </c>
      <c r="RCS369" s="649">
        <v>2.72</v>
      </c>
      <c r="RCT369" s="16"/>
      <c r="RCU369" s="320">
        <v>2.69</v>
      </c>
      <c r="RCV369" s="153"/>
      <c r="RCW369" s="153"/>
      <c r="RCX369" s="153"/>
      <c r="RCY369" s="648"/>
      <c r="RCZ369" s="641"/>
      <c r="RDA369" s="631" t="s">
        <v>90</v>
      </c>
      <c r="RDB369" s="632"/>
      <c r="RDC369" s="16"/>
      <c r="RDD369" s="636">
        <v>2.7</v>
      </c>
      <c r="RDE369" s="636">
        <v>2.7</v>
      </c>
      <c r="RDF369" s="636">
        <v>2.72</v>
      </c>
      <c r="RDG369" s="636">
        <v>2.72</v>
      </c>
      <c r="RDH369" s="636">
        <v>2.72</v>
      </c>
      <c r="RDI369" s="649">
        <v>2.72</v>
      </c>
      <c r="RDJ369" s="16"/>
      <c r="RDK369" s="320">
        <v>2.69</v>
      </c>
      <c r="RDL369" s="153"/>
      <c r="RDM369" s="153"/>
      <c r="RDN369" s="153"/>
      <c r="RDO369" s="648"/>
      <c r="RDP369" s="641"/>
      <c r="RDQ369" s="631" t="s">
        <v>90</v>
      </c>
      <c r="RDR369" s="632"/>
      <c r="RDS369" s="16"/>
      <c r="RDT369" s="636">
        <v>2.7</v>
      </c>
      <c r="RDU369" s="636">
        <v>2.7</v>
      </c>
      <c r="RDV369" s="636">
        <v>2.72</v>
      </c>
      <c r="RDW369" s="636">
        <v>2.72</v>
      </c>
      <c r="RDX369" s="636">
        <v>2.72</v>
      </c>
      <c r="RDY369" s="649">
        <v>2.72</v>
      </c>
      <c r="RDZ369" s="16"/>
      <c r="REA369" s="320">
        <v>2.69</v>
      </c>
      <c r="REB369" s="153"/>
      <c r="REC369" s="153"/>
      <c r="RED369" s="153"/>
      <c r="REE369" s="648"/>
      <c r="REF369" s="641"/>
      <c r="REG369" s="631" t="s">
        <v>90</v>
      </c>
      <c r="REH369" s="632"/>
      <c r="REI369" s="16"/>
      <c r="REJ369" s="636">
        <v>2.7</v>
      </c>
      <c r="REK369" s="636">
        <v>2.7</v>
      </c>
      <c r="REL369" s="636">
        <v>2.72</v>
      </c>
      <c r="REM369" s="636">
        <v>2.72</v>
      </c>
      <c r="REN369" s="636">
        <v>2.72</v>
      </c>
      <c r="REO369" s="649">
        <v>2.72</v>
      </c>
      <c r="REP369" s="16"/>
      <c r="REQ369" s="320">
        <v>2.69</v>
      </c>
      <c r="RER369" s="153"/>
      <c r="RES369" s="153"/>
      <c r="RET369" s="153"/>
      <c r="REU369" s="648"/>
      <c r="REV369" s="641"/>
      <c r="REW369" s="631" t="s">
        <v>90</v>
      </c>
      <c r="REX369" s="632"/>
      <c r="REY369" s="16"/>
      <c r="REZ369" s="636">
        <v>2.7</v>
      </c>
      <c r="RFA369" s="636">
        <v>2.7</v>
      </c>
      <c r="RFB369" s="636">
        <v>2.72</v>
      </c>
      <c r="RFC369" s="636">
        <v>2.72</v>
      </c>
      <c r="RFD369" s="636">
        <v>2.72</v>
      </c>
      <c r="RFE369" s="649">
        <v>2.72</v>
      </c>
      <c r="RFF369" s="16"/>
      <c r="RFG369" s="320">
        <v>2.69</v>
      </c>
      <c r="RFH369" s="153"/>
      <c r="RFI369" s="153"/>
      <c r="RFJ369" s="153"/>
      <c r="RFK369" s="648"/>
      <c r="RFL369" s="641"/>
      <c r="RFM369" s="631" t="s">
        <v>90</v>
      </c>
      <c r="RFN369" s="632"/>
      <c r="RFO369" s="16"/>
      <c r="RFP369" s="636">
        <v>2.7</v>
      </c>
      <c r="RFQ369" s="636">
        <v>2.7</v>
      </c>
      <c r="RFR369" s="636">
        <v>2.72</v>
      </c>
      <c r="RFS369" s="636">
        <v>2.72</v>
      </c>
      <c r="RFT369" s="636">
        <v>2.72</v>
      </c>
      <c r="RFU369" s="649">
        <v>2.72</v>
      </c>
      <c r="RFV369" s="16"/>
      <c r="RFW369" s="320">
        <v>2.69</v>
      </c>
      <c r="RFX369" s="153"/>
      <c r="RFY369" s="153"/>
      <c r="RFZ369" s="153"/>
      <c r="RGA369" s="648"/>
      <c r="RGB369" s="641"/>
      <c r="RGC369" s="631" t="s">
        <v>90</v>
      </c>
      <c r="RGD369" s="632"/>
      <c r="RGE369" s="16"/>
      <c r="RGF369" s="636">
        <v>2.7</v>
      </c>
      <c r="RGG369" s="636">
        <v>2.7</v>
      </c>
      <c r="RGH369" s="636">
        <v>2.72</v>
      </c>
      <c r="RGI369" s="636">
        <v>2.72</v>
      </c>
      <c r="RGJ369" s="636">
        <v>2.72</v>
      </c>
      <c r="RGK369" s="649">
        <v>2.72</v>
      </c>
      <c r="RGL369" s="16"/>
      <c r="RGM369" s="320">
        <v>2.69</v>
      </c>
      <c r="RGN369" s="153"/>
      <c r="RGO369" s="153"/>
      <c r="RGP369" s="153"/>
      <c r="RGQ369" s="648"/>
      <c r="RGR369" s="641"/>
      <c r="RGS369" s="631" t="s">
        <v>90</v>
      </c>
      <c r="RGT369" s="632"/>
      <c r="RGU369" s="16"/>
      <c r="RGV369" s="636">
        <v>2.7</v>
      </c>
      <c r="RGW369" s="636">
        <v>2.7</v>
      </c>
      <c r="RGX369" s="636">
        <v>2.72</v>
      </c>
      <c r="RGY369" s="636">
        <v>2.72</v>
      </c>
      <c r="RGZ369" s="636">
        <v>2.72</v>
      </c>
      <c r="RHA369" s="649">
        <v>2.72</v>
      </c>
      <c r="RHB369" s="16"/>
      <c r="RHC369" s="320">
        <v>2.69</v>
      </c>
      <c r="RHD369" s="153"/>
      <c r="RHE369" s="153"/>
      <c r="RHF369" s="153"/>
      <c r="RHG369" s="648"/>
      <c r="RHH369" s="641"/>
      <c r="RHI369" s="631" t="s">
        <v>90</v>
      </c>
      <c r="RHJ369" s="632"/>
      <c r="RHK369" s="16"/>
      <c r="RHL369" s="636">
        <v>2.7</v>
      </c>
      <c r="RHM369" s="636">
        <v>2.7</v>
      </c>
      <c r="RHN369" s="636">
        <v>2.72</v>
      </c>
      <c r="RHO369" s="636">
        <v>2.72</v>
      </c>
      <c r="RHP369" s="636">
        <v>2.72</v>
      </c>
      <c r="RHQ369" s="649">
        <v>2.72</v>
      </c>
      <c r="RHR369" s="16"/>
      <c r="RHS369" s="320">
        <v>2.69</v>
      </c>
      <c r="RHT369" s="153"/>
      <c r="RHU369" s="153"/>
      <c r="RHV369" s="153"/>
      <c r="RHW369" s="648"/>
      <c r="RHX369" s="641"/>
      <c r="RHY369" s="631" t="s">
        <v>90</v>
      </c>
      <c r="RHZ369" s="632"/>
      <c r="RIA369" s="16"/>
      <c r="RIB369" s="636">
        <v>2.7</v>
      </c>
      <c r="RIC369" s="636">
        <v>2.7</v>
      </c>
      <c r="RID369" s="636">
        <v>2.72</v>
      </c>
      <c r="RIE369" s="636">
        <v>2.72</v>
      </c>
      <c r="RIF369" s="636">
        <v>2.72</v>
      </c>
      <c r="RIG369" s="649">
        <v>2.72</v>
      </c>
      <c r="RIH369" s="16"/>
      <c r="RII369" s="320">
        <v>2.69</v>
      </c>
      <c r="RIJ369" s="153"/>
      <c r="RIK369" s="153"/>
      <c r="RIL369" s="153"/>
      <c r="RIM369" s="648"/>
      <c r="RIN369" s="641"/>
      <c r="RIO369" s="631" t="s">
        <v>90</v>
      </c>
      <c r="RIP369" s="632"/>
      <c r="RIQ369" s="16"/>
      <c r="RIR369" s="636">
        <v>2.7</v>
      </c>
      <c r="RIS369" s="636">
        <v>2.7</v>
      </c>
      <c r="RIT369" s="636">
        <v>2.72</v>
      </c>
      <c r="RIU369" s="636">
        <v>2.72</v>
      </c>
      <c r="RIV369" s="636">
        <v>2.72</v>
      </c>
      <c r="RIW369" s="649">
        <v>2.72</v>
      </c>
      <c r="RIX369" s="16"/>
      <c r="RIY369" s="320">
        <v>2.69</v>
      </c>
      <c r="RIZ369" s="153"/>
      <c r="RJA369" s="153"/>
      <c r="RJB369" s="153"/>
      <c r="RJC369" s="648"/>
      <c r="RJD369" s="641"/>
      <c r="RJE369" s="631" t="s">
        <v>90</v>
      </c>
      <c r="RJF369" s="632"/>
      <c r="RJG369" s="16"/>
      <c r="RJH369" s="636">
        <v>2.7</v>
      </c>
      <c r="RJI369" s="636">
        <v>2.7</v>
      </c>
      <c r="RJJ369" s="636">
        <v>2.72</v>
      </c>
      <c r="RJK369" s="636">
        <v>2.72</v>
      </c>
      <c r="RJL369" s="636">
        <v>2.72</v>
      </c>
      <c r="RJM369" s="649">
        <v>2.72</v>
      </c>
      <c r="RJN369" s="16"/>
      <c r="RJO369" s="320">
        <v>2.69</v>
      </c>
      <c r="RJP369" s="153"/>
      <c r="RJQ369" s="153"/>
      <c r="RJR369" s="153"/>
      <c r="RJS369" s="648"/>
      <c r="RJT369" s="641"/>
      <c r="RJU369" s="631" t="s">
        <v>90</v>
      </c>
      <c r="RJV369" s="632"/>
      <c r="RJW369" s="16"/>
      <c r="RJX369" s="636">
        <v>2.7</v>
      </c>
      <c r="RJY369" s="636">
        <v>2.7</v>
      </c>
      <c r="RJZ369" s="636">
        <v>2.72</v>
      </c>
      <c r="RKA369" s="636">
        <v>2.72</v>
      </c>
      <c r="RKB369" s="636">
        <v>2.72</v>
      </c>
      <c r="RKC369" s="649">
        <v>2.72</v>
      </c>
      <c r="RKD369" s="16"/>
      <c r="RKE369" s="320">
        <v>2.69</v>
      </c>
      <c r="RKF369" s="153"/>
      <c r="RKG369" s="153"/>
      <c r="RKH369" s="153"/>
      <c r="RKI369" s="648"/>
      <c r="RKJ369" s="641"/>
      <c r="RKK369" s="631" t="s">
        <v>90</v>
      </c>
      <c r="RKL369" s="632"/>
      <c r="RKM369" s="16"/>
      <c r="RKN369" s="636">
        <v>2.7</v>
      </c>
      <c r="RKO369" s="636">
        <v>2.7</v>
      </c>
      <c r="RKP369" s="636">
        <v>2.72</v>
      </c>
      <c r="RKQ369" s="636">
        <v>2.72</v>
      </c>
      <c r="RKR369" s="636">
        <v>2.72</v>
      </c>
      <c r="RKS369" s="649">
        <v>2.72</v>
      </c>
      <c r="RKT369" s="16"/>
      <c r="RKU369" s="320">
        <v>2.69</v>
      </c>
      <c r="RKV369" s="153"/>
      <c r="RKW369" s="153"/>
      <c r="RKX369" s="153"/>
      <c r="RKY369" s="648"/>
      <c r="RKZ369" s="641"/>
      <c r="RLA369" s="631" t="s">
        <v>90</v>
      </c>
      <c r="RLB369" s="632"/>
      <c r="RLC369" s="16"/>
      <c r="RLD369" s="636">
        <v>2.7</v>
      </c>
      <c r="RLE369" s="636">
        <v>2.7</v>
      </c>
      <c r="RLF369" s="636">
        <v>2.72</v>
      </c>
      <c r="RLG369" s="636">
        <v>2.72</v>
      </c>
      <c r="RLH369" s="636">
        <v>2.72</v>
      </c>
      <c r="RLI369" s="649">
        <v>2.72</v>
      </c>
      <c r="RLJ369" s="16"/>
      <c r="RLK369" s="320">
        <v>2.69</v>
      </c>
      <c r="RLL369" s="153"/>
      <c r="RLM369" s="153"/>
      <c r="RLN369" s="153"/>
      <c r="RLO369" s="648"/>
      <c r="RLP369" s="641"/>
      <c r="RLQ369" s="631" t="s">
        <v>90</v>
      </c>
      <c r="RLR369" s="632"/>
      <c r="RLS369" s="16"/>
      <c r="RLT369" s="636">
        <v>2.7</v>
      </c>
      <c r="RLU369" s="636">
        <v>2.7</v>
      </c>
      <c r="RLV369" s="636">
        <v>2.72</v>
      </c>
      <c r="RLW369" s="636">
        <v>2.72</v>
      </c>
      <c r="RLX369" s="636">
        <v>2.72</v>
      </c>
      <c r="RLY369" s="649">
        <v>2.72</v>
      </c>
      <c r="RLZ369" s="16"/>
      <c r="RMA369" s="320">
        <v>2.69</v>
      </c>
      <c r="RMB369" s="153"/>
      <c r="RMC369" s="153"/>
      <c r="RMD369" s="153"/>
      <c r="RME369" s="648"/>
      <c r="RMF369" s="641"/>
      <c r="RMG369" s="631" t="s">
        <v>90</v>
      </c>
      <c r="RMH369" s="632"/>
      <c r="RMI369" s="16"/>
      <c r="RMJ369" s="636">
        <v>2.7</v>
      </c>
      <c r="RMK369" s="636">
        <v>2.7</v>
      </c>
      <c r="RML369" s="636">
        <v>2.72</v>
      </c>
      <c r="RMM369" s="636">
        <v>2.72</v>
      </c>
      <c r="RMN369" s="636">
        <v>2.72</v>
      </c>
      <c r="RMO369" s="649">
        <v>2.72</v>
      </c>
      <c r="RMP369" s="16"/>
      <c r="RMQ369" s="320">
        <v>2.69</v>
      </c>
      <c r="RMR369" s="153"/>
      <c r="RMS369" s="153"/>
      <c r="RMT369" s="153"/>
      <c r="RMU369" s="648"/>
      <c r="RMV369" s="641"/>
      <c r="RMW369" s="631" t="s">
        <v>90</v>
      </c>
      <c r="RMX369" s="632"/>
      <c r="RMY369" s="16"/>
      <c r="RMZ369" s="636">
        <v>2.7</v>
      </c>
      <c r="RNA369" s="636">
        <v>2.7</v>
      </c>
      <c r="RNB369" s="636">
        <v>2.72</v>
      </c>
      <c r="RNC369" s="636">
        <v>2.72</v>
      </c>
      <c r="RND369" s="636">
        <v>2.72</v>
      </c>
      <c r="RNE369" s="649">
        <v>2.72</v>
      </c>
      <c r="RNF369" s="16"/>
      <c r="RNG369" s="320">
        <v>2.69</v>
      </c>
      <c r="RNH369" s="153"/>
      <c r="RNI369" s="153"/>
      <c r="RNJ369" s="153"/>
      <c r="RNK369" s="648"/>
      <c r="RNL369" s="641"/>
      <c r="RNM369" s="631" t="s">
        <v>90</v>
      </c>
      <c r="RNN369" s="632"/>
      <c r="RNO369" s="16"/>
      <c r="RNP369" s="636">
        <v>2.7</v>
      </c>
      <c r="RNQ369" s="636">
        <v>2.7</v>
      </c>
      <c r="RNR369" s="636">
        <v>2.72</v>
      </c>
      <c r="RNS369" s="636">
        <v>2.72</v>
      </c>
      <c r="RNT369" s="636">
        <v>2.72</v>
      </c>
      <c r="RNU369" s="649">
        <v>2.72</v>
      </c>
      <c r="RNV369" s="16"/>
      <c r="RNW369" s="320">
        <v>2.69</v>
      </c>
      <c r="RNX369" s="153"/>
      <c r="RNY369" s="153"/>
      <c r="RNZ369" s="153"/>
      <c r="ROA369" s="648"/>
      <c r="ROB369" s="641"/>
      <c r="ROC369" s="631" t="s">
        <v>90</v>
      </c>
      <c r="ROD369" s="632"/>
      <c r="ROE369" s="16"/>
      <c r="ROF369" s="636">
        <v>2.7</v>
      </c>
      <c r="ROG369" s="636">
        <v>2.7</v>
      </c>
      <c r="ROH369" s="636">
        <v>2.72</v>
      </c>
      <c r="ROI369" s="636">
        <v>2.72</v>
      </c>
      <c r="ROJ369" s="636">
        <v>2.72</v>
      </c>
      <c r="ROK369" s="649">
        <v>2.72</v>
      </c>
      <c r="ROL369" s="16"/>
      <c r="ROM369" s="320">
        <v>2.69</v>
      </c>
      <c r="RON369" s="153"/>
      <c r="ROO369" s="153"/>
      <c r="ROP369" s="153"/>
      <c r="ROQ369" s="648"/>
      <c r="ROR369" s="641"/>
      <c r="ROS369" s="631" t="s">
        <v>90</v>
      </c>
      <c r="ROT369" s="632"/>
      <c r="ROU369" s="16"/>
      <c r="ROV369" s="636">
        <v>2.7</v>
      </c>
      <c r="ROW369" s="636">
        <v>2.7</v>
      </c>
      <c r="ROX369" s="636">
        <v>2.72</v>
      </c>
      <c r="ROY369" s="636">
        <v>2.72</v>
      </c>
      <c r="ROZ369" s="636">
        <v>2.72</v>
      </c>
      <c r="RPA369" s="649">
        <v>2.72</v>
      </c>
      <c r="RPB369" s="16"/>
      <c r="RPC369" s="320">
        <v>2.69</v>
      </c>
      <c r="RPD369" s="153"/>
      <c r="RPE369" s="153"/>
      <c r="RPF369" s="153"/>
      <c r="RPG369" s="648"/>
      <c r="RPH369" s="641"/>
      <c r="RPI369" s="631" t="s">
        <v>90</v>
      </c>
      <c r="RPJ369" s="632"/>
      <c r="RPK369" s="16"/>
      <c r="RPL369" s="636">
        <v>2.7</v>
      </c>
      <c r="RPM369" s="636">
        <v>2.7</v>
      </c>
      <c r="RPN369" s="636">
        <v>2.72</v>
      </c>
      <c r="RPO369" s="636">
        <v>2.72</v>
      </c>
      <c r="RPP369" s="636">
        <v>2.72</v>
      </c>
      <c r="RPQ369" s="649">
        <v>2.72</v>
      </c>
      <c r="RPR369" s="16"/>
      <c r="RPS369" s="320">
        <v>2.69</v>
      </c>
      <c r="RPT369" s="153"/>
      <c r="RPU369" s="153"/>
      <c r="RPV369" s="153"/>
      <c r="RPW369" s="648"/>
      <c r="RPX369" s="641"/>
      <c r="RPY369" s="631" t="s">
        <v>90</v>
      </c>
      <c r="RPZ369" s="632"/>
      <c r="RQA369" s="16"/>
      <c r="RQB369" s="636">
        <v>2.7</v>
      </c>
      <c r="RQC369" s="636">
        <v>2.7</v>
      </c>
      <c r="RQD369" s="636">
        <v>2.72</v>
      </c>
      <c r="RQE369" s="636">
        <v>2.72</v>
      </c>
      <c r="RQF369" s="636">
        <v>2.72</v>
      </c>
      <c r="RQG369" s="649">
        <v>2.72</v>
      </c>
      <c r="RQH369" s="16"/>
      <c r="RQI369" s="320">
        <v>2.69</v>
      </c>
      <c r="RQJ369" s="153"/>
      <c r="RQK369" s="153"/>
      <c r="RQL369" s="153"/>
      <c r="RQM369" s="648"/>
      <c r="RQN369" s="641"/>
      <c r="RQO369" s="631" t="s">
        <v>90</v>
      </c>
      <c r="RQP369" s="632"/>
      <c r="RQQ369" s="16"/>
      <c r="RQR369" s="636">
        <v>2.7</v>
      </c>
      <c r="RQS369" s="636">
        <v>2.7</v>
      </c>
      <c r="RQT369" s="636">
        <v>2.72</v>
      </c>
      <c r="RQU369" s="636">
        <v>2.72</v>
      </c>
      <c r="RQV369" s="636">
        <v>2.72</v>
      </c>
      <c r="RQW369" s="649">
        <v>2.72</v>
      </c>
      <c r="RQX369" s="16"/>
      <c r="RQY369" s="320">
        <v>2.69</v>
      </c>
      <c r="RQZ369" s="153"/>
      <c r="RRA369" s="153"/>
      <c r="RRB369" s="153"/>
      <c r="RRC369" s="648"/>
      <c r="RRD369" s="641"/>
      <c r="RRE369" s="631" t="s">
        <v>90</v>
      </c>
      <c r="RRF369" s="632"/>
      <c r="RRG369" s="16"/>
      <c r="RRH369" s="636">
        <v>2.7</v>
      </c>
      <c r="RRI369" s="636">
        <v>2.7</v>
      </c>
      <c r="RRJ369" s="636">
        <v>2.72</v>
      </c>
      <c r="RRK369" s="636">
        <v>2.72</v>
      </c>
      <c r="RRL369" s="636">
        <v>2.72</v>
      </c>
      <c r="RRM369" s="649">
        <v>2.72</v>
      </c>
      <c r="RRN369" s="16"/>
      <c r="RRO369" s="320">
        <v>2.69</v>
      </c>
      <c r="RRP369" s="153"/>
      <c r="RRQ369" s="153"/>
      <c r="RRR369" s="153"/>
      <c r="RRS369" s="648"/>
      <c r="RRT369" s="641"/>
      <c r="RRU369" s="631" t="s">
        <v>90</v>
      </c>
      <c r="RRV369" s="632"/>
      <c r="RRW369" s="16"/>
      <c r="RRX369" s="636">
        <v>2.7</v>
      </c>
      <c r="RRY369" s="636">
        <v>2.7</v>
      </c>
      <c r="RRZ369" s="636">
        <v>2.72</v>
      </c>
      <c r="RSA369" s="636">
        <v>2.72</v>
      </c>
      <c r="RSB369" s="636">
        <v>2.72</v>
      </c>
      <c r="RSC369" s="649">
        <v>2.72</v>
      </c>
      <c r="RSD369" s="16"/>
      <c r="RSE369" s="320">
        <v>2.69</v>
      </c>
      <c r="RSF369" s="153"/>
      <c r="RSG369" s="153"/>
      <c r="RSH369" s="153"/>
      <c r="RSI369" s="648"/>
      <c r="RSJ369" s="641"/>
      <c r="RSK369" s="631" t="s">
        <v>90</v>
      </c>
      <c r="RSL369" s="632"/>
      <c r="RSM369" s="16"/>
      <c r="RSN369" s="636">
        <v>2.7</v>
      </c>
      <c r="RSO369" s="636">
        <v>2.7</v>
      </c>
      <c r="RSP369" s="636">
        <v>2.72</v>
      </c>
      <c r="RSQ369" s="636">
        <v>2.72</v>
      </c>
      <c r="RSR369" s="636">
        <v>2.72</v>
      </c>
      <c r="RSS369" s="649">
        <v>2.72</v>
      </c>
      <c r="RST369" s="16"/>
      <c r="RSU369" s="320">
        <v>2.69</v>
      </c>
      <c r="RSV369" s="153"/>
      <c r="RSW369" s="153"/>
      <c r="RSX369" s="153"/>
      <c r="RSY369" s="648"/>
      <c r="RSZ369" s="641"/>
      <c r="RTA369" s="631" t="s">
        <v>90</v>
      </c>
      <c r="RTB369" s="632"/>
      <c r="RTC369" s="16"/>
      <c r="RTD369" s="636">
        <v>2.7</v>
      </c>
      <c r="RTE369" s="636">
        <v>2.7</v>
      </c>
      <c r="RTF369" s="636">
        <v>2.72</v>
      </c>
      <c r="RTG369" s="636">
        <v>2.72</v>
      </c>
      <c r="RTH369" s="636">
        <v>2.72</v>
      </c>
      <c r="RTI369" s="649">
        <v>2.72</v>
      </c>
      <c r="RTJ369" s="16"/>
      <c r="RTK369" s="320">
        <v>2.69</v>
      </c>
      <c r="RTL369" s="153"/>
      <c r="RTM369" s="153"/>
      <c r="RTN369" s="153"/>
      <c r="RTO369" s="648"/>
      <c r="RTP369" s="641"/>
      <c r="RTQ369" s="631" t="s">
        <v>90</v>
      </c>
      <c r="RTR369" s="632"/>
      <c r="RTS369" s="16"/>
      <c r="RTT369" s="636">
        <v>2.7</v>
      </c>
      <c r="RTU369" s="636">
        <v>2.7</v>
      </c>
      <c r="RTV369" s="636">
        <v>2.72</v>
      </c>
      <c r="RTW369" s="636">
        <v>2.72</v>
      </c>
      <c r="RTX369" s="636">
        <v>2.72</v>
      </c>
      <c r="RTY369" s="649">
        <v>2.72</v>
      </c>
      <c r="RTZ369" s="16"/>
      <c r="RUA369" s="320">
        <v>2.69</v>
      </c>
      <c r="RUB369" s="153"/>
      <c r="RUC369" s="153"/>
      <c r="RUD369" s="153"/>
      <c r="RUE369" s="648"/>
      <c r="RUF369" s="641"/>
      <c r="RUG369" s="631" t="s">
        <v>90</v>
      </c>
      <c r="RUH369" s="632"/>
      <c r="RUI369" s="16"/>
      <c r="RUJ369" s="636">
        <v>2.7</v>
      </c>
      <c r="RUK369" s="636">
        <v>2.7</v>
      </c>
      <c r="RUL369" s="636">
        <v>2.72</v>
      </c>
      <c r="RUM369" s="636">
        <v>2.72</v>
      </c>
      <c r="RUN369" s="636">
        <v>2.72</v>
      </c>
      <c r="RUO369" s="649">
        <v>2.72</v>
      </c>
      <c r="RUP369" s="16"/>
      <c r="RUQ369" s="320">
        <v>2.69</v>
      </c>
      <c r="RUR369" s="153"/>
      <c r="RUS369" s="153"/>
      <c r="RUT369" s="153"/>
      <c r="RUU369" s="648"/>
      <c r="RUV369" s="641"/>
      <c r="RUW369" s="631" t="s">
        <v>90</v>
      </c>
      <c r="RUX369" s="632"/>
      <c r="RUY369" s="16"/>
      <c r="RUZ369" s="636">
        <v>2.7</v>
      </c>
      <c r="RVA369" s="636">
        <v>2.7</v>
      </c>
      <c r="RVB369" s="636">
        <v>2.72</v>
      </c>
      <c r="RVC369" s="636">
        <v>2.72</v>
      </c>
      <c r="RVD369" s="636">
        <v>2.72</v>
      </c>
      <c r="RVE369" s="649">
        <v>2.72</v>
      </c>
      <c r="RVF369" s="16"/>
      <c r="RVG369" s="320">
        <v>2.69</v>
      </c>
      <c r="RVH369" s="153"/>
      <c r="RVI369" s="153"/>
      <c r="RVJ369" s="153"/>
      <c r="RVK369" s="648"/>
      <c r="RVL369" s="641"/>
      <c r="RVM369" s="631" t="s">
        <v>90</v>
      </c>
      <c r="RVN369" s="632"/>
      <c r="RVO369" s="16"/>
      <c r="RVP369" s="636">
        <v>2.7</v>
      </c>
      <c r="RVQ369" s="636">
        <v>2.7</v>
      </c>
      <c r="RVR369" s="636">
        <v>2.72</v>
      </c>
      <c r="RVS369" s="636">
        <v>2.72</v>
      </c>
      <c r="RVT369" s="636">
        <v>2.72</v>
      </c>
      <c r="RVU369" s="649">
        <v>2.72</v>
      </c>
      <c r="RVV369" s="16"/>
      <c r="RVW369" s="320">
        <v>2.69</v>
      </c>
      <c r="RVX369" s="153"/>
      <c r="RVY369" s="153"/>
      <c r="RVZ369" s="153"/>
      <c r="RWA369" s="648"/>
      <c r="RWB369" s="641"/>
      <c r="RWC369" s="631" t="s">
        <v>90</v>
      </c>
      <c r="RWD369" s="632"/>
      <c r="RWE369" s="16"/>
      <c r="RWF369" s="636">
        <v>2.7</v>
      </c>
      <c r="RWG369" s="636">
        <v>2.7</v>
      </c>
      <c r="RWH369" s="636">
        <v>2.72</v>
      </c>
      <c r="RWI369" s="636">
        <v>2.72</v>
      </c>
      <c r="RWJ369" s="636">
        <v>2.72</v>
      </c>
      <c r="RWK369" s="649">
        <v>2.72</v>
      </c>
      <c r="RWL369" s="16"/>
      <c r="RWM369" s="320">
        <v>2.69</v>
      </c>
      <c r="RWN369" s="153"/>
      <c r="RWO369" s="153"/>
      <c r="RWP369" s="153"/>
      <c r="RWQ369" s="648"/>
      <c r="RWR369" s="641"/>
      <c r="RWS369" s="631" t="s">
        <v>90</v>
      </c>
      <c r="RWT369" s="632"/>
      <c r="RWU369" s="16"/>
      <c r="RWV369" s="636">
        <v>2.7</v>
      </c>
      <c r="RWW369" s="636">
        <v>2.7</v>
      </c>
      <c r="RWX369" s="636">
        <v>2.72</v>
      </c>
      <c r="RWY369" s="636">
        <v>2.72</v>
      </c>
      <c r="RWZ369" s="636">
        <v>2.72</v>
      </c>
      <c r="RXA369" s="649">
        <v>2.72</v>
      </c>
      <c r="RXB369" s="16"/>
      <c r="RXC369" s="320">
        <v>2.69</v>
      </c>
      <c r="RXD369" s="153"/>
      <c r="RXE369" s="153"/>
      <c r="RXF369" s="153"/>
      <c r="RXG369" s="648"/>
      <c r="RXH369" s="641"/>
      <c r="RXI369" s="631" t="s">
        <v>90</v>
      </c>
      <c r="RXJ369" s="632"/>
      <c r="RXK369" s="16"/>
      <c r="RXL369" s="636">
        <v>2.7</v>
      </c>
      <c r="RXM369" s="636">
        <v>2.7</v>
      </c>
      <c r="RXN369" s="636">
        <v>2.72</v>
      </c>
      <c r="RXO369" s="636">
        <v>2.72</v>
      </c>
      <c r="RXP369" s="636">
        <v>2.72</v>
      </c>
      <c r="RXQ369" s="649">
        <v>2.72</v>
      </c>
      <c r="RXR369" s="16"/>
      <c r="RXS369" s="320">
        <v>2.69</v>
      </c>
      <c r="RXT369" s="153"/>
      <c r="RXU369" s="153"/>
      <c r="RXV369" s="153"/>
      <c r="RXW369" s="648"/>
      <c r="RXX369" s="641"/>
      <c r="RXY369" s="631" t="s">
        <v>90</v>
      </c>
      <c r="RXZ369" s="632"/>
      <c r="RYA369" s="16"/>
      <c r="RYB369" s="636">
        <v>2.7</v>
      </c>
      <c r="RYC369" s="636">
        <v>2.7</v>
      </c>
      <c r="RYD369" s="636">
        <v>2.72</v>
      </c>
      <c r="RYE369" s="636">
        <v>2.72</v>
      </c>
      <c r="RYF369" s="636">
        <v>2.72</v>
      </c>
      <c r="RYG369" s="649">
        <v>2.72</v>
      </c>
      <c r="RYH369" s="16"/>
      <c r="RYI369" s="320">
        <v>2.69</v>
      </c>
      <c r="RYJ369" s="153"/>
      <c r="RYK369" s="153"/>
      <c r="RYL369" s="153"/>
      <c r="RYM369" s="648"/>
      <c r="RYN369" s="641"/>
      <c r="RYO369" s="631" t="s">
        <v>90</v>
      </c>
      <c r="RYP369" s="632"/>
      <c r="RYQ369" s="16"/>
      <c r="RYR369" s="636">
        <v>2.7</v>
      </c>
      <c r="RYS369" s="636">
        <v>2.7</v>
      </c>
      <c r="RYT369" s="636">
        <v>2.72</v>
      </c>
      <c r="RYU369" s="636">
        <v>2.72</v>
      </c>
      <c r="RYV369" s="636">
        <v>2.72</v>
      </c>
      <c r="RYW369" s="649">
        <v>2.72</v>
      </c>
      <c r="RYX369" s="16"/>
      <c r="RYY369" s="320">
        <v>2.69</v>
      </c>
      <c r="RYZ369" s="153"/>
      <c r="RZA369" s="153"/>
      <c r="RZB369" s="153"/>
      <c r="RZC369" s="648"/>
      <c r="RZD369" s="641"/>
      <c r="RZE369" s="631" t="s">
        <v>90</v>
      </c>
      <c r="RZF369" s="632"/>
      <c r="RZG369" s="16"/>
      <c r="RZH369" s="636">
        <v>2.7</v>
      </c>
      <c r="RZI369" s="636">
        <v>2.7</v>
      </c>
      <c r="RZJ369" s="636">
        <v>2.72</v>
      </c>
      <c r="RZK369" s="636">
        <v>2.72</v>
      </c>
      <c r="RZL369" s="636">
        <v>2.72</v>
      </c>
      <c r="RZM369" s="649">
        <v>2.72</v>
      </c>
      <c r="RZN369" s="16"/>
      <c r="RZO369" s="320">
        <v>2.69</v>
      </c>
      <c r="RZP369" s="153"/>
      <c r="RZQ369" s="153"/>
      <c r="RZR369" s="153"/>
      <c r="RZS369" s="648"/>
      <c r="RZT369" s="641"/>
      <c r="RZU369" s="631" t="s">
        <v>90</v>
      </c>
      <c r="RZV369" s="632"/>
      <c r="RZW369" s="16"/>
      <c r="RZX369" s="636">
        <v>2.7</v>
      </c>
      <c r="RZY369" s="636">
        <v>2.7</v>
      </c>
      <c r="RZZ369" s="636">
        <v>2.72</v>
      </c>
      <c r="SAA369" s="636">
        <v>2.72</v>
      </c>
      <c r="SAB369" s="636">
        <v>2.72</v>
      </c>
      <c r="SAC369" s="649">
        <v>2.72</v>
      </c>
      <c r="SAD369" s="16"/>
      <c r="SAE369" s="320">
        <v>2.69</v>
      </c>
      <c r="SAF369" s="153"/>
      <c r="SAG369" s="153"/>
      <c r="SAH369" s="153"/>
      <c r="SAI369" s="648"/>
      <c r="SAJ369" s="641"/>
      <c r="SAK369" s="631" t="s">
        <v>90</v>
      </c>
      <c r="SAL369" s="632"/>
      <c r="SAM369" s="16"/>
      <c r="SAN369" s="636">
        <v>2.7</v>
      </c>
      <c r="SAO369" s="636">
        <v>2.7</v>
      </c>
      <c r="SAP369" s="636">
        <v>2.72</v>
      </c>
      <c r="SAQ369" s="636">
        <v>2.72</v>
      </c>
      <c r="SAR369" s="636">
        <v>2.72</v>
      </c>
      <c r="SAS369" s="649">
        <v>2.72</v>
      </c>
      <c r="SAT369" s="16"/>
      <c r="SAU369" s="320">
        <v>2.69</v>
      </c>
      <c r="SAV369" s="153"/>
      <c r="SAW369" s="153"/>
      <c r="SAX369" s="153"/>
      <c r="SAY369" s="648"/>
      <c r="SAZ369" s="641"/>
      <c r="SBA369" s="631" t="s">
        <v>90</v>
      </c>
      <c r="SBB369" s="632"/>
      <c r="SBC369" s="16"/>
      <c r="SBD369" s="636">
        <v>2.7</v>
      </c>
      <c r="SBE369" s="636">
        <v>2.7</v>
      </c>
      <c r="SBF369" s="636">
        <v>2.72</v>
      </c>
      <c r="SBG369" s="636">
        <v>2.72</v>
      </c>
      <c r="SBH369" s="636">
        <v>2.72</v>
      </c>
      <c r="SBI369" s="649">
        <v>2.72</v>
      </c>
      <c r="SBJ369" s="16"/>
      <c r="SBK369" s="320">
        <v>2.69</v>
      </c>
      <c r="SBL369" s="153"/>
      <c r="SBM369" s="153"/>
      <c r="SBN369" s="153"/>
      <c r="SBO369" s="648"/>
      <c r="SBP369" s="641"/>
      <c r="SBQ369" s="631" t="s">
        <v>90</v>
      </c>
      <c r="SBR369" s="632"/>
      <c r="SBS369" s="16"/>
      <c r="SBT369" s="636">
        <v>2.7</v>
      </c>
      <c r="SBU369" s="636">
        <v>2.7</v>
      </c>
      <c r="SBV369" s="636">
        <v>2.72</v>
      </c>
      <c r="SBW369" s="636">
        <v>2.72</v>
      </c>
      <c r="SBX369" s="636">
        <v>2.72</v>
      </c>
      <c r="SBY369" s="649">
        <v>2.72</v>
      </c>
      <c r="SBZ369" s="16"/>
      <c r="SCA369" s="320">
        <v>2.69</v>
      </c>
      <c r="SCB369" s="153"/>
      <c r="SCC369" s="153"/>
      <c r="SCD369" s="153"/>
      <c r="SCE369" s="648"/>
      <c r="SCF369" s="641"/>
      <c r="SCG369" s="631" t="s">
        <v>90</v>
      </c>
      <c r="SCH369" s="632"/>
      <c r="SCI369" s="16"/>
      <c r="SCJ369" s="636">
        <v>2.7</v>
      </c>
      <c r="SCK369" s="636">
        <v>2.7</v>
      </c>
      <c r="SCL369" s="636">
        <v>2.72</v>
      </c>
      <c r="SCM369" s="636">
        <v>2.72</v>
      </c>
      <c r="SCN369" s="636">
        <v>2.72</v>
      </c>
      <c r="SCO369" s="649">
        <v>2.72</v>
      </c>
      <c r="SCP369" s="16"/>
      <c r="SCQ369" s="320">
        <v>2.69</v>
      </c>
      <c r="SCR369" s="153"/>
      <c r="SCS369" s="153"/>
      <c r="SCT369" s="153"/>
      <c r="SCU369" s="648"/>
      <c r="SCV369" s="641"/>
      <c r="SCW369" s="631" t="s">
        <v>90</v>
      </c>
      <c r="SCX369" s="632"/>
      <c r="SCY369" s="16"/>
      <c r="SCZ369" s="636">
        <v>2.7</v>
      </c>
      <c r="SDA369" s="636">
        <v>2.7</v>
      </c>
      <c r="SDB369" s="636">
        <v>2.72</v>
      </c>
      <c r="SDC369" s="636">
        <v>2.72</v>
      </c>
      <c r="SDD369" s="636">
        <v>2.72</v>
      </c>
      <c r="SDE369" s="649">
        <v>2.72</v>
      </c>
      <c r="SDF369" s="16"/>
      <c r="SDG369" s="320">
        <v>2.69</v>
      </c>
      <c r="SDH369" s="153"/>
      <c r="SDI369" s="153"/>
      <c r="SDJ369" s="153"/>
      <c r="SDK369" s="648"/>
      <c r="SDL369" s="641"/>
      <c r="SDM369" s="631" t="s">
        <v>90</v>
      </c>
      <c r="SDN369" s="632"/>
      <c r="SDO369" s="16"/>
      <c r="SDP369" s="636">
        <v>2.7</v>
      </c>
      <c r="SDQ369" s="636">
        <v>2.7</v>
      </c>
      <c r="SDR369" s="636">
        <v>2.72</v>
      </c>
      <c r="SDS369" s="636">
        <v>2.72</v>
      </c>
      <c r="SDT369" s="636">
        <v>2.72</v>
      </c>
      <c r="SDU369" s="649">
        <v>2.72</v>
      </c>
      <c r="SDV369" s="16"/>
      <c r="SDW369" s="320">
        <v>2.69</v>
      </c>
      <c r="SDX369" s="153"/>
      <c r="SDY369" s="153"/>
      <c r="SDZ369" s="153"/>
      <c r="SEA369" s="648"/>
      <c r="SEB369" s="641"/>
      <c r="SEC369" s="631" t="s">
        <v>90</v>
      </c>
      <c r="SED369" s="632"/>
      <c r="SEE369" s="16"/>
      <c r="SEF369" s="636">
        <v>2.7</v>
      </c>
      <c r="SEG369" s="636">
        <v>2.7</v>
      </c>
      <c r="SEH369" s="636">
        <v>2.72</v>
      </c>
      <c r="SEI369" s="636">
        <v>2.72</v>
      </c>
      <c r="SEJ369" s="636">
        <v>2.72</v>
      </c>
      <c r="SEK369" s="649">
        <v>2.72</v>
      </c>
      <c r="SEL369" s="16"/>
      <c r="SEM369" s="320">
        <v>2.69</v>
      </c>
      <c r="SEN369" s="153"/>
      <c r="SEO369" s="153"/>
      <c r="SEP369" s="153"/>
      <c r="SEQ369" s="648"/>
      <c r="SER369" s="641"/>
      <c r="SES369" s="631" t="s">
        <v>90</v>
      </c>
      <c r="SET369" s="632"/>
      <c r="SEU369" s="16"/>
      <c r="SEV369" s="636">
        <v>2.7</v>
      </c>
      <c r="SEW369" s="636">
        <v>2.7</v>
      </c>
      <c r="SEX369" s="636">
        <v>2.72</v>
      </c>
      <c r="SEY369" s="636">
        <v>2.72</v>
      </c>
      <c r="SEZ369" s="636">
        <v>2.72</v>
      </c>
      <c r="SFA369" s="649">
        <v>2.72</v>
      </c>
      <c r="SFB369" s="16"/>
      <c r="SFC369" s="320">
        <v>2.69</v>
      </c>
      <c r="SFD369" s="153"/>
      <c r="SFE369" s="153"/>
      <c r="SFF369" s="153"/>
      <c r="SFG369" s="648"/>
      <c r="SFH369" s="641"/>
      <c r="SFI369" s="631" t="s">
        <v>90</v>
      </c>
      <c r="SFJ369" s="632"/>
      <c r="SFK369" s="16"/>
      <c r="SFL369" s="636">
        <v>2.7</v>
      </c>
      <c r="SFM369" s="636">
        <v>2.7</v>
      </c>
      <c r="SFN369" s="636">
        <v>2.72</v>
      </c>
      <c r="SFO369" s="636">
        <v>2.72</v>
      </c>
      <c r="SFP369" s="636">
        <v>2.72</v>
      </c>
      <c r="SFQ369" s="649">
        <v>2.72</v>
      </c>
      <c r="SFR369" s="16"/>
      <c r="SFS369" s="320">
        <v>2.69</v>
      </c>
      <c r="SFT369" s="153"/>
      <c r="SFU369" s="153"/>
      <c r="SFV369" s="153"/>
      <c r="SFW369" s="648"/>
      <c r="SFX369" s="641"/>
      <c r="SFY369" s="631" t="s">
        <v>90</v>
      </c>
      <c r="SFZ369" s="632"/>
      <c r="SGA369" s="16"/>
      <c r="SGB369" s="636">
        <v>2.7</v>
      </c>
      <c r="SGC369" s="636">
        <v>2.7</v>
      </c>
      <c r="SGD369" s="636">
        <v>2.72</v>
      </c>
      <c r="SGE369" s="636">
        <v>2.72</v>
      </c>
      <c r="SGF369" s="636">
        <v>2.72</v>
      </c>
      <c r="SGG369" s="649">
        <v>2.72</v>
      </c>
      <c r="SGH369" s="16"/>
      <c r="SGI369" s="320">
        <v>2.69</v>
      </c>
      <c r="SGJ369" s="153"/>
      <c r="SGK369" s="153"/>
      <c r="SGL369" s="153"/>
      <c r="SGM369" s="648"/>
      <c r="SGN369" s="641"/>
      <c r="SGO369" s="631" t="s">
        <v>90</v>
      </c>
      <c r="SGP369" s="632"/>
      <c r="SGQ369" s="16"/>
      <c r="SGR369" s="636">
        <v>2.7</v>
      </c>
      <c r="SGS369" s="636">
        <v>2.7</v>
      </c>
      <c r="SGT369" s="636">
        <v>2.72</v>
      </c>
      <c r="SGU369" s="636">
        <v>2.72</v>
      </c>
      <c r="SGV369" s="636">
        <v>2.72</v>
      </c>
      <c r="SGW369" s="649">
        <v>2.72</v>
      </c>
      <c r="SGX369" s="16"/>
      <c r="SGY369" s="320">
        <v>2.69</v>
      </c>
      <c r="SGZ369" s="153"/>
      <c r="SHA369" s="153"/>
      <c r="SHB369" s="153"/>
      <c r="SHC369" s="648"/>
      <c r="SHD369" s="641"/>
      <c r="SHE369" s="631" t="s">
        <v>90</v>
      </c>
      <c r="SHF369" s="632"/>
      <c r="SHG369" s="16"/>
      <c r="SHH369" s="636">
        <v>2.7</v>
      </c>
      <c r="SHI369" s="636">
        <v>2.7</v>
      </c>
      <c r="SHJ369" s="636">
        <v>2.72</v>
      </c>
      <c r="SHK369" s="636">
        <v>2.72</v>
      </c>
      <c r="SHL369" s="636">
        <v>2.72</v>
      </c>
      <c r="SHM369" s="649">
        <v>2.72</v>
      </c>
      <c r="SHN369" s="16"/>
      <c r="SHO369" s="320">
        <v>2.69</v>
      </c>
      <c r="SHP369" s="153"/>
      <c r="SHQ369" s="153"/>
      <c r="SHR369" s="153"/>
      <c r="SHS369" s="648"/>
      <c r="SHT369" s="641"/>
      <c r="SHU369" s="631" t="s">
        <v>90</v>
      </c>
      <c r="SHV369" s="632"/>
      <c r="SHW369" s="16"/>
      <c r="SHX369" s="636">
        <v>2.7</v>
      </c>
      <c r="SHY369" s="636">
        <v>2.7</v>
      </c>
      <c r="SHZ369" s="636">
        <v>2.72</v>
      </c>
      <c r="SIA369" s="636">
        <v>2.72</v>
      </c>
      <c r="SIB369" s="636">
        <v>2.72</v>
      </c>
      <c r="SIC369" s="649">
        <v>2.72</v>
      </c>
      <c r="SID369" s="16"/>
      <c r="SIE369" s="320">
        <v>2.69</v>
      </c>
      <c r="SIF369" s="153"/>
      <c r="SIG369" s="153"/>
      <c r="SIH369" s="153"/>
      <c r="SII369" s="648"/>
      <c r="SIJ369" s="641"/>
      <c r="SIK369" s="631" t="s">
        <v>90</v>
      </c>
      <c r="SIL369" s="632"/>
      <c r="SIM369" s="16"/>
      <c r="SIN369" s="636">
        <v>2.7</v>
      </c>
      <c r="SIO369" s="636">
        <v>2.7</v>
      </c>
      <c r="SIP369" s="636">
        <v>2.72</v>
      </c>
      <c r="SIQ369" s="636">
        <v>2.72</v>
      </c>
      <c r="SIR369" s="636">
        <v>2.72</v>
      </c>
      <c r="SIS369" s="649">
        <v>2.72</v>
      </c>
      <c r="SIT369" s="16"/>
      <c r="SIU369" s="320">
        <v>2.69</v>
      </c>
      <c r="SIV369" s="153"/>
      <c r="SIW369" s="153"/>
      <c r="SIX369" s="153"/>
      <c r="SIY369" s="648"/>
      <c r="SIZ369" s="641"/>
      <c r="SJA369" s="631" t="s">
        <v>90</v>
      </c>
      <c r="SJB369" s="632"/>
      <c r="SJC369" s="16"/>
      <c r="SJD369" s="636">
        <v>2.7</v>
      </c>
      <c r="SJE369" s="636">
        <v>2.7</v>
      </c>
      <c r="SJF369" s="636">
        <v>2.72</v>
      </c>
      <c r="SJG369" s="636">
        <v>2.72</v>
      </c>
      <c r="SJH369" s="636">
        <v>2.72</v>
      </c>
      <c r="SJI369" s="649">
        <v>2.72</v>
      </c>
      <c r="SJJ369" s="16"/>
      <c r="SJK369" s="320">
        <v>2.69</v>
      </c>
      <c r="SJL369" s="153"/>
      <c r="SJM369" s="153"/>
      <c r="SJN369" s="153"/>
      <c r="SJO369" s="648"/>
      <c r="SJP369" s="641"/>
      <c r="SJQ369" s="631" t="s">
        <v>90</v>
      </c>
      <c r="SJR369" s="632"/>
      <c r="SJS369" s="16"/>
      <c r="SJT369" s="636">
        <v>2.7</v>
      </c>
      <c r="SJU369" s="636">
        <v>2.7</v>
      </c>
      <c r="SJV369" s="636">
        <v>2.72</v>
      </c>
      <c r="SJW369" s="636">
        <v>2.72</v>
      </c>
      <c r="SJX369" s="636">
        <v>2.72</v>
      </c>
      <c r="SJY369" s="649">
        <v>2.72</v>
      </c>
      <c r="SJZ369" s="16"/>
      <c r="SKA369" s="320">
        <v>2.69</v>
      </c>
      <c r="SKB369" s="153"/>
      <c r="SKC369" s="153"/>
      <c r="SKD369" s="153"/>
      <c r="SKE369" s="648"/>
      <c r="SKF369" s="641"/>
      <c r="SKG369" s="631" t="s">
        <v>90</v>
      </c>
      <c r="SKH369" s="632"/>
      <c r="SKI369" s="16"/>
      <c r="SKJ369" s="636">
        <v>2.7</v>
      </c>
      <c r="SKK369" s="636">
        <v>2.7</v>
      </c>
      <c r="SKL369" s="636">
        <v>2.72</v>
      </c>
      <c r="SKM369" s="636">
        <v>2.72</v>
      </c>
      <c r="SKN369" s="636">
        <v>2.72</v>
      </c>
      <c r="SKO369" s="649">
        <v>2.72</v>
      </c>
      <c r="SKP369" s="16"/>
      <c r="SKQ369" s="320">
        <v>2.69</v>
      </c>
      <c r="SKR369" s="153"/>
      <c r="SKS369" s="153"/>
      <c r="SKT369" s="153"/>
      <c r="SKU369" s="648"/>
      <c r="SKV369" s="641"/>
      <c r="SKW369" s="631" t="s">
        <v>90</v>
      </c>
      <c r="SKX369" s="632"/>
      <c r="SKY369" s="16"/>
      <c r="SKZ369" s="636">
        <v>2.7</v>
      </c>
      <c r="SLA369" s="636">
        <v>2.7</v>
      </c>
      <c r="SLB369" s="636">
        <v>2.72</v>
      </c>
      <c r="SLC369" s="636">
        <v>2.72</v>
      </c>
      <c r="SLD369" s="636">
        <v>2.72</v>
      </c>
      <c r="SLE369" s="649">
        <v>2.72</v>
      </c>
      <c r="SLF369" s="16"/>
      <c r="SLG369" s="320">
        <v>2.69</v>
      </c>
      <c r="SLH369" s="153"/>
      <c r="SLI369" s="153"/>
      <c r="SLJ369" s="153"/>
      <c r="SLK369" s="648"/>
      <c r="SLL369" s="641"/>
      <c r="SLM369" s="631" t="s">
        <v>90</v>
      </c>
      <c r="SLN369" s="632"/>
      <c r="SLO369" s="16"/>
      <c r="SLP369" s="636">
        <v>2.7</v>
      </c>
      <c r="SLQ369" s="636">
        <v>2.7</v>
      </c>
      <c r="SLR369" s="636">
        <v>2.72</v>
      </c>
      <c r="SLS369" s="636">
        <v>2.72</v>
      </c>
      <c r="SLT369" s="636">
        <v>2.72</v>
      </c>
      <c r="SLU369" s="649">
        <v>2.72</v>
      </c>
      <c r="SLV369" s="16"/>
      <c r="SLW369" s="320">
        <v>2.69</v>
      </c>
      <c r="SLX369" s="153"/>
      <c r="SLY369" s="153"/>
      <c r="SLZ369" s="153"/>
      <c r="SMA369" s="648"/>
      <c r="SMB369" s="641"/>
      <c r="SMC369" s="631" t="s">
        <v>90</v>
      </c>
      <c r="SMD369" s="632"/>
      <c r="SME369" s="16"/>
      <c r="SMF369" s="636">
        <v>2.7</v>
      </c>
      <c r="SMG369" s="636">
        <v>2.7</v>
      </c>
      <c r="SMH369" s="636">
        <v>2.72</v>
      </c>
      <c r="SMI369" s="636">
        <v>2.72</v>
      </c>
      <c r="SMJ369" s="636">
        <v>2.72</v>
      </c>
      <c r="SMK369" s="649">
        <v>2.72</v>
      </c>
      <c r="SML369" s="16"/>
      <c r="SMM369" s="320">
        <v>2.69</v>
      </c>
      <c r="SMN369" s="153"/>
      <c r="SMO369" s="153"/>
      <c r="SMP369" s="153"/>
      <c r="SMQ369" s="648"/>
      <c r="SMR369" s="641"/>
      <c r="SMS369" s="631" t="s">
        <v>90</v>
      </c>
      <c r="SMT369" s="632"/>
      <c r="SMU369" s="16"/>
      <c r="SMV369" s="636">
        <v>2.7</v>
      </c>
      <c r="SMW369" s="636">
        <v>2.7</v>
      </c>
      <c r="SMX369" s="636">
        <v>2.72</v>
      </c>
      <c r="SMY369" s="636">
        <v>2.72</v>
      </c>
      <c r="SMZ369" s="636">
        <v>2.72</v>
      </c>
      <c r="SNA369" s="649">
        <v>2.72</v>
      </c>
      <c r="SNB369" s="16"/>
      <c r="SNC369" s="320">
        <v>2.69</v>
      </c>
      <c r="SND369" s="153"/>
      <c r="SNE369" s="153"/>
      <c r="SNF369" s="153"/>
      <c r="SNG369" s="648"/>
      <c r="SNH369" s="641"/>
      <c r="SNI369" s="631" t="s">
        <v>90</v>
      </c>
      <c r="SNJ369" s="632"/>
      <c r="SNK369" s="16"/>
      <c r="SNL369" s="636">
        <v>2.7</v>
      </c>
      <c r="SNM369" s="636">
        <v>2.7</v>
      </c>
      <c r="SNN369" s="636">
        <v>2.72</v>
      </c>
      <c r="SNO369" s="636">
        <v>2.72</v>
      </c>
      <c r="SNP369" s="636">
        <v>2.72</v>
      </c>
      <c r="SNQ369" s="649">
        <v>2.72</v>
      </c>
      <c r="SNR369" s="16"/>
      <c r="SNS369" s="320">
        <v>2.69</v>
      </c>
      <c r="SNT369" s="153"/>
      <c r="SNU369" s="153"/>
      <c r="SNV369" s="153"/>
      <c r="SNW369" s="648"/>
      <c r="SNX369" s="641"/>
      <c r="SNY369" s="631" t="s">
        <v>90</v>
      </c>
      <c r="SNZ369" s="632"/>
      <c r="SOA369" s="16"/>
      <c r="SOB369" s="636">
        <v>2.7</v>
      </c>
      <c r="SOC369" s="636">
        <v>2.7</v>
      </c>
      <c r="SOD369" s="636">
        <v>2.72</v>
      </c>
      <c r="SOE369" s="636">
        <v>2.72</v>
      </c>
      <c r="SOF369" s="636">
        <v>2.72</v>
      </c>
      <c r="SOG369" s="649">
        <v>2.72</v>
      </c>
      <c r="SOH369" s="16"/>
      <c r="SOI369" s="320">
        <v>2.69</v>
      </c>
      <c r="SOJ369" s="153"/>
      <c r="SOK369" s="153"/>
      <c r="SOL369" s="153"/>
      <c r="SOM369" s="648"/>
      <c r="SON369" s="641"/>
      <c r="SOO369" s="631" t="s">
        <v>90</v>
      </c>
      <c r="SOP369" s="632"/>
      <c r="SOQ369" s="16"/>
      <c r="SOR369" s="636">
        <v>2.7</v>
      </c>
      <c r="SOS369" s="636">
        <v>2.7</v>
      </c>
      <c r="SOT369" s="636">
        <v>2.72</v>
      </c>
      <c r="SOU369" s="636">
        <v>2.72</v>
      </c>
      <c r="SOV369" s="636">
        <v>2.72</v>
      </c>
      <c r="SOW369" s="649">
        <v>2.72</v>
      </c>
      <c r="SOX369" s="16"/>
      <c r="SOY369" s="320">
        <v>2.69</v>
      </c>
      <c r="SOZ369" s="153"/>
      <c r="SPA369" s="153"/>
      <c r="SPB369" s="153"/>
      <c r="SPC369" s="648"/>
      <c r="SPD369" s="641"/>
      <c r="SPE369" s="631" t="s">
        <v>90</v>
      </c>
      <c r="SPF369" s="632"/>
      <c r="SPG369" s="16"/>
      <c r="SPH369" s="636">
        <v>2.7</v>
      </c>
      <c r="SPI369" s="636">
        <v>2.7</v>
      </c>
      <c r="SPJ369" s="636">
        <v>2.72</v>
      </c>
      <c r="SPK369" s="636">
        <v>2.72</v>
      </c>
      <c r="SPL369" s="636">
        <v>2.72</v>
      </c>
      <c r="SPM369" s="649">
        <v>2.72</v>
      </c>
      <c r="SPN369" s="16"/>
      <c r="SPO369" s="320">
        <v>2.69</v>
      </c>
      <c r="SPP369" s="153"/>
      <c r="SPQ369" s="153"/>
      <c r="SPR369" s="153"/>
      <c r="SPS369" s="648"/>
      <c r="SPT369" s="641"/>
      <c r="SPU369" s="631" t="s">
        <v>90</v>
      </c>
      <c r="SPV369" s="632"/>
      <c r="SPW369" s="16"/>
      <c r="SPX369" s="636">
        <v>2.7</v>
      </c>
      <c r="SPY369" s="636">
        <v>2.7</v>
      </c>
      <c r="SPZ369" s="636">
        <v>2.72</v>
      </c>
      <c r="SQA369" s="636">
        <v>2.72</v>
      </c>
      <c r="SQB369" s="636">
        <v>2.72</v>
      </c>
      <c r="SQC369" s="649">
        <v>2.72</v>
      </c>
      <c r="SQD369" s="16"/>
      <c r="SQE369" s="320">
        <v>2.69</v>
      </c>
      <c r="SQF369" s="153"/>
      <c r="SQG369" s="153"/>
      <c r="SQH369" s="153"/>
      <c r="SQI369" s="648"/>
      <c r="SQJ369" s="641"/>
      <c r="SQK369" s="631" t="s">
        <v>90</v>
      </c>
      <c r="SQL369" s="632"/>
      <c r="SQM369" s="16"/>
      <c r="SQN369" s="636">
        <v>2.7</v>
      </c>
      <c r="SQO369" s="636">
        <v>2.7</v>
      </c>
      <c r="SQP369" s="636">
        <v>2.72</v>
      </c>
      <c r="SQQ369" s="636">
        <v>2.72</v>
      </c>
      <c r="SQR369" s="636">
        <v>2.72</v>
      </c>
      <c r="SQS369" s="649">
        <v>2.72</v>
      </c>
      <c r="SQT369" s="16"/>
      <c r="SQU369" s="320">
        <v>2.69</v>
      </c>
      <c r="SQV369" s="153"/>
      <c r="SQW369" s="153"/>
      <c r="SQX369" s="153"/>
      <c r="SQY369" s="648"/>
      <c r="SQZ369" s="641"/>
      <c r="SRA369" s="631" t="s">
        <v>90</v>
      </c>
      <c r="SRB369" s="632"/>
      <c r="SRC369" s="16"/>
      <c r="SRD369" s="636">
        <v>2.7</v>
      </c>
      <c r="SRE369" s="636">
        <v>2.7</v>
      </c>
      <c r="SRF369" s="636">
        <v>2.72</v>
      </c>
      <c r="SRG369" s="636">
        <v>2.72</v>
      </c>
      <c r="SRH369" s="636">
        <v>2.72</v>
      </c>
      <c r="SRI369" s="649">
        <v>2.72</v>
      </c>
      <c r="SRJ369" s="16"/>
      <c r="SRK369" s="320">
        <v>2.69</v>
      </c>
      <c r="SRL369" s="153"/>
      <c r="SRM369" s="153"/>
      <c r="SRN369" s="153"/>
      <c r="SRO369" s="648"/>
      <c r="SRP369" s="641"/>
      <c r="SRQ369" s="631" t="s">
        <v>90</v>
      </c>
      <c r="SRR369" s="632"/>
      <c r="SRS369" s="16"/>
      <c r="SRT369" s="636">
        <v>2.7</v>
      </c>
      <c r="SRU369" s="636">
        <v>2.7</v>
      </c>
      <c r="SRV369" s="636">
        <v>2.72</v>
      </c>
      <c r="SRW369" s="636">
        <v>2.72</v>
      </c>
      <c r="SRX369" s="636">
        <v>2.72</v>
      </c>
      <c r="SRY369" s="649">
        <v>2.72</v>
      </c>
      <c r="SRZ369" s="16"/>
      <c r="SSA369" s="320">
        <v>2.69</v>
      </c>
      <c r="SSB369" s="153"/>
      <c r="SSC369" s="153"/>
      <c r="SSD369" s="153"/>
      <c r="SSE369" s="648"/>
      <c r="SSF369" s="641"/>
      <c r="SSG369" s="631" t="s">
        <v>90</v>
      </c>
      <c r="SSH369" s="632"/>
      <c r="SSI369" s="16"/>
      <c r="SSJ369" s="636">
        <v>2.7</v>
      </c>
      <c r="SSK369" s="636">
        <v>2.7</v>
      </c>
      <c r="SSL369" s="636">
        <v>2.72</v>
      </c>
      <c r="SSM369" s="636">
        <v>2.72</v>
      </c>
      <c r="SSN369" s="636">
        <v>2.72</v>
      </c>
      <c r="SSO369" s="649">
        <v>2.72</v>
      </c>
      <c r="SSP369" s="16"/>
      <c r="SSQ369" s="320">
        <v>2.69</v>
      </c>
      <c r="SSR369" s="153"/>
      <c r="SSS369" s="153"/>
      <c r="SST369" s="153"/>
      <c r="SSU369" s="648"/>
      <c r="SSV369" s="641"/>
      <c r="SSW369" s="631" t="s">
        <v>90</v>
      </c>
      <c r="SSX369" s="632"/>
      <c r="SSY369" s="16"/>
      <c r="SSZ369" s="636">
        <v>2.7</v>
      </c>
      <c r="STA369" s="636">
        <v>2.7</v>
      </c>
      <c r="STB369" s="636">
        <v>2.72</v>
      </c>
      <c r="STC369" s="636">
        <v>2.72</v>
      </c>
      <c r="STD369" s="636">
        <v>2.72</v>
      </c>
      <c r="STE369" s="649">
        <v>2.72</v>
      </c>
      <c r="STF369" s="16"/>
      <c r="STG369" s="320">
        <v>2.69</v>
      </c>
      <c r="STH369" s="153"/>
      <c r="STI369" s="153"/>
      <c r="STJ369" s="153"/>
      <c r="STK369" s="648"/>
      <c r="STL369" s="641"/>
      <c r="STM369" s="631" t="s">
        <v>90</v>
      </c>
      <c r="STN369" s="632"/>
      <c r="STO369" s="16"/>
      <c r="STP369" s="636">
        <v>2.7</v>
      </c>
      <c r="STQ369" s="636">
        <v>2.7</v>
      </c>
      <c r="STR369" s="636">
        <v>2.72</v>
      </c>
      <c r="STS369" s="636">
        <v>2.72</v>
      </c>
      <c r="STT369" s="636">
        <v>2.72</v>
      </c>
      <c r="STU369" s="649">
        <v>2.72</v>
      </c>
      <c r="STV369" s="16"/>
      <c r="STW369" s="320">
        <v>2.69</v>
      </c>
      <c r="STX369" s="153"/>
      <c r="STY369" s="153"/>
      <c r="STZ369" s="153"/>
      <c r="SUA369" s="648"/>
      <c r="SUB369" s="641"/>
    </row>
    <row r="370" spans="1:13392" s="57" customFormat="1" ht="30">
      <c r="A370" s="631" t="s">
        <v>265</v>
      </c>
      <c r="B370" s="632"/>
      <c r="C370" s="16"/>
      <c r="D370" s="636">
        <v>0.13500000000000001</v>
      </c>
      <c r="E370" s="636">
        <v>0.12</v>
      </c>
      <c r="F370" s="636">
        <v>0.13</v>
      </c>
      <c r="G370" s="636">
        <v>0.12</v>
      </c>
      <c r="H370" s="636">
        <v>0.12</v>
      </c>
      <c r="I370" s="649">
        <v>0.12</v>
      </c>
      <c r="J370" s="16"/>
      <c r="K370" s="320">
        <v>0.10100000000000001</v>
      </c>
      <c r="L370" s="153"/>
      <c r="M370" s="153"/>
      <c r="N370" s="153"/>
      <c r="O370" s="648"/>
      <c r="P370" s="641"/>
      <c r="Q370" s="693" t="s">
        <v>265</v>
      </c>
      <c r="R370" s="694"/>
      <c r="S370" s="687"/>
      <c r="T370" s="692">
        <v>0.13500000000000001</v>
      </c>
      <c r="U370" s="692">
        <v>0.12</v>
      </c>
      <c r="V370" s="692">
        <v>0.13</v>
      </c>
      <c r="W370" s="692">
        <v>0.12</v>
      </c>
      <c r="X370" s="692">
        <v>0.12</v>
      </c>
      <c r="Y370" s="692">
        <v>0.12</v>
      </c>
      <c r="Z370" s="687"/>
      <c r="AA370" s="687">
        <v>0.10100000000000001</v>
      </c>
      <c r="AB370" s="687"/>
      <c r="AC370" s="687"/>
      <c r="AD370" s="687"/>
      <c r="AE370" s="698"/>
      <c r="AF370" s="692"/>
      <c r="AG370" s="631" t="s">
        <v>265</v>
      </c>
      <c r="AH370" s="632"/>
      <c r="AI370" s="16"/>
      <c r="AJ370" s="636">
        <v>0.13500000000000001</v>
      </c>
      <c r="AK370" s="636">
        <v>0.12</v>
      </c>
      <c r="AL370" s="636">
        <v>0.13</v>
      </c>
      <c r="AM370" s="636">
        <v>0.12</v>
      </c>
      <c r="AN370" s="636">
        <v>0.12</v>
      </c>
      <c r="AO370" s="649">
        <v>0.12</v>
      </c>
      <c r="AP370" s="16"/>
      <c r="AQ370" s="320">
        <v>0.10100000000000001</v>
      </c>
      <c r="AR370" s="153"/>
      <c r="AS370" s="153"/>
      <c r="AT370" s="153"/>
      <c r="AU370" s="648"/>
      <c r="AV370" s="641"/>
      <c r="AW370" s="631" t="s">
        <v>265</v>
      </c>
      <c r="AX370" s="632"/>
      <c r="AY370" s="16"/>
      <c r="AZ370" s="636">
        <v>0.13500000000000001</v>
      </c>
      <c r="BA370" s="636">
        <v>0.12</v>
      </c>
      <c r="BB370" s="636">
        <v>0.13</v>
      </c>
      <c r="BC370" s="636">
        <v>0.12</v>
      </c>
      <c r="BD370" s="636">
        <v>0.12</v>
      </c>
      <c r="BE370" s="649">
        <v>0.12</v>
      </c>
      <c r="BF370" s="16"/>
      <c r="BG370" s="320">
        <v>0.10100000000000001</v>
      </c>
      <c r="BH370" s="153"/>
      <c r="BI370" s="153"/>
      <c r="BJ370" s="153"/>
      <c r="BK370" s="648"/>
      <c r="BL370" s="641"/>
      <c r="BM370" s="631" t="s">
        <v>265</v>
      </c>
      <c r="BN370" s="632"/>
      <c r="BO370" s="16"/>
      <c r="BP370" s="636">
        <v>0.13500000000000001</v>
      </c>
      <c r="BQ370" s="636">
        <v>0.12</v>
      </c>
      <c r="BR370" s="636">
        <v>0.13</v>
      </c>
      <c r="BS370" s="636">
        <v>0.12</v>
      </c>
      <c r="BT370" s="636">
        <v>0.12</v>
      </c>
      <c r="BU370" s="649">
        <v>0.12</v>
      </c>
      <c r="BV370" s="16"/>
      <c r="BW370" s="320">
        <v>0.10100000000000001</v>
      </c>
      <c r="BX370" s="153"/>
      <c r="BY370" s="153"/>
      <c r="BZ370" s="153"/>
      <c r="CA370" s="648"/>
      <c r="CB370" s="641"/>
      <c r="CC370" s="631" t="s">
        <v>265</v>
      </c>
      <c r="CD370" s="632"/>
      <c r="CE370" s="16"/>
      <c r="CF370" s="636">
        <v>0.13500000000000001</v>
      </c>
      <c r="CG370" s="636">
        <v>0.12</v>
      </c>
      <c r="CH370" s="636">
        <v>0.13</v>
      </c>
      <c r="CI370" s="636">
        <v>0.12</v>
      </c>
      <c r="CJ370" s="636">
        <v>0.12</v>
      </c>
      <c r="CK370" s="649">
        <v>0.12</v>
      </c>
      <c r="CL370" s="16"/>
      <c r="CM370" s="320">
        <v>0.10100000000000001</v>
      </c>
      <c r="CN370" s="153"/>
      <c r="CO370" s="153"/>
      <c r="CP370" s="153"/>
      <c r="CQ370" s="648"/>
      <c r="CR370" s="641"/>
      <c r="CS370" s="631" t="s">
        <v>265</v>
      </c>
      <c r="CT370" s="632"/>
      <c r="CU370" s="16"/>
      <c r="CV370" s="636">
        <v>0.13500000000000001</v>
      </c>
      <c r="CW370" s="636">
        <v>0.12</v>
      </c>
      <c r="CX370" s="636">
        <v>0.13</v>
      </c>
      <c r="CY370" s="636">
        <v>0.12</v>
      </c>
      <c r="CZ370" s="636">
        <v>0.12</v>
      </c>
      <c r="DA370" s="649">
        <v>0.12</v>
      </c>
      <c r="DB370" s="16"/>
      <c r="DC370" s="320">
        <v>0.10100000000000001</v>
      </c>
      <c r="DD370" s="153"/>
      <c r="DE370" s="153"/>
      <c r="DF370" s="153"/>
      <c r="DG370" s="648"/>
      <c r="DH370" s="641"/>
      <c r="DI370" s="631" t="s">
        <v>265</v>
      </c>
      <c r="DJ370" s="632"/>
      <c r="DK370" s="16"/>
      <c r="DL370" s="636">
        <v>0.13500000000000001</v>
      </c>
      <c r="DM370" s="636">
        <v>0.12</v>
      </c>
      <c r="DN370" s="636">
        <v>0.13</v>
      </c>
      <c r="DO370" s="636">
        <v>0.12</v>
      </c>
      <c r="DP370" s="636">
        <v>0.12</v>
      </c>
      <c r="DQ370" s="649">
        <v>0.12</v>
      </c>
      <c r="DR370" s="16"/>
      <c r="DS370" s="320">
        <v>0.10100000000000001</v>
      </c>
      <c r="DT370" s="153"/>
      <c r="DU370" s="153"/>
      <c r="DV370" s="153"/>
      <c r="DW370" s="648"/>
      <c r="DX370" s="641"/>
      <c r="DY370" s="631" t="s">
        <v>265</v>
      </c>
      <c r="DZ370" s="632"/>
      <c r="EA370" s="16"/>
      <c r="EB370" s="636">
        <v>0.13500000000000001</v>
      </c>
      <c r="EC370" s="636">
        <v>0.12</v>
      </c>
      <c r="ED370" s="636">
        <v>0.13</v>
      </c>
      <c r="EE370" s="636">
        <v>0.12</v>
      </c>
      <c r="EF370" s="636">
        <v>0.12</v>
      </c>
      <c r="EG370" s="649">
        <v>0.12</v>
      </c>
      <c r="EH370" s="16"/>
      <c r="EI370" s="320">
        <v>0.10100000000000001</v>
      </c>
      <c r="EJ370" s="153"/>
      <c r="EK370" s="153"/>
      <c r="EL370" s="153"/>
      <c r="EM370" s="648"/>
      <c r="EN370" s="641"/>
      <c r="EO370" s="631" t="s">
        <v>265</v>
      </c>
      <c r="EP370" s="632"/>
      <c r="EQ370" s="16"/>
      <c r="ER370" s="636">
        <v>0.13500000000000001</v>
      </c>
      <c r="ES370" s="636">
        <v>0.12</v>
      </c>
      <c r="ET370" s="636">
        <v>0.13</v>
      </c>
      <c r="EU370" s="636">
        <v>0.12</v>
      </c>
      <c r="EV370" s="636">
        <v>0.12</v>
      </c>
      <c r="EW370" s="649">
        <v>0.12</v>
      </c>
      <c r="EX370" s="16"/>
      <c r="EY370" s="320">
        <v>0.10100000000000001</v>
      </c>
      <c r="EZ370" s="153"/>
      <c r="FA370" s="153"/>
      <c r="FB370" s="153"/>
      <c r="FC370" s="648"/>
      <c r="FD370" s="641"/>
      <c r="FE370" s="631" t="s">
        <v>265</v>
      </c>
      <c r="FF370" s="632"/>
      <c r="FG370" s="16"/>
      <c r="FH370" s="636">
        <v>0.13500000000000001</v>
      </c>
      <c r="FI370" s="636">
        <v>0.12</v>
      </c>
      <c r="FJ370" s="636">
        <v>0.13</v>
      </c>
      <c r="FK370" s="636">
        <v>0.12</v>
      </c>
      <c r="FL370" s="636">
        <v>0.12</v>
      </c>
      <c r="FM370" s="649">
        <v>0.12</v>
      </c>
      <c r="FN370" s="16"/>
      <c r="FO370" s="320">
        <v>0.10100000000000001</v>
      </c>
      <c r="FP370" s="153"/>
      <c r="FQ370" s="153"/>
      <c r="FR370" s="153"/>
      <c r="FS370" s="648"/>
      <c r="FT370" s="641"/>
      <c r="FU370" s="631" t="s">
        <v>265</v>
      </c>
      <c r="FV370" s="632"/>
      <c r="FW370" s="16"/>
      <c r="FX370" s="636">
        <v>0.13500000000000001</v>
      </c>
      <c r="FY370" s="636">
        <v>0.12</v>
      </c>
      <c r="FZ370" s="636">
        <v>0.13</v>
      </c>
      <c r="GA370" s="636">
        <v>0.12</v>
      </c>
      <c r="GB370" s="636">
        <v>0.12</v>
      </c>
      <c r="GC370" s="649">
        <v>0.12</v>
      </c>
      <c r="GD370" s="16"/>
      <c r="GE370" s="320">
        <v>0.10100000000000001</v>
      </c>
      <c r="GF370" s="153"/>
      <c r="GG370" s="153"/>
      <c r="GH370" s="153"/>
      <c r="GI370" s="648"/>
      <c r="GJ370" s="641"/>
      <c r="GK370" s="631" t="s">
        <v>265</v>
      </c>
      <c r="GL370" s="632"/>
      <c r="GM370" s="16"/>
      <c r="GN370" s="636">
        <v>0.13500000000000001</v>
      </c>
      <c r="GO370" s="636">
        <v>0.12</v>
      </c>
      <c r="GP370" s="636">
        <v>0.13</v>
      </c>
      <c r="GQ370" s="636">
        <v>0.12</v>
      </c>
      <c r="GR370" s="636">
        <v>0.12</v>
      </c>
      <c r="GS370" s="649">
        <v>0.12</v>
      </c>
      <c r="GT370" s="16"/>
      <c r="GU370" s="320">
        <v>0.10100000000000001</v>
      </c>
      <c r="GV370" s="153"/>
      <c r="GW370" s="153"/>
      <c r="GX370" s="153"/>
      <c r="GY370" s="648"/>
      <c r="GZ370" s="641"/>
      <c r="HA370" s="631" t="s">
        <v>265</v>
      </c>
      <c r="HB370" s="632"/>
      <c r="HC370" s="16"/>
      <c r="HD370" s="636">
        <v>0.13500000000000001</v>
      </c>
      <c r="HE370" s="636">
        <v>0.12</v>
      </c>
      <c r="HF370" s="636">
        <v>0.13</v>
      </c>
      <c r="HG370" s="636">
        <v>0.12</v>
      </c>
      <c r="HH370" s="636">
        <v>0.12</v>
      </c>
      <c r="HI370" s="649">
        <v>0.12</v>
      </c>
      <c r="HJ370" s="16"/>
      <c r="HK370" s="320">
        <v>0.10100000000000001</v>
      </c>
      <c r="HL370" s="153"/>
      <c r="HM370" s="153"/>
      <c r="HN370" s="153"/>
      <c r="HO370" s="648"/>
      <c r="HP370" s="641"/>
      <c r="HQ370" s="631" t="s">
        <v>265</v>
      </c>
      <c r="HR370" s="632"/>
      <c r="HS370" s="16"/>
      <c r="HT370" s="636">
        <v>0.13500000000000001</v>
      </c>
      <c r="HU370" s="636">
        <v>0.12</v>
      </c>
      <c r="HV370" s="636">
        <v>0.13</v>
      </c>
      <c r="HW370" s="636">
        <v>0.12</v>
      </c>
      <c r="HX370" s="636">
        <v>0.12</v>
      </c>
      <c r="HY370" s="649">
        <v>0.12</v>
      </c>
      <c r="HZ370" s="16"/>
      <c r="IA370" s="320">
        <v>0.10100000000000001</v>
      </c>
      <c r="IB370" s="153"/>
      <c r="IC370" s="153"/>
      <c r="ID370" s="153"/>
      <c r="IE370" s="648"/>
      <c r="IF370" s="641"/>
      <c r="IG370" s="631" t="s">
        <v>265</v>
      </c>
      <c r="IH370" s="632"/>
      <c r="II370" s="16"/>
      <c r="IJ370" s="636">
        <v>0.13500000000000001</v>
      </c>
      <c r="IK370" s="636">
        <v>0.12</v>
      </c>
      <c r="IL370" s="636">
        <v>0.13</v>
      </c>
      <c r="IM370" s="636">
        <v>0.12</v>
      </c>
      <c r="IN370" s="636">
        <v>0.12</v>
      </c>
      <c r="IO370" s="649">
        <v>0.12</v>
      </c>
      <c r="IP370" s="16"/>
      <c r="IQ370" s="320">
        <v>0.10100000000000001</v>
      </c>
      <c r="IR370" s="153"/>
      <c r="IS370" s="153"/>
      <c r="IT370" s="153"/>
      <c r="IU370" s="648"/>
      <c r="IV370" s="641"/>
      <c r="IW370" s="631" t="s">
        <v>265</v>
      </c>
      <c r="IX370" s="632"/>
      <c r="IY370" s="16"/>
      <c r="IZ370" s="636">
        <v>0.13500000000000001</v>
      </c>
      <c r="JA370" s="636">
        <v>0.12</v>
      </c>
      <c r="JB370" s="636">
        <v>0.13</v>
      </c>
      <c r="JC370" s="636">
        <v>0.12</v>
      </c>
      <c r="JD370" s="636">
        <v>0.12</v>
      </c>
      <c r="JE370" s="649">
        <v>0.12</v>
      </c>
      <c r="JF370" s="16"/>
      <c r="JG370" s="320">
        <v>0.10100000000000001</v>
      </c>
      <c r="JH370" s="153"/>
      <c r="JI370" s="153"/>
      <c r="JJ370" s="153"/>
      <c r="JK370" s="648"/>
      <c r="JL370" s="641"/>
      <c r="JM370" s="631" t="s">
        <v>265</v>
      </c>
      <c r="JN370" s="632"/>
      <c r="JO370" s="16"/>
      <c r="JP370" s="636">
        <v>0.13500000000000001</v>
      </c>
      <c r="JQ370" s="636">
        <v>0.12</v>
      </c>
      <c r="JR370" s="636">
        <v>0.13</v>
      </c>
      <c r="JS370" s="636">
        <v>0.12</v>
      </c>
      <c r="JT370" s="636">
        <v>0.12</v>
      </c>
      <c r="JU370" s="649">
        <v>0.12</v>
      </c>
      <c r="JV370" s="16"/>
      <c r="JW370" s="320">
        <v>0.10100000000000001</v>
      </c>
      <c r="JX370" s="153"/>
      <c r="JY370" s="153"/>
      <c r="JZ370" s="153"/>
      <c r="KA370" s="648"/>
      <c r="KB370" s="641"/>
      <c r="KC370" s="631" t="s">
        <v>265</v>
      </c>
      <c r="KD370" s="632"/>
      <c r="KE370" s="16"/>
      <c r="KF370" s="636">
        <v>0.13500000000000001</v>
      </c>
      <c r="KG370" s="636">
        <v>0.12</v>
      </c>
      <c r="KH370" s="636">
        <v>0.13</v>
      </c>
      <c r="KI370" s="636">
        <v>0.12</v>
      </c>
      <c r="KJ370" s="636">
        <v>0.12</v>
      </c>
      <c r="KK370" s="649">
        <v>0.12</v>
      </c>
      <c r="KL370" s="16"/>
      <c r="KM370" s="320">
        <v>0.10100000000000001</v>
      </c>
      <c r="KN370" s="153"/>
      <c r="KO370" s="153"/>
      <c r="KP370" s="153"/>
      <c r="KQ370" s="648"/>
      <c r="KR370" s="641"/>
      <c r="KS370" s="631" t="s">
        <v>265</v>
      </c>
      <c r="KT370" s="632"/>
      <c r="KU370" s="16"/>
      <c r="KV370" s="636">
        <v>0.13500000000000001</v>
      </c>
      <c r="KW370" s="636">
        <v>0.12</v>
      </c>
      <c r="KX370" s="636">
        <v>0.13</v>
      </c>
      <c r="KY370" s="636">
        <v>0.12</v>
      </c>
      <c r="KZ370" s="636">
        <v>0.12</v>
      </c>
      <c r="LA370" s="649">
        <v>0.12</v>
      </c>
      <c r="LB370" s="16"/>
      <c r="LC370" s="320">
        <v>0.10100000000000001</v>
      </c>
      <c r="LD370" s="153"/>
      <c r="LE370" s="153"/>
      <c r="LF370" s="153"/>
      <c r="LG370" s="648"/>
      <c r="LH370" s="641"/>
      <c r="LI370" s="631" t="s">
        <v>265</v>
      </c>
      <c r="LJ370" s="632"/>
      <c r="LK370" s="16"/>
      <c r="LL370" s="636">
        <v>0.13500000000000001</v>
      </c>
      <c r="LM370" s="636">
        <v>0.12</v>
      </c>
      <c r="LN370" s="636">
        <v>0.13</v>
      </c>
      <c r="LO370" s="636">
        <v>0.12</v>
      </c>
      <c r="LP370" s="636">
        <v>0.12</v>
      </c>
      <c r="LQ370" s="649">
        <v>0.12</v>
      </c>
      <c r="LR370" s="16"/>
      <c r="LS370" s="320">
        <v>0.10100000000000001</v>
      </c>
      <c r="LT370" s="153"/>
      <c r="LU370" s="153"/>
      <c r="LV370" s="153"/>
      <c r="LW370" s="648"/>
      <c r="LX370" s="641"/>
      <c r="LY370" s="631" t="s">
        <v>265</v>
      </c>
      <c r="LZ370" s="632"/>
      <c r="MA370" s="16"/>
      <c r="MB370" s="636">
        <v>0.13500000000000001</v>
      </c>
      <c r="MC370" s="636">
        <v>0.12</v>
      </c>
      <c r="MD370" s="636">
        <v>0.13</v>
      </c>
      <c r="ME370" s="636">
        <v>0.12</v>
      </c>
      <c r="MF370" s="636">
        <v>0.12</v>
      </c>
      <c r="MG370" s="649">
        <v>0.12</v>
      </c>
      <c r="MH370" s="16"/>
      <c r="MI370" s="320">
        <v>0.10100000000000001</v>
      </c>
      <c r="MJ370" s="153"/>
      <c r="MK370" s="153"/>
      <c r="ML370" s="153"/>
      <c r="MM370" s="648"/>
      <c r="MN370" s="641"/>
      <c r="MO370" s="631" t="s">
        <v>265</v>
      </c>
      <c r="MP370" s="632"/>
      <c r="MQ370" s="16"/>
      <c r="MR370" s="636">
        <v>0.13500000000000001</v>
      </c>
      <c r="MS370" s="636">
        <v>0.12</v>
      </c>
      <c r="MT370" s="636">
        <v>0.13</v>
      </c>
      <c r="MU370" s="636">
        <v>0.12</v>
      </c>
      <c r="MV370" s="636">
        <v>0.12</v>
      </c>
      <c r="MW370" s="649">
        <v>0.12</v>
      </c>
      <c r="MX370" s="16"/>
      <c r="MY370" s="320">
        <v>0.10100000000000001</v>
      </c>
      <c r="MZ370" s="153"/>
      <c r="NA370" s="153"/>
      <c r="NB370" s="153"/>
      <c r="NC370" s="648"/>
      <c r="ND370" s="641"/>
      <c r="NE370" s="631" t="s">
        <v>265</v>
      </c>
      <c r="NF370" s="632"/>
      <c r="NG370" s="16"/>
      <c r="NH370" s="636">
        <v>0.13500000000000001</v>
      </c>
      <c r="NI370" s="636">
        <v>0.12</v>
      </c>
      <c r="NJ370" s="636">
        <v>0.13</v>
      </c>
      <c r="NK370" s="636">
        <v>0.12</v>
      </c>
      <c r="NL370" s="636">
        <v>0.12</v>
      </c>
      <c r="NM370" s="649">
        <v>0.12</v>
      </c>
      <c r="NN370" s="16"/>
      <c r="NO370" s="320">
        <v>0.10100000000000001</v>
      </c>
      <c r="NP370" s="153"/>
      <c r="NQ370" s="153"/>
      <c r="NR370" s="153"/>
      <c r="NS370" s="648"/>
      <c r="NT370" s="641"/>
      <c r="NU370" s="631" t="s">
        <v>265</v>
      </c>
      <c r="NV370" s="632"/>
      <c r="NW370" s="16"/>
      <c r="NX370" s="636">
        <v>0.13500000000000001</v>
      </c>
      <c r="NY370" s="636">
        <v>0.12</v>
      </c>
      <c r="NZ370" s="636">
        <v>0.13</v>
      </c>
      <c r="OA370" s="636">
        <v>0.12</v>
      </c>
      <c r="OB370" s="636">
        <v>0.12</v>
      </c>
      <c r="OC370" s="649">
        <v>0.12</v>
      </c>
      <c r="OD370" s="16"/>
      <c r="OE370" s="320">
        <v>0.10100000000000001</v>
      </c>
      <c r="OF370" s="153"/>
      <c r="OG370" s="153"/>
      <c r="OH370" s="153"/>
      <c r="OI370" s="648"/>
      <c r="OJ370" s="641"/>
      <c r="OK370" s="631" t="s">
        <v>265</v>
      </c>
      <c r="OL370" s="632"/>
      <c r="OM370" s="16"/>
      <c r="ON370" s="636">
        <v>0.13500000000000001</v>
      </c>
      <c r="OO370" s="636">
        <v>0.12</v>
      </c>
      <c r="OP370" s="636">
        <v>0.13</v>
      </c>
      <c r="OQ370" s="636">
        <v>0.12</v>
      </c>
      <c r="OR370" s="636">
        <v>0.12</v>
      </c>
      <c r="OS370" s="649">
        <v>0.12</v>
      </c>
      <c r="OT370" s="16"/>
      <c r="OU370" s="320">
        <v>0.10100000000000001</v>
      </c>
      <c r="OV370" s="153"/>
      <c r="OW370" s="153"/>
      <c r="OX370" s="153"/>
      <c r="OY370" s="648"/>
      <c r="OZ370" s="641"/>
      <c r="PA370" s="631" t="s">
        <v>265</v>
      </c>
      <c r="PB370" s="632"/>
      <c r="PC370" s="16"/>
      <c r="PD370" s="636">
        <v>0.13500000000000001</v>
      </c>
      <c r="PE370" s="636">
        <v>0.12</v>
      </c>
      <c r="PF370" s="636">
        <v>0.13</v>
      </c>
      <c r="PG370" s="636">
        <v>0.12</v>
      </c>
      <c r="PH370" s="636">
        <v>0.12</v>
      </c>
      <c r="PI370" s="649">
        <v>0.12</v>
      </c>
      <c r="PJ370" s="16"/>
      <c r="PK370" s="320">
        <v>0.10100000000000001</v>
      </c>
      <c r="PL370" s="153"/>
      <c r="PM370" s="153"/>
      <c r="PN370" s="153"/>
      <c r="PO370" s="648"/>
      <c r="PP370" s="641"/>
      <c r="PQ370" s="631" t="s">
        <v>265</v>
      </c>
      <c r="PR370" s="632"/>
      <c r="PS370" s="16"/>
      <c r="PT370" s="636">
        <v>0.13500000000000001</v>
      </c>
      <c r="PU370" s="636">
        <v>0.12</v>
      </c>
      <c r="PV370" s="636">
        <v>0.13</v>
      </c>
      <c r="PW370" s="636">
        <v>0.12</v>
      </c>
      <c r="PX370" s="636">
        <v>0.12</v>
      </c>
      <c r="PY370" s="649">
        <v>0.12</v>
      </c>
      <c r="PZ370" s="16"/>
      <c r="QA370" s="320">
        <v>0.10100000000000001</v>
      </c>
      <c r="QB370" s="153"/>
      <c r="QC370" s="153"/>
      <c r="QD370" s="153"/>
      <c r="QE370" s="648"/>
      <c r="QF370" s="641"/>
      <c r="QG370" s="631" t="s">
        <v>265</v>
      </c>
      <c r="QH370" s="632"/>
      <c r="QI370" s="16"/>
      <c r="QJ370" s="636">
        <v>0.13500000000000001</v>
      </c>
      <c r="QK370" s="636">
        <v>0.12</v>
      </c>
      <c r="QL370" s="636">
        <v>0.13</v>
      </c>
      <c r="QM370" s="636">
        <v>0.12</v>
      </c>
      <c r="QN370" s="636">
        <v>0.12</v>
      </c>
      <c r="QO370" s="649">
        <v>0.12</v>
      </c>
      <c r="QP370" s="16"/>
      <c r="QQ370" s="320">
        <v>0.10100000000000001</v>
      </c>
      <c r="QR370" s="153"/>
      <c r="QS370" s="153"/>
      <c r="QT370" s="153"/>
      <c r="QU370" s="648"/>
      <c r="QV370" s="641"/>
      <c r="QW370" s="631" t="s">
        <v>265</v>
      </c>
      <c r="QX370" s="632"/>
      <c r="QY370" s="16"/>
      <c r="QZ370" s="636">
        <v>0.13500000000000001</v>
      </c>
      <c r="RA370" s="636">
        <v>0.12</v>
      </c>
      <c r="RB370" s="636">
        <v>0.13</v>
      </c>
      <c r="RC370" s="636">
        <v>0.12</v>
      </c>
      <c r="RD370" s="636">
        <v>0.12</v>
      </c>
      <c r="RE370" s="649">
        <v>0.12</v>
      </c>
      <c r="RF370" s="16"/>
      <c r="RG370" s="320">
        <v>0.10100000000000001</v>
      </c>
      <c r="RH370" s="153"/>
      <c r="RI370" s="153"/>
      <c r="RJ370" s="153"/>
      <c r="RK370" s="648"/>
      <c r="RL370" s="641"/>
      <c r="RM370" s="631" t="s">
        <v>265</v>
      </c>
      <c r="RN370" s="632"/>
      <c r="RO370" s="16"/>
      <c r="RP370" s="636">
        <v>0.13500000000000001</v>
      </c>
      <c r="RQ370" s="636">
        <v>0.12</v>
      </c>
      <c r="RR370" s="636">
        <v>0.13</v>
      </c>
      <c r="RS370" s="636">
        <v>0.12</v>
      </c>
      <c r="RT370" s="636">
        <v>0.12</v>
      </c>
      <c r="RU370" s="649">
        <v>0.12</v>
      </c>
      <c r="RV370" s="16"/>
      <c r="RW370" s="320">
        <v>0.10100000000000001</v>
      </c>
      <c r="RX370" s="153"/>
      <c r="RY370" s="153"/>
      <c r="RZ370" s="153"/>
      <c r="SA370" s="648"/>
      <c r="SB370" s="641"/>
      <c r="SC370" s="631" t="s">
        <v>265</v>
      </c>
      <c r="SD370" s="632"/>
      <c r="SE370" s="16"/>
      <c r="SF370" s="636">
        <v>0.13500000000000001</v>
      </c>
      <c r="SG370" s="636">
        <v>0.12</v>
      </c>
      <c r="SH370" s="636">
        <v>0.13</v>
      </c>
      <c r="SI370" s="636">
        <v>0.12</v>
      </c>
      <c r="SJ370" s="636">
        <v>0.12</v>
      </c>
      <c r="SK370" s="649">
        <v>0.12</v>
      </c>
      <c r="SL370" s="16"/>
      <c r="SM370" s="320">
        <v>0.10100000000000001</v>
      </c>
      <c r="SN370" s="153"/>
      <c r="SO370" s="153"/>
      <c r="SP370" s="153"/>
      <c r="SQ370" s="648"/>
      <c r="SR370" s="641"/>
      <c r="SS370" s="631" t="s">
        <v>265</v>
      </c>
      <c r="ST370" s="632"/>
      <c r="SU370" s="16"/>
      <c r="SV370" s="636">
        <v>0.13500000000000001</v>
      </c>
      <c r="SW370" s="636">
        <v>0.12</v>
      </c>
      <c r="SX370" s="636">
        <v>0.13</v>
      </c>
      <c r="SY370" s="636">
        <v>0.12</v>
      </c>
      <c r="SZ370" s="636">
        <v>0.12</v>
      </c>
      <c r="TA370" s="649">
        <v>0.12</v>
      </c>
      <c r="TB370" s="16"/>
      <c r="TC370" s="320">
        <v>0.10100000000000001</v>
      </c>
      <c r="TD370" s="153"/>
      <c r="TE370" s="153"/>
      <c r="TF370" s="153"/>
      <c r="TG370" s="648"/>
      <c r="TH370" s="641"/>
      <c r="TI370" s="631" t="s">
        <v>265</v>
      </c>
      <c r="TJ370" s="632"/>
      <c r="TK370" s="16"/>
      <c r="TL370" s="636">
        <v>0.13500000000000001</v>
      </c>
      <c r="TM370" s="636">
        <v>0.12</v>
      </c>
      <c r="TN370" s="636">
        <v>0.13</v>
      </c>
      <c r="TO370" s="636">
        <v>0.12</v>
      </c>
      <c r="TP370" s="636">
        <v>0.12</v>
      </c>
      <c r="TQ370" s="649">
        <v>0.12</v>
      </c>
      <c r="TR370" s="16"/>
      <c r="TS370" s="320">
        <v>0.10100000000000001</v>
      </c>
      <c r="TT370" s="153"/>
      <c r="TU370" s="153"/>
      <c r="TV370" s="153"/>
      <c r="TW370" s="648"/>
      <c r="TX370" s="641"/>
      <c r="TY370" s="631" t="s">
        <v>265</v>
      </c>
      <c r="TZ370" s="632"/>
      <c r="UA370" s="16"/>
      <c r="UB370" s="636">
        <v>0.13500000000000001</v>
      </c>
      <c r="UC370" s="636">
        <v>0.12</v>
      </c>
      <c r="UD370" s="636">
        <v>0.13</v>
      </c>
      <c r="UE370" s="636">
        <v>0.12</v>
      </c>
      <c r="UF370" s="636">
        <v>0.12</v>
      </c>
      <c r="UG370" s="649">
        <v>0.12</v>
      </c>
      <c r="UH370" s="16"/>
      <c r="UI370" s="320">
        <v>0.10100000000000001</v>
      </c>
      <c r="UJ370" s="153"/>
      <c r="UK370" s="153"/>
      <c r="UL370" s="153"/>
      <c r="UM370" s="648"/>
      <c r="UN370" s="641"/>
      <c r="UO370" s="631" t="s">
        <v>265</v>
      </c>
      <c r="UP370" s="632"/>
      <c r="UQ370" s="16"/>
      <c r="UR370" s="636">
        <v>0.13500000000000001</v>
      </c>
      <c r="US370" s="636">
        <v>0.12</v>
      </c>
      <c r="UT370" s="636">
        <v>0.13</v>
      </c>
      <c r="UU370" s="636">
        <v>0.12</v>
      </c>
      <c r="UV370" s="636">
        <v>0.12</v>
      </c>
      <c r="UW370" s="649">
        <v>0.12</v>
      </c>
      <c r="UX370" s="16"/>
      <c r="UY370" s="320">
        <v>0.10100000000000001</v>
      </c>
      <c r="UZ370" s="153"/>
      <c r="VA370" s="153"/>
      <c r="VB370" s="153"/>
      <c r="VC370" s="648"/>
      <c r="VD370" s="641"/>
      <c r="VE370" s="631" t="s">
        <v>265</v>
      </c>
      <c r="VF370" s="632"/>
      <c r="VG370" s="16"/>
      <c r="VH370" s="636">
        <v>0.13500000000000001</v>
      </c>
      <c r="VI370" s="636">
        <v>0.12</v>
      </c>
      <c r="VJ370" s="636">
        <v>0.13</v>
      </c>
      <c r="VK370" s="636">
        <v>0.12</v>
      </c>
      <c r="VL370" s="636">
        <v>0.12</v>
      </c>
      <c r="VM370" s="649">
        <v>0.12</v>
      </c>
      <c r="VN370" s="16"/>
      <c r="VO370" s="320">
        <v>0.10100000000000001</v>
      </c>
      <c r="VP370" s="153"/>
      <c r="VQ370" s="153"/>
      <c r="VR370" s="153"/>
      <c r="VS370" s="648"/>
      <c r="VT370" s="641"/>
      <c r="VU370" s="631" t="s">
        <v>265</v>
      </c>
      <c r="VV370" s="632"/>
      <c r="VW370" s="16"/>
      <c r="VX370" s="636">
        <v>0.13500000000000001</v>
      </c>
      <c r="VY370" s="636">
        <v>0.12</v>
      </c>
      <c r="VZ370" s="636">
        <v>0.13</v>
      </c>
      <c r="WA370" s="636">
        <v>0.12</v>
      </c>
      <c r="WB370" s="636">
        <v>0.12</v>
      </c>
      <c r="WC370" s="649">
        <v>0.12</v>
      </c>
      <c r="WD370" s="16"/>
      <c r="WE370" s="320">
        <v>0.10100000000000001</v>
      </c>
      <c r="WF370" s="153"/>
      <c r="WG370" s="153"/>
      <c r="WH370" s="153"/>
      <c r="WI370" s="648"/>
      <c r="WJ370" s="641"/>
      <c r="WK370" s="631" t="s">
        <v>265</v>
      </c>
      <c r="WL370" s="632"/>
      <c r="WM370" s="16"/>
      <c r="WN370" s="636">
        <v>0.13500000000000001</v>
      </c>
      <c r="WO370" s="636">
        <v>0.12</v>
      </c>
      <c r="WP370" s="636">
        <v>0.13</v>
      </c>
      <c r="WQ370" s="636">
        <v>0.12</v>
      </c>
      <c r="WR370" s="636">
        <v>0.12</v>
      </c>
      <c r="WS370" s="649">
        <v>0.12</v>
      </c>
      <c r="WT370" s="16"/>
      <c r="WU370" s="320">
        <v>0.10100000000000001</v>
      </c>
      <c r="WV370" s="153"/>
      <c r="WW370" s="153"/>
      <c r="WX370" s="153"/>
      <c r="WY370" s="648"/>
      <c r="WZ370" s="641"/>
      <c r="XA370" s="631" t="s">
        <v>265</v>
      </c>
      <c r="XB370" s="632"/>
      <c r="XC370" s="16"/>
      <c r="XD370" s="636">
        <v>0.13500000000000001</v>
      </c>
      <c r="XE370" s="636">
        <v>0.12</v>
      </c>
      <c r="XF370" s="636">
        <v>0.13</v>
      </c>
      <c r="XG370" s="636">
        <v>0.12</v>
      </c>
      <c r="XH370" s="636">
        <v>0.12</v>
      </c>
      <c r="XI370" s="649">
        <v>0.12</v>
      </c>
      <c r="XJ370" s="16"/>
      <c r="XK370" s="320">
        <v>0.10100000000000001</v>
      </c>
      <c r="XL370" s="153"/>
      <c r="XM370" s="153"/>
      <c r="XN370" s="153"/>
      <c r="XO370" s="648"/>
      <c r="XP370" s="641"/>
      <c r="XQ370" s="631" t="s">
        <v>265</v>
      </c>
      <c r="XR370" s="632"/>
      <c r="XS370" s="16"/>
      <c r="XT370" s="636">
        <v>0.13500000000000001</v>
      </c>
      <c r="XU370" s="636">
        <v>0.12</v>
      </c>
      <c r="XV370" s="636">
        <v>0.13</v>
      </c>
      <c r="XW370" s="636">
        <v>0.12</v>
      </c>
      <c r="XX370" s="636">
        <v>0.12</v>
      </c>
      <c r="XY370" s="649">
        <v>0.12</v>
      </c>
      <c r="XZ370" s="16"/>
      <c r="YA370" s="320">
        <v>0.10100000000000001</v>
      </c>
      <c r="YB370" s="153"/>
      <c r="YC370" s="153"/>
      <c r="YD370" s="153"/>
      <c r="YE370" s="648"/>
      <c r="YF370" s="641"/>
      <c r="YG370" s="631" t="s">
        <v>265</v>
      </c>
      <c r="YH370" s="632"/>
      <c r="YI370" s="16"/>
      <c r="YJ370" s="636">
        <v>0.13500000000000001</v>
      </c>
      <c r="YK370" s="636">
        <v>0.12</v>
      </c>
      <c r="YL370" s="636">
        <v>0.13</v>
      </c>
      <c r="YM370" s="636">
        <v>0.12</v>
      </c>
      <c r="YN370" s="636">
        <v>0.12</v>
      </c>
      <c r="YO370" s="649">
        <v>0.12</v>
      </c>
      <c r="YP370" s="16"/>
      <c r="YQ370" s="320">
        <v>0.10100000000000001</v>
      </c>
      <c r="YR370" s="153"/>
      <c r="YS370" s="153"/>
      <c r="YT370" s="153"/>
      <c r="YU370" s="648"/>
      <c r="YV370" s="641"/>
      <c r="YW370" s="631" t="s">
        <v>265</v>
      </c>
      <c r="YX370" s="632"/>
      <c r="YY370" s="16"/>
      <c r="YZ370" s="636">
        <v>0.13500000000000001</v>
      </c>
      <c r="ZA370" s="636">
        <v>0.12</v>
      </c>
      <c r="ZB370" s="636">
        <v>0.13</v>
      </c>
      <c r="ZC370" s="636">
        <v>0.12</v>
      </c>
      <c r="ZD370" s="636">
        <v>0.12</v>
      </c>
      <c r="ZE370" s="649">
        <v>0.12</v>
      </c>
      <c r="ZF370" s="16"/>
      <c r="ZG370" s="320">
        <v>0.10100000000000001</v>
      </c>
      <c r="ZH370" s="153"/>
      <c r="ZI370" s="153"/>
      <c r="ZJ370" s="153"/>
      <c r="ZK370" s="648"/>
      <c r="ZL370" s="641"/>
      <c r="ZM370" s="631" t="s">
        <v>265</v>
      </c>
      <c r="ZN370" s="632"/>
      <c r="ZO370" s="16"/>
      <c r="ZP370" s="636">
        <v>0.13500000000000001</v>
      </c>
      <c r="ZQ370" s="636">
        <v>0.12</v>
      </c>
      <c r="ZR370" s="636">
        <v>0.13</v>
      </c>
      <c r="ZS370" s="636">
        <v>0.12</v>
      </c>
      <c r="ZT370" s="636">
        <v>0.12</v>
      </c>
      <c r="ZU370" s="649">
        <v>0.12</v>
      </c>
      <c r="ZV370" s="16"/>
      <c r="ZW370" s="320">
        <v>0.10100000000000001</v>
      </c>
      <c r="ZX370" s="153"/>
      <c r="ZY370" s="153"/>
      <c r="ZZ370" s="153"/>
      <c r="AAA370" s="648"/>
      <c r="AAB370" s="641"/>
      <c r="AAC370" s="631" t="s">
        <v>265</v>
      </c>
      <c r="AAD370" s="632"/>
      <c r="AAE370" s="16"/>
      <c r="AAF370" s="636">
        <v>0.13500000000000001</v>
      </c>
      <c r="AAG370" s="636">
        <v>0.12</v>
      </c>
      <c r="AAH370" s="636">
        <v>0.13</v>
      </c>
      <c r="AAI370" s="636">
        <v>0.12</v>
      </c>
      <c r="AAJ370" s="636">
        <v>0.12</v>
      </c>
      <c r="AAK370" s="649">
        <v>0.12</v>
      </c>
      <c r="AAL370" s="16"/>
      <c r="AAM370" s="320">
        <v>0.10100000000000001</v>
      </c>
      <c r="AAN370" s="153"/>
      <c r="AAO370" s="153"/>
      <c r="AAP370" s="153"/>
      <c r="AAQ370" s="648"/>
      <c r="AAR370" s="641"/>
      <c r="AAS370" s="631" t="s">
        <v>265</v>
      </c>
      <c r="AAT370" s="632"/>
      <c r="AAU370" s="16"/>
      <c r="AAV370" s="636">
        <v>0.13500000000000001</v>
      </c>
      <c r="AAW370" s="636">
        <v>0.12</v>
      </c>
      <c r="AAX370" s="636">
        <v>0.13</v>
      </c>
      <c r="AAY370" s="636">
        <v>0.12</v>
      </c>
      <c r="AAZ370" s="636">
        <v>0.12</v>
      </c>
      <c r="ABA370" s="649">
        <v>0.12</v>
      </c>
      <c r="ABB370" s="16"/>
      <c r="ABC370" s="320">
        <v>0.10100000000000001</v>
      </c>
      <c r="ABD370" s="153"/>
      <c r="ABE370" s="153"/>
      <c r="ABF370" s="153"/>
      <c r="ABG370" s="648"/>
      <c r="ABH370" s="641"/>
      <c r="ABI370" s="631" t="s">
        <v>265</v>
      </c>
      <c r="ABJ370" s="632"/>
      <c r="ABK370" s="16"/>
      <c r="ABL370" s="636">
        <v>0.13500000000000001</v>
      </c>
      <c r="ABM370" s="636">
        <v>0.12</v>
      </c>
      <c r="ABN370" s="636">
        <v>0.13</v>
      </c>
      <c r="ABO370" s="636">
        <v>0.12</v>
      </c>
      <c r="ABP370" s="636">
        <v>0.12</v>
      </c>
      <c r="ABQ370" s="649">
        <v>0.12</v>
      </c>
      <c r="ABR370" s="16"/>
      <c r="ABS370" s="320">
        <v>0.10100000000000001</v>
      </c>
      <c r="ABT370" s="153"/>
      <c r="ABU370" s="153"/>
      <c r="ABV370" s="153"/>
      <c r="ABW370" s="648"/>
      <c r="ABX370" s="641"/>
      <c r="ABY370" s="631" t="s">
        <v>265</v>
      </c>
      <c r="ABZ370" s="632"/>
      <c r="ACA370" s="16"/>
      <c r="ACB370" s="636">
        <v>0.13500000000000001</v>
      </c>
      <c r="ACC370" s="636">
        <v>0.12</v>
      </c>
      <c r="ACD370" s="636">
        <v>0.13</v>
      </c>
      <c r="ACE370" s="636">
        <v>0.12</v>
      </c>
      <c r="ACF370" s="636">
        <v>0.12</v>
      </c>
      <c r="ACG370" s="649">
        <v>0.12</v>
      </c>
      <c r="ACH370" s="16"/>
      <c r="ACI370" s="320">
        <v>0.10100000000000001</v>
      </c>
      <c r="ACJ370" s="153"/>
      <c r="ACK370" s="153"/>
      <c r="ACL370" s="153"/>
      <c r="ACM370" s="648"/>
      <c r="ACN370" s="641"/>
      <c r="ACO370" s="631" t="s">
        <v>265</v>
      </c>
      <c r="ACP370" s="632"/>
      <c r="ACQ370" s="16"/>
      <c r="ACR370" s="636">
        <v>0.13500000000000001</v>
      </c>
      <c r="ACS370" s="636">
        <v>0.12</v>
      </c>
      <c r="ACT370" s="636">
        <v>0.13</v>
      </c>
      <c r="ACU370" s="636">
        <v>0.12</v>
      </c>
      <c r="ACV370" s="636">
        <v>0.12</v>
      </c>
      <c r="ACW370" s="649">
        <v>0.12</v>
      </c>
      <c r="ACX370" s="16"/>
      <c r="ACY370" s="320">
        <v>0.10100000000000001</v>
      </c>
      <c r="ACZ370" s="153"/>
      <c r="ADA370" s="153"/>
      <c r="ADB370" s="153"/>
      <c r="ADC370" s="648"/>
      <c r="ADD370" s="641"/>
      <c r="ADE370" s="631" t="s">
        <v>265</v>
      </c>
      <c r="ADF370" s="632"/>
      <c r="ADG370" s="16"/>
      <c r="ADH370" s="636">
        <v>0.13500000000000001</v>
      </c>
      <c r="ADI370" s="636">
        <v>0.12</v>
      </c>
      <c r="ADJ370" s="636">
        <v>0.13</v>
      </c>
      <c r="ADK370" s="636">
        <v>0.12</v>
      </c>
      <c r="ADL370" s="636">
        <v>0.12</v>
      </c>
      <c r="ADM370" s="649">
        <v>0.12</v>
      </c>
      <c r="ADN370" s="16"/>
      <c r="ADO370" s="320">
        <v>0.10100000000000001</v>
      </c>
      <c r="ADP370" s="153"/>
      <c r="ADQ370" s="153"/>
      <c r="ADR370" s="153"/>
      <c r="ADS370" s="648"/>
      <c r="ADT370" s="641"/>
      <c r="ADU370" s="631" t="s">
        <v>265</v>
      </c>
      <c r="ADV370" s="632"/>
      <c r="ADW370" s="16"/>
      <c r="ADX370" s="636">
        <v>0.13500000000000001</v>
      </c>
      <c r="ADY370" s="636">
        <v>0.12</v>
      </c>
      <c r="ADZ370" s="636">
        <v>0.13</v>
      </c>
      <c r="AEA370" s="636">
        <v>0.12</v>
      </c>
      <c r="AEB370" s="636">
        <v>0.12</v>
      </c>
      <c r="AEC370" s="649">
        <v>0.12</v>
      </c>
      <c r="AED370" s="16"/>
      <c r="AEE370" s="320">
        <v>0.10100000000000001</v>
      </c>
      <c r="AEF370" s="153"/>
      <c r="AEG370" s="153"/>
      <c r="AEH370" s="153"/>
      <c r="AEI370" s="648"/>
      <c r="AEJ370" s="641"/>
      <c r="AEK370" s="631" t="s">
        <v>265</v>
      </c>
      <c r="AEL370" s="632"/>
      <c r="AEM370" s="16"/>
      <c r="AEN370" s="636">
        <v>0.13500000000000001</v>
      </c>
      <c r="AEO370" s="636">
        <v>0.12</v>
      </c>
      <c r="AEP370" s="636">
        <v>0.13</v>
      </c>
      <c r="AEQ370" s="636">
        <v>0.12</v>
      </c>
      <c r="AER370" s="636">
        <v>0.12</v>
      </c>
      <c r="AES370" s="649">
        <v>0.12</v>
      </c>
      <c r="AET370" s="16"/>
      <c r="AEU370" s="320">
        <v>0.10100000000000001</v>
      </c>
      <c r="AEV370" s="153"/>
      <c r="AEW370" s="153"/>
      <c r="AEX370" s="153"/>
      <c r="AEY370" s="648"/>
      <c r="AEZ370" s="641"/>
      <c r="AFA370" s="631" t="s">
        <v>265</v>
      </c>
      <c r="AFB370" s="632"/>
      <c r="AFC370" s="16"/>
      <c r="AFD370" s="636">
        <v>0.13500000000000001</v>
      </c>
      <c r="AFE370" s="636">
        <v>0.12</v>
      </c>
      <c r="AFF370" s="636">
        <v>0.13</v>
      </c>
      <c r="AFG370" s="636">
        <v>0.12</v>
      </c>
      <c r="AFH370" s="636">
        <v>0.12</v>
      </c>
      <c r="AFI370" s="649">
        <v>0.12</v>
      </c>
      <c r="AFJ370" s="16"/>
      <c r="AFK370" s="320">
        <v>0.10100000000000001</v>
      </c>
      <c r="AFL370" s="153"/>
      <c r="AFM370" s="153"/>
      <c r="AFN370" s="153"/>
      <c r="AFO370" s="648"/>
      <c r="AFP370" s="641"/>
      <c r="AFQ370" s="631" t="s">
        <v>265</v>
      </c>
      <c r="AFR370" s="632"/>
      <c r="AFS370" s="16"/>
      <c r="AFT370" s="636">
        <v>0.13500000000000001</v>
      </c>
      <c r="AFU370" s="636">
        <v>0.12</v>
      </c>
      <c r="AFV370" s="636">
        <v>0.13</v>
      </c>
      <c r="AFW370" s="636">
        <v>0.12</v>
      </c>
      <c r="AFX370" s="636">
        <v>0.12</v>
      </c>
      <c r="AFY370" s="649">
        <v>0.12</v>
      </c>
      <c r="AFZ370" s="16"/>
      <c r="AGA370" s="320">
        <v>0.10100000000000001</v>
      </c>
      <c r="AGB370" s="153"/>
      <c r="AGC370" s="153"/>
      <c r="AGD370" s="153"/>
      <c r="AGE370" s="648"/>
      <c r="AGF370" s="641"/>
      <c r="AGG370" s="631" t="s">
        <v>265</v>
      </c>
      <c r="AGH370" s="632"/>
      <c r="AGI370" s="16"/>
      <c r="AGJ370" s="636">
        <v>0.13500000000000001</v>
      </c>
      <c r="AGK370" s="636">
        <v>0.12</v>
      </c>
      <c r="AGL370" s="636">
        <v>0.13</v>
      </c>
      <c r="AGM370" s="636">
        <v>0.12</v>
      </c>
      <c r="AGN370" s="636">
        <v>0.12</v>
      </c>
      <c r="AGO370" s="649">
        <v>0.12</v>
      </c>
      <c r="AGP370" s="16"/>
      <c r="AGQ370" s="320">
        <v>0.10100000000000001</v>
      </c>
      <c r="AGR370" s="153"/>
      <c r="AGS370" s="153"/>
      <c r="AGT370" s="153"/>
      <c r="AGU370" s="648"/>
      <c r="AGV370" s="641"/>
      <c r="AGW370" s="631" t="s">
        <v>265</v>
      </c>
      <c r="AGX370" s="632"/>
      <c r="AGY370" s="16"/>
      <c r="AGZ370" s="636">
        <v>0.13500000000000001</v>
      </c>
      <c r="AHA370" s="636">
        <v>0.12</v>
      </c>
      <c r="AHB370" s="636">
        <v>0.13</v>
      </c>
      <c r="AHC370" s="636">
        <v>0.12</v>
      </c>
      <c r="AHD370" s="636">
        <v>0.12</v>
      </c>
      <c r="AHE370" s="649">
        <v>0.12</v>
      </c>
      <c r="AHF370" s="16"/>
      <c r="AHG370" s="320">
        <v>0.10100000000000001</v>
      </c>
      <c r="AHH370" s="153"/>
      <c r="AHI370" s="153"/>
      <c r="AHJ370" s="153"/>
      <c r="AHK370" s="648"/>
      <c r="AHL370" s="641"/>
      <c r="AHM370" s="631" t="s">
        <v>265</v>
      </c>
      <c r="AHN370" s="632"/>
      <c r="AHO370" s="16"/>
      <c r="AHP370" s="636">
        <v>0.13500000000000001</v>
      </c>
      <c r="AHQ370" s="636">
        <v>0.12</v>
      </c>
      <c r="AHR370" s="636">
        <v>0.13</v>
      </c>
      <c r="AHS370" s="636">
        <v>0.12</v>
      </c>
      <c r="AHT370" s="636">
        <v>0.12</v>
      </c>
      <c r="AHU370" s="649">
        <v>0.12</v>
      </c>
      <c r="AHV370" s="16"/>
      <c r="AHW370" s="320">
        <v>0.10100000000000001</v>
      </c>
      <c r="AHX370" s="153"/>
      <c r="AHY370" s="153"/>
      <c r="AHZ370" s="153"/>
      <c r="AIA370" s="648"/>
      <c r="AIB370" s="641"/>
      <c r="AIC370" s="631" t="s">
        <v>265</v>
      </c>
      <c r="AID370" s="632"/>
      <c r="AIE370" s="16"/>
      <c r="AIF370" s="636">
        <v>0.13500000000000001</v>
      </c>
      <c r="AIG370" s="636">
        <v>0.12</v>
      </c>
      <c r="AIH370" s="636">
        <v>0.13</v>
      </c>
      <c r="AII370" s="636">
        <v>0.12</v>
      </c>
      <c r="AIJ370" s="636">
        <v>0.12</v>
      </c>
      <c r="AIK370" s="649">
        <v>0.12</v>
      </c>
      <c r="AIL370" s="16"/>
      <c r="AIM370" s="320">
        <v>0.10100000000000001</v>
      </c>
      <c r="AIN370" s="153"/>
      <c r="AIO370" s="153"/>
      <c r="AIP370" s="153"/>
      <c r="AIQ370" s="648"/>
      <c r="AIR370" s="641"/>
      <c r="AIS370" s="631" t="s">
        <v>265</v>
      </c>
      <c r="AIT370" s="632"/>
      <c r="AIU370" s="16"/>
      <c r="AIV370" s="636">
        <v>0.13500000000000001</v>
      </c>
      <c r="AIW370" s="636">
        <v>0.12</v>
      </c>
      <c r="AIX370" s="636">
        <v>0.13</v>
      </c>
      <c r="AIY370" s="636">
        <v>0.12</v>
      </c>
      <c r="AIZ370" s="636">
        <v>0.12</v>
      </c>
      <c r="AJA370" s="649">
        <v>0.12</v>
      </c>
      <c r="AJB370" s="16"/>
      <c r="AJC370" s="320">
        <v>0.10100000000000001</v>
      </c>
      <c r="AJD370" s="153"/>
      <c r="AJE370" s="153"/>
      <c r="AJF370" s="153"/>
      <c r="AJG370" s="648"/>
      <c r="AJH370" s="641"/>
      <c r="AJI370" s="631" t="s">
        <v>265</v>
      </c>
      <c r="AJJ370" s="632"/>
      <c r="AJK370" s="16"/>
      <c r="AJL370" s="636">
        <v>0.13500000000000001</v>
      </c>
      <c r="AJM370" s="636">
        <v>0.12</v>
      </c>
      <c r="AJN370" s="636">
        <v>0.13</v>
      </c>
      <c r="AJO370" s="636">
        <v>0.12</v>
      </c>
      <c r="AJP370" s="636">
        <v>0.12</v>
      </c>
      <c r="AJQ370" s="649">
        <v>0.12</v>
      </c>
      <c r="AJR370" s="16"/>
      <c r="AJS370" s="320">
        <v>0.10100000000000001</v>
      </c>
      <c r="AJT370" s="153"/>
      <c r="AJU370" s="153"/>
      <c r="AJV370" s="153"/>
      <c r="AJW370" s="648"/>
      <c r="AJX370" s="641"/>
      <c r="AJY370" s="631" t="s">
        <v>265</v>
      </c>
      <c r="AJZ370" s="632"/>
      <c r="AKA370" s="16"/>
      <c r="AKB370" s="636">
        <v>0.13500000000000001</v>
      </c>
      <c r="AKC370" s="636">
        <v>0.12</v>
      </c>
      <c r="AKD370" s="636">
        <v>0.13</v>
      </c>
      <c r="AKE370" s="636">
        <v>0.12</v>
      </c>
      <c r="AKF370" s="636">
        <v>0.12</v>
      </c>
      <c r="AKG370" s="649">
        <v>0.12</v>
      </c>
      <c r="AKH370" s="16"/>
      <c r="AKI370" s="320">
        <v>0.10100000000000001</v>
      </c>
      <c r="AKJ370" s="153"/>
      <c r="AKK370" s="153"/>
      <c r="AKL370" s="153"/>
      <c r="AKM370" s="648"/>
      <c r="AKN370" s="641"/>
      <c r="AKO370" s="631" t="s">
        <v>265</v>
      </c>
      <c r="AKP370" s="632"/>
      <c r="AKQ370" s="16"/>
      <c r="AKR370" s="636">
        <v>0.13500000000000001</v>
      </c>
      <c r="AKS370" s="636">
        <v>0.12</v>
      </c>
      <c r="AKT370" s="636">
        <v>0.13</v>
      </c>
      <c r="AKU370" s="636">
        <v>0.12</v>
      </c>
      <c r="AKV370" s="636">
        <v>0.12</v>
      </c>
      <c r="AKW370" s="649">
        <v>0.12</v>
      </c>
      <c r="AKX370" s="16"/>
      <c r="AKY370" s="320">
        <v>0.10100000000000001</v>
      </c>
      <c r="AKZ370" s="153"/>
      <c r="ALA370" s="153"/>
      <c r="ALB370" s="153"/>
      <c r="ALC370" s="648"/>
      <c r="ALD370" s="641"/>
      <c r="ALE370" s="631" t="s">
        <v>265</v>
      </c>
      <c r="ALF370" s="632"/>
      <c r="ALG370" s="16"/>
      <c r="ALH370" s="636">
        <v>0.13500000000000001</v>
      </c>
      <c r="ALI370" s="636">
        <v>0.12</v>
      </c>
      <c r="ALJ370" s="636">
        <v>0.13</v>
      </c>
      <c r="ALK370" s="636">
        <v>0.12</v>
      </c>
      <c r="ALL370" s="636">
        <v>0.12</v>
      </c>
      <c r="ALM370" s="649">
        <v>0.12</v>
      </c>
      <c r="ALN370" s="16"/>
      <c r="ALO370" s="320">
        <v>0.10100000000000001</v>
      </c>
      <c r="ALP370" s="153"/>
      <c r="ALQ370" s="153"/>
      <c r="ALR370" s="153"/>
      <c r="ALS370" s="648"/>
      <c r="ALT370" s="641"/>
      <c r="ALU370" s="631" t="s">
        <v>265</v>
      </c>
      <c r="ALV370" s="632"/>
      <c r="ALW370" s="16"/>
      <c r="ALX370" s="636">
        <v>0.13500000000000001</v>
      </c>
      <c r="ALY370" s="636">
        <v>0.12</v>
      </c>
      <c r="ALZ370" s="636">
        <v>0.13</v>
      </c>
      <c r="AMA370" s="636">
        <v>0.12</v>
      </c>
      <c r="AMB370" s="636">
        <v>0.12</v>
      </c>
      <c r="AMC370" s="649">
        <v>0.12</v>
      </c>
      <c r="AMD370" s="16"/>
      <c r="AME370" s="320">
        <v>0.10100000000000001</v>
      </c>
      <c r="AMF370" s="153"/>
      <c r="AMG370" s="153"/>
      <c r="AMH370" s="153"/>
      <c r="AMI370" s="648"/>
      <c r="AMJ370" s="641"/>
      <c r="AMK370" s="631" t="s">
        <v>265</v>
      </c>
      <c r="AML370" s="632"/>
      <c r="AMM370" s="16"/>
      <c r="AMN370" s="636">
        <v>0.13500000000000001</v>
      </c>
      <c r="AMO370" s="636">
        <v>0.12</v>
      </c>
      <c r="AMP370" s="636">
        <v>0.13</v>
      </c>
      <c r="AMQ370" s="636">
        <v>0.12</v>
      </c>
      <c r="AMR370" s="636">
        <v>0.12</v>
      </c>
      <c r="AMS370" s="649">
        <v>0.12</v>
      </c>
      <c r="AMT370" s="16"/>
      <c r="AMU370" s="320">
        <v>0.10100000000000001</v>
      </c>
      <c r="AMV370" s="153"/>
      <c r="AMW370" s="153"/>
      <c r="AMX370" s="153"/>
      <c r="AMY370" s="648"/>
      <c r="AMZ370" s="641"/>
      <c r="ANA370" s="631" t="s">
        <v>265</v>
      </c>
      <c r="ANB370" s="632"/>
      <c r="ANC370" s="16"/>
      <c r="AND370" s="636">
        <v>0.13500000000000001</v>
      </c>
      <c r="ANE370" s="636">
        <v>0.12</v>
      </c>
      <c r="ANF370" s="636">
        <v>0.13</v>
      </c>
      <c r="ANG370" s="636">
        <v>0.12</v>
      </c>
      <c r="ANH370" s="636">
        <v>0.12</v>
      </c>
      <c r="ANI370" s="649">
        <v>0.12</v>
      </c>
      <c r="ANJ370" s="16"/>
      <c r="ANK370" s="320">
        <v>0.10100000000000001</v>
      </c>
      <c r="ANL370" s="153"/>
      <c r="ANM370" s="153"/>
      <c r="ANN370" s="153"/>
      <c r="ANO370" s="648"/>
      <c r="ANP370" s="641"/>
      <c r="ANQ370" s="631" t="s">
        <v>265</v>
      </c>
      <c r="ANR370" s="632"/>
      <c r="ANS370" s="16"/>
      <c r="ANT370" s="636">
        <v>0.13500000000000001</v>
      </c>
      <c r="ANU370" s="636">
        <v>0.12</v>
      </c>
      <c r="ANV370" s="636">
        <v>0.13</v>
      </c>
      <c r="ANW370" s="636">
        <v>0.12</v>
      </c>
      <c r="ANX370" s="636">
        <v>0.12</v>
      </c>
      <c r="ANY370" s="649">
        <v>0.12</v>
      </c>
      <c r="ANZ370" s="16"/>
      <c r="AOA370" s="320">
        <v>0.10100000000000001</v>
      </c>
      <c r="AOB370" s="153"/>
      <c r="AOC370" s="153"/>
      <c r="AOD370" s="153"/>
      <c r="AOE370" s="648"/>
      <c r="AOF370" s="641"/>
      <c r="AOG370" s="631" t="s">
        <v>265</v>
      </c>
      <c r="AOH370" s="632"/>
      <c r="AOI370" s="16"/>
      <c r="AOJ370" s="636">
        <v>0.13500000000000001</v>
      </c>
      <c r="AOK370" s="636">
        <v>0.12</v>
      </c>
      <c r="AOL370" s="636">
        <v>0.13</v>
      </c>
      <c r="AOM370" s="636">
        <v>0.12</v>
      </c>
      <c r="AON370" s="636">
        <v>0.12</v>
      </c>
      <c r="AOO370" s="649">
        <v>0.12</v>
      </c>
      <c r="AOP370" s="16"/>
      <c r="AOQ370" s="320">
        <v>0.10100000000000001</v>
      </c>
      <c r="AOR370" s="153"/>
      <c r="AOS370" s="153"/>
      <c r="AOT370" s="153"/>
      <c r="AOU370" s="648"/>
      <c r="AOV370" s="641"/>
      <c r="AOW370" s="631" t="s">
        <v>265</v>
      </c>
      <c r="AOX370" s="632"/>
      <c r="AOY370" s="16"/>
      <c r="AOZ370" s="636">
        <v>0.13500000000000001</v>
      </c>
      <c r="APA370" s="636">
        <v>0.12</v>
      </c>
      <c r="APB370" s="636">
        <v>0.13</v>
      </c>
      <c r="APC370" s="636">
        <v>0.12</v>
      </c>
      <c r="APD370" s="636">
        <v>0.12</v>
      </c>
      <c r="APE370" s="649">
        <v>0.12</v>
      </c>
      <c r="APF370" s="16"/>
      <c r="APG370" s="320">
        <v>0.10100000000000001</v>
      </c>
      <c r="APH370" s="153"/>
      <c r="API370" s="153"/>
      <c r="APJ370" s="153"/>
      <c r="APK370" s="648"/>
      <c r="APL370" s="641"/>
      <c r="APM370" s="631" t="s">
        <v>265</v>
      </c>
      <c r="APN370" s="632"/>
      <c r="APO370" s="16"/>
      <c r="APP370" s="636">
        <v>0.13500000000000001</v>
      </c>
      <c r="APQ370" s="636">
        <v>0.12</v>
      </c>
      <c r="APR370" s="636">
        <v>0.13</v>
      </c>
      <c r="APS370" s="636">
        <v>0.12</v>
      </c>
      <c r="APT370" s="636">
        <v>0.12</v>
      </c>
      <c r="APU370" s="649">
        <v>0.12</v>
      </c>
      <c r="APV370" s="16"/>
      <c r="APW370" s="320">
        <v>0.10100000000000001</v>
      </c>
      <c r="APX370" s="153"/>
      <c r="APY370" s="153"/>
      <c r="APZ370" s="153"/>
      <c r="AQA370" s="648"/>
      <c r="AQB370" s="641"/>
      <c r="AQC370" s="631" t="s">
        <v>265</v>
      </c>
      <c r="AQD370" s="632"/>
      <c r="AQE370" s="16"/>
      <c r="AQF370" s="636">
        <v>0.13500000000000001</v>
      </c>
      <c r="AQG370" s="636">
        <v>0.12</v>
      </c>
      <c r="AQH370" s="636">
        <v>0.13</v>
      </c>
      <c r="AQI370" s="636">
        <v>0.12</v>
      </c>
      <c r="AQJ370" s="636">
        <v>0.12</v>
      </c>
      <c r="AQK370" s="649">
        <v>0.12</v>
      </c>
      <c r="AQL370" s="16"/>
      <c r="AQM370" s="320">
        <v>0.10100000000000001</v>
      </c>
      <c r="AQN370" s="153"/>
      <c r="AQO370" s="153"/>
      <c r="AQP370" s="153"/>
      <c r="AQQ370" s="648"/>
      <c r="AQR370" s="641"/>
      <c r="AQS370" s="631" t="s">
        <v>265</v>
      </c>
      <c r="AQT370" s="632"/>
      <c r="AQU370" s="16"/>
      <c r="AQV370" s="636">
        <v>0.13500000000000001</v>
      </c>
      <c r="AQW370" s="636">
        <v>0.12</v>
      </c>
      <c r="AQX370" s="636">
        <v>0.13</v>
      </c>
      <c r="AQY370" s="636">
        <v>0.12</v>
      </c>
      <c r="AQZ370" s="636">
        <v>0.12</v>
      </c>
      <c r="ARA370" s="649">
        <v>0.12</v>
      </c>
      <c r="ARB370" s="16"/>
      <c r="ARC370" s="320">
        <v>0.10100000000000001</v>
      </c>
      <c r="ARD370" s="153"/>
      <c r="ARE370" s="153"/>
      <c r="ARF370" s="153"/>
      <c r="ARG370" s="648"/>
      <c r="ARH370" s="641"/>
      <c r="ARI370" s="631" t="s">
        <v>265</v>
      </c>
      <c r="ARJ370" s="632"/>
      <c r="ARK370" s="16"/>
      <c r="ARL370" s="636">
        <v>0.13500000000000001</v>
      </c>
      <c r="ARM370" s="636">
        <v>0.12</v>
      </c>
      <c r="ARN370" s="636">
        <v>0.13</v>
      </c>
      <c r="ARO370" s="636">
        <v>0.12</v>
      </c>
      <c r="ARP370" s="636">
        <v>0.12</v>
      </c>
      <c r="ARQ370" s="649">
        <v>0.12</v>
      </c>
      <c r="ARR370" s="16"/>
      <c r="ARS370" s="320">
        <v>0.10100000000000001</v>
      </c>
      <c r="ART370" s="153"/>
      <c r="ARU370" s="153"/>
      <c r="ARV370" s="153"/>
      <c r="ARW370" s="648"/>
      <c r="ARX370" s="641"/>
      <c r="ARY370" s="631" t="s">
        <v>265</v>
      </c>
      <c r="ARZ370" s="632"/>
      <c r="ASA370" s="16"/>
      <c r="ASB370" s="636">
        <v>0.13500000000000001</v>
      </c>
      <c r="ASC370" s="636">
        <v>0.12</v>
      </c>
      <c r="ASD370" s="636">
        <v>0.13</v>
      </c>
      <c r="ASE370" s="636">
        <v>0.12</v>
      </c>
      <c r="ASF370" s="636">
        <v>0.12</v>
      </c>
      <c r="ASG370" s="649">
        <v>0.12</v>
      </c>
      <c r="ASH370" s="16"/>
      <c r="ASI370" s="320">
        <v>0.10100000000000001</v>
      </c>
      <c r="ASJ370" s="153"/>
      <c r="ASK370" s="153"/>
      <c r="ASL370" s="153"/>
      <c r="ASM370" s="648"/>
      <c r="ASN370" s="641"/>
      <c r="ASO370" s="631" t="s">
        <v>265</v>
      </c>
      <c r="ASP370" s="632"/>
      <c r="ASQ370" s="16"/>
      <c r="ASR370" s="636">
        <v>0.13500000000000001</v>
      </c>
      <c r="ASS370" s="636">
        <v>0.12</v>
      </c>
      <c r="AST370" s="636">
        <v>0.13</v>
      </c>
      <c r="ASU370" s="636">
        <v>0.12</v>
      </c>
      <c r="ASV370" s="636">
        <v>0.12</v>
      </c>
      <c r="ASW370" s="649">
        <v>0.12</v>
      </c>
      <c r="ASX370" s="16"/>
      <c r="ASY370" s="320">
        <v>0.10100000000000001</v>
      </c>
      <c r="ASZ370" s="153"/>
      <c r="ATA370" s="153"/>
      <c r="ATB370" s="153"/>
      <c r="ATC370" s="648"/>
      <c r="ATD370" s="641"/>
      <c r="ATE370" s="631" t="s">
        <v>265</v>
      </c>
      <c r="ATF370" s="632"/>
      <c r="ATG370" s="16"/>
      <c r="ATH370" s="636">
        <v>0.13500000000000001</v>
      </c>
      <c r="ATI370" s="636">
        <v>0.12</v>
      </c>
      <c r="ATJ370" s="636">
        <v>0.13</v>
      </c>
      <c r="ATK370" s="636">
        <v>0.12</v>
      </c>
      <c r="ATL370" s="636">
        <v>0.12</v>
      </c>
      <c r="ATM370" s="649">
        <v>0.12</v>
      </c>
      <c r="ATN370" s="16"/>
      <c r="ATO370" s="320">
        <v>0.10100000000000001</v>
      </c>
      <c r="ATP370" s="153"/>
      <c r="ATQ370" s="153"/>
      <c r="ATR370" s="153"/>
      <c r="ATS370" s="648"/>
      <c r="ATT370" s="641"/>
      <c r="ATU370" s="631" t="s">
        <v>265</v>
      </c>
      <c r="ATV370" s="632"/>
      <c r="ATW370" s="16"/>
      <c r="ATX370" s="636">
        <v>0.13500000000000001</v>
      </c>
      <c r="ATY370" s="636">
        <v>0.12</v>
      </c>
      <c r="ATZ370" s="636">
        <v>0.13</v>
      </c>
      <c r="AUA370" s="636">
        <v>0.12</v>
      </c>
      <c r="AUB370" s="636">
        <v>0.12</v>
      </c>
      <c r="AUC370" s="649">
        <v>0.12</v>
      </c>
      <c r="AUD370" s="16"/>
      <c r="AUE370" s="320">
        <v>0.10100000000000001</v>
      </c>
      <c r="AUF370" s="153"/>
      <c r="AUG370" s="153"/>
      <c r="AUH370" s="153"/>
      <c r="AUI370" s="648"/>
      <c r="AUJ370" s="641"/>
      <c r="AUK370" s="631" t="s">
        <v>265</v>
      </c>
      <c r="AUL370" s="632"/>
      <c r="AUM370" s="16"/>
      <c r="AUN370" s="636">
        <v>0.13500000000000001</v>
      </c>
      <c r="AUO370" s="636">
        <v>0.12</v>
      </c>
      <c r="AUP370" s="636">
        <v>0.13</v>
      </c>
      <c r="AUQ370" s="636">
        <v>0.12</v>
      </c>
      <c r="AUR370" s="636">
        <v>0.12</v>
      </c>
      <c r="AUS370" s="649">
        <v>0.12</v>
      </c>
      <c r="AUT370" s="16"/>
      <c r="AUU370" s="320">
        <v>0.10100000000000001</v>
      </c>
      <c r="AUV370" s="153"/>
      <c r="AUW370" s="153"/>
      <c r="AUX370" s="153"/>
      <c r="AUY370" s="648"/>
      <c r="AUZ370" s="641"/>
      <c r="AVA370" s="631" t="s">
        <v>265</v>
      </c>
      <c r="AVB370" s="632"/>
      <c r="AVC370" s="16"/>
      <c r="AVD370" s="636">
        <v>0.13500000000000001</v>
      </c>
      <c r="AVE370" s="636">
        <v>0.12</v>
      </c>
      <c r="AVF370" s="636">
        <v>0.13</v>
      </c>
      <c r="AVG370" s="636">
        <v>0.12</v>
      </c>
      <c r="AVH370" s="636">
        <v>0.12</v>
      </c>
      <c r="AVI370" s="649">
        <v>0.12</v>
      </c>
      <c r="AVJ370" s="16"/>
      <c r="AVK370" s="320">
        <v>0.10100000000000001</v>
      </c>
      <c r="AVL370" s="153"/>
      <c r="AVM370" s="153"/>
      <c r="AVN370" s="153"/>
      <c r="AVO370" s="648"/>
      <c r="AVP370" s="641"/>
      <c r="AVQ370" s="631" t="s">
        <v>265</v>
      </c>
      <c r="AVR370" s="632"/>
      <c r="AVS370" s="16"/>
      <c r="AVT370" s="636">
        <v>0.13500000000000001</v>
      </c>
      <c r="AVU370" s="636">
        <v>0.12</v>
      </c>
      <c r="AVV370" s="636">
        <v>0.13</v>
      </c>
      <c r="AVW370" s="636">
        <v>0.12</v>
      </c>
      <c r="AVX370" s="636">
        <v>0.12</v>
      </c>
      <c r="AVY370" s="649">
        <v>0.12</v>
      </c>
      <c r="AVZ370" s="16"/>
      <c r="AWA370" s="320">
        <v>0.10100000000000001</v>
      </c>
      <c r="AWB370" s="153"/>
      <c r="AWC370" s="153"/>
      <c r="AWD370" s="153"/>
      <c r="AWE370" s="648"/>
      <c r="AWF370" s="641"/>
      <c r="AWG370" s="631" t="s">
        <v>265</v>
      </c>
      <c r="AWH370" s="632"/>
      <c r="AWI370" s="16"/>
      <c r="AWJ370" s="636">
        <v>0.13500000000000001</v>
      </c>
      <c r="AWK370" s="636">
        <v>0.12</v>
      </c>
      <c r="AWL370" s="636">
        <v>0.13</v>
      </c>
      <c r="AWM370" s="636">
        <v>0.12</v>
      </c>
      <c r="AWN370" s="636">
        <v>0.12</v>
      </c>
      <c r="AWO370" s="649">
        <v>0.12</v>
      </c>
      <c r="AWP370" s="16"/>
      <c r="AWQ370" s="320">
        <v>0.10100000000000001</v>
      </c>
      <c r="AWR370" s="153"/>
      <c r="AWS370" s="153"/>
      <c r="AWT370" s="153"/>
      <c r="AWU370" s="648"/>
      <c r="AWV370" s="641"/>
      <c r="AWW370" s="631" t="s">
        <v>265</v>
      </c>
      <c r="AWX370" s="632"/>
      <c r="AWY370" s="16"/>
      <c r="AWZ370" s="636">
        <v>0.13500000000000001</v>
      </c>
      <c r="AXA370" s="636">
        <v>0.12</v>
      </c>
      <c r="AXB370" s="636">
        <v>0.13</v>
      </c>
      <c r="AXC370" s="636">
        <v>0.12</v>
      </c>
      <c r="AXD370" s="636">
        <v>0.12</v>
      </c>
      <c r="AXE370" s="649">
        <v>0.12</v>
      </c>
      <c r="AXF370" s="16"/>
      <c r="AXG370" s="320">
        <v>0.10100000000000001</v>
      </c>
      <c r="AXH370" s="153"/>
      <c r="AXI370" s="153"/>
      <c r="AXJ370" s="153"/>
      <c r="AXK370" s="648"/>
      <c r="AXL370" s="641"/>
      <c r="AXM370" s="631" t="s">
        <v>265</v>
      </c>
      <c r="AXN370" s="632"/>
      <c r="AXO370" s="16"/>
      <c r="AXP370" s="636">
        <v>0.13500000000000001</v>
      </c>
      <c r="AXQ370" s="636">
        <v>0.12</v>
      </c>
      <c r="AXR370" s="636">
        <v>0.13</v>
      </c>
      <c r="AXS370" s="636">
        <v>0.12</v>
      </c>
      <c r="AXT370" s="636">
        <v>0.12</v>
      </c>
      <c r="AXU370" s="649">
        <v>0.12</v>
      </c>
      <c r="AXV370" s="16"/>
      <c r="AXW370" s="320">
        <v>0.10100000000000001</v>
      </c>
      <c r="AXX370" s="153"/>
      <c r="AXY370" s="153"/>
      <c r="AXZ370" s="153"/>
      <c r="AYA370" s="648"/>
      <c r="AYB370" s="641"/>
      <c r="AYC370" s="631" t="s">
        <v>265</v>
      </c>
      <c r="AYD370" s="632"/>
      <c r="AYE370" s="16"/>
      <c r="AYF370" s="636">
        <v>0.13500000000000001</v>
      </c>
      <c r="AYG370" s="636">
        <v>0.12</v>
      </c>
      <c r="AYH370" s="636">
        <v>0.13</v>
      </c>
      <c r="AYI370" s="636">
        <v>0.12</v>
      </c>
      <c r="AYJ370" s="636">
        <v>0.12</v>
      </c>
      <c r="AYK370" s="649">
        <v>0.12</v>
      </c>
      <c r="AYL370" s="16"/>
      <c r="AYM370" s="320">
        <v>0.10100000000000001</v>
      </c>
      <c r="AYN370" s="153"/>
      <c r="AYO370" s="153"/>
      <c r="AYP370" s="153"/>
      <c r="AYQ370" s="648"/>
      <c r="AYR370" s="641"/>
      <c r="AYS370" s="631" t="s">
        <v>265</v>
      </c>
      <c r="AYT370" s="632"/>
      <c r="AYU370" s="16"/>
      <c r="AYV370" s="636">
        <v>0.13500000000000001</v>
      </c>
      <c r="AYW370" s="636">
        <v>0.12</v>
      </c>
      <c r="AYX370" s="636">
        <v>0.13</v>
      </c>
      <c r="AYY370" s="636">
        <v>0.12</v>
      </c>
      <c r="AYZ370" s="636">
        <v>0.12</v>
      </c>
      <c r="AZA370" s="649">
        <v>0.12</v>
      </c>
      <c r="AZB370" s="16"/>
      <c r="AZC370" s="320">
        <v>0.10100000000000001</v>
      </c>
      <c r="AZD370" s="153"/>
      <c r="AZE370" s="153"/>
      <c r="AZF370" s="153"/>
      <c r="AZG370" s="648"/>
      <c r="AZH370" s="641"/>
      <c r="AZI370" s="631" t="s">
        <v>265</v>
      </c>
      <c r="AZJ370" s="632"/>
      <c r="AZK370" s="16"/>
      <c r="AZL370" s="636">
        <v>0.13500000000000001</v>
      </c>
      <c r="AZM370" s="636">
        <v>0.12</v>
      </c>
      <c r="AZN370" s="636">
        <v>0.13</v>
      </c>
      <c r="AZO370" s="636">
        <v>0.12</v>
      </c>
      <c r="AZP370" s="636">
        <v>0.12</v>
      </c>
      <c r="AZQ370" s="649">
        <v>0.12</v>
      </c>
      <c r="AZR370" s="16"/>
      <c r="AZS370" s="320">
        <v>0.10100000000000001</v>
      </c>
      <c r="AZT370" s="153"/>
      <c r="AZU370" s="153"/>
      <c r="AZV370" s="153"/>
      <c r="AZW370" s="648"/>
      <c r="AZX370" s="641"/>
      <c r="AZY370" s="631" t="s">
        <v>265</v>
      </c>
      <c r="AZZ370" s="632"/>
      <c r="BAA370" s="16"/>
      <c r="BAB370" s="636">
        <v>0.13500000000000001</v>
      </c>
      <c r="BAC370" s="636">
        <v>0.12</v>
      </c>
      <c r="BAD370" s="636">
        <v>0.13</v>
      </c>
      <c r="BAE370" s="636">
        <v>0.12</v>
      </c>
      <c r="BAF370" s="636">
        <v>0.12</v>
      </c>
      <c r="BAG370" s="649">
        <v>0.12</v>
      </c>
      <c r="BAH370" s="16"/>
      <c r="BAI370" s="320">
        <v>0.10100000000000001</v>
      </c>
      <c r="BAJ370" s="153"/>
      <c r="BAK370" s="153"/>
      <c r="BAL370" s="153"/>
      <c r="BAM370" s="648"/>
      <c r="BAN370" s="641"/>
      <c r="BAO370" s="631" t="s">
        <v>265</v>
      </c>
      <c r="BAP370" s="632"/>
      <c r="BAQ370" s="16"/>
      <c r="BAR370" s="636">
        <v>0.13500000000000001</v>
      </c>
      <c r="BAS370" s="636">
        <v>0.12</v>
      </c>
      <c r="BAT370" s="636">
        <v>0.13</v>
      </c>
      <c r="BAU370" s="636">
        <v>0.12</v>
      </c>
      <c r="BAV370" s="636">
        <v>0.12</v>
      </c>
      <c r="BAW370" s="649">
        <v>0.12</v>
      </c>
      <c r="BAX370" s="16"/>
      <c r="BAY370" s="320">
        <v>0.10100000000000001</v>
      </c>
      <c r="BAZ370" s="153"/>
      <c r="BBA370" s="153"/>
      <c r="BBB370" s="153"/>
      <c r="BBC370" s="648"/>
      <c r="BBD370" s="641"/>
      <c r="BBE370" s="631" t="s">
        <v>265</v>
      </c>
      <c r="BBF370" s="632"/>
      <c r="BBG370" s="16"/>
      <c r="BBH370" s="636">
        <v>0.13500000000000001</v>
      </c>
      <c r="BBI370" s="636">
        <v>0.12</v>
      </c>
      <c r="BBJ370" s="636">
        <v>0.13</v>
      </c>
      <c r="BBK370" s="636">
        <v>0.12</v>
      </c>
      <c r="BBL370" s="636">
        <v>0.12</v>
      </c>
      <c r="BBM370" s="649">
        <v>0.12</v>
      </c>
      <c r="BBN370" s="16"/>
      <c r="BBO370" s="320">
        <v>0.10100000000000001</v>
      </c>
      <c r="BBP370" s="153"/>
      <c r="BBQ370" s="153"/>
      <c r="BBR370" s="153"/>
      <c r="BBS370" s="648"/>
      <c r="BBT370" s="641"/>
      <c r="BBU370" s="631" t="s">
        <v>265</v>
      </c>
      <c r="BBV370" s="632"/>
      <c r="BBW370" s="16"/>
      <c r="BBX370" s="636">
        <v>0.13500000000000001</v>
      </c>
      <c r="BBY370" s="636">
        <v>0.12</v>
      </c>
      <c r="BBZ370" s="636">
        <v>0.13</v>
      </c>
      <c r="BCA370" s="636">
        <v>0.12</v>
      </c>
      <c r="BCB370" s="636">
        <v>0.12</v>
      </c>
      <c r="BCC370" s="649">
        <v>0.12</v>
      </c>
      <c r="BCD370" s="16"/>
      <c r="BCE370" s="320">
        <v>0.10100000000000001</v>
      </c>
      <c r="BCF370" s="153"/>
      <c r="BCG370" s="153"/>
      <c r="BCH370" s="153"/>
      <c r="BCI370" s="648"/>
      <c r="BCJ370" s="641"/>
      <c r="BCK370" s="631" t="s">
        <v>265</v>
      </c>
      <c r="BCL370" s="632"/>
      <c r="BCM370" s="16"/>
      <c r="BCN370" s="636">
        <v>0.13500000000000001</v>
      </c>
      <c r="BCO370" s="636">
        <v>0.12</v>
      </c>
      <c r="BCP370" s="636">
        <v>0.13</v>
      </c>
      <c r="BCQ370" s="636">
        <v>0.12</v>
      </c>
      <c r="BCR370" s="636">
        <v>0.12</v>
      </c>
      <c r="BCS370" s="649">
        <v>0.12</v>
      </c>
      <c r="BCT370" s="16"/>
      <c r="BCU370" s="320">
        <v>0.10100000000000001</v>
      </c>
      <c r="BCV370" s="153"/>
      <c r="BCW370" s="153"/>
      <c r="BCX370" s="153"/>
      <c r="BCY370" s="648"/>
      <c r="BCZ370" s="641"/>
      <c r="BDA370" s="631" t="s">
        <v>265</v>
      </c>
      <c r="BDB370" s="632"/>
      <c r="BDC370" s="16"/>
      <c r="BDD370" s="636">
        <v>0.13500000000000001</v>
      </c>
      <c r="BDE370" s="636">
        <v>0.12</v>
      </c>
      <c r="BDF370" s="636">
        <v>0.13</v>
      </c>
      <c r="BDG370" s="636">
        <v>0.12</v>
      </c>
      <c r="BDH370" s="636">
        <v>0.12</v>
      </c>
      <c r="BDI370" s="649">
        <v>0.12</v>
      </c>
      <c r="BDJ370" s="16"/>
      <c r="BDK370" s="320">
        <v>0.10100000000000001</v>
      </c>
      <c r="BDL370" s="153"/>
      <c r="BDM370" s="153"/>
      <c r="BDN370" s="153"/>
      <c r="BDO370" s="648"/>
      <c r="BDP370" s="641"/>
      <c r="BDQ370" s="631" t="s">
        <v>265</v>
      </c>
      <c r="BDR370" s="632"/>
      <c r="BDS370" s="16"/>
      <c r="BDT370" s="636">
        <v>0.13500000000000001</v>
      </c>
      <c r="BDU370" s="636">
        <v>0.12</v>
      </c>
      <c r="BDV370" s="636">
        <v>0.13</v>
      </c>
      <c r="BDW370" s="636">
        <v>0.12</v>
      </c>
      <c r="BDX370" s="636">
        <v>0.12</v>
      </c>
      <c r="BDY370" s="649">
        <v>0.12</v>
      </c>
      <c r="BDZ370" s="16"/>
      <c r="BEA370" s="320">
        <v>0.10100000000000001</v>
      </c>
      <c r="BEB370" s="153"/>
      <c r="BEC370" s="153"/>
      <c r="BED370" s="153"/>
      <c r="BEE370" s="648"/>
      <c r="BEF370" s="641"/>
      <c r="BEG370" s="631" t="s">
        <v>265</v>
      </c>
      <c r="BEH370" s="632"/>
      <c r="BEI370" s="16"/>
      <c r="BEJ370" s="636">
        <v>0.13500000000000001</v>
      </c>
      <c r="BEK370" s="636">
        <v>0.12</v>
      </c>
      <c r="BEL370" s="636">
        <v>0.13</v>
      </c>
      <c r="BEM370" s="636">
        <v>0.12</v>
      </c>
      <c r="BEN370" s="636">
        <v>0.12</v>
      </c>
      <c r="BEO370" s="649">
        <v>0.12</v>
      </c>
      <c r="BEP370" s="16"/>
      <c r="BEQ370" s="320">
        <v>0.10100000000000001</v>
      </c>
      <c r="BER370" s="153"/>
      <c r="BES370" s="153"/>
      <c r="BET370" s="153"/>
      <c r="BEU370" s="648"/>
      <c r="BEV370" s="641"/>
      <c r="BEW370" s="631" t="s">
        <v>265</v>
      </c>
      <c r="BEX370" s="632"/>
      <c r="BEY370" s="16"/>
      <c r="BEZ370" s="636">
        <v>0.13500000000000001</v>
      </c>
      <c r="BFA370" s="636">
        <v>0.12</v>
      </c>
      <c r="BFB370" s="636">
        <v>0.13</v>
      </c>
      <c r="BFC370" s="636">
        <v>0.12</v>
      </c>
      <c r="BFD370" s="636">
        <v>0.12</v>
      </c>
      <c r="BFE370" s="649">
        <v>0.12</v>
      </c>
      <c r="BFF370" s="16"/>
      <c r="BFG370" s="320">
        <v>0.10100000000000001</v>
      </c>
      <c r="BFH370" s="153"/>
      <c r="BFI370" s="153"/>
      <c r="BFJ370" s="153"/>
      <c r="BFK370" s="648"/>
      <c r="BFL370" s="641"/>
      <c r="BFM370" s="631" t="s">
        <v>265</v>
      </c>
      <c r="BFN370" s="632"/>
      <c r="BFO370" s="16"/>
      <c r="BFP370" s="636">
        <v>0.13500000000000001</v>
      </c>
      <c r="BFQ370" s="636">
        <v>0.12</v>
      </c>
      <c r="BFR370" s="636">
        <v>0.13</v>
      </c>
      <c r="BFS370" s="636">
        <v>0.12</v>
      </c>
      <c r="BFT370" s="636">
        <v>0.12</v>
      </c>
      <c r="BFU370" s="649">
        <v>0.12</v>
      </c>
      <c r="BFV370" s="16"/>
      <c r="BFW370" s="320">
        <v>0.10100000000000001</v>
      </c>
      <c r="BFX370" s="153"/>
      <c r="BFY370" s="153"/>
      <c r="BFZ370" s="153"/>
      <c r="BGA370" s="648"/>
      <c r="BGB370" s="641"/>
      <c r="BGC370" s="631" t="s">
        <v>265</v>
      </c>
      <c r="BGD370" s="632"/>
      <c r="BGE370" s="16"/>
      <c r="BGF370" s="636">
        <v>0.13500000000000001</v>
      </c>
      <c r="BGG370" s="636">
        <v>0.12</v>
      </c>
      <c r="BGH370" s="636">
        <v>0.13</v>
      </c>
      <c r="BGI370" s="636">
        <v>0.12</v>
      </c>
      <c r="BGJ370" s="636">
        <v>0.12</v>
      </c>
      <c r="BGK370" s="649">
        <v>0.12</v>
      </c>
      <c r="BGL370" s="16"/>
      <c r="BGM370" s="320">
        <v>0.10100000000000001</v>
      </c>
      <c r="BGN370" s="153"/>
      <c r="BGO370" s="153"/>
      <c r="BGP370" s="153"/>
      <c r="BGQ370" s="648"/>
      <c r="BGR370" s="641"/>
      <c r="BGS370" s="631" t="s">
        <v>265</v>
      </c>
      <c r="BGT370" s="632"/>
      <c r="BGU370" s="16"/>
      <c r="BGV370" s="636">
        <v>0.13500000000000001</v>
      </c>
      <c r="BGW370" s="636">
        <v>0.12</v>
      </c>
      <c r="BGX370" s="636">
        <v>0.13</v>
      </c>
      <c r="BGY370" s="636">
        <v>0.12</v>
      </c>
      <c r="BGZ370" s="636">
        <v>0.12</v>
      </c>
      <c r="BHA370" s="649">
        <v>0.12</v>
      </c>
      <c r="BHB370" s="16"/>
      <c r="BHC370" s="320">
        <v>0.10100000000000001</v>
      </c>
      <c r="BHD370" s="153"/>
      <c r="BHE370" s="153"/>
      <c r="BHF370" s="153"/>
      <c r="BHG370" s="648"/>
      <c r="BHH370" s="641"/>
      <c r="BHI370" s="631" t="s">
        <v>265</v>
      </c>
      <c r="BHJ370" s="632"/>
      <c r="BHK370" s="16"/>
      <c r="BHL370" s="636">
        <v>0.13500000000000001</v>
      </c>
      <c r="BHM370" s="636">
        <v>0.12</v>
      </c>
      <c r="BHN370" s="636">
        <v>0.13</v>
      </c>
      <c r="BHO370" s="636">
        <v>0.12</v>
      </c>
      <c r="BHP370" s="636">
        <v>0.12</v>
      </c>
      <c r="BHQ370" s="649">
        <v>0.12</v>
      </c>
      <c r="BHR370" s="16"/>
      <c r="BHS370" s="320">
        <v>0.10100000000000001</v>
      </c>
      <c r="BHT370" s="153"/>
      <c r="BHU370" s="153"/>
      <c r="BHV370" s="153"/>
      <c r="BHW370" s="648"/>
      <c r="BHX370" s="641"/>
      <c r="BHY370" s="631" t="s">
        <v>265</v>
      </c>
      <c r="BHZ370" s="632"/>
      <c r="BIA370" s="16"/>
      <c r="BIB370" s="636">
        <v>0.13500000000000001</v>
      </c>
      <c r="BIC370" s="636">
        <v>0.12</v>
      </c>
      <c r="BID370" s="636">
        <v>0.13</v>
      </c>
      <c r="BIE370" s="636">
        <v>0.12</v>
      </c>
      <c r="BIF370" s="636">
        <v>0.12</v>
      </c>
      <c r="BIG370" s="649">
        <v>0.12</v>
      </c>
      <c r="BIH370" s="16"/>
      <c r="BII370" s="320">
        <v>0.10100000000000001</v>
      </c>
      <c r="BIJ370" s="153"/>
      <c r="BIK370" s="153"/>
      <c r="BIL370" s="153"/>
      <c r="BIM370" s="648"/>
      <c r="BIN370" s="641"/>
      <c r="BIO370" s="631" t="s">
        <v>265</v>
      </c>
      <c r="BIP370" s="632"/>
      <c r="BIQ370" s="16"/>
      <c r="BIR370" s="636">
        <v>0.13500000000000001</v>
      </c>
      <c r="BIS370" s="636">
        <v>0.12</v>
      </c>
      <c r="BIT370" s="636">
        <v>0.13</v>
      </c>
      <c r="BIU370" s="636">
        <v>0.12</v>
      </c>
      <c r="BIV370" s="636">
        <v>0.12</v>
      </c>
      <c r="BIW370" s="649">
        <v>0.12</v>
      </c>
      <c r="BIX370" s="16"/>
      <c r="BIY370" s="320">
        <v>0.10100000000000001</v>
      </c>
      <c r="BIZ370" s="153"/>
      <c r="BJA370" s="153"/>
      <c r="BJB370" s="153"/>
      <c r="BJC370" s="648"/>
      <c r="BJD370" s="641"/>
      <c r="BJE370" s="631" t="s">
        <v>265</v>
      </c>
      <c r="BJF370" s="632"/>
      <c r="BJG370" s="16"/>
      <c r="BJH370" s="636">
        <v>0.13500000000000001</v>
      </c>
      <c r="BJI370" s="636">
        <v>0.12</v>
      </c>
      <c r="BJJ370" s="636">
        <v>0.13</v>
      </c>
      <c r="BJK370" s="636">
        <v>0.12</v>
      </c>
      <c r="BJL370" s="636">
        <v>0.12</v>
      </c>
      <c r="BJM370" s="649">
        <v>0.12</v>
      </c>
      <c r="BJN370" s="16"/>
      <c r="BJO370" s="320">
        <v>0.10100000000000001</v>
      </c>
      <c r="BJP370" s="153"/>
      <c r="BJQ370" s="153"/>
      <c r="BJR370" s="153"/>
      <c r="BJS370" s="648"/>
      <c r="BJT370" s="641"/>
      <c r="BJU370" s="631" t="s">
        <v>265</v>
      </c>
      <c r="BJV370" s="632"/>
      <c r="BJW370" s="16"/>
      <c r="BJX370" s="636">
        <v>0.13500000000000001</v>
      </c>
      <c r="BJY370" s="636">
        <v>0.12</v>
      </c>
      <c r="BJZ370" s="636">
        <v>0.13</v>
      </c>
      <c r="BKA370" s="636">
        <v>0.12</v>
      </c>
      <c r="BKB370" s="636">
        <v>0.12</v>
      </c>
      <c r="BKC370" s="649">
        <v>0.12</v>
      </c>
      <c r="BKD370" s="16"/>
      <c r="BKE370" s="320">
        <v>0.10100000000000001</v>
      </c>
      <c r="BKF370" s="153"/>
      <c r="BKG370" s="153"/>
      <c r="BKH370" s="153"/>
      <c r="BKI370" s="648"/>
      <c r="BKJ370" s="641"/>
      <c r="BKK370" s="631" t="s">
        <v>265</v>
      </c>
      <c r="BKL370" s="632"/>
      <c r="BKM370" s="16"/>
      <c r="BKN370" s="636">
        <v>0.13500000000000001</v>
      </c>
      <c r="BKO370" s="636">
        <v>0.12</v>
      </c>
      <c r="BKP370" s="636">
        <v>0.13</v>
      </c>
      <c r="BKQ370" s="636">
        <v>0.12</v>
      </c>
      <c r="BKR370" s="636">
        <v>0.12</v>
      </c>
      <c r="BKS370" s="649">
        <v>0.12</v>
      </c>
      <c r="BKT370" s="16"/>
      <c r="BKU370" s="320">
        <v>0.10100000000000001</v>
      </c>
      <c r="BKV370" s="153"/>
      <c r="BKW370" s="153"/>
      <c r="BKX370" s="153"/>
      <c r="BKY370" s="648"/>
      <c r="BKZ370" s="641"/>
      <c r="BLA370" s="631" t="s">
        <v>265</v>
      </c>
      <c r="BLB370" s="632"/>
      <c r="BLC370" s="16"/>
      <c r="BLD370" s="636">
        <v>0.13500000000000001</v>
      </c>
      <c r="BLE370" s="636">
        <v>0.12</v>
      </c>
      <c r="BLF370" s="636">
        <v>0.13</v>
      </c>
      <c r="BLG370" s="636">
        <v>0.12</v>
      </c>
      <c r="BLH370" s="636">
        <v>0.12</v>
      </c>
      <c r="BLI370" s="649">
        <v>0.12</v>
      </c>
      <c r="BLJ370" s="16"/>
      <c r="BLK370" s="320">
        <v>0.10100000000000001</v>
      </c>
      <c r="BLL370" s="153"/>
      <c r="BLM370" s="153"/>
      <c r="BLN370" s="153"/>
      <c r="BLO370" s="648"/>
      <c r="BLP370" s="641"/>
      <c r="BLQ370" s="631" t="s">
        <v>265</v>
      </c>
      <c r="BLR370" s="632"/>
      <c r="BLS370" s="16"/>
      <c r="BLT370" s="636">
        <v>0.13500000000000001</v>
      </c>
      <c r="BLU370" s="636">
        <v>0.12</v>
      </c>
      <c r="BLV370" s="636">
        <v>0.13</v>
      </c>
      <c r="BLW370" s="636">
        <v>0.12</v>
      </c>
      <c r="BLX370" s="636">
        <v>0.12</v>
      </c>
      <c r="BLY370" s="649">
        <v>0.12</v>
      </c>
      <c r="BLZ370" s="16"/>
      <c r="BMA370" s="320">
        <v>0.10100000000000001</v>
      </c>
      <c r="BMB370" s="153"/>
      <c r="BMC370" s="153"/>
      <c r="BMD370" s="153"/>
      <c r="BME370" s="648"/>
      <c r="BMF370" s="641"/>
      <c r="BMG370" s="631" t="s">
        <v>265</v>
      </c>
      <c r="BMH370" s="632"/>
      <c r="BMI370" s="16"/>
      <c r="BMJ370" s="636">
        <v>0.13500000000000001</v>
      </c>
      <c r="BMK370" s="636">
        <v>0.12</v>
      </c>
      <c r="BML370" s="636">
        <v>0.13</v>
      </c>
      <c r="BMM370" s="636">
        <v>0.12</v>
      </c>
      <c r="BMN370" s="636">
        <v>0.12</v>
      </c>
      <c r="BMO370" s="649">
        <v>0.12</v>
      </c>
      <c r="BMP370" s="16"/>
      <c r="BMQ370" s="320">
        <v>0.10100000000000001</v>
      </c>
      <c r="BMR370" s="153"/>
      <c r="BMS370" s="153"/>
      <c r="BMT370" s="153"/>
      <c r="BMU370" s="648"/>
      <c r="BMV370" s="641"/>
      <c r="BMW370" s="631" t="s">
        <v>265</v>
      </c>
      <c r="BMX370" s="632"/>
      <c r="BMY370" s="16"/>
      <c r="BMZ370" s="636">
        <v>0.13500000000000001</v>
      </c>
      <c r="BNA370" s="636">
        <v>0.12</v>
      </c>
      <c r="BNB370" s="636">
        <v>0.13</v>
      </c>
      <c r="BNC370" s="636">
        <v>0.12</v>
      </c>
      <c r="BND370" s="636">
        <v>0.12</v>
      </c>
      <c r="BNE370" s="649">
        <v>0.12</v>
      </c>
      <c r="BNF370" s="16"/>
      <c r="BNG370" s="320">
        <v>0.10100000000000001</v>
      </c>
      <c r="BNH370" s="153"/>
      <c r="BNI370" s="153"/>
      <c r="BNJ370" s="153"/>
      <c r="BNK370" s="648"/>
      <c r="BNL370" s="641"/>
      <c r="BNM370" s="631" t="s">
        <v>265</v>
      </c>
      <c r="BNN370" s="632"/>
      <c r="BNO370" s="16"/>
      <c r="BNP370" s="636">
        <v>0.13500000000000001</v>
      </c>
      <c r="BNQ370" s="636">
        <v>0.12</v>
      </c>
      <c r="BNR370" s="636">
        <v>0.13</v>
      </c>
      <c r="BNS370" s="636">
        <v>0.12</v>
      </c>
      <c r="BNT370" s="636">
        <v>0.12</v>
      </c>
      <c r="BNU370" s="649">
        <v>0.12</v>
      </c>
      <c r="BNV370" s="16"/>
      <c r="BNW370" s="320">
        <v>0.10100000000000001</v>
      </c>
      <c r="BNX370" s="153"/>
      <c r="BNY370" s="153"/>
      <c r="BNZ370" s="153"/>
      <c r="BOA370" s="648"/>
      <c r="BOB370" s="641"/>
      <c r="BOC370" s="631" t="s">
        <v>265</v>
      </c>
      <c r="BOD370" s="632"/>
      <c r="BOE370" s="16"/>
      <c r="BOF370" s="636">
        <v>0.13500000000000001</v>
      </c>
      <c r="BOG370" s="636">
        <v>0.12</v>
      </c>
      <c r="BOH370" s="636">
        <v>0.13</v>
      </c>
      <c r="BOI370" s="636">
        <v>0.12</v>
      </c>
      <c r="BOJ370" s="636">
        <v>0.12</v>
      </c>
      <c r="BOK370" s="649">
        <v>0.12</v>
      </c>
      <c r="BOL370" s="16"/>
      <c r="BOM370" s="320">
        <v>0.10100000000000001</v>
      </c>
      <c r="BON370" s="153"/>
      <c r="BOO370" s="153"/>
      <c r="BOP370" s="153"/>
      <c r="BOQ370" s="648"/>
      <c r="BOR370" s="641"/>
      <c r="BOS370" s="631" t="s">
        <v>265</v>
      </c>
      <c r="BOT370" s="632"/>
      <c r="BOU370" s="16"/>
      <c r="BOV370" s="636">
        <v>0.13500000000000001</v>
      </c>
      <c r="BOW370" s="636">
        <v>0.12</v>
      </c>
      <c r="BOX370" s="636">
        <v>0.13</v>
      </c>
      <c r="BOY370" s="636">
        <v>0.12</v>
      </c>
      <c r="BOZ370" s="636">
        <v>0.12</v>
      </c>
      <c r="BPA370" s="649">
        <v>0.12</v>
      </c>
      <c r="BPB370" s="16"/>
      <c r="BPC370" s="320">
        <v>0.10100000000000001</v>
      </c>
      <c r="BPD370" s="153"/>
      <c r="BPE370" s="153"/>
      <c r="BPF370" s="153"/>
      <c r="BPG370" s="648"/>
      <c r="BPH370" s="641"/>
      <c r="BPI370" s="631" t="s">
        <v>265</v>
      </c>
      <c r="BPJ370" s="632"/>
      <c r="BPK370" s="16"/>
      <c r="BPL370" s="636">
        <v>0.13500000000000001</v>
      </c>
      <c r="BPM370" s="636">
        <v>0.12</v>
      </c>
      <c r="BPN370" s="636">
        <v>0.13</v>
      </c>
      <c r="BPO370" s="636">
        <v>0.12</v>
      </c>
      <c r="BPP370" s="636">
        <v>0.12</v>
      </c>
      <c r="BPQ370" s="649">
        <v>0.12</v>
      </c>
      <c r="BPR370" s="16"/>
      <c r="BPS370" s="320">
        <v>0.10100000000000001</v>
      </c>
      <c r="BPT370" s="153"/>
      <c r="BPU370" s="153"/>
      <c r="BPV370" s="153"/>
      <c r="BPW370" s="648"/>
      <c r="BPX370" s="641"/>
      <c r="BPY370" s="631" t="s">
        <v>265</v>
      </c>
      <c r="BPZ370" s="632"/>
      <c r="BQA370" s="16"/>
      <c r="BQB370" s="636">
        <v>0.13500000000000001</v>
      </c>
      <c r="BQC370" s="636">
        <v>0.12</v>
      </c>
      <c r="BQD370" s="636">
        <v>0.13</v>
      </c>
      <c r="BQE370" s="636">
        <v>0.12</v>
      </c>
      <c r="BQF370" s="636">
        <v>0.12</v>
      </c>
      <c r="BQG370" s="649">
        <v>0.12</v>
      </c>
      <c r="BQH370" s="16"/>
      <c r="BQI370" s="320">
        <v>0.10100000000000001</v>
      </c>
      <c r="BQJ370" s="153"/>
      <c r="BQK370" s="153"/>
      <c r="BQL370" s="153"/>
      <c r="BQM370" s="648"/>
      <c r="BQN370" s="641"/>
      <c r="BQO370" s="631" t="s">
        <v>265</v>
      </c>
      <c r="BQP370" s="632"/>
      <c r="BQQ370" s="16"/>
      <c r="BQR370" s="636">
        <v>0.13500000000000001</v>
      </c>
      <c r="BQS370" s="636">
        <v>0.12</v>
      </c>
      <c r="BQT370" s="636">
        <v>0.13</v>
      </c>
      <c r="BQU370" s="636">
        <v>0.12</v>
      </c>
      <c r="BQV370" s="636">
        <v>0.12</v>
      </c>
      <c r="BQW370" s="649">
        <v>0.12</v>
      </c>
      <c r="BQX370" s="16"/>
      <c r="BQY370" s="320">
        <v>0.10100000000000001</v>
      </c>
      <c r="BQZ370" s="153"/>
      <c r="BRA370" s="153"/>
      <c r="BRB370" s="153"/>
      <c r="BRC370" s="648"/>
      <c r="BRD370" s="641"/>
      <c r="BRE370" s="631" t="s">
        <v>265</v>
      </c>
      <c r="BRF370" s="632"/>
      <c r="BRG370" s="16"/>
      <c r="BRH370" s="636">
        <v>0.13500000000000001</v>
      </c>
      <c r="BRI370" s="636">
        <v>0.12</v>
      </c>
      <c r="BRJ370" s="636">
        <v>0.13</v>
      </c>
      <c r="BRK370" s="636">
        <v>0.12</v>
      </c>
      <c r="BRL370" s="636">
        <v>0.12</v>
      </c>
      <c r="BRM370" s="649">
        <v>0.12</v>
      </c>
      <c r="BRN370" s="16"/>
      <c r="BRO370" s="320">
        <v>0.10100000000000001</v>
      </c>
      <c r="BRP370" s="153"/>
      <c r="BRQ370" s="153"/>
      <c r="BRR370" s="153"/>
      <c r="BRS370" s="648"/>
      <c r="BRT370" s="641"/>
      <c r="BRU370" s="631" t="s">
        <v>265</v>
      </c>
      <c r="BRV370" s="632"/>
      <c r="BRW370" s="16"/>
      <c r="BRX370" s="636">
        <v>0.13500000000000001</v>
      </c>
      <c r="BRY370" s="636">
        <v>0.12</v>
      </c>
      <c r="BRZ370" s="636">
        <v>0.13</v>
      </c>
      <c r="BSA370" s="636">
        <v>0.12</v>
      </c>
      <c r="BSB370" s="636">
        <v>0.12</v>
      </c>
      <c r="BSC370" s="649">
        <v>0.12</v>
      </c>
      <c r="BSD370" s="16"/>
      <c r="BSE370" s="320">
        <v>0.10100000000000001</v>
      </c>
      <c r="BSF370" s="153"/>
      <c r="BSG370" s="153"/>
      <c r="BSH370" s="153"/>
      <c r="BSI370" s="648"/>
      <c r="BSJ370" s="641"/>
      <c r="BSK370" s="631" t="s">
        <v>265</v>
      </c>
      <c r="BSL370" s="632"/>
      <c r="BSM370" s="16"/>
      <c r="BSN370" s="636">
        <v>0.13500000000000001</v>
      </c>
      <c r="BSO370" s="636">
        <v>0.12</v>
      </c>
      <c r="BSP370" s="636">
        <v>0.13</v>
      </c>
      <c r="BSQ370" s="636">
        <v>0.12</v>
      </c>
      <c r="BSR370" s="636">
        <v>0.12</v>
      </c>
      <c r="BSS370" s="649">
        <v>0.12</v>
      </c>
      <c r="BST370" s="16"/>
      <c r="BSU370" s="320">
        <v>0.10100000000000001</v>
      </c>
      <c r="BSV370" s="153"/>
      <c r="BSW370" s="153"/>
      <c r="BSX370" s="153"/>
      <c r="BSY370" s="648"/>
      <c r="BSZ370" s="641"/>
      <c r="BTA370" s="631" t="s">
        <v>265</v>
      </c>
      <c r="BTB370" s="632"/>
      <c r="BTC370" s="16"/>
      <c r="BTD370" s="636">
        <v>0.13500000000000001</v>
      </c>
      <c r="BTE370" s="636">
        <v>0.12</v>
      </c>
      <c r="BTF370" s="636">
        <v>0.13</v>
      </c>
      <c r="BTG370" s="636">
        <v>0.12</v>
      </c>
      <c r="BTH370" s="636">
        <v>0.12</v>
      </c>
      <c r="BTI370" s="649">
        <v>0.12</v>
      </c>
      <c r="BTJ370" s="16"/>
      <c r="BTK370" s="320">
        <v>0.10100000000000001</v>
      </c>
      <c r="BTL370" s="153"/>
      <c r="BTM370" s="153"/>
      <c r="BTN370" s="153"/>
      <c r="BTO370" s="648"/>
      <c r="BTP370" s="641"/>
      <c r="BTQ370" s="631" t="s">
        <v>265</v>
      </c>
      <c r="BTR370" s="632"/>
      <c r="BTS370" s="16"/>
      <c r="BTT370" s="636">
        <v>0.13500000000000001</v>
      </c>
      <c r="BTU370" s="636">
        <v>0.12</v>
      </c>
      <c r="BTV370" s="636">
        <v>0.13</v>
      </c>
      <c r="BTW370" s="636">
        <v>0.12</v>
      </c>
      <c r="BTX370" s="636">
        <v>0.12</v>
      </c>
      <c r="BTY370" s="649">
        <v>0.12</v>
      </c>
      <c r="BTZ370" s="16"/>
      <c r="BUA370" s="320">
        <v>0.10100000000000001</v>
      </c>
      <c r="BUB370" s="153"/>
      <c r="BUC370" s="153"/>
      <c r="BUD370" s="153"/>
      <c r="BUE370" s="648"/>
      <c r="BUF370" s="641"/>
      <c r="BUG370" s="631" t="s">
        <v>265</v>
      </c>
      <c r="BUH370" s="632"/>
      <c r="BUI370" s="16"/>
      <c r="BUJ370" s="636">
        <v>0.13500000000000001</v>
      </c>
      <c r="BUK370" s="636">
        <v>0.12</v>
      </c>
      <c r="BUL370" s="636">
        <v>0.13</v>
      </c>
      <c r="BUM370" s="636">
        <v>0.12</v>
      </c>
      <c r="BUN370" s="636">
        <v>0.12</v>
      </c>
      <c r="BUO370" s="649">
        <v>0.12</v>
      </c>
      <c r="BUP370" s="16"/>
      <c r="BUQ370" s="320">
        <v>0.10100000000000001</v>
      </c>
      <c r="BUR370" s="153"/>
      <c r="BUS370" s="153"/>
      <c r="BUT370" s="153"/>
      <c r="BUU370" s="648"/>
      <c r="BUV370" s="641"/>
      <c r="BUW370" s="631" t="s">
        <v>265</v>
      </c>
      <c r="BUX370" s="632"/>
      <c r="BUY370" s="16"/>
      <c r="BUZ370" s="636">
        <v>0.13500000000000001</v>
      </c>
      <c r="BVA370" s="636">
        <v>0.12</v>
      </c>
      <c r="BVB370" s="636">
        <v>0.13</v>
      </c>
      <c r="BVC370" s="636">
        <v>0.12</v>
      </c>
      <c r="BVD370" s="636">
        <v>0.12</v>
      </c>
      <c r="BVE370" s="649">
        <v>0.12</v>
      </c>
      <c r="BVF370" s="16"/>
      <c r="BVG370" s="320">
        <v>0.10100000000000001</v>
      </c>
      <c r="BVH370" s="153"/>
      <c r="BVI370" s="153"/>
      <c r="BVJ370" s="153"/>
      <c r="BVK370" s="648"/>
      <c r="BVL370" s="641"/>
      <c r="BVM370" s="631" t="s">
        <v>265</v>
      </c>
      <c r="BVN370" s="632"/>
      <c r="BVO370" s="16"/>
      <c r="BVP370" s="636">
        <v>0.13500000000000001</v>
      </c>
      <c r="BVQ370" s="636">
        <v>0.12</v>
      </c>
      <c r="BVR370" s="636">
        <v>0.13</v>
      </c>
      <c r="BVS370" s="636">
        <v>0.12</v>
      </c>
      <c r="BVT370" s="636">
        <v>0.12</v>
      </c>
      <c r="BVU370" s="649">
        <v>0.12</v>
      </c>
      <c r="BVV370" s="16"/>
      <c r="BVW370" s="320">
        <v>0.10100000000000001</v>
      </c>
      <c r="BVX370" s="153"/>
      <c r="BVY370" s="153"/>
      <c r="BVZ370" s="153"/>
      <c r="BWA370" s="648"/>
      <c r="BWB370" s="641"/>
      <c r="BWC370" s="631" t="s">
        <v>265</v>
      </c>
      <c r="BWD370" s="632"/>
      <c r="BWE370" s="16"/>
      <c r="BWF370" s="636">
        <v>0.13500000000000001</v>
      </c>
      <c r="BWG370" s="636">
        <v>0.12</v>
      </c>
      <c r="BWH370" s="636">
        <v>0.13</v>
      </c>
      <c r="BWI370" s="636">
        <v>0.12</v>
      </c>
      <c r="BWJ370" s="636">
        <v>0.12</v>
      </c>
      <c r="BWK370" s="649">
        <v>0.12</v>
      </c>
      <c r="BWL370" s="16"/>
      <c r="BWM370" s="320">
        <v>0.10100000000000001</v>
      </c>
      <c r="BWN370" s="153"/>
      <c r="BWO370" s="153"/>
      <c r="BWP370" s="153"/>
      <c r="BWQ370" s="648"/>
      <c r="BWR370" s="641"/>
      <c r="BWS370" s="631" t="s">
        <v>265</v>
      </c>
      <c r="BWT370" s="632"/>
      <c r="BWU370" s="16"/>
      <c r="BWV370" s="636">
        <v>0.13500000000000001</v>
      </c>
      <c r="BWW370" s="636">
        <v>0.12</v>
      </c>
      <c r="BWX370" s="636">
        <v>0.13</v>
      </c>
      <c r="BWY370" s="636">
        <v>0.12</v>
      </c>
      <c r="BWZ370" s="636">
        <v>0.12</v>
      </c>
      <c r="BXA370" s="649">
        <v>0.12</v>
      </c>
      <c r="BXB370" s="16"/>
      <c r="BXC370" s="320">
        <v>0.10100000000000001</v>
      </c>
      <c r="BXD370" s="153"/>
      <c r="BXE370" s="153"/>
      <c r="BXF370" s="153"/>
      <c r="BXG370" s="648"/>
      <c r="BXH370" s="641"/>
      <c r="BXI370" s="631" t="s">
        <v>265</v>
      </c>
      <c r="BXJ370" s="632"/>
      <c r="BXK370" s="16"/>
      <c r="BXL370" s="636">
        <v>0.13500000000000001</v>
      </c>
      <c r="BXM370" s="636">
        <v>0.12</v>
      </c>
      <c r="BXN370" s="636">
        <v>0.13</v>
      </c>
      <c r="BXO370" s="636">
        <v>0.12</v>
      </c>
      <c r="BXP370" s="636">
        <v>0.12</v>
      </c>
      <c r="BXQ370" s="649">
        <v>0.12</v>
      </c>
      <c r="BXR370" s="16"/>
      <c r="BXS370" s="320">
        <v>0.10100000000000001</v>
      </c>
      <c r="BXT370" s="153"/>
      <c r="BXU370" s="153"/>
      <c r="BXV370" s="153"/>
      <c r="BXW370" s="648"/>
      <c r="BXX370" s="641"/>
      <c r="BXY370" s="631" t="s">
        <v>265</v>
      </c>
      <c r="BXZ370" s="632"/>
      <c r="BYA370" s="16"/>
      <c r="BYB370" s="636">
        <v>0.13500000000000001</v>
      </c>
      <c r="BYC370" s="636">
        <v>0.12</v>
      </c>
      <c r="BYD370" s="636">
        <v>0.13</v>
      </c>
      <c r="BYE370" s="636">
        <v>0.12</v>
      </c>
      <c r="BYF370" s="636">
        <v>0.12</v>
      </c>
      <c r="BYG370" s="649">
        <v>0.12</v>
      </c>
      <c r="BYH370" s="16"/>
      <c r="BYI370" s="320">
        <v>0.10100000000000001</v>
      </c>
      <c r="BYJ370" s="153"/>
      <c r="BYK370" s="153"/>
      <c r="BYL370" s="153"/>
      <c r="BYM370" s="648"/>
      <c r="BYN370" s="641"/>
      <c r="BYO370" s="631" t="s">
        <v>265</v>
      </c>
      <c r="BYP370" s="632"/>
      <c r="BYQ370" s="16"/>
      <c r="BYR370" s="636">
        <v>0.13500000000000001</v>
      </c>
      <c r="BYS370" s="636">
        <v>0.12</v>
      </c>
      <c r="BYT370" s="636">
        <v>0.13</v>
      </c>
      <c r="BYU370" s="636">
        <v>0.12</v>
      </c>
      <c r="BYV370" s="636">
        <v>0.12</v>
      </c>
      <c r="BYW370" s="649">
        <v>0.12</v>
      </c>
      <c r="BYX370" s="16"/>
      <c r="BYY370" s="320">
        <v>0.10100000000000001</v>
      </c>
      <c r="BYZ370" s="153"/>
      <c r="BZA370" s="153"/>
      <c r="BZB370" s="153"/>
      <c r="BZC370" s="648"/>
      <c r="BZD370" s="641"/>
      <c r="BZE370" s="631" t="s">
        <v>265</v>
      </c>
      <c r="BZF370" s="632"/>
      <c r="BZG370" s="16"/>
      <c r="BZH370" s="636">
        <v>0.13500000000000001</v>
      </c>
      <c r="BZI370" s="636">
        <v>0.12</v>
      </c>
      <c r="BZJ370" s="636">
        <v>0.13</v>
      </c>
      <c r="BZK370" s="636">
        <v>0.12</v>
      </c>
      <c r="BZL370" s="636">
        <v>0.12</v>
      </c>
      <c r="BZM370" s="649">
        <v>0.12</v>
      </c>
      <c r="BZN370" s="16"/>
      <c r="BZO370" s="320">
        <v>0.10100000000000001</v>
      </c>
      <c r="BZP370" s="153"/>
      <c r="BZQ370" s="153"/>
      <c r="BZR370" s="153"/>
      <c r="BZS370" s="648"/>
      <c r="BZT370" s="641"/>
      <c r="BZU370" s="631" t="s">
        <v>265</v>
      </c>
      <c r="BZV370" s="632"/>
      <c r="BZW370" s="16"/>
      <c r="BZX370" s="636">
        <v>0.13500000000000001</v>
      </c>
      <c r="BZY370" s="636">
        <v>0.12</v>
      </c>
      <c r="BZZ370" s="636">
        <v>0.13</v>
      </c>
      <c r="CAA370" s="636">
        <v>0.12</v>
      </c>
      <c r="CAB370" s="636">
        <v>0.12</v>
      </c>
      <c r="CAC370" s="649">
        <v>0.12</v>
      </c>
      <c r="CAD370" s="16"/>
      <c r="CAE370" s="320">
        <v>0.10100000000000001</v>
      </c>
      <c r="CAF370" s="153"/>
      <c r="CAG370" s="153"/>
      <c r="CAH370" s="153"/>
      <c r="CAI370" s="648"/>
      <c r="CAJ370" s="641"/>
      <c r="CAK370" s="631" t="s">
        <v>265</v>
      </c>
      <c r="CAL370" s="632"/>
      <c r="CAM370" s="16"/>
      <c r="CAN370" s="636">
        <v>0.13500000000000001</v>
      </c>
      <c r="CAO370" s="636">
        <v>0.12</v>
      </c>
      <c r="CAP370" s="636">
        <v>0.13</v>
      </c>
      <c r="CAQ370" s="636">
        <v>0.12</v>
      </c>
      <c r="CAR370" s="636">
        <v>0.12</v>
      </c>
      <c r="CAS370" s="649">
        <v>0.12</v>
      </c>
      <c r="CAT370" s="16"/>
      <c r="CAU370" s="320">
        <v>0.10100000000000001</v>
      </c>
      <c r="CAV370" s="153"/>
      <c r="CAW370" s="153"/>
      <c r="CAX370" s="153"/>
      <c r="CAY370" s="648"/>
      <c r="CAZ370" s="641"/>
      <c r="CBA370" s="631" t="s">
        <v>265</v>
      </c>
      <c r="CBB370" s="632"/>
      <c r="CBC370" s="16"/>
      <c r="CBD370" s="636">
        <v>0.13500000000000001</v>
      </c>
      <c r="CBE370" s="636">
        <v>0.12</v>
      </c>
      <c r="CBF370" s="636">
        <v>0.13</v>
      </c>
      <c r="CBG370" s="636">
        <v>0.12</v>
      </c>
      <c r="CBH370" s="636">
        <v>0.12</v>
      </c>
      <c r="CBI370" s="649">
        <v>0.12</v>
      </c>
      <c r="CBJ370" s="16"/>
      <c r="CBK370" s="320">
        <v>0.10100000000000001</v>
      </c>
      <c r="CBL370" s="153"/>
      <c r="CBM370" s="153"/>
      <c r="CBN370" s="153"/>
      <c r="CBO370" s="648"/>
      <c r="CBP370" s="641"/>
      <c r="CBQ370" s="631" t="s">
        <v>265</v>
      </c>
      <c r="CBR370" s="632"/>
      <c r="CBS370" s="16"/>
      <c r="CBT370" s="636">
        <v>0.13500000000000001</v>
      </c>
      <c r="CBU370" s="636">
        <v>0.12</v>
      </c>
      <c r="CBV370" s="636">
        <v>0.13</v>
      </c>
      <c r="CBW370" s="636">
        <v>0.12</v>
      </c>
      <c r="CBX370" s="636">
        <v>0.12</v>
      </c>
      <c r="CBY370" s="649">
        <v>0.12</v>
      </c>
      <c r="CBZ370" s="16"/>
      <c r="CCA370" s="320">
        <v>0.10100000000000001</v>
      </c>
      <c r="CCB370" s="153"/>
      <c r="CCC370" s="153"/>
      <c r="CCD370" s="153"/>
      <c r="CCE370" s="648"/>
      <c r="CCF370" s="641"/>
      <c r="CCG370" s="631" t="s">
        <v>265</v>
      </c>
      <c r="CCH370" s="632"/>
      <c r="CCI370" s="16"/>
      <c r="CCJ370" s="636">
        <v>0.13500000000000001</v>
      </c>
      <c r="CCK370" s="636">
        <v>0.12</v>
      </c>
      <c r="CCL370" s="636">
        <v>0.13</v>
      </c>
      <c r="CCM370" s="636">
        <v>0.12</v>
      </c>
      <c r="CCN370" s="636">
        <v>0.12</v>
      </c>
      <c r="CCO370" s="649">
        <v>0.12</v>
      </c>
      <c r="CCP370" s="16"/>
      <c r="CCQ370" s="320">
        <v>0.10100000000000001</v>
      </c>
      <c r="CCR370" s="153"/>
      <c r="CCS370" s="153"/>
      <c r="CCT370" s="153"/>
      <c r="CCU370" s="648"/>
      <c r="CCV370" s="641"/>
      <c r="CCW370" s="631" t="s">
        <v>265</v>
      </c>
      <c r="CCX370" s="632"/>
      <c r="CCY370" s="16"/>
      <c r="CCZ370" s="636">
        <v>0.13500000000000001</v>
      </c>
      <c r="CDA370" s="636">
        <v>0.12</v>
      </c>
      <c r="CDB370" s="636">
        <v>0.13</v>
      </c>
      <c r="CDC370" s="636">
        <v>0.12</v>
      </c>
      <c r="CDD370" s="636">
        <v>0.12</v>
      </c>
      <c r="CDE370" s="649">
        <v>0.12</v>
      </c>
      <c r="CDF370" s="16"/>
      <c r="CDG370" s="320">
        <v>0.10100000000000001</v>
      </c>
      <c r="CDH370" s="153"/>
      <c r="CDI370" s="153"/>
      <c r="CDJ370" s="153"/>
      <c r="CDK370" s="648"/>
      <c r="CDL370" s="641"/>
      <c r="CDM370" s="631" t="s">
        <v>265</v>
      </c>
      <c r="CDN370" s="632"/>
      <c r="CDO370" s="16"/>
      <c r="CDP370" s="636">
        <v>0.13500000000000001</v>
      </c>
      <c r="CDQ370" s="636">
        <v>0.12</v>
      </c>
      <c r="CDR370" s="636">
        <v>0.13</v>
      </c>
      <c r="CDS370" s="636">
        <v>0.12</v>
      </c>
      <c r="CDT370" s="636">
        <v>0.12</v>
      </c>
      <c r="CDU370" s="649">
        <v>0.12</v>
      </c>
      <c r="CDV370" s="16"/>
      <c r="CDW370" s="320">
        <v>0.10100000000000001</v>
      </c>
      <c r="CDX370" s="153"/>
      <c r="CDY370" s="153"/>
      <c r="CDZ370" s="153"/>
      <c r="CEA370" s="648"/>
      <c r="CEB370" s="641"/>
      <c r="CEC370" s="631" t="s">
        <v>265</v>
      </c>
      <c r="CED370" s="632"/>
      <c r="CEE370" s="16"/>
      <c r="CEF370" s="636">
        <v>0.13500000000000001</v>
      </c>
      <c r="CEG370" s="636">
        <v>0.12</v>
      </c>
      <c r="CEH370" s="636">
        <v>0.13</v>
      </c>
      <c r="CEI370" s="636">
        <v>0.12</v>
      </c>
      <c r="CEJ370" s="636">
        <v>0.12</v>
      </c>
      <c r="CEK370" s="649">
        <v>0.12</v>
      </c>
      <c r="CEL370" s="16"/>
      <c r="CEM370" s="320">
        <v>0.10100000000000001</v>
      </c>
      <c r="CEN370" s="153"/>
      <c r="CEO370" s="153"/>
      <c r="CEP370" s="153"/>
      <c r="CEQ370" s="648"/>
      <c r="CER370" s="641"/>
      <c r="CES370" s="631" t="s">
        <v>265</v>
      </c>
      <c r="CET370" s="632"/>
      <c r="CEU370" s="16"/>
      <c r="CEV370" s="636">
        <v>0.13500000000000001</v>
      </c>
      <c r="CEW370" s="636">
        <v>0.12</v>
      </c>
      <c r="CEX370" s="636">
        <v>0.13</v>
      </c>
      <c r="CEY370" s="636">
        <v>0.12</v>
      </c>
      <c r="CEZ370" s="636">
        <v>0.12</v>
      </c>
      <c r="CFA370" s="649">
        <v>0.12</v>
      </c>
      <c r="CFB370" s="16"/>
      <c r="CFC370" s="320">
        <v>0.10100000000000001</v>
      </c>
      <c r="CFD370" s="153"/>
      <c r="CFE370" s="153"/>
      <c r="CFF370" s="153"/>
      <c r="CFG370" s="648"/>
      <c r="CFH370" s="641"/>
      <c r="CFI370" s="631" t="s">
        <v>265</v>
      </c>
      <c r="CFJ370" s="632"/>
      <c r="CFK370" s="16"/>
      <c r="CFL370" s="636">
        <v>0.13500000000000001</v>
      </c>
      <c r="CFM370" s="636">
        <v>0.12</v>
      </c>
      <c r="CFN370" s="636">
        <v>0.13</v>
      </c>
      <c r="CFO370" s="636">
        <v>0.12</v>
      </c>
      <c r="CFP370" s="636">
        <v>0.12</v>
      </c>
      <c r="CFQ370" s="649">
        <v>0.12</v>
      </c>
      <c r="CFR370" s="16"/>
      <c r="CFS370" s="320">
        <v>0.10100000000000001</v>
      </c>
      <c r="CFT370" s="153"/>
      <c r="CFU370" s="153"/>
      <c r="CFV370" s="153"/>
      <c r="CFW370" s="648"/>
      <c r="CFX370" s="641"/>
      <c r="CFY370" s="631" t="s">
        <v>265</v>
      </c>
      <c r="CFZ370" s="632"/>
      <c r="CGA370" s="16"/>
      <c r="CGB370" s="636">
        <v>0.13500000000000001</v>
      </c>
      <c r="CGC370" s="636">
        <v>0.12</v>
      </c>
      <c r="CGD370" s="636">
        <v>0.13</v>
      </c>
      <c r="CGE370" s="636">
        <v>0.12</v>
      </c>
      <c r="CGF370" s="636">
        <v>0.12</v>
      </c>
      <c r="CGG370" s="649">
        <v>0.12</v>
      </c>
      <c r="CGH370" s="16"/>
      <c r="CGI370" s="320">
        <v>0.10100000000000001</v>
      </c>
      <c r="CGJ370" s="153"/>
      <c r="CGK370" s="153"/>
      <c r="CGL370" s="153"/>
      <c r="CGM370" s="648"/>
      <c r="CGN370" s="641"/>
      <c r="CGO370" s="631" t="s">
        <v>265</v>
      </c>
      <c r="CGP370" s="632"/>
      <c r="CGQ370" s="16"/>
      <c r="CGR370" s="636">
        <v>0.13500000000000001</v>
      </c>
      <c r="CGS370" s="636">
        <v>0.12</v>
      </c>
      <c r="CGT370" s="636">
        <v>0.13</v>
      </c>
      <c r="CGU370" s="636">
        <v>0.12</v>
      </c>
      <c r="CGV370" s="636">
        <v>0.12</v>
      </c>
      <c r="CGW370" s="649">
        <v>0.12</v>
      </c>
      <c r="CGX370" s="16"/>
      <c r="CGY370" s="320">
        <v>0.10100000000000001</v>
      </c>
      <c r="CGZ370" s="153"/>
      <c r="CHA370" s="153"/>
      <c r="CHB370" s="153"/>
      <c r="CHC370" s="648"/>
      <c r="CHD370" s="641"/>
      <c r="CHE370" s="631" t="s">
        <v>265</v>
      </c>
      <c r="CHF370" s="632"/>
      <c r="CHG370" s="16"/>
      <c r="CHH370" s="636">
        <v>0.13500000000000001</v>
      </c>
      <c r="CHI370" s="636">
        <v>0.12</v>
      </c>
      <c r="CHJ370" s="636">
        <v>0.13</v>
      </c>
      <c r="CHK370" s="636">
        <v>0.12</v>
      </c>
      <c r="CHL370" s="636">
        <v>0.12</v>
      </c>
      <c r="CHM370" s="649">
        <v>0.12</v>
      </c>
      <c r="CHN370" s="16"/>
      <c r="CHO370" s="320">
        <v>0.10100000000000001</v>
      </c>
      <c r="CHP370" s="153"/>
      <c r="CHQ370" s="153"/>
      <c r="CHR370" s="153"/>
      <c r="CHS370" s="648"/>
      <c r="CHT370" s="641"/>
      <c r="CHU370" s="631" t="s">
        <v>265</v>
      </c>
      <c r="CHV370" s="632"/>
      <c r="CHW370" s="16"/>
      <c r="CHX370" s="636">
        <v>0.13500000000000001</v>
      </c>
      <c r="CHY370" s="636">
        <v>0.12</v>
      </c>
      <c r="CHZ370" s="636">
        <v>0.13</v>
      </c>
      <c r="CIA370" s="636">
        <v>0.12</v>
      </c>
      <c r="CIB370" s="636">
        <v>0.12</v>
      </c>
      <c r="CIC370" s="649">
        <v>0.12</v>
      </c>
      <c r="CID370" s="16"/>
      <c r="CIE370" s="320">
        <v>0.10100000000000001</v>
      </c>
      <c r="CIF370" s="153"/>
      <c r="CIG370" s="153"/>
      <c r="CIH370" s="153"/>
      <c r="CII370" s="648"/>
      <c r="CIJ370" s="641"/>
      <c r="CIK370" s="631" t="s">
        <v>265</v>
      </c>
      <c r="CIL370" s="632"/>
      <c r="CIM370" s="16"/>
      <c r="CIN370" s="636">
        <v>0.13500000000000001</v>
      </c>
      <c r="CIO370" s="636">
        <v>0.12</v>
      </c>
      <c r="CIP370" s="636">
        <v>0.13</v>
      </c>
      <c r="CIQ370" s="636">
        <v>0.12</v>
      </c>
      <c r="CIR370" s="636">
        <v>0.12</v>
      </c>
      <c r="CIS370" s="649">
        <v>0.12</v>
      </c>
      <c r="CIT370" s="16"/>
      <c r="CIU370" s="320">
        <v>0.10100000000000001</v>
      </c>
      <c r="CIV370" s="153"/>
      <c r="CIW370" s="153"/>
      <c r="CIX370" s="153"/>
      <c r="CIY370" s="648"/>
      <c r="CIZ370" s="641"/>
      <c r="CJA370" s="631" t="s">
        <v>265</v>
      </c>
      <c r="CJB370" s="632"/>
      <c r="CJC370" s="16"/>
      <c r="CJD370" s="636">
        <v>0.13500000000000001</v>
      </c>
      <c r="CJE370" s="636">
        <v>0.12</v>
      </c>
      <c r="CJF370" s="636">
        <v>0.13</v>
      </c>
      <c r="CJG370" s="636">
        <v>0.12</v>
      </c>
      <c r="CJH370" s="636">
        <v>0.12</v>
      </c>
      <c r="CJI370" s="649">
        <v>0.12</v>
      </c>
      <c r="CJJ370" s="16"/>
      <c r="CJK370" s="320">
        <v>0.10100000000000001</v>
      </c>
      <c r="CJL370" s="153"/>
      <c r="CJM370" s="153"/>
      <c r="CJN370" s="153"/>
      <c r="CJO370" s="648"/>
      <c r="CJP370" s="641"/>
      <c r="CJQ370" s="631" t="s">
        <v>265</v>
      </c>
      <c r="CJR370" s="632"/>
      <c r="CJS370" s="16"/>
      <c r="CJT370" s="636">
        <v>0.13500000000000001</v>
      </c>
      <c r="CJU370" s="636">
        <v>0.12</v>
      </c>
      <c r="CJV370" s="636">
        <v>0.13</v>
      </c>
      <c r="CJW370" s="636">
        <v>0.12</v>
      </c>
      <c r="CJX370" s="636">
        <v>0.12</v>
      </c>
      <c r="CJY370" s="649">
        <v>0.12</v>
      </c>
      <c r="CJZ370" s="16"/>
      <c r="CKA370" s="320">
        <v>0.10100000000000001</v>
      </c>
      <c r="CKB370" s="153"/>
      <c r="CKC370" s="153"/>
      <c r="CKD370" s="153"/>
      <c r="CKE370" s="648"/>
      <c r="CKF370" s="641"/>
      <c r="CKG370" s="631" t="s">
        <v>265</v>
      </c>
      <c r="CKH370" s="632"/>
      <c r="CKI370" s="16"/>
      <c r="CKJ370" s="636">
        <v>0.13500000000000001</v>
      </c>
      <c r="CKK370" s="636">
        <v>0.12</v>
      </c>
      <c r="CKL370" s="636">
        <v>0.13</v>
      </c>
      <c r="CKM370" s="636">
        <v>0.12</v>
      </c>
      <c r="CKN370" s="636">
        <v>0.12</v>
      </c>
      <c r="CKO370" s="649">
        <v>0.12</v>
      </c>
      <c r="CKP370" s="16"/>
      <c r="CKQ370" s="320">
        <v>0.10100000000000001</v>
      </c>
      <c r="CKR370" s="153"/>
      <c r="CKS370" s="153"/>
      <c r="CKT370" s="153"/>
      <c r="CKU370" s="648"/>
      <c r="CKV370" s="641"/>
      <c r="CKW370" s="631" t="s">
        <v>265</v>
      </c>
      <c r="CKX370" s="632"/>
      <c r="CKY370" s="16"/>
      <c r="CKZ370" s="636">
        <v>0.13500000000000001</v>
      </c>
      <c r="CLA370" s="636">
        <v>0.12</v>
      </c>
      <c r="CLB370" s="636">
        <v>0.13</v>
      </c>
      <c r="CLC370" s="636">
        <v>0.12</v>
      </c>
      <c r="CLD370" s="636">
        <v>0.12</v>
      </c>
      <c r="CLE370" s="649">
        <v>0.12</v>
      </c>
      <c r="CLF370" s="16"/>
      <c r="CLG370" s="320">
        <v>0.10100000000000001</v>
      </c>
      <c r="CLH370" s="153"/>
      <c r="CLI370" s="153"/>
      <c r="CLJ370" s="153"/>
      <c r="CLK370" s="648"/>
      <c r="CLL370" s="641"/>
      <c r="CLM370" s="631" t="s">
        <v>265</v>
      </c>
      <c r="CLN370" s="632"/>
      <c r="CLO370" s="16"/>
      <c r="CLP370" s="636">
        <v>0.13500000000000001</v>
      </c>
      <c r="CLQ370" s="636">
        <v>0.12</v>
      </c>
      <c r="CLR370" s="636">
        <v>0.13</v>
      </c>
      <c r="CLS370" s="636">
        <v>0.12</v>
      </c>
      <c r="CLT370" s="636">
        <v>0.12</v>
      </c>
      <c r="CLU370" s="649">
        <v>0.12</v>
      </c>
      <c r="CLV370" s="16"/>
      <c r="CLW370" s="320">
        <v>0.10100000000000001</v>
      </c>
      <c r="CLX370" s="153"/>
      <c r="CLY370" s="153"/>
      <c r="CLZ370" s="153"/>
      <c r="CMA370" s="648"/>
      <c r="CMB370" s="641"/>
      <c r="CMC370" s="631" t="s">
        <v>265</v>
      </c>
      <c r="CMD370" s="632"/>
      <c r="CME370" s="16"/>
      <c r="CMF370" s="636">
        <v>0.13500000000000001</v>
      </c>
      <c r="CMG370" s="636">
        <v>0.12</v>
      </c>
      <c r="CMH370" s="636">
        <v>0.13</v>
      </c>
      <c r="CMI370" s="636">
        <v>0.12</v>
      </c>
      <c r="CMJ370" s="636">
        <v>0.12</v>
      </c>
      <c r="CMK370" s="649">
        <v>0.12</v>
      </c>
      <c r="CML370" s="16"/>
      <c r="CMM370" s="320">
        <v>0.10100000000000001</v>
      </c>
      <c r="CMN370" s="153"/>
      <c r="CMO370" s="153"/>
      <c r="CMP370" s="153"/>
      <c r="CMQ370" s="648"/>
      <c r="CMR370" s="641"/>
      <c r="CMS370" s="631" t="s">
        <v>265</v>
      </c>
      <c r="CMT370" s="632"/>
      <c r="CMU370" s="16"/>
      <c r="CMV370" s="636">
        <v>0.13500000000000001</v>
      </c>
      <c r="CMW370" s="636">
        <v>0.12</v>
      </c>
      <c r="CMX370" s="636">
        <v>0.13</v>
      </c>
      <c r="CMY370" s="636">
        <v>0.12</v>
      </c>
      <c r="CMZ370" s="636">
        <v>0.12</v>
      </c>
      <c r="CNA370" s="649">
        <v>0.12</v>
      </c>
      <c r="CNB370" s="16"/>
      <c r="CNC370" s="320">
        <v>0.10100000000000001</v>
      </c>
      <c r="CND370" s="153"/>
      <c r="CNE370" s="153"/>
      <c r="CNF370" s="153"/>
      <c r="CNG370" s="648"/>
      <c r="CNH370" s="641"/>
      <c r="CNI370" s="631" t="s">
        <v>265</v>
      </c>
      <c r="CNJ370" s="632"/>
      <c r="CNK370" s="16"/>
      <c r="CNL370" s="636">
        <v>0.13500000000000001</v>
      </c>
      <c r="CNM370" s="636">
        <v>0.12</v>
      </c>
      <c r="CNN370" s="636">
        <v>0.13</v>
      </c>
      <c r="CNO370" s="636">
        <v>0.12</v>
      </c>
      <c r="CNP370" s="636">
        <v>0.12</v>
      </c>
      <c r="CNQ370" s="649">
        <v>0.12</v>
      </c>
      <c r="CNR370" s="16"/>
      <c r="CNS370" s="320">
        <v>0.10100000000000001</v>
      </c>
      <c r="CNT370" s="153"/>
      <c r="CNU370" s="153"/>
      <c r="CNV370" s="153"/>
      <c r="CNW370" s="648"/>
      <c r="CNX370" s="641"/>
      <c r="CNY370" s="631" t="s">
        <v>265</v>
      </c>
      <c r="CNZ370" s="632"/>
      <c r="COA370" s="16"/>
      <c r="COB370" s="636">
        <v>0.13500000000000001</v>
      </c>
      <c r="COC370" s="636">
        <v>0.12</v>
      </c>
      <c r="COD370" s="636">
        <v>0.13</v>
      </c>
      <c r="COE370" s="636">
        <v>0.12</v>
      </c>
      <c r="COF370" s="636">
        <v>0.12</v>
      </c>
      <c r="COG370" s="649">
        <v>0.12</v>
      </c>
      <c r="COH370" s="16"/>
      <c r="COI370" s="320">
        <v>0.10100000000000001</v>
      </c>
      <c r="COJ370" s="153"/>
      <c r="COK370" s="153"/>
      <c r="COL370" s="153"/>
      <c r="COM370" s="648"/>
      <c r="CON370" s="641"/>
      <c r="COO370" s="631" t="s">
        <v>265</v>
      </c>
      <c r="COP370" s="632"/>
      <c r="COQ370" s="16"/>
      <c r="COR370" s="636">
        <v>0.13500000000000001</v>
      </c>
      <c r="COS370" s="636">
        <v>0.12</v>
      </c>
      <c r="COT370" s="636">
        <v>0.13</v>
      </c>
      <c r="COU370" s="636">
        <v>0.12</v>
      </c>
      <c r="COV370" s="636">
        <v>0.12</v>
      </c>
      <c r="COW370" s="649">
        <v>0.12</v>
      </c>
      <c r="COX370" s="16"/>
      <c r="COY370" s="320">
        <v>0.10100000000000001</v>
      </c>
      <c r="COZ370" s="153"/>
      <c r="CPA370" s="153"/>
      <c r="CPB370" s="153"/>
      <c r="CPC370" s="648"/>
      <c r="CPD370" s="641"/>
      <c r="CPE370" s="631" t="s">
        <v>265</v>
      </c>
      <c r="CPF370" s="632"/>
      <c r="CPG370" s="16"/>
      <c r="CPH370" s="636">
        <v>0.13500000000000001</v>
      </c>
      <c r="CPI370" s="636">
        <v>0.12</v>
      </c>
      <c r="CPJ370" s="636">
        <v>0.13</v>
      </c>
      <c r="CPK370" s="636">
        <v>0.12</v>
      </c>
      <c r="CPL370" s="636">
        <v>0.12</v>
      </c>
      <c r="CPM370" s="649">
        <v>0.12</v>
      </c>
      <c r="CPN370" s="16"/>
      <c r="CPO370" s="320">
        <v>0.10100000000000001</v>
      </c>
      <c r="CPP370" s="153"/>
      <c r="CPQ370" s="153"/>
      <c r="CPR370" s="153"/>
      <c r="CPS370" s="648"/>
      <c r="CPT370" s="641"/>
      <c r="CPU370" s="631" t="s">
        <v>265</v>
      </c>
      <c r="CPV370" s="632"/>
      <c r="CPW370" s="16"/>
      <c r="CPX370" s="636">
        <v>0.13500000000000001</v>
      </c>
      <c r="CPY370" s="636">
        <v>0.12</v>
      </c>
      <c r="CPZ370" s="636">
        <v>0.13</v>
      </c>
      <c r="CQA370" s="636">
        <v>0.12</v>
      </c>
      <c r="CQB370" s="636">
        <v>0.12</v>
      </c>
      <c r="CQC370" s="649">
        <v>0.12</v>
      </c>
      <c r="CQD370" s="16"/>
      <c r="CQE370" s="320">
        <v>0.10100000000000001</v>
      </c>
      <c r="CQF370" s="153"/>
      <c r="CQG370" s="153"/>
      <c r="CQH370" s="153"/>
      <c r="CQI370" s="648"/>
      <c r="CQJ370" s="641"/>
      <c r="CQK370" s="631" t="s">
        <v>265</v>
      </c>
      <c r="CQL370" s="632"/>
      <c r="CQM370" s="16"/>
      <c r="CQN370" s="636">
        <v>0.13500000000000001</v>
      </c>
      <c r="CQO370" s="636">
        <v>0.12</v>
      </c>
      <c r="CQP370" s="636">
        <v>0.13</v>
      </c>
      <c r="CQQ370" s="636">
        <v>0.12</v>
      </c>
      <c r="CQR370" s="636">
        <v>0.12</v>
      </c>
      <c r="CQS370" s="649">
        <v>0.12</v>
      </c>
      <c r="CQT370" s="16"/>
      <c r="CQU370" s="320">
        <v>0.10100000000000001</v>
      </c>
      <c r="CQV370" s="153"/>
      <c r="CQW370" s="153"/>
      <c r="CQX370" s="153"/>
      <c r="CQY370" s="648"/>
      <c r="CQZ370" s="641"/>
      <c r="CRA370" s="631" t="s">
        <v>265</v>
      </c>
      <c r="CRB370" s="632"/>
      <c r="CRC370" s="16"/>
      <c r="CRD370" s="636">
        <v>0.13500000000000001</v>
      </c>
      <c r="CRE370" s="636">
        <v>0.12</v>
      </c>
      <c r="CRF370" s="636">
        <v>0.13</v>
      </c>
      <c r="CRG370" s="636">
        <v>0.12</v>
      </c>
      <c r="CRH370" s="636">
        <v>0.12</v>
      </c>
      <c r="CRI370" s="649">
        <v>0.12</v>
      </c>
      <c r="CRJ370" s="16"/>
      <c r="CRK370" s="320">
        <v>0.10100000000000001</v>
      </c>
      <c r="CRL370" s="153"/>
      <c r="CRM370" s="153"/>
      <c r="CRN370" s="153"/>
      <c r="CRO370" s="648"/>
      <c r="CRP370" s="641"/>
      <c r="CRQ370" s="631" t="s">
        <v>265</v>
      </c>
      <c r="CRR370" s="632"/>
      <c r="CRS370" s="16"/>
      <c r="CRT370" s="636">
        <v>0.13500000000000001</v>
      </c>
      <c r="CRU370" s="636">
        <v>0.12</v>
      </c>
      <c r="CRV370" s="636">
        <v>0.13</v>
      </c>
      <c r="CRW370" s="636">
        <v>0.12</v>
      </c>
      <c r="CRX370" s="636">
        <v>0.12</v>
      </c>
      <c r="CRY370" s="649">
        <v>0.12</v>
      </c>
      <c r="CRZ370" s="16"/>
      <c r="CSA370" s="320">
        <v>0.10100000000000001</v>
      </c>
      <c r="CSB370" s="153"/>
      <c r="CSC370" s="153"/>
      <c r="CSD370" s="153"/>
      <c r="CSE370" s="648"/>
      <c r="CSF370" s="641"/>
      <c r="CSG370" s="631" t="s">
        <v>265</v>
      </c>
      <c r="CSH370" s="632"/>
      <c r="CSI370" s="16"/>
      <c r="CSJ370" s="636">
        <v>0.13500000000000001</v>
      </c>
      <c r="CSK370" s="636">
        <v>0.12</v>
      </c>
      <c r="CSL370" s="636">
        <v>0.13</v>
      </c>
      <c r="CSM370" s="636">
        <v>0.12</v>
      </c>
      <c r="CSN370" s="636">
        <v>0.12</v>
      </c>
      <c r="CSO370" s="649">
        <v>0.12</v>
      </c>
      <c r="CSP370" s="16"/>
      <c r="CSQ370" s="320">
        <v>0.10100000000000001</v>
      </c>
      <c r="CSR370" s="153"/>
      <c r="CSS370" s="153"/>
      <c r="CST370" s="153"/>
      <c r="CSU370" s="648"/>
      <c r="CSV370" s="641"/>
      <c r="CSW370" s="631" t="s">
        <v>265</v>
      </c>
      <c r="CSX370" s="632"/>
      <c r="CSY370" s="16"/>
      <c r="CSZ370" s="636">
        <v>0.13500000000000001</v>
      </c>
      <c r="CTA370" s="636">
        <v>0.12</v>
      </c>
      <c r="CTB370" s="636">
        <v>0.13</v>
      </c>
      <c r="CTC370" s="636">
        <v>0.12</v>
      </c>
      <c r="CTD370" s="636">
        <v>0.12</v>
      </c>
      <c r="CTE370" s="649">
        <v>0.12</v>
      </c>
      <c r="CTF370" s="16"/>
      <c r="CTG370" s="320">
        <v>0.10100000000000001</v>
      </c>
      <c r="CTH370" s="153"/>
      <c r="CTI370" s="153"/>
      <c r="CTJ370" s="153"/>
      <c r="CTK370" s="648"/>
      <c r="CTL370" s="641"/>
      <c r="CTM370" s="631" t="s">
        <v>265</v>
      </c>
      <c r="CTN370" s="632"/>
      <c r="CTO370" s="16"/>
      <c r="CTP370" s="636">
        <v>0.13500000000000001</v>
      </c>
      <c r="CTQ370" s="636">
        <v>0.12</v>
      </c>
      <c r="CTR370" s="636">
        <v>0.13</v>
      </c>
      <c r="CTS370" s="636">
        <v>0.12</v>
      </c>
      <c r="CTT370" s="636">
        <v>0.12</v>
      </c>
      <c r="CTU370" s="649">
        <v>0.12</v>
      </c>
      <c r="CTV370" s="16"/>
      <c r="CTW370" s="320">
        <v>0.10100000000000001</v>
      </c>
      <c r="CTX370" s="153"/>
      <c r="CTY370" s="153"/>
      <c r="CTZ370" s="153"/>
      <c r="CUA370" s="648"/>
      <c r="CUB370" s="641"/>
      <c r="CUC370" s="631" t="s">
        <v>265</v>
      </c>
      <c r="CUD370" s="632"/>
      <c r="CUE370" s="16"/>
      <c r="CUF370" s="636">
        <v>0.13500000000000001</v>
      </c>
      <c r="CUG370" s="636">
        <v>0.12</v>
      </c>
      <c r="CUH370" s="636">
        <v>0.13</v>
      </c>
      <c r="CUI370" s="636">
        <v>0.12</v>
      </c>
      <c r="CUJ370" s="636">
        <v>0.12</v>
      </c>
      <c r="CUK370" s="649">
        <v>0.12</v>
      </c>
      <c r="CUL370" s="16"/>
      <c r="CUM370" s="320">
        <v>0.10100000000000001</v>
      </c>
      <c r="CUN370" s="153"/>
      <c r="CUO370" s="153"/>
      <c r="CUP370" s="153"/>
      <c r="CUQ370" s="648"/>
      <c r="CUR370" s="641"/>
      <c r="CUS370" s="631" t="s">
        <v>265</v>
      </c>
      <c r="CUT370" s="632"/>
      <c r="CUU370" s="16"/>
      <c r="CUV370" s="636">
        <v>0.13500000000000001</v>
      </c>
      <c r="CUW370" s="636">
        <v>0.12</v>
      </c>
      <c r="CUX370" s="636">
        <v>0.13</v>
      </c>
      <c r="CUY370" s="636">
        <v>0.12</v>
      </c>
      <c r="CUZ370" s="636">
        <v>0.12</v>
      </c>
      <c r="CVA370" s="649">
        <v>0.12</v>
      </c>
      <c r="CVB370" s="16"/>
      <c r="CVC370" s="320">
        <v>0.10100000000000001</v>
      </c>
      <c r="CVD370" s="153"/>
      <c r="CVE370" s="153"/>
      <c r="CVF370" s="153"/>
      <c r="CVG370" s="648"/>
      <c r="CVH370" s="641"/>
      <c r="CVI370" s="631" t="s">
        <v>265</v>
      </c>
      <c r="CVJ370" s="632"/>
      <c r="CVK370" s="16"/>
      <c r="CVL370" s="636">
        <v>0.13500000000000001</v>
      </c>
      <c r="CVM370" s="636">
        <v>0.12</v>
      </c>
      <c r="CVN370" s="636">
        <v>0.13</v>
      </c>
      <c r="CVO370" s="636">
        <v>0.12</v>
      </c>
      <c r="CVP370" s="636">
        <v>0.12</v>
      </c>
      <c r="CVQ370" s="649">
        <v>0.12</v>
      </c>
      <c r="CVR370" s="16"/>
      <c r="CVS370" s="320">
        <v>0.10100000000000001</v>
      </c>
      <c r="CVT370" s="153"/>
      <c r="CVU370" s="153"/>
      <c r="CVV370" s="153"/>
      <c r="CVW370" s="648"/>
      <c r="CVX370" s="641"/>
      <c r="CVY370" s="631" t="s">
        <v>265</v>
      </c>
      <c r="CVZ370" s="632"/>
      <c r="CWA370" s="16"/>
      <c r="CWB370" s="636">
        <v>0.13500000000000001</v>
      </c>
      <c r="CWC370" s="636">
        <v>0.12</v>
      </c>
      <c r="CWD370" s="636">
        <v>0.13</v>
      </c>
      <c r="CWE370" s="636">
        <v>0.12</v>
      </c>
      <c r="CWF370" s="636">
        <v>0.12</v>
      </c>
      <c r="CWG370" s="649">
        <v>0.12</v>
      </c>
      <c r="CWH370" s="16"/>
      <c r="CWI370" s="320">
        <v>0.10100000000000001</v>
      </c>
      <c r="CWJ370" s="153"/>
      <c r="CWK370" s="153"/>
      <c r="CWL370" s="153"/>
      <c r="CWM370" s="648"/>
      <c r="CWN370" s="641"/>
      <c r="CWO370" s="631" t="s">
        <v>265</v>
      </c>
      <c r="CWP370" s="632"/>
      <c r="CWQ370" s="16"/>
      <c r="CWR370" s="636">
        <v>0.13500000000000001</v>
      </c>
      <c r="CWS370" s="636">
        <v>0.12</v>
      </c>
      <c r="CWT370" s="636">
        <v>0.13</v>
      </c>
      <c r="CWU370" s="636">
        <v>0.12</v>
      </c>
      <c r="CWV370" s="636">
        <v>0.12</v>
      </c>
      <c r="CWW370" s="649">
        <v>0.12</v>
      </c>
      <c r="CWX370" s="16"/>
      <c r="CWY370" s="320">
        <v>0.10100000000000001</v>
      </c>
      <c r="CWZ370" s="153"/>
      <c r="CXA370" s="153"/>
      <c r="CXB370" s="153"/>
      <c r="CXC370" s="648"/>
      <c r="CXD370" s="641"/>
      <c r="CXE370" s="631" t="s">
        <v>265</v>
      </c>
      <c r="CXF370" s="632"/>
      <c r="CXG370" s="16"/>
      <c r="CXH370" s="636">
        <v>0.13500000000000001</v>
      </c>
      <c r="CXI370" s="636">
        <v>0.12</v>
      </c>
      <c r="CXJ370" s="636">
        <v>0.13</v>
      </c>
      <c r="CXK370" s="636">
        <v>0.12</v>
      </c>
      <c r="CXL370" s="636">
        <v>0.12</v>
      </c>
      <c r="CXM370" s="649">
        <v>0.12</v>
      </c>
      <c r="CXN370" s="16"/>
      <c r="CXO370" s="320">
        <v>0.10100000000000001</v>
      </c>
      <c r="CXP370" s="153"/>
      <c r="CXQ370" s="153"/>
      <c r="CXR370" s="153"/>
      <c r="CXS370" s="648"/>
      <c r="CXT370" s="641"/>
      <c r="CXU370" s="631" t="s">
        <v>265</v>
      </c>
      <c r="CXV370" s="632"/>
      <c r="CXW370" s="16"/>
      <c r="CXX370" s="636">
        <v>0.13500000000000001</v>
      </c>
      <c r="CXY370" s="636">
        <v>0.12</v>
      </c>
      <c r="CXZ370" s="636">
        <v>0.13</v>
      </c>
      <c r="CYA370" s="636">
        <v>0.12</v>
      </c>
      <c r="CYB370" s="636">
        <v>0.12</v>
      </c>
      <c r="CYC370" s="649">
        <v>0.12</v>
      </c>
      <c r="CYD370" s="16"/>
      <c r="CYE370" s="320">
        <v>0.10100000000000001</v>
      </c>
      <c r="CYF370" s="153"/>
      <c r="CYG370" s="153"/>
      <c r="CYH370" s="153"/>
      <c r="CYI370" s="648"/>
      <c r="CYJ370" s="641"/>
      <c r="CYK370" s="631" t="s">
        <v>265</v>
      </c>
      <c r="CYL370" s="632"/>
      <c r="CYM370" s="16"/>
      <c r="CYN370" s="636">
        <v>0.13500000000000001</v>
      </c>
      <c r="CYO370" s="636">
        <v>0.12</v>
      </c>
      <c r="CYP370" s="636">
        <v>0.13</v>
      </c>
      <c r="CYQ370" s="636">
        <v>0.12</v>
      </c>
      <c r="CYR370" s="636">
        <v>0.12</v>
      </c>
      <c r="CYS370" s="649">
        <v>0.12</v>
      </c>
      <c r="CYT370" s="16"/>
      <c r="CYU370" s="320">
        <v>0.10100000000000001</v>
      </c>
      <c r="CYV370" s="153"/>
      <c r="CYW370" s="153"/>
      <c r="CYX370" s="153"/>
      <c r="CYY370" s="648"/>
      <c r="CYZ370" s="641"/>
      <c r="CZA370" s="631" t="s">
        <v>265</v>
      </c>
      <c r="CZB370" s="632"/>
      <c r="CZC370" s="16"/>
      <c r="CZD370" s="636">
        <v>0.13500000000000001</v>
      </c>
      <c r="CZE370" s="636">
        <v>0.12</v>
      </c>
      <c r="CZF370" s="636">
        <v>0.13</v>
      </c>
      <c r="CZG370" s="636">
        <v>0.12</v>
      </c>
      <c r="CZH370" s="636">
        <v>0.12</v>
      </c>
      <c r="CZI370" s="649">
        <v>0.12</v>
      </c>
      <c r="CZJ370" s="16"/>
      <c r="CZK370" s="320">
        <v>0.10100000000000001</v>
      </c>
      <c r="CZL370" s="153"/>
      <c r="CZM370" s="153"/>
      <c r="CZN370" s="153"/>
      <c r="CZO370" s="648"/>
      <c r="CZP370" s="641"/>
      <c r="CZQ370" s="631" t="s">
        <v>265</v>
      </c>
      <c r="CZR370" s="632"/>
      <c r="CZS370" s="16"/>
      <c r="CZT370" s="636">
        <v>0.13500000000000001</v>
      </c>
      <c r="CZU370" s="636">
        <v>0.12</v>
      </c>
      <c r="CZV370" s="636">
        <v>0.13</v>
      </c>
      <c r="CZW370" s="636">
        <v>0.12</v>
      </c>
      <c r="CZX370" s="636">
        <v>0.12</v>
      </c>
      <c r="CZY370" s="649">
        <v>0.12</v>
      </c>
      <c r="CZZ370" s="16"/>
      <c r="DAA370" s="320">
        <v>0.10100000000000001</v>
      </c>
      <c r="DAB370" s="153"/>
      <c r="DAC370" s="153"/>
      <c r="DAD370" s="153"/>
      <c r="DAE370" s="648"/>
      <c r="DAF370" s="641"/>
      <c r="DAG370" s="631" t="s">
        <v>265</v>
      </c>
      <c r="DAH370" s="632"/>
      <c r="DAI370" s="16"/>
      <c r="DAJ370" s="636">
        <v>0.13500000000000001</v>
      </c>
      <c r="DAK370" s="636">
        <v>0.12</v>
      </c>
      <c r="DAL370" s="636">
        <v>0.13</v>
      </c>
      <c r="DAM370" s="636">
        <v>0.12</v>
      </c>
      <c r="DAN370" s="636">
        <v>0.12</v>
      </c>
      <c r="DAO370" s="649">
        <v>0.12</v>
      </c>
      <c r="DAP370" s="16"/>
      <c r="DAQ370" s="320">
        <v>0.10100000000000001</v>
      </c>
      <c r="DAR370" s="153"/>
      <c r="DAS370" s="153"/>
      <c r="DAT370" s="153"/>
      <c r="DAU370" s="648"/>
      <c r="DAV370" s="641"/>
      <c r="DAW370" s="631" t="s">
        <v>265</v>
      </c>
      <c r="DAX370" s="632"/>
      <c r="DAY370" s="16"/>
      <c r="DAZ370" s="636">
        <v>0.13500000000000001</v>
      </c>
      <c r="DBA370" s="636">
        <v>0.12</v>
      </c>
      <c r="DBB370" s="636">
        <v>0.13</v>
      </c>
      <c r="DBC370" s="636">
        <v>0.12</v>
      </c>
      <c r="DBD370" s="636">
        <v>0.12</v>
      </c>
      <c r="DBE370" s="649">
        <v>0.12</v>
      </c>
      <c r="DBF370" s="16"/>
      <c r="DBG370" s="320">
        <v>0.10100000000000001</v>
      </c>
      <c r="DBH370" s="153"/>
      <c r="DBI370" s="153"/>
      <c r="DBJ370" s="153"/>
      <c r="DBK370" s="648"/>
      <c r="DBL370" s="641"/>
      <c r="DBM370" s="631" t="s">
        <v>265</v>
      </c>
      <c r="DBN370" s="632"/>
      <c r="DBO370" s="16"/>
      <c r="DBP370" s="636">
        <v>0.13500000000000001</v>
      </c>
      <c r="DBQ370" s="636">
        <v>0.12</v>
      </c>
      <c r="DBR370" s="636">
        <v>0.13</v>
      </c>
      <c r="DBS370" s="636">
        <v>0.12</v>
      </c>
      <c r="DBT370" s="636">
        <v>0.12</v>
      </c>
      <c r="DBU370" s="649">
        <v>0.12</v>
      </c>
      <c r="DBV370" s="16"/>
      <c r="DBW370" s="320">
        <v>0.10100000000000001</v>
      </c>
      <c r="DBX370" s="153"/>
      <c r="DBY370" s="153"/>
      <c r="DBZ370" s="153"/>
      <c r="DCA370" s="648"/>
      <c r="DCB370" s="641"/>
      <c r="DCC370" s="631" t="s">
        <v>265</v>
      </c>
      <c r="DCD370" s="632"/>
      <c r="DCE370" s="16"/>
      <c r="DCF370" s="636">
        <v>0.13500000000000001</v>
      </c>
      <c r="DCG370" s="636">
        <v>0.12</v>
      </c>
      <c r="DCH370" s="636">
        <v>0.13</v>
      </c>
      <c r="DCI370" s="636">
        <v>0.12</v>
      </c>
      <c r="DCJ370" s="636">
        <v>0.12</v>
      </c>
      <c r="DCK370" s="649">
        <v>0.12</v>
      </c>
      <c r="DCL370" s="16"/>
      <c r="DCM370" s="320">
        <v>0.10100000000000001</v>
      </c>
      <c r="DCN370" s="153"/>
      <c r="DCO370" s="153"/>
      <c r="DCP370" s="153"/>
      <c r="DCQ370" s="648"/>
      <c r="DCR370" s="641"/>
      <c r="DCS370" s="631" t="s">
        <v>265</v>
      </c>
      <c r="DCT370" s="632"/>
      <c r="DCU370" s="16"/>
      <c r="DCV370" s="636">
        <v>0.13500000000000001</v>
      </c>
      <c r="DCW370" s="636">
        <v>0.12</v>
      </c>
      <c r="DCX370" s="636">
        <v>0.13</v>
      </c>
      <c r="DCY370" s="636">
        <v>0.12</v>
      </c>
      <c r="DCZ370" s="636">
        <v>0.12</v>
      </c>
      <c r="DDA370" s="649">
        <v>0.12</v>
      </c>
      <c r="DDB370" s="16"/>
      <c r="DDC370" s="320">
        <v>0.10100000000000001</v>
      </c>
      <c r="DDD370" s="153"/>
      <c r="DDE370" s="153"/>
      <c r="DDF370" s="153"/>
      <c r="DDG370" s="648"/>
      <c r="DDH370" s="641"/>
      <c r="DDI370" s="631" t="s">
        <v>265</v>
      </c>
      <c r="DDJ370" s="632"/>
      <c r="DDK370" s="16"/>
      <c r="DDL370" s="636">
        <v>0.13500000000000001</v>
      </c>
      <c r="DDM370" s="636">
        <v>0.12</v>
      </c>
      <c r="DDN370" s="636">
        <v>0.13</v>
      </c>
      <c r="DDO370" s="636">
        <v>0.12</v>
      </c>
      <c r="DDP370" s="636">
        <v>0.12</v>
      </c>
      <c r="DDQ370" s="649">
        <v>0.12</v>
      </c>
      <c r="DDR370" s="16"/>
      <c r="DDS370" s="320">
        <v>0.10100000000000001</v>
      </c>
      <c r="DDT370" s="153"/>
      <c r="DDU370" s="153"/>
      <c r="DDV370" s="153"/>
      <c r="DDW370" s="648"/>
      <c r="DDX370" s="641"/>
      <c r="DDY370" s="631" t="s">
        <v>265</v>
      </c>
      <c r="DDZ370" s="632"/>
      <c r="DEA370" s="16"/>
      <c r="DEB370" s="636">
        <v>0.13500000000000001</v>
      </c>
      <c r="DEC370" s="636">
        <v>0.12</v>
      </c>
      <c r="DED370" s="636">
        <v>0.13</v>
      </c>
      <c r="DEE370" s="636">
        <v>0.12</v>
      </c>
      <c r="DEF370" s="636">
        <v>0.12</v>
      </c>
      <c r="DEG370" s="649">
        <v>0.12</v>
      </c>
      <c r="DEH370" s="16"/>
      <c r="DEI370" s="320">
        <v>0.10100000000000001</v>
      </c>
      <c r="DEJ370" s="153"/>
      <c r="DEK370" s="153"/>
      <c r="DEL370" s="153"/>
      <c r="DEM370" s="648"/>
      <c r="DEN370" s="641"/>
      <c r="DEO370" s="631" t="s">
        <v>265</v>
      </c>
      <c r="DEP370" s="632"/>
      <c r="DEQ370" s="16"/>
      <c r="DER370" s="636">
        <v>0.13500000000000001</v>
      </c>
      <c r="DES370" s="636">
        <v>0.12</v>
      </c>
      <c r="DET370" s="636">
        <v>0.13</v>
      </c>
      <c r="DEU370" s="636">
        <v>0.12</v>
      </c>
      <c r="DEV370" s="636">
        <v>0.12</v>
      </c>
      <c r="DEW370" s="649">
        <v>0.12</v>
      </c>
      <c r="DEX370" s="16"/>
      <c r="DEY370" s="320">
        <v>0.10100000000000001</v>
      </c>
      <c r="DEZ370" s="153"/>
      <c r="DFA370" s="153"/>
      <c r="DFB370" s="153"/>
      <c r="DFC370" s="648"/>
      <c r="DFD370" s="641"/>
      <c r="DFE370" s="631" t="s">
        <v>265</v>
      </c>
      <c r="DFF370" s="632"/>
      <c r="DFG370" s="16"/>
      <c r="DFH370" s="636">
        <v>0.13500000000000001</v>
      </c>
      <c r="DFI370" s="636">
        <v>0.12</v>
      </c>
      <c r="DFJ370" s="636">
        <v>0.13</v>
      </c>
      <c r="DFK370" s="636">
        <v>0.12</v>
      </c>
      <c r="DFL370" s="636">
        <v>0.12</v>
      </c>
      <c r="DFM370" s="649">
        <v>0.12</v>
      </c>
      <c r="DFN370" s="16"/>
      <c r="DFO370" s="320">
        <v>0.10100000000000001</v>
      </c>
      <c r="DFP370" s="153"/>
      <c r="DFQ370" s="153"/>
      <c r="DFR370" s="153"/>
      <c r="DFS370" s="648"/>
      <c r="DFT370" s="641"/>
      <c r="DFU370" s="631" t="s">
        <v>265</v>
      </c>
      <c r="DFV370" s="632"/>
      <c r="DFW370" s="16"/>
      <c r="DFX370" s="636">
        <v>0.13500000000000001</v>
      </c>
      <c r="DFY370" s="636">
        <v>0.12</v>
      </c>
      <c r="DFZ370" s="636">
        <v>0.13</v>
      </c>
      <c r="DGA370" s="636">
        <v>0.12</v>
      </c>
      <c r="DGB370" s="636">
        <v>0.12</v>
      </c>
      <c r="DGC370" s="649">
        <v>0.12</v>
      </c>
      <c r="DGD370" s="16"/>
      <c r="DGE370" s="320">
        <v>0.10100000000000001</v>
      </c>
      <c r="DGF370" s="153"/>
      <c r="DGG370" s="153"/>
      <c r="DGH370" s="153"/>
      <c r="DGI370" s="648"/>
      <c r="DGJ370" s="641"/>
      <c r="DGK370" s="631" t="s">
        <v>265</v>
      </c>
      <c r="DGL370" s="632"/>
      <c r="DGM370" s="16"/>
      <c r="DGN370" s="636">
        <v>0.13500000000000001</v>
      </c>
      <c r="DGO370" s="636">
        <v>0.12</v>
      </c>
      <c r="DGP370" s="636">
        <v>0.13</v>
      </c>
      <c r="DGQ370" s="636">
        <v>0.12</v>
      </c>
      <c r="DGR370" s="636">
        <v>0.12</v>
      </c>
      <c r="DGS370" s="649">
        <v>0.12</v>
      </c>
      <c r="DGT370" s="16"/>
      <c r="DGU370" s="320">
        <v>0.10100000000000001</v>
      </c>
      <c r="DGV370" s="153"/>
      <c r="DGW370" s="153"/>
      <c r="DGX370" s="153"/>
      <c r="DGY370" s="648"/>
      <c r="DGZ370" s="641"/>
      <c r="DHA370" s="631" t="s">
        <v>265</v>
      </c>
      <c r="DHB370" s="632"/>
      <c r="DHC370" s="16"/>
      <c r="DHD370" s="636">
        <v>0.13500000000000001</v>
      </c>
      <c r="DHE370" s="636">
        <v>0.12</v>
      </c>
      <c r="DHF370" s="636">
        <v>0.13</v>
      </c>
      <c r="DHG370" s="636">
        <v>0.12</v>
      </c>
      <c r="DHH370" s="636">
        <v>0.12</v>
      </c>
      <c r="DHI370" s="649">
        <v>0.12</v>
      </c>
      <c r="DHJ370" s="16"/>
      <c r="DHK370" s="320">
        <v>0.10100000000000001</v>
      </c>
      <c r="DHL370" s="153"/>
      <c r="DHM370" s="153"/>
      <c r="DHN370" s="153"/>
      <c r="DHO370" s="648"/>
      <c r="DHP370" s="641"/>
      <c r="DHQ370" s="631" t="s">
        <v>265</v>
      </c>
      <c r="DHR370" s="632"/>
      <c r="DHS370" s="16"/>
      <c r="DHT370" s="636">
        <v>0.13500000000000001</v>
      </c>
      <c r="DHU370" s="636">
        <v>0.12</v>
      </c>
      <c r="DHV370" s="636">
        <v>0.13</v>
      </c>
      <c r="DHW370" s="636">
        <v>0.12</v>
      </c>
      <c r="DHX370" s="636">
        <v>0.12</v>
      </c>
      <c r="DHY370" s="649">
        <v>0.12</v>
      </c>
      <c r="DHZ370" s="16"/>
      <c r="DIA370" s="320">
        <v>0.10100000000000001</v>
      </c>
      <c r="DIB370" s="153"/>
      <c r="DIC370" s="153"/>
      <c r="DID370" s="153"/>
      <c r="DIE370" s="648"/>
      <c r="DIF370" s="641"/>
      <c r="DIG370" s="631" t="s">
        <v>265</v>
      </c>
      <c r="DIH370" s="632"/>
      <c r="DII370" s="16"/>
      <c r="DIJ370" s="636">
        <v>0.13500000000000001</v>
      </c>
      <c r="DIK370" s="636">
        <v>0.12</v>
      </c>
      <c r="DIL370" s="636">
        <v>0.13</v>
      </c>
      <c r="DIM370" s="636">
        <v>0.12</v>
      </c>
      <c r="DIN370" s="636">
        <v>0.12</v>
      </c>
      <c r="DIO370" s="649">
        <v>0.12</v>
      </c>
      <c r="DIP370" s="16"/>
      <c r="DIQ370" s="320">
        <v>0.10100000000000001</v>
      </c>
      <c r="DIR370" s="153"/>
      <c r="DIS370" s="153"/>
      <c r="DIT370" s="153"/>
      <c r="DIU370" s="648"/>
      <c r="DIV370" s="641"/>
      <c r="DIW370" s="631" t="s">
        <v>265</v>
      </c>
      <c r="DIX370" s="632"/>
      <c r="DIY370" s="16"/>
      <c r="DIZ370" s="636">
        <v>0.13500000000000001</v>
      </c>
      <c r="DJA370" s="636">
        <v>0.12</v>
      </c>
      <c r="DJB370" s="636">
        <v>0.13</v>
      </c>
      <c r="DJC370" s="636">
        <v>0.12</v>
      </c>
      <c r="DJD370" s="636">
        <v>0.12</v>
      </c>
      <c r="DJE370" s="649">
        <v>0.12</v>
      </c>
      <c r="DJF370" s="16"/>
      <c r="DJG370" s="320">
        <v>0.10100000000000001</v>
      </c>
      <c r="DJH370" s="153"/>
      <c r="DJI370" s="153"/>
      <c r="DJJ370" s="153"/>
      <c r="DJK370" s="648"/>
      <c r="DJL370" s="641"/>
      <c r="DJM370" s="631" t="s">
        <v>265</v>
      </c>
      <c r="DJN370" s="632"/>
      <c r="DJO370" s="16"/>
      <c r="DJP370" s="636">
        <v>0.13500000000000001</v>
      </c>
      <c r="DJQ370" s="636">
        <v>0.12</v>
      </c>
      <c r="DJR370" s="636">
        <v>0.13</v>
      </c>
      <c r="DJS370" s="636">
        <v>0.12</v>
      </c>
      <c r="DJT370" s="636">
        <v>0.12</v>
      </c>
      <c r="DJU370" s="649">
        <v>0.12</v>
      </c>
      <c r="DJV370" s="16"/>
      <c r="DJW370" s="320">
        <v>0.10100000000000001</v>
      </c>
      <c r="DJX370" s="153"/>
      <c r="DJY370" s="153"/>
      <c r="DJZ370" s="153"/>
      <c r="DKA370" s="648"/>
      <c r="DKB370" s="641"/>
      <c r="DKC370" s="631" t="s">
        <v>265</v>
      </c>
      <c r="DKD370" s="632"/>
      <c r="DKE370" s="16"/>
      <c r="DKF370" s="636">
        <v>0.13500000000000001</v>
      </c>
      <c r="DKG370" s="636">
        <v>0.12</v>
      </c>
      <c r="DKH370" s="636">
        <v>0.13</v>
      </c>
      <c r="DKI370" s="636">
        <v>0.12</v>
      </c>
      <c r="DKJ370" s="636">
        <v>0.12</v>
      </c>
      <c r="DKK370" s="649">
        <v>0.12</v>
      </c>
      <c r="DKL370" s="16"/>
      <c r="DKM370" s="320">
        <v>0.10100000000000001</v>
      </c>
      <c r="DKN370" s="153"/>
      <c r="DKO370" s="153"/>
      <c r="DKP370" s="153"/>
      <c r="DKQ370" s="648"/>
      <c r="DKR370" s="641"/>
      <c r="DKS370" s="631" t="s">
        <v>265</v>
      </c>
      <c r="DKT370" s="632"/>
      <c r="DKU370" s="16"/>
      <c r="DKV370" s="636">
        <v>0.13500000000000001</v>
      </c>
      <c r="DKW370" s="636">
        <v>0.12</v>
      </c>
      <c r="DKX370" s="636">
        <v>0.13</v>
      </c>
      <c r="DKY370" s="636">
        <v>0.12</v>
      </c>
      <c r="DKZ370" s="636">
        <v>0.12</v>
      </c>
      <c r="DLA370" s="649">
        <v>0.12</v>
      </c>
      <c r="DLB370" s="16"/>
      <c r="DLC370" s="320">
        <v>0.10100000000000001</v>
      </c>
      <c r="DLD370" s="153"/>
      <c r="DLE370" s="153"/>
      <c r="DLF370" s="153"/>
      <c r="DLG370" s="648"/>
      <c r="DLH370" s="641"/>
      <c r="DLI370" s="631" t="s">
        <v>265</v>
      </c>
      <c r="DLJ370" s="632"/>
      <c r="DLK370" s="16"/>
      <c r="DLL370" s="636">
        <v>0.13500000000000001</v>
      </c>
      <c r="DLM370" s="636">
        <v>0.12</v>
      </c>
      <c r="DLN370" s="636">
        <v>0.13</v>
      </c>
      <c r="DLO370" s="636">
        <v>0.12</v>
      </c>
      <c r="DLP370" s="636">
        <v>0.12</v>
      </c>
      <c r="DLQ370" s="649">
        <v>0.12</v>
      </c>
      <c r="DLR370" s="16"/>
      <c r="DLS370" s="320">
        <v>0.10100000000000001</v>
      </c>
      <c r="DLT370" s="153"/>
      <c r="DLU370" s="153"/>
      <c r="DLV370" s="153"/>
      <c r="DLW370" s="648"/>
      <c r="DLX370" s="641"/>
      <c r="DLY370" s="631" t="s">
        <v>265</v>
      </c>
      <c r="DLZ370" s="632"/>
      <c r="DMA370" s="16"/>
      <c r="DMB370" s="636">
        <v>0.13500000000000001</v>
      </c>
      <c r="DMC370" s="636">
        <v>0.12</v>
      </c>
      <c r="DMD370" s="636">
        <v>0.13</v>
      </c>
      <c r="DME370" s="636">
        <v>0.12</v>
      </c>
      <c r="DMF370" s="636">
        <v>0.12</v>
      </c>
      <c r="DMG370" s="649">
        <v>0.12</v>
      </c>
      <c r="DMH370" s="16"/>
      <c r="DMI370" s="320">
        <v>0.10100000000000001</v>
      </c>
      <c r="DMJ370" s="153"/>
      <c r="DMK370" s="153"/>
      <c r="DML370" s="153"/>
      <c r="DMM370" s="648"/>
      <c r="DMN370" s="641"/>
      <c r="DMO370" s="631" t="s">
        <v>265</v>
      </c>
      <c r="DMP370" s="632"/>
      <c r="DMQ370" s="16"/>
      <c r="DMR370" s="636">
        <v>0.13500000000000001</v>
      </c>
      <c r="DMS370" s="636">
        <v>0.12</v>
      </c>
      <c r="DMT370" s="636">
        <v>0.13</v>
      </c>
      <c r="DMU370" s="636">
        <v>0.12</v>
      </c>
      <c r="DMV370" s="636">
        <v>0.12</v>
      </c>
      <c r="DMW370" s="649">
        <v>0.12</v>
      </c>
      <c r="DMX370" s="16"/>
      <c r="DMY370" s="320">
        <v>0.10100000000000001</v>
      </c>
      <c r="DMZ370" s="153"/>
      <c r="DNA370" s="153"/>
      <c r="DNB370" s="153"/>
      <c r="DNC370" s="648"/>
      <c r="DND370" s="641"/>
      <c r="DNE370" s="631" t="s">
        <v>265</v>
      </c>
      <c r="DNF370" s="632"/>
      <c r="DNG370" s="16"/>
      <c r="DNH370" s="636">
        <v>0.13500000000000001</v>
      </c>
      <c r="DNI370" s="636">
        <v>0.12</v>
      </c>
      <c r="DNJ370" s="636">
        <v>0.13</v>
      </c>
      <c r="DNK370" s="636">
        <v>0.12</v>
      </c>
      <c r="DNL370" s="636">
        <v>0.12</v>
      </c>
      <c r="DNM370" s="649">
        <v>0.12</v>
      </c>
      <c r="DNN370" s="16"/>
      <c r="DNO370" s="320">
        <v>0.10100000000000001</v>
      </c>
      <c r="DNP370" s="153"/>
      <c r="DNQ370" s="153"/>
      <c r="DNR370" s="153"/>
      <c r="DNS370" s="648"/>
      <c r="DNT370" s="641"/>
      <c r="DNU370" s="631" t="s">
        <v>265</v>
      </c>
      <c r="DNV370" s="632"/>
      <c r="DNW370" s="16"/>
      <c r="DNX370" s="636">
        <v>0.13500000000000001</v>
      </c>
      <c r="DNY370" s="636">
        <v>0.12</v>
      </c>
      <c r="DNZ370" s="636">
        <v>0.13</v>
      </c>
      <c r="DOA370" s="636">
        <v>0.12</v>
      </c>
      <c r="DOB370" s="636">
        <v>0.12</v>
      </c>
      <c r="DOC370" s="649">
        <v>0.12</v>
      </c>
      <c r="DOD370" s="16"/>
      <c r="DOE370" s="320">
        <v>0.10100000000000001</v>
      </c>
      <c r="DOF370" s="153"/>
      <c r="DOG370" s="153"/>
      <c r="DOH370" s="153"/>
      <c r="DOI370" s="648"/>
      <c r="DOJ370" s="641"/>
      <c r="DOK370" s="631" t="s">
        <v>265</v>
      </c>
      <c r="DOL370" s="632"/>
      <c r="DOM370" s="16"/>
      <c r="DON370" s="636">
        <v>0.13500000000000001</v>
      </c>
      <c r="DOO370" s="636">
        <v>0.12</v>
      </c>
      <c r="DOP370" s="636">
        <v>0.13</v>
      </c>
      <c r="DOQ370" s="636">
        <v>0.12</v>
      </c>
      <c r="DOR370" s="636">
        <v>0.12</v>
      </c>
      <c r="DOS370" s="649">
        <v>0.12</v>
      </c>
      <c r="DOT370" s="16"/>
      <c r="DOU370" s="320">
        <v>0.10100000000000001</v>
      </c>
      <c r="DOV370" s="153"/>
      <c r="DOW370" s="153"/>
      <c r="DOX370" s="153"/>
      <c r="DOY370" s="648"/>
      <c r="DOZ370" s="641"/>
      <c r="DPA370" s="631" t="s">
        <v>265</v>
      </c>
      <c r="DPB370" s="632"/>
      <c r="DPC370" s="16"/>
      <c r="DPD370" s="636">
        <v>0.13500000000000001</v>
      </c>
      <c r="DPE370" s="636">
        <v>0.12</v>
      </c>
      <c r="DPF370" s="636">
        <v>0.13</v>
      </c>
      <c r="DPG370" s="636">
        <v>0.12</v>
      </c>
      <c r="DPH370" s="636">
        <v>0.12</v>
      </c>
      <c r="DPI370" s="649">
        <v>0.12</v>
      </c>
      <c r="DPJ370" s="16"/>
      <c r="DPK370" s="320">
        <v>0.10100000000000001</v>
      </c>
      <c r="DPL370" s="153"/>
      <c r="DPM370" s="153"/>
      <c r="DPN370" s="153"/>
      <c r="DPO370" s="648"/>
      <c r="DPP370" s="641"/>
      <c r="DPQ370" s="631" t="s">
        <v>265</v>
      </c>
      <c r="DPR370" s="632"/>
      <c r="DPS370" s="16"/>
      <c r="DPT370" s="636">
        <v>0.13500000000000001</v>
      </c>
      <c r="DPU370" s="636">
        <v>0.12</v>
      </c>
      <c r="DPV370" s="636">
        <v>0.13</v>
      </c>
      <c r="DPW370" s="636">
        <v>0.12</v>
      </c>
      <c r="DPX370" s="636">
        <v>0.12</v>
      </c>
      <c r="DPY370" s="649">
        <v>0.12</v>
      </c>
      <c r="DPZ370" s="16"/>
      <c r="DQA370" s="320">
        <v>0.10100000000000001</v>
      </c>
      <c r="DQB370" s="153"/>
      <c r="DQC370" s="153"/>
      <c r="DQD370" s="153"/>
      <c r="DQE370" s="648"/>
      <c r="DQF370" s="641"/>
      <c r="DQG370" s="631" t="s">
        <v>265</v>
      </c>
      <c r="DQH370" s="632"/>
      <c r="DQI370" s="16"/>
      <c r="DQJ370" s="636">
        <v>0.13500000000000001</v>
      </c>
      <c r="DQK370" s="636">
        <v>0.12</v>
      </c>
      <c r="DQL370" s="636">
        <v>0.13</v>
      </c>
      <c r="DQM370" s="636">
        <v>0.12</v>
      </c>
      <c r="DQN370" s="636">
        <v>0.12</v>
      </c>
      <c r="DQO370" s="649">
        <v>0.12</v>
      </c>
      <c r="DQP370" s="16"/>
      <c r="DQQ370" s="320">
        <v>0.10100000000000001</v>
      </c>
      <c r="DQR370" s="153"/>
      <c r="DQS370" s="153"/>
      <c r="DQT370" s="153"/>
      <c r="DQU370" s="648"/>
      <c r="DQV370" s="641"/>
      <c r="DQW370" s="631" t="s">
        <v>265</v>
      </c>
      <c r="DQX370" s="632"/>
      <c r="DQY370" s="16"/>
      <c r="DQZ370" s="636">
        <v>0.13500000000000001</v>
      </c>
      <c r="DRA370" s="636">
        <v>0.12</v>
      </c>
      <c r="DRB370" s="636">
        <v>0.13</v>
      </c>
      <c r="DRC370" s="636">
        <v>0.12</v>
      </c>
      <c r="DRD370" s="636">
        <v>0.12</v>
      </c>
      <c r="DRE370" s="649">
        <v>0.12</v>
      </c>
      <c r="DRF370" s="16"/>
      <c r="DRG370" s="320">
        <v>0.10100000000000001</v>
      </c>
      <c r="DRH370" s="153"/>
      <c r="DRI370" s="153"/>
      <c r="DRJ370" s="153"/>
      <c r="DRK370" s="648"/>
      <c r="DRL370" s="641"/>
      <c r="DRM370" s="631" t="s">
        <v>265</v>
      </c>
      <c r="DRN370" s="632"/>
      <c r="DRO370" s="16"/>
      <c r="DRP370" s="636">
        <v>0.13500000000000001</v>
      </c>
      <c r="DRQ370" s="636">
        <v>0.12</v>
      </c>
      <c r="DRR370" s="636">
        <v>0.13</v>
      </c>
      <c r="DRS370" s="636">
        <v>0.12</v>
      </c>
      <c r="DRT370" s="636">
        <v>0.12</v>
      </c>
      <c r="DRU370" s="649">
        <v>0.12</v>
      </c>
      <c r="DRV370" s="16"/>
      <c r="DRW370" s="320">
        <v>0.10100000000000001</v>
      </c>
      <c r="DRX370" s="153"/>
      <c r="DRY370" s="153"/>
      <c r="DRZ370" s="153"/>
      <c r="DSA370" s="648"/>
      <c r="DSB370" s="641"/>
      <c r="DSC370" s="631" t="s">
        <v>265</v>
      </c>
      <c r="DSD370" s="632"/>
      <c r="DSE370" s="16"/>
      <c r="DSF370" s="636">
        <v>0.13500000000000001</v>
      </c>
      <c r="DSG370" s="636">
        <v>0.12</v>
      </c>
      <c r="DSH370" s="636">
        <v>0.13</v>
      </c>
      <c r="DSI370" s="636">
        <v>0.12</v>
      </c>
      <c r="DSJ370" s="636">
        <v>0.12</v>
      </c>
      <c r="DSK370" s="649">
        <v>0.12</v>
      </c>
      <c r="DSL370" s="16"/>
      <c r="DSM370" s="320">
        <v>0.10100000000000001</v>
      </c>
      <c r="DSN370" s="153"/>
      <c r="DSO370" s="153"/>
      <c r="DSP370" s="153"/>
      <c r="DSQ370" s="648"/>
      <c r="DSR370" s="641"/>
      <c r="DSS370" s="631" t="s">
        <v>265</v>
      </c>
      <c r="DST370" s="632"/>
      <c r="DSU370" s="16"/>
      <c r="DSV370" s="636">
        <v>0.13500000000000001</v>
      </c>
      <c r="DSW370" s="636">
        <v>0.12</v>
      </c>
      <c r="DSX370" s="636">
        <v>0.13</v>
      </c>
      <c r="DSY370" s="636">
        <v>0.12</v>
      </c>
      <c r="DSZ370" s="636">
        <v>0.12</v>
      </c>
      <c r="DTA370" s="649">
        <v>0.12</v>
      </c>
      <c r="DTB370" s="16"/>
      <c r="DTC370" s="320">
        <v>0.10100000000000001</v>
      </c>
      <c r="DTD370" s="153"/>
      <c r="DTE370" s="153"/>
      <c r="DTF370" s="153"/>
      <c r="DTG370" s="648"/>
      <c r="DTH370" s="641"/>
      <c r="DTI370" s="631" t="s">
        <v>265</v>
      </c>
      <c r="DTJ370" s="632"/>
      <c r="DTK370" s="16"/>
      <c r="DTL370" s="636">
        <v>0.13500000000000001</v>
      </c>
      <c r="DTM370" s="636">
        <v>0.12</v>
      </c>
      <c r="DTN370" s="636">
        <v>0.13</v>
      </c>
      <c r="DTO370" s="636">
        <v>0.12</v>
      </c>
      <c r="DTP370" s="636">
        <v>0.12</v>
      </c>
      <c r="DTQ370" s="649">
        <v>0.12</v>
      </c>
      <c r="DTR370" s="16"/>
      <c r="DTS370" s="320">
        <v>0.10100000000000001</v>
      </c>
      <c r="DTT370" s="153"/>
      <c r="DTU370" s="153"/>
      <c r="DTV370" s="153"/>
      <c r="DTW370" s="648"/>
      <c r="DTX370" s="641"/>
      <c r="DTY370" s="631" t="s">
        <v>265</v>
      </c>
      <c r="DTZ370" s="632"/>
      <c r="DUA370" s="16"/>
      <c r="DUB370" s="636">
        <v>0.13500000000000001</v>
      </c>
      <c r="DUC370" s="636">
        <v>0.12</v>
      </c>
      <c r="DUD370" s="636">
        <v>0.13</v>
      </c>
      <c r="DUE370" s="636">
        <v>0.12</v>
      </c>
      <c r="DUF370" s="636">
        <v>0.12</v>
      </c>
      <c r="DUG370" s="649">
        <v>0.12</v>
      </c>
      <c r="DUH370" s="16"/>
      <c r="DUI370" s="320">
        <v>0.10100000000000001</v>
      </c>
      <c r="DUJ370" s="153"/>
      <c r="DUK370" s="153"/>
      <c r="DUL370" s="153"/>
      <c r="DUM370" s="648"/>
      <c r="DUN370" s="641"/>
      <c r="DUO370" s="631" t="s">
        <v>265</v>
      </c>
      <c r="DUP370" s="632"/>
      <c r="DUQ370" s="16"/>
      <c r="DUR370" s="636">
        <v>0.13500000000000001</v>
      </c>
      <c r="DUS370" s="636">
        <v>0.12</v>
      </c>
      <c r="DUT370" s="636">
        <v>0.13</v>
      </c>
      <c r="DUU370" s="636">
        <v>0.12</v>
      </c>
      <c r="DUV370" s="636">
        <v>0.12</v>
      </c>
      <c r="DUW370" s="649">
        <v>0.12</v>
      </c>
      <c r="DUX370" s="16"/>
      <c r="DUY370" s="320">
        <v>0.10100000000000001</v>
      </c>
      <c r="DUZ370" s="153"/>
      <c r="DVA370" s="153"/>
      <c r="DVB370" s="153"/>
      <c r="DVC370" s="648"/>
      <c r="DVD370" s="641"/>
      <c r="DVE370" s="631" t="s">
        <v>265</v>
      </c>
      <c r="DVF370" s="632"/>
      <c r="DVG370" s="16"/>
      <c r="DVH370" s="636">
        <v>0.13500000000000001</v>
      </c>
      <c r="DVI370" s="636">
        <v>0.12</v>
      </c>
      <c r="DVJ370" s="636">
        <v>0.13</v>
      </c>
      <c r="DVK370" s="636">
        <v>0.12</v>
      </c>
      <c r="DVL370" s="636">
        <v>0.12</v>
      </c>
      <c r="DVM370" s="649">
        <v>0.12</v>
      </c>
      <c r="DVN370" s="16"/>
      <c r="DVO370" s="320">
        <v>0.10100000000000001</v>
      </c>
      <c r="DVP370" s="153"/>
      <c r="DVQ370" s="153"/>
      <c r="DVR370" s="153"/>
      <c r="DVS370" s="648"/>
      <c r="DVT370" s="641"/>
      <c r="DVU370" s="631" t="s">
        <v>265</v>
      </c>
      <c r="DVV370" s="632"/>
      <c r="DVW370" s="16"/>
      <c r="DVX370" s="636">
        <v>0.13500000000000001</v>
      </c>
      <c r="DVY370" s="636">
        <v>0.12</v>
      </c>
      <c r="DVZ370" s="636">
        <v>0.13</v>
      </c>
      <c r="DWA370" s="636">
        <v>0.12</v>
      </c>
      <c r="DWB370" s="636">
        <v>0.12</v>
      </c>
      <c r="DWC370" s="649">
        <v>0.12</v>
      </c>
      <c r="DWD370" s="16"/>
      <c r="DWE370" s="320">
        <v>0.10100000000000001</v>
      </c>
      <c r="DWF370" s="153"/>
      <c r="DWG370" s="153"/>
      <c r="DWH370" s="153"/>
      <c r="DWI370" s="648"/>
      <c r="DWJ370" s="641"/>
      <c r="DWK370" s="631" t="s">
        <v>265</v>
      </c>
      <c r="DWL370" s="632"/>
      <c r="DWM370" s="16"/>
      <c r="DWN370" s="636">
        <v>0.13500000000000001</v>
      </c>
      <c r="DWO370" s="636">
        <v>0.12</v>
      </c>
      <c r="DWP370" s="636">
        <v>0.13</v>
      </c>
      <c r="DWQ370" s="636">
        <v>0.12</v>
      </c>
      <c r="DWR370" s="636">
        <v>0.12</v>
      </c>
      <c r="DWS370" s="649">
        <v>0.12</v>
      </c>
      <c r="DWT370" s="16"/>
      <c r="DWU370" s="320">
        <v>0.10100000000000001</v>
      </c>
      <c r="DWV370" s="153"/>
      <c r="DWW370" s="153"/>
      <c r="DWX370" s="153"/>
      <c r="DWY370" s="648"/>
      <c r="DWZ370" s="641"/>
      <c r="DXA370" s="631" t="s">
        <v>265</v>
      </c>
      <c r="DXB370" s="632"/>
      <c r="DXC370" s="16"/>
      <c r="DXD370" s="636">
        <v>0.13500000000000001</v>
      </c>
      <c r="DXE370" s="636">
        <v>0.12</v>
      </c>
      <c r="DXF370" s="636">
        <v>0.13</v>
      </c>
      <c r="DXG370" s="636">
        <v>0.12</v>
      </c>
      <c r="DXH370" s="636">
        <v>0.12</v>
      </c>
      <c r="DXI370" s="649">
        <v>0.12</v>
      </c>
      <c r="DXJ370" s="16"/>
      <c r="DXK370" s="320">
        <v>0.10100000000000001</v>
      </c>
      <c r="DXL370" s="153"/>
      <c r="DXM370" s="153"/>
      <c r="DXN370" s="153"/>
      <c r="DXO370" s="648"/>
      <c r="DXP370" s="641"/>
      <c r="DXQ370" s="631" t="s">
        <v>265</v>
      </c>
      <c r="DXR370" s="632"/>
      <c r="DXS370" s="16"/>
      <c r="DXT370" s="636">
        <v>0.13500000000000001</v>
      </c>
      <c r="DXU370" s="636">
        <v>0.12</v>
      </c>
      <c r="DXV370" s="636">
        <v>0.13</v>
      </c>
      <c r="DXW370" s="636">
        <v>0.12</v>
      </c>
      <c r="DXX370" s="636">
        <v>0.12</v>
      </c>
      <c r="DXY370" s="649">
        <v>0.12</v>
      </c>
      <c r="DXZ370" s="16"/>
      <c r="DYA370" s="320">
        <v>0.10100000000000001</v>
      </c>
      <c r="DYB370" s="153"/>
      <c r="DYC370" s="153"/>
      <c r="DYD370" s="153"/>
      <c r="DYE370" s="648"/>
      <c r="DYF370" s="641"/>
      <c r="DYG370" s="631" t="s">
        <v>265</v>
      </c>
      <c r="DYH370" s="632"/>
      <c r="DYI370" s="16"/>
      <c r="DYJ370" s="636">
        <v>0.13500000000000001</v>
      </c>
      <c r="DYK370" s="636">
        <v>0.12</v>
      </c>
      <c r="DYL370" s="636">
        <v>0.13</v>
      </c>
      <c r="DYM370" s="636">
        <v>0.12</v>
      </c>
      <c r="DYN370" s="636">
        <v>0.12</v>
      </c>
      <c r="DYO370" s="649">
        <v>0.12</v>
      </c>
      <c r="DYP370" s="16"/>
      <c r="DYQ370" s="320">
        <v>0.10100000000000001</v>
      </c>
      <c r="DYR370" s="153"/>
      <c r="DYS370" s="153"/>
      <c r="DYT370" s="153"/>
      <c r="DYU370" s="648"/>
      <c r="DYV370" s="641"/>
      <c r="DYW370" s="631" t="s">
        <v>265</v>
      </c>
      <c r="DYX370" s="632"/>
      <c r="DYY370" s="16"/>
      <c r="DYZ370" s="636">
        <v>0.13500000000000001</v>
      </c>
      <c r="DZA370" s="636">
        <v>0.12</v>
      </c>
      <c r="DZB370" s="636">
        <v>0.13</v>
      </c>
      <c r="DZC370" s="636">
        <v>0.12</v>
      </c>
      <c r="DZD370" s="636">
        <v>0.12</v>
      </c>
      <c r="DZE370" s="649">
        <v>0.12</v>
      </c>
      <c r="DZF370" s="16"/>
      <c r="DZG370" s="320">
        <v>0.10100000000000001</v>
      </c>
      <c r="DZH370" s="153"/>
      <c r="DZI370" s="153"/>
      <c r="DZJ370" s="153"/>
      <c r="DZK370" s="648"/>
      <c r="DZL370" s="641"/>
      <c r="DZM370" s="631" t="s">
        <v>265</v>
      </c>
      <c r="DZN370" s="632"/>
      <c r="DZO370" s="16"/>
      <c r="DZP370" s="636">
        <v>0.13500000000000001</v>
      </c>
      <c r="DZQ370" s="636">
        <v>0.12</v>
      </c>
      <c r="DZR370" s="636">
        <v>0.13</v>
      </c>
      <c r="DZS370" s="636">
        <v>0.12</v>
      </c>
      <c r="DZT370" s="636">
        <v>0.12</v>
      </c>
      <c r="DZU370" s="649">
        <v>0.12</v>
      </c>
      <c r="DZV370" s="16"/>
      <c r="DZW370" s="320">
        <v>0.10100000000000001</v>
      </c>
      <c r="DZX370" s="153"/>
      <c r="DZY370" s="153"/>
      <c r="DZZ370" s="153"/>
      <c r="EAA370" s="648"/>
      <c r="EAB370" s="641"/>
      <c r="EAC370" s="631" t="s">
        <v>265</v>
      </c>
      <c r="EAD370" s="632"/>
      <c r="EAE370" s="16"/>
      <c r="EAF370" s="636">
        <v>0.13500000000000001</v>
      </c>
      <c r="EAG370" s="636">
        <v>0.12</v>
      </c>
      <c r="EAH370" s="636">
        <v>0.13</v>
      </c>
      <c r="EAI370" s="636">
        <v>0.12</v>
      </c>
      <c r="EAJ370" s="636">
        <v>0.12</v>
      </c>
      <c r="EAK370" s="649">
        <v>0.12</v>
      </c>
      <c r="EAL370" s="16"/>
      <c r="EAM370" s="320">
        <v>0.10100000000000001</v>
      </c>
      <c r="EAN370" s="153"/>
      <c r="EAO370" s="153"/>
      <c r="EAP370" s="153"/>
      <c r="EAQ370" s="648"/>
      <c r="EAR370" s="641"/>
      <c r="EAS370" s="631" t="s">
        <v>265</v>
      </c>
      <c r="EAT370" s="632"/>
      <c r="EAU370" s="16"/>
      <c r="EAV370" s="636">
        <v>0.13500000000000001</v>
      </c>
      <c r="EAW370" s="636">
        <v>0.12</v>
      </c>
      <c r="EAX370" s="636">
        <v>0.13</v>
      </c>
      <c r="EAY370" s="636">
        <v>0.12</v>
      </c>
      <c r="EAZ370" s="636">
        <v>0.12</v>
      </c>
      <c r="EBA370" s="649">
        <v>0.12</v>
      </c>
      <c r="EBB370" s="16"/>
      <c r="EBC370" s="320">
        <v>0.10100000000000001</v>
      </c>
      <c r="EBD370" s="153"/>
      <c r="EBE370" s="153"/>
      <c r="EBF370" s="153"/>
      <c r="EBG370" s="648"/>
      <c r="EBH370" s="641"/>
      <c r="EBI370" s="631" t="s">
        <v>265</v>
      </c>
      <c r="EBJ370" s="632"/>
      <c r="EBK370" s="16"/>
      <c r="EBL370" s="636">
        <v>0.13500000000000001</v>
      </c>
      <c r="EBM370" s="636">
        <v>0.12</v>
      </c>
      <c r="EBN370" s="636">
        <v>0.13</v>
      </c>
      <c r="EBO370" s="636">
        <v>0.12</v>
      </c>
      <c r="EBP370" s="636">
        <v>0.12</v>
      </c>
      <c r="EBQ370" s="649">
        <v>0.12</v>
      </c>
      <c r="EBR370" s="16"/>
      <c r="EBS370" s="320">
        <v>0.10100000000000001</v>
      </c>
      <c r="EBT370" s="153"/>
      <c r="EBU370" s="153"/>
      <c r="EBV370" s="153"/>
      <c r="EBW370" s="648"/>
      <c r="EBX370" s="641"/>
      <c r="EBY370" s="631" t="s">
        <v>265</v>
      </c>
      <c r="EBZ370" s="632"/>
      <c r="ECA370" s="16"/>
      <c r="ECB370" s="636">
        <v>0.13500000000000001</v>
      </c>
      <c r="ECC370" s="636">
        <v>0.12</v>
      </c>
      <c r="ECD370" s="636">
        <v>0.13</v>
      </c>
      <c r="ECE370" s="636">
        <v>0.12</v>
      </c>
      <c r="ECF370" s="636">
        <v>0.12</v>
      </c>
      <c r="ECG370" s="649">
        <v>0.12</v>
      </c>
      <c r="ECH370" s="16"/>
      <c r="ECI370" s="320">
        <v>0.10100000000000001</v>
      </c>
      <c r="ECJ370" s="153"/>
      <c r="ECK370" s="153"/>
      <c r="ECL370" s="153"/>
      <c r="ECM370" s="648"/>
      <c r="ECN370" s="641"/>
      <c r="ECO370" s="631" t="s">
        <v>265</v>
      </c>
      <c r="ECP370" s="632"/>
      <c r="ECQ370" s="16"/>
      <c r="ECR370" s="636">
        <v>0.13500000000000001</v>
      </c>
      <c r="ECS370" s="636">
        <v>0.12</v>
      </c>
      <c r="ECT370" s="636">
        <v>0.13</v>
      </c>
      <c r="ECU370" s="636">
        <v>0.12</v>
      </c>
      <c r="ECV370" s="636">
        <v>0.12</v>
      </c>
      <c r="ECW370" s="649">
        <v>0.12</v>
      </c>
      <c r="ECX370" s="16"/>
      <c r="ECY370" s="320">
        <v>0.10100000000000001</v>
      </c>
      <c r="ECZ370" s="153"/>
      <c r="EDA370" s="153"/>
      <c r="EDB370" s="153"/>
      <c r="EDC370" s="648"/>
      <c r="EDD370" s="641"/>
      <c r="EDE370" s="631" t="s">
        <v>265</v>
      </c>
      <c r="EDF370" s="632"/>
      <c r="EDG370" s="16"/>
      <c r="EDH370" s="636">
        <v>0.13500000000000001</v>
      </c>
      <c r="EDI370" s="636">
        <v>0.12</v>
      </c>
      <c r="EDJ370" s="636">
        <v>0.13</v>
      </c>
      <c r="EDK370" s="636">
        <v>0.12</v>
      </c>
      <c r="EDL370" s="636">
        <v>0.12</v>
      </c>
      <c r="EDM370" s="649">
        <v>0.12</v>
      </c>
      <c r="EDN370" s="16"/>
      <c r="EDO370" s="320">
        <v>0.10100000000000001</v>
      </c>
      <c r="EDP370" s="153"/>
      <c r="EDQ370" s="153"/>
      <c r="EDR370" s="153"/>
      <c r="EDS370" s="648"/>
      <c r="EDT370" s="641"/>
      <c r="EDU370" s="631" t="s">
        <v>265</v>
      </c>
      <c r="EDV370" s="632"/>
      <c r="EDW370" s="16"/>
      <c r="EDX370" s="636">
        <v>0.13500000000000001</v>
      </c>
      <c r="EDY370" s="636">
        <v>0.12</v>
      </c>
      <c r="EDZ370" s="636">
        <v>0.13</v>
      </c>
      <c r="EEA370" s="636">
        <v>0.12</v>
      </c>
      <c r="EEB370" s="636">
        <v>0.12</v>
      </c>
      <c r="EEC370" s="649">
        <v>0.12</v>
      </c>
      <c r="EED370" s="16"/>
      <c r="EEE370" s="320">
        <v>0.10100000000000001</v>
      </c>
      <c r="EEF370" s="153"/>
      <c r="EEG370" s="153"/>
      <c r="EEH370" s="153"/>
      <c r="EEI370" s="648"/>
      <c r="EEJ370" s="641"/>
      <c r="EEK370" s="631" t="s">
        <v>265</v>
      </c>
      <c r="EEL370" s="632"/>
      <c r="EEM370" s="16"/>
      <c r="EEN370" s="636">
        <v>0.13500000000000001</v>
      </c>
      <c r="EEO370" s="636">
        <v>0.12</v>
      </c>
      <c r="EEP370" s="636">
        <v>0.13</v>
      </c>
      <c r="EEQ370" s="636">
        <v>0.12</v>
      </c>
      <c r="EER370" s="636">
        <v>0.12</v>
      </c>
      <c r="EES370" s="649">
        <v>0.12</v>
      </c>
      <c r="EET370" s="16"/>
      <c r="EEU370" s="320">
        <v>0.10100000000000001</v>
      </c>
      <c r="EEV370" s="153"/>
      <c r="EEW370" s="153"/>
      <c r="EEX370" s="153"/>
      <c r="EEY370" s="648"/>
      <c r="EEZ370" s="641"/>
      <c r="EFA370" s="631" t="s">
        <v>265</v>
      </c>
      <c r="EFB370" s="632"/>
      <c r="EFC370" s="16"/>
      <c r="EFD370" s="636">
        <v>0.13500000000000001</v>
      </c>
      <c r="EFE370" s="636">
        <v>0.12</v>
      </c>
      <c r="EFF370" s="636">
        <v>0.13</v>
      </c>
      <c r="EFG370" s="636">
        <v>0.12</v>
      </c>
      <c r="EFH370" s="636">
        <v>0.12</v>
      </c>
      <c r="EFI370" s="649">
        <v>0.12</v>
      </c>
      <c r="EFJ370" s="16"/>
      <c r="EFK370" s="320">
        <v>0.10100000000000001</v>
      </c>
      <c r="EFL370" s="153"/>
      <c r="EFM370" s="153"/>
      <c r="EFN370" s="153"/>
      <c r="EFO370" s="648"/>
      <c r="EFP370" s="641"/>
      <c r="EFQ370" s="631" t="s">
        <v>265</v>
      </c>
      <c r="EFR370" s="632"/>
      <c r="EFS370" s="16"/>
      <c r="EFT370" s="636">
        <v>0.13500000000000001</v>
      </c>
      <c r="EFU370" s="636">
        <v>0.12</v>
      </c>
      <c r="EFV370" s="636">
        <v>0.13</v>
      </c>
      <c r="EFW370" s="636">
        <v>0.12</v>
      </c>
      <c r="EFX370" s="636">
        <v>0.12</v>
      </c>
      <c r="EFY370" s="649">
        <v>0.12</v>
      </c>
      <c r="EFZ370" s="16"/>
      <c r="EGA370" s="320">
        <v>0.10100000000000001</v>
      </c>
      <c r="EGB370" s="153"/>
      <c r="EGC370" s="153"/>
      <c r="EGD370" s="153"/>
      <c r="EGE370" s="648"/>
      <c r="EGF370" s="641"/>
      <c r="EGG370" s="631" t="s">
        <v>265</v>
      </c>
      <c r="EGH370" s="632"/>
      <c r="EGI370" s="16"/>
      <c r="EGJ370" s="636">
        <v>0.13500000000000001</v>
      </c>
      <c r="EGK370" s="636">
        <v>0.12</v>
      </c>
      <c r="EGL370" s="636">
        <v>0.13</v>
      </c>
      <c r="EGM370" s="636">
        <v>0.12</v>
      </c>
      <c r="EGN370" s="636">
        <v>0.12</v>
      </c>
      <c r="EGO370" s="649">
        <v>0.12</v>
      </c>
      <c r="EGP370" s="16"/>
      <c r="EGQ370" s="320">
        <v>0.10100000000000001</v>
      </c>
      <c r="EGR370" s="153"/>
      <c r="EGS370" s="153"/>
      <c r="EGT370" s="153"/>
      <c r="EGU370" s="648"/>
      <c r="EGV370" s="641"/>
      <c r="EGW370" s="631" t="s">
        <v>265</v>
      </c>
      <c r="EGX370" s="632"/>
      <c r="EGY370" s="16"/>
      <c r="EGZ370" s="636">
        <v>0.13500000000000001</v>
      </c>
      <c r="EHA370" s="636">
        <v>0.12</v>
      </c>
      <c r="EHB370" s="636">
        <v>0.13</v>
      </c>
      <c r="EHC370" s="636">
        <v>0.12</v>
      </c>
      <c r="EHD370" s="636">
        <v>0.12</v>
      </c>
      <c r="EHE370" s="649">
        <v>0.12</v>
      </c>
      <c r="EHF370" s="16"/>
      <c r="EHG370" s="320">
        <v>0.10100000000000001</v>
      </c>
      <c r="EHH370" s="153"/>
      <c r="EHI370" s="153"/>
      <c r="EHJ370" s="153"/>
      <c r="EHK370" s="648"/>
      <c r="EHL370" s="641"/>
      <c r="EHM370" s="631" t="s">
        <v>265</v>
      </c>
      <c r="EHN370" s="632"/>
      <c r="EHO370" s="16"/>
      <c r="EHP370" s="636">
        <v>0.13500000000000001</v>
      </c>
      <c r="EHQ370" s="636">
        <v>0.12</v>
      </c>
      <c r="EHR370" s="636">
        <v>0.13</v>
      </c>
      <c r="EHS370" s="636">
        <v>0.12</v>
      </c>
      <c r="EHT370" s="636">
        <v>0.12</v>
      </c>
      <c r="EHU370" s="649">
        <v>0.12</v>
      </c>
      <c r="EHV370" s="16"/>
      <c r="EHW370" s="320">
        <v>0.10100000000000001</v>
      </c>
      <c r="EHX370" s="153"/>
      <c r="EHY370" s="153"/>
      <c r="EHZ370" s="153"/>
      <c r="EIA370" s="648"/>
      <c r="EIB370" s="641"/>
      <c r="EIC370" s="631" t="s">
        <v>265</v>
      </c>
      <c r="EID370" s="632"/>
      <c r="EIE370" s="16"/>
      <c r="EIF370" s="636">
        <v>0.13500000000000001</v>
      </c>
      <c r="EIG370" s="636">
        <v>0.12</v>
      </c>
      <c r="EIH370" s="636">
        <v>0.13</v>
      </c>
      <c r="EII370" s="636">
        <v>0.12</v>
      </c>
      <c r="EIJ370" s="636">
        <v>0.12</v>
      </c>
      <c r="EIK370" s="649">
        <v>0.12</v>
      </c>
      <c r="EIL370" s="16"/>
      <c r="EIM370" s="320">
        <v>0.10100000000000001</v>
      </c>
      <c r="EIN370" s="153"/>
      <c r="EIO370" s="153"/>
      <c r="EIP370" s="153"/>
      <c r="EIQ370" s="648"/>
      <c r="EIR370" s="641"/>
      <c r="EIS370" s="631" t="s">
        <v>265</v>
      </c>
      <c r="EIT370" s="632"/>
      <c r="EIU370" s="16"/>
      <c r="EIV370" s="636">
        <v>0.13500000000000001</v>
      </c>
      <c r="EIW370" s="636">
        <v>0.12</v>
      </c>
      <c r="EIX370" s="636">
        <v>0.13</v>
      </c>
      <c r="EIY370" s="636">
        <v>0.12</v>
      </c>
      <c r="EIZ370" s="636">
        <v>0.12</v>
      </c>
      <c r="EJA370" s="649">
        <v>0.12</v>
      </c>
      <c r="EJB370" s="16"/>
      <c r="EJC370" s="320">
        <v>0.10100000000000001</v>
      </c>
      <c r="EJD370" s="153"/>
      <c r="EJE370" s="153"/>
      <c r="EJF370" s="153"/>
      <c r="EJG370" s="648"/>
      <c r="EJH370" s="641"/>
      <c r="EJI370" s="631" t="s">
        <v>265</v>
      </c>
      <c r="EJJ370" s="632"/>
      <c r="EJK370" s="16"/>
      <c r="EJL370" s="636">
        <v>0.13500000000000001</v>
      </c>
      <c r="EJM370" s="636">
        <v>0.12</v>
      </c>
      <c r="EJN370" s="636">
        <v>0.13</v>
      </c>
      <c r="EJO370" s="636">
        <v>0.12</v>
      </c>
      <c r="EJP370" s="636">
        <v>0.12</v>
      </c>
      <c r="EJQ370" s="649">
        <v>0.12</v>
      </c>
      <c r="EJR370" s="16"/>
      <c r="EJS370" s="320">
        <v>0.10100000000000001</v>
      </c>
      <c r="EJT370" s="153"/>
      <c r="EJU370" s="153"/>
      <c r="EJV370" s="153"/>
      <c r="EJW370" s="648"/>
      <c r="EJX370" s="641"/>
      <c r="EJY370" s="631" t="s">
        <v>265</v>
      </c>
      <c r="EJZ370" s="632"/>
      <c r="EKA370" s="16"/>
      <c r="EKB370" s="636">
        <v>0.13500000000000001</v>
      </c>
      <c r="EKC370" s="636">
        <v>0.12</v>
      </c>
      <c r="EKD370" s="636">
        <v>0.13</v>
      </c>
      <c r="EKE370" s="636">
        <v>0.12</v>
      </c>
      <c r="EKF370" s="636">
        <v>0.12</v>
      </c>
      <c r="EKG370" s="649">
        <v>0.12</v>
      </c>
      <c r="EKH370" s="16"/>
      <c r="EKI370" s="320">
        <v>0.10100000000000001</v>
      </c>
      <c r="EKJ370" s="153"/>
      <c r="EKK370" s="153"/>
      <c r="EKL370" s="153"/>
      <c r="EKM370" s="648"/>
      <c r="EKN370" s="641"/>
      <c r="EKO370" s="631" t="s">
        <v>265</v>
      </c>
      <c r="EKP370" s="632"/>
      <c r="EKQ370" s="16"/>
      <c r="EKR370" s="636">
        <v>0.13500000000000001</v>
      </c>
      <c r="EKS370" s="636">
        <v>0.12</v>
      </c>
      <c r="EKT370" s="636">
        <v>0.13</v>
      </c>
      <c r="EKU370" s="636">
        <v>0.12</v>
      </c>
      <c r="EKV370" s="636">
        <v>0.12</v>
      </c>
      <c r="EKW370" s="649">
        <v>0.12</v>
      </c>
      <c r="EKX370" s="16"/>
      <c r="EKY370" s="320">
        <v>0.10100000000000001</v>
      </c>
      <c r="EKZ370" s="153"/>
      <c r="ELA370" s="153"/>
      <c r="ELB370" s="153"/>
      <c r="ELC370" s="648"/>
      <c r="ELD370" s="641"/>
      <c r="ELE370" s="631" t="s">
        <v>265</v>
      </c>
      <c r="ELF370" s="632"/>
      <c r="ELG370" s="16"/>
      <c r="ELH370" s="636">
        <v>0.13500000000000001</v>
      </c>
      <c r="ELI370" s="636">
        <v>0.12</v>
      </c>
      <c r="ELJ370" s="636">
        <v>0.13</v>
      </c>
      <c r="ELK370" s="636">
        <v>0.12</v>
      </c>
      <c r="ELL370" s="636">
        <v>0.12</v>
      </c>
      <c r="ELM370" s="649">
        <v>0.12</v>
      </c>
      <c r="ELN370" s="16"/>
      <c r="ELO370" s="320">
        <v>0.10100000000000001</v>
      </c>
      <c r="ELP370" s="153"/>
      <c r="ELQ370" s="153"/>
      <c r="ELR370" s="153"/>
      <c r="ELS370" s="648"/>
      <c r="ELT370" s="641"/>
      <c r="ELU370" s="631" t="s">
        <v>265</v>
      </c>
      <c r="ELV370" s="632"/>
      <c r="ELW370" s="16"/>
      <c r="ELX370" s="636">
        <v>0.13500000000000001</v>
      </c>
      <c r="ELY370" s="636">
        <v>0.12</v>
      </c>
      <c r="ELZ370" s="636">
        <v>0.13</v>
      </c>
      <c r="EMA370" s="636">
        <v>0.12</v>
      </c>
      <c r="EMB370" s="636">
        <v>0.12</v>
      </c>
      <c r="EMC370" s="649">
        <v>0.12</v>
      </c>
      <c r="EMD370" s="16"/>
      <c r="EME370" s="320">
        <v>0.10100000000000001</v>
      </c>
      <c r="EMF370" s="153"/>
      <c r="EMG370" s="153"/>
      <c r="EMH370" s="153"/>
      <c r="EMI370" s="648"/>
      <c r="EMJ370" s="641"/>
      <c r="EMK370" s="631" t="s">
        <v>265</v>
      </c>
      <c r="EML370" s="632"/>
      <c r="EMM370" s="16"/>
      <c r="EMN370" s="636">
        <v>0.13500000000000001</v>
      </c>
      <c r="EMO370" s="636">
        <v>0.12</v>
      </c>
      <c r="EMP370" s="636">
        <v>0.13</v>
      </c>
      <c r="EMQ370" s="636">
        <v>0.12</v>
      </c>
      <c r="EMR370" s="636">
        <v>0.12</v>
      </c>
      <c r="EMS370" s="649">
        <v>0.12</v>
      </c>
      <c r="EMT370" s="16"/>
      <c r="EMU370" s="320">
        <v>0.10100000000000001</v>
      </c>
      <c r="EMV370" s="153"/>
      <c r="EMW370" s="153"/>
      <c r="EMX370" s="153"/>
      <c r="EMY370" s="648"/>
      <c r="EMZ370" s="641"/>
      <c r="ENA370" s="631" t="s">
        <v>265</v>
      </c>
      <c r="ENB370" s="632"/>
      <c r="ENC370" s="16"/>
      <c r="END370" s="636">
        <v>0.13500000000000001</v>
      </c>
      <c r="ENE370" s="636">
        <v>0.12</v>
      </c>
      <c r="ENF370" s="636">
        <v>0.13</v>
      </c>
      <c r="ENG370" s="636">
        <v>0.12</v>
      </c>
      <c r="ENH370" s="636">
        <v>0.12</v>
      </c>
      <c r="ENI370" s="649">
        <v>0.12</v>
      </c>
      <c r="ENJ370" s="16"/>
      <c r="ENK370" s="320">
        <v>0.10100000000000001</v>
      </c>
      <c r="ENL370" s="153"/>
      <c r="ENM370" s="153"/>
      <c r="ENN370" s="153"/>
      <c r="ENO370" s="648"/>
      <c r="ENP370" s="641"/>
      <c r="ENQ370" s="631" t="s">
        <v>265</v>
      </c>
      <c r="ENR370" s="632"/>
      <c r="ENS370" s="16"/>
      <c r="ENT370" s="636">
        <v>0.13500000000000001</v>
      </c>
      <c r="ENU370" s="636">
        <v>0.12</v>
      </c>
      <c r="ENV370" s="636">
        <v>0.13</v>
      </c>
      <c r="ENW370" s="636">
        <v>0.12</v>
      </c>
      <c r="ENX370" s="636">
        <v>0.12</v>
      </c>
      <c r="ENY370" s="649">
        <v>0.12</v>
      </c>
      <c r="ENZ370" s="16"/>
      <c r="EOA370" s="320">
        <v>0.10100000000000001</v>
      </c>
      <c r="EOB370" s="153"/>
      <c r="EOC370" s="153"/>
      <c r="EOD370" s="153"/>
      <c r="EOE370" s="648"/>
      <c r="EOF370" s="641"/>
      <c r="EOG370" s="631" t="s">
        <v>265</v>
      </c>
      <c r="EOH370" s="632"/>
      <c r="EOI370" s="16"/>
      <c r="EOJ370" s="636">
        <v>0.13500000000000001</v>
      </c>
      <c r="EOK370" s="636">
        <v>0.12</v>
      </c>
      <c r="EOL370" s="636">
        <v>0.13</v>
      </c>
      <c r="EOM370" s="636">
        <v>0.12</v>
      </c>
      <c r="EON370" s="636">
        <v>0.12</v>
      </c>
      <c r="EOO370" s="649">
        <v>0.12</v>
      </c>
      <c r="EOP370" s="16"/>
      <c r="EOQ370" s="320">
        <v>0.10100000000000001</v>
      </c>
      <c r="EOR370" s="153"/>
      <c r="EOS370" s="153"/>
      <c r="EOT370" s="153"/>
      <c r="EOU370" s="648"/>
      <c r="EOV370" s="641"/>
      <c r="EOW370" s="631" t="s">
        <v>265</v>
      </c>
      <c r="EOX370" s="632"/>
      <c r="EOY370" s="16"/>
      <c r="EOZ370" s="636">
        <v>0.13500000000000001</v>
      </c>
      <c r="EPA370" s="636">
        <v>0.12</v>
      </c>
      <c r="EPB370" s="636">
        <v>0.13</v>
      </c>
      <c r="EPC370" s="636">
        <v>0.12</v>
      </c>
      <c r="EPD370" s="636">
        <v>0.12</v>
      </c>
      <c r="EPE370" s="649">
        <v>0.12</v>
      </c>
      <c r="EPF370" s="16"/>
      <c r="EPG370" s="320">
        <v>0.10100000000000001</v>
      </c>
      <c r="EPH370" s="153"/>
      <c r="EPI370" s="153"/>
      <c r="EPJ370" s="153"/>
      <c r="EPK370" s="648"/>
      <c r="EPL370" s="641"/>
      <c r="EPM370" s="631" t="s">
        <v>265</v>
      </c>
      <c r="EPN370" s="632"/>
      <c r="EPO370" s="16"/>
      <c r="EPP370" s="636">
        <v>0.13500000000000001</v>
      </c>
      <c r="EPQ370" s="636">
        <v>0.12</v>
      </c>
      <c r="EPR370" s="636">
        <v>0.13</v>
      </c>
      <c r="EPS370" s="636">
        <v>0.12</v>
      </c>
      <c r="EPT370" s="636">
        <v>0.12</v>
      </c>
      <c r="EPU370" s="649">
        <v>0.12</v>
      </c>
      <c r="EPV370" s="16"/>
      <c r="EPW370" s="320">
        <v>0.10100000000000001</v>
      </c>
      <c r="EPX370" s="153"/>
      <c r="EPY370" s="153"/>
      <c r="EPZ370" s="153"/>
      <c r="EQA370" s="648"/>
      <c r="EQB370" s="641"/>
      <c r="EQC370" s="631" t="s">
        <v>265</v>
      </c>
      <c r="EQD370" s="632"/>
      <c r="EQE370" s="16"/>
      <c r="EQF370" s="636">
        <v>0.13500000000000001</v>
      </c>
      <c r="EQG370" s="636">
        <v>0.12</v>
      </c>
      <c r="EQH370" s="636">
        <v>0.13</v>
      </c>
      <c r="EQI370" s="636">
        <v>0.12</v>
      </c>
      <c r="EQJ370" s="636">
        <v>0.12</v>
      </c>
      <c r="EQK370" s="649">
        <v>0.12</v>
      </c>
      <c r="EQL370" s="16"/>
      <c r="EQM370" s="320">
        <v>0.10100000000000001</v>
      </c>
      <c r="EQN370" s="153"/>
      <c r="EQO370" s="153"/>
      <c r="EQP370" s="153"/>
      <c r="EQQ370" s="648"/>
      <c r="EQR370" s="641"/>
      <c r="EQS370" s="631" t="s">
        <v>265</v>
      </c>
      <c r="EQT370" s="632"/>
      <c r="EQU370" s="16"/>
      <c r="EQV370" s="636">
        <v>0.13500000000000001</v>
      </c>
      <c r="EQW370" s="636">
        <v>0.12</v>
      </c>
      <c r="EQX370" s="636">
        <v>0.13</v>
      </c>
      <c r="EQY370" s="636">
        <v>0.12</v>
      </c>
      <c r="EQZ370" s="636">
        <v>0.12</v>
      </c>
      <c r="ERA370" s="649">
        <v>0.12</v>
      </c>
      <c r="ERB370" s="16"/>
      <c r="ERC370" s="320">
        <v>0.10100000000000001</v>
      </c>
      <c r="ERD370" s="153"/>
      <c r="ERE370" s="153"/>
      <c r="ERF370" s="153"/>
      <c r="ERG370" s="648"/>
      <c r="ERH370" s="641"/>
      <c r="ERI370" s="631" t="s">
        <v>265</v>
      </c>
      <c r="ERJ370" s="632"/>
      <c r="ERK370" s="16"/>
      <c r="ERL370" s="636">
        <v>0.13500000000000001</v>
      </c>
      <c r="ERM370" s="636">
        <v>0.12</v>
      </c>
      <c r="ERN370" s="636">
        <v>0.13</v>
      </c>
      <c r="ERO370" s="636">
        <v>0.12</v>
      </c>
      <c r="ERP370" s="636">
        <v>0.12</v>
      </c>
      <c r="ERQ370" s="649">
        <v>0.12</v>
      </c>
      <c r="ERR370" s="16"/>
      <c r="ERS370" s="320">
        <v>0.10100000000000001</v>
      </c>
      <c r="ERT370" s="153"/>
      <c r="ERU370" s="153"/>
      <c r="ERV370" s="153"/>
      <c r="ERW370" s="648"/>
      <c r="ERX370" s="641"/>
      <c r="ERY370" s="631" t="s">
        <v>265</v>
      </c>
      <c r="ERZ370" s="632"/>
      <c r="ESA370" s="16"/>
      <c r="ESB370" s="636">
        <v>0.13500000000000001</v>
      </c>
      <c r="ESC370" s="636">
        <v>0.12</v>
      </c>
      <c r="ESD370" s="636">
        <v>0.13</v>
      </c>
      <c r="ESE370" s="636">
        <v>0.12</v>
      </c>
      <c r="ESF370" s="636">
        <v>0.12</v>
      </c>
      <c r="ESG370" s="649">
        <v>0.12</v>
      </c>
      <c r="ESH370" s="16"/>
      <c r="ESI370" s="320">
        <v>0.10100000000000001</v>
      </c>
      <c r="ESJ370" s="153"/>
      <c r="ESK370" s="153"/>
      <c r="ESL370" s="153"/>
      <c r="ESM370" s="648"/>
      <c r="ESN370" s="641"/>
      <c r="ESO370" s="631" t="s">
        <v>265</v>
      </c>
      <c r="ESP370" s="632"/>
      <c r="ESQ370" s="16"/>
      <c r="ESR370" s="636">
        <v>0.13500000000000001</v>
      </c>
      <c r="ESS370" s="636">
        <v>0.12</v>
      </c>
      <c r="EST370" s="636">
        <v>0.13</v>
      </c>
      <c r="ESU370" s="636">
        <v>0.12</v>
      </c>
      <c r="ESV370" s="636">
        <v>0.12</v>
      </c>
      <c r="ESW370" s="649">
        <v>0.12</v>
      </c>
      <c r="ESX370" s="16"/>
      <c r="ESY370" s="320">
        <v>0.10100000000000001</v>
      </c>
      <c r="ESZ370" s="153"/>
      <c r="ETA370" s="153"/>
      <c r="ETB370" s="153"/>
      <c r="ETC370" s="648"/>
      <c r="ETD370" s="641"/>
      <c r="ETE370" s="631" t="s">
        <v>265</v>
      </c>
      <c r="ETF370" s="632"/>
      <c r="ETG370" s="16"/>
      <c r="ETH370" s="636">
        <v>0.13500000000000001</v>
      </c>
      <c r="ETI370" s="636">
        <v>0.12</v>
      </c>
      <c r="ETJ370" s="636">
        <v>0.13</v>
      </c>
      <c r="ETK370" s="636">
        <v>0.12</v>
      </c>
      <c r="ETL370" s="636">
        <v>0.12</v>
      </c>
      <c r="ETM370" s="649">
        <v>0.12</v>
      </c>
      <c r="ETN370" s="16"/>
      <c r="ETO370" s="320">
        <v>0.10100000000000001</v>
      </c>
      <c r="ETP370" s="153"/>
      <c r="ETQ370" s="153"/>
      <c r="ETR370" s="153"/>
      <c r="ETS370" s="648"/>
      <c r="ETT370" s="641"/>
      <c r="ETU370" s="631" t="s">
        <v>265</v>
      </c>
      <c r="ETV370" s="632"/>
      <c r="ETW370" s="16"/>
      <c r="ETX370" s="636">
        <v>0.13500000000000001</v>
      </c>
      <c r="ETY370" s="636">
        <v>0.12</v>
      </c>
      <c r="ETZ370" s="636">
        <v>0.13</v>
      </c>
      <c r="EUA370" s="636">
        <v>0.12</v>
      </c>
      <c r="EUB370" s="636">
        <v>0.12</v>
      </c>
      <c r="EUC370" s="649">
        <v>0.12</v>
      </c>
      <c r="EUD370" s="16"/>
      <c r="EUE370" s="320">
        <v>0.10100000000000001</v>
      </c>
      <c r="EUF370" s="153"/>
      <c r="EUG370" s="153"/>
      <c r="EUH370" s="153"/>
      <c r="EUI370" s="648"/>
      <c r="EUJ370" s="641"/>
      <c r="EUK370" s="631" t="s">
        <v>265</v>
      </c>
      <c r="EUL370" s="632"/>
      <c r="EUM370" s="16"/>
      <c r="EUN370" s="636">
        <v>0.13500000000000001</v>
      </c>
      <c r="EUO370" s="636">
        <v>0.12</v>
      </c>
      <c r="EUP370" s="636">
        <v>0.13</v>
      </c>
      <c r="EUQ370" s="636">
        <v>0.12</v>
      </c>
      <c r="EUR370" s="636">
        <v>0.12</v>
      </c>
      <c r="EUS370" s="649">
        <v>0.12</v>
      </c>
      <c r="EUT370" s="16"/>
      <c r="EUU370" s="320">
        <v>0.10100000000000001</v>
      </c>
      <c r="EUV370" s="153"/>
      <c r="EUW370" s="153"/>
      <c r="EUX370" s="153"/>
      <c r="EUY370" s="648"/>
      <c r="EUZ370" s="641"/>
      <c r="EVA370" s="631" t="s">
        <v>265</v>
      </c>
      <c r="EVB370" s="632"/>
      <c r="EVC370" s="16"/>
      <c r="EVD370" s="636">
        <v>0.13500000000000001</v>
      </c>
      <c r="EVE370" s="636">
        <v>0.12</v>
      </c>
      <c r="EVF370" s="636">
        <v>0.13</v>
      </c>
      <c r="EVG370" s="636">
        <v>0.12</v>
      </c>
      <c r="EVH370" s="636">
        <v>0.12</v>
      </c>
      <c r="EVI370" s="649">
        <v>0.12</v>
      </c>
      <c r="EVJ370" s="16"/>
      <c r="EVK370" s="320">
        <v>0.10100000000000001</v>
      </c>
      <c r="EVL370" s="153"/>
      <c r="EVM370" s="153"/>
      <c r="EVN370" s="153"/>
      <c r="EVO370" s="648"/>
      <c r="EVP370" s="641"/>
      <c r="EVQ370" s="631" t="s">
        <v>265</v>
      </c>
      <c r="EVR370" s="632"/>
      <c r="EVS370" s="16"/>
      <c r="EVT370" s="636">
        <v>0.13500000000000001</v>
      </c>
      <c r="EVU370" s="636">
        <v>0.12</v>
      </c>
      <c r="EVV370" s="636">
        <v>0.13</v>
      </c>
      <c r="EVW370" s="636">
        <v>0.12</v>
      </c>
      <c r="EVX370" s="636">
        <v>0.12</v>
      </c>
      <c r="EVY370" s="649">
        <v>0.12</v>
      </c>
      <c r="EVZ370" s="16"/>
      <c r="EWA370" s="320">
        <v>0.10100000000000001</v>
      </c>
      <c r="EWB370" s="153"/>
      <c r="EWC370" s="153"/>
      <c r="EWD370" s="153"/>
      <c r="EWE370" s="648"/>
      <c r="EWF370" s="641"/>
      <c r="EWG370" s="631" t="s">
        <v>265</v>
      </c>
      <c r="EWH370" s="632"/>
      <c r="EWI370" s="16"/>
      <c r="EWJ370" s="636">
        <v>0.13500000000000001</v>
      </c>
      <c r="EWK370" s="636">
        <v>0.12</v>
      </c>
      <c r="EWL370" s="636">
        <v>0.13</v>
      </c>
      <c r="EWM370" s="636">
        <v>0.12</v>
      </c>
      <c r="EWN370" s="636">
        <v>0.12</v>
      </c>
      <c r="EWO370" s="649">
        <v>0.12</v>
      </c>
      <c r="EWP370" s="16"/>
      <c r="EWQ370" s="320">
        <v>0.10100000000000001</v>
      </c>
      <c r="EWR370" s="153"/>
      <c r="EWS370" s="153"/>
      <c r="EWT370" s="153"/>
      <c r="EWU370" s="648"/>
      <c r="EWV370" s="641"/>
      <c r="EWW370" s="631" t="s">
        <v>265</v>
      </c>
      <c r="EWX370" s="632"/>
      <c r="EWY370" s="16"/>
      <c r="EWZ370" s="636">
        <v>0.13500000000000001</v>
      </c>
      <c r="EXA370" s="636">
        <v>0.12</v>
      </c>
      <c r="EXB370" s="636">
        <v>0.13</v>
      </c>
      <c r="EXC370" s="636">
        <v>0.12</v>
      </c>
      <c r="EXD370" s="636">
        <v>0.12</v>
      </c>
      <c r="EXE370" s="649">
        <v>0.12</v>
      </c>
      <c r="EXF370" s="16"/>
      <c r="EXG370" s="320">
        <v>0.10100000000000001</v>
      </c>
      <c r="EXH370" s="153"/>
      <c r="EXI370" s="153"/>
      <c r="EXJ370" s="153"/>
      <c r="EXK370" s="648"/>
      <c r="EXL370" s="641"/>
      <c r="EXM370" s="631" t="s">
        <v>265</v>
      </c>
      <c r="EXN370" s="632"/>
      <c r="EXO370" s="16"/>
      <c r="EXP370" s="636">
        <v>0.13500000000000001</v>
      </c>
      <c r="EXQ370" s="636">
        <v>0.12</v>
      </c>
      <c r="EXR370" s="636">
        <v>0.13</v>
      </c>
      <c r="EXS370" s="636">
        <v>0.12</v>
      </c>
      <c r="EXT370" s="636">
        <v>0.12</v>
      </c>
      <c r="EXU370" s="649">
        <v>0.12</v>
      </c>
      <c r="EXV370" s="16"/>
      <c r="EXW370" s="320">
        <v>0.10100000000000001</v>
      </c>
      <c r="EXX370" s="153"/>
      <c r="EXY370" s="153"/>
      <c r="EXZ370" s="153"/>
      <c r="EYA370" s="648"/>
      <c r="EYB370" s="641"/>
      <c r="EYC370" s="631" t="s">
        <v>265</v>
      </c>
      <c r="EYD370" s="632"/>
      <c r="EYE370" s="16"/>
      <c r="EYF370" s="636">
        <v>0.13500000000000001</v>
      </c>
      <c r="EYG370" s="636">
        <v>0.12</v>
      </c>
      <c r="EYH370" s="636">
        <v>0.13</v>
      </c>
      <c r="EYI370" s="636">
        <v>0.12</v>
      </c>
      <c r="EYJ370" s="636">
        <v>0.12</v>
      </c>
      <c r="EYK370" s="649">
        <v>0.12</v>
      </c>
      <c r="EYL370" s="16"/>
      <c r="EYM370" s="320">
        <v>0.10100000000000001</v>
      </c>
      <c r="EYN370" s="153"/>
      <c r="EYO370" s="153"/>
      <c r="EYP370" s="153"/>
      <c r="EYQ370" s="648"/>
      <c r="EYR370" s="641"/>
      <c r="EYS370" s="631" t="s">
        <v>265</v>
      </c>
      <c r="EYT370" s="632"/>
      <c r="EYU370" s="16"/>
      <c r="EYV370" s="636">
        <v>0.13500000000000001</v>
      </c>
      <c r="EYW370" s="636">
        <v>0.12</v>
      </c>
      <c r="EYX370" s="636">
        <v>0.13</v>
      </c>
      <c r="EYY370" s="636">
        <v>0.12</v>
      </c>
      <c r="EYZ370" s="636">
        <v>0.12</v>
      </c>
      <c r="EZA370" s="649">
        <v>0.12</v>
      </c>
      <c r="EZB370" s="16"/>
      <c r="EZC370" s="320">
        <v>0.10100000000000001</v>
      </c>
      <c r="EZD370" s="153"/>
      <c r="EZE370" s="153"/>
      <c r="EZF370" s="153"/>
      <c r="EZG370" s="648"/>
      <c r="EZH370" s="641"/>
      <c r="EZI370" s="631" t="s">
        <v>265</v>
      </c>
      <c r="EZJ370" s="632"/>
      <c r="EZK370" s="16"/>
      <c r="EZL370" s="636">
        <v>0.13500000000000001</v>
      </c>
      <c r="EZM370" s="636">
        <v>0.12</v>
      </c>
      <c r="EZN370" s="636">
        <v>0.13</v>
      </c>
      <c r="EZO370" s="636">
        <v>0.12</v>
      </c>
      <c r="EZP370" s="636">
        <v>0.12</v>
      </c>
      <c r="EZQ370" s="649">
        <v>0.12</v>
      </c>
      <c r="EZR370" s="16"/>
      <c r="EZS370" s="320">
        <v>0.10100000000000001</v>
      </c>
      <c r="EZT370" s="153"/>
      <c r="EZU370" s="153"/>
      <c r="EZV370" s="153"/>
      <c r="EZW370" s="648"/>
      <c r="EZX370" s="641"/>
      <c r="EZY370" s="631" t="s">
        <v>265</v>
      </c>
      <c r="EZZ370" s="632"/>
      <c r="FAA370" s="16"/>
      <c r="FAB370" s="636">
        <v>0.13500000000000001</v>
      </c>
      <c r="FAC370" s="636">
        <v>0.12</v>
      </c>
      <c r="FAD370" s="636">
        <v>0.13</v>
      </c>
      <c r="FAE370" s="636">
        <v>0.12</v>
      </c>
      <c r="FAF370" s="636">
        <v>0.12</v>
      </c>
      <c r="FAG370" s="649">
        <v>0.12</v>
      </c>
      <c r="FAH370" s="16"/>
      <c r="FAI370" s="320">
        <v>0.10100000000000001</v>
      </c>
      <c r="FAJ370" s="153"/>
      <c r="FAK370" s="153"/>
      <c r="FAL370" s="153"/>
      <c r="FAM370" s="648"/>
      <c r="FAN370" s="641"/>
      <c r="FAO370" s="631" t="s">
        <v>265</v>
      </c>
      <c r="FAP370" s="632"/>
      <c r="FAQ370" s="16"/>
      <c r="FAR370" s="636">
        <v>0.13500000000000001</v>
      </c>
      <c r="FAS370" s="636">
        <v>0.12</v>
      </c>
      <c r="FAT370" s="636">
        <v>0.13</v>
      </c>
      <c r="FAU370" s="636">
        <v>0.12</v>
      </c>
      <c r="FAV370" s="636">
        <v>0.12</v>
      </c>
      <c r="FAW370" s="649">
        <v>0.12</v>
      </c>
      <c r="FAX370" s="16"/>
      <c r="FAY370" s="320">
        <v>0.10100000000000001</v>
      </c>
      <c r="FAZ370" s="153"/>
      <c r="FBA370" s="153"/>
      <c r="FBB370" s="153"/>
      <c r="FBC370" s="648"/>
      <c r="FBD370" s="641"/>
      <c r="FBE370" s="631" t="s">
        <v>265</v>
      </c>
      <c r="FBF370" s="632"/>
      <c r="FBG370" s="16"/>
      <c r="FBH370" s="636">
        <v>0.13500000000000001</v>
      </c>
      <c r="FBI370" s="636">
        <v>0.12</v>
      </c>
      <c r="FBJ370" s="636">
        <v>0.13</v>
      </c>
      <c r="FBK370" s="636">
        <v>0.12</v>
      </c>
      <c r="FBL370" s="636">
        <v>0.12</v>
      </c>
      <c r="FBM370" s="649">
        <v>0.12</v>
      </c>
      <c r="FBN370" s="16"/>
      <c r="FBO370" s="320">
        <v>0.10100000000000001</v>
      </c>
      <c r="FBP370" s="153"/>
      <c r="FBQ370" s="153"/>
      <c r="FBR370" s="153"/>
      <c r="FBS370" s="648"/>
      <c r="FBT370" s="641"/>
      <c r="FBU370" s="631" t="s">
        <v>265</v>
      </c>
      <c r="FBV370" s="632"/>
      <c r="FBW370" s="16"/>
      <c r="FBX370" s="636">
        <v>0.13500000000000001</v>
      </c>
      <c r="FBY370" s="636">
        <v>0.12</v>
      </c>
      <c r="FBZ370" s="636">
        <v>0.13</v>
      </c>
      <c r="FCA370" s="636">
        <v>0.12</v>
      </c>
      <c r="FCB370" s="636">
        <v>0.12</v>
      </c>
      <c r="FCC370" s="649">
        <v>0.12</v>
      </c>
      <c r="FCD370" s="16"/>
      <c r="FCE370" s="320">
        <v>0.10100000000000001</v>
      </c>
      <c r="FCF370" s="153"/>
      <c r="FCG370" s="153"/>
      <c r="FCH370" s="153"/>
      <c r="FCI370" s="648"/>
      <c r="FCJ370" s="641"/>
      <c r="FCK370" s="631" t="s">
        <v>265</v>
      </c>
      <c r="FCL370" s="632"/>
      <c r="FCM370" s="16"/>
      <c r="FCN370" s="636">
        <v>0.13500000000000001</v>
      </c>
      <c r="FCO370" s="636">
        <v>0.12</v>
      </c>
      <c r="FCP370" s="636">
        <v>0.13</v>
      </c>
      <c r="FCQ370" s="636">
        <v>0.12</v>
      </c>
      <c r="FCR370" s="636">
        <v>0.12</v>
      </c>
      <c r="FCS370" s="649">
        <v>0.12</v>
      </c>
      <c r="FCT370" s="16"/>
      <c r="FCU370" s="320">
        <v>0.10100000000000001</v>
      </c>
      <c r="FCV370" s="153"/>
      <c r="FCW370" s="153"/>
      <c r="FCX370" s="153"/>
      <c r="FCY370" s="648"/>
      <c r="FCZ370" s="641"/>
      <c r="FDA370" s="631" t="s">
        <v>265</v>
      </c>
      <c r="FDB370" s="632"/>
      <c r="FDC370" s="16"/>
      <c r="FDD370" s="636">
        <v>0.13500000000000001</v>
      </c>
      <c r="FDE370" s="636">
        <v>0.12</v>
      </c>
      <c r="FDF370" s="636">
        <v>0.13</v>
      </c>
      <c r="FDG370" s="636">
        <v>0.12</v>
      </c>
      <c r="FDH370" s="636">
        <v>0.12</v>
      </c>
      <c r="FDI370" s="649">
        <v>0.12</v>
      </c>
      <c r="FDJ370" s="16"/>
      <c r="FDK370" s="320">
        <v>0.10100000000000001</v>
      </c>
      <c r="FDL370" s="153"/>
      <c r="FDM370" s="153"/>
      <c r="FDN370" s="153"/>
      <c r="FDO370" s="648"/>
      <c r="FDP370" s="641"/>
      <c r="FDQ370" s="631" t="s">
        <v>265</v>
      </c>
      <c r="FDR370" s="632"/>
      <c r="FDS370" s="16"/>
      <c r="FDT370" s="636">
        <v>0.13500000000000001</v>
      </c>
      <c r="FDU370" s="636">
        <v>0.12</v>
      </c>
      <c r="FDV370" s="636">
        <v>0.13</v>
      </c>
      <c r="FDW370" s="636">
        <v>0.12</v>
      </c>
      <c r="FDX370" s="636">
        <v>0.12</v>
      </c>
      <c r="FDY370" s="649">
        <v>0.12</v>
      </c>
      <c r="FDZ370" s="16"/>
      <c r="FEA370" s="320">
        <v>0.10100000000000001</v>
      </c>
      <c r="FEB370" s="153"/>
      <c r="FEC370" s="153"/>
      <c r="FED370" s="153"/>
      <c r="FEE370" s="648"/>
      <c r="FEF370" s="641"/>
      <c r="FEG370" s="631" t="s">
        <v>265</v>
      </c>
      <c r="FEH370" s="632"/>
      <c r="FEI370" s="16"/>
      <c r="FEJ370" s="636">
        <v>0.13500000000000001</v>
      </c>
      <c r="FEK370" s="636">
        <v>0.12</v>
      </c>
      <c r="FEL370" s="636">
        <v>0.13</v>
      </c>
      <c r="FEM370" s="636">
        <v>0.12</v>
      </c>
      <c r="FEN370" s="636">
        <v>0.12</v>
      </c>
      <c r="FEO370" s="649">
        <v>0.12</v>
      </c>
      <c r="FEP370" s="16"/>
      <c r="FEQ370" s="320">
        <v>0.10100000000000001</v>
      </c>
      <c r="FER370" s="153"/>
      <c r="FES370" s="153"/>
      <c r="FET370" s="153"/>
      <c r="FEU370" s="648"/>
      <c r="FEV370" s="641"/>
      <c r="FEW370" s="631" t="s">
        <v>265</v>
      </c>
      <c r="FEX370" s="632"/>
      <c r="FEY370" s="16"/>
      <c r="FEZ370" s="636">
        <v>0.13500000000000001</v>
      </c>
      <c r="FFA370" s="636">
        <v>0.12</v>
      </c>
      <c r="FFB370" s="636">
        <v>0.13</v>
      </c>
      <c r="FFC370" s="636">
        <v>0.12</v>
      </c>
      <c r="FFD370" s="636">
        <v>0.12</v>
      </c>
      <c r="FFE370" s="649">
        <v>0.12</v>
      </c>
      <c r="FFF370" s="16"/>
      <c r="FFG370" s="320">
        <v>0.10100000000000001</v>
      </c>
      <c r="FFH370" s="153"/>
      <c r="FFI370" s="153"/>
      <c r="FFJ370" s="153"/>
      <c r="FFK370" s="648"/>
      <c r="FFL370" s="641"/>
      <c r="FFM370" s="631" t="s">
        <v>265</v>
      </c>
      <c r="FFN370" s="632"/>
      <c r="FFO370" s="16"/>
      <c r="FFP370" s="636">
        <v>0.13500000000000001</v>
      </c>
      <c r="FFQ370" s="636">
        <v>0.12</v>
      </c>
      <c r="FFR370" s="636">
        <v>0.13</v>
      </c>
      <c r="FFS370" s="636">
        <v>0.12</v>
      </c>
      <c r="FFT370" s="636">
        <v>0.12</v>
      </c>
      <c r="FFU370" s="649">
        <v>0.12</v>
      </c>
      <c r="FFV370" s="16"/>
      <c r="FFW370" s="320">
        <v>0.10100000000000001</v>
      </c>
      <c r="FFX370" s="153"/>
      <c r="FFY370" s="153"/>
      <c r="FFZ370" s="153"/>
      <c r="FGA370" s="648"/>
      <c r="FGB370" s="641"/>
      <c r="FGC370" s="631" t="s">
        <v>265</v>
      </c>
      <c r="FGD370" s="632"/>
      <c r="FGE370" s="16"/>
      <c r="FGF370" s="636">
        <v>0.13500000000000001</v>
      </c>
      <c r="FGG370" s="636">
        <v>0.12</v>
      </c>
      <c r="FGH370" s="636">
        <v>0.13</v>
      </c>
      <c r="FGI370" s="636">
        <v>0.12</v>
      </c>
      <c r="FGJ370" s="636">
        <v>0.12</v>
      </c>
      <c r="FGK370" s="649">
        <v>0.12</v>
      </c>
      <c r="FGL370" s="16"/>
      <c r="FGM370" s="320">
        <v>0.10100000000000001</v>
      </c>
      <c r="FGN370" s="153"/>
      <c r="FGO370" s="153"/>
      <c r="FGP370" s="153"/>
      <c r="FGQ370" s="648"/>
      <c r="FGR370" s="641"/>
      <c r="FGS370" s="631" t="s">
        <v>265</v>
      </c>
      <c r="FGT370" s="632"/>
      <c r="FGU370" s="16"/>
      <c r="FGV370" s="636">
        <v>0.13500000000000001</v>
      </c>
      <c r="FGW370" s="636">
        <v>0.12</v>
      </c>
      <c r="FGX370" s="636">
        <v>0.13</v>
      </c>
      <c r="FGY370" s="636">
        <v>0.12</v>
      </c>
      <c r="FGZ370" s="636">
        <v>0.12</v>
      </c>
      <c r="FHA370" s="649">
        <v>0.12</v>
      </c>
      <c r="FHB370" s="16"/>
      <c r="FHC370" s="320">
        <v>0.10100000000000001</v>
      </c>
      <c r="FHD370" s="153"/>
      <c r="FHE370" s="153"/>
      <c r="FHF370" s="153"/>
      <c r="FHG370" s="648"/>
      <c r="FHH370" s="641"/>
      <c r="FHI370" s="631" t="s">
        <v>265</v>
      </c>
      <c r="FHJ370" s="632"/>
      <c r="FHK370" s="16"/>
      <c r="FHL370" s="636">
        <v>0.13500000000000001</v>
      </c>
      <c r="FHM370" s="636">
        <v>0.12</v>
      </c>
      <c r="FHN370" s="636">
        <v>0.13</v>
      </c>
      <c r="FHO370" s="636">
        <v>0.12</v>
      </c>
      <c r="FHP370" s="636">
        <v>0.12</v>
      </c>
      <c r="FHQ370" s="649">
        <v>0.12</v>
      </c>
      <c r="FHR370" s="16"/>
      <c r="FHS370" s="320">
        <v>0.10100000000000001</v>
      </c>
      <c r="FHT370" s="153"/>
      <c r="FHU370" s="153"/>
      <c r="FHV370" s="153"/>
      <c r="FHW370" s="648"/>
      <c r="FHX370" s="641"/>
      <c r="FHY370" s="631" t="s">
        <v>265</v>
      </c>
      <c r="FHZ370" s="632"/>
      <c r="FIA370" s="16"/>
      <c r="FIB370" s="636">
        <v>0.13500000000000001</v>
      </c>
      <c r="FIC370" s="636">
        <v>0.12</v>
      </c>
      <c r="FID370" s="636">
        <v>0.13</v>
      </c>
      <c r="FIE370" s="636">
        <v>0.12</v>
      </c>
      <c r="FIF370" s="636">
        <v>0.12</v>
      </c>
      <c r="FIG370" s="649">
        <v>0.12</v>
      </c>
      <c r="FIH370" s="16"/>
      <c r="FII370" s="320">
        <v>0.10100000000000001</v>
      </c>
      <c r="FIJ370" s="153"/>
      <c r="FIK370" s="153"/>
      <c r="FIL370" s="153"/>
      <c r="FIM370" s="648"/>
      <c r="FIN370" s="641"/>
      <c r="FIO370" s="631" t="s">
        <v>265</v>
      </c>
      <c r="FIP370" s="632"/>
      <c r="FIQ370" s="16"/>
      <c r="FIR370" s="636">
        <v>0.13500000000000001</v>
      </c>
      <c r="FIS370" s="636">
        <v>0.12</v>
      </c>
      <c r="FIT370" s="636">
        <v>0.13</v>
      </c>
      <c r="FIU370" s="636">
        <v>0.12</v>
      </c>
      <c r="FIV370" s="636">
        <v>0.12</v>
      </c>
      <c r="FIW370" s="649">
        <v>0.12</v>
      </c>
      <c r="FIX370" s="16"/>
      <c r="FIY370" s="320">
        <v>0.10100000000000001</v>
      </c>
      <c r="FIZ370" s="153"/>
      <c r="FJA370" s="153"/>
      <c r="FJB370" s="153"/>
      <c r="FJC370" s="648"/>
      <c r="FJD370" s="641"/>
      <c r="FJE370" s="631" t="s">
        <v>265</v>
      </c>
      <c r="FJF370" s="632"/>
      <c r="FJG370" s="16"/>
      <c r="FJH370" s="636">
        <v>0.13500000000000001</v>
      </c>
      <c r="FJI370" s="636">
        <v>0.12</v>
      </c>
      <c r="FJJ370" s="636">
        <v>0.13</v>
      </c>
      <c r="FJK370" s="636">
        <v>0.12</v>
      </c>
      <c r="FJL370" s="636">
        <v>0.12</v>
      </c>
      <c r="FJM370" s="649">
        <v>0.12</v>
      </c>
      <c r="FJN370" s="16"/>
      <c r="FJO370" s="320">
        <v>0.10100000000000001</v>
      </c>
      <c r="FJP370" s="153"/>
      <c r="FJQ370" s="153"/>
      <c r="FJR370" s="153"/>
      <c r="FJS370" s="648"/>
      <c r="FJT370" s="641"/>
      <c r="FJU370" s="631" t="s">
        <v>265</v>
      </c>
      <c r="FJV370" s="632"/>
      <c r="FJW370" s="16"/>
      <c r="FJX370" s="636">
        <v>0.13500000000000001</v>
      </c>
      <c r="FJY370" s="636">
        <v>0.12</v>
      </c>
      <c r="FJZ370" s="636">
        <v>0.13</v>
      </c>
      <c r="FKA370" s="636">
        <v>0.12</v>
      </c>
      <c r="FKB370" s="636">
        <v>0.12</v>
      </c>
      <c r="FKC370" s="649">
        <v>0.12</v>
      </c>
      <c r="FKD370" s="16"/>
      <c r="FKE370" s="320">
        <v>0.10100000000000001</v>
      </c>
      <c r="FKF370" s="153"/>
      <c r="FKG370" s="153"/>
      <c r="FKH370" s="153"/>
      <c r="FKI370" s="648"/>
      <c r="FKJ370" s="641"/>
      <c r="FKK370" s="631" t="s">
        <v>265</v>
      </c>
      <c r="FKL370" s="632"/>
      <c r="FKM370" s="16"/>
      <c r="FKN370" s="636">
        <v>0.13500000000000001</v>
      </c>
      <c r="FKO370" s="636">
        <v>0.12</v>
      </c>
      <c r="FKP370" s="636">
        <v>0.13</v>
      </c>
      <c r="FKQ370" s="636">
        <v>0.12</v>
      </c>
      <c r="FKR370" s="636">
        <v>0.12</v>
      </c>
      <c r="FKS370" s="649">
        <v>0.12</v>
      </c>
      <c r="FKT370" s="16"/>
      <c r="FKU370" s="320">
        <v>0.10100000000000001</v>
      </c>
      <c r="FKV370" s="153"/>
      <c r="FKW370" s="153"/>
      <c r="FKX370" s="153"/>
      <c r="FKY370" s="648"/>
      <c r="FKZ370" s="641"/>
      <c r="FLA370" s="631" t="s">
        <v>265</v>
      </c>
      <c r="FLB370" s="632"/>
      <c r="FLC370" s="16"/>
      <c r="FLD370" s="636">
        <v>0.13500000000000001</v>
      </c>
      <c r="FLE370" s="636">
        <v>0.12</v>
      </c>
      <c r="FLF370" s="636">
        <v>0.13</v>
      </c>
      <c r="FLG370" s="636">
        <v>0.12</v>
      </c>
      <c r="FLH370" s="636">
        <v>0.12</v>
      </c>
      <c r="FLI370" s="649">
        <v>0.12</v>
      </c>
      <c r="FLJ370" s="16"/>
      <c r="FLK370" s="320">
        <v>0.10100000000000001</v>
      </c>
      <c r="FLL370" s="153"/>
      <c r="FLM370" s="153"/>
      <c r="FLN370" s="153"/>
      <c r="FLO370" s="648"/>
      <c r="FLP370" s="641"/>
      <c r="FLQ370" s="631" t="s">
        <v>265</v>
      </c>
      <c r="FLR370" s="632"/>
      <c r="FLS370" s="16"/>
      <c r="FLT370" s="636">
        <v>0.13500000000000001</v>
      </c>
      <c r="FLU370" s="636">
        <v>0.12</v>
      </c>
      <c r="FLV370" s="636">
        <v>0.13</v>
      </c>
      <c r="FLW370" s="636">
        <v>0.12</v>
      </c>
      <c r="FLX370" s="636">
        <v>0.12</v>
      </c>
      <c r="FLY370" s="649">
        <v>0.12</v>
      </c>
      <c r="FLZ370" s="16"/>
      <c r="FMA370" s="320">
        <v>0.10100000000000001</v>
      </c>
      <c r="FMB370" s="153"/>
      <c r="FMC370" s="153"/>
      <c r="FMD370" s="153"/>
      <c r="FME370" s="648"/>
      <c r="FMF370" s="641"/>
      <c r="FMG370" s="631" t="s">
        <v>265</v>
      </c>
      <c r="FMH370" s="632"/>
      <c r="FMI370" s="16"/>
      <c r="FMJ370" s="636">
        <v>0.13500000000000001</v>
      </c>
      <c r="FMK370" s="636">
        <v>0.12</v>
      </c>
      <c r="FML370" s="636">
        <v>0.13</v>
      </c>
      <c r="FMM370" s="636">
        <v>0.12</v>
      </c>
      <c r="FMN370" s="636">
        <v>0.12</v>
      </c>
      <c r="FMO370" s="649">
        <v>0.12</v>
      </c>
      <c r="FMP370" s="16"/>
      <c r="FMQ370" s="320">
        <v>0.10100000000000001</v>
      </c>
      <c r="FMR370" s="153"/>
      <c r="FMS370" s="153"/>
      <c r="FMT370" s="153"/>
      <c r="FMU370" s="648"/>
      <c r="FMV370" s="641"/>
      <c r="FMW370" s="631" t="s">
        <v>265</v>
      </c>
      <c r="FMX370" s="632"/>
      <c r="FMY370" s="16"/>
      <c r="FMZ370" s="636">
        <v>0.13500000000000001</v>
      </c>
      <c r="FNA370" s="636">
        <v>0.12</v>
      </c>
      <c r="FNB370" s="636">
        <v>0.13</v>
      </c>
      <c r="FNC370" s="636">
        <v>0.12</v>
      </c>
      <c r="FND370" s="636">
        <v>0.12</v>
      </c>
      <c r="FNE370" s="649">
        <v>0.12</v>
      </c>
      <c r="FNF370" s="16"/>
      <c r="FNG370" s="320">
        <v>0.10100000000000001</v>
      </c>
      <c r="FNH370" s="153"/>
      <c r="FNI370" s="153"/>
      <c r="FNJ370" s="153"/>
      <c r="FNK370" s="648"/>
      <c r="FNL370" s="641"/>
      <c r="FNM370" s="631" t="s">
        <v>265</v>
      </c>
      <c r="FNN370" s="632"/>
      <c r="FNO370" s="16"/>
      <c r="FNP370" s="636">
        <v>0.13500000000000001</v>
      </c>
      <c r="FNQ370" s="636">
        <v>0.12</v>
      </c>
      <c r="FNR370" s="636">
        <v>0.13</v>
      </c>
      <c r="FNS370" s="636">
        <v>0.12</v>
      </c>
      <c r="FNT370" s="636">
        <v>0.12</v>
      </c>
      <c r="FNU370" s="649">
        <v>0.12</v>
      </c>
      <c r="FNV370" s="16"/>
      <c r="FNW370" s="320">
        <v>0.10100000000000001</v>
      </c>
      <c r="FNX370" s="153"/>
      <c r="FNY370" s="153"/>
      <c r="FNZ370" s="153"/>
      <c r="FOA370" s="648"/>
      <c r="FOB370" s="641"/>
      <c r="FOC370" s="631" t="s">
        <v>265</v>
      </c>
      <c r="FOD370" s="632"/>
      <c r="FOE370" s="16"/>
      <c r="FOF370" s="636">
        <v>0.13500000000000001</v>
      </c>
      <c r="FOG370" s="636">
        <v>0.12</v>
      </c>
      <c r="FOH370" s="636">
        <v>0.13</v>
      </c>
      <c r="FOI370" s="636">
        <v>0.12</v>
      </c>
      <c r="FOJ370" s="636">
        <v>0.12</v>
      </c>
      <c r="FOK370" s="649">
        <v>0.12</v>
      </c>
      <c r="FOL370" s="16"/>
      <c r="FOM370" s="320">
        <v>0.10100000000000001</v>
      </c>
      <c r="FON370" s="153"/>
      <c r="FOO370" s="153"/>
      <c r="FOP370" s="153"/>
      <c r="FOQ370" s="648"/>
      <c r="FOR370" s="641"/>
      <c r="FOS370" s="631" t="s">
        <v>265</v>
      </c>
      <c r="FOT370" s="632"/>
      <c r="FOU370" s="16"/>
      <c r="FOV370" s="636">
        <v>0.13500000000000001</v>
      </c>
      <c r="FOW370" s="636">
        <v>0.12</v>
      </c>
      <c r="FOX370" s="636">
        <v>0.13</v>
      </c>
      <c r="FOY370" s="636">
        <v>0.12</v>
      </c>
      <c r="FOZ370" s="636">
        <v>0.12</v>
      </c>
      <c r="FPA370" s="649">
        <v>0.12</v>
      </c>
      <c r="FPB370" s="16"/>
      <c r="FPC370" s="320">
        <v>0.10100000000000001</v>
      </c>
      <c r="FPD370" s="153"/>
      <c r="FPE370" s="153"/>
      <c r="FPF370" s="153"/>
      <c r="FPG370" s="648"/>
      <c r="FPH370" s="641"/>
      <c r="FPI370" s="631" t="s">
        <v>265</v>
      </c>
      <c r="FPJ370" s="632"/>
      <c r="FPK370" s="16"/>
      <c r="FPL370" s="636">
        <v>0.13500000000000001</v>
      </c>
      <c r="FPM370" s="636">
        <v>0.12</v>
      </c>
      <c r="FPN370" s="636">
        <v>0.13</v>
      </c>
      <c r="FPO370" s="636">
        <v>0.12</v>
      </c>
      <c r="FPP370" s="636">
        <v>0.12</v>
      </c>
      <c r="FPQ370" s="649">
        <v>0.12</v>
      </c>
      <c r="FPR370" s="16"/>
      <c r="FPS370" s="320">
        <v>0.10100000000000001</v>
      </c>
      <c r="FPT370" s="153"/>
      <c r="FPU370" s="153"/>
      <c r="FPV370" s="153"/>
      <c r="FPW370" s="648"/>
      <c r="FPX370" s="641"/>
      <c r="FPY370" s="631" t="s">
        <v>265</v>
      </c>
      <c r="FPZ370" s="632"/>
      <c r="FQA370" s="16"/>
      <c r="FQB370" s="636">
        <v>0.13500000000000001</v>
      </c>
      <c r="FQC370" s="636">
        <v>0.12</v>
      </c>
      <c r="FQD370" s="636">
        <v>0.13</v>
      </c>
      <c r="FQE370" s="636">
        <v>0.12</v>
      </c>
      <c r="FQF370" s="636">
        <v>0.12</v>
      </c>
      <c r="FQG370" s="649">
        <v>0.12</v>
      </c>
      <c r="FQH370" s="16"/>
      <c r="FQI370" s="320">
        <v>0.10100000000000001</v>
      </c>
      <c r="FQJ370" s="153"/>
      <c r="FQK370" s="153"/>
      <c r="FQL370" s="153"/>
      <c r="FQM370" s="648"/>
      <c r="FQN370" s="641"/>
      <c r="FQO370" s="631" t="s">
        <v>265</v>
      </c>
      <c r="FQP370" s="632"/>
      <c r="FQQ370" s="16"/>
      <c r="FQR370" s="636">
        <v>0.13500000000000001</v>
      </c>
      <c r="FQS370" s="636">
        <v>0.12</v>
      </c>
      <c r="FQT370" s="636">
        <v>0.13</v>
      </c>
      <c r="FQU370" s="636">
        <v>0.12</v>
      </c>
      <c r="FQV370" s="636">
        <v>0.12</v>
      </c>
      <c r="FQW370" s="649">
        <v>0.12</v>
      </c>
      <c r="FQX370" s="16"/>
      <c r="FQY370" s="320">
        <v>0.10100000000000001</v>
      </c>
      <c r="FQZ370" s="153"/>
      <c r="FRA370" s="153"/>
      <c r="FRB370" s="153"/>
      <c r="FRC370" s="648"/>
      <c r="FRD370" s="641"/>
      <c r="FRE370" s="631" t="s">
        <v>265</v>
      </c>
      <c r="FRF370" s="632"/>
      <c r="FRG370" s="16"/>
      <c r="FRH370" s="636">
        <v>0.13500000000000001</v>
      </c>
      <c r="FRI370" s="636">
        <v>0.12</v>
      </c>
      <c r="FRJ370" s="636">
        <v>0.13</v>
      </c>
      <c r="FRK370" s="636">
        <v>0.12</v>
      </c>
      <c r="FRL370" s="636">
        <v>0.12</v>
      </c>
      <c r="FRM370" s="649">
        <v>0.12</v>
      </c>
      <c r="FRN370" s="16"/>
      <c r="FRO370" s="320">
        <v>0.10100000000000001</v>
      </c>
      <c r="FRP370" s="153"/>
      <c r="FRQ370" s="153"/>
      <c r="FRR370" s="153"/>
      <c r="FRS370" s="648"/>
      <c r="FRT370" s="641"/>
      <c r="FRU370" s="631" t="s">
        <v>265</v>
      </c>
      <c r="FRV370" s="632"/>
      <c r="FRW370" s="16"/>
      <c r="FRX370" s="636">
        <v>0.13500000000000001</v>
      </c>
      <c r="FRY370" s="636">
        <v>0.12</v>
      </c>
      <c r="FRZ370" s="636">
        <v>0.13</v>
      </c>
      <c r="FSA370" s="636">
        <v>0.12</v>
      </c>
      <c r="FSB370" s="636">
        <v>0.12</v>
      </c>
      <c r="FSC370" s="649">
        <v>0.12</v>
      </c>
      <c r="FSD370" s="16"/>
      <c r="FSE370" s="320">
        <v>0.10100000000000001</v>
      </c>
      <c r="FSF370" s="153"/>
      <c r="FSG370" s="153"/>
      <c r="FSH370" s="153"/>
      <c r="FSI370" s="648"/>
      <c r="FSJ370" s="641"/>
      <c r="FSK370" s="631" t="s">
        <v>265</v>
      </c>
      <c r="FSL370" s="632"/>
      <c r="FSM370" s="16"/>
      <c r="FSN370" s="636">
        <v>0.13500000000000001</v>
      </c>
      <c r="FSO370" s="636">
        <v>0.12</v>
      </c>
      <c r="FSP370" s="636">
        <v>0.13</v>
      </c>
      <c r="FSQ370" s="636">
        <v>0.12</v>
      </c>
      <c r="FSR370" s="636">
        <v>0.12</v>
      </c>
      <c r="FSS370" s="649">
        <v>0.12</v>
      </c>
      <c r="FST370" s="16"/>
      <c r="FSU370" s="320">
        <v>0.10100000000000001</v>
      </c>
      <c r="FSV370" s="153"/>
      <c r="FSW370" s="153"/>
      <c r="FSX370" s="153"/>
      <c r="FSY370" s="648"/>
      <c r="FSZ370" s="641"/>
      <c r="FTA370" s="631" t="s">
        <v>265</v>
      </c>
      <c r="FTB370" s="632"/>
      <c r="FTC370" s="16"/>
      <c r="FTD370" s="636">
        <v>0.13500000000000001</v>
      </c>
      <c r="FTE370" s="636">
        <v>0.12</v>
      </c>
      <c r="FTF370" s="636">
        <v>0.13</v>
      </c>
      <c r="FTG370" s="636">
        <v>0.12</v>
      </c>
      <c r="FTH370" s="636">
        <v>0.12</v>
      </c>
      <c r="FTI370" s="649">
        <v>0.12</v>
      </c>
      <c r="FTJ370" s="16"/>
      <c r="FTK370" s="320">
        <v>0.10100000000000001</v>
      </c>
      <c r="FTL370" s="153"/>
      <c r="FTM370" s="153"/>
      <c r="FTN370" s="153"/>
      <c r="FTO370" s="648"/>
      <c r="FTP370" s="641"/>
      <c r="FTQ370" s="631" t="s">
        <v>265</v>
      </c>
      <c r="FTR370" s="632"/>
      <c r="FTS370" s="16"/>
      <c r="FTT370" s="636">
        <v>0.13500000000000001</v>
      </c>
      <c r="FTU370" s="636">
        <v>0.12</v>
      </c>
      <c r="FTV370" s="636">
        <v>0.13</v>
      </c>
      <c r="FTW370" s="636">
        <v>0.12</v>
      </c>
      <c r="FTX370" s="636">
        <v>0.12</v>
      </c>
      <c r="FTY370" s="649">
        <v>0.12</v>
      </c>
      <c r="FTZ370" s="16"/>
      <c r="FUA370" s="320">
        <v>0.10100000000000001</v>
      </c>
      <c r="FUB370" s="153"/>
      <c r="FUC370" s="153"/>
      <c r="FUD370" s="153"/>
      <c r="FUE370" s="648"/>
      <c r="FUF370" s="641"/>
      <c r="FUG370" s="631" t="s">
        <v>265</v>
      </c>
      <c r="FUH370" s="632"/>
      <c r="FUI370" s="16"/>
      <c r="FUJ370" s="636">
        <v>0.13500000000000001</v>
      </c>
      <c r="FUK370" s="636">
        <v>0.12</v>
      </c>
      <c r="FUL370" s="636">
        <v>0.13</v>
      </c>
      <c r="FUM370" s="636">
        <v>0.12</v>
      </c>
      <c r="FUN370" s="636">
        <v>0.12</v>
      </c>
      <c r="FUO370" s="649">
        <v>0.12</v>
      </c>
      <c r="FUP370" s="16"/>
      <c r="FUQ370" s="320">
        <v>0.10100000000000001</v>
      </c>
      <c r="FUR370" s="153"/>
      <c r="FUS370" s="153"/>
      <c r="FUT370" s="153"/>
      <c r="FUU370" s="648"/>
      <c r="FUV370" s="641"/>
      <c r="FUW370" s="631" t="s">
        <v>265</v>
      </c>
      <c r="FUX370" s="632"/>
      <c r="FUY370" s="16"/>
      <c r="FUZ370" s="636">
        <v>0.13500000000000001</v>
      </c>
      <c r="FVA370" s="636">
        <v>0.12</v>
      </c>
      <c r="FVB370" s="636">
        <v>0.13</v>
      </c>
      <c r="FVC370" s="636">
        <v>0.12</v>
      </c>
      <c r="FVD370" s="636">
        <v>0.12</v>
      </c>
      <c r="FVE370" s="649">
        <v>0.12</v>
      </c>
      <c r="FVF370" s="16"/>
      <c r="FVG370" s="320">
        <v>0.10100000000000001</v>
      </c>
      <c r="FVH370" s="153"/>
      <c r="FVI370" s="153"/>
      <c r="FVJ370" s="153"/>
      <c r="FVK370" s="648"/>
      <c r="FVL370" s="641"/>
      <c r="FVM370" s="631" t="s">
        <v>265</v>
      </c>
      <c r="FVN370" s="632"/>
      <c r="FVO370" s="16"/>
      <c r="FVP370" s="636">
        <v>0.13500000000000001</v>
      </c>
      <c r="FVQ370" s="636">
        <v>0.12</v>
      </c>
      <c r="FVR370" s="636">
        <v>0.13</v>
      </c>
      <c r="FVS370" s="636">
        <v>0.12</v>
      </c>
      <c r="FVT370" s="636">
        <v>0.12</v>
      </c>
      <c r="FVU370" s="649">
        <v>0.12</v>
      </c>
      <c r="FVV370" s="16"/>
      <c r="FVW370" s="320">
        <v>0.10100000000000001</v>
      </c>
      <c r="FVX370" s="153"/>
      <c r="FVY370" s="153"/>
      <c r="FVZ370" s="153"/>
      <c r="FWA370" s="648"/>
      <c r="FWB370" s="641"/>
      <c r="FWC370" s="631" t="s">
        <v>265</v>
      </c>
      <c r="FWD370" s="632"/>
      <c r="FWE370" s="16"/>
      <c r="FWF370" s="636">
        <v>0.13500000000000001</v>
      </c>
      <c r="FWG370" s="636">
        <v>0.12</v>
      </c>
      <c r="FWH370" s="636">
        <v>0.13</v>
      </c>
      <c r="FWI370" s="636">
        <v>0.12</v>
      </c>
      <c r="FWJ370" s="636">
        <v>0.12</v>
      </c>
      <c r="FWK370" s="649">
        <v>0.12</v>
      </c>
      <c r="FWL370" s="16"/>
      <c r="FWM370" s="320">
        <v>0.10100000000000001</v>
      </c>
      <c r="FWN370" s="153"/>
      <c r="FWO370" s="153"/>
      <c r="FWP370" s="153"/>
      <c r="FWQ370" s="648"/>
      <c r="FWR370" s="641"/>
      <c r="FWS370" s="631" t="s">
        <v>265</v>
      </c>
      <c r="FWT370" s="632"/>
      <c r="FWU370" s="16"/>
      <c r="FWV370" s="636">
        <v>0.13500000000000001</v>
      </c>
      <c r="FWW370" s="636">
        <v>0.12</v>
      </c>
      <c r="FWX370" s="636">
        <v>0.13</v>
      </c>
      <c r="FWY370" s="636">
        <v>0.12</v>
      </c>
      <c r="FWZ370" s="636">
        <v>0.12</v>
      </c>
      <c r="FXA370" s="649">
        <v>0.12</v>
      </c>
      <c r="FXB370" s="16"/>
      <c r="FXC370" s="320">
        <v>0.10100000000000001</v>
      </c>
      <c r="FXD370" s="153"/>
      <c r="FXE370" s="153"/>
      <c r="FXF370" s="153"/>
      <c r="FXG370" s="648"/>
      <c r="FXH370" s="641"/>
      <c r="FXI370" s="631" t="s">
        <v>265</v>
      </c>
      <c r="FXJ370" s="632"/>
      <c r="FXK370" s="16"/>
      <c r="FXL370" s="636">
        <v>0.13500000000000001</v>
      </c>
      <c r="FXM370" s="636">
        <v>0.12</v>
      </c>
      <c r="FXN370" s="636">
        <v>0.13</v>
      </c>
      <c r="FXO370" s="636">
        <v>0.12</v>
      </c>
      <c r="FXP370" s="636">
        <v>0.12</v>
      </c>
      <c r="FXQ370" s="649">
        <v>0.12</v>
      </c>
      <c r="FXR370" s="16"/>
      <c r="FXS370" s="320">
        <v>0.10100000000000001</v>
      </c>
      <c r="FXT370" s="153"/>
      <c r="FXU370" s="153"/>
      <c r="FXV370" s="153"/>
      <c r="FXW370" s="648"/>
      <c r="FXX370" s="641"/>
      <c r="FXY370" s="631" t="s">
        <v>265</v>
      </c>
      <c r="FXZ370" s="632"/>
      <c r="FYA370" s="16"/>
      <c r="FYB370" s="636">
        <v>0.13500000000000001</v>
      </c>
      <c r="FYC370" s="636">
        <v>0.12</v>
      </c>
      <c r="FYD370" s="636">
        <v>0.13</v>
      </c>
      <c r="FYE370" s="636">
        <v>0.12</v>
      </c>
      <c r="FYF370" s="636">
        <v>0.12</v>
      </c>
      <c r="FYG370" s="649">
        <v>0.12</v>
      </c>
      <c r="FYH370" s="16"/>
      <c r="FYI370" s="320">
        <v>0.10100000000000001</v>
      </c>
      <c r="FYJ370" s="153"/>
      <c r="FYK370" s="153"/>
      <c r="FYL370" s="153"/>
      <c r="FYM370" s="648"/>
      <c r="FYN370" s="641"/>
      <c r="FYO370" s="631" t="s">
        <v>265</v>
      </c>
      <c r="FYP370" s="632"/>
      <c r="FYQ370" s="16"/>
      <c r="FYR370" s="636">
        <v>0.13500000000000001</v>
      </c>
      <c r="FYS370" s="636">
        <v>0.12</v>
      </c>
      <c r="FYT370" s="636">
        <v>0.13</v>
      </c>
      <c r="FYU370" s="636">
        <v>0.12</v>
      </c>
      <c r="FYV370" s="636">
        <v>0.12</v>
      </c>
      <c r="FYW370" s="649">
        <v>0.12</v>
      </c>
      <c r="FYX370" s="16"/>
      <c r="FYY370" s="320">
        <v>0.10100000000000001</v>
      </c>
      <c r="FYZ370" s="153"/>
      <c r="FZA370" s="153"/>
      <c r="FZB370" s="153"/>
      <c r="FZC370" s="648"/>
      <c r="FZD370" s="641"/>
      <c r="FZE370" s="631" t="s">
        <v>265</v>
      </c>
      <c r="FZF370" s="632"/>
      <c r="FZG370" s="16"/>
      <c r="FZH370" s="636">
        <v>0.13500000000000001</v>
      </c>
      <c r="FZI370" s="636">
        <v>0.12</v>
      </c>
      <c r="FZJ370" s="636">
        <v>0.13</v>
      </c>
      <c r="FZK370" s="636">
        <v>0.12</v>
      </c>
      <c r="FZL370" s="636">
        <v>0.12</v>
      </c>
      <c r="FZM370" s="649">
        <v>0.12</v>
      </c>
      <c r="FZN370" s="16"/>
      <c r="FZO370" s="320">
        <v>0.10100000000000001</v>
      </c>
      <c r="FZP370" s="153"/>
      <c r="FZQ370" s="153"/>
      <c r="FZR370" s="153"/>
      <c r="FZS370" s="648"/>
      <c r="FZT370" s="641"/>
      <c r="FZU370" s="631" t="s">
        <v>265</v>
      </c>
      <c r="FZV370" s="632"/>
      <c r="FZW370" s="16"/>
      <c r="FZX370" s="636">
        <v>0.13500000000000001</v>
      </c>
      <c r="FZY370" s="636">
        <v>0.12</v>
      </c>
      <c r="FZZ370" s="636">
        <v>0.13</v>
      </c>
      <c r="GAA370" s="636">
        <v>0.12</v>
      </c>
      <c r="GAB370" s="636">
        <v>0.12</v>
      </c>
      <c r="GAC370" s="649">
        <v>0.12</v>
      </c>
      <c r="GAD370" s="16"/>
      <c r="GAE370" s="320">
        <v>0.10100000000000001</v>
      </c>
      <c r="GAF370" s="153"/>
      <c r="GAG370" s="153"/>
      <c r="GAH370" s="153"/>
      <c r="GAI370" s="648"/>
      <c r="GAJ370" s="641"/>
      <c r="GAK370" s="631" t="s">
        <v>265</v>
      </c>
      <c r="GAL370" s="632"/>
      <c r="GAM370" s="16"/>
      <c r="GAN370" s="636">
        <v>0.13500000000000001</v>
      </c>
      <c r="GAO370" s="636">
        <v>0.12</v>
      </c>
      <c r="GAP370" s="636">
        <v>0.13</v>
      </c>
      <c r="GAQ370" s="636">
        <v>0.12</v>
      </c>
      <c r="GAR370" s="636">
        <v>0.12</v>
      </c>
      <c r="GAS370" s="649">
        <v>0.12</v>
      </c>
      <c r="GAT370" s="16"/>
      <c r="GAU370" s="320">
        <v>0.10100000000000001</v>
      </c>
      <c r="GAV370" s="153"/>
      <c r="GAW370" s="153"/>
      <c r="GAX370" s="153"/>
      <c r="GAY370" s="648"/>
      <c r="GAZ370" s="641"/>
      <c r="GBA370" s="631" t="s">
        <v>265</v>
      </c>
      <c r="GBB370" s="632"/>
      <c r="GBC370" s="16"/>
      <c r="GBD370" s="636">
        <v>0.13500000000000001</v>
      </c>
      <c r="GBE370" s="636">
        <v>0.12</v>
      </c>
      <c r="GBF370" s="636">
        <v>0.13</v>
      </c>
      <c r="GBG370" s="636">
        <v>0.12</v>
      </c>
      <c r="GBH370" s="636">
        <v>0.12</v>
      </c>
      <c r="GBI370" s="649">
        <v>0.12</v>
      </c>
      <c r="GBJ370" s="16"/>
      <c r="GBK370" s="320">
        <v>0.10100000000000001</v>
      </c>
      <c r="GBL370" s="153"/>
      <c r="GBM370" s="153"/>
      <c r="GBN370" s="153"/>
      <c r="GBO370" s="648"/>
      <c r="GBP370" s="641"/>
      <c r="GBQ370" s="631" t="s">
        <v>265</v>
      </c>
      <c r="GBR370" s="632"/>
      <c r="GBS370" s="16"/>
      <c r="GBT370" s="636">
        <v>0.13500000000000001</v>
      </c>
      <c r="GBU370" s="636">
        <v>0.12</v>
      </c>
      <c r="GBV370" s="636">
        <v>0.13</v>
      </c>
      <c r="GBW370" s="636">
        <v>0.12</v>
      </c>
      <c r="GBX370" s="636">
        <v>0.12</v>
      </c>
      <c r="GBY370" s="649">
        <v>0.12</v>
      </c>
      <c r="GBZ370" s="16"/>
      <c r="GCA370" s="320">
        <v>0.10100000000000001</v>
      </c>
      <c r="GCB370" s="153"/>
      <c r="GCC370" s="153"/>
      <c r="GCD370" s="153"/>
      <c r="GCE370" s="648"/>
      <c r="GCF370" s="641"/>
      <c r="GCG370" s="631" t="s">
        <v>265</v>
      </c>
      <c r="GCH370" s="632"/>
      <c r="GCI370" s="16"/>
      <c r="GCJ370" s="636">
        <v>0.13500000000000001</v>
      </c>
      <c r="GCK370" s="636">
        <v>0.12</v>
      </c>
      <c r="GCL370" s="636">
        <v>0.13</v>
      </c>
      <c r="GCM370" s="636">
        <v>0.12</v>
      </c>
      <c r="GCN370" s="636">
        <v>0.12</v>
      </c>
      <c r="GCO370" s="649">
        <v>0.12</v>
      </c>
      <c r="GCP370" s="16"/>
      <c r="GCQ370" s="320">
        <v>0.10100000000000001</v>
      </c>
      <c r="GCR370" s="153"/>
      <c r="GCS370" s="153"/>
      <c r="GCT370" s="153"/>
      <c r="GCU370" s="648"/>
      <c r="GCV370" s="641"/>
      <c r="GCW370" s="631" t="s">
        <v>265</v>
      </c>
      <c r="GCX370" s="632"/>
      <c r="GCY370" s="16"/>
      <c r="GCZ370" s="636">
        <v>0.13500000000000001</v>
      </c>
      <c r="GDA370" s="636">
        <v>0.12</v>
      </c>
      <c r="GDB370" s="636">
        <v>0.13</v>
      </c>
      <c r="GDC370" s="636">
        <v>0.12</v>
      </c>
      <c r="GDD370" s="636">
        <v>0.12</v>
      </c>
      <c r="GDE370" s="649">
        <v>0.12</v>
      </c>
      <c r="GDF370" s="16"/>
      <c r="GDG370" s="320">
        <v>0.10100000000000001</v>
      </c>
      <c r="GDH370" s="153"/>
      <c r="GDI370" s="153"/>
      <c r="GDJ370" s="153"/>
      <c r="GDK370" s="648"/>
      <c r="GDL370" s="641"/>
      <c r="GDM370" s="631" t="s">
        <v>265</v>
      </c>
      <c r="GDN370" s="632"/>
      <c r="GDO370" s="16"/>
      <c r="GDP370" s="636">
        <v>0.13500000000000001</v>
      </c>
      <c r="GDQ370" s="636">
        <v>0.12</v>
      </c>
      <c r="GDR370" s="636">
        <v>0.13</v>
      </c>
      <c r="GDS370" s="636">
        <v>0.12</v>
      </c>
      <c r="GDT370" s="636">
        <v>0.12</v>
      </c>
      <c r="GDU370" s="649">
        <v>0.12</v>
      </c>
      <c r="GDV370" s="16"/>
      <c r="GDW370" s="320">
        <v>0.10100000000000001</v>
      </c>
      <c r="GDX370" s="153"/>
      <c r="GDY370" s="153"/>
      <c r="GDZ370" s="153"/>
      <c r="GEA370" s="648"/>
      <c r="GEB370" s="641"/>
      <c r="GEC370" s="631" t="s">
        <v>265</v>
      </c>
      <c r="GED370" s="632"/>
      <c r="GEE370" s="16"/>
      <c r="GEF370" s="636">
        <v>0.13500000000000001</v>
      </c>
      <c r="GEG370" s="636">
        <v>0.12</v>
      </c>
      <c r="GEH370" s="636">
        <v>0.13</v>
      </c>
      <c r="GEI370" s="636">
        <v>0.12</v>
      </c>
      <c r="GEJ370" s="636">
        <v>0.12</v>
      </c>
      <c r="GEK370" s="649">
        <v>0.12</v>
      </c>
      <c r="GEL370" s="16"/>
      <c r="GEM370" s="320">
        <v>0.10100000000000001</v>
      </c>
      <c r="GEN370" s="153"/>
      <c r="GEO370" s="153"/>
      <c r="GEP370" s="153"/>
      <c r="GEQ370" s="648"/>
      <c r="GER370" s="641"/>
      <c r="GES370" s="631" t="s">
        <v>265</v>
      </c>
      <c r="GET370" s="632"/>
      <c r="GEU370" s="16"/>
      <c r="GEV370" s="636">
        <v>0.13500000000000001</v>
      </c>
      <c r="GEW370" s="636">
        <v>0.12</v>
      </c>
      <c r="GEX370" s="636">
        <v>0.13</v>
      </c>
      <c r="GEY370" s="636">
        <v>0.12</v>
      </c>
      <c r="GEZ370" s="636">
        <v>0.12</v>
      </c>
      <c r="GFA370" s="649">
        <v>0.12</v>
      </c>
      <c r="GFB370" s="16"/>
      <c r="GFC370" s="320">
        <v>0.10100000000000001</v>
      </c>
      <c r="GFD370" s="153"/>
      <c r="GFE370" s="153"/>
      <c r="GFF370" s="153"/>
      <c r="GFG370" s="648"/>
      <c r="GFH370" s="641"/>
      <c r="GFI370" s="631" t="s">
        <v>265</v>
      </c>
      <c r="GFJ370" s="632"/>
      <c r="GFK370" s="16"/>
      <c r="GFL370" s="636">
        <v>0.13500000000000001</v>
      </c>
      <c r="GFM370" s="636">
        <v>0.12</v>
      </c>
      <c r="GFN370" s="636">
        <v>0.13</v>
      </c>
      <c r="GFO370" s="636">
        <v>0.12</v>
      </c>
      <c r="GFP370" s="636">
        <v>0.12</v>
      </c>
      <c r="GFQ370" s="649">
        <v>0.12</v>
      </c>
      <c r="GFR370" s="16"/>
      <c r="GFS370" s="320">
        <v>0.10100000000000001</v>
      </c>
      <c r="GFT370" s="153"/>
      <c r="GFU370" s="153"/>
      <c r="GFV370" s="153"/>
      <c r="GFW370" s="648"/>
      <c r="GFX370" s="641"/>
      <c r="GFY370" s="631" t="s">
        <v>265</v>
      </c>
      <c r="GFZ370" s="632"/>
      <c r="GGA370" s="16"/>
      <c r="GGB370" s="636">
        <v>0.13500000000000001</v>
      </c>
      <c r="GGC370" s="636">
        <v>0.12</v>
      </c>
      <c r="GGD370" s="636">
        <v>0.13</v>
      </c>
      <c r="GGE370" s="636">
        <v>0.12</v>
      </c>
      <c r="GGF370" s="636">
        <v>0.12</v>
      </c>
      <c r="GGG370" s="649">
        <v>0.12</v>
      </c>
      <c r="GGH370" s="16"/>
      <c r="GGI370" s="320">
        <v>0.10100000000000001</v>
      </c>
      <c r="GGJ370" s="153"/>
      <c r="GGK370" s="153"/>
      <c r="GGL370" s="153"/>
      <c r="GGM370" s="648"/>
      <c r="GGN370" s="641"/>
      <c r="GGO370" s="631" t="s">
        <v>265</v>
      </c>
      <c r="GGP370" s="632"/>
      <c r="GGQ370" s="16"/>
      <c r="GGR370" s="636">
        <v>0.13500000000000001</v>
      </c>
      <c r="GGS370" s="636">
        <v>0.12</v>
      </c>
      <c r="GGT370" s="636">
        <v>0.13</v>
      </c>
      <c r="GGU370" s="636">
        <v>0.12</v>
      </c>
      <c r="GGV370" s="636">
        <v>0.12</v>
      </c>
      <c r="GGW370" s="649">
        <v>0.12</v>
      </c>
      <c r="GGX370" s="16"/>
      <c r="GGY370" s="320">
        <v>0.10100000000000001</v>
      </c>
      <c r="GGZ370" s="153"/>
      <c r="GHA370" s="153"/>
      <c r="GHB370" s="153"/>
      <c r="GHC370" s="648"/>
      <c r="GHD370" s="641"/>
      <c r="GHE370" s="631" t="s">
        <v>265</v>
      </c>
      <c r="GHF370" s="632"/>
      <c r="GHG370" s="16"/>
      <c r="GHH370" s="636">
        <v>0.13500000000000001</v>
      </c>
      <c r="GHI370" s="636">
        <v>0.12</v>
      </c>
      <c r="GHJ370" s="636">
        <v>0.13</v>
      </c>
      <c r="GHK370" s="636">
        <v>0.12</v>
      </c>
      <c r="GHL370" s="636">
        <v>0.12</v>
      </c>
      <c r="GHM370" s="649">
        <v>0.12</v>
      </c>
      <c r="GHN370" s="16"/>
      <c r="GHO370" s="320">
        <v>0.10100000000000001</v>
      </c>
      <c r="GHP370" s="153"/>
      <c r="GHQ370" s="153"/>
      <c r="GHR370" s="153"/>
      <c r="GHS370" s="648"/>
      <c r="GHT370" s="641"/>
      <c r="GHU370" s="631" t="s">
        <v>265</v>
      </c>
      <c r="GHV370" s="632"/>
      <c r="GHW370" s="16"/>
      <c r="GHX370" s="636">
        <v>0.13500000000000001</v>
      </c>
      <c r="GHY370" s="636">
        <v>0.12</v>
      </c>
      <c r="GHZ370" s="636">
        <v>0.13</v>
      </c>
      <c r="GIA370" s="636">
        <v>0.12</v>
      </c>
      <c r="GIB370" s="636">
        <v>0.12</v>
      </c>
      <c r="GIC370" s="649">
        <v>0.12</v>
      </c>
      <c r="GID370" s="16"/>
      <c r="GIE370" s="320">
        <v>0.10100000000000001</v>
      </c>
      <c r="GIF370" s="153"/>
      <c r="GIG370" s="153"/>
      <c r="GIH370" s="153"/>
      <c r="GII370" s="648"/>
      <c r="GIJ370" s="641"/>
      <c r="GIK370" s="631" t="s">
        <v>265</v>
      </c>
      <c r="GIL370" s="632"/>
      <c r="GIM370" s="16"/>
      <c r="GIN370" s="636">
        <v>0.13500000000000001</v>
      </c>
      <c r="GIO370" s="636">
        <v>0.12</v>
      </c>
      <c r="GIP370" s="636">
        <v>0.13</v>
      </c>
      <c r="GIQ370" s="636">
        <v>0.12</v>
      </c>
      <c r="GIR370" s="636">
        <v>0.12</v>
      </c>
      <c r="GIS370" s="649">
        <v>0.12</v>
      </c>
      <c r="GIT370" s="16"/>
      <c r="GIU370" s="320">
        <v>0.10100000000000001</v>
      </c>
      <c r="GIV370" s="153"/>
      <c r="GIW370" s="153"/>
      <c r="GIX370" s="153"/>
      <c r="GIY370" s="648"/>
      <c r="GIZ370" s="641"/>
      <c r="GJA370" s="631" t="s">
        <v>265</v>
      </c>
      <c r="GJB370" s="632"/>
      <c r="GJC370" s="16"/>
      <c r="GJD370" s="636">
        <v>0.13500000000000001</v>
      </c>
      <c r="GJE370" s="636">
        <v>0.12</v>
      </c>
      <c r="GJF370" s="636">
        <v>0.13</v>
      </c>
      <c r="GJG370" s="636">
        <v>0.12</v>
      </c>
      <c r="GJH370" s="636">
        <v>0.12</v>
      </c>
      <c r="GJI370" s="649">
        <v>0.12</v>
      </c>
      <c r="GJJ370" s="16"/>
      <c r="GJK370" s="320">
        <v>0.10100000000000001</v>
      </c>
      <c r="GJL370" s="153"/>
      <c r="GJM370" s="153"/>
      <c r="GJN370" s="153"/>
      <c r="GJO370" s="648"/>
      <c r="GJP370" s="641"/>
      <c r="GJQ370" s="631" t="s">
        <v>265</v>
      </c>
      <c r="GJR370" s="632"/>
      <c r="GJS370" s="16"/>
      <c r="GJT370" s="636">
        <v>0.13500000000000001</v>
      </c>
      <c r="GJU370" s="636">
        <v>0.12</v>
      </c>
      <c r="GJV370" s="636">
        <v>0.13</v>
      </c>
      <c r="GJW370" s="636">
        <v>0.12</v>
      </c>
      <c r="GJX370" s="636">
        <v>0.12</v>
      </c>
      <c r="GJY370" s="649">
        <v>0.12</v>
      </c>
      <c r="GJZ370" s="16"/>
      <c r="GKA370" s="320">
        <v>0.10100000000000001</v>
      </c>
      <c r="GKB370" s="153"/>
      <c r="GKC370" s="153"/>
      <c r="GKD370" s="153"/>
      <c r="GKE370" s="648"/>
      <c r="GKF370" s="641"/>
      <c r="GKG370" s="631" t="s">
        <v>265</v>
      </c>
      <c r="GKH370" s="632"/>
      <c r="GKI370" s="16"/>
      <c r="GKJ370" s="636">
        <v>0.13500000000000001</v>
      </c>
      <c r="GKK370" s="636">
        <v>0.12</v>
      </c>
      <c r="GKL370" s="636">
        <v>0.13</v>
      </c>
      <c r="GKM370" s="636">
        <v>0.12</v>
      </c>
      <c r="GKN370" s="636">
        <v>0.12</v>
      </c>
      <c r="GKO370" s="649">
        <v>0.12</v>
      </c>
      <c r="GKP370" s="16"/>
      <c r="GKQ370" s="320">
        <v>0.10100000000000001</v>
      </c>
      <c r="GKR370" s="153"/>
      <c r="GKS370" s="153"/>
      <c r="GKT370" s="153"/>
      <c r="GKU370" s="648"/>
      <c r="GKV370" s="641"/>
      <c r="GKW370" s="631" t="s">
        <v>265</v>
      </c>
      <c r="GKX370" s="632"/>
      <c r="GKY370" s="16"/>
      <c r="GKZ370" s="636">
        <v>0.13500000000000001</v>
      </c>
      <c r="GLA370" s="636">
        <v>0.12</v>
      </c>
      <c r="GLB370" s="636">
        <v>0.13</v>
      </c>
      <c r="GLC370" s="636">
        <v>0.12</v>
      </c>
      <c r="GLD370" s="636">
        <v>0.12</v>
      </c>
      <c r="GLE370" s="649">
        <v>0.12</v>
      </c>
      <c r="GLF370" s="16"/>
      <c r="GLG370" s="320">
        <v>0.10100000000000001</v>
      </c>
      <c r="GLH370" s="153"/>
      <c r="GLI370" s="153"/>
      <c r="GLJ370" s="153"/>
      <c r="GLK370" s="648"/>
      <c r="GLL370" s="641"/>
      <c r="GLM370" s="631" t="s">
        <v>265</v>
      </c>
      <c r="GLN370" s="632"/>
      <c r="GLO370" s="16"/>
      <c r="GLP370" s="636">
        <v>0.13500000000000001</v>
      </c>
      <c r="GLQ370" s="636">
        <v>0.12</v>
      </c>
      <c r="GLR370" s="636">
        <v>0.13</v>
      </c>
      <c r="GLS370" s="636">
        <v>0.12</v>
      </c>
      <c r="GLT370" s="636">
        <v>0.12</v>
      </c>
      <c r="GLU370" s="649">
        <v>0.12</v>
      </c>
      <c r="GLV370" s="16"/>
      <c r="GLW370" s="320">
        <v>0.10100000000000001</v>
      </c>
      <c r="GLX370" s="153"/>
      <c r="GLY370" s="153"/>
      <c r="GLZ370" s="153"/>
      <c r="GMA370" s="648"/>
      <c r="GMB370" s="641"/>
      <c r="GMC370" s="631" t="s">
        <v>265</v>
      </c>
      <c r="GMD370" s="632"/>
      <c r="GME370" s="16"/>
      <c r="GMF370" s="636">
        <v>0.13500000000000001</v>
      </c>
      <c r="GMG370" s="636">
        <v>0.12</v>
      </c>
      <c r="GMH370" s="636">
        <v>0.13</v>
      </c>
      <c r="GMI370" s="636">
        <v>0.12</v>
      </c>
      <c r="GMJ370" s="636">
        <v>0.12</v>
      </c>
      <c r="GMK370" s="649">
        <v>0.12</v>
      </c>
      <c r="GML370" s="16"/>
      <c r="GMM370" s="320">
        <v>0.10100000000000001</v>
      </c>
      <c r="GMN370" s="153"/>
      <c r="GMO370" s="153"/>
      <c r="GMP370" s="153"/>
      <c r="GMQ370" s="648"/>
      <c r="GMR370" s="641"/>
      <c r="GMS370" s="631" t="s">
        <v>265</v>
      </c>
      <c r="GMT370" s="632"/>
      <c r="GMU370" s="16"/>
      <c r="GMV370" s="636">
        <v>0.13500000000000001</v>
      </c>
      <c r="GMW370" s="636">
        <v>0.12</v>
      </c>
      <c r="GMX370" s="636">
        <v>0.13</v>
      </c>
      <c r="GMY370" s="636">
        <v>0.12</v>
      </c>
      <c r="GMZ370" s="636">
        <v>0.12</v>
      </c>
      <c r="GNA370" s="649">
        <v>0.12</v>
      </c>
      <c r="GNB370" s="16"/>
      <c r="GNC370" s="320">
        <v>0.10100000000000001</v>
      </c>
      <c r="GND370" s="153"/>
      <c r="GNE370" s="153"/>
      <c r="GNF370" s="153"/>
      <c r="GNG370" s="648"/>
      <c r="GNH370" s="641"/>
      <c r="GNI370" s="631" t="s">
        <v>265</v>
      </c>
      <c r="GNJ370" s="632"/>
      <c r="GNK370" s="16"/>
      <c r="GNL370" s="636">
        <v>0.13500000000000001</v>
      </c>
      <c r="GNM370" s="636">
        <v>0.12</v>
      </c>
      <c r="GNN370" s="636">
        <v>0.13</v>
      </c>
      <c r="GNO370" s="636">
        <v>0.12</v>
      </c>
      <c r="GNP370" s="636">
        <v>0.12</v>
      </c>
      <c r="GNQ370" s="649">
        <v>0.12</v>
      </c>
      <c r="GNR370" s="16"/>
      <c r="GNS370" s="320">
        <v>0.10100000000000001</v>
      </c>
      <c r="GNT370" s="153"/>
      <c r="GNU370" s="153"/>
      <c r="GNV370" s="153"/>
      <c r="GNW370" s="648"/>
      <c r="GNX370" s="641"/>
      <c r="GNY370" s="631" t="s">
        <v>265</v>
      </c>
      <c r="GNZ370" s="632"/>
      <c r="GOA370" s="16"/>
      <c r="GOB370" s="636">
        <v>0.13500000000000001</v>
      </c>
      <c r="GOC370" s="636">
        <v>0.12</v>
      </c>
      <c r="GOD370" s="636">
        <v>0.13</v>
      </c>
      <c r="GOE370" s="636">
        <v>0.12</v>
      </c>
      <c r="GOF370" s="636">
        <v>0.12</v>
      </c>
      <c r="GOG370" s="649">
        <v>0.12</v>
      </c>
      <c r="GOH370" s="16"/>
      <c r="GOI370" s="320">
        <v>0.10100000000000001</v>
      </c>
      <c r="GOJ370" s="153"/>
      <c r="GOK370" s="153"/>
      <c r="GOL370" s="153"/>
      <c r="GOM370" s="648"/>
      <c r="GON370" s="641"/>
      <c r="GOO370" s="631" t="s">
        <v>265</v>
      </c>
      <c r="GOP370" s="632"/>
      <c r="GOQ370" s="16"/>
      <c r="GOR370" s="636">
        <v>0.13500000000000001</v>
      </c>
      <c r="GOS370" s="636">
        <v>0.12</v>
      </c>
      <c r="GOT370" s="636">
        <v>0.13</v>
      </c>
      <c r="GOU370" s="636">
        <v>0.12</v>
      </c>
      <c r="GOV370" s="636">
        <v>0.12</v>
      </c>
      <c r="GOW370" s="649">
        <v>0.12</v>
      </c>
      <c r="GOX370" s="16"/>
      <c r="GOY370" s="320">
        <v>0.10100000000000001</v>
      </c>
      <c r="GOZ370" s="153"/>
      <c r="GPA370" s="153"/>
      <c r="GPB370" s="153"/>
      <c r="GPC370" s="648"/>
      <c r="GPD370" s="641"/>
      <c r="GPE370" s="631" t="s">
        <v>265</v>
      </c>
      <c r="GPF370" s="632"/>
      <c r="GPG370" s="16"/>
      <c r="GPH370" s="636">
        <v>0.13500000000000001</v>
      </c>
      <c r="GPI370" s="636">
        <v>0.12</v>
      </c>
      <c r="GPJ370" s="636">
        <v>0.13</v>
      </c>
      <c r="GPK370" s="636">
        <v>0.12</v>
      </c>
      <c r="GPL370" s="636">
        <v>0.12</v>
      </c>
      <c r="GPM370" s="649">
        <v>0.12</v>
      </c>
      <c r="GPN370" s="16"/>
      <c r="GPO370" s="320">
        <v>0.10100000000000001</v>
      </c>
      <c r="GPP370" s="153"/>
      <c r="GPQ370" s="153"/>
      <c r="GPR370" s="153"/>
      <c r="GPS370" s="648"/>
      <c r="GPT370" s="641"/>
      <c r="GPU370" s="631" t="s">
        <v>265</v>
      </c>
      <c r="GPV370" s="632"/>
      <c r="GPW370" s="16"/>
      <c r="GPX370" s="636">
        <v>0.13500000000000001</v>
      </c>
      <c r="GPY370" s="636">
        <v>0.12</v>
      </c>
      <c r="GPZ370" s="636">
        <v>0.13</v>
      </c>
      <c r="GQA370" s="636">
        <v>0.12</v>
      </c>
      <c r="GQB370" s="636">
        <v>0.12</v>
      </c>
      <c r="GQC370" s="649">
        <v>0.12</v>
      </c>
      <c r="GQD370" s="16"/>
      <c r="GQE370" s="320">
        <v>0.10100000000000001</v>
      </c>
      <c r="GQF370" s="153"/>
      <c r="GQG370" s="153"/>
      <c r="GQH370" s="153"/>
      <c r="GQI370" s="648"/>
      <c r="GQJ370" s="641"/>
      <c r="GQK370" s="631" t="s">
        <v>265</v>
      </c>
      <c r="GQL370" s="632"/>
      <c r="GQM370" s="16"/>
      <c r="GQN370" s="636">
        <v>0.13500000000000001</v>
      </c>
      <c r="GQO370" s="636">
        <v>0.12</v>
      </c>
      <c r="GQP370" s="636">
        <v>0.13</v>
      </c>
      <c r="GQQ370" s="636">
        <v>0.12</v>
      </c>
      <c r="GQR370" s="636">
        <v>0.12</v>
      </c>
      <c r="GQS370" s="649">
        <v>0.12</v>
      </c>
      <c r="GQT370" s="16"/>
      <c r="GQU370" s="320">
        <v>0.10100000000000001</v>
      </c>
      <c r="GQV370" s="153"/>
      <c r="GQW370" s="153"/>
      <c r="GQX370" s="153"/>
      <c r="GQY370" s="648"/>
      <c r="GQZ370" s="641"/>
      <c r="GRA370" s="631" t="s">
        <v>265</v>
      </c>
      <c r="GRB370" s="632"/>
      <c r="GRC370" s="16"/>
      <c r="GRD370" s="636">
        <v>0.13500000000000001</v>
      </c>
      <c r="GRE370" s="636">
        <v>0.12</v>
      </c>
      <c r="GRF370" s="636">
        <v>0.13</v>
      </c>
      <c r="GRG370" s="636">
        <v>0.12</v>
      </c>
      <c r="GRH370" s="636">
        <v>0.12</v>
      </c>
      <c r="GRI370" s="649">
        <v>0.12</v>
      </c>
      <c r="GRJ370" s="16"/>
      <c r="GRK370" s="320">
        <v>0.10100000000000001</v>
      </c>
      <c r="GRL370" s="153"/>
      <c r="GRM370" s="153"/>
      <c r="GRN370" s="153"/>
      <c r="GRO370" s="648"/>
      <c r="GRP370" s="641"/>
      <c r="GRQ370" s="631" t="s">
        <v>265</v>
      </c>
      <c r="GRR370" s="632"/>
      <c r="GRS370" s="16"/>
      <c r="GRT370" s="636">
        <v>0.13500000000000001</v>
      </c>
      <c r="GRU370" s="636">
        <v>0.12</v>
      </c>
      <c r="GRV370" s="636">
        <v>0.13</v>
      </c>
      <c r="GRW370" s="636">
        <v>0.12</v>
      </c>
      <c r="GRX370" s="636">
        <v>0.12</v>
      </c>
      <c r="GRY370" s="649">
        <v>0.12</v>
      </c>
      <c r="GRZ370" s="16"/>
      <c r="GSA370" s="320">
        <v>0.10100000000000001</v>
      </c>
      <c r="GSB370" s="153"/>
      <c r="GSC370" s="153"/>
      <c r="GSD370" s="153"/>
      <c r="GSE370" s="648"/>
      <c r="GSF370" s="641"/>
      <c r="GSG370" s="631" t="s">
        <v>265</v>
      </c>
      <c r="GSH370" s="632"/>
      <c r="GSI370" s="16"/>
      <c r="GSJ370" s="636">
        <v>0.13500000000000001</v>
      </c>
      <c r="GSK370" s="636">
        <v>0.12</v>
      </c>
      <c r="GSL370" s="636">
        <v>0.13</v>
      </c>
      <c r="GSM370" s="636">
        <v>0.12</v>
      </c>
      <c r="GSN370" s="636">
        <v>0.12</v>
      </c>
      <c r="GSO370" s="649">
        <v>0.12</v>
      </c>
      <c r="GSP370" s="16"/>
      <c r="GSQ370" s="320">
        <v>0.10100000000000001</v>
      </c>
      <c r="GSR370" s="153"/>
      <c r="GSS370" s="153"/>
      <c r="GST370" s="153"/>
      <c r="GSU370" s="648"/>
      <c r="GSV370" s="641"/>
      <c r="GSW370" s="631" t="s">
        <v>265</v>
      </c>
      <c r="GSX370" s="632"/>
      <c r="GSY370" s="16"/>
      <c r="GSZ370" s="636">
        <v>0.13500000000000001</v>
      </c>
      <c r="GTA370" s="636">
        <v>0.12</v>
      </c>
      <c r="GTB370" s="636">
        <v>0.13</v>
      </c>
      <c r="GTC370" s="636">
        <v>0.12</v>
      </c>
      <c r="GTD370" s="636">
        <v>0.12</v>
      </c>
      <c r="GTE370" s="649">
        <v>0.12</v>
      </c>
      <c r="GTF370" s="16"/>
      <c r="GTG370" s="320">
        <v>0.10100000000000001</v>
      </c>
      <c r="GTH370" s="153"/>
      <c r="GTI370" s="153"/>
      <c r="GTJ370" s="153"/>
      <c r="GTK370" s="648"/>
      <c r="GTL370" s="641"/>
      <c r="GTM370" s="631" t="s">
        <v>265</v>
      </c>
      <c r="GTN370" s="632"/>
      <c r="GTO370" s="16"/>
      <c r="GTP370" s="636">
        <v>0.13500000000000001</v>
      </c>
      <c r="GTQ370" s="636">
        <v>0.12</v>
      </c>
      <c r="GTR370" s="636">
        <v>0.13</v>
      </c>
      <c r="GTS370" s="636">
        <v>0.12</v>
      </c>
      <c r="GTT370" s="636">
        <v>0.12</v>
      </c>
      <c r="GTU370" s="649">
        <v>0.12</v>
      </c>
      <c r="GTV370" s="16"/>
      <c r="GTW370" s="320">
        <v>0.10100000000000001</v>
      </c>
      <c r="GTX370" s="153"/>
      <c r="GTY370" s="153"/>
      <c r="GTZ370" s="153"/>
      <c r="GUA370" s="648"/>
      <c r="GUB370" s="641"/>
      <c r="GUC370" s="631" t="s">
        <v>265</v>
      </c>
      <c r="GUD370" s="632"/>
      <c r="GUE370" s="16"/>
      <c r="GUF370" s="636">
        <v>0.13500000000000001</v>
      </c>
      <c r="GUG370" s="636">
        <v>0.12</v>
      </c>
      <c r="GUH370" s="636">
        <v>0.13</v>
      </c>
      <c r="GUI370" s="636">
        <v>0.12</v>
      </c>
      <c r="GUJ370" s="636">
        <v>0.12</v>
      </c>
      <c r="GUK370" s="649">
        <v>0.12</v>
      </c>
      <c r="GUL370" s="16"/>
      <c r="GUM370" s="320">
        <v>0.10100000000000001</v>
      </c>
      <c r="GUN370" s="153"/>
      <c r="GUO370" s="153"/>
      <c r="GUP370" s="153"/>
      <c r="GUQ370" s="648"/>
      <c r="GUR370" s="641"/>
      <c r="GUS370" s="631" t="s">
        <v>265</v>
      </c>
      <c r="GUT370" s="632"/>
      <c r="GUU370" s="16"/>
      <c r="GUV370" s="636">
        <v>0.13500000000000001</v>
      </c>
      <c r="GUW370" s="636">
        <v>0.12</v>
      </c>
      <c r="GUX370" s="636">
        <v>0.13</v>
      </c>
      <c r="GUY370" s="636">
        <v>0.12</v>
      </c>
      <c r="GUZ370" s="636">
        <v>0.12</v>
      </c>
      <c r="GVA370" s="649">
        <v>0.12</v>
      </c>
      <c r="GVB370" s="16"/>
      <c r="GVC370" s="320">
        <v>0.10100000000000001</v>
      </c>
      <c r="GVD370" s="153"/>
      <c r="GVE370" s="153"/>
      <c r="GVF370" s="153"/>
      <c r="GVG370" s="648"/>
      <c r="GVH370" s="641"/>
      <c r="GVI370" s="631" t="s">
        <v>265</v>
      </c>
      <c r="GVJ370" s="632"/>
      <c r="GVK370" s="16"/>
      <c r="GVL370" s="636">
        <v>0.13500000000000001</v>
      </c>
      <c r="GVM370" s="636">
        <v>0.12</v>
      </c>
      <c r="GVN370" s="636">
        <v>0.13</v>
      </c>
      <c r="GVO370" s="636">
        <v>0.12</v>
      </c>
      <c r="GVP370" s="636">
        <v>0.12</v>
      </c>
      <c r="GVQ370" s="649">
        <v>0.12</v>
      </c>
      <c r="GVR370" s="16"/>
      <c r="GVS370" s="320">
        <v>0.10100000000000001</v>
      </c>
      <c r="GVT370" s="153"/>
      <c r="GVU370" s="153"/>
      <c r="GVV370" s="153"/>
      <c r="GVW370" s="648"/>
      <c r="GVX370" s="641"/>
      <c r="GVY370" s="631" t="s">
        <v>265</v>
      </c>
      <c r="GVZ370" s="632"/>
      <c r="GWA370" s="16"/>
      <c r="GWB370" s="636">
        <v>0.13500000000000001</v>
      </c>
      <c r="GWC370" s="636">
        <v>0.12</v>
      </c>
      <c r="GWD370" s="636">
        <v>0.13</v>
      </c>
      <c r="GWE370" s="636">
        <v>0.12</v>
      </c>
      <c r="GWF370" s="636">
        <v>0.12</v>
      </c>
      <c r="GWG370" s="649">
        <v>0.12</v>
      </c>
      <c r="GWH370" s="16"/>
      <c r="GWI370" s="320">
        <v>0.10100000000000001</v>
      </c>
      <c r="GWJ370" s="153"/>
      <c r="GWK370" s="153"/>
      <c r="GWL370" s="153"/>
      <c r="GWM370" s="648"/>
      <c r="GWN370" s="641"/>
      <c r="GWO370" s="631" t="s">
        <v>265</v>
      </c>
      <c r="GWP370" s="632"/>
      <c r="GWQ370" s="16"/>
      <c r="GWR370" s="636">
        <v>0.13500000000000001</v>
      </c>
      <c r="GWS370" s="636">
        <v>0.12</v>
      </c>
      <c r="GWT370" s="636">
        <v>0.13</v>
      </c>
      <c r="GWU370" s="636">
        <v>0.12</v>
      </c>
      <c r="GWV370" s="636">
        <v>0.12</v>
      </c>
      <c r="GWW370" s="649">
        <v>0.12</v>
      </c>
      <c r="GWX370" s="16"/>
      <c r="GWY370" s="320">
        <v>0.10100000000000001</v>
      </c>
      <c r="GWZ370" s="153"/>
      <c r="GXA370" s="153"/>
      <c r="GXB370" s="153"/>
      <c r="GXC370" s="648"/>
      <c r="GXD370" s="641"/>
      <c r="GXE370" s="631" t="s">
        <v>265</v>
      </c>
      <c r="GXF370" s="632"/>
      <c r="GXG370" s="16"/>
      <c r="GXH370" s="636">
        <v>0.13500000000000001</v>
      </c>
      <c r="GXI370" s="636">
        <v>0.12</v>
      </c>
      <c r="GXJ370" s="636">
        <v>0.13</v>
      </c>
      <c r="GXK370" s="636">
        <v>0.12</v>
      </c>
      <c r="GXL370" s="636">
        <v>0.12</v>
      </c>
      <c r="GXM370" s="649">
        <v>0.12</v>
      </c>
      <c r="GXN370" s="16"/>
      <c r="GXO370" s="320">
        <v>0.10100000000000001</v>
      </c>
      <c r="GXP370" s="153"/>
      <c r="GXQ370" s="153"/>
      <c r="GXR370" s="153"/>
      <c r="GXS370" s="648"/>
      <c r="GXT370" s="641"/>
      <c r="GXU370" s="631" t="s">
        <v>265</v>
      </c>
      <c r="GXV370" s="632"/>
      <c r="GXW370" s="16"/>
      <c r="GXX370" s="636">
        <v>0.13500000000000001</v>
      </c>
      <c r="GXY370" s="636">
        <v>0.12</v>
      </c>
      <c r="GXZ370" s="636">
        <v>0.13</v>
      </c>
      <c r="GYA370" s="636">
        <v>0.12</v>
      </c>
      <c r="GYB370" s="636">
        <v>0.12</v>
      </c>
      <c r="GYC370" s="649">
        <v>0.12</v>
      </c>
      <c r="GYD370" s="16"/>
      <c r="GYE370" s="320">
        <v>0.10100000000000001</v>
      </c>
      <c r="GYF370" s="153"/>
      <c r="GYG370" s="153"/>
      <c r="GYH370" s="153"/>
      <c r="GYI370" s="648"/>
      <c r="GYJ370" s="641"/>
      <c r="GYK370" s="631" t="s">
        <v>265</v>
      </c>
      <c r="GYL370" s="632"/>
      <c r="GYM370" s="16"/>
      <c r="GYN370" s="636">
        <v>0.13500000000000001</v>
      </c>
      <c r="GYO370" s="636">
        <v>0.12</v>
      </c>
      <c r="GYP370" s="636">
        <v>0.13</v>
      </c>
      <c r="GYQ370" s="636">
        <v>0.12</v>
      </c>
      <c r="GYR370" s="636">
        <v>0.12</v>
      </c>
      <c r="GYS370" s="649">
        <v>0.12</v>
      </c>
      <c r="GYT370" s="16"/>
      <c r="GYU370" s="320">
        <v>0.10100000000000001</v>
      </c>
      <c r="GYV370" s="153"/>
      <c r="GYW370" s="153"/>
      <c r="GYX370" s="153"/>
      <c r="GYY370" s="648"/>
      <c r="GYZ370" s="641"/>
      <c r="GZA370" s="631" t="s">
        <v>265</v>
      </c>
      <c r="GZB370" s="632"/>
      <c r="GZC370" s="16"/>
      <c r="GZD370" s="636">
        <v>0.13500000000000001</v>
      </c>
      <c r="GZE370" s="636">
        <v>0.12</v>
      </c>
      <c r="GZF370" s="636">
        <v>0.13</v>
      </c>
      <c r="GZG370" s="636">
        <v>0.12</v>
      </c>
      <c r="GZH370" s="636">
        <v>0.12</v>
      </c>
      <c r="GZI370" s="649">
        <v>0.12</v>
      </c>
      <c r="GZJ370" s="16"/>
      <c r="GZK370" s="320">
        <v>0.10100000000000001</v>
      </c>
      <c r="GZL370" s="153"/>
      <c r="GZM370" s="153"/>
      <c r="GZN370" s="153"/>
      <c r="GZO370" s="648"/>
      <c r="GZP370" s="641"/>
      <c r="GZQ370" s="631" t="s">
        <v>265</v>
      </c>
      <c r="GZR370" s="632"/>
      <c r="GZS370" s="16"/>
      <c r="GZT370" s="636">
        <v>0.13500000000000001</v>
      </c>
      <c r="GZU370" s="636">
        <v>0.12</v>
      </c>
      <c r="GZV370" s="636">
        <v>0.13</v>
      </c>
      <c r="GZW370" s="636">
        <v>0.12</v>
      </c>
      <c r="GZX370" s="636">
        <v>0.12</v>
      </c>
      <c r="GZY370" s="649">
        <v>0.12</v>
      </c>
      <c r="GZZ370" s="16"/>
      <c r="HAA370" s="320">
        <v>0.10100000000000001</v>
      </c>
      <c r="HAB370" s="153"/>
      <c r="HAC370" s="153"/>
      <c r="HAD370" s="153"/>
      <c r="HAE370" s="648"/>
      <c r="HAF370" s="641"/>
      <c r="HAG370" s="631" t="s">
        <v>265</v>
      </c>
      <c r="HAH370" s="632"/>
      <c r="HAI370" s="16"/>
      <c r="HAJ370" s="636">
        <v>0.13500000000000001</v>
      </c>
      <c r="HAK370" s="636">
        <v>0.12</v>
      </c>
      <c r="HAL370" s="636">
        <v>0.13</v>
      </c>
      <c r="HAM370" s="636">
        <v>0.12</v>
      </c>
      <c r="HAN370" s="636">
        <v>0.12</v>
      </c>
      <c r="HAO370" s="649">
        <v>0.12</v>
      </c>
      <c r="HAP370" s="16"/>
      <c r="HAQ370" s="320">
        <v>0.10100000000000001</v>
      </c>
      <c r="HAR370" s="153"/>
      <c r="HAS370" s="153"/>
      <c r="HAT370" s="153"/>
      <c r="HAU370" s="648"/>
      <c r="HAV370" s="641"/>
      <c r="HAW370" s="631" t="s">
        <v>265</v>
      </c>
      <c r="HAX370" s="632"/>
      <c r="HAY370" s="16"/>
      <c r="HAZ370" s="636">
        <v>0.13500000000000001</v>
      </c>
      <c r="HBA370" s="636">
        <v>0.12</v>
      </c>
      <c r="HBB370" s="636">
        <v>0.13</v>
      </c>
      <c r="HBC370" s="636">
        <v>0.12</v>
      </c>
      <c r="HBD370" s="636">
        <v>0.12</v>
      </c>
      <c r="HBE370" s="649">
        <v>0.12</v>
      </c>
      <c r="HBF370" s="16"/>
      <c r="HBG370" s="320">
        <v>0.10100000000000001</v>
      </c>
      <c r="HBH370" s="153"/>
      <c r="HBI370" s="153"/>
      <c r="HBJ370" s="153"/>
      <c r="HBK370" s="648"/>
      <c r="HBL370" s="641"/>
      <c r="HBM370" s="631" t="s">
        <v>265</v>
      </c>
      <c r="HBN370" s="632"/>
      <c r="HBO370" s="16"/>
      <c r="HBP370" s="636">
        <v>0.13500000000000001</v>
      </c>
      <c r="HBQ370" s="636">
        <v>0.12</v>
      </c>
      <c r="HBR370" s="636">
        <v>0.13</v>
      </c>
      <c r="HBS370" s="636">
        <v>0.12</v>
      </c>
      <c r="HBT370" s="636">
        <v>0.12</v>
      </c>
      <c r="HBU370" s="649">
        <v>0.12</v>
      </c>
      <c r="HBV370" s="16"/>
      <c r="HBW370" s="320">
        <v>0.10100000000000001</v>
      </c>
      <c r="HBX370" s="153"/>
      <c r="HBY370" s="153"/>
      <c r="HBZ370" s="153"/>
      <c r="HCA370" s="648"/>
      <c r="HCB370" s="641"/>
      <c r="HCC370" s="631" t="s">
        <v>265</v>
      </c>
      <c r="HCD370" s="632"/>
      <c r="HCE370" s="16"/>
      <c r="HCF370" s="636">
        <v>0.13500000000000001</v>
      </c>
      <c r="HCG370" s="636">
        <v>0.12</v>
      </c>
      <c r="HCH370" s="636">
        <v>0.13</v>
      </c>
      <c r="HCI370" s="636">
        <v>0.12</v>
      </c>
      <c r="HCJ370" s="636">
        <v>0.12</v>
      </c>
      <c r="HCK370" s="649">
        <v>0.12</v>
      </c>
      <c r="HCL370" s="16"/>
      <c r="HCM370" s="320">
        <v>0.10100000000000001</v>
      </c>
      <c r="HCN370" s="153"/>
      <c r="HCO370" s="153"/>
      <c r="HCP370" s="153"/>
      <c r="HCQ370" s="648"/>
      <c r="HCR370" s="641"/>
      <c r="HCS370" s="631" t="s">
        <v>265</v>
      </c>
      <c r="HCT370" s="632"/>
      <c r="HCU370" s="16"/>
      <c r="HCV370" s="636">
        <v>0.13500000000000001</v>
      </c>
      <c r="HCW370" s="636">
        <v>0.12</v>
      </c>
      <c r="HCX370" s="636">
        <v>0.13</v>
      </c>
      <c r="HCY370" s="636">
        <v>0.12</v>
      </c>
      <c r="HCZ370" s="636">
        <v>0.12</v>
      </c>
      <c r="HDA370" s="649">
        <v>0.12</v>
      </c>
      <c r="HDB370" s="16"/>
      <c r="HDC370" s="320">
        <v>0.10100000000000001</v>
      </c>
      <c r="HDD370" s="153"/>
      <c r="HDE370" s="153"/>
      <c r="HDF370" s="153"/>
      <c r="HDG370" s="648"/>
      <c r="HDH370" s="641"/>
      <c r="HDI370" s="631" t="s">
        <v>265</v>
      </c>
      <c r="HDJ370" s="632"/>
      <c r="HDK370" s="16"/>
      <c r="HDL370" s="636">
        <v>0.13500000000000001</v>
      </c>
      <c r="HDM370" s="636">
        <v>0.12</v>
      </c>
      <c r="HDN370" s="636">
        <v>0.13</v>
      </c>
      <c r="HDO370" s="636">
        <v>0.12</v>
      </c>
      <c r="HDP370" s="636">
        <v>0.12</v>
      </c>
      <c r="HDQ370" s="649">
        <v>0.12</v>
      </c>
      <c r="HDR370" s="16"/>
      <c r="HDS370" s="320">
        <v>0.10100000000000001</v>
      </c>
      <c r="HDT370" s="153"/>
      <c r="HDU370" s="153"/>
      <c r="HDV370" s="153"/>
      <c r="HDW370" s="648"/>
      <c r="HDX370" s="641"/>
      <c r="HDY370" s="631" t="s">
        <v>265</v>
      </c>
      <c r="HDZ370" s="632"/>
      <c r="HEA370" s="16"/>
      <c r="HEB370" s="636">
        <v>0.13500000000000001</v>
      </c>
      <c r="HEC370" s="636">
        <v>0.12</v>
      </c>
      <c r="HED370" s="636">
        <v>0.13</v>
      </c>
      <c r="HEE370" s="636">
        <v>0.12</v>
      </c>
      <c r="HEF370" s="636">
        <v>0.12</v>
      </c>
      <c r="HEG370" s="649">
        <v>0.12</v>
      </c>
      <c r="HEH370" s="16"/>
      <c r="HEI370" s="320">
        <v>0.10100000000000001</v>
      </c>
      <c r="HEJ370" s="153"/>
      <c r="HEK370" s="153"/>
      <c r="HEL370" s="153"/>
      <c r="HEM370" s="648"/>
      <c r="HEN370" s="641"/>
      <c r="HEO370" s="631" t="s">
        <v>265</v>
      </c>
      <c r="HEP370" s="632"/>
      <c r="HEQ370" s="16"/>
      <c r="HER370" s="636">
        <v>0.13500000000000001</v>
      </c>
      <c r="HES370" s="636">
        <v>0.12</v>
      </c>
      <c r="HET370" s="636">
        <v>0.13</v>
      </c>
      <c r="HEU370" s="636">
        <v>0.12</v>
      </c>
      <c r="HEV370" s="636">
        <v>0.12</v>
      </c>
      <c r="HEW370" s="649">
        <v>0.12</v>
      </c>
      <c r="HEX370" s="16"/>
      <c r="HEY370" s="320">
        <v>0.10100000000000001</v>
      </c>
      <c r="HEZ370" s="153"/>
      <c r="HFA370" s="153"/>
      <c r="HFB370" s="153"/>
      <c r="HFC370" s="648"/>
      <c r="HFD370" s="641"/>
      <c r="HFE370" s="631" t="s">
        <v>265</v>
      </c>
      <c r="HFF370" s="632"/>
      <c r="HFG370" s="16"/>
      <c r="HFH370" s="636">
        <v>0.13500000000000001</v>
      </c>
      <c r="HFI370" s="636">
        <v>0.12</v>
      </c>
      <c r="HFJ370" s="636">
        <v>0.13</v>
      </c>
      <c r="HFK370" s="636">
        <v>0.12</v>
      </c>
      <c r="HFL370" s="636">
        <v>0.12</v>
      </c>
      <c r="HFM370" s="649">
        <v>0.12</v>
      </c>
      <c r="HFN370" s="16"/>
      <c r="HFO370" s="320">
        <v>0.10100000000000001</v>
      </c>
      <c r="HFP370" s="153"/>
      <c r="HFQ370" s="153"/>
      <c r="HFR370" s="153"/>
      <c r="HFS370" s="648"/>
      <c r="HFT370" s="641"/>
      <c r="HFU370" s="631" t="s">
        <v>265</v>
      </c>
      <c r="HFV370" s="632"/>
      <c r="HFW370" s="16"/>
      <c r="HFX370" s="636">
        <v>0.13500000000000001</v>
      </c>
      <c r="HFY370" s="636">
        <v>0.12</v>
      </c>
      <c r="HFZ370" s="636">
        <v>0.13</v>
      </c>
      <c r="HGA370" s="636">
        <v>0.12</v>
      </c>
      <c r="HGB370" s="636">
        <v>0.12</v>
      </c>
      <c r="HGC370" s="649">
        <v>0.12</v>
      </c>
      <c r="HGD370" s="16"/>
      <c r="HGE370" s="320">
        <v>0.10100000000000001</v>
      </c>
      <c r="HGF370" s="153"/>
      <c r="HGG370" s="153"/>
      <c r="HGH370" s="153"/>
      <c r="HGI370" s="648"/>
      <c r="HGJ370" s="641"/>
      <c r="HGK370" s="631" t="s">
        <v>265</v>
      </c>
      <c r="HGL370" s="632"/>
      <c r="HGM370" s="16"/>
      <c r="HGN370" s="636">
        <v>0.13500000000000001</v>
      </c>
      <c r="HGO370" s="636">
        <v>0.12</v>
      </c>
      <c r="HGP370" s="636">
        <v>0.13</v>
      </c>
      <c r="HGQ370" s="636">
        <v>0.12</v>
      </c>
      <c r="HGR370" s="636">
        <v>0.12</v>
      </c>
      <c r="HGS370" s="649">
        <v>0.12</v>
      </c>
      <c r="HGT370" s="16"/>
      <c r="HGU370" s="320">
        <v>0.10100000000000001</v>
      </c>
      <c r="HGV370" s="153"/>
      <c r="HGW370" s="153"/>
      <c r="HGX370" s="153"/>
      <c r="HGY370" s="648"/>
      <c r="HGZ370" s="641"/>
      <c r="HHA370" s="631" t="s">
        <v>265</v>
      </c>
      <c r="HHB370" s="632"/>
      <c r="HHC370" s="16"/>
      <c r="HHD370" s="636">
        <v>0.13500000000000001</v>
      </c>
      <c r="HHE370" s="636">
        <v>0.12</v>
      </c>
      <c r="HHF370" s="636">
        <v>0.13</v>
      </c>
      <c r="HHG370" s="636">
        <v>0.12</v>
      </c>
      <c r="HHH370" s="636">
        <v>0.12</v>
      </c>
      <c r="HHI370" s="649">
        <v>0.12</v>
      </c>
      <c r="HHJ370" s="16"/>
      <c r="HHK370" s="320">
        <v>0.10100000000000001</v>
      </c>
      <c r="HHL370" s="153"/>
      <c r="HHM370" s="153"/>
      <c r="HHN370" s="153"/>
      <c r="HHO370" s="648"/>
      <c r="HHP370" s="641"/>
      <c r="HHQ370" s="631" t="s">
        <v>265</v>
      </c>
      <c r="HHR370" s="632"/>
      <c r="HHS370" s="16"/>
      <c r="HHT370" s="636">
        <v>0.13500000000000001</v>
      </c>
      <c r="HHU370" s="636">
        <v>0.12</v>
      </c>
      <c r="HHV370" s="636">
        <v>0.13</v>
      </c>
      <c r="HHW370" s="636">
        <v>0.12</v>
      </c>
      <c r="HHX370" s="636">
        <v>0.12</v>
      </c>
      <c r="HHY370" s="649">
        <v>0.12</v>
      </c>
      <c r="HHZ370" s="16"/>
      <c r="HIA370" s="320">
        <v>0.10100000000000001</v>
      </c>
      <c r="HIB370" s="153"/>
      <c r="HIC370" s="153"/>
      <c r="HID370" s="153"/>
      <c r="HIE370" s="648"/>
      <c r="HIF370" s="641"/>
      <c r="HIG370" s="631" t="s">
        <v>265</v>
      </c>
      <c r="HIH370" s="632"/>
      <c r="HII370" s="16"/>
      <c r="HIJ370" s="636">
        <v>0.13500000000000001</v>
      </c>
      <c r="HIK370" s="636">
        <v>0.12</v>
      </c>
      <c r="HIL370" s="636">
        <v>0.13</v>
      </c>
      <c r="HIM370" s="636">
        <v>0.12</v>
      </c>
      <c r="HIN370" s="636">
        <v>0.12</v>
      </c>
      <c r="HIO370" s="649">
        <v>0.12</v>
      </c>
      <c r="HIP370" s="16"/>
      <c r="HIQ370" s="320">
        <v>0.10100000000000001</v>
      </c>
      <c r="HIR370" s="153"/>
      <c r="HIS370" s="153"/>
      <c r="HIT370" s="153"/>
      <c r="HIU370" s="648"/>
      <c r="HIV370" s="641"/>
      <c r="HIW370" s="631" t="s">
        <v>265</v>
      </c>
      <c r="HIX370" s="632"/>
      <c r="HIY370" s="16"/>
      <c r="HIZ370" s="636">
        <v>0.13500000000000001</v>
      </c>
      <c r="HJA370" s="636">
        <v>0.12</v>
      </c>
      <c r="HJB370" s="636">
        <v>0.13</v>
      </c>
      <c r="HJC370" s="636">
        <v>0.12</v>
      </c>
      <c r="HJD370" s="636">
        <v>0.12</v>
      </c>
      <c r="HJE370" s="649">
        <v>0.12</v>
      </c>
      <c r="HJF370" s="16"/>
      <c r="HJG370" s="320">
        <v>0.10100000000000001</v>
      </c>
      <c r="HJH370" s="153"/>
      <c r="HJI370" s="153"/>
      <c r="HJJ370" s="153"/>
      <c r="HJK370" s="648"/>
      <c r="HJL370" s="641"/>
      <c r="HJM370" s="631" t="s">
        <v>265</v>
      </c>
      <c r="HJN370" s="632"/>
      <c r="HJO370" s="16"/>
      <c r="HJP370" s="636">
        <v>0.13500000000000001</v>
      </c>
      <c r="HJQ370" s="636">
        <v>0.12</v>
      </c>
      <c r="HJR370" s="636">
        <v>0.13</v>
      </c>
      <c r="HJS370" s="636">
        <v>0.12</v>
      </c>
      <c r="HJT370" s="636">
        <v>0.12</v>
      </c>
      <c r="HJU370" s="649">
        <v>0.12</v>
      </c>
      <c r="HJV370" s="16"/>
      <c r="HJW370" s="320">
        <v>0.10100000000000001</v>
      </c>
      <c r="HJX370" s="153"/>
      <c r="HJY370" s="153"/>
      <c r="HJZ370" s="153"/>
      <c r="HKA370" s="648"/>
      <c r="HKB370" s="641"/>
      <c r="HKC370" s="631" t="s">
        <v>265</v>
      </c>
      <c r="HKD370" s="632"/>
      <c r="HKE370" s="16"/>
      <c r="HKF370" s="636">
        <v>0.13500000000000001</v>
      </c>
      <c r="HKG370" s="636">
        <v>0.12</v>
      </c>
      <c r="HKH370" s="636">
        <v>0.13</v>
      </c>
      <c r="HKI370" s="636">
        <v>0.12</v>
      </c>
      <c r="HKJ370" s="636">
        <v>0.12</v>
      </c>
      <c r="HKK370" s="649">
        <v>0.12</v>
      </c>
      <c r="HKL370" s="16"/>
      <c r="HKM370" s="320">
        <v>0.10100000000000001</v>
      </c>
      <c r="HKN370" s="153"/>
      <c r="HKO370" s="153"/>
      <c r="HKP370" s="153"/>
      <c r="HKQ370" s="648"/>
      <c r="HKR370" s="641"/>
      <c r="HKS370" s="631" t="s">
        <v>265</v>
      </c>
      <c r="HKT370" s="632"/>
      <c r="HKU370" s="16"/>
      <c r="HKV370" s="636">
        <v>0.13500000000000001</v>
      </c>
      <c r="HKW370" s="636">
        <v>0.12</v>
      </c>
      <c r="HKX370" s="636">
        <v>0.13</v>
      </c>
      <c r="HKY370" s="636">
        <v>0.12</v>
      </c>
      <c r="HKZ370" s="636">
        <v>0.12</v>
      </c>
      <c r="HLA370" s="649">
        <v>0.12</v>
      </c>
      <c r="HLB370" s="16"/>
      <c r="HLC370" s="320">
        <v>0.10100000000000001</v>
      </c>
      <c r="HLD370" s="153"/>
      <c r="HLE370" s="153"/>
      <c r="HLF370" s="153"/>
      <c r="HLG370" s="648"/>
      <c r="HLH370" s="641"/>
      <c r="HLI370" s="631" t="s">
        <v>265</v>
      </c>
      <c r="HLJ370" s="632"/>
      <c r="HLK370" s="16"/>
      <c r="HLL370" s="636">
        <v>0.13500000000000001</v>
      </c>
      <c r="HLM370" s="636">
        <v>0.12</v>
      </c>
      <c r="HLN370" s="636">
        <v>0.13</v>
      </c>
      <c r="HLO370" s="636">
        <v>0.12</v>
      </c>
      <c r="HLP370" s="636">
        <v>0.12</v>
      </c>
      <c r="HLQ370" s="649">
        <v>0.12</v>
      </c>
      <c r="HLR370" s="16"/>
      <c r="HLS370" s="320">
        <v>0.10100000000000001</v>
      </c>
      <c r="HLT370" s="153"/>
      <c r="HLU370" s="153"/>
      <c r="HLV370" s="153"/>
      <c r="HLW370" s="648"/>
      <c r="HLX370" s="641"/>
      <c r="HLY370" s="631" t="s">
        <v>265</v>
      </c>
      <c r="HLZ370" s="632"/>
      <c r="HMA370" s="16"/>
      <c r="HMB370" s="636">
        <v>0.13500000000000001</v>
      </c>
      <c r="HMC370" s="636">
        <v>0.12</v>
      </c>
      <c r="HMD370" s="636">
        <v>0.13</v>
      </c>
      <c r="HME370" s="636">
        <v>0.12</v>
      </c>
      <c r="HMF370" s="636">
        <v>0.12</v>
      </c>
      <c r="HMG370" s="649">
        <v>0.12</v>
      </c>
      <c r="HMH370" s="16"/>
      <c r="HMI370" s="320">
        <v>0.10100000000000001</v>
      </c>
      <c r="HMJ370" s="153"/>
      <c r="HMK370" s="153"/>
      <c r="HML370" s="153"/>
      <c r="HMM370" s="648"/>
      <c r="HMN370" s="641"/>
      <c r="HMO370" s="631" t="s">
        <v>265</v>
      </c>
      <c r="HMP370" s="632"/>
      <c r="HMQ370" s="16"/>
      <c r="HMR370" s="636">
        <v>0.13500000000000001</v>
      </c>
      <c r="HMS370" s="636">
        <v>0.12</v>
      </c>
      <c r="HMT370" s="636">
        <v>0.13</v>
      </c>
      <c r="HMU370" s="636">
        <v>0.12</v>
      </c>
      <c r="HMV370" s="636">
        <v>0.12</v>
      </c>
      <c r="HMW370" s="649">
        <v>0.12</v>
      </c>
      <c r="HMX370" s="16"/>
      <c r="HMY370" s="320">
        <v>0.10100000000000001</v>
      </c>
      <c r="HMZ370" s="153"/>
      <c r="HNA370" s="153"/>
      <c r="HNB370" s="153"/>
      <c r="HNC370" s="648"/>
      <c r="HND370" s="641"/>
      <c r="HNE370" s="631" t="s">
        <v>265</v>
      </c>
      <c r="HNF370" s="632"/>
      <c r="HNG370" s="16"/>
      <c r="HNH370" s="636">
        <v>0.13500000000000001</v>
      </c>
      <c r="HNI370" s="636">
        <v>0.12</v>
      </c>
      <c r="HNJ370" s="636">
        <v>0.13</v>
      </c>
      <c r="HNK370" s="636">
        <v>0.12</v>
      </c>
      <c r="HNL370" s="636">
        <v>0.12</v>
      </c>
      <c r="HNM370" s="649">
        <v>0.12</v>
      </c>
      <c r="HNN370" s="16"/>
      <c r="HNO370" s="320">
        <v>0.10100000000000001</v>
      </c>
      <c r="HNP370" s="153"/>
      <c r="HNQ370" s="153"/>
      <c r="HNR370" s="153"/>
      <c r="HNS370" s="648"/>
      <c r="HNT370" s="641"/>
      <c r="HNU370" s="631" t="s">
        <v>265</v>
      </c>
      <c r="HNV370" s="632"/>
      <c r="HNW370" s="16"/>
      <c r="HNX370" s="636">
        <v>0.13500000000000001</v>
      </c>
      <c r="HNY370" s="636">
        <v>0.12</v>
      </c>
      <c r="HNZ370" s="636">
        <v>0.13</v>
      </c>
      <c r="HOA370" s="636">
        <v>0.12</v>
      </c>
      <c r="HOB370" s="636">
        <v>0.12</v>
      </c>
      <c r="HOC370" s="649">
        <v>0.12</v>
      </c>
      <c r="HOD370" s="16"/>
      <c r="HOE370" s="320">
        <v>0.10100000000000001</v>
      </c>
      <c r="HOF370" s="153"/>
      <c r="HOG370" s="153"/>
      <c r="HOH370" s="153"/>
      <c r="HOI370" s="648"/>
      <c r="HOJ370" s="641"/>
      <c r="HOK370" s="631" t="s">
        <v>265</v>
      </c>
      <c r="HOL370" s="632"/>
      <c r="HOM370" s="16"/>
      <c r="HON370" s="636">
        <v>0.13500000000000001</v>
      </c>
      <c r="HOO370" s="636">
        <v>0.12</v>
      </c>
      <c r="HOP370" s="636">
        <v>0.13</v>
      </c>
      <c r="HOQ370" s="636">
        <v>0.12</v>
      </c>
      <c r="HOR370" s="636">
        <v>0.12</v>
      </c>
      <c r="HOS370" s="649">
        <v>0.12</v>
      </c>
      <c r="HOT370" s="16"/>
      <c r="HOU370" s="320">
        <v>0.10100000000000001</v>
      </c>
      <c r="HOV370" s="153"/>
      <c r="HOW370" s="153"/>
      <c r="HOX370" s="153"/>
      <c r="HOY370" s="648"/>
      <c r="HOZ370" s="641"/>
      <c r="HPA370" s="631" t="s">
        <v>265</v>
      </c>
      <c r="HPB370" s="632"/>
      <c r="HPC370" s="16"/>
      <c r="HPD370" s="636">
        <v>0.13500000000000001</v>
      </c>
      <c r="HPE370" s="636">
        <v>0.12</v>
      </c>
      <c r="HPF370" s="636">
        <v>0.13</v>
      </c>
      <c r="HPG370" s="636">
        <v>0.12</v>
      </c>
      <c r="HPH370" s="636">
        <v>0.12</v>
      </c>
      <c r="HPI370" s="649">
        <v>0.12</v>
      </c>
      <c r="HPJ370" s="16"/>
      <c r="HPK370" s="320">
        <v>0.10100000000000001</v>
      </c>
      <c r="HPL370" s="153"/>
      <c r="HPM370" s="153"/>
      <c r="HPN370" s="153"/>
      <c r="HPO370" s="648"/>
      <c r="HPP370" s="641"/>
      <c r="HPQ370" s="631" t="s">
        <v>265</v>
      </c>
      <c r="HPR370" s="632"/>
      <c r="HPS370" s="16"/>
      <c r="HPT370" s="636">
        <v>0.13500000000000001</v>
      </c>
      <c r="HPU370" s="636">
        <v>0.12</v>
      </c>
      <c r="HPV370" s="636">
        <v>0.13</v>
      </c>
      <c r="HPW370" s="636">
        <v>0.12</v>
      </c>
      <c r="HPX370" s="636">
        <v>0.12</v>
      </c>
      <c r="HPY370" s="649">
        <v>0.12</v>
      </c>
      <c r="HPZ370" s="16"/>
      <c r="HQA370" s="320">
        <v>0.10100000000000001</v>
      </c>
      <c r="HQB370" s="153"/>
      <c r="HQC370" s="153"/>
      <c r="HQD370" s="153"/>
      <c r="HQE370" s="648"/>
      <c r="HQF370" s="641"/>
      <c r="HQG370" s="631" t="s">
        <v>265</v>
      </c>
      <c r="HQH370" s="632"/>
      <c r="HQI370" s="16"/>
      <c r="HQJ370" s="636">
        <v>0.13500000000000001</v>
      </c>
      <c r="HQK370" s="636">
        <v>0.12</v>
      </c>
      <c r="HQL370" s="636">
        <v>0.13</v>
      </c>
      <c r="HQM370" s="636">
        <v>0.12</v>
      </c>
      <c r="HQN370" s="636">
        <v>0.12</v>
      </c>
      <c r="HQO370" s="649">
        <v>0.12</v>
      </c>
      <c r="HQP370" s="16"/>
      <c r="HQQ370" s="320">
        <v>0.10100000000000001</v>
      </c>
      <c r="HQR370" s="153"/>
      <c r="HQS370" s="153"/>
      <c r="HQT370" s="153"/>
      <c r="HQU370" s="648"/>
      <c r="HQV370" s="641"/>
      <c r="HQW370" s="631" t="s">
        <v>265</v>
      </c>
      <c r="HQX370" s="632"/>
      <c r="HQY370" s="16"/>
      <c r="HQZ370" s="636">
        <v>0.13500000000000001</v>
      </c>
      <c r="HRA370" s="636">
        <v>0.12</v>
      </c>
      <c r="HRB370" s="636">
        <v>0.13</v>
      </c>
      <c r="HRC370" s="636">
        <v>0.12</v>
      </c>
      <c r="HRD370" s="636">
        <v>0.12</v>
      </c>
      <c r="HRE370" s="649">
        <v>0.12</v>
      </c>
      <c r="HRF370" s="16"/>
      <c r="HRG370" s="320">
        <v>0.10100000000000001</v>
      </c>
      <c r="HRH370" s="153"/>
      <c r="HRI370" s="153"/>
      <c r="HRJ370" s="153"/>
      <c r="HRK370" s="648"/>
      <c r="HRL370" s="641"/>
      <c r="HRM370" s="631" t="s">
        <v>265</v>
      </c>
      <c r="HRN370" s="632"/>
      <c r="HRO370" s="16"/>
      <c r="HRP370" s="636">
        <v>0.13500000000000001</v>
      </c>
      <c r="HRQ370" s="636">
        <v>0.12</v>
      </c>
      <c r="HRR370" s="636">
        <v>0.13</v>
      </c>
      <c r="HRS370" s="636">
        <v>0.12</v>
      </c>
      <c r="HRT370" s="636">
        <v>0.12</v>
      </c>
      <c r="HRU370" s="649">
        <v>0.12</v>
      </c>
      <c r="HRV370" s="16"/>
      <c r="HRW370" s="320">
        <v>0.10100000000000001</v>
      </c>
      <c r="HRX370" s="153"/>
      <c r="HRY370" s="153"/>
      <c r="HRZ370" s="153"/>
      <c r="HSA370" s="648"/>
      <c r="HSB370" s="641"/>
      <c r="HSC370" s="631" t="s">
        <v>265</v>
      </c>
      <c r="HSD370" s="632"/>
      <c r="HSE370" s="16"/>
      <c r="HSF370" s="636">
        <v>0.13500000000000001</v>
      </c>
      <c r="HSG370" s="636">
        <v>0.12</v>
      </c>
      <c r="HSH370" s="636">
        <v>0.13</v>
      </c>
      <c r="HSI370" s="636">
        <v>0.12</v>
      </c>
      <c r="HSJ370" s="636">
        <v>0.12</v>
      </c>
      <c r="HSK370" s="649">
        <v>0.12</v>
      </c>
      <c r="HSL370" s="16"/>
      <c r="HSM370" s="320">
        <v>0.10100000000000001</v>
      </c>
      <c r="HSN370" s="153"/>
      <c r="HSO370" s="153"/>
      <c r="HSP370" s="153"/>
      <c r="HSQ370" s="648"/>
      <c r="HSR370" s="641"/>
      <c r="HSS370" s="631" t="s">
        <v>265</v>
      </c>
      <c r="HST370" s="632"/>
      <c r="HSU370" s="16"/>
      <c r="HSV370" s="636">
        <v>0.13500000000000001</v>
      </c>
      <c r="HSW370" s="636">
        <v>0.12</v>
      </c>
      <c r="HSX370" s="636">
        <v>0.13</v>
      </c>
      <c r="HSY370" s="636">
        <v>0.12</v>
      </c>
      <c r="HSZ370" s="636">
        <v>0.12</v>
      </c>
      <c r="HTA370" s="649">
        <v>0.12</v>
      </c>
      <c r="HTB370" s="16"/>
      <c r="HTC370" s="320">
        <v>0.10100000000000001</v>
      </c>
      <c r="HTD370" s="153"/>
      <c r="HTE370" s="153"/>
      <c r="HTF370" s="153"/>
      <c r="HTG370" s="648"/>
      <c r="HTH370" s="641"/>
      <c r="HTI370" s="631" t="s">
        <v>265</v>
      </c>
      <c r="HTJ370" s="632"/>
      <c r="HTK370" s="16"/>
      <c r="HTL370" s="636">
        <v>0.13500000000000001</v>
      </c>
      <c r="HTM370" s="636">
        <v>0.12</v>
      </c>
      <c r="HTN370" s="636">
        <v>0.13</v>
      </c>
      <c r="HTO370" s="636">
        <v>0.12</v>
      </c>
      <c r="HTP370" s="636">
        <v>0.12</v>
      </c>
      <c r="HTQ370" s="649">
        <v>0.12</v>
      </c>
      <c r="HTR370" s="16"/>
      <c r="HTS370" s="320">
        <v>0.10100000000000001</v>
      </c>
      <c r="HTT370" s="153"/>
      <c r="HTU370" s="153"/>
      <c r="HTV370" s="153"/>
      <c r="HTW370" s="648"/>
      <c r="HTX370" s="641"/>
      <c r="HTY370" s="631" t="s">
        <v>265</v>
      </c>
      <c r="HTZ370" s="632"/>
      <c r="HUA370" s="16"/>
      <c r="HUB370" s="636">
        <v>0.13500000000000001</v>
      </c>
      <c r="HUC370" s="636">
        <v>0.12</v>
      </c>
      <c r="HUD370" s="636">
        <v>0.13</v>
      </c>
      <c r="HUE370" s="636">
        <v>0.12</v>
      </c>
      <c r="HUF370" s="636">
        <v>0.12</v>
      </c>
      <c r="HUG370" s="649">
        <v>0.12</v>
      </c>
      <c r="HUH370" s="16"/>
      <c r="HUI370" s="320">
        <v>0.10100000000000001</v>
      </c>
      <c r="HUJ370" s="153"/>
      <c r="HUK370" s="153"/>
      <c r="HUL370" s="153"/>
      <c r="HUM370" s="648"/>
      <c r="HUN370" s="641"/>
      <c r="HUO370" s="631" t="s">
        <v>265</v>
      </c>
      <c r="HUP370" s="632"/>
      <c r="HUQ370" s="16"/>
      <c r="HUR370" s="636">
        <v>0.13500000000000001</v>
      </c>
      <c r="HUS370" s="636">
        <v>0.12</v>
      </c>
      <c r="HUT370" s="636">
        <v>0.13</v>
      </c>
      <c r="HUU370" s="636">
        <v>0.12</v>
      </c>
      <c r="HUV370" s="636">
        <v>0.12</v>
      </c>
      <c r="HUW370" s="649">
        <v>0.12</v>
      </c>
      <c r="HUX370" s="16"/>
      <c r="HUY370" s="320">
        <v>0.10100000000000001</v>
      </c>
      <c r="HUZ370" s="153"/>
      <c r="HVA370" s="153"/>
      <c r="HVB370" s="153"/>
      <c r="HVC370" s="648"/>
      <c r="HVD370" s="641"/>
      <c r="HVE370" s="631" t="s">
        <v>265</v>
      </c>
      <c r="HVF370" s="632"/>
      <c r="HVG370" s="16"/>
      <c r="HVH370" s="636">
        <v>0.13500000000000001</v>
      </c>
      <c r="HVI370" s="636">
        <v>0.12</v>
      </c>
      <c r="HVJ370" s="636">
        <v>0.13</v>
      </c>
      <c r="HVK370" s="636">
        <v>0.12</v>
      </c>
      <c r="HVL370" s="636">
        <v>0.12</v>
      </c>
      <c r="HVM370" s="649">
        <v>0.12</v>
      </c>
      <c r="HVN370" s="16"/>
      <c r="HVO370" s="320">
        <v>0.10100000000000001</v>
      </c>
      <c r="HVP370" s="153"/>
      <c r="HVQ370" s="153"/>
      <c r="HVR370" s="153"/>
      <c r="HVS370" s="648"/>
      <c r="HVT370" s="641"/>
      <c r="HVU370" s="631" t="s">
        <v>265</v>
      </c>
      <c r="HVV370" s="632"/>
      <c r="HVW370" s="16"/>
      <c r="HVX370" s="636">
        <v>0.13500000000000001</v>
      </c>
      <c r="HVY370" s="636">
        <v>0.12</v>
      </c>
      <c r="HVZ370" s="636">
        <v>0.13</v>
      </c>
      <c r="HWA370" s="636">
        <v>0.12</v>
      </c>
      <c r="HWB370" s="636">
        <v>0.12</v>
      </c>
      <c r="HWC370" s="649">
        <v>0.12</v>
      </c>
      <c r="HWD370" s="16"/>
      <c r="HWE370" s="320">
        <v>0.10100000000000001</v>
      </c>
      <c r="HWF370" s="153"/>
      <c r="HWG370" s="153"/>
      <c r="HWH370" s="153"/>
      <c r="HWI370" s="648"/>
      <c r="HWJ370" s="641"/>
      <c r="HWK370" s="631" t="s">
        <v>265</v>
      </c>
      <c r="HWL370" s="632"/>
      <c r="HWM370" s="16"/>
      <c r="HWN370" s="636">
        <v>0.13500000000000001</v>
      </c>
      <c r="HWO370" s="636">
        <v>0.12</v>
      </c>
      <c r="HWP370" s="636">
        <v>0.13</v>
      </c>
      <c r="HWQ370" s="636">
        <v>0.12</v>
      </c>
      <c r="HWR370" s="636">
        <v>0.12</v>
      </c>
      <c r="HWS370" s="649">
        <v>0.12</v>
      </c>
      <c r="HWT370" s="16"/>
      <c r="HWU370" s="320">
        <v>0.10100000000000001</v>
      </c>
      <c r="HWV370" s="153"/>
      <c r="HWW370" s="153"/>
      <c r="HWX370" s="153"/>
      <c r="HWY370" s="648"/>
      <c r="HWZ370" s="641"/>
      <c r="HXA370" s="631" t="s">
        <v>265</v>
      </c>
      <c r="HXB370" s="632"/>
      <c r="HXC370" s="16"/>
      <c r="HXD370" s="636">
        <v>0.13500000000000001</v>
      </c>
      <c r="HXE370" s="636">
        <v>0.12</v>
      </c>
      <c r="HXF370" s="636">
        <v>0.13</v>
      </c>
      <c r="HXG370" s="636">
        <v>0.12</v>
      </c>
      <c r="HXH370" s="636">
        <v>0.12</v>
      </c>
      <c r="HXI370" s="649">
        <v>0.12</v>
      </c>
      <c r="HXJ370" s="16"/>
      <c r="HXK370" s="320">
        <v>0.10100000000000001</v>
      </c>
      <c r="HXL370" s="153"/>
      <c r="HXM370" s="153"/>
      <c r="HXN370" s="153"/>
      <c r="HXO370" s="648"/>
      <c r="HXP370" s="641"/>
      <c r="HXQ370" s="631" t="s">
        <v>265</v>
      </c>
      <c r="HXR370" s="632"/>
      <c r="HXS370" s="16"/>
      <c r="HXT370" s="636">
        <v>0.13500000000000001</v>
      </c>
      <c r="HXU370" s="636">
        <v>0.12</v>
      </c>
      <c r="HXV370" s="636">
        <v>0.13</v>
      </c>
      <c r="HXW370" s="636">
        <v>0.12</v>
      </c>
      <c r="HXX370" s="636">
        <v>0.12</v>
      </c>
      <c r="HXY370" s="649">
        <v>0.12</v>
      </c>
      <c r="HXZ370" s="16"/>
      <c r="HYA370" s="320">
        <v>0.10100000000000001</v>
      </c>
      <c r="HYB370" s="153"/>
      <c r="HYC370" s="153"/>
      <c r="HYD370" s="153"/>
      <c r="HYE370" s="648"/>
      <c r="HYF370" s="641"/>
      <c r="HYG370" s="631" t="s">
        <v>265</v>
      </c>
      <c r="HYH370" s="632"/>
      <c r="HYI370" s="16"/>
      <c r="HYJ370" s="636">
        <v>0.13500000000000001</v>
      </c>
      <c r="HYK370" s="636">
        <v>0.12</v>
      </c>
      <c r="HYL370" s="636">
        <v>0.13</v>
      </c>
      <c r="HYM370" s="636">
        <v>0.12</v>
      </c>
      <c r="HYN370" s="636">
        <v>0.12</v>
      </c>
      <c r="HYO370" s="649">
        <v>0.12</v>
      </c>
      <c r="HYP370" s="16"/>
      <c r="HYQ370" s="320">
        <v>0.10100000000000001</v>
      </c>
      <c r="HYR370" s="153"/>
      <c r="HYS370" s="153"/>
      <c r="HYT370" s="153"/>
      <c r="HYU370" s="648"/>
      <c r="HYV370" s="641"/>
      <c r="HYW370" s="631" t="s">
        <v>265</v>
      </c>
      <c r="HYX370" s="632"/>
      <c r="HYY370" s="16"/>
      <c r="HYZ370" s="636">
        <v>0.13500000000000001</v>
      </c>
      <c r="HZA370" s="636">
        <v>0.12</v>
      </c>
      <c r="HZB370" s="636">
        <v>0.13</v>
      </c>
      <c r="HZC370" s="636">
        <v>0.12</v>
      </c>
      <c r="HZD370" s="636">
        <v>0.12</v>
      </c>
      <c r="HZE370" s="649">
        <v>0.12</v>
      </c>
      <c r="HZF370" s="16"/>
      <c r="HZG370" s="320">
        <v>0.10100000000000001</v>
      </c>
      <c r="HZH370" s="153"/>
      <c r="HZI370" s="153"/>
      <c r="HZJ370" s="153"/>
      <c r="HZK370" s="648"/>
      <c r="HZL370" s="641"/>
      <c r="HZM370" s="631" t="s">
        <v>265</v>
      </c>
      <c r="HZN370" s="632"/>
      <c r="HZO370" s="16"/>
      <c r="HZP370" s="636">
        <v>0.13500000000000001</v>
      </c>
      <c r="HZQ370" s="636">
        <v>0.12</v>
      </c>
      <c r="HZR370" s="636">
        <v>0.13</v>
      </c>
      <c r="HZS370" s="636">
        <v>0.12</v>
      </c>
      <c r="HZT370" s="636">
        <v>0.12</v>
      </c>
      <c r="HZU370" s="649">
        <v>0.12</v>
      </c>
      <c r="HZV370" s="16"/>
      <c r="HZW370" s="320">
        <v>0.10100000000000001</v>
      </c>
      <c r="HZX370" s="153"/>
      <c r="HZY370" s="153"/>
      <c r="HZZ370" s="153"/>
      <c r="IAA370" s="648"/>
      <c r="IAB370" s="641"/>
      <c r="IAC370" s="631" t="s">
        <v>265</v>
      </c>
      <c r="IAD370" s="632"/>
      <c r="IAE370" s="16"/>
      <c r="IAF370" s="636">
        <v>0.13500000000000001</v>
      </c>
      <c r="IAG370" s="636">
        <v>0.12</v>
      </c>
      <c r="IAH370" s="636">
        <v>0.13</v>
      </c>
      <c r="IAI370" s="636">
        <v>0.12</v>
      </c>
      <c r="IAJ370" s="636">
        <v>0.12</v>
      </c>
      <c r="IAK370" s="649">
        <v>0.12</v>
      </c>
      <c r="IAL370" s="16"/>
      <c r="IAM370" s="320">
        <v>0.10100000000000001</v>
      </c>
      <c r="IAN370" s="153"/>
      <c r="IAO370" s="153"/>
      <c r="IAP370" s="153"/>
      <c r="IAQ370" s="648"/>
      <c r="IAR370" s="641"/>
      <c r="IAS370" s="631" t="s">
        <v>265</v>
      </c>
      <c r="IAT370" s="632"/>
      <c r="IAU370" s="16"/>
      <c r="IAV370" s="636">
        <v>0.13500000000000001</v>
      </c>
      <c r="IAW370" s="636">
        <v>0.12</v>
      </c>
      <c r="IAX370" s="636">
        <v>0.13</v>
      </c>
      <c r="IAY370" s="636">
        <v>0.12</v>
      </c>
      <c r="IAZ370" s="636">
        <v>0.12</v>
      </c>
      <c r="IBA370" s="649">
        <v>0.12</v>
      </c>
      <c r="IBB370" s="16"/>
      <c r="IBC370" s="320">
        <v>0.10100000000000001</v>
      </c>
      <c r="IBD370" s="153"/>
      <c r="IBE370" s="153"/>
      <c r="IBF370" s="153"/>
      <c r="IBG370" s="648"/>
      <c r="IBH370" s="641"/>
      <c r="IBI370" s="631" t="s">
        <v>265</v>
      </c>
      <c r="IBJ370" s="632"/>
      <c r="IBK370" s="16"/>
      <c r="IBL370" s="636">
        <v>0.13500000000000001</v>
      </c>
      <c r="IBM370" s="636">
        <v>0.12</v>
      </c>
      <c r="IBN370" s="636">
        <v>0.13</v>
      </c>
      <c r="IBO370" s="636">
        <v>0.12</v>
      </c>
      <c r="IBP370" s="636">
        <v>0.12</v>
      </c>
      <c r="IBQ370" s="649">
        <v>0.12</v>
      </c>
      <c r="IBR370" s="16"/>
      <c r="IBS370" s="320">
        <v>0.10100000000000001</v>
      </c>
      <c r="IBT370" s="153"/>
      <c r="IBU370" s="153"/>
      <c r="IBV370" s="153"/>
      <c r="IBW370" s="648"/>
      <c r="IBX370" s="641"/>
      <c r="IBY370" s="631" t="s">
        <v>265</v>
      </c>
      <c r="IBZ370" s="632"/>
      <c r="ICA370" s="16"/>
      <c r="ICB370" s="636">
        <v>0.13500000000000001</v>
      </c>
      <c r="ICC370" s="636">
        <v>0.12</v>
      </c>
      <c r="ICD370" s="636">
        <v>0.13</v>
      </c>
      <c r="ICE370" s="636">
        <v>0.12</v>
      </c>
      <c r="ICF370" s="636">
        <v>0.12</v>
      </c>
      <c r="ICG370" s="649">
        <v>0.12</v>
      </c>
      <c r="ICH370" s="16"/>
      <c r="ICI370" s="320">
        <v>0.10100000000000001</v>
      </c>
      <c r="ICJ370" s="153"/>
      <c r="ICK370" s="153"/>
      <c r="ICL370" s="153"/>
      <c r="ICM370" s="648"/>
      <c r="ICN370" s="641"/>
      <c r="ICO370" s="631" t="s">
        <v>265</v>
      </c>
      <c r="ICP370" s="632"/>
      <c r="ICQ370" s="16"/>
      <c r="ICR370" s="636">
        <v>0.13500000000000001</v>
      </c>
      <c r="ICS370" s="636">
        <v>0.12</v>
      </c>
      <c r="ICT370" s="636">
        <v>0.13</v>
      </c>
      <c r="ICU370" s="636">
        <v>0.12</v>
      </c>
      <c r="ICV370" s="636">
        <v>0.12</v>
      </c>
      <c r="ICW370" s="649">
        <v>0.12</v>
      </c>
      <c r="ICX370" s="16"/>
      <c r="ICY370" s="320">
        <v>0.10100000000000001</v>
      </c>
      <c r="ICZ370" s="153"/>
      <c r="IDA370" s="153"/>
      <c r="IDB370" s="153"/>
      <c r="IDC370" s="648"/>
      <c r="IDD370" s="641"/>
      <c r="IDE370" s="631" t="s">
        <v>265</v>
      </c>
      <c r="IDF370" s="632"/>
      <c r="IDG370" s="16"/>
      <c r="IDH370" s="636">
        <v>0.13500000000000001</v>
      </c>
      <c r="IDI370" s="636">
        <v>0.12</v>
      </c>
      <c r="IDJ370" s="636">
        <v>0.13</v>
      </c>
      <c r="IDK370" s="636">
        <v>0.12</v>
      </c>
      <c r="IDL370" s="636">
        <v>0.12</v>
      </c>
      <c r="IDM370" s="649">
        <v>0.12</v>
      </c>
      <c r="IDN370" s="16"/>
      <c r="IDO370" s="320">
        <v>0.10100000000000001</v>
      </c>
      <c r="IDP370" s="153"/>
      <c r="IDQ370" s="153"/>
      <c r="IDR370" s="153"/>
      <c r="IDS370" s="648"/>
      <c r="IDT370" s="641"/>
      <c r="IDU370" s="631" t="s">
        <v>265</v>
      </c>
      <c r="IDV370" s="632"/>
      <c r="IDW370" s="16"/>
      <c r="IDX370" s="636">
        <v>0.13500000000000001</v>
      </c>
      <c r="IDY370" s="636">
        <v>0.12</v>
      </c>
      <c r="IDZ370" s="636">
        <v>0.13</v>
      </c>
      <c r="IEA370" s="636">
        <v>0.12</v>
      </c>
      <c r="IEB370" s="636">
        <v>0.12</v>
      </c>
      <c r="IEC370" s="649">
        <v>0.12</v>
      </c>
      <c r="IED370" s="16"/>
      <c r="IEE370" s="320">
        <v>0.10100000000000001</v>
      </c>
      <c r="IEF370" s="153"/>
      <c r="IEG370" s="153"/>
      <c r="IEH370" s="153"/>
      <c r="IEI370" s="648"/>
      <c r="IEJ370" s="641"/>
      <c r="IEK370" s="631" t="s">
        <v>265</v>
      </c>
      <c r="IEL370" s="632"/>
      <c r="IEM370" s="16"/>
      <c r="IEN370" s="636">
        <v>0.13500000000000001</v>
      </c>
      <c r="IEO370" s="636">
        <v>0.12</v>
      </c>
      <c r="IEP370" s="636">
        <v>0.13</v>
      </c>
      <c r="IEQ370" s="636">
        <v>0.12</v>
      </c>
      <c r="IER370" s="636">
        <v>0.12</v>
      </c>
      <c r="IES370" s="649">
        <v>0.12</v>
      </c>
      <c r="IET370" s="16"/>
      <c r="IEU370" s="320">
        <v>0.10100000000000001</v>
      </c>
      <c r="IEV370" s="153"/>
      <c r="IEW370" s="153"/>
      <c r="IEX370" s="153"/>
      <c r="IEY370" s="648"/>
      <c r="IEZ370" s="641"/>
      <c r="IFA370" s="631" t="s">
        <v>265</v>
      </c>
      <c r="IFB370" s="632"/>
      <c r="IFC370" s="16"/>
      <c r="IFD370" s="636">
        <v>0.13500000000000001</v>
      </c>
      <c r="IFE370" s="636">
        <v>0.12</v>
      </c>
      <c r="IFF370" s="636">
        <v>0.13</v>
      </c>
      <c r="IFG370" s="636">
        <v>0.12</v>
      </c>
      <c r="IFH370" s="636">
        <v>0.12</v>
      </c>
      <c r="IFI370" s="649">
        <v>0.12</v>
      </c>
      <c r="IFJ370" s="16"/>
      <c r="IFK370" s="320">
        <v>0.10100000000000001</v>
      </c>
      <c r="IFL370" s="153"/>
      <c r="IFM370" s="153"/>
      <c r="IFN370" s="153"/>
      <c r="IFO370" s="648"/>
      <c r="IFP370" s="641"/>
      <c r="IFQ370" s="631" t="s">
        <v>265</v>
      </c>
      <c r="IFR370" s="632"/>
      <c r="IFS370" s="16"/>
      <c r="IFT370" s="636">
        <v>0.13500000000000001</v>
      </c>
      <c r="IFU370" s="636">
        <v>0.12</v>
      </c>
      <c r="IFV370" s="636">
        <v>0.13</v>
      </c>
      <c r="IFW370" s="636">
        <v>0.12</v>
      </c>
      <c r="IFX370" s="636">
        <v>0.12</v>
      </c>
      <c r="IFY370" s="649">
        <v>0.12</v>
      </c>
      <c r="IFZ370" s="16"/>
      <c r="IGA370" s="320">
        <v>0.10100000000000001</v>
      </c>
      <c r="IGB370" s="153"/>
      <c r="IGC370" s="153"/>
      <c r="IGD370" s="153"/>
      <c r="IGE370" s="648"/>
      <c r="IGF370" s="641"/>
      <c r="IGG370" s="631" t="s">
        <v>265</v>
      </c>
      <c r="IGH370" s="632"/>
      <c r="IGI370" s="16"/>
      <c r="IGJ370" s="636">
        <v>0.13500000000000001</v>
      </c>
      <c r="IGK370" s="636">
        <v>0.12</v>
      </c>
      <c r="IGL370" s="636">
        <v>0.13</v>
      </c>
      <c r="IGM370" s="636">
        <v>0.12</v>
      </c>
      <c r="IGN370" s="636">
        <v>0.12</v>
      </c>
      <c r="IGO370" s="649">
        <v>0.12</v>
      </c>
      <c r="IGP370" s="16"/>
      <c r="IGQ370" s="320">
        <v>0.10100000000000001</v>
      </c>
      <c r="IGR370" s="153"/>
      <c r="IGS370" s="153"/>
      <c r="IGT370" s="153"/>
      <c r="IGU370" s="648"/>
      <c r="IGV370" s="641"/>
      <c r="IGW370" s="631" t="s">
        <v>265</v>
      </c>
      <c r="IGX370" s="632"/>
      <c r="IGY370" s="16"/>
      <c r="IGZ370" s="636">
        <v>0.13500000000000001</v>
      </c>
      <c r="IHA370" s="636">
        <v>0.12</v>
      </c>
      <c r="IHB370" s="636">
        <v>0.13</v>
      </c>
      <c r="IHC370" s="636">
        <v>0.12</v>
      </c>
      <c r="IHD370" s="636">
        <v>0.12</v>
      </c>
      <c r="IHE370" s="649">
        <v>0.12</v>
      </c>
      <c r="IHF370" s="16"/>
      <c r="IHG370" s="320">
        <v>0.10100000000000001</v>
      </c>
      <c r="IHH370" s="153"/>
      <c r="IHI370" s="153"/>
      <c r="IHJ370" s="153"/>
      <c r="IHK370" s="648"/>
      <c r="IHL370" s="641"/>
      <c r="IHM370" s="631" t="s">
        <v>265</v>
      </c>
      <c r="IHN370" s="632"/>
      <c r="IHO370" s="16"/>
      <c r="IHP370" s="636">
        <v>0.13500000000000001</v>
      </c>
      <c r="IHQ370" s="636">
        <v>0.12</v>
      </c>
      <c r="IHR370" s="636">
        <v>0.13</v>
      </c>
      <c r="IHS370" s="636">
        <v>0.12</v>
      </c>
      <c r="IHT370" s="636">
        <v>0.12</v>
      </c>
      <c r="IHU370" s="649">
        <v>0.12</v>
      </c>
      <c r="IHV370" s="16"/>
      <c r="IHW370" s="320">
        <v>0.10100000000000001</v>
      </c>
      <c r="IHX370" s="153"/>
      <c r="IHY370" s="153"/>
      <c r="IHZ370" s="153"/>
      <c r="IIA370" s="648"/>
      <c r="IIB370" s="641"/>
      <c r="IIC370" s="631" t="s">
        <v>265</v>
      </c>
      <c r="IID370" s="632"/>
      <c r="IIE370" s="16"/>
      <c r="IIF370" s="636">
        <v>0.13500000000000001</v>
      </c>
      <c r="IIG370" s="636">
        <v>0.12</v>
      </c>
      <c r="IIH370" s="636">
        <v>0.13</v>
      </c>
      <c r="III370" s="636">
        <v>0.12</v>
      </c>
      <c r="IIJ370" s="636">
        <v>0.12</v>
      </c>
      <c r="IIK370" s="649">
        <v>0.12</v>
      </c>
      <c r="IIL370" s="16"/>
      <c r="IIM370" s="320">
        <v>0.10100000000000001</v>
      </c>
      <c r="IIN370" s="153"/>
      <c r="IIO370" s="153"/>
      <c r="IIP370" s="153"/>
      <c r="IIQ370" s="648"/>
      <c r="IIR370" s="641"/>
      <c r="IIS370" s="631" t="s">
        <v>265</v>
      </c>
      <c r="IIT370" s="632"/>
      <c r="IIU370" s="16"/>
      <c r="IIV370" s="636">
        <v>0.13500000000000001</v>
      </c>
      <c r="IIW370" s="636">
        <v>0.12</v>
      </c>
      <c r="IIX370" s="636">
        <v>0.13</v>
      </c>
      <c r="IIY370" s="636">
        <v>0.12</v>
      </c>
      <c r="IIZ370" s="636">
        <v>0.12</v>
      </c>
      <c r="IJA370" s="649">
        <v>0.12</v>
      </c>
      <c r="IJB370" s="16"/>
      <c r="IJC370" s="320">
        <v>0.10100000000000001</v>
      </c>
      <c r="IJD370" s="153"/>
      <c r="IJE370" s="153"/>
      <c r="IJF370" s="153"/>
      <c r="IJG370" s="648"/>
      <c r="IJH370" s="641"/>
      <c r="IJI370" s="631" t="s">
        <v>265</v>
      </c>
      <c r="IJJ370" s="632"/>
      <c r="IJK370" s="16"/>
      <c r="IJL370" s="636">
        <v>0.13500000000000001</v>
      </c>
      <c r="IJM370" s="636">
        <v>0.12</v>
      </c>
      <c r="IJN370" s="636">
        <v>0.13</v>
      </c>
      <c r="IJO370" s="636">
        <v>0.12</v>
      </c>
      <c r="IJP370" s="636">
        <v>0.12</v>
      </c>
      <c r="IJQ370" s="649">
        <v>0.12</v>
      </c>
      <c r="IJR370" s="16"/>
      <c r="IJS370" s="320">
        <v>0.10100000000000001</v>
      </c>
      <c r="IJT370" s="153"/>
      <c r="IJU370" s="153"/>
      <c r="IJV370" s="153"/>
      <c r="IJW370" s="648"/>
      <c r="IJX370" s="641"/>
      <c r="IJY370" s="631" t="s">
        <v>265</v>
      </c>
      <c r="IJZ370" s="632"/>
      <c r="IKA370" s="16"/>
      <c r="IKB370" s="636">
        <v>0.13500000000000001</v>
      </c>
      <c r="IKC370" s="636">
        <v>0.12</v>
      </c>
      <c r="IKD370" s="636">
        <v>0.13</v>
      </c>
      <c r="IKE370" s="636">
        <v>0.12</v>
      </c>
      <c r="IKF370" s="636">
        <v>0.12</v>
      </c>
      <c r="IKG370" s="649">
        <v>0.12</v>
      </c>
      <c r="IKH370" s="16"/>
      <c r="IKI370" s="320">
        <v>0.10100000000000001</v>
      </c>
      <c r="IKJ370" s="153"/>
      <c r="IKK370" s="153"/>
      <c r="IKL370" s="153"/>
      <c r="IKM370" s="648"/>
      <c r="IKN370" s="641"/>
      <c r="IKO370" s="631" t="s">
        <v>265</v>
      </c>
      <c r="IKP370" s="632"/>
      <c r="IKQ370" s="16"/>
      <c r="IKR370" s="636">
        <v>0.13500000000000001</v>
      </c>
      <c r="IKS370" s="636">
        <v>0.12</v>
      </c>
      <c r="IKT370" s="636">
        <v>0.13</v>
      </c>
      <c r="IKU370" s="636">
        <v>0.12</v>
      </c>
      <c r="IKV370" s="636">
        <v>0.12</v>
      </c>
      <c r="IKW370" s="649">
        <v>0.12</v>
      </c>
      <c r="IKX370" s="16"/>
      <c r="IKY370" s="320">
        <v>0.10100000000000001</v>
      </c>
      <c r="IKZ370" s="153"/>
      <c r="ILA370" s="153"/>
      <c r="ILB370" s="153"/>
      <c r="ILC370" s="648"/>
      <c r="ILD370" s="641"/>
      <c r="ILE370" s="631" t="s">
        <v>265</v>
      </c>
      <c r="ILF370" s="632"/>
      <c r="ILG370" s="16"/>
      <c r="ILH370" s="636">
        <v>0.13500000000000001</v>
      </c>
      <c r="ILI370" s="636">
        <v>0.12</v>
      </c>
      <c r="ILJ370" s="636">
        <v>0.13</v>
      </c>
      <c r="ILK370" s="636">
        <v>0.12</v>
      </c>
      <c r="ILL370" s="636">
        <v>0.12</v>
      </c>
      <c r="ILM370" s="649">
        <v>0.12</v>
      </c>
      <c r="ILN370" s="16"/>
      <c r="ILO370" s="320">
        <v>0.10100000000000001</v>
      </c>
      <c r="ILP370" s="153"/>
      <c r="ILQ370" s="153"/>
      <c r="ILR370" s="153"/>
      <c r="ILS370" s="648"/>
      <c r="ILT370" s="641"/>
      <c r="ILU370" s="631" t="s">
        <v>265</v>
      </c>
      <c r="ILV370" s="632"/>
      <c r="ILW370" s="16"/>
      <c r="ILX370" s="636">
        <v>0.13500000000000001</v>
      </c>
      <c r="ILY370" s="636">
        <v>0.12</v>
      </c>
      <c r="ILZ370" s="636">
        <v>0.13</v>
      </c>
      <c r="IMA370" s="636">
        <v>0.12</v>
      </c>
      <c r="IMB370" s="636">
        <v>0.12</v>
      </c>
      <c r="IMC370" s="649">
        <v>0.12</v>
      </c>
      <c r="IMD370" s="16"/>
      <c r="IME370" s="320">
        <v>0.10100000000000001</v>
      </c>
      <c r="IMF370" s="153"/>
      <c r="IMG370" s="153"/>
      <c r="IMH370" s="153"/>
      <c r="IMI370" s="648"/>
      <c r="IMJ370" s="641"/>
      <c r="IMK370" s="631" t="s">
        <v>265</v>
      </c>
      <c r="IML370" s="632"/>
      <c r="IMM370" s="16"/>
      <c r="IMN370" s="636">
        <v>0.13500000000000001</v>
      </c>
      <c r="IMO370" s="636">
        <v>0.12</v>
      </c>
      <c r="IMP370" s="636">
        <v>0.13</v>
      </c>
      <c r="IMQ370" s="636">
        <v>0.12</v>
      </c>
      <c r="IMR370" s="636">
        <v>0.12</v>
      </c>
      <c r="IMS370" s="649">
        <v>0.12</v>
      </c>
      <c r="IMT370" s="16"/>
      <c r="IMU370" s="320">
        <v>0.10100000000000001</v>
      </c>
      <c r="IMV370" s="153"/>
      <c r="IMW370" s="153"/>
      <c r="IMX370" s="153"/>
      <c r="IMY370" s="648"/>
      <c r="IMZ370" s="641"/>
      <c r="INA370" s="631" t="s">
        <v>265</v>
      </c>
      <c r="INB370" s="632"/>
      <c r="INC370" s="16"/>
      <c r="IND370" s="636">
        <v>0.13500000000000001</v>
      </c>
      <c r="INE370" s="636">
        <v>0.12</v>
      </c>
      <c r="INF370" s="636">
        <v>0.13</v>
      </c>
      <c r="ING370" s="636">
        <v>0.12</v>
      </c>
      <c r="INH370" s="636">
        <v>0.12</v>
      </c>
      <c r="INI370" s="649">
        <v>0.12</v>
      </c>
      <c r="INJ370" s="16"/>
      <c r="INK370" s="320">
        <v>0.10100000000000001</v>
      </c>
      <c r="INL370" s="153"/>
      <c r="INM370" s="153"/>
      <c r="INN370" s="153"/>
      <c r="INO370" s="648"/>
      <c r="INP370" s="641"/>
      <c r="INQ370" s="631" t="s">
        <v>265</v>
      </c>
      <c r="INR370" s="632"/>
      <c r="INS370" s="16"/>
      <c r="INT370" s="636">
        <v>0.13500000000000001</v>
      </c>
      <c r="INU370" s="636">
        <v>0.12</v>
      </c>
      <c r="INV370" s="636">
        <v>0.13</v>
      </c>
      <c r="INW370" s="636">
        <v>0.12</v>
      </c>
      <c r="INX370" s="636">
        <v>0.12</v>
      </c>
      <c r="INY370" s="649">
        <v>0.12</v>
      </c>
      <c r="INZ370" s="16"/>
      <c r="IOA370" s="320">
        <v>0.10100000000000001</v>
      </c>
      <c r="IOB370" s="153"/>
      <c r="IOC370" s="153"/>
      <c r="IOD370" s="153"/>
      <c r="IOE370" s="648"/>
      <c r="IOF370" s="641"/>
      <c r="IOG370" s="631" t="s">
        <v>265</v>
      </c>
      <c r="IOH370" s="632"/>
      <c r="IOI370" s="16"/>
      <c r="IOJ370" s="636">
        <v>0.13500000000000001</v>
      </c>
      <c r="IOK370" s="636">
        <v>0.12</v>
      </c>
      <c r="IOL370" s="636">
        <v>0.13</v>
      </c>
      <c r="IOM370" s="636">
        <v>0.12</v>
      </c>
      <c r="ION370" s="636">
        <v>0.12</v>
      </c>
      <c r="IOO370" s="649">
        <v>0.12</v>
      </c>
      <c r="IOP370" s="16"/>
      <c r="IOQ370" s="320">
        <v>0.10100000000000001</v>
      </c>
      <c r="IOR370" s="153"/>
      <c r="IOS370" s="153"/>
      <c r="IOT370" s="153"/>
      <c r="IOU370" s="648"/>
      <c r="IOV370" s="641"/>
      <c r="IOW370" s="631" t="s">
        <v>265</v>
      </c>
      <c r="IOX370" s="632"/>
      <c r="IOY370" s="16"/>
      <c r="IOZ370" s="636">
        <v>0.13500000000000001</v>
      </c>
      <c r="IPA370" s="636">
        <v>0.12</v>
      </c>
      <c r="IPB370" s="636">
        <v>0.13</v>
      </c>
      <c r="IPC370" s="636">
        <v>0.12</v>
      </c>
      <c r="IPD370" s="636">
        <v>0.12</v>
      </c>
      <c r="IPE370" s="649">
        <v>0.12</v>
      </c>
      <c r="IPF370" s="16"/>
      <c r="IPG370" s="320">
        <v>0.10100000000000001</v>
      </c>
      <c r="IPH370" s="153"/>
      <c r="IPI370" s="153"/>
      <c r="IPJ370" s="153"/>
      <c r="IPK370" s="648"/>
      <c r="IPL370" s="641"/>
      <c r="IPM370" s="631" t="s">
        <v>265</v>
      </c>
      <c r="IPN370" s="632"/>
      <c r="IPO370" s="16"/>
      <c r="IPP370" s="636">
        <v>0.13500000000000001</v>
      </c>
      <c r="IPQ370" s="636">
        <v>0.12</v>
      </c>
      <c r="IPR370" s="636">
        <v>0.13</v>
      </c>
      <c r="IPS370" s="636">
        <v>0.12</v>
      </c>
      <c r="IPT370" s="636">
        <v>0.12</v>
      </c>
      <c r="IPU370" s="649">
        <v>0.12</v>
      </c>
      <c r="IPV370" s="16"/>
      <c r="IPW370" s="320">
        <v>0.10100000000000001</v>
      </c>
      <c r="IPX370" s="153"/>
      <c r="IPY370" s="153"/>
      <c r="IPZ370" s="153"/>
      <c r="IQA370" s="648"/>
      <c r="IQB370" s="641"/>
      <c r="IQC370" s="631" t="s">
        <v>265</v>
      </c>
      <c r="IQD370" s="632"/>
      <c r="IQE370" s="16"/>
      <c r="IQF370" s="636">
        <v>0.13500000000000001</v>
      </c>
      <c r="IQG370" s="636">
        <v>0.12</v>
      </c>
      <c r="IQH370" s="636">
        <v>0.13</v>
      </c>
      <c r="IQI370" s="636">
        <v>0.12</v>
      </c>
      <c r="IQJ370" s="636">
        <v>0.12</v>
      </c>
      <c r="IQK370" s="649">
        <v>0.12</v>
      </c>
      <c r="IQL370" s="16"/>
      <c r="IQM370" s="320">
        <v>0.10100000000000001</v>
      </c>
      <c r="IQN370" s="153"/>
      <c r="IQO370" s="153"/>
      <c r="IQP370" s="153"/>
      <c r="IQQ370" s="648"/>
      <c r="IQR370" s="641"/>
      <c r="IQS370" s="631" t="s">
        <v>265</v>
      </c>
      <c r="IQT370" s="632"/>
      <c r="IQU370" s="16"/>
      <c r="IQV370" s="636">
        <v>0.13500000000000001</v>
      </c>
      <c r="IQW370" s="636">
        <v>0.12</v>
      </c>
      <c r="IQX370" s="636">
        <v>0.13</v>
      </c>
      <c r="IQY370" s="636">
        <v>0.12</v>
      </c>
      <c r="IQZ370" s="636">
        <v>0.12</v>
      </c>
      <c r="IRA370" s="649">
        <v>0.12</v>
      </c>
      <c r="IRB370" s="16"/>
      <c r="IRC370" s="320">
        <v>0.10100000000000001</v>
      </c>
      <c r="IRD370" s="153"/>
      <c r="IRE370" s="153"/>
      <c r="IRF370" s="153"/>
      <c r="IRG370" s="648"/>
      <c r="IRH370" s="641"/>
      <c r="IRI370" s="631" t="s">
        <v>265</v>
      </c>
      <c r="IRJ370" s="632"/>
      <c r="IRK370" s="16"/>
      <c r="IRL370" s="636">
        <v>0.13500000000000001</v>
      </c>
      <c r="IRM370" s="636">
        <v>0.12</v>
      </c>
      <c r="IRN370" s="636">
        <v>0.13</v>
      </c>
      <c r="IRO370" s="636">
        <v>0.12</v>
      </c>
      <c r="IRP370" s="636">
        <v>0.12</v>
      </c>
      <c r="IRQ370" s="649">
        <v>0.12</v>
      </c>
      <c r="IRR370" s="16"/>
      <c r="IRS370" s="320">
        <v>0.10100000000000001</v>
      </c>
      <c r="IRT370" s="153"/>
      <c r="IRU370" s="153"/>
      <c r="IRV370" s="153"/>
      <c r="IRW370" s="648"/>
      <c r="IRX370" s="641"/>
      <c r="IRY370" s="631" t="s">
        <v>265</v>
      </c>
      <c r="IRZ370" s="632"/>
      <c r="ISA370" s="16"/>
      <c r="ISB370" s="636">
        <v>0.13500000000000001</v>
      </c>
      <c r="ISC370" s="636">
        <v>0.12</v>
      </c>
      <c r="ISD370" s="636">
        <v>0.13</v>
      </c>
      <c r="ISE370" s="636">
        <v>0.12</v>
      </c>
      <c r="ISF370" s="636">
        <v>0.12</v>
      </c>
      <c r="ISG370" s="649">
        <v>0.12</v>
      </c>
      <c r="ISH370" s="16"/>
      <c r="ISI370" s="320">
        <v>0.10100000000000001</v>
      </c>
      <c r="ISJ370" s="153"/>
      <c r="ISK370" s="153"/>
      <c r="ISL370" s="153"/>
      <c r="ISM370" s="648"/>
      <c r="ISN370" s="641"/>
      <c r="ISO370" s="631" t="s">
        <v>265</v>
      </c>
      <c r="ISP370" s="632"/>
      <c r="ISQ370" s="16"/>
      <c r="ISR370" s="636">
        <v>0.13500000000000001</v>
      </c>
      <c r="ISS370" s="636">
        <v>0.12</v>
      </c>
      <c r="IST370" s="636">
        <v>0.13</v>
      </c>
      <c r="ISU370" s="636">
        <v>0.12</v>
      </c>
      <c r="ISV370" s="636">
        <v>0.12</v>
      </c>
      <c r="ISW370" s="649">
        <v>0.12</v>
      </c>
      <c r="ISX370" s="16"/>
      <c r="ISY370" s="320">
        <v>0.10100000000000001</v>
      </c>
      <c r="ISZ370" s="153"/>
      <c r="ITA370" s="153"/>
      <c r="ITB370" s="153"/>
      <c r="ITC370" s="648"/>
      <c r="ITD370" s="641"/>
      <c r="ITE370" s="631" t="s">
        <v>265</v>
      </c>
      <c r="ITF370" s="632"/>
      <c r="ITG370" s="16"/>
      <c r="ITH370" s="636">
        <v>0.13500000000000001</v>
      </c>
      <c r="ITI370" s="636">
        <v>0.12</v>
      </c>
      <c r="ITJ370" s="636">
        <v>0.13</v>
      </c>
      <c r="ITK370" s="636">
        <v>0.12</v>
      </c>
      <c r="ITL370" s="636">
        <v>0.12</v>
      </c>
      <c r="ITM370" s="649">
        <v>0.12</v>
      </c>
      <c r="ITN370" s="16"/>
      <c r="ITO370" s="320">
        <v>0.10100000000000001</v>
      </c>
      <c r="ITP370" s="153"/>
      <c r="ITQ370" s="153"/>
      <c r="ITR370" s="153"/>
      <c r="ITS370" s="648"/>
      <c r="ITT370" s="641"/>
      <c r="ITU370" s="631" t="s">
        <v>265</v>
      </c>
      <c r="ITV370" s="632"/>
      <c r="ITW370" s="16"/>
      <c r="ITX370" s="636">
        <v>0.13500000000000001</v>
      </c>
      <c r="ITY370" s="636">
        <v>0.12</v>
      </c>
      <c r="ITZ370" s="636">
        <v>0.13</v>
      </c>
      <c r="IUA370" s="636">
        <v>0.12</v>
      </c>
      <c r="IUB370" s="636">
        <v>0.12</v>
      </c>
      <c r="IUC370" s="649">
        <v>0.12</v>
      </c>
      <c r="IUD370" s="16"/>
      <c r="IUE370" s="320">
        <v>0.10100000000000001</v>
      </c>
      <c r="IUF370" s="153"/>
      <c r="IUG370" s="153"/>
      <c r="IUH370" s="153"/>
      <c r="IUI370" s="648"/>
      <c r="IUJ370" s="641"/>
      <c r="IUK370" s="631" t="s">
        <v>265</v>
      </c>
      <c r="IUL370" s="632"/>
      <c r="IUM370" s="16"/>
      <c r="IUN370" s="636">
        <v>0.13500000000000001</v>
      </c>
      <c r="IUO370" s="636">
        <v>0.12</v>
      </c>
      <c r="IUP370" s="636">
        <v>0.13</v>
      </c>
      <c r="IUQ370" s="636">
        <v>0.12</v>
      </c>
      <c r="IUR370" s="636">
        <v>0.12</v>
      </c>
      <c r="IUS370" s="649">
        <v>0.12</v>
      </c>
      <c r="IUT370" s="16"/>
      <c r="IUU370" s="320">
        <v>0.10100000000000001</v>
      </c>
      <c r="IUV370" s="153"/>
      <c r="IUW370" s="153"/>
      <c r="IUX370" s="153"/>
      <c r="IUY370" s="648"/>
      <c r="IUZ370" s="641"/>
      <c r="IVA370" s="631" t="s">
        <v>265</v>
      </c>
      <c r="IVB370" s="632"/>
      <c r="IVC370" s="16"/>
      <c r="IVD370" s="636">
        <v>0.13500000000000001</v>
      </c>
      <c r="IVE370" s="636">
        <v>0.12</v>
      </c>
      <c r="IVF370" s="636">
        <v>0.13</v>
      </c>
      <c r="IVG370" s="636">
        <v>0.12</v>
      </c>
      <c r="IVH370" s="636">
        <v>0.12</v>
      </c>
      <c r="IVI370" s="649">
        <v>0.12</v>
      </c>
      <c r="IVJ370" s="16"/>
      <c r="IVK370" s="320">
        <v>0.10100000000000001</v>
      </c>
      <c r="IVL370" s="153"/>
      <c r="IVM370" s="153"/>
      <c r="IVN370" s="153"/>
      <c r="IVO370" s="648"/>
      <c r="IVP370" s="641"/>
      <c r="IVQ370" s="631" t="s">
        <v>265</v>
      </c>
      <c r="IVR370" s="632"/>
      <c r="IVS370" s="16"/>
      <c r="IVT370" s="636">
        <v>0.13500000000000001</v>
      </c>
      <c r="IVU370" s="636">
        <v>0.12</v>
      </c>
      <c r="IVV370" s="636">
        <v>0.13</v>
      </c>
      <c r="IVW370" s="636">
        <v>0.12</v>
      </c>
      <c r="IVX370" s="636">
        <v>0.12</v>
      </c>
      <c r="IVY370" s="649">
        <v>0.12</v>
      </c>
      <c r="IVZ370" s="16"/>
      <c r="IWA370" s="320">
        <v>0.10100000000000001</v>
      </c>
      <c r="IWB370" s="153"/>
      <c r="IWC370" s="153"/>
      <c r="IWD370" s="153"/>
      <c r="IWE370" s="648"/>
      <c r="IWF370" s="641"/>
      <c r="IWG370" s="631" t="s">
        <v>265</v>
      </c>
      <c r="IWH370" s="632"/>
      <c r="IWI370" s="16"/>
      <c r="IWJ370" s="636">
        <v>0.13500000000000001</v>
      </c>
      <c r="IWK370" s="636">
        <v>0.12</v>
      </c>
      <c r="IWL370" s="636">
        <v>0.13</v>
      </c>
      <c r="IWM370" s="636">
        <v>0.12</v>
      </c>
      <c r="IWN370" s="636">
        <v>0.12</v>
      </c>
      <c r="IWO370" s="649">
        <v>0.12</v>
      </c>
      <c r="IWP370" s="16"/>
      <c r="IWQ370" s="320">
        <v>0.10100000000000001</v>
      </c>
      <c r="IWR370" s="153"/>
      <c r="IWS370" s="153"/>
      <c r="IWT370" s="153"/>
      <c r="IWU370" s="648"/>
      <c r="IWV370" s="641"/>
      <c r="IWW370" s="631" t="s">
        <v>265</v>
      </c>
      <c r="IWX370" s="632"/>
      <c r="IWY370" s="16"/>
      <c r="IWZ370" s="636">
        <v>0.13500000000000001</v>
      </c>
      <c r="IXA370" s="636">
        <v>0.12</v>
      </c>
      <c r="IXB370" s="636">
        <v>0.13</v>
      </c>
      <c r="IXC370" s="636">
        <v>0.12</v>
      </c>
      <c r="IXD370" s="636">
        <v>0.12</v>
      </c>
      <c r="IXE370" s="649">
        <v>0.12</v>
      </c>
      <c r="IXF370" s="16"/>
      <c r="IXG370" s="320">
        <v>0.10100000000000001</v>
      </c>
      <c r="IXH370" s="153"/>
      <c r="IXI370" s="153"/>
      <c r="IXJ370" s="153"/>
      <c r="IXK370" s="648"/>
      <c r="IXL370" s="641"/>
      <c r="IXM370" s="631" t="s">
        <v>265</v>
      </c>
      <c r="IXN370" s="632"/>
      <c r="IXO370" s="16"/>
      <c r="IXP370" s="636">
        <v>0.13500000000000001</v>
      </c>
      <c r="IXQ370" s="636">
        <v>0.12</v>
      </c>
      <c r="IXR370" s="636">
        <v>0.13</v>
      </c>
      <c r="IXS370" s="636">
        <v>0.12</v>
      </c>
      <c r="IXT370" s="636">
        <v>0.12</v>
      </c>
      <c r="IXU370" s="649">
        <v>0.12</v>
      </c>
      <c r="IXV370" s="16"/>
      <c r="IXW370" s="320">
        <v>0.10100000000000001</v>
      </c>
      <c r="IXX370" s="153"/>
      <c r="IXY370" s="153"/>
      <c r="IXZ370" s="153"/>
      <c r="IYA370" s="648"/>
      <c r="IYB370" s="641"/>
      <c r="IYC370" s="631" t="s">
        <v>265</v>
      </c>
      <c r="IYD370" s="632"/>
      <c r="IYE370" s="16"/>
      <c r="IYF370" s="636">
        <v>0.13500000000000001</v>
      </c>
      <c r="IYG370" s="636">
        <v>0.12</v>
      </c>
      <c r="IYH370" s="636">
        <v>0.13</v>
      </c>
      <c r="IYI370" s="636">
        <v>0.12</v>
      </c>
      <c r="IYJ370" s="636">
        <v>0.12</v>
      </c>
      <c r="IYK370" s="649">
        <v>0.12</v>
      </c>
      <c r="IYL370" s="16"/>
      <c r="IYM370" s="320">
        <v>0.10100000000000001</v>
      </c>
      <c r="IYN370" s="153"/>
      <c r="IYO370" s="153"/>
      <c r="IYP370" s="153"/>
      <c r="IYQ370" s="648"/>
      <c r="IYR370" s="641"/>
      <c r="IYS370" s="631" t="s">
        <v>265</v>
      </c>
      <c r="IYT370" s="632"/>
      <c r="IYU370" s="16"/>
      <c r="IYV370" s="636">
        <v>0.13500000000000001</v>
      </c>
      <c r="IYW370" s="636">
        <v>0.12</v>
      </c>
      <c r="IYX370" s="636">
        <v>0.13</v>
      </c>
      <c r="IYY370" s="636">
        <v>0.12</v>
      </c>
      <c r="IYZ370" s="636">
        <v>0.12</v>
      </c>
      <c r="IZA370" s="649">
        <v>0.12</v>
      </c>
      <c r="IZB370" s="16"/>
      <c r="IZC370" s="320">
        <v>0.10100000000000001</v>
      </c>
      <c r="IZD370" s="153"/>
      <c r="IZE370" s="153"/>
      <c r="IZF370" s="153"/>
      <c r="IZG370" s="648"/>
      <c r="IZH370" s="641"/>
      <c r="IZI370" s="631" t="s">
        <v>265</v>
      </c>
      <c r="IZJ370" s="632"/>
      <c r="IZK370" s="16"/>
      <c r="IZL370" s="636">
        <v>0.13500000000000001</v>
      </c>
      <c r="IZM370" s="636">
        <v>0.12</v>
      </c>
      <c r="IZN370" s="636">
        <v>0.13</v>
      </c>
      <c r="IZO370" s="636">
        <v>0.12</v>
      </c>
      <c r="IZP370" s="636">
        <v>0.12</v>
      </c>
      <c r="IZQ370" s="649">
        <v>0.12</v>
      </c>
      <c r="IZR370" s="16"/>
      <c r="IZS370" s="320">
        <v>0.10100000000000001</v>
      </c>
      <c r="IZT370" s="153"/>
      <c r="IZU370" s="153"/>
      <c r="IZV370" s="153"/>
      <c r="IZW370" s="648"/>
      <c r="IZX370" s="641"/>
      <c r="IZY370" s="631" t="s">
        <v>265</v>
      </c>
      <c r="IZZ370" s="632"/>
      <c r="JAA370" s="16"/>
      <c r="JAB370" s="636">
        <v>0.13500000000000001</v>
      </c>
      <c r="JAC370" s="636">
        <v>0.12</v>
      </c>
      <c r="JAD370" s="636">
        <v>0.13</v>
      </c>
      <c r="JAE370" s="636">
        <v>0.12</v>
      </c>
      <c r="JAF370" s="636">
        <v>0.12</v>
      </c>
      <c r="JAG370" s="649">
        <v>0.12</v>
      </c>
      <c r="JAH370" s="16"/>
      <c r="JAI370" s="320">
        <v>0.10100000000000001</v>
      </c>
      <c r="JAJ370" s="153"/>
      <c r="JAK370" s="153"/>
      <c r="JAL370" s="153"/>
      <c r="JAM370" s="648"/>
      <c r="JAN370" s="641"/>
      <c r="JAO370" s="631" t="s">
        <v>265</v>
      </c>
      <c r="JAP370" s="632"/>
      <c r="JAQ370" s="16"/>
      <c r="JAR370" s="636">
        <v>0.13500000000000001</v>
      </c>
      <c r="JAS370" s="636">
        <v>0.12</v>
      </c>
      <c r="JAT370" s="636">
        <v>0.13</v>
      </c>
      <c r="JAU370" s="636">
        <v>0.12</v>
      </c>
      <c r="JAV370" s="636">
        <v>0.12</v>
      </c>
      <c r="JAW370" s="649">
        <v>0.12</v>
      </c>
      <c r="JAX370" s="16"/>
      <c r="JAY370" s="320">
        <v>0.10100000000000001</v>
      </c>
      <c r="JAZ370" s="153"/>
      <c r="JBA370" s="153"/>
      <c r="JBB370" s="153"/>
      <c r="JBC370" s="648"/>
      <c r="JBD370" s="641"/>
      <c r="JBE370" s="631" t="s">
        <v>265</v>
      </c>
      <c r="JBF370" s="632"/>
      <c r="JBG370" s="16"/>
      <c r="JBH370" s="636">
        <v>0.13500000000000001</v>
      </c>
      <c r="JBI370" s="636">
        <v>0.12</v>
      </c>
      <c r="JBJ370" s="636">
        <v>0.13</v>
      </c>
      <c r="JBK370" s="636">
        <v>0.12</v>
      </c>
      <c r="JBL370" s="636">
        <v>0.12</v>
      </c>
      <c r="JBM370" s="649">
        <v>0.12</v>
      </c>
      <c r="JBN370" s="16"/>
      <c r="JBO370" s="320">
        <v>0.10100000000000001</v>
      </c>
      <c r="JBP370" s="153"/>
      <c r="JBQ370" s="153"/>
      <c r="JBR370" s="153"/>
      <c r="JBS370" s="648"/>
      <c r="JBT370" s="641"/>
      <c r="JBU370" s="631" t="s">
        <v>265</v>
      </c>
      <c r="JBV370" s="632"/>
      <c r="JBW370" s="16"/>
      <c r="JBX370" s="636">
        <v>0.13500000000000001</v>
      </c>
      <c r="JBY370" s="636">
        <v>0.12</v>
      </c>
      <c r="JBZ370" s="636">
        <v>0.13</v>
      </c>
      <c r="JCA370" s="636">
        <v>0.12</v>
      </c>
      <c r="JCB370" s="636">
        <v>0.12</v>
      </c>
      <c r="JCC370" s="649">
        <v>0.12</v>
      </c>
      <c r="JCD370" s="16"/>
      <c r="JCE370" s="320">
        <v>0.10100000000000001</v>
      </c>
      <c r="JCF370" s="153"/>
      <c r="JCG370" s="153"/>
      <c r="JCH370" s="153"/>
      <c r="JCI370" s="648"/>
      <c r="JCJ370" s="641"/>
      <c r="JCK370" s="631" t="s">
        <v>265</v>
      </c>
      <c r="JCL370" s="632"/>
      <c r="JCM370" s="16"/>
      <c r="JCN370" s="636">
        <v>0.13500000000000001</v>
      </c>
      <c r="JCO370" s="636">
        <v>0.12</v>
      </c>
      <c r="JCP370" s="636">
        <v>0.13</v>
      </c>
      <c r="JCQ370" s="636">
        <v>0.12</v>
      </c>
      <c r="JCR370" s="636">
        <v>0.12</v>
      </c>
      <c r="JCS370" s="649">
        <v>0.12</v>
      </c>
      <c r="JCT370" s="16"/>
      <c r="JCU370" s="320">
        <v>0.10100000000000001</v>
      </c>
      <c r="JCV370" s="153"/>
      <c r="JCW370" s="153"/>
      <c r="JCX370" s="153"/>
      <c r="JCY370" s="648"/>
      <c r="JCZ370" s="641"/>
      <c r="JDA370" s="631" t="s">
        <v>265</v>
      </c>
      <c r="JDB370" s="632"/>
      <c r="JDC370" s="16"/>
      <c r="JDD370" s="636">
        <v>0.13500000000000001</v>
      </c>
      <c r="JDE370" s="636">
        <v>0.12</v>
      </c>
      <c r="JDF370" s="636">
        <v>0.13</v>
      </c>
      <c r="JDG370" s="636">
        <v>0.12</v>
      </c>
      <c r="JDH370" s="636">
        <v>0.12</v>
      </c>
      <c r="JDI370" s="649">
        <v>0.12</v>
      </c>
      <c r="JDJ370" s="16"/>
      <c r="JDK370" s="320">
        <v>0.10100000000000001</v>
      </c>
      <c r="JDL370" s="153"/>
      <c r="JDM370" s="153"/>
      <c r="JDN370" s="153"/>
      <c r="JDO370" s="648"/>
      <c r="JDP370" s="641"/>
      <c r="JDQ370" s="631" t="s">
        <v>265</v>
      </c>
      <c r="JDR370" s="632"/>
      <c r="JDS370" s="16"/>
      <c r="JDT370" s="636">
        <v>0.13500000000000001</v>
      </c>
      <c r="JDU370" s="636">
        <v>0.12</v>
      </c>
      <c r="JDV370" s="636">
        <v>0.13</v>
      </c>
      <c r="JDW370" s="636">
        <v>0.12</v>
      </c>
      <c r="JDX370" s="636">
        <v>0.12</v>
      </c>
      <c r="JDY370" s="649">
        <v>0.12</v>
      </c>
      <c r="JDZ370" s="16"/>
      <c r="JEA370" s="320">
        <v>0.10100000000000001</v>
      </c>
      <c r="JEB370" s="153"/>
      <c r="JEC370" s="153"/>
      <c r="JED370" s="153"/>
      <c r="JEE370" s="648"/>
      <c r="JEF370" s="641"/>
      <c r="JEG370" s="631" t="s">
        <v>265</v>
      </c>
      <c r="JEH370" s="632"/>
      <c r="JEI370" s="16"/>
      <c r="JEJ370" s="636">
        <v>0.13500000000000001</v>
      </c>
      <c r="JEK370" s="636">
        <v>0.12</v>
      </c>
      <c r="JEL370" s="636">
        <v>0.13</v>
      </c>
      <c r="JEM370" s="636">
        <v>0.12</v>
      </c>
      <c r="JEN370" s="636">
        <v>0.12</v>
      </c>
      <c r="JEO370" s="649">
        <v>0.12</v>
      </c>
      <c r="JEP370" s="16"/>
      <c r="JEQ370" s="320">
        <v>0.10100000000000001</v>
      </c>
      <c r="JER370" s="153"/>
      <c r="JES370" s="153"/>
      <c r="JET370" s="153"/>
      <c r="JEU370" s="648"/>
      <c r="JEV370" s="641"/>
      <c r="JEW370" s="631" t="s">
        <v>265</v>
      </c>
      <c r="JEX370" s="632"/>
      <c r="JEY370" s="16"/>
      <c r="JEZ370" s="636">
        <v>0.13500000000000001</v>
      </c>
      <c r="JFA370" s="636">
        <v>0.12</v>
      </c>
      <c r="JFB370" s="636">
        <v>0.13</v>
      </c>
      <c r="JFC370" s="636">
        <v>0.12</v>
      </c>
      <c r="JFD370" s="636">
        <v>0.12</v>
      </c>
      <c r="JFE370" s="649">
        <v>0.12</v>
      </c>
      <c r="JFF370" s="16"/>
      <c r="JFG370" s="320">
        <v>0.10100000000000001</v>
      </c>
      <c r="JFH370" s="153"/>
      <c r="JFI370" s="153"/>
      <c r="JFJ370" s="153"/>
      <c r="JFK370" s="648"/>
      <c r="JFL370" s="641"/>
      <c r="JFM370" s="631" t="s">
        <v>265</v>
      </c>
      <c r="JFN370" s="632"/>
      <c r="JFO370" s="16"/>
      <c r="JFP370" s="636">
        <v>0.13500000000000001</v>
      </c>
      <c r="JFQ370" s="636">
        <v>0.12</v>
      </c>
      <c r="JFR370" s="636">
        <v>0.13</v>
      </c>
      <c r="JFS370" s="636">
        <v>0.12</v>
      </c>
      <c r="JFT370" s="636">
        <v>0.12</v>
      </c>
      <c r="JFU370" s="649">
        <v>0.12</v>
      </c>
      <c r="JFV370" s="16"/>
      <c r="JFW370" s="320">
        <v>0.10100000000000001</v>
      </c>
      <c r="JFX370" s="153"/>
      <c r="JFY370" s="153"/>
      <c r="JFZ370" s="153"/>
      <c r="JGA370" s="648"/>
      <c r="JGB370" s="641"/>
      <c r="JGC370" s="631" t="s">
        <v>265</v>
      </c>
      <c r="JGD370" s="632"/>
      <c r="JGE370" s="16"/>
      <c r="JGF370" s="636">
        <v>0.13500000000000001</v>
      </c>
      <c r="JGG370" s="636">
        <v>0.12</v>
      </c>
      <c r="JGH370" s="636">
        <v>0.13</v>
      </c>
      <c r="JGI370" s="636">
        <v>0.12</v>
      </c>
      <c r="JGJ370" s="636">
        <v>0.12</v>
      </c>
      <c r="JGK370" s="649">
        <v>0.12</v>
      </c>
      <c r="JGL370" s="16"/>
      <c r="JGM370" s="320">
        <v>0.10100000000000001</v>
      </c>
      <c r="JGN370" s="153"/>
      <c r="JGO370" s="153"/>
      <c r="JGP370" s="153"/>
      <c r="JGQ370" s="648"/>
      <c r="JGR370" s="641"/>
      <c r="JGS370" s="631" t="s">
        <v>265</v>
      </c>
      <c r="JGT370" s="632"/>
      <c r="JGU370" s="16"/>
      <c r="JGV370" s="636">
        <v>0.13500000000000001</v>
      </c>
      <c r="JGW370" s="636">
        <v>0.12</v>
      </c>
      <c r="JGX370" s="636">
        <v>0.13</v>
      </c>
      <c r="JGY370" s="636">
        <v>0.12</v>
      </c>
      <c r="JGZ370" s="636">
        <v>0.12</v>
      </c>
      <c r="JHA370" s="649">
        <v>0.12</v>
      </c>
      <c r="JHB370" s="16"/>
      <c r="JHC370" s="320">
        <v>0.10100000000000001</v>
      </c>
      <c r="JHD370" s="153"/>
      <c r="JHE370" s="153"/>
      <c r="JHF370" s="153"/>
      <c r="JHG370" s="648"/>
      <c r="JHH370" s="641"/>
      <c r="JHI370" s="631" t="s">
        <v>265</v>
      </c>
      <c r="JHJ370" s="632"/>
      <c r="JHK370" s="16"/>
      <c r="JHL370" s="636">
        <v>0.13500000000000001</v>
      </c>
      <c r="JHM370" s="636">
        <v>0.12</v>
      </c>
      <c r="JHN370" s="636">
        <v>0.13</v>
      </c>
      <c r="JHO370" s="636">
        <v>0.12</v>
      </c>
      <c r="JHP370" s="636">
        <v>0.12</v>
      </c>
      <c r="JHQ370" s="649">
        <v>0.12</v>
      </c>
      <c r="JHR370" s="16"/>
      <c r="JHS370" s="320">
        <v>0.10100000000000001</v>
      </c>
      <c r="JHT370" s="153"/>
      <c r="JHU370" s="153"/>
      <c r="JHV370" s="153"/>
      <c r="JHW370" s="648"/>
      <c r="JHX370" s="641"/>
      <c r="JHY370" s="631" t="s">
        <v>265</v>
      </c>
      <c r="JHZ370" s="632"/>
      <c r="JIA370" s="16"/>
      <c r="JIB370" s="636">
        <v>0.13500000000000001</v>
      </c>
      <c r="JIC370" s="636">
        <v>0.12</v>
      </c>
      <c r="JID370" s="636">
        <v>0.13</v>
      </c>
      <c r="JIE370" s="636">
        <v>0.12</v>
      </c>
      <c r="JIF370" s="636">
        <v>0.12</v>
      </c>
      <c r="JIG370" s="649">
        <v>0.12</v>
      </c>
      <c r="JIH370" s="16"/>
      <c r="JII370" s="320">
        <v>0.10100000000000001</v>
      </c>
      <c r="JIJ370" s="153"/>
      <c r="JIK370" s="153"/>
      <c r="JIL370" s="153"/>
      <c r="JIM370" s="648"/>
      <c r="JIN370" s="641"/>
      <c r="JIO370" s="631" t="s">
        <v>265</v>
      </c>
      <c r="JIP370" s="632"/>
      <c r="JIQ370" s="16"/>
      <c r="JIR370" s="636">
        <v>0.13500000000000001</v>
      </c>
      <c r="JIS370" s="636">
        <v>0.12</v>
      </c>
      <c r="JIT370" s="636">
        <v>0.13</v>
      </c>
      <c r="JIU370" s="636">
        <v>0.12</v>
      </c>
      <c r="JIV370" s="636">
        <v>0.12</v>
      </c>
      <c r="JIW370" s="649">
        <v>0.12</v>
      </c>
      <c r="JIX370" s="16"/>
      <c r="JIY370" s="320">
        <v>0.10100000000000001</v>
      </c>
      <c r="JIZ370" s="153"/>
      <c r="JJA370" s="153"/>
      <c r="JJB370" s="153"/>
      <c r="JJC370" s="648"/>
      <c r="JJD370" s="641"/>
      <c r="JJE370" s="631" t="s">
        <v>265</v>
      </c>
      <c r="JJF370" s="632"/>
      <c r="JJG370" s="16"/>
      <c r="JJH370" s="636">
        <v>0.13500000000000001</v>
      </c>
      <c r="JJI370" s="636">
        <v>0.12</v>
      </c>
      <c r="JJJ370" s="636">
        <v>0.13</v>
      </c>
      <c r="JJK370" s="636">
        <v>0.12</v>
      </c>
      <c r="JJL370" s="636">
        <v>0.12</v>
      </c>
      <c r="JJM370" s="649">
        <v>0.12</v>
      </c>
      <c r="JJN370" s="16"/>
      <c r="JJO370" s="320">
        <v>0.10100000000000001</v>
      </c>
      <c r="JJP370" s="153"/>
      <c r="JJQ370" s="153"/>
      <c r="JJR370" s="153"/>
      <c r="JJS370" s="648"/>
      <c r="JJT370" s="641"/>
      <c r="JJU370" s="631" t="s">
        <v>265</v>
      </c>
      <c r="JJV370" s="632"/>
      <c r="JJW370" s="16"/>
      <c r="JJX370" s="636">
        <v>0.13500000000000001</v>
      </c>
      <c r="JJY370" s="636">
        <v>0.12</v>
      </c>
      <c r="JJZ370" s="636">
        <v>0.13</v>
      </c>
      <c r="JKA370" s="636">
        <v>0.12</v>
      </c>
      <c r="JKB370" s="636">
        <v>0.12</v>
      </c>
      <c r="JKC370" s="649">
        <v>0.12</v>
      </c>
      <c r="JKD370" s="16"/>
      <c r="JKE370" s="320">
        <v>0.10100000000000001</v>
      </c>
      <c r="JKF370" s="153"/>
      <c r="JKG370" s="153"/>
      <c r="JKH370" s="153"/>
      <c r="JKI370" s="648"/>
      <c r="JKJ370" s="641"/>
      <c r="JKK370" s="631" t="s">
        <v>265</v>
      </c>
      <c r="JKL370" s="632"/>
      <c r="JKM370" s="16"/>
      <c r="JKN370" s="636">
        <v>0.13500000000000001</v>
      </c>
      <c r="JKO370" s="636">
        <v>0.12</v>
      </c>
      <c r="JKP370" s="636">
        <v>0.13</v>
      </c>
      <c r="JKQ370" s="636">
        <v>0.12</v>
      </c>
      <c r="JKR370" s="636">
        <v>0.12</v>
      </c>
      <c r="JKS370" s="649">
        <v>0.12</v>
      </c>
      <c r="JKT370" s="16"/>
      <c r="JKU370" s="320">
        <v>0.10100000000000001</v>
      </c>
      <c r="JKV370" s="153"/>
      <c r="JKW370" s="153"/>
      <c r="JKX370" s="153"/>
      <c r="JKY370" s="648"/>
      <c r="JKZ370" s="641"/>
      <c r="JLA370" s="631" t="s">
        <v>265</v>
      </c>
      <c r="JLB370" s="632"/>
      <c r="JLC370" s="16"/>
      <c r="JLD370" s="636">
        <v>0.13500000000000001</v>
      </c>
      <c r="JLE370" s="636">
        <v>0.12</v>
      </c>
      <c r="JLF370" s="636">
        <v>0.13</v>
      </c>
      <c r="JLG370" s="636">
        <v>0.12</v>
      </c>
      <c r="JLH370" s="636">
        <v>0.12</v>
      </c>
      <c r="JLI370" s="649">
        <v>0.12</v>
      </c>
      <c r="JLJ370" s="16"/>
      <c r="JLK370" s="320">
        <v>0.10100000000000001</v>
      </c>
      <c r="JLL370" s="153"/>
      <c r="JLM370" s="153"/>
      <c r="JLN370" s="153"/>
      <c r="JLO370" s="648"/>
      <c r="JLP370" s="641"/>
      <c r="JLQ370" s="631" t="s">
        <v>265</v>
      </c>
      <c r="JLR370" s="632"/>
      <c r="JLS370" s="16"/>
      <c r="JLT370" s="636">
        <v>0.13500000000000001</v>
      </c>
      <c r="JLU370" s="636">
        <v>0.12</v>
      </c>
      <c r="JLV370" s="636">
        <v>0.13</v>
      </c>
      <c r="JLW370" s="636">
        <v>0.12</v>
      </c>
      <c r="JLX370" s="636">
        <v>0.12</v>
      </c>
      <c r="JLY370" s="649">
        <v>0.12</v>
      </c>
      <c r="JLZ370" s="16"/>
      <c r="JMA370" s="320">
        <v>0.10100000000000001</v>
      </c>
      <c r="JMB370" s="153"/>
      <c r="JMC370" s="153"/>
      <c r="JMD370" s="153"/>
      <c r="JME370" s="648"/>
      <c r="JMF370" s="641"/>
      <c r="JMG370" s="631" t="s">
        <v>265</v>
      </c>
      <c r="JMH370" s="632"/>
      <c r="JMI370" s="16"/>
      <c r="JMJ370" s="636">
        <v>0.13500000000000001</v>
      </c>
      <c r="JMK370" s="636">
        <v>0.12</v>
      </c>
      <c r="JML370" s="636">
        <v>0.13</v>
      </c>
      <c r="JMM370" s="636">
        <v>0.12</v>
      </c>
      <c r="JMN370" s="636">
        <v>0.12</v>
      </c>
      <c r="JMO370" s="649">
        <v>0.12</v>
      </c>
      <c r="JMP370" s="16"/>
      <c r="JMQ370" s="320">
        <v>0.10100000000000001</v>
      </c>
      <c r="JMR370" s="153"/>
      <c r="JMS370" s="153"/>
      <c r="JMT370" s="153"/>
      <c r="JMU370" s="648"/>
      <c r="JMV370" s="641"/>
      <c r="JMW370" s="631" t="s">
        <v>265</v>
      </c>
      <c r="JMX370" s="632"/>
      <c r="JMY370" s="16"/>
      <c r="JMZ370" s="636">
        <v>0.13500000000000001</v>
      </c>
      <c r="JNA370" s="636">
        <v>0.12</v>
      </c>
      <c r="JNB370" s="636">
        <v>0.13</v>
      </c>
      <c r="JNC370" s="636">
        <v>0.12</v>
      </c>
      <c r="JND370" s="636">
        <v>0.12</v>
      </c>
      <c r="JNE370" s="649">
        <v>0.12</v>
      </c>
      <c r="JNF370" s="16"/>
      <c r="JNG370" s="320">
        <v>0.10100000000000001</v>
      </c>
      <c r="JNH370" s="153"/>
      <c r="JNI370" s="153"/>
      <c r="JNJ370" s="153"/>
      <c r="JNK370" s="648"/>
      <c r="JNL370" s="641"/>
      <c r="JNM370" s="631" t="s">
        <v>265</v>
      </c>
      <c r="JNN370" s="632"/>
      <c r="JNO370" s="16"/>
      <c r="JNP370" s="636">
        <v>0.13500000000000001</v>
      </c>
      <c r="JNQ370" s="636">
        <v>0.12</v>
      </c>
      <c r="JNR370" s="636">
        <v>0.13</v>
      </c>
      <c r="JNS370" s="636">
        <v>0.12</v>
      </c>
      <c r="JNT370" s="636">
        <v>0.12</v>
      </c>
      <c r="JNU370" s="649">
        <v>0.12</v>
      </c>
      <c r="JNV370" s="16"/>
      <c r="JNW370" s="320">
        <v>0.10100000000000001</v>
      </c>
      <c r="JNX370" s="153"/>
      <c r="JNY370" s="153"/>
      <c r="JNZ370" s="153"/>
      <c r="JOA370" s="648"/>
      <c r="JOB370" s="641"/>
      <c r="JOC370" s="631" t="s">
        <v>265</v>
      </c>
      <c r="JOD370" s="632"/>
      <c r="JOE370" s="16"/>
      <c r="JOF370" s="636">
        <v>0.13500000000000001</v>
      </c>
      <c r="JOG370" s="636">
        <v>0.12</v>
      </c>
      <c r="JOH370" s="636">
        <v>0.13</v>
      </c>
      <c r="JOI370" s="636">
        <v>0.12</v>
      </c>
      <c r="JOJ370" s="636">
        <v>0.12</v>
      </c>
      <c r="JOK370" s="649">
        <v>0.12</v>
      </c>
      <c r="JOL370" s="16"/>
      <c r="JOM370" s="320">
        <v>0.10100000000000001</v>
      </c>
      <c r="JON370" s="153"/>
      <c r="JOO370" s="153"/>
      <c r="JOP370" s="153"/>
      <c r="JOQ370" s="648"/>
      <c r="JOR370" s="641"/>
      <c r="JOS370" s="631" t="s">
        <v>265</v>
      </c>
      <c r="JOT370" s="632"/>
      <c r="JOU370" s="16"/>
      <c r="JOV370" s="636">
        <v>0.13500000000000001</v>
      </c>
      <c r="JOW370" s="636">
        <v>0.12</v>
      </c>
      <c r="JOX370" s="636">
        <v>0.13</v>
      </c>
      <c r="JOY370" s="636">
        <v>0.12</v>
      </c>
      <c r="JOZ370" s="636">
        <v>0.12</v>
      </c>
      <c r="JPA370" s="649">
        <v>0.12</v>
      </c>
      <c r="JPB370" s="16"/>
      <c r="JPC370" s="320">
        <v>0.10100000000000001</v>
      </c>
      <c r="JPD370" s="153"/>
      <c r="JPE370" s="153"/>
      <c r="JPF370" s="153"/>
      <c r="JPG370" s="648"/>
      <c r="JPH370" s="641"/>
      <c r="JPI370" s="631" t="s">
        <v>265</v>
      </c>
      <c r="JPJ370" s="632"/>
      <c r="JPK370" s="16"/>
      <c r="JPL370" s="636">
        <v>0.13500000000000001</v>
      </c>
      <c r="JPM370" s="636">
        <v>0.12</v>
      </c>
      <c r="JPN370" s="636">
        <v>0.13</v>
      </c>
      <c r="JPO370" s="636">
        <v>0.12</v>
      </c>
      <c r="JPP370" s="636">
        <v>0.12</v>
      </c>
      <c r="JPQ370" s="649">
        <v>0.12</v>
      </c>
      <c r="JPR370" s="16"/>
      <c r="JPS370" s="320">
        <v>0.10100000000000001</v>
      </c>
      <c r="JPT370" s="153"/>
      <c r="JPU370" s="153"/>
      <c r="JPV370" s="153"/>
      <c r="JPW370" s="648"/>
      <c r="JPX370" s="641"/>
      <c r="JPY370" s="631" t="s">
        <v>265</v>
      </c>
      <c r="JPZ370" s="632"/>
      <c r="JQA370" s="16"/>
      <c r="JQB370" s="636">
        <v>0.13500000000000001</v>
      </c>
      <c r="JQC370" s="636">
        <v>0.12</v>
      </c>
      <c r="JQD370" s="636">
        <v>0.13</v>
      </c>
      <c r="JQE370" s="636">
        <v>0.12</v>
      </c>
      <c r="JQF370" s="636">
        <v>0.12</v>
      </c>
      <c r="JQG370" s="649">
        <v>0.12</v>
      </c>
      <c r="JQH370" s="16"/>
      <c r="JQI370" s="320">
        <v>0.10100000000000001</v>
      </c>
      <c r="JQJ370" s="153"/>
      <c r="JQK370" s="153"/>
      <c r="JQL370" s="153"/>
      <c r="JQM370" s="648"/>
      <c r="JQN370" s="641"/>
      <c r="JQO370" s="631" t="s">
        <v>265</v>
      </c>
      <c r="JQP370" s="632"/>
      <c r="JQQ370" s="16"/>
      <c r="JQR370" s="636">
        <v>0.13500000000000001</v>
      </c>
      <c r="JQS370" s="636">
        <v>0.12</v>
      </c>
      <c r="JQT370" s="636">
        <v>0.13</v>
      </c>
      <c r="JQU370" s="636">
        <v>0.12</v>
      </c>
      <c r="JQV370" s="636">
        <v>0.12</v>
      </c>
      <c r="JQW370" s="649">
        <v>0.12</v>
      </c>
      <c r="JQX370" s="16"/>
      <c r="JQY370" s="320">
        <v>0.10100000000000001</v>
      </c>
      <c r="JQZ370" s="153"/>
      <c r="JRA370" s="153"/>
      <c r="JRB370" s="153"/>
      <c r="JRC370" s="648"/>
      <c r="JRD370" s="641"/>
      <c r="JRE370" s="631" t="s">
        <v>265</v>
      </c>
      <c r="JRF370" s="632"/>
      <c r="JRG370" s="16"/>
      <c r="JRH370" s="636">
        <v>0.13500000000000001</v>
      </c>
      <c r="JRI370" s="636">
        <v>0.12</v>
      </c>
      <c r="JRJ370" s="636">
        <v>0.13</v>
      </c>
      <c r="JRK370" s="636">
        <v>0.12</v>
      </c>
      <c r="JRL370" s="636">
        <v>0.12</v>
      </c>
      <c r="JRM370" s="649">
        <v>0.12</v>
      </c>
      <c r="JRN370" s="16"/>
      <c r="JRO370" s="320">
        <v>0.10100000000000001</v>
      </c>
      <c r="JRP370" s="153"/>
      <c r="JRQ370" s="153"/>
      <c r="JRR370" s="153"/>
      <c r="JRS370" s="648"/>
      <c r="JRT370" s="641"/>
      <c r="JRU370" s="631" t="s">
        <v>265</v>
      </c>
      <c r="JRV370" s="632"/>
      <c r="JRW370" s="16"/>
      <c r="JRX370" s="636">
        <v>0.13500000000000001</v>
      </c>
      <c r="JRY370" s="636">
        <v>0.12</v>
      </c>
      <c r="JRZ370" s="636">
        <v>0.13</v>
      </c>
      <c r="JSA370" s="636">
        <v>0.12</v>
      </c>
      <c r="JSB370" s="636">
        <v>0.12</v>
      </c>
      <c r="JSC370" s="649">
        <v>0.12</v>
      </c>
      <c r="JSD370" s="16"/>
      <c r="JSE370" s="320">
        <v>0.10100000000000001</v>
      </c>
      <c r="JSF370" s="153"/>
      <c r="JSG370" s="153"/>
      <c r="JSH370" s="153"/>
      <c r="JSI370" s="648"/>
      <c r="JSJ370" s="641"/>
      <c r="JSK370" s="631" t="s">
        <v>265</v>
      </c>
      <c r="JSL370" s="632"/>
      <c r="JSM370" s="16"/>
      <c r="JSN370" s="636">
        <v>0.13500000000000001</v>
      </c>
      <c r="JSO370" s="636">
        <v>0.12</v>
      </c>
      <c r="JSP370" s="636">
        <v>0.13</v>
      </c>
      <c r="JSQ370" s="636">
        <v>0.12</v>
      </c>
      <c r="JSR370" s="636">
        <v>0.12</v>
      </c>
      <c r="JSS370" s="649">
        <v>0.12</v>
      </c>
      <c r="JST370" s="16"/>
      <c r="JSU370" s="320">
        <v>0.10100000000000001</v>
      </c>
      <c r="JSV370" s="153"/>
      <c r="JSW370" s="153"/>
      <c r="JSX370" s="153"/>
      <c r="JSY370" s="648"/>
      <c r="JSZ370" s="641"/>
      <c r="JTA370" s="631" t="s">
        <v>265</v>
      </c>
      <c r="JTB370" s="632"/>
      <c r="JTC370" s="16"/>
      <c r="JTD370" s="636">
        <v>0.13500000000000001</v>
      </c>
      <c r="JTE370" s="636">
        <v>0.12</v>
      </c>
      <c r="JTF370" s="636">
        <v>0.13</v>
      </c>
      <c r="JTG370" s="636">
        <v>0.12</v>
      </c>
      <c r="JTH370" s="636">
        <v>0.12</v>
      </c>
      <c r="JTI370" s="649">
        <v>0.12</v>
      </c>
      <c r="JTJ370" s="16"/>
      <c r="JTK370" s="320">
        <v>0.10100000000000001</v>
      </c>
      <c r="JTL370" s="153"/>
      <c r="JTM370" s="153"/>
      <c r="JTN370" s="153"/>
      <c r="JTO370" s="648"/>
      <c r="JTP370" s="641"/>
      <c r="JTQ370" s="631" t="s">
        <v>265</v>
      </c>
      <c r="JTR370" s="632"/>
      <c r="JTS370" s="16"/>
      <c r="JTT370" s="636">
        <v>0.13500000000000001</v>
      </c>
      <c r="JTU370" s="636">
        <v>0.12</v>
      </c>
      <c r="JTV370" s="636">
        <v>0.13</v>
      </c>
      <c r="JTW370" s="636">
        <v>0.12</v>
      </c>
      <c r="JTX370" s="636">
        <v>0.12</v>
      </c>
      <c r="JTY370" s="649">
        <v>0.12</v>
      </c>
      <c r="JTZ370" s="16"/>
      <c r="JUA370" s="320">
        <v>0.10100000000000001</v>
      </c>
      <c r="JUB370" s="153"/>
      <c r="JUC370" s="153"/>
      <c r="JUD370" s="153"/>
      <c r="JUE370" s="648"/>
      <c r="JUF370" s="641"/>
      <c r="JUG370" s="631" t="s">
        <v>265</v>
      </c>
      <c r="JUH370" s="632"/>
      <c r="JUI370" s="16"/>
      <c r="JUJ370" s="636">
        <v>0.13500000000000001</v>
      </c>
      <c r="JUK370" s="636">
        <v>0.12</v>
      </c>
      <c r="JUL370" s="636">
        <v>0.13</v>
      </c>
      <c r="JUM370" s="636">
        <v>0.12</v>
      </c>
      <c r="JUN370" s="636">
        <v>0.12</v>
      </c>
      <c r="JUO370" s="649">
        <v>0.12</v>
      </c>
      <c r="JUP370" s="16"/>
      <c r="JUQ370" s="320">
        <v>0.10100000000000001</v>
      </c>
      <c r="JUR370" s="153"/>
      <c r="JUS370" s="153"/>
      <c r="JUT370" s="153"/>
      <c r="JUU370" s="648"/>
      <c r="JUV370" s="641"/>
      <c r="JUW370" s="631" t="s">
        <v>265</v>
      </c>
      <c r="JUX370" s="632"/>
      <c r="JUY370" s="16"/>
      <c r="JUZ370" s="636">
        <v>0.13500000000000001</v>
      </c>
      <c r="JVA370" s="636">
        <v>0.12</v>
      </c>
      <c r="JVB370" s="636">
        <v>0.13</v>
      </c>
      <c r="JVC370" s="636">
        <v>0.12</v>
      </c>
      <c r="JVD370" s="636">
        <v>0.12</v>
      </c>
      <c r="JVE370" s="649">
        <v>0.12</v>
      </c>
      <c r="JVF370" s="16"/>
      <c r="JVG370" s="320">
        <v>0.10100000000000001</v>
      </c>
      <c r="JVH370" s="153"/>
      <c r="JVI370" s="153"/>
      <c r="JVJ370" s="153"/>
      <c r="JVK370" s="648"/>
      <c r="JVL370" s="641"/>
      <c r="JVM370" s="631" t="s">
        <v>265</v>
      </c>
      <c r="JVN370" s="632"/>
      <c r="JVO370" s="16"/>
      <c r="JVP370" s="636">
        <v>0.13500000000000001</v>
      </c>
      <c r="JVQ370" s="636">
        <v>0.12</v>
      </c>
      <c r="JVR370" s="636">
        <v>0.13</v>
      </c>
      <c r="JVS370" s="636">
        <v>0.12</v>
      </c>
      <c r="JVT370" s="636">
        <v>0.12</v>
      </c>
      <c r="JVU370" s="649">
        <v>0.12</v>
      </c>
      <c r="JVV370" s="16"/>
      <c r="JVW370" s="320">
        <v>0.10100000000000001</v>
      </c>
      <c r="JVX370" s="153"/>
      <c r="JVY370" s="153"/>
      <c r="JVZ370" s="153"/>
      <c r="JWA370" s="648"/>
      <c r="JWB370" s="641"/>
      <c r="JWC370" s="631" t="s">
        <v>265</v>
      </c>
      <c r="JWD370" s="632"/>
      <c r="JWE370" s="16"/>
      <c r="JWF370" s="636">
        <v>0.13500000000000001</v>
      </c>
      <c r="JWG370" s="636">
        <v>0.12</v>
      </c>
      <c r="JWH370" s="636">
        <v>0.13</v>
      </c>
      <c r="JWI370" s="636">
        <v>0.12</v>
      </c>
      <c r="JWJ370" s="636">
        <v>0.12</v>
      </c>
      <c r="JWK370" s="649">
        <v>0.12</v>
      </c>
      <c r="JWL370" s="16"/>
      <c r="JWM370" s="320">
        <v>0.10100000000000001</v>
      </c>
      <c r="JWN370" s="153"/>
      <c r="JWO370" s="153"/>
      <c r="JWP370" s="153"/>
      <c r="JWQ370" s="648"/>
      <c r="JWR370" s="641"/>
      <c r="JWS370" s="631" t="s">
        <v>265</v>
      </c>
      <c r="JWT370" s="632"/>
      <c r="JWU370" s="16"/>
      <c r="JWV370" s="636">
        <v>0.13500000000000001</v>
      </c>
      <c r="JWW370" s="636">
        <v>0.12</v>
      </c>
      <c r="JWX370" s="636">
        <v>0.13</v>
      </c>
      <c r="JWY370" s="636">
        <v>0.12</v>
      </c>
      <c r="JWZ370" s="636">
        <v>0.12</v>
      </c>
      <c r="JXA370" s="649">
        <v>0.12</v>
      </c>
      <c r="JXB370" s="16"/>
      <c r="JXC370" s="320">
        <v>0.10100000000000001</v>
      </c>
      <c r="JXD370" s="153"/>
      <c r="JXE370" s="153"/>
      <c r="JXF370" s="153"/>
      <c r="JXG370" s="648"/>
      <c r="JXH370" s="641"/>
      <c r="JXI370" s="631" t="s">
        <v>265</v>
      </c>
      <c r="JXJ370" s="632"/>
      <c r="JXK370" s="16"/>
      <c r="JXL370" s="636">
        <v>0.13500000000000001</v>
      </c>
      <c r="JXM370" s="636">
        <v>0.12</v>
      </c>
      <c r="JXN370" s="636">
        <v>0.13</v>
      </c>
      <c r="JXO370" s="636">
        <v>0.12</v>
      </c>
      <c r="JXP370" s="636">
        <v>0.12</v>
      </c>
      <c r="JXQ370" s="649">
        <v>0.12</v>
      </c>
      <c r="JXR370" s="16"/>
      <c r="JXS370" s="320">
        <v>0.10100000000000001</v>
      </c>
      <c r="JXT370" s="153"/>
      <c r="JXU370" s="153"/>
      <c r="JXV370" s="153"/>
      <c r="JXW370" s="648"/>
      <c r="JXX370" s="641"/>
      <c r="JXY370" s="631" t="s">
        <v>265</v>
      </c>
      <c r="JXZ370" s="632"/>
      <c r="JYA370" s="16"/>
      <c r="JYB370" s="636">
        <v>0.13500000000000001</v>
      </c>
      <c r="JYC370" s="636">
        <v>0.12</v>
      </c>
      <c r="JYD370" s="636">
        <v>0.13</v>
      </c>
      <c r="JYE370" s="636">
        <v>0.12</v>
      </c>
      <c r="JYF370" s="636">
        <v>0.12</v>
      </c>
      <c r="JYG370" s="649">
        <v>0.12</v>
      </c>
      <c r="JYH370" s="16"/>
      <c r="JYI370" s="320">
        <v>0.10100000000000001</v>
      </c>
      <c r="JYJ370" s="153"/>
      <c r="JYK370" s="153"/>
      <c r="JYL370" s="153"/>
      <c r="JYM370" s="648"/>
      <c r="JYN370" s="641"/>
      <c r="JYO370" s="631" t="s">
        <v>265</v>
      </c>
      <c r="JYP370" s="632"/>
      <c r="JYQ370" s="16"/>
      <c r="JYR370" s="636">
        <v>0.13500000000000001</v>
      </c>
      <c r="JYS370" s="636">
        <v>0.12</v>
      </c>
      <c r="JYT370" s="636">
        <v>0.13</v>
      </c>
      <c r="JYU370" s="636">
        <v>0.12</v>
      </c>
      <c r="JYV370" s="636">
        <v>0.12</v>
      </c>
      <c r="JYW370" s="649">
        <v>0.12</v>
      </c>
      <c r="JYX370" s="16"/>
      <c r="JYY370" s="320">
        <v>0.10100000000000001</v>
      </c>
      <c r="JYZ370" s="153"/>
      <c r="JZA370" s="153"/>
      <c r="JZB370" s="153"/>
      <c r="JZC370" s="648"/>
      <c r="JZD370" s="641"/>
      <c r="JZE370" s="631" t="s">
        <v>265</v>
      </c>
      <c r="JZF370" s="632"/>
      <c r="JZG370" s="16"/>
      <c r="JZH370" s="636">
        <v>0.13500000000000001</v>
      </c>
      <c r="JZI370" s="636">
        <v>0.12</v>
      </c>
      <c r="JZJ370" s="636">
        <v>0.13</v>
      </c>
      <c r="JZK370" s="636">
        <v>0.12</v>
      </c>
      <c r="JZL370" s="636">
        <v>0.12</v>
      </c>
      <c r="JZM370" s="649">
        <v>0.12</v>
      </c>
      <c r="JZN370" s="16"/>
      <c r="JZO370" s="320">
        <v>0.10100000000000001</v>
      </c>
      <c r="JZP370" s="153"/>
      <c r="JZQ370" s="153"/>
      <c r="JZR370" s="153"/>
      <c r="JZS370" s="648"/>
      <c r="JZT370" s="641"/>
      <c r="JZU370" s="631" t="s">
        <v>265</v>
      </c>
      <c r="JZV370" s="632"/>
      <c r="JZW370" s="16"/>
      <c r="JZX370" s="636">
        <v>0.13500000000000001</v>
      </c>
      <c r="JZY370" s="636">
        <v>0.12</v>
      </c>
      <c r="JZZ370" s="636">
        <v>0.13</v>
      </c>
      <c r="KAA370" s="636">
        <v>0.12</v>
      </c>
      <c r="KAB370" s="636">
        <v>0.12</v>
      </c>
      <c r="KAC370" s="649">
        <v>0.12</v>
      </c>
      <c r="KAD370" s="16"/>
      <c r="KAE370" s="320">
        <v>0.10100000000000001</v>
      </c>
      <c r="KAF370" s="153"/>
      <c r="KAG370" s="153"/>
      <c r="KAH370" s="153"/>
      <c r="KAI370" s="648"/>
      <c r="KAJ370" s="641"/>
      <c r="KAK370" s="631" t="s">
        <v>265</v>
      </c>
      <c r="KAL370" s="632"/>
      <c r="KAM370" s="16"/>
      <c r="KAN370" s="636">
        <v>0.13500000000000001</v>
      </c>
      <c r="KAO370" s="636">
        <v>0.12</v>
      </c>
      <c r="KAP370" s="636">
        <v>0.13</v>
      </c>
      <c r="KAQ370" s="636">
        <v>0.12</v>
      </c>
      <c r="KAR370" s="636">
        <v>0.12</v>
      </c>
      <c r="KAS370" s="649">
        <v>0.12</v>
      </c>
      <c r="KAT370" s="16"/>
      <c r="KAU370" s="320">
        <v>0.10100000000000001</v>
      </c>
      <c r="KAV370" s="153"/>
      <c r="KAW370" s="153"/>
      <c r="KAX370" s="153"/>
      <c r="KAY370" s="648"/>
      <c r="KAZ370" s="641"/>
      <c r="KBA370" s="631" t="s">
        <v>265</v>
      </c>
      <c r="KBB370" s="632"/>
      <c r="KBC370" s="16"/>
      <c r="KBD370" s="636">
        <v>0.13500000000000001</v>
      </c>
      <c r="KBE370" s="636">
        <v>0.12</v>
      </c>
      <c r="KBF370" s="636">
        <v>0.13</v>
      </c>
      <c r="KBG370" s="636">
        <v>0.12</v>
      </c>
      <c r="KBH370" s="636">
        <v>0.12</v>
      </c>
      <c r="KBI370" s="649">
        <v>0.12</v>
      </c>
      <c r="KBJ370" s="16"/>
      <c r="KBK370" s="320">
        <v>0.10100000000000001</v>
      </c>
      <c r="KBL370" s="153"/>
      <c r="KBM370" s="153"/>
      <c r="KBN370" s="153"/>
      <c r="KBO370" s="648"/>
      <c r="KBP370" s="641"/>
      <c r="KBQ370" s="631" t="s">
        <v>265</v>
      </c>
      <c r="KBR370" s="632"/>
      <c r="KBS370" s="16"/>
      <c r="KBT370" s="636">
        <v>0.13500000000000001</v>
      </c>
      <c r="KBU370" s="636">
        <v>0.12</v>
      </c>
      <c r="KBV370" s="636">
        <v>0.13</v>
      </c>
      <c r="KBW370" s="636">
        <v>0.12</v>
      </c>
      <c r="KBX370" s="636">
        <v>0.12</v>
      </c>
      <c r="KBY370" s="649">
        <v>0.12</v>
      </c>
      <c r="KBZ370" s="16"/>
      <c r="KCA370" s="320">
        <v>0.10100000000000001</v>
      </c>
      <c r="KCB370" s="153"/>
      <c r="KCC370" s="153"/>
      <c r="KCD370" s="153"/>
      <c r="KCE370" s="648"/>
      <c r="KCF370" s="641"/>
      <c r="KCG370" s="631" t="s">
        <v>265</v>
      </c>
      <c r="KCH370" s="632"/>
      <c r="KCI370" s="16"/>
      <c r="KCJ370" s="636">
        <v>0.13500000000000001</v>
      </c>
      <c r="KCK370" s="636">
        <v>0.12</v>
      </c>
      <c r="KCL370" s="636">
        <v>0.13</v>
      </c>
      <c r="KCM370" s="636">
        <v>0.12</v>
      </c>
      <c r="KCN370" s="636">
        <v>0.12</v>
      </c>
      <c r="KCO370" s="649">
        <v>0.12</v>
      </c>
      <c r="KCP370" s="16"/>
      <c r="KCQ370" s="320">
        <v>0.10100000000000001</v>
      </c>
      <c r="KCR370" s="153"/>
      <c r="KCS370" s="153"/>
      <c r="KCT370" s="153"/>
      <c r="KCU370" s="648"/>
      <c r="KCV370" s="641"/>
      <c r="KCW370" s="631" t="s">
        <v>265</v>
      </c>
      <c r="KCX370" s="632"/>
      <c r="KCY370" s="16"/>
      <c r="KCZ370" s="636">
        <v>0.13500000000000001</v>
      </c>
      <c r="KDA370" s="636">
        <v>0.12</v>
      </c>
      <c r="KDB370" s="636">
        <v>0.13</v>
      </c>
      <c r="KDC370" s="636">
        <v>0.12</v>
      </c>
      <c r="KDD370" s="636">
        <v>0.12</v>
      </c>
      <c r="KDE370" s="649">
        <v>0.12</v>
      </c>
      <c r="KDF370" s="16"/>
      <c r="KDG370" s="320">
        <v>0.10100000000000001</v>
      </c>
      <c r="KDH370" s="153"/>
      <c r="KDI370" s="153"/>
      <c r="KDJ370" s="153"/>
      <c r="KDK370" s="648"/>
      <c r="KDL370" s="641"/>
      <c r="KDM370" s="631" t="s">
        <v>265</v>
      </c>
      <c r="KDN370" s="632"/>
      <c r="KDO370" s="16"/>
      <c r="KDP370" s="636">
        <v>0.13500000000000001</v>
      </c>
      <c r="KDQ370" s="636">
        <v>0.12</v>
      </c>
      <c r="KDR370" s="636">
        <v>0.13</v>
      </c>
      <c r="KDS370" s="636">
        <v>0.12</v>
      </c>
      <c r="KDT370" s="636">
        <v>0.12</v>
      </c>
      <c r="KDU370" s="649">
        <v>0.12</v>
      </c>
      <c r="KDV370" s="16"/>
      <c r="KDW370" s="320">
        <v>0.10100000000000001</v>
      </c>
      <c r="KDX370" s="153"/>
      <c r="KDY370" s="153"/>
      <c r="KDZ370" s="153"/>
      <c r="KEA370" s="648"/>
      <c r="KEB370" s="641"/>
      <c r="KEC370" s="631" t="s">
        <v>265</v>
      </c>
      <c r="KED370" s="632"/>
      <c r="KEE370" s="16"/>
      <c r="KEF370" s="636">
        <v>0.13500000000000001</v>
      </c>
      <c r="KEG370" s="636">
        <v>0.12</v>
      </c>
      <c r="KEH370" s="636">
        <v>0.13</v>
      </c>
      <c r="KEI370" s="636">
        <v>0.12</v>
      </c>
      <c r="KEJ370" s="636">
        <v>0.12</v>
      </c>
      <c r="KEK370" s="649">
        <v>0.12</v>
      </c>
      <c r="KEL370" s="16"/>
      <c r="KEM370" s="320">
        <v>0.10100000000000001</v>
      </c>
      <c r="KEN370" s="153"/>
      <c r="KEO370" s="153"/>
      <c r="KEP370" s="153"/>
      <c r="KEQ370" s="648"/>
      <c r="KER370" s="641"/>
      <c r="KES370" s="631" t="s">
        <v>265</v>
      </c>
      <c r="KET370" s="632"/>
      <c r="KEU370" s="16"/>
      <c r="KEV370" s="636">
        <v>0.13500000000000001</v>
      </c>
      <c r="KEW370" s="636">
        <v>0.12</v>
      </c>
      <c r="KEX370" s="636">
        <v>0.13</v>
      </c>
      <c r="KEY370" s="636">
        <v>0.12</v>
      </c>
      <c r="KEZ370" s="636">
        <v>0.12</v>
      </c>
      <c r="KFA370" s="649">
        <v>0.12</v>
      </c>
      <c r="KFB370" s="16"/>
      <c r="KFC370" s="320">
        <v>0.10100000000000001</v>
      </c>
      <c r="KFD370" s="153"/>
      <c r="KFE370" s="153"/>
      <c r="KFF370" s="153"/>
      <c r="KFG370" s="648"/>
      <c r="KFH370" s="641"/>
      <c r="KFI370" s="631" t="s">
        <v>265</v>
      </c>
      <c r="KFJ370" s="632"/>
      <c r="KFK370" s="16"/>
      <c r="KFL370" s="636">
        <v>0.13500000000000001</v>
      </c>
      <c r="KFM370" s="636">
        <v>0.12</v>
      </c>
      <c r="KFN370" s="636">
        <v>0.13</v>
      </c>
      <c r="KFO370" s="636">
        <v>0.12</v>
      </c>
      <c r="KFP370" s="636">
        <v>0.12</v>
      </c>
      <c r="KFQ370" s="649">
        <v>0.12</v>
      </c>
      <c r="KFR370" s="16"/>
      <c r="KFS370" s="320">
        <v>0.10100000000000001</v>
      </c>
      <c r="KFT370" s="153"/>
      <c r="KFU370" s="153"/>
      <c r="KFV370" s="153"/>
      <c r="KFW370" s="648"/>
      <c r="KFX370" s="641"/>
      <c r="KFY370" s="631" t="s">
        <v>265</v>
      </c>
      <c r="KFZ370" s="632"/>
      <c r="KGA370" s="16"/>
      <c r="KGB370" s="636">
        <v>0.13500000000000001</v>
      </c>
      <c r="KGC370" s="636">
        <v>0.12</v>
      </c>
      <c r="KGD370" s="636">
        <v>0.13</v>
      </c>
      <c r="KGE370" s="636">
        <v>0.12</v>
      </c>
      <c r="KGF370" s="636">
        <v>0.12</v>
      </c>
      <c r="KGG370" s="649">
        <v>0.12</v>
      </c>
      <c r="KGH370" s="16"/>
      <c r="KGI370" s="320">
        <v>0.10100000000000001</v>
      </c>
      <c r="KGJ370" s="153"/>
      <c r="KGK370" s="153"/>
      <c r="KGL370" s="153"/>
      <c r="KGM370" s="648"/>
      <c r="KGN370" s="641"/>
      <c r="KGO370" s="631" t="s">
        <v>265</v>
      </c>
      <c r="KGP370" s="632"/>
      <c r="KGQ370" s="16"/>
      <c r="KGR370" s="636">
        <v>0.13500000000000001</v>
      </c>
      <c r="KGS370" s="636">
        <v>0.12</v>
      </c>
      <c r="KGT370" s="636">
        <v>0.13</v>
      </c>
      <c r="KGU370" s="636">
        <v>0.12</v>
      </c>
      <c r="KGV370" s="636">
        <v>0.12</v>
      </c>
      <c r="KGW370" s="649">
        <v>0.12</v>
      </c>
      <c r="KGX370" s="16"/>
      <c r="KGY370" s="320">
        <v>0.10100000000000001</v>
      </c>
      <c r="KGZ370" s="153"/>
      <c r="KHA370" s="153"/>
      <c r="KHB370" s="153"/>
      <c r="KHC370" s="648"/>
      <c r="KHD370" s="641"/>
      <c r="KHE370" s="631" t="s">
        <v>265</v>
      </c>
      <c r="KHF370" s="632"/>
      <c r="KHG370" s="16"/>
      <c r="KHH370" s="636">
        <v>0.13500000000000001</v>
      </c>
      <c r="KHI370" s="636">
        <v>0.12</v>
      </c>
      <c r="KHJ370" s="636">
        <v>0.13</v>
      </c>
      <c r="KHK370" s="636">
        <v>0.12</v>
      </c>
      <c r="KHL370" s="636">
        <v>0.12</v>
      </c>
      <c r="KHM370" s="649">
        <v>0.12</v>
      </c>
      <c r="KHN370" s="16"/>
      <c r="KHO370" s="320">
        <v>0.10100000000000001</v>
      </c>
      <c r="KHP370" s="153"/>
      <c r="KHQ370" s="153"/>
      <c r="KHR370" s="153"/>
      <c r="KHS370" s="648"/>
      <c r="KHT370" s="641"/>
      <c r="KHU370" s="631" t="s">
        <v>265</v>
      </c>
      <c r="KHV370" s="632"/>
      <c r="KHW370" s="16"/>
      <c r="KHX370" s="636">
        <v>0.13500000000000001</v>
      </c>
      <c r="KHY370" s="636">
        <v>0.12</v>
      </c>
      <c r="KHZ370" s="636">
        <v>0.13</v>
      </c>
      <c r="KIA370" s="636">
        <v>0.12</v>
      </c>
      <c r="KIB370" s="636">
        <v>0.12</v>
      </c>
      <c r="KIC370" s="649">
        <v>0.12</v>
      </c>
      <c r="KID370" s="16"/>
      <c r="KIE370" s="320">
        <v>0.10100000000000001</v>
      </c>
      <c r="KIF370" s="153"/>
      <c r="KIG370" s="153"/>
      <c r="KIH370" s="153"/>
      <c r="KII370" s="648"/>
      <c r="KIJ370" s="641"/>
      <c r="KIK370" s="631" t="s">
        <v>265</v>
      </c>
      <c r="KIL370" s="632"/>
      <c r="KIM370" s="16"/>
      <c r="KIN370" s="636">
        <v>0.13500000000000001</v>
      </c>
      <c r="KIO370" s="636">
        <v>0.12</v>
      </c>
      <c r="KIP370" s="636">
        <v>0.13</v>
      </c>
      <c r="KIQ370" s="636">
        <v>0.12</v>
      </c>
      <c r="KIR370" s="636">
        <v>0.12</v>
      </c>
      <c r="KIS370" s="649">
        <v>0.12</v>
      </c>
      <c r="KIT370" s="16"/>
      <c r="KIU370" s="320">
        <v>0.10100000000000001</v>
      </c>
      <c r="KIV370" s="153"/>
      <c r="KIW370" s="153"/>
      <c r="KIX370" s="153"/>
      <c r="KIY370" s="648"/>
      <c r="KIZ370" s="641"/>
      <c r="KJA370" s="631" t="s">
        <v>265</v>
      </c>
      <c r="KJB370" s="632"/>
      <c r="KJC370" s="16"/>
      <c r="KJD370" s="636">
        <v>0.13500000000000001</v>
      </c>
      <c r="KJE370" s="636">
        <v>0.12</v>
      </c>
      <c r="KJF370" s="636">
        <v>0.13</v>
      </c>
      <c r="KJG370" s="636">
        <v>0.12</v>
      </c>
      <c r="KJH370" s="636">
        <v>0.12</v>
      </c>
      <c r="KJI370" s="649">
        <v>0.12</v>
      </c>
      <c r="KJJ370" s="16"/>
      <c r="KJK370" s="320">
        <v>0.10100000000000001</v>
      </c>
      <c r="KJL370" s="153"/>
      <c r="KJM370" s="153"/>
      <c r="KJN370" s="153"/>
      <c r="KJO370" s="648"/>
      <c r="KJP370" s="641"/>
      <c r="KJQ370" s="631" t="s">
        <v>265</v>
      </c>
      <c r="KJR370" s="632"/>
      <c r="KJS370" s="16"/>
      <c r="KJT370" s="636">
        <v>0.13500000000000001</v>
      </c>
      <c r="KJU370" s="636">
        <v>0.12</v>
      </c>
      <c r="KJV370" s="636">
        <v>0.13</v>
      </c>
      <c r="KJW370" s="636">
        <v>0.12</v>
      </c>
      <c r="KJX370" s="636">
        <v>0.12</v>
      </c>
      <c r="KJY370" s="649">
        <v>0.12</v>
      </c>
      <c r="KJZ370" s="16"/>
      <c r="KKA370" s="320">
        <v>0.10100000000000001</v>
      </c>
      <c r="KKB370" s="153"/>
      <c r="KKC370" s="153"/>
      <c r="KKD370" s="153"/>
      <c r="KKE370" s="648"/>
      <c r="KKF370" s="641"/>
      <c r="KKG370" s="631" t="s">
        <v>265</v>
      </c>
      <c r="KKH370" s="632"/>
      <c r="KKI370" s="16"/>
      <c r="KKJ370" s="636">
        <v>0.13500000000000001</v>
      </c>
      <c r="KKK370" s="636">
        <v>0.12</v>
      </c>
      <c r="KKL370" s="636">
        <v>0.13</v>
      </c>
      <c r="KKM370" s="636">
        <v>0.12</v>
      </c>
      <c r="KKN370" s="636">
        <v>0.12</v>
      </c>
      <c r="KKO370" s="649">
        <v>0.12</v>
      </c>
      <c r="KKP370" s="16"/>
      <c r="KKQ370" s="320">
        <v>0.10100000000000001</v>
      </c>
      <c r="KKR370" s="153"/>
      <c r="KKS370" s="153"/>
      <c r="KKT370" s="153"/>
      <c r="KKU370" s="648"/>
      <c r="KKV370" s="641"/>
      <c r="KKW370" s="631" t="s">
        <v>265</v>
      </c>
      <c r="KKX370" s="632"/>
      <c r="KKY370" s="16"/>
      <c r="KKZ370" s="636">
        <v>0.13500000000000001</v>
      </c>
      <c r="KLA370" s="636">
        <v>0.12</v>
      </c>
      <c r="KLB370" s="636">
        <v>0.13</v>
      </c>
      <c r="KLC370" s="636">
        <v>0.12</v>
      </c>
      <c r="KLD370" s="636">
        <v>0.12</v>
      </c>
      <c r="KLE370" s="649">
        <v>0.12</v>
      </c>
      <c r="KLF370" s="16"/>
      <c r="KLG370" s="320">
        <v>0.10100000000000001</v>
      </c>
      <c r="KLH370" s="153"/>
      <c r="KLI370" s="153"/>
      <c r="KLJ370" s="153"/>
      <c r="KLK370" s="648"/>
      <c r="KLL370" s="641"/>
      <c r="KLM370" s="631" t="s">
        <v>265</v>
      </c>
      <c r="KLN370" s="632"/>
      <c r="KLO370" s="16"/>
      <c r="KLP370" s="636">
        <v>0.13500000000000001</v>
      </c>
      <c r="KLQ370" s="636">
        <v>0.12</v>
      </c>
      <c r="KLR370" s="636">
        <v>0.13</v>
      </c>
      <c r="KLS370" s="636">
        <v>0.12</v>
      </c>
      <c r="KLT370" s="636">
        <v>0.12</v>
      </c>
      <c r="KLU370" s="649">
        <v>0.12</v>
      </c>
      <c r="KLV370" s="16"/>
      <c r="KLW370" s="320">
        <v>0.10100000000000001</v>
      </c>
      <c r="KLX370" s="153"/>
      <c r="KLY370" s="153"/>
      <c r="KLZ370" s="153"/>
      <c r="KMA370" s="648"/>
      <c r="KMB370" s="641"/>
      <c r="KMC370" s="631" t="s">
        <v>265</v>
      </c>
      <c r="KMD370" s="632"/>
      <c r="KME370" s="16"/>
      <c r="KMF370" s="636">
        <v>0.13500000000000001</v>
      </c>
      <c r="KMG370" s="636">
        <v>0.12</v>
      </c>
      <c r="KMH370" s="636">
        <v>0.13</v>
      </c>
      <c r="KMI370" s="636">
        <v>0.12</v>
      </c>
      <c r="KMJ370" s="636">
        <v>0.12</v>
      </c>
      <c r="KMK370" s="649">
        <v>0.12</v>
      </c>
      <c r="KML370" s="16"/>
      <c r="KMM370" s="320">
        <v>0.10100000000000001</v>
      </c>
      <c r="KMN370" s="153"/>
      <c r="KMO370" s="153"/>
      <c r="KMP370" s="153"/>
      <c r="KMQ370" s="648"/>
      <c r="KMR370" s="641"/>
      <c r="KMS370" s="631" t="s">
        <v>265</v>
      </c>
      <c r="KMT370" s="632"/>
      <c r="KMU370" s="16"/>
      <c r="KMV370" s="636">
        <v>0.13500000000000001</v>
      </c>
      <c r="KMW370" s="636">
        <v>0.12</v>
      </c>
      <c r="KMX370" s="636">
        <v>0.13</v>
      </c>
      <c r="KMY370" s="636">
        <v>0.12</v>
      </c>
      <c r="KMZ370" s="636">
        <v>0.12</v>
      </c>
      <c r="KNA370" s="649">
        <v>0.12</v>
      </c>
      <c r="KNB370" s="16"/>
      <c r="KNC370" s="320">
        <v>0.10100000000000001</v>
      </c>
      <c r="KND370" s="153"/>
      <c r="KNE370" s="153"/>
      <c r="KNF370" s="153"/>
      <c r="KNG370" s="648"/>
      <c r="KNH370" s="641"/>
      <c r="KNI370" s="631" t="s">
        <v>265</v>
      </c>
      <c r="KNJ370" s="632"/>
      <c r="KNK370" s="16"/>
      <c r="KNL370" s="636">
        <v>0.13500000000000001</v>
      </c>
      <c r="KNM370" s="636">
        <v>0.12</v>
      </c>
      <c r="KNN370" s="636">
        <v>0.13</v>
      </c>
      <c r="KNO370" s="636">
        <v>0.12</v>
      </c>
      <c r="KNP370" s="636">
        <v>0.12</v>
      </c>
      <c r="KNQ370" s="649">
        <v>0.12</v>
      </c>
      <c r="KNR370" s="16"/>
      <c r="KNS370" s="320">
        <v>0.10100000000000001</v>
      </c>
      <c r="KNT370" s="153"/>
      <c r="KNU370" s="153"/>
      <c r="KNV370" s="153"/>
      <c r="KNW370" s="648"/>
      <c r="KNX370" s="641"/>
      <c r="KNY370" s="631" t="s">
        <v>265</v>
      </c>
      <c r="KNZ370" s="632"/>
      <c r="KOA370" s="16"/>
      <c r="KOB370" s="636">
        <v>0.13500000000000001</v>
      </c>
      <c r="KOC370" s="636">
        <v>0.12</v>
      </c>
      <c r="KOD370" s="636">
        <v>0.13</v>
      </c>
      <c r="KOE370" s="636">
        <v>0.12</v>
      </c>
      <c r="KOF370" s="636">
        <v>0.12</v>
      </c>
      <c r="KOG370" s="649">
        <v>0.12</v>
      </c>
      <c r="KOH370" s="16"/>
      <c r="KOI370" s="320">
        <v>0.10100000000000001</v>
      </c>
      <c r="KOJ370" s="153"/>
      <c r="KOK370" s="153"/>
      <c r="KOL370" s="153"/>
      <c r="KOM370" s="648"/>
      <c r="KON370" s="641"/>
      <c r="KOO370" s="631" t="s">
        <v>265</v>
      </c>
      <c r="KOP370" s="632"/>
      <c r="KOQ370" s="16"/>
      <c r="KOR370" s="636">
        <v>0.13500000000000001</v>
      </c>
      <c r="KOS370" s="636">
        <v>0.12</v>
      </c>
      <c r="KOT370" s="636">
        <v>0.13</v>
      </c>
      <c r="KOU370" s="636">
        <v>0.12</v>
      </c>
      <c r="KOV370" s="636">
        <v>0.12</v>
      </c>
      <c r="KOW370" s="649">
        <v>0.12</v>
      </c>
      <c r="KOX370" s="16"/>
      <c r="KOY370" s="320">
        <v>0.10100000000000001</v>
      </c>
      <c r="KOZ370" s="153"/>
      <c r="KPA370" s="153"/>
      <c r="KPB370" s="153"/>
      <c r="KPC370" s="648"/>
      <c r="KPD370" s="641"/>
      <c r="KPE370" s="631" t="s">
        <v>265</v>
      </c>
      <c r="KPF370" s="632"/>
      <c r="KPG370" s="16"/>
      <c r="KPH370" s="636">
        <v>0.13500000000000001</v>
      </c>
      <c r="KPI370" s="636">
        <v>0.12</v>
      </c>
      <c r="KPJ370" s="636">
        <v>0.13</v>
      </c>
      <c r="KPK370" s="636">
        <v>0.12</v>
      </c>
      <c r="KPL370" s="636">
        <v>0.12</v>
      </c>
      <c r="KPM370" s="649">
        <v>0.12</v>
      </c>
      <c r="KPN370" s="16"/>
      <c r="KPO370" s="320">
        <v>0.10100000000000001</v>
      </c>
      <c r="KPP370" s="153"/>
      <c r="KPQ370" s="153"/>
      <c r="KPR370" s="153"/>
      <c r="KPS370" s="648"/>
      <c r="KPT370" s="641"/>
      <c r="KPU370" s="631" t="s">
        <v>265</v>
      </c>
      <c r="KPV370" s="632"/>
      <c r="KPW370" s="16"/>
      <c r="KPX370" s="636">
        <v>0.13500000000000001</v>
      </c>
      <c r="KPY370" s="636">
        <v>0.12</v>
      </c>
      <c r="KPZ370" s="636">
        <v>0.13</v>
      </c>
      <c r="KQA370" s="636">
        <v>0.12</v>
      </c>
      <c r="KQB370" s="636">
        <v>0.12</v>
      </c>
      <c r="KQC370" s="649">
        <v>0.12</v>
      </c>
      <c r="KQD370" s="16"/>
      <c r="KQE370" s="320">
        <v>0.10100000000000001</v>
      </c>
      <c r="KQF370" s="153"/>
      <c r="KQG370" s="153"/>
      <c r="KQH370" s="153"/>
      <c r="KQI370" s="648"/>
      <c r="KQJ370" s="641"/>
      <c r="KQK370" s="631" t="s">
        <v>265</v>
      </c>
      <c r="KQL370" s="632"/>
      <c r="KQM370" s="16"/>
      <c r="KQN370" s="636">
        <v>0.13500000000000001</v>
      </c>
      <c r="KQO370" s="636">
        <v>0.12</v>
      </c>
      <c r="KQP370" s="636">
        <v>0.13</v>
      </c>
      <c r="KQQ370" s="636">
        <v>0.12</v>
      </c>
      <c r="KQR370" s="636">
        <v>0.12</v>
      </c>
      <c r="KQS370" s="649">
        <v>0.12</v>
      </c>
      <c r="KQT370" s="16"/>
      <c r="KQU370" s="320">
        <v>0.10100000000000001</v>
      </c>
      <c r="KQV370" s="153"/>
      <c r="KQW370" s="153"/>
      <c r="KQX370" s="153"/>
      <c r="KQY370" s="648"/>
      <c r="KQZ370" s="641"/>
      <c r="KRA370" s="631" t="s">
        <v>265</v>
      </c>
      <c r="KRB370" s="632"/>
      <c r="KRC370" s="16"/>
      <c r="KRD370" s="636">
        <v>0.13500000000000001</v>
      </c>
      <c r="KRE370" s="636">
        <v>0.12</v>
      </c>
      <c r="KRF370" s="636">
        <v>0.13</v>
      </c>
      <c r="KRG370" s="636">
        <v>0.12</v>
      </c>
      <c r="KRH370" s="636">
        <v>0.12</v>
      </c>
      <c r="KRI370" s="649">
        <v>0.12</v>
      </c>
      <c r="KRJ370" s="16"/>
      <c r="KRK370" s="320">
        <v>0.10100000000000001</v>
      </c>
      <c r="KRL370" s="153"/>
      <c r="KRM370" s="153"/>
      <c r="KRN370" s="153"/>
      <c r="KRO370" s="648"/>
      <c r="KRP370" s="641"/>
      <c r="KRQ370" s="631" t="s">
        <v>265</v>
      </c>
      <c r="KRR370" s="632"/>
      <c r="KRS370" s="16"/>
      <c r="KRT370" s="636">
        <v>0.13500000000000001</v>
      </c>
      <c r="KRU370" s="636">
        <v>0.12</v>
      </c>
      <c r="KRV370" s="636">
        <v>0.13</v>
      </c>
      <c r="KRW370" s="636">
        <v>0.12</v>
      </c>
      <c r="KRX370" s="636">
        <v>0.12</v>
      </c>
      <c r="KRY370" s="649">
        <v>0.12</v>
      </c>
      <c r="KRZ370" s="16"/>
      <c r="KSA370" s="320">
        <v>0.10100000000000001</v>
      </c>
      <c r="KSB370" s="153"/>
      <c r="KSC370" s="153"/>
      <c r="KSD370" s="153"/>
      <c r="KSE370" s="648"/>
      <c r="KSF370" s="641"/>
      <c r="KSG370" s="631" t="s">
        <v>265</v>
      </c>
      <c r="KSH370" s="632"/>
      <c r="KSI370" s="16"/>
      <c r="KSJ370" s="636">
        <v>0.13500000000000001</v>
      </c>
      <c r="KSK370" s="636">
        <v>0.12</v>
      </c>
      <c r="KSL370" s="636">
        <v>0.13</v>
      </c>
      <c r="KSM370" s="636">
        <v>0.12</v>
      </c>
      <c r="KSN370" s="636">
        <v>0.12</v>
      </c>
      <c r="KSO370" s="649">
        <v>0.12</v>
      </c>
      <c r="KSP370" s="16"/>
      <c r="KSQ370" s="320">
        <v>0.10100000000000001</v>
      </c>
      <c r="KSR370" s="153"/>
      <c r="KSS370" s="153"/>
      <c r="KST370" s="153"/>
      <c r="KSU370" s="648"/>
      <c r="KSV370" s="641"/>
      <c r="KSW370" s="631" t="s">
        <v>265</v>
      </c>
      <c r="KSX370" s="632"/>
      <c r="KSY370" s="16"/>
      <c r="KSZ370" s="636">
        <v>0.13500000000000001</v>
      </c>
      <c r="KTA370" s="636">
        <v>0.12</v>
      </c>
      <c r="KTB370" s="636">
        <v>0.13</v>
      </c>
      <c r="KTC370" s="636">
        <v>0.12</v>
      </c>
      <c r="KTD370" s="636">
        <v>0.12</v>
      </c>
      <c r="KTE370" s="649">
        <v>0.12</v>
      </c>
      <c r="KTF370" s="16"/>
      <c r="KTG370" s="320">
        <v>0.10100000000000001</v>
      </c>
      <c r="KTH370" s="153"/>
      <c r="KTI370" s="153"/>
      <c r="KTJ370" s="153"/>
      <c r="KTK370" s="648"/>
      <c r="KTL370" s="641"/>
      <c r="KTM370" s="631" t="s">
        <v>265</v>
      </c>
      <c r="KTN370" s="632"/>
      <c r="KTO370" s="16"/>
      <c r="KTP370" s="636">
        <v>0.13500000000000001</v>
      </c>
      <c r="KTQ370" s="636">
        <v>0.12</v>
      </c>
      <c r="KTR370" s="636">
        <v>0.13</v>
      </c>
      <c r="KTS370" s="636">
        <v>0.12</v>
      </c>
      <c r="KTT370" s="636">
        <v>0.12</v>
      </c>
      <c r="KTU370" s="649">
        <v>0.12</v>
      </c>
      <c r="KTV370" s="16"/>
      <c r="KTW370" s="320">
        <v>0.10100000000000001</v>
      </c>
      <c r="KTX370" s="153"/>
      <c r="KTY370" s="153"/>
      <c r="KTZ370" s="153"/>
      <c r="KUA370" s="648"/>
      <c r="KUB370" s="641"/>
      <c r="KUC370" s="631" t="s">
        <v>265</v>
      </c>
      <c r="KUD370" s="632"/>
      <c r="KUE370" s="16"/>
      <c r="KUF370" s="636">
        <v>0.13500000000000001</v>
      </c>
      <c r="KUG370" s="636">
        <v>0.12</v>
      </c>
      <c r="KUH370" s="636">
        <v>0.13</v>
      </c>
      <c r="KUI370" s="636">
        <v>0.12</v>
      </c>
      <c r="KUJ370" s="636">
        <v>0.12</v>
      </c>
      <c r="KUK370" s="649">
        <v>0.12</v>
      </c>
      <c r="KUL370" s="16"/>
      <c r="KUM370" s="320">
        <v>0.10100000000000001</v>
      </c>
      <c r="KUN370" s="153"/>
      <c r="KUO370" s="153"/>
      <c r="KUP370" s="153"/>
      <c r="KUQ370" s="648"/>
      <c r="KUR370" s="641"/>
      <c r="KUS370" s="631" t="s">
        <v>265</v>
      </c>
      <c r="KUT370" s="632"/>
      <c r="KUU370" s="16"/>
      <c r="KUV370" s="636">
        <v>0.13500000000000001</v>
      </c>
      <c r="KUW370" s="636">
        <v>0.12</v>
      </c>
      <c r="KUX370" s="636">
        <v>0.13</v>
      </c>
      <c r="KUY370" s="636">
        <v>0.12</v>
      </c>
      <c r="KUZ370" s="636">
        <v>0.12</v>
      </c>
      <c r="KVA370" s="649">
        <v>0.12</v>
      </c>
      <c r="KVB370" s="16"/>
      <c r="KVC370" s="320">
        <v>0.10100000000000001</v>
      </c>
      <c r="KVD370" s="153"/>
      <c r="KVE370" s="153"/>
      <c r="KVF370" s="153"/>
      <c r="KVG370" s="648"/>
      <c r="KVH370" s="641"/>
      <c r="KVI370" s="631" t="s">
        <v>265</v>
      </c>
      <c r="KVJ370" s="632"/>
      <c r="KVK370" s="16"/>
      <c r="KVL370" s="636">
        <v>0.13500000000000001</v>
      </c>
      <c r="KVM370" s="636">
        <v>0.12</v>
      </c>
      <c r="KVN370" s="636">
        <v>0.13</v>
      </c>
      <c r="KVO370" s="636">
        <v>0.12</v>
      </c>
      <c r="KVP370" s="636">
        <v>0.12</v>
      </c>
      <c r="KVQ370" s="649">
        <v>0.12</v>
      </c>
      <c r="KVR370" s="16"/>
      <c r="KVS370" s="320">
        <v>0.10100000000000001</v>
      </c>
      <c r="KVT370" s="153"/>
      <c r="KVU370" s="153"/>
      <c r="KVV370" s="153"/>
      <c r="KVW370" s="648"/>
      <c r="KVX370" s="641"/>
      <c r="KVY370" s="631" t="s">
        <v>265</v>
      </c>
      <c r="KVZ370" s="632"/>
      <c r="KWA370" s="16"/>
      <c r="KWB370" s="636">
        <v>0.13500000000000001</v>
      </c>
      <c r="KWC370" s="636">
        <v>0.12</v>
      </c>
      <c r="KWD370" s="636">
        <v>0.13</v>
      </c>
      <c r="KWE370" s="636">
        <v>0.12</v>
      </c>
      <c r="KWF370" s="636">
        <v>0.12</v>
      </c>
      <c r="KWG370" s="649">
        <v>0.12</v>
      </c>
      <c r="KWH370" s="16"/>
      <c r="KWI370" s="320">
        <v>0.10100000000000001</v>
      </c>
      <c r="KWJ370" s="153"/>
      <c r="KWK370" s="153"/>
      <c r="KWL370" s="153"/>
      <c r="KWM370" s="648"/>
      <c r="KWN370" s="641"/>
      <c r="KWO370" s="631" t="s">
        <v>265</v>
      </c>
      <c r="KWP370" s="632"/>
      <c r="KWQ370" s="16"/>
      <c r="KWR370" s="636">
        <v>0.13500000000000001</v>
      </c>
      <c r="KWS370" s="636">
        <v>0.12</v>
      </c>
      <c r="KWT370" s="636">
        <v>0.13</v>
      </c>
      <c r="KWU370" s="636">
        <v>0.12</v>
      </c>
      <c r="KWV370" s="636">
        <v>0.12</v>
      </c>
      <c r="KWW370" s="649">
        <v>0.12</v>
      </c>
      <c r="KWX370" s="16"/>
      <c r="KWY370" s="320">
        <v>0.10100000000000001</v>
      </c>
      <c r="KWZ370" s="153"/>
      <c r="KXA370" s="153"/>
      <c r="KXB370" s="153"/>
      <c r="KXC370" s="648"/>
      <c r="KXD370" s="641"/>
      <c r="KXE370" s="631" t="s">
        <v>265</v>
      </c>
      <c r="KXF370" s="632"/>
      <c r="KXG370" s="16"/>
      <c r="KXH370" s="636">
        <v>0.13500000000000001</v>
      </c>
      <c r="KXI370" s="636">
        <v>0.12</v>
      </c>
      <c r="KXJ370" s="636">
        <v>0.13</v>
      </c>
      <c r="KXK370" s="636">
        <v>0.12</v>
      </c>
      <c r="KXL370" s="636">
        <v>0.12</v>
      </c>
      <c r="KXM370" s="649">
        <v>0.12</v>
      </c>
      <c r="KXN370" s="16"/>
      <c r="KXO370" s="320">
        <v>0.10100000000000001</v>
      </c>
      <c r="KXP370" s="153"/>
      <c r="KXQ370" s="153"/>
      <c r="KXR370" s="153"/>
      <c r="KXS370" s="648"/>
      <c r="KXT370" s="641"/>
      <c r="KXU370" s="631" t="s">
        <v>265</v>
      </c>
      <c r="KXV370" s="632"/>
      <c r="KXW370" s="16"/>
      <c r="KXX370" s="636">
        <v>0.13500000000000001</v>
      </c>
      <c r="KXY370" s="636">
        <v>0.12</v>
      </c>
      <c r="KXZ370" s="636">
        <v>0.13</v>
      </c>
      <c r="KYA370" s="636">
        <v>0.12</v>
      </c>
      <c r="KYB370" s="636">
        <v>0.12</v>
      </c>
      <c r="KYC370" s="649">
        <v>0.12</v>
      </c>
      <c r="KYD370" s="16"/>
      <c r="KYE370" s="320">
        <v>0.10100000000000001</v>
      </c>
      <c r="KYF370" s="153"/>
      <c r="KYG370" s="153"/>
      <c r="KYH370" s="153"/>
      <c r="KYI370" s="648"/>
      <c r="KYJ370" s="641"/>
      <c r="KYK370" s="631" t="s">
        <v>265</v>
      </c>
      <c r="KYL370" s="632"/>
      <c r="KYM370" s="16"/>
      <c r="KYN370" s="636">
        <v>0.13500000000000001</v>
      </c>
      <c r="KYO370" s="636">
        <v>0.12</v>
      </c>
      <c r="KYP370" s="636">
        <v>0.13</v>
      </c>
      <c r="KYQ370" s="636">
        <v>0.12</v>
      </c>
      <c r="KYR370" s="636">
        <v>0.12</v>
      </c>
      <c r="KYS370" s="649">
        <v>0.12</v>
      </c>
      <c r="KYT370" s="16"/>
      <c r="KYU370" s="320">
        <v>0.10100000000000001</v>
      </c>
      <c r="KYV370" s="153"/>
      <c r="KYW370" s="153"/>
      <c r="KYX370" s="153"/>
      <c r="KYY370" s="648"/>
      <c r="KYZ370" s="641"/>
      <c r="KZA370" s="631" t="s">
        <v>265</v>
      </c>
      <c r="KZB370" s="632"/>
      <c r="KZC370" s="16"/>
      <c r="KZD370" s="636">
        <v>0.13500000000000001</v>
      </c>
      <c r="KZE370" s="636">
        <v>0.12</v>
      </c>
      <c r="KZF370" s="636">
        <v>0.13</v>
      </c>
      <c r="KZG370" s="636">
        <v>0.12</v>
      </c>
      <c r="KZH370" s="636">
        <v>0.12</v>
      </c>
      <c r="KZI370" s="649">
        <v>0.12</v>
      </c>
      <c r="KZJ370" s="16"/>
      <c r="KZK370" s="320">
        <v>0.10100000000000001</v>
      </c>
      <c r="KZL370" s="153"/>
      <c r="KZM370" s="153"/>
      <c r="KZN370" s="153"/>
      <c r="KZO370" s="648"/>
      <c r="KZP370" s="641"/>
      <c r="KZQ370" s="631" t="s">
        <v>265</v>
      </c>
      <c r="KZR370" s="632"/>
      <c r="KZS370" s="16"/>
      <c r="KZT370" s="636">
        <v>0.13500000000000001</v>
      </c>
      <c r="KZU370" s="636">
        <v>0.12</v>
      </c>
      <c r="KZV370" s="636">
        <v>0.13</v>
      </c>
      <c r="KZW370" s="636">
        <v>0.12</v>
      </c>
      <c r="KZX370" s="636">
        <v>0.12</v>
      </c>
      <c r="KZY370" s="649">
        <v>0.12</v>
      </c>
      <c r="KZZ370" s="16"/>
      <c r="LAA370" s="320">
        <v>0.10100000000000001</v>
      </c>
      <c r="LAB370" s="153"/>
      <c r="LAC370" s="153"/>
      <c r="LAD370" s="153"/>
      <c r="LAE370" s="648"/>
      <c r="LAF370" s="641"/>
      <c r="LAG370" s="631" t="s">
        <v>265</v>
      </c>
      <c r="LAH370" s="632"/>
      <c r="LAI370" s="16"/>
      <c r="LAJ370" s="636">
        <v>0.13500000000000001</v>
      </c>
      <c r="LAK370" s="636">
        <v>0.12</v>
      </c>
      <c r="LAL370" s="636">
        <v>0.13</v>
      </c>
      <c r="LAM370" s="636">
        <v>0.12</v>
      </c>
      <c r="LAN370" s="636">
        <v>0.12</v>
      </c>
      <c r="LAO370" s="649">
        <v>0.12</v>
      </c>
      <c r="LAP370" s="16"/>
      <c r="LAQ370" s="320">
        <v>0.10100000000000001</v>
      </c>
      <c r="LAR370" s="153"/>
      <c r="LAS370" s="153"/>
      <c r="LAT370" s="153"/>
      <c r="LAU370" s="648"/>
      <c r="LAV370" s="641"/>
      <c r="LAW370" s="631" t="s">
        <v>265</v>
      </c>
      <c r="LAX370" s="632"/>
      <c r="LAY370" s="16"/>
      <c r="LAZ370" s="636">
        <v>0.13500000000000001</v>
      </c>
      <c r="LBA370" s="636">
        <v>0.12</v>
      </c>
      <c r="LBB370" s="636">
        <v>0.13</v>
      </c>
      <c r="LBC370" s="636">
        <v>0.12</v>
      </c>
      <c r="LBD370" s="636">
        <v>0.12</v>
      </c>
      <c r="LBE370" s="649">
        <v>0.12</v>
      </c>
      <c r="LBF370" s="16"/>
      <c r="LBG370" s="320">
        <v>0.10100000000000001</v>
      </c>
      <c r="LBH370" s="153"/>
      <c r="LBI370" s="153"/>
      <c r="LBJ370" s="153"/>
      <c r="LBK370" s="648"/>
      <c r="LBL370" s="641"/>
      <c r="LBM370" s="631" t="s">
        <v>265</v>
      </c>
      <c r="LBN370" s="632"/>
      <c r="LBO370" s="16"/>
      <c r="LBP370" s="636">
        <v>0.13500000000000001</v>
      </c>
      <c r="LBQ370" s="636">
        <v>0.12</v>
      </c>
      <c r="LBR370" s="636">
        <v>0.13</v>
      </c>
      <c r="LBS370" s="636">
        <v>0.12</v>
      </c>
      <c r="LBT370" s="636">
        <v>0.12</v>
      </c>
      <c r="LBU370" s="649">
        <v>0.12</v>
      </c>
      <c r="LBV370" s="16"/>
      <c r="LBW370" s="320">
        <v>0.10100000000000001</v>
      </c>
      <c r="LBX370" s="153"/>
      <c r="LBY370" s="153"/>
      <c r="LBZ370" s="153"/>
      <c r="LCA370" s="648"/>
      <c r="LCB370" s="641"/>
      <c r="LCC370" s="631" t="s">
        <v>265</v>
      </c>
      <c r="LCD370" s="632"/>
      <c r="LCE370" s="16"/>
      <c r="LCF370" s="636">
        <v>0.13500000000000001</v>
      </c>
      <c r="LCG370" s="636">
        <v>0.12</v>
      </c>
      <c r="LCH370" s="636">
        <v>0.13</v>
      </c>
      <c r="LCI370" s="636">
        <v>0.12</v>
      </c>
      <c r="LCJ370" s="636">
        <v>0.12</v>
      </c>
      <c r="LCK370" s="649">
        <v>0.12</v>
      </c>
      <c r="LCL370" s="16"/>
      <c r="LCM370" s="320">
        <v>0.10100000000000001</v>
      </c>
      <c r="LCN370" s="153"/>
      <c r="LCO370" s="153"/>
      <c r="LCP370" s="153"/>
      <c r="LCQ370" s="648"/>
      <c r="LCR370" s="641"/>
      <c r="LCS370" s="631" t="s">
        <v>265</v>
      </c>
      <c r="LCT370" s="632"/>
      <c r="LCU370" s="16"/>
      <c r="LCV370" s="636">
        <v>0.13500000000000001</v>
      </c>
      <c r="LCW370" s="636">
        <v>0.12</v>
      </c>
      <c r="LCX370" s="636">
        <v>0.13</v>
      </c>
      <c r="LCY370" s="636">
        <v>0.12</v>
      </c>
      <c r="LCZ370" s="636">
        <v>0.12</v>
      </c>
      <c r="LDA370" s="649">
        <v>0.12</v>
      </c>
      <c r="LDB370" s="16"/>
      <c r="LDC370" s="320">
        <v>0.10100000000000001</v>
      </c>
      <c r="LDD370" s="153"/>
      <c r="LDE370" s="153"/>
      <c r="LDF370" s="153"/>
      <c r="LDG370" s="648"/>
      <c r="LDH370" s="641"/>
      <c r="LDI370" s="631" t="s">
        <v>265</v>
      </c>
      <c r="LDJ370" s="632"/>
      <c r="LDK370" s="16"/>
      <c r="LDL370" s="636">
        <v>0.13500000000000001</v>
      </c>
      <c r="LDM370" s="636">
        <v>0.12</v>
      </c>
      <c r="LDN370" s="636">
        <v>0.13</v>
      </c>
      <c r="LDO370" s="636">
        <v>0.12</v>
      </c>
      <c r="LDP370" s="636">
        <v>0.12</v>
      </c>
      <c r="LDQ370" s="649">
        <v>0.12</v>
      </c>
      <c r="LDR370" s="16"/>
      <c r="LDS370" s="320">
        <v>0.10100000000000001</v>
      </c>
      <c r="LDT370" s="153"/>
      <c r="LDU370" s="153"/>
      <c r="LDV370" s="153"/>
      <c r="LDW370" s="648"/>
      <c r="LDX370" s="641"/>
      <c r="LDY370" s="631" t="s">
        <v>265</v>
      </c>
      <c r="LDZ370" s="632"/>
      <c r="LEA370" s="16"/>
      <c r="LEB370" s="636">
        <v>0.13500000000000001</v>
      </c>
      <c r="LEC370" s="636">
        <v>0.12</v>
      </c>
      <c r="LED370" s="636">
        <v>0.13</v>
      </c>
      <c r="LEE370" s="636">
        <v>0.12</v>
      </c>
      <c r="LEF370" s="636">
        <v>0.12</v>
      </c>
      <c r="LEG370" s="649">
        <v>0.12</v>
      </c>
      <c r="LEH370" s="16"/>
      <c r="LEI370" s="320">
        <v>0.10100000000000001</v>
      </c>
      <c r="LEJ370" s="153"/>
      <c r="LEK370" s="153"/>
      <c r="LEL370" s="153"/>
      <c r="LEM370" s="648"/>
      <c r="LEN370" s="641"/>
      <c r="LEO370" s="631" t="s">
        <v>265</v>
      </c>
      <c r="LEP370" s="632"/>
      <c r="LEQ370" s="16"/>
      <c r="LER370" s="636">
        <v>0.13500000000000001</v>
      </c>
      <c r="LES370" s="636">
        <v>0.12</v>
      </c>
      <c r="LET370" s="636">
        <v>0.13</v>
      </c>
      <c r="LEU370" s="636">
        <v>0.12</v>
      </c>
      <c r="LEV370" s="636">
        <v>0.12</v>
      </c>
      <c r="LEW370" s="649">
        <v>0.12</v>
      </c>
      <c r="LEX370" s="16"/>
      <c r="LEY370" s="320">
        <v>0.10100000000000001</v>
      </c>
      <c r="LEZ370" s="153"/>
      <c r="LFA370" s="153"/>
      <c r="LFB370" s="153"/>
      <c r="LFC370" s="648"/>
      <c r="LFD370" s="641"/>
      <c r="LFE370" s="631" t="s">
        <v>265</v>
      </c>
      <c r="LFF370" s="632"/>
      <c r="LFG370" s="16"/>
      <c r="LFH370" s="636">
        <v>0.13500000000000001</v>
      </c>
      <c r="LFI370" s="636">
        <v>0.12</v>
      </c>
      <c r="LFJ370" s="636">
        <v>0.13</v>
      </c>
      <c r="LFK370" s="636">
        <v>0.12</v>
      </c>
      <c r="LFL370" s="636">
        <v>0.12</v>
      </c>
      <c r="LFM370" s="649">
        <v>0.12</v>
      </c>
      <c r="LFN370" s="16"/>
      <c r="LFO370" s="320">
        <v>0.10100000000000001</v>
      </c>
      <c r="LFP370" s="153"/>
      <c r="LFQ370" s="153"/>
      <c r="LFR370" s="153"/>
      <c r="LFS370" s="648"/>
      <c r="LFT370" s="641"/>
      <c r="LFU370" s="631" t="s">
        <v>265</v>
      </c>
      <c r="LFV370" s="632"/>
      <c r="LFW370" s="16"/>
      <c r="LFX370" s="636">
        <v>0.13500000000000001</v>
      </c>
      <c r="LFY370" s="636">
        <v>0.12</v>
      </c>
      <c r="LFZ370" s="636">
        <v>0.13</v>
      </c>
      <c r="LGA370" s="636">
        <v>0.12</v>
      </c>
      <c r="LGB370" s="636">
        <v>0.12</v>
      </c>
      <c r="LGC370" s="649">
        <v>0.12</v>
      </c>
      <c r="LGD370" s="16"/>
      <c r="LGE370" s="320">
        <v>0.10100000000000001</v>
      </c>
      <c r="LGF370" s="153"/>
      <c r="LGG370" s="153"/>
      <c r="LGH370" s="153"/>
      <c r="LGI370" s="648"/>
      <c r="LGJ370" s="641"/>
      <c r="LGK370" s="631" t="s">
        <v>265</v>
      </c>
      <c r="LGL370" s="632"/>
      <c r="LGM370" s="16"/>
      <c r="LGN370" s="636">
        <v>0.13500000000000001</v>
      </c>
      <c r="LGO370" s="636">
        <v>0.12</v>
      </c>
      <c r="LGP370" s="636">
        <v>0.13</v>
      </c>
      <c r="LGQ370" s="636">
        <v>0.12</v>
      </c>
      <c r="LGR370" s="636">
        <v>0.12</v>
      </c>
      <c r="LGS370" s="649">
        <v>0.12</v>
      </c>
      <c r="LGT370" s="16"/>
      <c r="LGU370" s="320">
        <v>0.10100000000000001</v>
      </c>
      <c r="LGV370" s="153"/>
      <c r="LGW370" s="153"/>
      <c r="LGX370" s="153"/>
      <c r="LGY370" s="648"/>
      <c r="LGZ370" s="641"/>
      <c r="LHA370" s="631" t="s">
        <v>265</v>
      </c>
      <c r="LHB370" s="632"/>
      <c r="LHC370" s="16"/>
      <c r="LHD370" s="636">
        <v>0.13500000000000001</v>
      </c>
      <c r="LHE370" s="636">
        <v>0.12</v>
      </c>
      <c r="LHF370" s="636">
        <v>0.13</v>
      </c>
      <c r="LHG370" s="636">
        <v>0.12</v>
      </c>
      <c r="LHH370" s="636">
        <v>0.12</v>
      </c>
      <c r="LHI370" s="649">
        <v>0.12</v>
      </c>
      <c r="LHJ370" s="16"/>
      <c r="LHK370" s="320">
        <v>0.10100000000000001</v>
      </c>
      <c r="LHL370" s="153"/>
      <c r="LHM370" s="153"/>
      <c r="LHN370" s="153"/>
      <c r="LHO370" s="648"/>
      <c r="LHP370" s="641"/>
      <c r="LHQ370" s="631" t="s">
        <v>265</v>
      </c>
      <c r="LHR370" s="632"/>
      <c r="LHS370" s="16"/>
      <c r="LHT370" s="636">
        <v>0.13500000000000001</v>
      </c>
      <c r="LHU370" s="636">
        <v>0.12</v>
      </c>
      <c r="LHV370" s="636">
        <v>0.13</v>
      </c>
      <c r="LHW370" s="636">
        <v>0.12</v>
      </c>
      <c r="LHX370" s="636">
        <v>0.12</v>
      </c>
      <c r="LHY370" s="649">
        <v>0.12</v>
      </c>
      <c r="LHZ370" s="16"/>
      <c r="LIA370" s="320">
        <v>0.10100000000000001</v>
      </c>
      <c r="LIB370" s="153"/>
      <c r="LIC370" s="153"/>
      <c r="LID370" s="153"/>
      <c r="LIE370" s="648"/>
      <c r="LIF370" s="641"/>
      <c r="LIG370" s="631" t="s">
        <v>265</v>
      </c>
      <c r="LIH370" s="632"/>
      <c r="LII370" s="16"/>
      <c r="LIJ370" s="636">
        <v>0.13500000000000001</v>
      </c>
      <c r="LIK370" s="636">
        <v>0.12</v>
      </c>
      <c r="LIL370" s="636">
        <v>0.13</v>
      </c>
      <c r="LIM370" s="636">
        <v>0.12</v>
      </c>
      <c r="LIN370" s="636">
        <v>0.12</v>
      </c>
      <c r="LIO370" s="649">
        <v>0.12</v>
      </c>
      <c r="LIP370" s="16"/>
      <c r="LIQ370" s="320">
        <v>0.10100000000000001</v>
      </c>
      <c r="LIR370" s="153"/>
      <c r="LIS370" s="153"/>
      <c r="LIT370" s="153"/>
      <c r="LIU370" s="648"/>
      <c r="LIV370" s="641"/>
      <c r="LIW370" s="631" t="s">
        <v>265</v>
      </c>
      <c r="LIX370" s="632"/>
      <c r="LIY370" s="16"/>
      <c r="LIZ370" s="636">
        <v>0.13500000000000001</v>
      </c>
      <c r="LJA370" s="636">
        <v>0.12</v>
      </c>
      <c r="LJB370" s="636">
        <v>0.13</v>
      </c>
      <c r="LJC370" s="636">
        <v>0.12</v>
      </c>
      <c r="LJD370" s="636">
        <v>0.12</v>
      </c>
      <c r="LJE370" s="649">
        <v>0.12</v>
      </c>
      <c r="LJF370" s="16"/>
      <c r="LJG370" s="320">
        <v>0.10100000000000001</v>
      </c>
      <c r="LJH370" s="153"/>
      <c r="LJI370" s="153"/>
      <c r="LJJ370" s="153"/>
      <c r="LJK370" s="648"/>
      <c r="LJL370" s="641"/>
      <c r="LJM370" s="631" t="s">
        <v>265</v>
      </c>
      <c r="LJN370" s="632"/>
      <c r="LJO370" s="16"/>
      <c r="LJP370" s="636">
        <v>0.13500000000000001</v>
      </c>
      <c r="LJQ370" s="636">
        <v>0.12</v>
      </c>
      <c r="LJR370" s="636">
        <v>0.13</v>
      </c>
      <c r="LJS370" s="636">
        <v>0.12</v>
      </c>
      <c r="LJT370" s="636">
        <v>0.12</v>
      </c>
      <c r="LJU370" s="649">
        <v>0.12</v>
      </c>
      <c r="LJV370" s="16"/>
      <c r="LJW370" s="320">
        <v>0.10100000000000001</v>
      </c>
      <c r="LJX370" s="153"/>
      <c r="LJY370" s="153"/>
      <c r="LJZ370" s="153"/>
      <c r="LKA370" s="648"/>
      <c r="LKB370" s="641"/>
      <c r="LKC370" s="631" t="s">
        <v>265</v>
      </c>
      <c r="LKD370" s="632"/>
      <c r="LKE370" s="16"/>
      <c r="LKF370" s="636">
        <v>0.13500000000000001</v>
      </c>
      <c r="LKG370" s="636">
        <v>0.12</v>
      </c>
      <c r="LKH370" s="636">
        <v>0.13</v>
      </c>
      <c r="LKI370" s="636">
        <v>0.12</v>
      </c>
      <c r="LKJ370" s="636">
        <v>0.12</v>
      </c>
      <c r="LKK370" s="649">
        <v>0.12</v>
      </c>
      <c r="LKL370" s="16"/>
      <c r="LKM370" s="320">
        <v>0.10100000000000001</v>
      </c>
      <c r="LKN370" s="153"/>
      <c r="LKO370" s="153"/>
      <c r="LKP370" s="153"/>
      <c r="LKQ370" s="648"/>
      <c r="LKR370" s="641"/>
      <c r="LKS370" s="631" t="s">
        <v>265</v>
      </c>
      <c r="LKT370" s="632"/>
      <c r="LKU370" s="16"/>
      <c r="LKV370" s="636">
        <v>0.13500000000000001</v>
      </c>
      <c r="LKW370" s="636">
        <v>0.12</v>
      </c>
      <c r="LKX370" s="636">
        <v>0.13</v>
      </c>
      <c r="LKY370" s="636">
        <v>0.12</v>
      </c>
      <c r="LKZ370" s="636">
        <v>0.12</v>
      </c>
      <c r="LLA370" s="649">
        <v>0.12</v>
      </c>
      <c r="LLB370" s="16"/>
      <c r="LLC370" s="320">
        <v>0.10100000000000001</v>
      </c>
      <c r="LLD370" s="153"/>
      <c r="LLE370" s="153"/>
      <c r="LLF370" s="153"/>
      <c r="LLG370" s="648"/>
      <c r="LLH370" s="641"/>
      <c r="LLI370" s="631" t="s">
        <v>265</v>
      </c>
      <c r="LLJ370" s="632"/>
      <c r="LLK370" s="16"/>
      <c r="LLL370" s="636">
        <v>0.13500000000000001</v>
      </c>
      <c r="LLM370" s="636">
        <v>0.12</v>
      </c>
      <c r="LLN370" s="636">
        <v>0.13</v>
      </c>
      <c r="LLO370" s="636">
        <v>0.12</v>
      </c>
      <c r="LLP370" s="636">
        <v>0.12</v>
      </c>
      <c r="LLQ370" s="649">
        <v>0.12</v>
      </c>
      <c r="LLR370" s="16"/>
      <c r="LLS370" s="320">
        <v>0.10100000000000001</v>
      </c>
      <c r="LLT370" s="153"/>
      <c r="LLU370" s="153"/>
      <c r="LLV370" s="153"/>
      <c r="LLW370" s="648"/>
      <c r="LLX370" s="641"/>
      <c r="LLY370" s="631" t="s">
        <v>265</v>
      </c>
      <c r="LLZ370" s="632"/>
      <c r="LMA370" s="16"/>
      <c r="LMB370" s="636">
        <v>0.13500000000000001</v>
      </c>
      <c r="LMC370" s="636">
        <v>0.12</v>
      </c>
      <c r="LMD370" s="636">
        <v>0.13</v>
      </c>
      <c r="LME370" s="636">
        <v>0.12</v>
      </c>
      <c r="LMF370" s="636">
        <v>0.12</v>
      </c>
      <c r="LMG370" s="649">
        <v>0.12</v>
      </c>
      <c r="LMH370" s="16"/>
      <c r="LMI370" s="320">
        <v>0.10100000000000001</v>
      </c>
      <c r="LMJ370" s="153"/>
      <c r="LMK370" s="153"/>
      <c r="LML370" s="153"/>
      <c r="LMM370" s="648"/>
      <c r="LMN370" s="641"/>
      <c r="LMO370" s="631" t="s">
        <v>265</v>
      </c>
      <c r="LMP370" s="632"/>
      <c r="LMQ370" s="16"/>
      <c r="LMR370" s="636">
        <v>0.13500000000000001</v>
      </c>
      <c r="LMS370" s="636">
        <v>0.12</v>
      </c>
      <c r="LMT370" s="636">
        <v>0.13</v>
      </c>
      <c r="LMU370" s="636">
        <v>0.12</v>
      </c>
      <c r="LMV370" s="636">
        <v>0.12</v>
      </c>
      <c r="LMW370" s="649">
        <v>0.12</v>
      </c>
      <c r="LMX370" s="16"/>
      <c r="LMY370" s="320">
        <v>0.10100000000000001</v>
      </c>
      <c r="LMZ370" s="153"/>
      <c r="LNA370" s="153"/>
      <c r="LNB370" s="153"/>
      <c r="LNC370" s="648"/>
      <c r="LND370" s="641"/>
      <c r="LNE370" s="631" t="s">
        <v>265</v>
      </c>
      <c r="LNF370" s="632"/>
      <c r="LNG370" s="16"/>
      <c r="LNH370" s="636">
        <v>0.13500000000000001</v>
      </c>
      <c r="LNI370" s="636">
        <v>0.12</v>
      </c>
      <c r="LNJ370" s="636">
        <v>0.13</v>
      </c>
      <c r="LNK370" s="636">
        <v>0.12</v>
      </c>
      <c r="LNL370" s="636">
        <v>0.12</v>
      </c>
      <c r="LNM370" s="649">
        <v>0.12</v>
      </c>
      <c r="LNN370" s="16"/>
      <c r="LNO370" s="320">
        <v>0.10100000000000001</v>
      </c>
      <c r="LNP370" s="153"/>
      <c r="LNQ370" s="153"/>
      <c r="LNR370" s="153"/>
      <c r="LNS370" s="648"/>
      <c r="LNT370" s="641"/>
      <c r="LNU370" s="631" t="s">
        <v>265</v>
      </c>
      <c r="LNV370" s="632"/>
      <c r="LNW370" s="16"/>
      <c r="LNX370" s="636">
        <v>0.13500000000000001</v>
      </c>
      <c r="LNY370" s="636">
        <v>0.12</v>
      </c>
      <c r="LNZ370" s="636">
        <v>0.13</v>
      </c>
      <c r="LOA370" s="636">
        <v>0.12</v>
      </c>
      <c r="LOB370" s="636">
        <v>0.12</v>
      </c>
      <c r="LOC370" s="649">
        <v>0.12</v>
      </c>
      <c r="LOD370" s="16"/>
      <c r="LOE370" s="320">
        <v>0.10100000000000001</v>
      </c>
      <c r="LOF370" s="153"/>
      <c r="LOG370" s="153"/>
      <c r="LOH370" s="153"/>
      <c r="LOI370" s="648"/>
      <c r="LOJ370" s="641"/>
      <c r="LOK370" s="631" t="s">
        <v>265</v>
      </c>
      <c r="LOL370" s="632"/>
      <c r="LOM370" s="16"/>
      <c r="LON370" s="636">
        <v>0.13500000000000001</v>
      </c>
      <c r="LOO370" s="636">
        <v>0.12</v>
      </c>
      <c r="LOP370" s="636">
        <v>0.13</v>
      </c>
      <c r="LOQ370" s="636">
        <v>0.12</v>
      </c>
      <c r="LOR370" s="636">
        <v>0.12</v>
      </c>
      <c r="LOS370" s="649">
        <v>0.12</v>
      </c>
      <c r="LOT370" s="16"/>
      <c r="LOU370" s="320">
        <v>0.10100000000000001</v>
      </c>
      <c r="LOV370" s="153"/>
      <c r="LOW370" s="153"/>
      <c r="LOX370" s="153"/>
      <c r="LOY370" s="648"/>
      <c r="LOZ370" s="641"/>
      <c r="LPA370" s="631" t="s">
        <v>265</v>
      </c>
      <c r="LPB370" s="632"/>
      <c r="LPC370" s="16"/>
      <c r="LPD370" s="636">
        <v>0.13500000000000001</v>
      </c>
      <c r="LPE370" s="636">
        <v>0.12</v>
      </c>
      <c r="LPF370" s="636">
        <v>0.13</v>
      </c>
      <c r="LPG370" s="636">
        <v>0.12</v>
      </c>
      <c r="LPH370" s="636">
        <v>0.12</v>
      </c>
      <c r="LPI370" s="649">
        <v>0.12</v>
      </c>
      <c r="LPJ370" s="16"/>
      <c r="LPK370" s="320">
        <v>0.10100000000000001</v>
      </c>
      <c r="LPL370" s="153"/>
      <c r="LPM370" s="153"/>
      <c r="LPN370" s="153"/>
      <c r="LPO370" s="648"/>
      <c r="LPP370" s="641"/>
      <c r="LPQ370" s="631" t="s">
        <v>265</v>
      </c>
      <c r="LPR370" s="632"/>
      <c r="LPS370" s="16"/>
      <c r="LPT370" s="636">
        <v>0.13500000000000001</v>
      </c>
      <c r="LPU370" s="636">
        <v>0.12</v>
      </c>
      <c r="LPV370" s="636">
        <v>0.13</v>
      </c>
      <c r="LPW370" s="636">
        <v>0.12</v>
      </c>
      <c r="LPX370" s="636">
        <v>0.12</v>
      </c>
      <c r="LPY370" s="649">
        <v>0.12</v>
      </c>
      <c r="LPZ370" s="16"/>
      <c r="LQA370" s="320">
        <v>0.10100000000000001</v>
      </c>
      <c r="LQB370" s="153"/>
      <c r="LQC370" s="153"/>
      <c r="LQD370" s="153"/>
      <c r="LQE370" s="648"/>
      <c r="LQF370" s="641"/>
      <c r="LQG370" s="631" t="s">
        <v>265</v>
      </c>
      <c r="LQH370" s="632"/>
      <c r="LQI370" s="16"/>
      <c r="LQJ370" s="636">
        <v>0.13500000000000001</v>
      </c>
      <c r="LQK370" s="636">
        <v>0.12</v>
      </c>
      <c r="LQL370" s="636">
        <v>0.13</v>
      </c>
      <c r="LQM370" s="636">
        <v>0.12</v>
      </c>
      <c r="LQN370" s="636">
        <v>0.12</v>
      </c>
      <c r="LQO370" s="649">
        <v>0.12</v>
      </c>
      <c r="LQP370" s="16"/>
      <c r="LQQ370" s="320">
        <v>0.10100000000000001</v>
      </c>
      <c r="LQR370" s="153"/>
      <c r="LQS370" s="153"/>
      <c r="LQT370" s="153"/>
      <c r="LQU370" s="648"/>
      <c r="LQV370" s="641"/>
      <c r="LQW370" s="631" t="s">
        <v>265</v>
      </c>
      <c r="LQX370" s="632"/>
      <c r="LQY370" s="16"/>
      <c r="LQZ370" s="636">
        <v>0.13500000000000001</v>
      </c>
      <c r="LRA370" s="636">
        <v>0.12</v>
      </c>
      <c r="LRB370" s="636">
        <v>0.13</v>
      </c>
      <c r="LRC370" s="636">
        <v>0.12</v>
      </c>
      <c r="LRD370" s="636">
        <v>0.12</v>
      </c>
      <c r="LRE370" s="649">
        <v>0.12</v>
      </c>
      <c r="LRF370" s="16"/>
      <c r="LRG370" s="320">
        <v>0.10100000000000001</v>
      </c>
      <c r="LRH370" s="153"/>
      <c r="LRI370" s="153"/>
      <c r="LRJ370" s="153"/>
      <c r="LRK370" s="648"/>
      <c r="LRL370" s="641"/>
      <c r="LRM370" s="631" t="s">
        <v>265</v>
      </c>
      <c r="LRN370" s="632"/>
      <c r="LRO370" s="16"/>
      <c r="LRP370" s="636">
        <v>0.13500000000000001</v>
      </c>
      <c r="LRQ370" s="636">
        <v>0.12</v>
      </c>
      <c r="LRR370" s="636">
        <v>0.13</v>
      </c>
      <c r="LRS370" s="636">
        <v>0.12</v>
      </c>
      <c r="LRT370" s="636">
        <v>0.12</v>
      </c>
      <c r="LRU370" s="649">
        <v>0.12</v>
      </c>
      <c r="LRV370" s="16"/>
      <c r="LRW370" s="320">
        <v>0.10100000000000001</v>
      </c>
      <c r="LRX370" s="153"/>
      <c r="LRY370" s="153"/>
      <c r="LRZ370" s="153"/>
      <c r="LSA370" s="648"/>
      <c r="LSB370" s="641"/>
      <c r="LSC370" s="631" t="s">
        <v>265</v>
      </c>
      <c r="LSD370" s="632"/>
      <c r="LSE370" s="16"/>
      <c r="LSF370" s="636">
        <v>0.13500000000000001</v>
      </c>
      <c r="LSG370" s="636">
        <v>0.12</v>
      </c>
      <c r="LSH370" s="636">
        <v>0.13</v>
      </c>
      <c r="LSI370" s="636">
        <v>0.12</v>
      </c>
      <c r="LSJ370" s="636">
        <v>0.12</v>
      </c>
      <c r="LSK370" s="649">
        <v>0.12</v>
      </c>
      <c r="LSL370" s="16"/>
      <c r="LSM370" s="320">
        <v>0.10100000000000001</v>
      </c>
      <c r="LSN370" s="153"/>
      <c r="LSO370" s="153"/>
      <c r="LSP370" s="153"/>
      <c r="LSQ370" s="648"/>
      <c r="LSR370" s="641"/>
      <c r="LSS370" s="631" t="s">
        <v>265</v>
      </c>
      <c r="LST370" s="632"/>
      <c r="LSU370" s="16"/>
      <c r="LSV370" s="636">
        <v>0.13500000000000001</v>
      </c>
      <c r="LSW370" s="636">
        <v>0.12</v>
      </c>
      <c r="LSX370" s="636">
        <v>0.13</v>
      </c>
      <c r="LSY370" s="636">
        <v>0.12</v>
      </c>
      <c r="LSZ370" s="636">
        <v>0.12</v>
      </c>
      <c r="LTA370" s="649">
        <v>0.12</v>
      </c>
      <c r="LTB370" s="16"/>
      <c r="LTC370" s="320">
        <v>0.10100000000000001</v>
      </c>
      <c r="LTD370" s="153"/>
      <c r="LTE370" s="153"/>
      <c r="LTF370" s="153"/>
      <c r="LTG370" s="648"/>
      <c r="LTH370" s="641"/>
      <c r="LTI370" s="631" t="s">
        <v>265</v>
      </c>
      <c r="LTJ370" s="632"/>
      <c r="LTK370" s="16"/>
      <c r="LTL370" s="636">
        <v>0.13500000000000001</v>
      </c>
      <c r="LTM370" s="636">
        <v>0.12</v>
      </c>
      <c r="LTN370" s="636">
        <v>0.13</v>
      </c>
      <c r="LTO370" s="636">
        <v>0.12</v>
      </c>
      <c r="LTP370" s="636">
        <v>0.12</v>
      </c>
      <c r="LTQ370" s="649">
        <v>0.12</v>
      </c>
      <c r="LTR370" s="16"/>
      <c r="LTS370" s="320">
        <v>0.10100000000000001</v>
      </c>
      <c r="LTT370" s="153"/>
      <c r="LTU370" s="153"/>
      <c r="LTV370" s="153"/>
      <c r="LTW370" s="648"/>
      <c r="LTX370" s="641"/>
      <c r="LTY370" s="631" t="s">
        <v>265</v>
      </c>
      <c r="LTZ370" s="632"/>
      <c r="LUA370" s="16"/>
      <c r="LUB370" s="636">
        <v>0.13500000000000001</v>
      </c>
      <c r="LUC370" s="636">
        <v>0.12</v>
      </c>
      <c r="LUD370" s="636">
        <v>0.13</v>
      </c>
      <c r="LUE370" s="636">
        <v>0.12</v>
      </c>
      <c r="LUF370" s="636">
        <v>0.12</v>
      </c>
      <c r="LUG370" s="649">
        <v>0.12</v>
      </c>
      <c r="LUH370" s="16"/>
      <c r="LUI370" s="320">
        <v>0.10100000000000001</v>
      </c>
      <c r="LUJ370" s="153"/>
      <c r="LUK370" s="153"/>
      <c r="LUL370" s="153"/>
      <c r="LUM370" s="648"/>
      <c r="LUN370" s="641"/>
      <c r="LUO370" s="631" t="s">
        <v>265</v>
      </c>
      <c r="LUP370" s="632"/>
      <c r="LUQ370" s="16"/>
      <c r="LUR370" s="636">
        <v>0.13500000000000001</v>
      </c>
      <c r="LUS370" s="636">
        <v>0.12</v>
      </c>
      <c r="LUT370" s="636">
        <v>0.13</v>
      </c>
      <c r="LUU370" s="636">
        <v>0.12</v>
      </c>
      <c r="LUV370" s="636">
        <v>0.12</v>
      </c>
      <c r="LUW370" s="649">
        <v>0.12</v>
      </c>
      <c r="LUX370" s="16"/>
      <c r="LUY370" s="320">
        <v>0.10100000000000001</v>
      </c>
      <c r="LUZ370" s="153"/>
      <c r="LVA370" s="153"/>
      <c r="LVB370" s="153"/>
      <c r="LVC370" s="648"/>
      <c r="LVD370" s="641"/>
      <c r="LVE370" s="631" t="s">
        <v>265</v>
      </c>
      <c r="LVF370" s="632"/>
      <c r="LVG370" s="16"/>
      <c r="LVH370" s="636">
        <v>0.13500000000000001</v>
      </c>
      <c r="LVI370" s="636">
        <v>0.12</v>
      </c>
      <c r="LVJ370" s="636">
        <v>0.13</v>
      </c>
      <c r="LVK370" s="636">
        <v>0.12</v>
      </c>
      <c r="LVL370" s="636">
        <v>0.12</v>
      </c>
      <c r="LVM370" s="649">
        <v>0.12</v>
      </c>
      <c r="LVN370" s="16"/>
      <c r="LVO370" s="320">
        <v>0.10100000000000001</v>
      </c>
      <c r="LVP370" s="153"/>
      <c r="LVQ370" s="153"/>
      <c r="LVR370" s="153"/>
      <c r="LVS370" s="648"/>
      <c r="LVT370" s="641"/>
      <c r="LVU370" s="631" t="s">
        <v>265</v>
      </c>
      <c r="LVV370" s="632"/>
      <c r="LVW370" s="16"/>
      <c r="LVX370" s="636">
        <v>0.13500000000000001</v>
      </c>
      <c r="LVY370" s="636">
        <v>0.12</v>
      </c>
      <c r="LVZ370" s="636">
        <v>0.13</v>
      </c>
      <c r="LWA370" s="636">
        <v>0.12</v>
      </c>
      <c r="LWB370" s="636">
        <v>0.12</v>
      </c>
      <c r="LWC370" s="649">
        <v>0.12</v>
      </c>
      <c r="LWD370" s="16"/>
      <c r="LWE370" s="320">
        <v>0.10100000000000001</v>
      </c>
      <c r="LWF370" s="153"/>
      <c r="LWG370" s="153"/>
      <c r="LWH370" s="153"/>
      <c r="LWI370" s="648"/>
      <c r="LWJ370" s="641"/>
      <c r="LWK370" s="631" t="s">
        <v>265</v>
      </c>
      <c r="LWL370" s="632"/>
      <c r="LWM370" s="16"/>
      <c r="LWN370" s="636">
        <v>0.13500000000000001</v>
      </c>
      <c r="LWO370" s="636">
        <v>0.12</v>
      </c>
      <c r="LWP370" s="636">
        <v>0.13</v>
      </c>
      <c r="LWQ370" s="636">
        <v>0.12</v>
      </c>
      <c r="LWR370" s="636">
        <v>0.12</v>
      </c>
      <c r="LWS370" s="649">
        <v>0.12</v>
      </c>
      <c r="LWT370" s="16"/>
      <c r="LWU370" s="320">
        <v>0.10100000000000001</v>
      </c>
      <c r="LWV370" s="153"/>
      <c r="LWW370" s="153"/>
      <c r="LWX370" s="153"/>
      <c r="LWY370" s="648"/>
      <c r="LWZ370" s="641"/>
      <c r="LXA370" s="631" t="s">
        <v>265</v>
      </c>
      <c r="LXB370" s="632"/>
      <c r="LXC370" s="16"/>
      <c r="LXD370" s="636">
        <v>0.13500000000000001</v>
      </c>
      <c r="LXE370" s="636">
        <v>0.12</v>
      </c>
      <c r="LXF370" s="636">
        <v>0.13</v>
      </c>
      <c r="LXG370" s="636">
        <v>0.12</v>
      </c>
      <c r="LXH370" s="636">
        <v>0.12</v>
      </c>
      <c r="LXI370" s="649">
        <v>0.12</v>
      </c>
      <c r="LXJ370" s="16"/>
      <c r="LXK370" s="320">
        <v>0.10100000000000001</v>
      </c>
      <c r="LXL370" s="153"/>
      <c r="LXM370" s="153"/>
      <c r="LXN370" s="153"/>
      <c r="LXO370" s="648"/>
      <c r="LXP370" s="641"/>
      <c r="LXQ370" s="631" t="s">
        <v>265</v>
      </c>
      <c r="LXR370" s="632"/>
      <c r="LXS370" s="16"/>
      <c r="LXT370" s="636">
        <v>0.13500000000000001</v>
      </c>
      <c r="LXU370" s="636">
        <v>0.12</v>
      </c>
      <c r="LXV370" s="636">
        <v>0.13</v>
      </c>
      <c r="LXW370" s="636">
        <v>0.12</v>
      </c>
      <c r="LXX370" s="636">
        <v>0.12</v>
      </c>
      <c r="LXY370" s="649">
        <v>0.12</v>
      </c>
      <c r="LXZ370" s="16"/>
      <c r="LYA370" s="320">
        <v>0.10100000000000001</v>
      </c>
      <c r="LYB370" s="153"/>
      <c r="LYC370" s="153"/>
      <c r="LYD370" s="153"/>
      <c r="LYE370" s="648"/>
      <c r="LYF370" s="641"/>
      <c r="LYG370" s="631" t="s">
        <v>265</v>
      </c>
      <c r="LYH370" s="632"/>
      <c r="LYI370" s="16"/>
      <c r="LYJ370" s="636">
        <v>0.13500000000000001</v>
      </c>
      <c r="LYK370" s="636">
        <v>0.12</v>
      </c>
      <c r="LYL370" s="636">
        <v>0.13</v>
      </c>
      <c r="LYM370" s="636">
        <v>0.12</v>
      </c>
      <c r="LYN370" s="636">
        <v>0.12</v>
      </c>
      <c r="LYO370" s="649">
        <v>0.12</v>
      </c>
      <c r="LYP370" s="16"/>
      <c r="LYQ370" s="320">
        <v>0.10100000000000001</v>
      </c>
      <c r="LYR370" s="153"/>
      <c r="LYS370" s="153"/>
      <c r="LYT370" s="153"/>
      <c r="LYU370" s="648"/>
      <c r="LYV370" s="641"/>
      <c r="LYW370" s="631" t="s">
        <v>265</v>
      </c>
      <c r="LYX370" s="632"/>
      <c r="LYY370" s="16"/>
      <c r="LYZ370" s="636">
        <v>0.13500000000000001</v>
      </c>
      <c r="LZA370" s="636">
        <v>0.12</v>
      </c>
      <c r="LZB370" s="636">
        <v>0.13</v>
      </c>
      <c r="LZC370" s="636">
        <v>0.12</v>
      </c>
      <c r="LZD370" s="636">
        <v>0.12</v>
      </c>
      <c r="LZE370" s="649">
        <v>0.12</v>
      </c>
      <c r="LZF370" s="16"/>
      <c r="LZG370" s="320">
        <v>0.10100000000000001</v>
      </c>
      <c r="LZH370" s="153"/>
      <c r="LZI370" s="153"/>
      <c r="LZJ370" s="153"/>
      <c r="LZK370" s="648"/>
      <c r="LZL370" s="641"/>
      <c r="LZM370" s="631" t="s">
        <v>265</v>
      </c>
      <c r="LZN370" s="632"/>
      <c r="LZO370" s="16"/>
      <c r="LZP370" s="636">
        <v>0.13500000000000001</v>
      </c>
      <c r="LZQ370" s="636">
        <v>0.12</v>
      </c>
      <c r="LZR370" s="636">
        <v>0.13</v>
      </c>
      <c r="LZS370" s="636">
        <v>0.12</v>
      </c>
      <c r="LZT370" s="636">
        <v>0.12</v>
      </c>
      <c r="LZU370" s="649">
        <v>0.12</v>
      </c>
      <c r="LZV370" s="16"/>
      <c r="LZW370" s="320">
        <v>0.10100000000000001</v>
      </c>
      <c r="LZX370" s="153"/>
      <c r="LZY370" s="153"/>
      <c r="LZZ370" s="153"/>
      <c r="MAA370" s="648"/>
      <c r="MAB370" s="641"/>
      <c r="MAC370" s="631" t="s">
        <v>265</v>
      </c>
      <c r="MAD370" s="632"/>
      <c r="MAE370" s="16"/>
      <c r="MAF370" s="636">
        <v>0.13500000000000001</v>
      </c>
      <c r="MAG370" s="636">
        <v>0.12</v>
      </c>
      <c r="MAH370" s="636">
        <v>0.13</v>
      </c>
      <c r="MAI370" s="636">
        <v>0.12</v>
      </c>
      <c r="MAJ370" s="636">
        <v>0.12</v>
      </c>
      <c r="MAK370" s="649">
        <v>0.12</v>
      </c>
      <c r="MAL370" s="16"/>
      <c r="MAM370" s="320">
        <v>0.10100000000000001</v>
      </c>
      <c r="MAN370" s="153"/>
      <c r="MAO370" s="153"/>
      <c r="MAP370" s="153"/>
      <c r="MAQ370" s="648"/>
      <c r="MAR370" s="641"/>
      <c r="MAS370" s="631" t="s">
        <v>265</v>
      </c>
      <c r="MAT370" s="632"/>
      <c r="MAU370" s="16"/>
      <c r="MAV370" s="636">
        <v>0.13500000000000001</v>
      </c>
      <c r="MAW370" s="636">
        <v>0.12</v>
      </c>
      <c r="MAX370" s="636">
        <v>0.13</v>
      </c>
      <c r="MAY370" s="636">
        <v>0.12</v>
      </c>
      <c r="MAZ370" s="636">
        <v>0.12</v>
      </c>
      <c r="MBA370" s="649">
        <v>0.12</v>
      </c>
      <c r="MBB370" s="16"/>
      <c r="MBC370" s="320">
        <v>0.10100000000000001</v>
      </c>
      <c r="MBD370" s="153"/>
      <c r="MBE370" s="153"/>
      <c r="MBF370" s="153"/>
      <c r="MBG370" s="648"/>
      <c r="MBH370" s="641"/>
      <c r="MBI370" s="631" t="s">
        <v>265</v>
      </c>
      <c r="MBJ370" s="632"/>
      <c r="MBK370" s="16"/>
      <c r="MBL370" s="636">
        <v>0.13500000000000001</v>
      </c>
      <c r="MBM370" s="636">
        <v>0.12</v>
      </c>
      <c r="MBN370" s="636">
        <v>0.13</v>
      </c>
      <c r="MBO370" s="636">
        <v>0.12</v>
      </c>
      <c r="MBP370" s="636">
        <v>0.12</v>
      </c>
      <c r="MBQ370" s="649">
        <v>0.12</v>
      </c>
      <c r="MBR370" s="16"/>
      <c r="MBS370" s="320">
        <v>0.10100000000000001</v>
      </c>
      <c r="MBT370" s="153"/>
      <c r="MBU370" s="153"/>
      <c r="MBV370" s="153"/>
      <c r="MBW370" s="648"/>
      <c r="MBX370" s="641"/>
      <c r="MBY370" s="631" t="s">
        <v>265</v>
      </c>
      <c r="MBZ370" s="632"/>
      <c r="MCA370" s="16"/>
      <c r="MCB370" s="636">
        <v>0.13500000000000001</v>
      </c>
      <c r="MCC370" s="636">
        <v>0.12</v>
      </c>
      <c r="MCD370" s="636">
        <v>0.13</v>
      </c>
      <c r="MCE370" s="636">
        <v>0.12</v>
      </c>
      <c r="MCF370" s="636">
        <v>0.12</v>
      </c>
      <c r="MCG370" s="649">
        <v>0.12</v>
      </c>
      <c r="MCH370" s="16"/>
      <c r="MCI370" s="320">
        <v>0.10100000000000001</v>
      </c>
      <c r="MCJ370" s="153"/>
      <c r="MCK370" s="153"/>
      <c r="MCL370" s="153"/>
      <c r="MCM370" s="648"/>
      <c r="MCN370" s="641"/>
      <c r="MCO370" s="631" t="s">
        <v>265</v>
      </c>
      <c r="MCP370" s="632"/>
      <c r="MCQ370" s="16"/>
      <c r="MCR370" s="636">
        <v>0.13500000000000001</v>
      </c>
      <c r="MCS370" s="636">
        <v>0.12</v>
      </c>
      <c r="MCT370" s="636">
        <v>0.13</v>
      </c>
      <c r="MCU370" s="636">
        <v>0.12</v>
      </c>
      <c r="MCV370" s="636">
        <v>0.12</v>
      </c>
      <c r="MCW370" s="649">
        <v>0.12</v>
      </c>
      <c r="MCX370" s="16"/>
      <c r="MCY370" s="320">
        <v>0.10100000000000001</v>
      </c>
      <c r="MCZ370" s="153"/>
      <c r="MDA370" s="153"/>
      <c r="MDB370" s="153"/>
      <c r="MDC370" s="648"/>
      <c r="MDD370" s="641"/>
      <c r="MDE370" s="631" t="s">
        <v>265</v>
      </c>
      <c r="MDF370" s="632"/>
      <c r="MDG370" s="16"/>
      <c r="MDH370" s="636">
        <v>0.13500000000000001</v>
      </c>
      <c r="MDI370" s="636">
        <v>0.12</v>
      </c>
      <c r="MDJ370" s="636">
        <v>0.13</v>
      </c>
      <c r="MDK370" s="636">
        <v>0.12</v>
      </c>
      <c r="MDL370" s="636">
        <v>0.12</v>
      </c>
      <c r="MDM370" s="649">
        <v>0.12</v>
      </c>
      <c r="MDN370" s="16"/>
      <c r="MDO370" s="320">
        <v>0.10100000000000001</v>
      </c>
      <c r="MDP370" s="153"/>
      <c r="MDQ370" s="153"/>
      <c r="MDR370" s="153"/>
      <c r="MDS370" s="648"/>
      <c r="MDT370" s="641"/>
      <c r="MDU370" s="631" t="s">
        <v>265</v>
      </c>
      <c r="MDV370" s="632"/>
      <c r="MDW370" s="16"/>
      <c r="MDX370" s="636">
        <v>0.13500000000000001</v>
      </c>
      <c r="MDY370" s="636">
        <v>0.12</v>
      </c>
      <c r="MDZ370" s="636">
        <v>0.13</v>
      </c>
      <c r="MEA370" s="636">
        <v>0.12</v>
      </c>
      <c r="MEB370" s="636">
        <v>0.12</v>
      </c>
      <c r="MEC370" s="649">
        <v>0.12</v>
      </c>
      <c r="MED370" s="16"/>
      <c r="MEE370" s="320">
        <v>0.10100000000000001</v>
      </c>
      <c r="MEF370" s="153"/>
      <c r="MEG370" s="153"/>
      <c r="MEH370" s="153"/>
      <c r="MEI370" s="648"/>
      <c r="MEJ370" s="641"/>
      <c r="MEK370" s="631" t="s">
        <v>265</v>
      </c>
      <c r="MEL370" s="632"/>
      <c r="MEM370" s="16"/>
      <c r="MEN370" s="636">
        <v>0.13500000000000001</v>
      </c>
      <c r="MEO370" s="636">
        <v>0.12</v>
      </c>
      <c r="MEP370" s="636">
        <v>0.13</v>
      </c>
      <c r="MEQ370" s="636">
        <v>0.12</v>
      </c>
      <c r="MER370" s="636">
        <v>0.12</v>
      </c>
      <c r="MES370" s="649">
        <v>0.12</v>
      </c>
      <c r="MET370" s="16"/>
      <c r="MEU370" s="320">
        <v>0.10100000000000001</v>
      </c>
      <c r="MEV370" s="153"/>
      <c r="MEW370" s="153"/>
      <c r="MEX370" s="153"/>
      <c r="MEY370" s="648"/>
      <c r="MEZ370" s="641"/>
      <c r="MFA370" s="631" t="s">
        <v>265</v>
      </c>
      <c r="MFB370" s="632"/>
      <c r="MFC370" s="16"/>
      <c r="MFD370" s="636">
        <v>0.13500000000000001</v>
      </c>
      <c r="MFE370" s="636">
        <v>0.12</v>
      </c>
      <c r="MFF370" s="636">
        <v>0.13</v>
      </c>
      <c r="MFG370" s="636">
        <v>0.12</v>
      </c>
      <c r="MFH370" s="636">
        <v>0.12</v>
      </c>
      <c r="MFI370" s="649">
        <v>0.12</v>
      </c>
      <c r="MFJ370" s="16"/>
      <c r="MFK370" s="320">
        <v>0.10100000000000001</v>
      </c>
      <c r="MFL370" s="153"/>
      <c r="MFM370" s="153"/>
      <c r="MFN370" s="153"/>
      <c r="MFO370" s="648"/>
      <c r="MFP370" s="641"/>
      <c r="MFQ370" s="631" t="s">
        <v>265</v>
      </c>
      <c r="MFR370" s="632"/>
      <c r="MFS370" s="16"/>
      <c r="MFT370" s="636">
        <v>0.13500000000000001</v>
      </c>
      <c r="MFU370" s="636">
        <v>0.12</v>
      </c>
      <c r="MFV370" s="636">
        <v>0.13</v>
      </c>
      <c r="MFW370" s="636">
        <v>0.12</v>
      </c>
      <c r="MFX370" s="636">
        <v>0.12</v>
      </c>
      <c r="MFY370" s="649">
        <v>0.12</v>
      </c>
      <c r="MFZ370" s="16"/>
      <c r="MGA370" s="320">
        <v>0.10100000000000001</v>
      </c>
      <c r="MGB370" s="153"/>
      <c r="MGC370" s="153"/>
      <c r="MGD370" s="153"/>
      <c r="MGE370" s="648"/>
      <c r="MGF370" s="641"/>
      <c r="MGG370" s="631" t="s">
        <v>265</v>
      </c>
      <c r="MGH370" s="632"/>
      <c r="MGI370" s="16"/>
      <c r="MGJ370" s="636">
        <v>0.13500000000000001</v>
      </c>
      <c r="MGK370" s="636">
        <v>0.12</v>
      </c>
      <c r="MGL370" s="636">
        <v>0.13</v>
      </c>
      <c r="MGM370" s="636">
        <v>0.12</v>
      </c>
      <c r="MGN370" s="636">
        <v>0.12</v>
      </c>
      <c r="MGO370" s="649">
        <v>0.12</v>
      </c>
      <c r="MGP370" s="16"/>
      <c r="MGQ370" s="320">
        <v>0.10100000000000001</v>
      </c>
      <c r="MGR370" s="153"/>
      <c r="MGS370" s="153"/>
      <c r="MGT370" s="153"/>
      <c r="MGU370" s="648"/>
      <c r="MGV370" s="641"/>
      <c r="MGW370" s="631" t="s">
        <v>265</v>
      </c>
      <c r="MGX370" s="632"/>
      <c r="MGY370" s="16"/>
      <c r="MGZ370" s="636">
        <v>0.13500000000000001</v>
      </c>
      <c r="MHA370" s="636">
        <v>0.12</v>
      </c>
      <c r="MHB370" s="636">
        <v>0.13</v>
      </c>
      <c r="MHC370" s="636">
        <v>0.12</v>
      </c>
      <c r="MHD370" s="636">
        <v>0.12</v>
      </c>
      <c r="MHE370" s="649">
        <v>0.12</v>
      </c>
      <c r="MHF370" s="16"/>
      <c r="MHG370" s="320">
        <v>0.10100000000000001</v>
      </c>
      <c r="MHH370" s="153"/>
      <c r="MHI370" s="153"/>
      <c r="MHJ370" s="153"/>
      <c r="MHK370" s="648"/>
      <c r="MHL370" s="641"/>
      <c r="MHM370" s="631" t="s">
        <v>265</v>
      </c>
      <c r="MHN370" s="632"/>
      <c r="MHO370" s="16"/>
      <c r="MHP370" s="636">
        <v>0.13500000000000001</v>
      </c>
      <c r="MHQ370" s="636">
        <v>0.12</v>
      </c>
      <c r="MHR370" s="636">
        <v>0.13</v>
      </c>
      <c r="MHS370" s="636">
        <v>0.12</v>
      </c>
      <c r="MHT370" s="636">
        <v>0.12</v>
      </c>
      <c r="MHU370" s="649">
        <v>0.12</v>
      </c>
      <c r="MHV370" s="16"/>
      <c r="MHW370" s="320">
        <v>0.10100000000000001</v>
      </c>
      <c r="MHX370" s="153"/>
      <c r="MHY370" s="153"/>
      <c r="MHZ370" s="153"/>
      <c r="MIA370" s="648"/>
      <c r="MIB370" s="641"/>
      <c r="MIC370" s="631" t="s">
        <v>265</v>
      </c>
      <c r="MID370" s="632"/>
      <c r="MIE370" s="16"/>
      <c r="MIF370" s="636">
        <v>0.13500000000000001</v>
      </c>
      <c r="MIG370" s="636">
        <v>0.12</v>
      </c>
      <c r="MIH370" s="636">
        <v>0.13</v>
      </c>
      <c r="MII370" s="636">
        <v>0.12</v>
      </c>
      <c r="MIJ370" s="636">
        <v>0.12</v>
      </c>
      <c r="MIK370" s="649">
        <v>0.12</v>
      </c>
      <c r="MIL370" s="16"/>
      <c r="MIM370" s="320">
        <v>0.10100000000000001</v>
      </c>
      <c r="MIN370" s="153"/>
      <c r="MIO370" s="153"/>
      <c r="MIP370" s="153"/>
      <c r="MIQ370" s="648"/>
      <c r="MIR370" s="641"/>
      <c r="MIS370" s="631" t="s">
        <v>265</v>
      </c>
      <c r="MIT370" s="632"/>
      <c r="MIU370" s="16"/>
      <c r="MIV370" s="636">
        <v>0.13500000000000001</v>
      </c>
      <c r="MIW370" s="636">
        <v>0.12</v>
      </c>
      <c r="MIX370" s="636">
        <v>0.13</v>
      </c>
      <c r="MIY370" s="636">
        <v>0.12</v>
      </c>
      <c r="MIZ370" s="636">
        <v>0.12</v>
      </c>
      <c r="MJA370" s="649">
        <v>0.12</v>
      </c>
      <c r="MJB370" s="16"/>
      <c r="MJC370" s="320">
        <v>0.10100000000000001</v>
      </c>
      <c r="MJD370" s="153"/>
      <c r="MJE370" s="153"/>
      <c r="MJF370" s="153"/>
      <c r="MJG370" s="648"/>
      <c r="MJH370" s="641"/>
      <c r="MJI370" s="631" t="s">
        <v>265</v>
      </c>
      <c r="MJJ370" s="632"/>
      <c r="MJK370" s="16"/>
      <c r="MJL370" s="636">
        <v>0.13500000000000001</v>
      </c>
      <c r="MJM370" s="636">
        <v>0.12</v>
      </c>
      <c r="MJN370" s="636">
        <v>0.13</v>
      </c>
      <c r="MJO370" s="636">
        <v>0.12</v>
      </c>
      <c r="MJP370" s="636">
        <v>0.12</v>
      </c>
      <c r="MJQ370" s="649">
        <v>0.12</v>
      </c>
      <c r="MJR370" s="16"/>
      <c r="MJS370" s="320">
        <v>0.10100000000000001</v>
      </c>
      <c r="MJT370" s="153"/>
      <c r="MJU370" s="153"/>
      <c r="MJV370" s="153"/>
      <c r="MJW370" s="648"/>
      <c r="MJX370" s="641"/>
      <c r="MJY370" s="631" t="s">
        <v>265</v>
      </c>
      <c r="MJZ370" s="632"/>
      <c r="MKA370" s="16"/>
      <c r="MKB370" s="636">
        <v>0.13500000000000001</v>
      </c>
      <c r="MKC370" s="636">
        <v>0.12</v>
      </c>
      <c r="MKD370" s="636">
        <v>0.13</v>
      </c>
      <c r="MKE370" s="636">
        <v>0.12</v>
      </c>
      <c r="MKF370" s="636">
        <v>0.12</v>
      </c>
      <c r="MKG370" s="649">
        <v>0.12</v>
      </c>
      <c r="MKH370" s="16"/>
      <c r="MKI370" s="320">
        <v>0.10100000000000001</v>
      </c>
      <c r="MKJ370" s="153"/>
      <c r="MKK370" s="153"/>
      <c r="MKL370" s="153"/>
      <c r="MKM370" s="648"/>
      <c r="MKN370" s="641"/>
      <c r="MKO370" s="631" t="s">
        <v>265</v>
      </c>
      <c r="MKP370" s="632"/>
      <c r="MKQ370" s="16"/>
      <c r="MKR370" s="636">
        <v>0.13500000000000001</v>
      </c>
      <c r="MKS370" s="636">
        <v>0.12</v>
      </c>
      <c r="MKT370" s="636">
        <v>0.13</v>
      </c>
      <c r="MKU370" s="636">
        <v>0.12</v>
      </c>
      <c r="MKV370" s="636">
        <v>0.12</v>
      </c>
      <c r="MKW370" s="649">
        <v>0.12</v>
      </c>
      <c r="MKX370" s="16"/>
      <c r="MKY370" s="320">
        <v>0.10100000000000001</v>
      </c>
      <c r="MKZ370" s="153"/>
      <c r="MLA370" s="153"/>
      <c r="MLB370" s="153"/>
      <c r="MLC370" s="648"/>
      <c r="MLD370" s="641"/>
      <c r="MLE370" s="631" t="s">
        <v>265</v>
      </c>
      <c r="MLF370" s="632"/>
      <c r="MLG370" s="16"/>
      <c r="MLH370" s="636">
        <v>0.13500000000000001</v>
      </c>
      <c r="MLI370" s="636">
        <v>0.12</v>
      </c>
      <c r="MLJ370" s="636">
        <v>0.13</v>
      </c>
      <c r="MLK370" s="636">
        <v>0.12</v>
      </c>
      <c r="MLL370" s="636">
        <v>0.12</v>
      </c>
      <c r="MLM370" s="649">
        <v>0.12</v>
      </c>
      <c r="MLN370" s="16"/>
      <c r="MLO370" s="320">
        <v>0.10100000000000001</v>
      </c>
      <c r="MLP370" s="153"/>
      <c r="MLQ370" s="153"/>
      <c r="MLR370" s="153"/>
      <c r="MLS370" s="648"/>
      <c r="MLT370" s="641"/>
      <c r="MLU370" s="631" t="s">
        <v>265</v>
      </c>
      <c r="MLV370" s="632"/>
      <c r="MLW370" s="16"/>
      <c r="MLX370" s="636">
        <v>0.13500000000000001</v>
      </c>
      <c r="MLY370" s="636">
        <v>0.12</v>
      </c>
      <c r="MLZ370" s="636">
        <v>0.13</v>
      </c>
      <c r="MMA370" s="636">
        <v>0.12</v>
      </c>
      <c r="MMB370" s="636">
        <v>0.12</v>
      </c>
      <c r="MMC370" s="649">
        <v>0.12</v>
      </c>
      <c r="MMD370" s="16"/>
      <c r="MME370" s="320">
        <v>0.10100000000000001</v>
      </c>
      <c r="MMF370" s="153"/>
      <c r="MMG370" s="153"/>
      <c r="MMH370" s="153"/>
      <c r="MMI370" s="648"/>
      <c r="MMJ370" s="641"/>
      <c r="MMK370" s="631" t="s">
        <v>265</v>
      </c>
      <c r="MML370" s="632"/>
      <c r="MMM370" s="16"/>
      <c r="MMN370" s="636">
        <v>0.13500000000000001</v>
      </c>
      <c r="MMO370" s="636">
        <v>0.12</v>
      </c>
      <c r="MMP370" s="636">
        <v>0.13</v>
      </c>
      <c r="MMQ370" s="636">
        <v>0.12</v>
      </c>
      <c r="MMR370" s="636">
        <v>0.12</v>
      </c>
      <c r="MMS370" s="649">
        <v>0.12</v>
      </c>
      <c r="MMT370" s="16"/>
      <c r="MMU370" s="320">
        <v>0.10100000000000001</v>
      </c>
      <c r="MMV370" s="153"/>
      <c r="MMW370" s="153"/>
      <c r="MMX370" s="153"/>
      <c r="MMY370" s="648"/>
      <c r="MMZ370" s="641"/>
      <c r="MNA370" s="631" t="s">
        <v>265</v>
      </c>
      <c r="MNB370" s="632"/>
      <c r="MNC370" s="16"/>
      <c r="MND370" s="636">
        <v>0.13500000000000001</v>
      </c>
      <c r="MNE370" s="636">
        <v>0.12</v>
      </c>
      <c r="MNF370" s="636">
        <v>0.13</v>
      </c>
      <c r="MNG370" s="636">
        <v>0.12</v>
      </c>
      <c r="MNH370" s="636">
        <v>0.12</v>
      </c>
      <c r="MNI370" s="649">
        <v>0.12</v>
      </c>
      <c r="MNJ370" s="16"/>
      <c r="MNK370" s="320">
        <v>0.10100000000000001</v>
      </c>
      <c r="MNL370" s="153"/>
      <c r="MNM370" s="153"/>
      <c r="MNN370" s="153"/>
      <c r="MNO370" s="648"/>
      <c r="MNP370" s="641"/>
      <c r="MNQ370" s="631" t="s">
        <v>265</v>
      </c>
      <c r="MNR370" s="632"/>
      <c r="MNS370" s="16"/>
      <c r="MNT370" s="636">
        <v>0.13500000000000001</v>
      </c>
      <c r="MNU370" s="636">
        <v>0.12</v>
      </c>
      <c r="MNV370" s="636">
        <v>0.13</v>
      </c>
      <c r="MNW370" s="636">
        <v>0.12</v>
      </c>
      <c r="MNX370" s="636">
        <v>0.12</v>
      </c>
      <c r="MNY370" s="649">
        <v>0.12</v>
      </c>
      <c r="MNZ370" s="16"/>
      <c r="MOA370" s="320">
        <v>0.10100000000000001</v>
      </c>
      <c r="MOB370" s="153"/>
      <c r="MOC370" s="153"/>
      <c r="MOD370" s="153"/>
      <c r="MOE370" s="648"/>
      <c r="MOF370" s="641"/>
      <c r="MOG370" s="631" t="s">
        <v>265</v>
      </c>
      <c r="MOH370" s="632"/>
      <c r="MOI370" s="16"/>
      <c r="MOJ370" s="636">
        <v>0.13500000000000001</v>
      </c>
      <c r="MOK370" s="636">
        <v>0.12</v>
      </c>
      <c r="MOL370" s="636">
        <v>0.13</v>
      </c>
      <c r="MOM370" s="636">
        <v>0.12</v>
      </c>
      <c r="MON370" s="636">
        <v>0.12</v>
      </c>
      <c r="MOO370" s="649">
        <v>0.12</v>
      </c>
      <c r="MOP370" s="16"/>
      <c r="MOQ370" s="320">
        <v>0.10100000000000001</v>
      </c>
      <c r="MOR370" s="153"/>
      <c r="MOS370" s="153"/>
      <c r="MOT370" s="153"/>
      <c r="MOU370" s="648"/>
      <c r="MOV370" s="641"/>
      <c r="MOW370" s="631" t="s">
        <v>265</v>
      </c>
      <c r="MOX370" s="632"/>
      <c r="MOY370" s="16"/>
      <c r="MOZ370" s="636">
        <v>0.13500000000000001</v>
      </c>
      <c r="MPA370" s="636">
        <v>0.12</v>
      </c>
      <c r="MPB370" s="636">
        <v>0.13</v>
      </c>
      <c r="MPC370" s="636">
        <v>0.12</v>
      </c>
      <c r="MPD370" s="636">
        <v>0.12</v>
      </c>
      <c r="MPE370" s="649">
        <v>0.12</v>
      </c>
      <c r="MPF370" s="16"/>
      <c r="MPG370" s="320">
        <v>0.10100000000000001</v>
      </c>
      <c r="MPH370" s="153"/>
      <c r="MPI370" s="153"/>
      <c r="MPJ370" s="153"/>
      <c r="MPK370" s="648"/>
      <c r="MPL370" s="641"/>
      <c r="MPM370" s="631" t="s">
        <v>265</v>
      </c>
      <c r="MPN370" s="632"/>
      <c r="MPO370" s="16"/>
      <c r="MPP370" s="636">
        <v>0.13500000000000001</v>
      </c>
      <c r="MPQ370" s="636">
        <v>0.12</v>
      </c>
      <c r="MPR370" s="636">
        <v>0.13</v>
      </c>
      <c r="MPS370" s="636">
        <v>0.12</v>
      </c>
      <c r="MPT370" s="636">
        <v>0.12</v>
      </c>
      <c r="MPU370" s="649">
        <v>0.12</v>
      </c>
      <c r="MPV370" s="16"/>
      <c r="MPW370" s="320">
        <v>0.10100000000000001</v>
      </c>
      <c r="MPX370" s="153"/>
      <c r="MPY370" s="153"/>
      <c r="MPZ370" s="153"/>
      <c r="MQA370" s="648"/>
      <c r="MQB370" s="641"/>
      <c r="MQC370" s="631" t="s">
        <v>265</v>
      </c>
      <c r="MQD370" s="632"/>
      <c r="MQE370" s="16"/>
      <c r="MQF370" s="636">
        <v>0.13500000000000001</v>
      </c>
      <c r="MQG370" s="636">
        <v>0.12</v>
      </c>
      <c r="MQH370" s="636">
        <v>0.13</v>
      </c>
      <c r="MQI370" s="636">
        <v>0.12</v>
      </c>
      <c r="MQJ370" s="636">
        <v>0.12</v>
      </c>
      <c r="MQK370" s="649">
        <v>0.12</v>
      </c>
      <c r="MQL370" s="16"/>
      <c r="MQM370" s="320">
        <v>0.10100000000000001</v>
      </c>
      <c r="MQN370" s="153"/>
      <c r="MQO370" s="153"/>
      <c r="MQP370" s="153"/>
      <c r="MQQ370" s="648"/>
      <c r="MQR370" s="641"/>
      <c r="MQS370" s="631" t="s">
        <v>265</v>
      </c>
      <c r="MQT370" s="632"/>
      <c r="MQU370" s="16"/>
      <c r="MQV370" s="636">
        <v>0.13500000000000001</v>
      </c>
      <c r="MQW370" s="636">
        <v>0.12</v>
      </c>
      <c r="MQX370" s="636">
        <v>0.13</v>
      </c>
      <c r="MQY370" s="636">
        <v>0.12</v>
      </c>
      <c r="MQZ370" s="636">
        <v>0.12</v>
      </c>
      <c r="MRA370" s="649">
        <v>0.12</v>
      </c>
      <c r="MRB370" s="16"/>
      <c r="MRC370" s="320">
        <v>0.10100000000000001</v>
      </c>
      <c r="MRD370" s="153"/>
      <c r="MRE370" s="153"/>
      <c r="MRF370" s="153"/>
      <c r="MRG370" s="648"/>
      <c r="MRH370" s="641"/>
      <c r="MRI370" s="631" t="s">
        <v>265</v>
      </c>
      <c r="MRJ370" s="632"/>
      <c r="MRK370" s="16"/>
      <c r="MRL370" s="636">
        <v>0.13500000000000001</v>
      </c>
      <c r="MRM370" s="636">
        <v>0.12</v>
      </c>
      <c r="MRN370" s="636">
        <v>0.13</v>
      </c>
      <c r="MRO370" s="636">
        <v>0.12</v>
      </c>
      <c r="MRP370" s="636">
        <v>0.12</v>
      </c>
      <c r="MRQ370" s="649">
        <v>0.12</v>
      </c>
      <c r="MRR370" s="16"/>
      <c r="MRS370" s="320">
        <v>0.10100000000000001</v>
      </c>
      <c r="MRT370" s="153"/>
      <c r="MRU370" s="153"/>
      <c r="MRV370" s="153"/>
      <c r="MRW370" s="648"/>
      <c r="MRX370" s="641"/>
      <c r="MRY370" s="631" t="s">
        <v>265</v>
      </c>
      <c r="MRZ370" s="632"/>
      <c r="MSA370" s="16"/>
      <c r="MSB370" s="636">
        <v>0.13500000000000001</v>
      </c>
      <c r="MSC370" s="636">
        <v>0.12</v>
      </c>
      <c r="MSD370" s="636">
        <v>0.13</v>
      </c>
      <c r="MSE370" s="636">
        <v>0.12</v>
      </c>
      <c r="MSF370" s="636">
        <v>0.12</v>
      </c>
      <c r="MSG370" s="649">
        <v>0.12</v>
      </c>
      <c r="MSH370" s="16"/>
      <c r="MSI370" s="320">
        <v>0.10100000000000001</v>
      </c>
      <c r="MSJ370" s="153"/>
      <c r="MSK370" s="153"/>
      <c r="MSL370" s="153"/>
      <c r="MSM370" s="648"/>
      <c r="MSN370" s="641"/>
      <c r="MSO370" s="631" t="s">
        <v>265</v>
      </c>
      <c r="MSP370" s="632"/>
      <c r="MSQ370" s="16"/>
      <c r="MSR370" s="636">
        <v>0.13500000000000001</v>
      </c>
      <c r="MSS370" s="636">
        <v>0.12</v>
      </c>
      <c r="MST370" s="636">
        <v>0.13</v>
      </c>
      <c r="MSU370" s="636">
        <v>0.12</v>
      </c>
      <c r="MSV370" s="636">
        <v>0.12</v>
      </c>
      <c r="MSW370" s="649">
        <v>0.12</v>
      </c>
      <c r="MSX370" s="16"/>
      <c r="MSY370" s="320">
        <v>0.10100000000000001</v>
      </c>
      <c r="MSZ370" s="153"/>
      <c r="MTA370" s="153"/>
      <c r="MTB370" s="153"/>
      <c r="MTC370" s="648"/>
      <c r="MTD370" s="641"/>
      <c r="MTE370" s="631" t="s">
        <v>265</v>
      </c>
      <c r="MTF370" s="632"/>
      <c r="MTG370" s="16"/>
      <c r="MTH370" s="636">
        <v>0.13500000000000001</v>
      </c>
      <c r="MTI370" s="636">
        <v>0.12</v>
      </c>
      <c r="MTJ370" s="636">
        <v>0.13</v>
      </c>
      <c r="MTK370" s="636">
        <v>0.12</v>
      </c>
      <c r="MTL370" s="636">
        <v>0.12</v>
      </c>
      <c r="MTM370" s="649">
        <v>0.12</v>
      </c>
      <c r="MTN370" s="16"/>
      <c r="MTO370" s="320">
        <v>0.10100000000000001</v>
      </c>
      <c r="MTP370" s="153"/>
      <c r="MTQ370" s="153"/>
      <c r="MTR370" s="153"/>
      <c r="MTS370" s="648"/>
      <c r="MTT370" s="641"/>
      <c r="MTU370" s="631" t="s">
        <v>265</v>
      </c>
      <c r="MTV370" s="632"/>
      <c r="MTW370" s="16"/>
      <c r="MTX370" s="636">
        <v>0.13500000000000001</v>
      </c>
      <c r="MTY370" s="636">
        <v>0.12</v>
      </c>
      <c r="MTZ370" s="636">
        <v>0.13</v>
      </c>
      <c r="MUA370" s="636">
        <v>0.12</v>
      </c>
      <c r="MUB370" s="636">
        <v>0.12</v>
      </c>
      <c r="MUC370" s="649">
        <v>0.12</v>
      </c>
      <c r="MUD370" s="16"/>
      <c r="MUE370" s="320">
        <v>0.10100000000000001</v>
      </c>
      <c r="MUF370" s="153"/>
      <c r="MUG370" s="153"/>
      <c r="MUH370" s="153"/>
      <c r="MUI370" s="648"/>
      <c r="MUJ370" s="641"/>
      <c r="MUK370" s="631" t="s">
        <v>265</v>
      </c>
      <c r="MUL370" s="632"/>
      <c r="MUM370" s="16"/>
      <c r="MUN370" s="636">
        <v>0.13500000000000001</v>
      </c>
      <c r="MUO370" s="636">
        <v>0.12</v>
      </c>
      <c r="MUP370" s="636">
        <v>0.13</v>
      </c>
      <c r="MUQ370" s="636">
        <v>0.12</v>
      </c>
      <c r="MUR370" s="636">
        <v>0.12</v>
      </c>
      <c r="MUS370" s="649">
        <v>0.12</v>
      </c>
      <c r="MUT370" s="16"/>
      <c r="MUU370" s="320">
        <v>0.10100000000000001</v>
      </c>
      <c r="MUV370" s="153"/>
      <c r="MUW370" s="153"/>
      <c r="MUX370" s="153"/>
      <c r="MUY370" s="648"/>
      <c r="MUZ370" s="641"/>
      <c r="MVA370" s="631" t="s">
        <v>265</v>
      </c>
      <c r="MVB370" s="632"/>
      <c r="MVC370" s="16"/>
      <c r="MVD370" s="636">
        <v>0.13500000000000001</v>
      </c>
      <c r="MVE370" s="636">
        <v>0.12</v>
      </c>
      <c r="MVF370" s="636">
        <v>0.13</v>
      </c>
      <c r="MVG370" s="636">
        <v>0.12</v>
      </c>
      <c r="MVH370" s="636">
        <v>0.12</v>
      </c>
      <c r="MVI370" s="649">
        <v>0.12</v>
      </c>
      <c r="MVJ370" s="16"/>
      <c r="MVK370" s="320">
        <v>0.10100000000000001</v>
      </c>
      <c r="MVL370" s="153"/>
      <c r="MVM370" s="153"/>
      <c r="MVN370" s="153"/>
      <c r="MVO370" s="648"/>
      <c r="MVP370" s="641"/>
      <c r="MVQ370" s="631" t="s">
        <v>265</v>
      </c>
      <c r="MVR370" s="632"/>
      <c r="MVS370" s="16"/>
      <c r="MVT370" s="636">
        <v>0.13500000000000001</v>
      </c>
      <c r="MVU370" s="636">
        <v>0.12</v>
      </c>
      <c r="MVV370" s="636">
        <v>0.13</v>
      </c>
      <c r="MVW370" s="636">
        <v>0.12</v>
      </c>
      <c r="MVX370" s="636">
        <v>0.12</v>
      </c>
      <c r="MVY370" s="649">
        <v>0.12</v>
      </c>
      <c r="MVZ370" s="16"/>
      <c r="MWA370" s="320">
        <v>0.10100000000000001</v>
      </c>
      <c r="MWB370" s="153"/>
      <c r="MWC370" s="153"/>
      <c r="MWD370" s="153"/>
      <c r="MWE370" s="648"/>
      <c r="MWF370" s="641"/>
      <c r="MWG370" s="631" t="s">
        <v>265</v>
      </c>
      <c r="MWH370" s="632"/>
      <c r="MWI370" s="16"/>
      <c r="MWJ370" s="636">
        <v>0.13500000000000001</v>
      </c>
      <c r="MWK370" s="636">
        <v>0.12</v>
      </c>
      <c r="MWL370" s="636">
        <v>0.13</v>
      </c>
      <c r="MWM370" s="636">
        <v>0.12</v>
      </c>
      <c r="MWN370" s="636">
        <v>0.12</v>
      </c>
      <c r="MWO370" s="649">
        <v>0.12</v>
      </c>
      <c r="MWP370" s="16"/>
      <c r="MWQ370" s="320">
        <v>0.10100000000000001</v>
      </c>
      <c r="MWR370" s="153"/>
      <c r="MWS370" s="153"/>
      <c r="MWT370" s="153"/>
      <c r="MWU370" s="648"/>
      <c r="MWV370" s="641"/>
      <c r="MWW370" s="631" t="s">
        <v>265</v>
      </c>
      <c r="MWX370" s="632"/>
      <c r="MWY370" s="16"/>
      <c r="MWZ370" s="636">
        <v>0.13500000000000001</v>
      </c>
      <c r="MXA370" s="636">
        <v>0.12</v>
      </c>
      <c r="MXB370" s="636">
        <v>0.13</v>
      </c>
      <c r="MXC370" s="636">
        <v>0.12</v>
      </c>
      <c r="MXD370" s="636">
        <v>0.12</v>
      </c>
      <c r="MXE370" s="649">
        <v>0.12</v>
      </c>
      <c r="MXF370" s="16"/>
      <c r="MXG370" s="320">
        <v>0.10100000000000001</v>
      </c>
      <c r="MXH370" s="153"/>
      <c r="MXI370" s="153"/>
      <c r="MXJ370" s="153"/>
      <c r="MXK370" s="648"/>
      <c r="MXL370" s="641"/>
      <c r="MXM370" s="631" t="s">
        <v>265</v>
      </c>
      <c r="MXN370" s="632"/>
      <c r="MXO370" s="16"/>
      <c r="MXP370" s="636">
        <v>0.13500000000000001</v>
      </c>
      <c r="MXQ370" s="636">
        <v>0.12</v>
      </c>
      <c r="MXR370" s="636">
        <v>0.13</v>
      </c>
      <c r="MXS370" s="636">
        <v>0.12</v>
      </c>
      <c r="MXT370" s="636">
        <v>0.12</v>
      </c>
      <c r="MXU370" s="649">
        <v>0.12</v>
      </c>
      <c r="MXV370" s="16"/>
      <c r="MXW370" s="320">
        <v>0.10100000000000001</v>
      </c>
      <c r="MXX370" s="153"/>
      <c r="MXY370" s="153"/>
      <c r="MXZ370" s="153"/>
      <c r="MYA370" s="648"/>
      <c r="MYB370" s="641"/>
      <c r="MYC370" s="631" t="s">
        <v>265</v>
      </c>
      <c r="MYD370" s="632"/>
      <c r="MYE370" s="16"/>
      <c r="MYF370" s="636">
        <v>0.13500000000000001</v>
      </c>
      <c r="MYG370" s="636">
        <v>0.12</v>
      </c>
      <c r="MYH370" s="636">
        <v>0.13</v>
      </c>
      <c r="MYI370" s="636">
        <v>0.12</v>
      </c>
      <c r="MYJ370" s="636">
        <v>0.12</v>
      </c>
      <c r="MYK370" s="649">
        <v>0.12</v>
      </c>
      <c r="MYL370" s="16"/>
      <c r="MYM370" s="320">
        <v>0.10100000000000001</v>
      </c>
      <c r="MYN370" s="153"/>
      <c r="MYO370" s="153"/>
      <c r="MYP370" s="153"/>
      <c r="MYQ370" s="648"/>
      <c r="MYR370" s="641"/>
      <c r="MYS370" s="631" t="s">
        <v>265</v>
      </c>
      <c r="MYT370" s="632"/>
      <c r="MYU370" s="16"/>
      <c r="MYV370" s="636">
        <v>0.13500000000000001</v>
      </c>
      <c r="MYW370" s="636">
        <v>0.12</v>
      </c>
      <c r="MYX370" s="636">
        <v>0.13</v>
      </c>
      <c r="MYY370" s="636">
        <v>0.12</v>
      </c>
      <c r="MYZ370" s="636">
        <v>0.12</v>
      </c>
      <c r="MZA370" s="649">
        <v>0.12</v>
      </c>
      <c r="MZB370" s="16"/>
      <c r="MZC370" s="320">
        <v>0.10100000000000001</v>
      </c>
      <c r="MZD370" s="153"/>
      <c r="MZE370" s="153"/>
      <c r="MZF370" s="153"/>
      <c r="MZG370" s="648"/>
      <c r="MZH370" s="641"/>
      <c r="MZI370" s="631" t="s">
        <v>265</v>
      </c>
      <c r="MZJ370" s="632"/>
      <c r="MZK370" s="16"/>
      <c r="MZL370" s="636">
        <v>0.13500000000000001</v>
      </c>
      <c r="MZM370" s="636">
        <v>0.12</v>
      </c>
      <c r="MZN370" s="636">
        <v>0.13</v>
      </c>
      <c r="MZO370" s="636">
        <v>0.12</v>
      </c>
      <c r="MZP370" s="636">
        <v>0.12</v>
      </c>
      <c r="MZQ370" s="649">
        <v>0.12</v>
      </c>
      <c r="MZR370" s="16"/>
      <c r="MZS370" s="320">
        <v>0.10100000000000001</v>
      </c>
      <c r="MZT370" s="153"/>
      <c r="MZU370" s="153"/>
      <c r="MZV370" s="153"/>
      <c r="MZW370" s="648"/>
      <c r="MZX370" s="641"/>
      <c r="MZY370" s="631" t="s">
        <v>265</v>
      </c>
      <c r="MZZ370" s="632"/>
      <c r="NAA370" s="16"/>
      <c r="NAB370" s="636">
        <v>0.13500000000000001</v>
      </c>
      <c r="NAC370" s="636">
        <v>0.12</v>
      </c>
      <c r="NAD370" s="636">
        <v>0.13</v>
      </c>
      <c r="NAE370" s="636">
        <v>0.12</v>
      </c>
      <c r="NAF370" s="636">
        <v>0.12</v>
      </c>
      <c r="NAG370" s="649">
        <v>0.12</v>
      </c>
      <c r="NAH370" s="16"/>
      <c r="NAI370" s="320">
        <v>0.10100000000000001</v>
      </c>
      <c r="NAJ370" s="153"/>
      <c r="NAK370" s="153"/>
      <c r="NAL370" s="153"/>
      <c r="NAM370" s="648"/>
      <c r="NAN370" s="641"/>
      <c r="NAO370" s="631" t="s">
        <v>265</v>
      </c>
      <c r="NAP370" s="632"/>
      <c r="NAQ370" s="16"/>
      <c r="NAR370" s="636">
        <v>0.13500000000000001</v>
      </c>
      <c r="NAS370" s="636">
        <v>0.12</v>
      </c>
      <c r="NAT370" s="636">
        <v>0.13</v>
      </c>
      <c r="NAU370" s="636">
        <v>0.12</v>
      </c>
      <c r="NAV370" s="636">
        <v>0.12</v>
      </c>
      <c r="NAW370" s="649">
        <v>0.12</v>
      </c>
      <c r="NAX370" s="16"/>
      <c r="NAY370" s="320">
        <v>0.10100000000000001</v>
      </c>
      <c r="NAZ370" s="153"/>
      <c r="NBA370" s="153"/>
      <c r="NBB370" s="153"/>
      <c r="NBC370" s="648"/>
      <c r="NBD370" s="641"/>
      <c r="NBE370" s="631" t="s">
        <v>265</v>
      </c>
      <c r="NBF370" s="632"/>
      <c r="NBG370" s="16"/>
      <c r="NBH370" s="636">
        <v>0.13500000000000001</v>
      </c>
      <c r="NBI370" s="636">
        <v>0.12</v>
      </c>
      <c r="NBJ370" s="636">
        <v>0.13</v>
      </c>
      <c r="NBK370" s="636">
        <v>0.12</v>
      </c>
      <c r="NBL370" s="636">
        <v>0.12</v>
      </c>
      <c r="NBM370" s="649">
        <v>0.12</v>
      </c>
      <c r="NBN370" s="16"/>
      <c r="NBO370" s="320">
        <v>0.10100000000000001</v>
      </c>
      <c r="NBP370" s="153"/>
      <c r="NBQ370" s="153"/>
      <c r="NBR370" s="153"/>
      <c r="NBS370" s="648"/>
      <c r="NBT370" s="641"/>
      <c r="NBU370" s="631" t="s">
        <v>265</v>
      </c>
      <c r="NBV370" s="632"/>
      <c r="NBW370" s="16"/>
      <c r="NBX370" s="636">
        <v>0.13500000000000001</v>
      </c>
      <c r="NBY370" s="636">
        <v>0.12</v>
      </c>
      <c r="NBZ370" s="636">
        <v>0.13</v>
      </c>
      <c r="NCA370" s="636">
        <v>0.12</v>
      </c>
      <c r="NCB370" s="636">
        <v>0.12</v>
      </c>
      <c r="NCC370" s="649">
        <v>0.12</v>
      </c>
      <c r="NCD370" s="16"/>
      <c r="NCE370" s="320">
        <v>0.10100000000000001</v>
      </c>
      <c r="NCF370" s="153"/>
      <c r="NCG370" s="153"/>
      <c r="NCH370" s="153"/>
      <c r="NCI370" s="648"/>
      <c r="NCJ370" s="641"/>
      <c r="NCK370" s="631" t="s">
        <v>265</v>
      </c>
      <c r="NCL370" s="632"/>
      <c r="NCM370" s="16"/>
      <c r="NCN370" s="636">
        <v>0.13500000000000001</v>
      </c>
      <c r="NCO370" s="636">
        <v>0.12</v>
      </c>
      <c r="NCP370" s="636">
        <v>0.13</v>
      </c>
      <c r="NCQ370" s="636">
        <v>0.12</v>
      </c>
      <c r="NCR370" s="636">
        <v>0.12</v>
      </c>
      <c r="NCS370" s="649">
        <v>0.12</v>
      </c>
      <c r="NCT370" s="16"/>
      <c r="NCU370" s="320">
        <v>0.10100000000000001</v>
      </c>
      <c r="NCV370" s="153"/>
      <c r="NCW370" s="153"/>
      <c r="NCX370" s="153"/>
      <c r="NCY370" s="648"/>
      <c r="NCZ370" s="641"/>
      <c r="NDA370" s="631" t="s">
        <v>265</v>
      </c>
      <c r="NDB370" s="632"/>
      <c r="NDC370" s="16"/>
      <c r="NDD370" s="636">
        <v>0.13500000000000001</v>
      </c>
      <c r="NDE370" s="636">
        <v>0.12</v>
      </c>
      <c r="NDF370" s="636">
        <v>0.13</v>
      </c>
      <c r="NDG370" s="636">
        <v>0.12</v>
      </c>
      <c r="NDH370" s="636">
        <v>0.12</v>
      </c>
      <c r="NDI370" s="649">
        <v>0.12</v>
      </c>
      <c r="NDJ370" s="16"/>
      <c r="NDK370" s="320">
        <v>0.10100000000000001</v>
      </c>
      <c r="NDL370" s="153"/>
      <c r="NDM370" s="153"/>
      <c r="NDN370" s="153"/>
      <c r="NDO370" s="648"/>
      <c r="NDP370" s="641"/>
      <c r="NDQ370" s="631" t="s">
        <v>265</v>
      </c>
      <c r="NDR370" s="632"/>
      <c r="NDS370" s="16"/>
      <c r="NDT370" s="636">
        <v>0.13500000000000001</v>
      </c>
      <c r="NDU370" s="636">
        <v>0.12</v>
      </c>
      <c r="NDV370" s="636">
        <v>0.13</v>
      </c>
      <c r="NDW370" s="636">
        <v>0.12</v>
      </c>
      <c r="NDX370" s="636">
        <v>0.12</v>
      </c>
      <c r="NDY370" s="649">
        <v>0.12</v>
      </c>
      <c r="NDZ370" s="16"/>
      <c r="NEA370" s="320">
        <v>0.10100000000000001</v>
      </c>
      <c r="NEB370" s="153"/>
      <c r="NEC370" s="153"/>
      <c r="NED370" s="153"/>
      <c r="NEE370" s="648"/>
      <c r="NEF370" s="641"/>
      <c r="NEG370" s="631" t="s">
        <v>265</v>
      </c>
      <c r="NEH370" s="632"/>
      <c r="NEI370" s="16"/>
      <c r="NEJ370" s="636">
        <v>0.13500000000000001</v>
      </c>
      <c r="NEK370" s="636">
        <v>0.12</v>
      </c>
      <c r="NEL370" s="636">
        <v>0.13</v>
      </c>
      <c r="NEM370" s="636">
        <v>0.12</v>
      </c>
      <c r="NEN370" s="636">
        <v>0.12</v>
      </c>
      <c r="NEO370" s="649">
        <v>0.12</v>
      </c>
      <c r="NEP370" s="16"/>
      <c r="NEQ370" s="320">
        <v>0.10100000000000001</v>
      </c>
      <c r="NER370" s="153"/>
      <c r="NES370" s="153"/>
      <c r="NET370" s="153"/>
      <c r="NEU370" s="648"/>
      <c r="NEV370" s="641"/>
      <c r="NEW370" s="631" t="s">
        <v>265</v>
      </c>
      <c r="NEX370" s="632"/>
      <c r="NEY370" s="16"/>
      <c r="NEZ370" s="636">
        <v>0.13500000000000001</v>
      </c>
      <c r="NFA370" s="636">
        <v>0.12</v>
      </c>
      <c r="NFB370" s="636">
        <v>0.13</v>
      </c>
      <c r="NFC370" s="636">
        <v>0.12</v>
      </c>
      <c r="NFD370" s="636">
        <v>0.12</v>
      </c>
      <c r="NFE370" s="649">
        <v>0.12</v>
      </c>
      <c r="NFF370" s="16"/>
      <c r="NFG370" s="320">
        <v>0.10100000000000001</v>
      </c>
      <c r="NFH370" s="153"/>
      <c r="NFI370" s="153"/>
      <c r="NFJ370" s="153"/>
      <c r="NFK370" s="648"/>
      <c r="NFL370" s="641"/>
      <c r="NFM370" s="631" t="s">
        <v>265</v>
      </c>
      <c r="NFN370" s="632"/>
      <c r="NFO370" s="16"/>
      <c r="NFP370" s="636">
        <v>0.13500000000000001</v>
      </c>
      <c r="NFQ370" s="636">
        <v>0.12</v>
      </c>
      <c r="NFR370" s="636">
        <v>0.13</v>
      </c>
      <c r="NFS370" s="636">
        <v>0.12</v>
      </c>
      <c r="NFT370" s="636">
        <v>0.12</v>
      </c>
      <c r="NFU370" s="649">
        <v>0.12</v>
      </c>
      <c r="NFV370" s="16"/>
      <c r="NFW370" s="320">
        <v>0.10100000000000001</v>
      </c>
      <c r="NFX370" s="153"/>
      <c r="NFY370" s="153"/>
      <c r="NFZ370" s="153"/>
      <c r="NGA370" s="648"/>
      <c r="NGB370" s="641"/>
      <c r="NGC370" s="631" t="s">
        <v>265</v>
      </c>
      <c r="NGD370" s="632"/>
      <c r="NGE370" s="16"/>
      <c r="NGF370" s="636">
        <v>0.13500000000000001</v>
      </c>
      <c r="NGG370" s="636">
        <v>0.12</v>
      </c>
      <c r="NGH370" s="636">
        <v>0.13</v>
      </c>
      <c r="NGI370" s="636">
        <v>0.12</v>
      </c>
      <c r="NGJ370" s="636">
        <v>0.12</v>
      </c>
      <c r="NGK370" s="649">
        <v>0.12</v>
      </c>
      <c r="NGL370" s="16"/>
      <c r="NGM370" s="320">
        <v>0.10100000000000001</v>
      </c>
      <c r="NGN370" s="153"/>
      <c r="NGO370" s="153"/>
      <c r="NGP370" s="153"/>
      <c r="NGQ370" s="648"/>
      <c r="NGR370" s="641"/>
      <c r="NGS370" s="631" t="s">
        <v>265</v>
      </c>
      <c r="NGT370" s="632"/>
      <c r="NGU370" s="16"/>
      <c r="NGV370" s="636">
        <v>0.13500000000000001</v>
      </c>
      <c r="NGW370" s="636">
        <v>0.12</v>
      </c>
      <c r="NGX370" s="636">
        <v>0.13</v>
      </c>
      <c r="NGY370" s="636">
        <v>0.12</v>
      </c>
      <c r="NGZ370" s="636">
        <v>0.12</v>
      </c>
      <c r="NHA370" s="649">
        <v>0.12</v>
      </c>
      <c r="NHB370" s="16"/>
      <c r="NHC370" s="320">
        <v>0.10100000000000001</v>
      </c>
      <c r="NHD370" s="153"/>
      <c r="NHE370" s="153"/>
      <c r="NHF370" s="153"/>
      <c r="NHG370" s="648"/>
      <c r="NHH370" s="641"/>
      <c r="NHI370" s="631" t="s">
        <v>265</v>
      </c>
      <c r="NHJ370" s="632"/>
      <c r="NHK370" s="16"/>
      <c r="NHL370" s="636">
        <v>0.13500000000000001</v>
      </c>
      <c r="NHM370" s="636">
        <v>0.12</v>
      </c>
      <c r="NHN370" s="636">
        <v>0.13</v>
      </c>
      <c r="NHO370" s="636">
        <v>0.12</v>
      </c>
      <c r="NHP370" s="636">
        <v>0.12</v>
      </c>
      <c r="NHQ370" s="649">
        <v>0.12</v>
      </c>
      <c r="NHR370" s="16"/>
      <c r="NHS370" s="320">
        <v>0.10100000000000001</v>
      </c>
      <c r="NHT370" s="153"/>
      <c r="NHU370" s="153"/>
      <c r="NHV370" s="153"/>
      <c r="NHW370" s="648"/>
      <c r="NHX370" s="641"/>
      <c r="NHY370" s="631" t="s">
        <v>265</v>
      </c>
      <c r="NHZ370" s="632"/>
      <c r="NIA370" s="16"/>
      <c r="NIB370" s="636">
        <v>0.13500000000000001</v>
      </c>
      <c r="NIC370" s="636">
        <v>0.12</v>
      </c>
      <c r="NID370" s="636">
        <v>0.13</v>
      </c>
      <c r="NIE370" s="636">
        <v>0.12</v>
      </c>
      <c r="NIF370" s="636">
        <v>0.12</v>
      </c>
      <c r="NIG370" s="649">
        <v>0.12</v>
      </c>
      <c r="NIH370" s="16"/>
      <c r="NII370" s="320">
        <v>0.10100000000000001</v>
      </c>
      <c r="NIJ370" s="153"/>
      <c r="NIK370" s="153"/>
      <c r="NIL370" s="153"/>
      <c r="NIM370" s="648"/>
      <c r="NIN370" s="641"/>
      <c r="NIO370" s="631" t="s">
        <v>265</v>
      </c>
      <c r="NIP370" s="632"/>
      <c r="NIQ370" s="16"/>
      <c r="NIR370" s="636">
        <v>0.13500000000000001</v>
      </c>
      <c r="NIS370" s="636">
        <v>0.12</v>
      </c>
      <c r="NIT370" s="636">
        <v>0.13</v>
      </c>
      <c r="NIU370" s="636">
        <v>0.12</v>
      </c>
      <c r="NIV370" s="636">
        <v>0.12</v>
      </c>
      <c r="NIW370" s="649">
        <v>0.12</v>
      </c>
      <c r="NIX370" s="16"/>
      <c r="NIY370" s="320">
        <v>0.10100000000000001</v>
      </c>
      <c r="NIZ370" s="153"/>
      <c r="NJA370" s="153"/>
      <c r="NJB370" s="153"/>
      <c r="NJC370" s="648"/>
      <c r="NJD370" s="641"/>
      <c r="NJE370" s="631" t="s">
        <v>265</v>
      </c>
      <c r="NJF370" s="632"/>
      <c r="NJG370" s="16"/>
      <c r="NJH370" s="636">
        <v>0.13500000000000001</v>
      </c>
      <c r="NJI370" s="636">
        <v>0.12</v>
      </c>
      <c r="NJJ370" s="636">
        <v>0.13</v>
      </c>
      <c r="NJK370" s="636">
        <v>0.12</v>
      </c>
      <c r="NJL370" s="636">
        <v>0.12</v>
      </c>
      <c r="NJM370" s="649">
        <v>0.12</v>
      </c>
      <c r="NJN370" s="16"/>
      <c r="NJO370" s="320">
        <v>0.10100000000000001</v>
      </c>
      <c r="NJP370" s="153"/>
      <c r="NJQ370" s="153"/>
      <c r="NJR370" s="153"/>
      <c r="NJS370" s="648"/>
      <c r="NJT370" s="641"/>
      <c r="NJU370" s="631" t="s">
        <v>265</v>
      </c>
      <c r="NJV370" s="632"/>
      <c r="NJW370" s="16"/>
      <c r="NJX370" s="636">
        <v>0.13500000000000001</v>
      </c>
      <c r="NJY370" s="636">
        <v>0.12</v>
      </c>
      <c r="NJZ370" s="636">
        <v>0.13</v>
      </c>
      <c r="NKA370" s="636">
        <v>0.12</v>
      </c>
      <c r="NKB370" s="636">
        <v>0.12</v>
      </c>
      <c r="NKC370" s="649">
        <v>0.12</v>
      </c>
      <c r="NKD370" s="16"/>
      <c r="NKE370" s="320">
        <v>0.10100000000000001</v>
      </c>
      <c r="NKF370" s="153"/>
      <c r="NKG370" s="153"/>
      <c r="NKH370" s="153"/>
      <c r="NKI370" s="648"/>
      <c r="NKJ370" s="641"/>
      <c r="NKK370" s="631" t="s">
        <v>265</v>
      </c>
      <c r="NKL370" s="632"/>
      <c r="NKM370" s="16"/>
      <c r="NKN370" s="636">
        <v>0.13500000000000001</v>
      </c>
      <c r="NKO370" s="636">
        <v>0.12</v>
      </c>
      <c r="NKP370" s="636">
        <v>0.13</v>
      </c>
      <c r="NKQ370" s="636">
        <v>0.12</v>
      </c>
      <c r="NKR370" s="636">
        <v>0.12</v>
      </c>
      <c r="NKS370" s="649">
        <v>0.12</v>
      </c>
      <c r="NKT370" s="16"/>
      <c r="NKU370" s="320">
        <v>0.10100000000000001</v>
      </c>
      <c r="NKV370" s="153"/>
      <c r="NKW370" s="153"/>
      <c r="NKX370" s="153"/>
      <c r="NKY370" s="648"/>
      <c r="NKZ370" s="641"/>
      <c r="NLA370" s="631" t="s">
        <v>265</v>
      </c>
      <c r="NLB370" s="632"/>
      <c r="NLC370" s="16"/>
      <c r="NLD370" s="636">
        <v>0.13500000000000001</v>
      </c>
      <c r="NLE370" s="636">
        <v>0.12</v>
      </c>
      <c r="NLF370" s="636">
        <v>0.13</v>
      </c>
      <c r="NLG370" s="636">
        <v>0.12</v>
      </c>
      <c r="NLH370" s="636">
        <v>0.12</v>
      </c>
      <c r="NLI370" s="649">
        <v>0.12</v>
      </c>
      <c r="NLJ370" s="16"/>
      <c r="NLK370" s="320">
        <v>0.10100000000000001</v>
      </c>
      <c r="NLL370" s="153"/>
      <c r="NLM370" s="153"/>
      <c r="NLN370" s="153"/>
      <c r="NLO370" s="648"/>
      <c r="NLP370" s="641"/>
      <c r="NLQ370" s="631" t="s">
        <v>265</v>
      </c>
      <c r="NLR370" s="632"/>
      <c r="NLS370" s="16"/>
      <c r="NLT370" s="636">
        <v>0.13500000000000001</v>
      </c>
      <c r="NLU370" s="636">
        <v>0.12</v>
      </c>
      <c r="NLV370" s="636">
        <v>0.13</v>
      </c>
      <c r="NLW370" s="636">
        <v>0.12</v>
      </c>
      <c r="NLX370" s="636">
        <v>0.12</v>
      </c>
      <c r="NLY370" s="649">
        <v>0.12</v>
      </c>
      <c r="NLZ370" s="16"/>
      <c r="NMA370" s="320">
        <v>0.10100000000000001</v>
      </c>
      <c r="NMB370" s="153"/>
      <c r="NMC370" s="153"/>
      <c r="NMD370" s="153"/>
      <c r="NME370" s="648"/>
      <c r="NMF370" s="641"/>
      <c r="NMG370" s="631" t="s">
        <v>265</v>
      </c>
      <c r="NMH370" s="632"/>
      <c r="NMI370" s="16"/>
      <c r="NMJ370" s="636">
        <v>0.13500000000000001</v>
      </c>
      <c r="NMK370" s="636">
        <v>0.12</v>
      </c>
      <c r="NML370" s="636">
        <v>0.13</v>
      </c>
      <c r="NMM370" s="636">
        <v>0.12</v>
      </c>
      <c r="NMN370" s="636">
        <v>0.12</v>
      </c>
      <c r="NMO370" s="649">
        <v>0.12</v>
      </c>
      <c r="NMP370" s="16"/>
      <c r="NMQ370" s="320">
        <v>0.10100000000000001</v>
      </c>
      <c r="NMR370" s="153"/>
      <c r="NMS370" s="153"/>
      <c r="NMT370" s="153"/>
      <c r="NMU370" s="648"/>
      <c r="NMV370" s="641"/>
      <c r="NMW370" s="631" t="s">
        <v>265</v>
      </c>
      <c r="NMX370" s="632"/>
      <c r="NMY370" s="16"/>
      <c r="NMZ370" s="636">
        <v>0.13500000000000001</v>
      </c>
      <c r="NNA370" s="636">
        <v>0.12</v>
      </c>
      <c r="NNB370" s="636">
        <v>0.13</v>
      </c>
      <c r="NNC370" s="636">
        <v>0.12</v>
      </c>
      <c r="NND370" s="636">
        <v>0.12</v>
      </c>
      <c r="NNE370" s="649">
        <v>0.12</v>
      </c>
      <c r="NNF370" s="16"/>
      <c r="NNG370" s="320">
        <v>0.10100000000000001</v>
      </c>
      <c r="NNH370" s="153"/>
      <c r="NNI370" s="153"/>
      <c r="NNJ370" s="153"/>
      <c r="NNK370" s="648"/>
      <c r="NNL370" s="641"/>
      <c r="NNM370" s="631" t="s">
        <v>265</v>
      </c>
      <c r="NNN370" s="632"/>
      <c r="NNO370" s="16"/>
      <c r="NNP370" s="636">
        <v>0.13500000000000001</v>
      </c>
      <c r="NNQ370" s="636">
        <v>0.12</v>
      </c>
      <c r="NNR370" s="636">
        <v>0.13</v>
      </c>
      <c r="NNS370" s="636">
        <v>0.12</v>
      </c>
      <c r="NNT370" s="636">
        <v>0.12</v>
      </c>
      <c r="NNU370" s="649">
        <v>0.12</v>
      </c>
      <c r="NNV370" s="16"/>
      <c r="NNW370" s="320">
        <v>0.10100000000000001</v>
      </c>
      <c r="NNX370" s="153"/>
      <c r="NNY370" s="153"/>
      <c r="NNZ370" s="153"/>
      <c r="NOA370" s="648"/>
      <c r="NOB370" s="641"/>
      <c r="NOC370" s="631" t="s">
        <v>265</v>
      </c>
      <c r="NOD370" s="632"/>
      <c r="NOE370" s="16"/>
      <c r="NOF370" s="636">
        <v>0.13500000000000001</v>
      </c>
      <c r="NOG370" s="636">
        <v>0.12</v>
      </c>
      <c r="NOH370" s="636">
        <v>0.13</v>
      </c>
      <c r="NOI370" s="636">
        <v>0.12</v>
      </c>
      <c r="NOJ370" s="636">
        <v>0.12</v>
      </c>
      <c r="NOK370" s="649">
        <v>0.12</v>
      </c>
      <c r="NOL370" s="16"/>
      <c r="NOM370" s="320">
        <v>0.10100000000000001</v>
      </c>
      <c r="NON370" s="153"/>
      <c r="NOO370" s="153"/>
      <c r="NOP370" s="153"/>
      <c r="NOQ370" s="648"/>
      <c r="NOR370" s="641"/>
      <c r="NOS370" s="631" t="s">
        <v>265</v>
      </c>
      <c r="NOT370" s="632"/>
      <c r="NOU370" s="16"/>
      <c r="NOV370" s="636">
        <v>0.13500000000000001</v>
      </c>
      <c r="NOW370" s="636">
        <v>0.12</v>
      </c>
      <c r="NOX370" s="636">
        <v>0.13</v>
      </c>
      <c r="NOY370" s="636">
        <v>0.12</v>
      </c>
      <c r="NOZ370" s="636">
        <v>0.12</v>
      </c>
      <c r="NPA370" s="649">
        <v>0.12</v>
      </c>
      <c r="NPB370" s="16"/>
      <c r="NPC370" s="320">
        <v>0.10100000000000001</v>
      </c>
      <c r="NPD370" s="153"/>
      <c r="NPE370" s="153"/>
      <c r="NPF370" s="153"/>
      <c r="NPG370" s="648"/>
      <c r="NPH370" s="641"/>
      <c r="NPI370" s="631" t="s">
        <v>265</v>
      </c>
      <c r="NPJ370" s="632"/>
      <c r="NPK370" s="16"/>
      <c r="NPL370" s="636">
        <v>0.13500000000000001</v>
      </c>
      <c r="NPM370" s="636">
        <v>0.12</v>
      </c>
      <c r="NPN370" s="636">
        <v>0.13</v>
      </c>
      <c r="NPO370" s="636">
        <v>0.12</v>
      </c>
      <c r="NPP370" s="636">
        <v>0.12</v>
      </c>
      <c r="NPQ370" s="649">
        <v>0.12</v>
      </c>
      <c r="NPR370" s="16"/>
      <c r="NPS370" s="320">
        <v>0.10100000000000001</v>
      </c>
      <c r="NPT370" s="153"/>
      <c r="NPU370" s="153"/>
      <c r="NPV370" s="153"/>
      <c r="NPW370" s="648"/>
      <c r="NPX370" s="641"/>
      <c r="NPY370" s="631" t="s">
        <v>265</v>
      </c>
      <c r="NPZ370" s="632"/>
      <c r="NQA370" s="16"/>
      <c r="NQB370" s="636">
        <v>0.13500000000000001</v>
      </c>
      <c r="NQC370" s="636">
        <v>0.12</v>
      </c>
      <c r="NQD370" s="636">
        <v>0.13</v>
      </c>
      <c r="NQE370" s="636">
        <v>0.12</v>
      </c>
      <c r="NQF370" s="636">
        <v>0.12</v>
      </c>
      <c r="NQG370" s="649">
        <v>0.12</v>
      </c>
      <c r="NQH370" s="16"/>
      <c r="NQI370" s="320">
        <v>0.10100000000000001</v>
      </c>
      <c r="NQJ370" s="153"/>
      <c r="NQK370" s="153"/>
      <c r="NQL370" s="153"/>
      <c r="NQM370" s="648"/>
      <c r="NQN370" s="641"/>
      <c r="NQO370" s="631" t="s">
        <v>265</v>
      </c>
      <c r="NQP370" s="632"/>
      <c r="NQQ370" s="16"/>
      <c r="NQR370" s="636">
        <v>0.13500000000000001</v>
      </c>
      <c r="NQS370" s="636">
        <v>0.12</v>
      </c>
      <c r="NQT370" s="636">
        <v>0.13</v>
      </c>
      <c r="NQU370" s="636">
        <v>0.12</v>
      </c>
      <c r="NQV370" s="636">
        <v>0.12</v>
      </c>
      <c r="NQW370" s="649">
        <v>0.12</v>
      </c>
      <c r="NQX370" s="16"/>
      <c r="NQY370" s="320">
        <v>0.10100000000000001</v>
      </c>
      <c r="NQZ370" s="153"/>
      <c r="NRA370" s="153"/>
      <c r="NRB370" s="153"/>
      <c r="NRC370" s="648"/>
      <c r="NRD370" s="641"/>
      <c r="NRE370" s="631" t="s">
        <v>265</v>
      </c>
      <c r="NRF370" s="632"/>
      <c r="NRG370" s="16"/>
      <c r="NRH370" s="636">
        <v>0.13500000000000001</v>
      </c>
      <c r="NRI370" s="636">
        <v>0.12</v>
      </c>
      <c r="NRJ370" s="636">
        <v>0.13</v>
      </c>
      <c r="NRK370" s="636">
        <v>0.12</v>
      </c>
      <c r="NRL370" s="636">
        <v>0.12</v>
      </c>
      <c r="NRM370" s="649">
        <v>0.12</v>
      </c>
      <c r="NRN370" s="16"/>
      <c r="NRO370" s="320">
        <v>0.10100000000000001</v>
      </c>
      <c r="NRP370" s="153"/>
      <c r="NRQ370" s="153"/>
      <c r="NRR370" s="153"/>
      <c r="NRS370" s="648"/>
      <c r="NRT370" s="641"/>
      <c r="NRU370" s="631" t="s">
        <v>265</v>
      </c>
      <c r="NRV370" s="632"/>
      <c r="NRW370" s="16"/>
      <c r="NRX370" s="636">
        <v>0.13500000000000001</v>
      </c>
      <c r="NRY370" s="636">
        <v>0.12</v>
      </c>
      <c r="NRZ370" s="636">
        <v>0.13</v>
      </c>
      <c r="NSA370" s="636">
        <v>0.12</v>
      </c>
      <c r="NSB370" s="636">
        <v>0.12</v>
      </c>
      <c r="NSC370" s="649">
        <v>0.12</v>
      </c>
      <c r="NSD370" s="16"/>
      <c r="NSE370" s="320">
        <v>0.10100000000000001</v>
      </c>
      <c r="NSF370" s="153"/>
      <c r="NSG370" s="153"/>
      <c r="NSH370" s="153"/>
      <c r="NSI370" s="648"/>
      <c r="NSJ370" s="641"/>
      <c r="NSK370" s="631" t="s">
        <v>265</v>
      </c>
      <c r="NSL370" s="632"/>
      <c r="NSM370" s="16"/>
      <c r="NSN370" s="636">
        <v>0.13500000000000001</v>
      </c>
      <c r="NSO370" s="636">
        <v>0.12</v>
      </c>
      <c r="NSP370" s="636">
        <v>0.13</v>
      </c>
      <c r="NSQ370" s="636">
        <v>0.12</v>
      </c>
      <c r="NSR370" s="636">
        <v>0.12</v>
      </c>
      <c r="NSS370" s="649">
        <v>0.12</v>
      </c>
      <c r="NST370" s="16"/>
      <c r="NSU370" s="320">
        <v>0.10100000000000001</v>
      </c>
      <c r="NSV370" s="153"/>
      <c r="NSW370" s="153"/>
      <c r="NSX370" s="153"/>
      <c r="NSY370" s="648"/>
      <c r="NSZ370" s="641"/>
      <c r="NTA370" s="631" t="s">
        <v>265</v>
      </c>
      <c r="NTB370" s="632"/>
      <c r="NTC370" s="16"/>
      <c r="NTD370" s="636">
        <v>0.13500000000000001</v>
      </c>
      <c r="NTE370" s="636">
        <v>0.12</v>
      </c>
      <c r="NTF370" s="636">
        <v>0.13</v>
      </c>
      <c r="NTG370" s="636">
        <v>0.12</v>
      </c>
      <c r="NTH370" s="636">
        <v>0.12</v>
      </c>
      <c r="NTI370" s="649">
        <v>0.12</v>
      </c>
      <c r="NTJ370" s="16"/>
      <c r="NTK370" s="320">
        <v>0.10100000000000001</v>
      </c>
      <c r="NTL370" s="153"/>
      <c r="NTM370" s="153"/>
      <c r="NTN370" s="153"/>
      <c r="NTO370" s="648"/>
      <c r="NTP370" s="641"/>
      <c r="NTQ370" s="631" t="s">
        <v>265</v>
      </c>
      <c r="NTR370" s="632"/>
      <c r="NTS370" s="16"/>
      <c r="NTT370" s="636">
        <v>0.13500000000000001</v>
      </c>
      <c r="NTU370" s="636">
        <v>0.12</v>
      </c>
      <c r="NTV370" s="636">
        <v>0.13</v>
      </c>
      <c r="NTW370" s="636">
        <v>0.12</v>
      </c>
      <c r="NTX370" s="636">
        <v>0.12</v>
      </c>
      <c r="NTY370" s="649">
        <v>0.12</v>
      </c>
      <c r="NTZ370" s="16"/>
      <c r="NUA370" s="320">
        <v>0.10100000000000001</v>
      </c>
      <c r="NUB370" s="153"/>
      <c r="NUC370" s="153"/>
      <c r="NUD370" s="153"/>
      <c r="NUE370" s="648"/>
      <c r="NUF370" s="641"/>
      <c r="NUG370" s="631" t="s">
        <v>265</v>
      </c>
      <c r="NUH370" s="632"/>
      <c r="NUI370" s="16"/>
      <c r="NUJ370" s="636">
        <v>0.13500000000000001</v>
      </c>
      <c r="NUK370" s="636">
        <v>0.12</v>
      </c>
      <c r="NUL370" s="636">
        <v>0.13</v>
      </c>
      <c r="NUM370" s="636">
        <v>0.12</v>
      </c>
      <c r="NUN370" s="636">
        <v>0.12</v>
      </c>
      <c r="NUO370" s="649">
        <v>0.12</v>
      </c>
      <c r="NUP370" s="16"/>
      <c r="NUQ370" s="320">
        <v>0.10100000000000001</v>
      </c>
      <c r="NUR370" s="153"/>
      <c r="NUS370" s="153"/>
      <c r="NUT370" s="153"/>
      <c r="NUU370" s="648"/>
      <c r="NUV370" s="641"/>
      <c r="NUW370" s="631" t="s">
        <v>265</v>
      </c>
      <c r="NUX370" s="632"/>
      <c r="NUY370" s="16"/>
      <c r="NUZ370" s="636">
        <v>0.13500000000000001</v>
      </c>
      <c r="NVA370" s="636">
        <v>0.12</v>
      </c>
      <c r="NVB370" s="636">
        <v>0.13</v>
      </c>
      <c r="NVC370" s="636">
        <v>0.12</v>
      </c>
      <c r="NVD370" s="636">
        <v>0.12</v>
      </c>
      <c r="NVE370" s="649">
        <v>0.12</v>
      </c>
      <c r="NVF370" s="16"/>
      <c r="NVG370" s="320">
        <v>0.10100000000000001</v>
      </c>
      <c r="NVH370" s="153"/>
      <c r="NVI370" s="153"/>
      <c r="NVJ370" s="153"/>
      <c r="NVK370" s="648"/>
      <c r="NVL370" s="641"/>
      <c r="NVM370" s="631" t="s">
        <v>265</v>
      </c>
      <c r="NVN370" s="632"/>
      <c r="NVO370" s="16"/>
      <c r="NVP370" s="636">
        <v>0.13500000000000001</v>
      </c>
      <c r="NVQ370" s="636">
        <v>0.12</v>
      </c>
      <c r="NVR370" s="636">
        <v>0.13</v>
      </c>
      <c r="NVS370" s="636">
        <v>0.12</v>
      </c>
      <c r="NVT370" s="636">
        <v>0.12</v>
      </c>
      <c r="NVU370" s="649">
        <v>0.12</v>
      </c>
      <c r="NVV370" s="16"/>
      <c r="NVW370" s="320">
        <v>0.10100000000000001</v>
      </c>
      <c r="NVX370" s="153"/>
      <c r="NVY370" s="153"/>
      <c r="NVZ370" s="153"/>
      <c r="NWA370" s="648"/>
      <c r="NWB370" s="641"/>
      <c r="NWC370" s="631" t="s">
        <v>265</v>
      </c>
      <c r="NWD370" s="632"/>
      <c r="NWE370" s="16"/>
      <c r="NWF370" s="636">
        <v>0.13500000000000001</v>
      </c>
      <c r="NWG370" s="636">
        <v>0.12</v>
      </c>
      <c r="NWH370" s="636">
        <v>0.13</v>
      </c>
      <c r="NWI370" s="636">
        <v>0.12</v>
      </c>
      <c r="NWJ370" s="636">
        <v>0.12</v>
      </c>
      <c r="NWK370" s="649">
        <v>0.12</v>
      </c>
      <c r="NWL370" s="16"/>
      <c r="NWM370" s="320">
        <v>0.10100000000000001</v>
      </c>
      <c r="NWN370" s="153"/>
      <c r="NWO370" s="153"/>
      <c r="NWP370" s="153"/>
      <c r="NWQ370" s="648"/>
      <c r="NWR370" s="641"/>
      <c r="NWS370" s="631" t="s">
        <v>265</v>
      </c>
      <c r="NWT370" s="632"/>
      <c r="NWU370" s="16"/>
      <c r="NWV370" s="636">
        <v>0.13500000000000001</v>
      </c>
      <c r="NWW370" s="636">
        <v>0.12</v>
      </c>
      <c r="NWX370" s="636">
        <v>0.13</v>
      </c>
      <c r="NWY370" s="636">
        <v>0.12</v>
      </c>
      <c r="NWZ370" s="636">
        <v>0.12</v>
      </c>
      <c r="NXA370" s="649">
        <v>0.12</v>
      </c>
      <c r="NXB370" s="16"/>
      <c r="NXC370" s="320">
        <v>0.10100000000000001</v>
      </c>
      <c r="NXD370" s="153"/>
      <c r="NXE370" s="153"/>
      <c r="NXF370" s="153"/>
      <c r="NXG370" s="648"/>
      <c r="NXH370" s="641"/>
      <c r="NXI370" s="631" t="s">
        <v>265</v>
      </c>
      <c r="NXJ370" s="632"/>
      <c r="NXK370" s="16"/>
      <c r="NXL370" s="636">
        <v>0.13500000000000001</v>
      </c>
      <c r="NXM370" s="636">
        <v>0.12</v>
      </c>
      <c r="NXN370" s="636">
        <v>0.13</v>
      </c>
      <c r="NXO370" s="636">
        <v>0.12</v>
      </c>
      <c r="NXP370" s="636">
        <v>0.12</v>
      </c>
      <c r="NXQ370" s="649">
        <v>0.12</v>
      </c>
      <c r="NXR370" s="16"/>
      <c r="NXS370" s="320">
        <v>0.10100000000000001</v>
      </c>
      <c r="NXT370" s="153"/>
      <c r="NXU370" s="153"/>
      <c r="NXV370" s="153"/>
      <c r="NXW370" s="648"/>
      <c r="NXX370" s="641"/>
      <c r="NXY370" s="631" t="s">
        <v>265</v>
      </c>
      <c r="NXZ370" s="632"/>
      <c r="NYA370" s="16"/>
      <c r="NYB370" s="636">
        <v>0.13500000000000001</v>
      </c>
      <c r="NYC370" s="636">
        <v>0.12</v>
      </c>
      <c r="NYD370" s="636">
        <v>0.13</v>
      </c>
      <c r="NYE370" s="636">
        <v>0.12</v>
      </c>
      <c r="NYF370" s="636">
        <v>0.12</v>
      </c>
      <c r="NYG370" s="649">
        <v>0.12</v>
      </c>
      <c r="NYH370" s="16"/>
      <c r="NYI370" s="320">
        <v>0.10100000000000001</v>
      </c>
      <c r="NYJ370" s="153"/>
      <c r="NYK370" s="153"/>
      <c r="NYL370" s="153"/>
      <c r="NYM370" s="648"/>
      <c r="NYN370" s="641"/>
      <c r="NYO370" s="631" t="s">
        <v>265</v>
      </c>
      <c r="NYP370" s="632"/>
      <c r="NYQ370" s="16"/>
      <c r="NYR370" s="636">
        <v>0.13500000000000001</v>
      </c>
      <c r="NYS370" s="636">
        <v>0.12</v>
      </c>
      <c r="NYT370" s="636">
        <v>0.13</v>
      </c>
      <c r="NYU370" s="636">
        <v>0.12</v>
      </c>
      <c r="NYV370" s="636">
        <v>0.12</v>
      </c>
      <c r="NYW370" s="649">
        <v>0.12</v>
      </c>
      <c r="NYX370" s="16"/>
      <c r="NYY370" s="320">
        <v>0.10100000000000001</v>
      </c>
      <c r="NYZ370" s="153"/>
      <c r="NZA370" s="153"/>
      <c r="NZB370" s="153"/>
      <c r="NZC370" s="648"/>
      <c r="NZD370" s="641"/>
      <c r="NZE370" s="631" t="s">
        <v>265</v>
      </c>
      <c r="NZF370" s="632"/>
      <c r="NZG370" s="16"/>
      <c r="NZH370" s="636">
        <v>0.13500000000000001</v>
      </c>
      <c r="NZI370" s="636">
        <v>0.12</v>
      </c>
      <c r="NZJ370" s="636">
        <v>0.13</v>
      </c>
      <c r="NZK370" s="636">
        <v>0.12</v>
      </c>
      <c r="NZL370" s="636">
        <v>0.12</v>
      </c>
      <c r="NZM370" s="649">
        <v>0.12</v>
      </c>
      <c r="NZN370" s="16"/>
      <c r="NZO370" s="320">
        <v>0.10100000000000001</v>
      </c>
      <c r="NZP370" s="153"/>
      <c r="NZQ370" s="153"/>
      <c r="NZR370" s="153"/>
      <c r="NZS370" s="648"/>
      <c r="NZT370" s="641"/>
      <c r="NZU370" s="631" t="s">
        <v>265</v>
      </c>
      <c r="NZV370" s="632"/>
      <c r="NZW370" s="16"/>
      <c r="NZX370" s="636">
        <v>0.13500000000000001</v>
      </c>
      <c r="NZY370" s="636">
        <v>0.12</v>
      </c>
      <c r="NZZ370" s="636">
        <v>0.13</v>
      </c>
      <c r="OAA370" s="636">
        <v>0.12</v>
      </c>
      <c r="OAB370" s="636">
        <v>0.12</v>
      </c>
      <c r="OAC370" s="649">
        <v>0.12</v>
      </c>
      <c r="OAD370" s="16"/>
      <c r="OAE370" s="320">
        <v>0.10100000000000001</v>
      </c>
      <c r="OAF370" s="153"/>
      <c r="OAG370" s="153"/>
      <c r="OAH370" s="153"/>
      <c r="OAI370" s="648"/>
      <c r="OAJ370" s="641"/>
      <c r="OAK370" s="631" t="s">
        <v>265</v>
      </c>
      <c r="OAL370" s="632"/>
      <c r="OAM370" s="16"/>
      <c r="OAN370" s="636">
        <v>0.13500000000000001</v>
      </c>
      <c r="OAO370" s="636">
        <v>0.12</v>
      </c>
      <c r="OAP370" s="636">
        <v>0.13</v>
      </c>
      <c r="OAQ370" s="636">
        <v>0.12</v>
      </c>
      <c r="OAR370" s="636">
        <v>0.12</v>
      </c>
      <c r="OAS370" s="649">
        <v>0.12</v>
      </c>
      <c r="OAT370" s="16"/>
      <c r="OAU370" s="320">
        <v>0.10100000000000001</v>
      </c>
      <c r="OAV370" s="153"/>
      <c r="OAW370" s="153"/>
      <c r="OAX370" s="153"/>
      <c r="OAY370" s="648"/>
      <c r="OAZ370" s="641"/>
      <c r="OBA370" s="631" t="s">
        <v>265</v>
      </c>
      <c r="OBB370" s="632"/>
      <c r="OBC370" s="16"/>
      <c r="OBD370" s="636">
        <v>0.13500000000000001</v>
      </c>
      <c r="OBE370" s="636">
        <v>0.12</v>
      </c>
      <c r="OBF370" s="636">
        <v>0.13</v>
      </c>
      <c r="OBG370" s="636">
        <v>0.12</v>
      </c>
      <c r="OBH370" s="636">
        <v>0.12</v>
      </c>
      <c r="OBI370" s="649">
        <v>0.12</v>
      </c>
      <c r="OBJ370" s="16"/>
      <c r="OBK370" s="320">
        <v>0.10100000000000001</v>
      </c>
      <c r="OBL370" s="153"/>
      <c r="OBM370" s="153"/>
      <c r="OBN370" s="153"/>
      <c r="OBO370" s="648"/>
      <c r="OBP370" s="641"/>
      <c r="OBQ370" s="631" t="s">
        <v>265</v>
      </c>
      <c r="OBR370" s="632"/>
      <c r="OBS370" s="16"/>
      <c r="OBT370" s="636">
        <v>0.13500000000000001</v>
      </c>
      <c r="OBU370" s="636">
        <v>0.12</v>
      </c>
      <c r="OBV370" s="636">
        <v>0.13</v>
      </c>
      <c r="OBW370" s="636">
        <v>0.12</v>
      </c>
      <c r="OBX370" s="636">
        <v>0.12</v>
      </c>
      <c r="OBY370" s="649">
        <v>0.12</v>
      </c>
      <c r="OBZ370" s="16"/>
      <c r="OCA370" s="320">
        <v>0.10100000000000001</v>
      </c>
      <c r="OCB370" s="153"/>
      <c r="OCC370" s="153"/>
      <c r="OCD370" s="153"/>
      <c r="OCE370" s="648"/>
      <c r="OCF370" s="641"/>
      <c r="OCG370" s="631" t="s">
        <v>265</v>
      </c>
      <c r="OCH370" s="632"/>
      <c r="OCI370" s="16"/>
      <c r="OCJ370" s="636">
        <v>0.13500000000000001</v>
      </c>
      <c r="OCK370" s="636">
        <v>0.12</v>
      </c>
      <c r="OCL370" s="636">
        <v>0.13</v>
      </c>
      <c r="OCM370" s="636">
        <v>0.12</v>
      </c>
      <c r="OCN370" s="636">
        <v>0.12</v>
      </c>
      <c r="OCO370" s="649">
        <v>0.12</v>
      </c>
      <c r="OCP370" s="16"/>
      <c r="OCQ370" s="320">
        <v>0.10100000000000001</v>
      </c>
      <c r="OCR370" s="153"/>
      <c r="OCS370" s="153"/>
      <c r="OCT370" s="153"/>
      <c r="OCU370" s="648"/>
      <c r="OCV370" s="641"/>
      <c r="OCW370" s="631" t="s">
        <v>265</v>
      </c>
      <c r="OCX370" s="632"/>
      <c r="OCY370" s="16"/>
      <c r="OCZ370" s="636">
        <v>0.13500000000000001</v>
      </c>
      <c r="ODA370" s="636">
        <v>0.12</v>
      </c>
      <c r="ODB370" s="636">
        <v>0.13</v>
      </c>
      <c r="ODC370" s="636">
        <v>0.12</v>
      </c>
      <c r="ODD370" s="636">
        <v>0.12</v>
      </c>
      <c r="ODE370" s="649">
        <v>0.12</v>
      </c>
      <c r="ODF370" s="16"/>
      <c r="ODG370" s="320">
        <v>0.10100000000000001</v>
      </c>
      <c r="ODH370" s="153"/>
      <c r="ODI370" s="153"/>
      <c r="ODJ370" s="153"/>
      <c r="ODK370" s="648"/>
      <c r="ODL370" s="641"/>
      <c r="ODM370" s="631" t="s">
        <v>265</v>
      </c>
      <c r="ODN370" s="632"/>
      <c r="ODO370" s="16"/>
      <c r="ODP370" s="636">
        <v>0.13500000000000001</v>
      </c>
      <c r="ODQ370" s="636">
        <v>0.12</v>
      </c>
      <c r="ODR370" s="636">
        <v>0.13</v>
      </c>
      <c r="ODS370" s="636">
        <v>0.12</v>
      </c>
      <c r="ODT370" s="636">
        <v>0.12</v>
      </c>
      <c r="ODU370" s="649">
        <v>0.12</v>
      </c>
      <c r="ODV370" s="16"/>
      <c r="ODW370" s="320">
        <v>0.10100000000000001</v>
      </c>
      <c r="ODX370" s="153"/>
      <c r="ODY370" s="153"/>
      <c r="ODZ370" s="153"/>
      <c r="OEA370" s="648"/>
      <c r="OEB370" s="641"/>
      <c r="OEC370" s="631" t="s">
        <v>265</v>
      </c>
      <c r="OED370" s="632"/>
      <c r="OEE370" s="16"/>
      <c r="OEF370" s="636">
        <v>0.13500000000000001</v>
      </c>
      <c r="OEG370" s="636">
        <v>0.12</v>
      </c>
      <c r="OEH370" s="636">
        <v>0.13</v>
      </c>
      <c r="OEI370" s="636">
        <v>0.12</v>
      </c>
      <c r="OEJ370" s="636">
        <v>0.12</v>
      </c>
      <c r="OEK370" s="649">
        <v>0.12</v>
      </c>
      <c r="OEL370" s="16"/>
      <c r="OEM370" s="320">
        <v>0.10100000000000001</v>
      </c>
      <c r="OEN370" s="153"/>
      <c r="OEO370" s="153"/>
      <c r="OEP370" s="153"/>
      <c r="OEQ370" s="648"/>
      <c r="OER370" s="641"/>
      <c r="OES370" s="631" t="s">
        <v>265</v>
      </c>
      <c r="OET370" s="632"/>
      <c r="OEU370" s="16"/>
      <c r="OEV370" s="636">
        <v>0.13500000000000001</v>
      </c>
      <c r="OEW370" s="636">
        <v>0.12</v>
      </c>
      <c r="OEX370" s="636">
        <v>0.13</v>
      </c>
      <c r="OEY370" s="636">
        <v>0.12</v>
      </c>
      <c r="OEZ370" s="636">
        <v>0.12</v>
      </c>
      <c r="OFA370" s="649">
        <v>0.12</v>
      </c>
      <c r="OFB370" s="16"/>
      <c r="OFC370" s="320">
        <v>0.10100000000000001</v>
      </c>
      <c r="OFD370" s="153"/>
      <c r="OFE370" s="153"/>
      <c r="OFF370" s="153"/>
      <c r="OFG370" s="648"/>
      <c r="OFH370" s="641"/>
      <c r="OFI370" s="631" t="s">
        <v>265</v>
      </c>
      <c r="OFJ370" s="632"/>
      <c r="OFK370" s="16"/>
      <c r="OFL370" s="636">
        <v>0.13500000000000001</v>
      </c>
      <c r="OFM370" s="636">
        <v>0.12</v>
      </c>
      <c r="OFN370" s="636">
        <v>0.13</v>
      </c>
      <c r="OFO370" s="636">
        <v>0.12</v>
      </c>
      <c r="OFP370" s="636">
        <v>0.12</v>
      </c>
      <c r="OFQ370" s="649">
        <v>0.12</v>
      </c>
      <c r="OFR370" s="16"/>
      <c r="OFS370" s="320">
        <v>0.10100000000000001</v>
      </c>
      <c r="OFT370" s="153"/>
      <c r="OFU370" s="153"/>
      <c r="OFV370" s="153"/>
      <c r="OFW370" s="648"/>
      <c r="OFX370" s="641"/>
      <c r="OFY370" s="631" t="s">
        <v>265</v>
      </c>
      <c r="OFZ370" s="632"/>
      <c r="OGA370" s="16"/>
      <c r="OGB370" s="636">
        <v>0.13500000000000001</v>
      </c>
      <c r="OGC370" s="636">
        <v>0.12</v>
      </c>
      <c r="OGD370" s="636">
        <v>0.13</v>
      </c>
      <c r="OGE370" s="636">
        <v>0.12</v>
      </c>
      <c r="OGF370" s="636">
        <v>0.12</v>
      </c>
      <c r="OGG370" s="649">
        <v>0.12</v>
      </c>
      <c r="OGH370" s="16"/>
      <c r="OGI370" s="320">
        <v>0.10100000000000001</v>
      </c>
      <c r="OGJ370" s="153"/>
      <c r="OGK370" s="153"/>
      <c r="OGL370" s="153"/>
      <c r="OGM370" s="648"/>
      <c r="OGN370" s="641"/>
      <c r="OGO370" s="631" t="s">
        <v>265</v>
      </c>
      <c r="OGP370" s="632"/>
      <c r="OGQ370" s="16"/>
      <c r="OGR370" s="636">
        <v>0.13500000000000001</v>
      </c>
      <c r="OGS370" s="636">
        <v>0.12</v>
      </c>
      <c r="OGT370" s="636">
        <v>0.13</v>
      </c>
      <c r="OGU370" s="636">
        <v>0.12</v>
      </c>
      <c r="OGV370" s="636">
        <v>0.12</v>
      </c>
      <c r="OGW370" s="649">
        <v>0.12</v>
      </c>
      <c r="OGX370" s="16"/>
      <c r="OGY370" s="320">
        <v>0.10100000000000001</v>
      </c>
      <c r="OGZ370" s="153"/>
      <c r="OHA370" s="153"/>
      <c r="OHB370" s="153"/>
      <c r="OHC370" s="648"/>
      <c r="OHD370" s="641"/>
      <c r="OHE370" s="631" t="s">
        <v>265</v>
      </c>
      <c r="OHF370" s="632"/>
      <c r="OHG370" s="16"/>
      <c r="OHH370" s="636">
        <v>0.13500000000000001</v>
      </c>
      <c r="OHI370" s="636">
        <v>0.12</v>
      </c>
      <c r="OHJ370" s="636">
        <v>0.13</v>
      </c>
      <c r="OHK370" s="636">
        <v>0.12</v>
      </c>
      <c r="OHL370" s="636">
        <v>0.12</v>
      </c>
      <c r="OHM370" s="649">
        <v>0.12</v>
      </c>
      <c r="OHN370" s="16"/>
      <c r="OHO370" s="320">
        <v>0.10100000000000001</v>
      </c>
      <c r="OHP370" s="153"/>
      <c r="OHQ370" s="153"/>
      <c r="OHR370" s="153"/>
      <c r="OHS370" s="648"/>
      <c r="OHT370" s="641"/>
      <c r="OHU370" s="631" t="s">
        <v>265</v>
      </c>
      <c r="OHV370" s="632"/>
      <c r="OHW370" s="16"/>
      <c r="OHX370" s="636">
        <v>0.13500000000000001</v>
      </c>
      <c r="OHY370" s="636">
        <v>0.12</v>
      </c>
      <c r="OHZ370" s="636">
        <v>0.13</v>
      </c>
      <c r="OIA370" s="636">
        <v>0.12</v>
      </c>
      <c r="OIB370" s="636">
        <v>0.12</v>
      </c>
      <c r="OIC370" s="649">
        <v>0.12</v>
      </c>
      <c r="OID370" s="16"/>
      <c r="OIE370" s="320">
        <v>0.10100000000000001</v>
      </c>
      <c r="OIF370" s="153"/>
      <c r="OIG370" s="153"/>
      <c r="OIH370" s="153"/>
      <c r="OII370" s="648"/>
      <c r="OIJ370" s="641"/>
      <c r="OIK370" s="631" t="s">
        <v>265</v>
      </c>
      <c r="OIL370" s="632"/>
      <c r="OIM370" s="16"/>
      <c r="OIN370" s="636">
        <v>0.13500000000000001</v>
      </c>
      <c r="OIO370" s="636">
        <v>0.12</v>
      </c>
      <c r="OIP370" s="636">
        <v>0.13</v>
      </c>
      <c r="OIQ370" s="636">
        <v>0.12</v>
      </c>
      <c r="OIR370" s="636">
        <v>0.12</v>
      </c>
      <c r="OIS370" s="649">
        <v>0.12</v>
      </c>
      <c r="OIT370" s="16"/>
      <c r="OIU370" s="320">
        <v>0.10100000000000001</v>
      </c>
      <c r="OIV370" s="153"/>
      <c r="OIW370" s="153"/>
      <c r="OIX370" s="153"/>
      <c r="OIY370" s="648"/>
      <c r="OIZ370" s="641"/>
      <c r="OJA370" s="631" t="s">
        <v>265</v>
      </c>
      <c r="OJB370" s="632"/>
      <c r="OJC370" s="16"/>
      <c r="OJD370" s="636">
        <v>0.13500000000000001</v>
      </c>
      <c r="OJE370" s="636">
        <v>0.12</v>
      </c>
      <c r="OJF370" s="636">
        <v>0.13</v>
      </c>
      <c r="OJG370" s="636">
        <v>0.12</v>
      </c>
      <c r="OJH370" s="636">
        <v>0.12</v>
      </c>
      <c r="OJI370" s="649">
        <v>0.12</v>
      </c>
      <c r="OJJ370" s="16"/>
      <c r="OJK370" s="320">
        <v>0.10100000000000001</v>
      </c>
      <c r="OJL370" s="153"/>
      <c r="OJM370" s="153"/>
      <c r="OJN370" s="153"/>
      <c r="OJO370" s="648"/>
      <c r="OJP370" s="641"/>
      <c r="OJQ370" s="631" t="s">
        <v>265</v>
      </c>
      <c r="OJR370" s="632"/>
      <c r="OJS370" s="16"/>
      <c r="OJT370" s="636">
        <v>0.13500000000000001</v>
      </c>
      <c r="OJU370" s="636">
        <v>0.12</v>
      </c>
      <c r="OJV370" s="636">
        <v>0.13</v>
      </c>
      <c r="OJW370" s="636">
        <v>0.12</v>
      </c>
      <c r="OJX370" s="636">
        <v>0.12</v>
      </c>
      <c r="OJY370" s="649">
        <v>0.12</v>
      </c>
      <c r="OJZ370" s="16"/>
      <c r="OKA370" s="320">
        <v>0.10100000000000001</v>
      </c>
      <c r="OKB370" s="153"/>
      <c r="OKC370" s="153"/>
      <c r="OKD370" s="153"/>
      <c r="OKE370" s="648"/>
      <c r="OKF370" s="641"/>
      <c r="OKG370" s="631" t="s">
        <v>265</v>
      </c>
      <c r="OKH370" s="632"/>
      <c r="OKI370" s="16"/>
      <c r="OKJ370" s="636">
        <v>0.13500000000000001</v>
      </c>
      <c r="OKK370" s="636">
        <v>0.12</v>
      </c>
      <c r="OKL370" s="636">
        <v>0.13</v>
      </c>
      <c r="OKM370" s="636">
        <v>0.12</v>
      </c>
      <c r="OKN370" s="636">
        <v>0.12</v>
      </c>
      <c r="OKO370" s="649">
        <v>0.12</v>
      </c>
      <c r="OKP370" s="16"/>
      <c r="OKQ370" s="320">
        <v>0.10100000000000001</v>
      </c>
      <c r="OKR370" s="153"/>
      <c r="OKS370" s="153"/>
      <c r="OKT370" s="153"/>
      <c r="OKU370" s="648"/>
      <c r="OKV370" s="641"/>
      <c r="OKW370" s="631" t="s">
        <v>265</v>
      </c>
      <c r="OKX370" s="632"/>
      <c r="OKY370" s="16"/>
      <c r="OKZ370" s="636">
        <v>0.13500000000000001</v>
      </c>
      <c r="OLA370" s="636">
        <v>0.12</v>
      </c>
      <c r="OLB370" s="636">
        <v>0.13</v>
      </c>
      <c r="OLC370" s="636">
        <v>0.12</v>
      </c>
      <c r="OLD370" s="636">
        <v>0.12</v>
      </c>
      <c r="OLE370" s="649">
        <v>0.12</v>
      </c>
      <c r="OLF370" s="16"/>
      <c r="OLG370" s="320">
        <v>0.10100000000000001</v>
      </c>
      <c r="OLH370" s="153"/>
      <c r="OLI370" s="153"/>
      <c r="OLJ370" s="153"/>
      <c r="OLK370" s="648"/>
      <c r="OLL370" s="641"/>
      <c r="OLM370" s="631" t="s">
        <v>265</v>
      </c>
      <c r="OLN370" s="632"/>
      <c r="OLO370" s="16"/>
      <c r="OLP370" s="636">
        <v>0.13500000000000001</v>
      </c>
      <c r="OLQ370" s="636">
        <v>0.12</v>
      </c>
      <c r="OLR370" s="636">
        <v>0.13</v>
      </c>
      <c r="OLS370" s="636">
        <v>0.12</v>
      </c>
      <c r="OLT370" s="636">
        <v>0.12</v>
      </c>
      <c r="OLU370" s="649">
        <v>0.12</v>
      </c>
      <c r="OLV370" s="16"/>
      <c r="OLW370" s="320">
        <v>0.10100000000000001</v>
      </c>
      <c r="OLX370" s="153"/>
      <c r="OLY370" s="153"/>
      <c r="OLZ370" s="153"/>
      <c r="OMA370" s="648"/>
      <c r="OMB370" s="641"/>
      <c r="OMC370" s="631" t="s">
        <v>265</v>
      </c>
      <c r="OMD370" s="632"/>
      <c r="OME370" s="16"/>
      <c r="OMF370" s="636">
        <v>0.13500000000000001</v>
      </c>
      <c r="OMG370" s="636">
        <v>0.12</v>
      </c>
      <c r="OMH370" s="636">
        <v>0.13</v>
      </c>
      <c r="OMI370" s="636">
        <v>0.12</v>
      </c>
      <c r="OMJ370" s="636">
        <v>0.12</v>
      </c>
      <c r="OMK370" s="649">
        <v>0.12</v>
      </c>
      <c r="OML370" s="16"/>
      <c r="OMM370" s="320">
        <v>0.10100000000000001</v>
      </c>
      <c r="OMN370" s="153"/>
      <c r="OMO370" s="153"/>
      <c r="OMP370" s="153"/>
      <c r="OMQ370" s="648"/>
      <c r="OMR370" s="641"/>
      <c r="OMS370" s="631" t="s">
        <v>265</v>
      </c>
      <c r="OMT370" s="632"/>
      <c r="OMU370" s="16"/>
      <c r="OMV370" s="636">
        <v>0.13500000000000001</v>
      </c>
      <c r="OMW370" s="636">
        <v>0.12</v>
      </c>
      <c r="OMX370" s="636">
        <v>0.13</v>
      </c>
      <c r="OMY370" s="636">
        <v>0.12</v>
      </c>
      <c r="OMZ370" s="636">
        <v>0.12</v>
      </c>
      <c r="ONA370" s="649">
        <v>0.12</v>
      </c>
      <c r="ONB370" s="16"/>
      <c r="ONC370" s="320">
        <v>0.10100000000000001</v>
      </c>
      <c r="OND370" s="153"/>
      <c r="ONE370" s="153"/>
      <c r="ONF370" s="153"/>
      <c r="ONG370" s="648"/>
      <c r="ONH370" s="641"/>
      <c r="ONI370" s="631" t="s">
        <v>265</v>
      </c>
      <c r="ONJ370" s="632"/>
      <c r="ONK370" s="16"/>
      <c r="ONL370" s="636">
        <v>0.13500000000000001</v>
      </c>
      <c r="ONM370" s="636">
        <v>0.12</v>
      </c>
      <c r="ONN370" s="636">
        <v>0.13</v>
      </c>
      <c r="ONO370" s="636">
        <v>0.12</v>
      </c>
      <c r="ONP370" s="636">
        <v>0.12</v>
      </c>
      <c r="ONQ370" s="649">
        <v>0.12</v>
      </c>
      <c r="ONR370" s="16"/>
      <c r="ONS370" s="320">
        <v>0.10100000000000001</v>
      </c>
      <c r="ONT370" s="153"/>
      <c r="ONU370" s="153"/>
      <c r="ONV370" s="153"/>
      <c r="ONW370" s="648"/>
      <c r="ONX370" s="641"/>
      <c r="ONY370" s="631" t="s">
        <v>265</v>
      </c>
      <c r="ONZ370" s="632"/>
      <c r="OOA370" s="16"/>
      <c r="OOB370" s="636">
        <v>0.13500000000000001</v>
      </c>
      <c r="OOC370" s="636">
        <v>0.12</v>
      </c>
      <c r="OOD370" s="636">
        <v>0.13</v>
      </c>
      <c r="OOE370" s="636">
        <v>0.12</v>
      </c>
      <c r="OOF370" s="636">
        <v>0.12</v>
      </c>
      <c r="OOG370" s="649">
        <v>0.12</v>
      </c>
      <c r="OOH370" s="16"/>
      <c r="OOI370" s="320">
        <v>0.10100000000000001</v>
      </c>
      <c r="OOJ370" s="153"/>
      <c r="OOK370" s="153"/>
      <c r="OOL370" s="153"/>
      <c r="OOM370" s="648"/>
      <c r="OON370" s="641"/>
      <c r="OOO370" s="631" t="s">
        <v>265</v>
      </c>
      <c r="OOP370" s="632"/>
      <c r="OOQ370" s="16"/>
      <c r="OOR370" s="636">
        <v>0.13500000000000001</v>
      </c>
      <c r="OOS370" s="636">
        <v>0.12</v>
      </c>
      <c r="OOT370" s="636">
        <v>0.13</v>
      </c>
      <c r="OOU370" s="636">
        <v>0.12</v>
      </c>
      <c r="OOV370" s="636">
        <v>0.12</v>
      </c>
      <c r="OOW370" s="649">
        <v>0.12</v>
      </c>
      <c r="OOX370" s="16"/>
      <c r="OOY370" s="320">
        <v>0.10100000000000001</v>
      </c>
      <c r="OOZ370" s="153"/>
      <c r="OPA370" s="153"/>
      <c r="OPB370" s="153"/>
      <c r="OPC370" s="648"/>
      <c r="OPD370" s="641"/>
      <c r="OPE370" s="631" t="s">
        <v>265</v>
      </c>
      <c r="OPF370" s="632"/>
      <c r="OPG370" s="16"/>
      <c r="OPH370" s="636">
        <v>0.13500000000000001</v>
      </c>
      <c r="OPI370" s="636">
        <v>0.12</v>
      </c>
      <c r="OPJ370" s="636">
        <v>0.13</v>
      </c>
      <c r="OPK370" s="636">
        <v>0.12</v>
      </c>
      <c r="OPL370" s="636">
        <v>0.12</v>
      </c>
      <c r="OPM370" s="649">
        <v>0.12</v>
      </c>
      <c r="OPN370" s="16"/>
      <c r="OPO370" s="320">
        <v>0.10100000000000001</v>
      </c>
      <c r="OPP370" s="153"/>
      <c r="OPQ370" s="153"/>
      <c r="OPR370" s="153"/>
      <c r="OPS370" s="648"/>
      <c r="OPT370" s="641"/>
      <c r="OPU370" s="631" t="s">
        <v>265</v>
      </c>
      <c r="OPV370" s="632"/>
      <c r="OPW370" s="16"/>
      <c r="OPX370" s="636">
        <v>0.13500000000000001</v>
      </c>
      <c r="OPY370" s="636">
        <v>0.12</v>
      </c>
      <c r="OPZ370" s="636">
        <v>0.13</v>
      </c>
      <c r="OQA370" s="636">
        <v>0.12</v>
      </c>
      <c r="OQB370" s="636">
        <v>0.12</v>
      </c>
      <c r="OQC370" s="649">
        <v>0.12</v>
      </c>
      <c r="OQD370" s="16"/>
      <c r="OQE370" s="320">
        <v>0.10100000000000001</v>
      </c>
      <c r="OQF370" s="153"/>
      <c r="OQG370" s="153"/>
      <c r="OQH370" s="153"/>
      <c r="OQI370" s="648"/>
      <c r="OQJ370" s="641"/>
      <c r="OQK370" s="631" t="s">
        <v>265</v>
      </c>
      <c r="OQL370" s="632"/>
      <c r="OQM370" s="16"/>
      <c r="OQN370" s="636">
        <v>0.13500000000000001</v>
      </c>
      <c r="OQO370" s="636">
        <v>0.12</v>
      </c>
      <c r="OQP370" s="636">
        <v>0.13</v>
      </c>
      <c r="OQQ370" s="636">
        <v>0.12</v>
      </c>
      <c r="OQR370" s="636">
        <v>0.12</v>
      </c>
      <c r="OQS370" s="649">
        <v>0.12</v>
      </c>
      <c r="OQT370" s="16"/>
      <c r="OQU370" s="320">
        <v>0.10100000000000001</v>
      </c>
      <c r="OQV370" s="153"/>
      <c r="OQW370" s="153"/>
      <c r="OQX370" s="153"/>
      <c r="OQY370" s="648"/>
      <c r="OQZ370" s="641"/>
      <c r="ORA370" s="631" t="s">
        <v>265</v>
      </c>
      <c r="ORB370" s="632"/>
      <c r="ORC370" s="16"/>
      <c r="ORD370" s="636">
        <v>0.13500000000000001</v>
      </c>
      <c r="ORE370" s="636">
        <v>0.12</v>
      </c>
      <c r="ORF370" s="636">
        <v>0.13</v>
      </c>
      <c r="ORG370" s="636">
        <v>0.12</v>
      </c>
      <c r="ORH370" s="636">
        <v>0.12</v>
      </c>
      <c r="ORI370" s="649">
        <v>0.12</v>
      </c>
      <c r="ORJ370" s="16"/>
      <c r="ORK370" s="320">
        <v>0.10100000000000001</v>
      </c>
      <c r="ORL370" s="153"/>
      <c r="ORM370" s="153"/>
      <c r="ORN370" s="153"/>
      <c r="ORO370" s="648"/>
      <c r="ORP370" s="641"/>
      <c r="ORQ370" s="631" t="s">
        <v>265</v>
      </c>
      <c r="ORR370" s="632"/>
      <c r="ORS370" s="16"/>
      <c r="ORT370" s="636">
        <v>0.13500000000000001</v>
      </c>
      <c r="ORU370" s="636">
        <v>0.12</v>
      </c>
      <c r="ORV370" s="636">
        <v>0.13</v>
      </c>
      <c r="ORW370" s="636">
        <v>0.12</v>
      </c>
      <c r="ORX370" s="636">
        <v>0.12</v>
      </c>
      <c r="ORY370" s="649">
        <v>0.12</v>
      </c>
      <c r="ORZ370" s="16"/>
      <c r="OSA370" s="320">
        <v>0.10100000000000001</v>
      </c>
      <c r="OSB370" s="153"/>
      <c r="OSC370" s="153"/>
      <c r="OSD370" s="153"/>
      <c r="OSE370" s="648"/>
      <c r="OSF370" s="641"/>
      <c r="OSG370" s="631" t="s">
        <v>265</v>
      </c>
      <c r="OSH370" s="632"/>
      <c r="OSI370" s="16"/>
      <c r="OSJ370" s="636">
        <v>0.13500000000000001</v>
      </c>
      <c r="OSK370" s="636">
        <v>0.12</v>
      </c>
      <c r="OSL370" s="636">
        <v>0.13</v>
      </c>
      <c r="OSM370" s="636">
        <v>0.12</v>
      </c>
      <c r="OSN370" s="636">
        <v>0.12</v>
      </c>
      <c r="OSO370" s="649">
        <v>0.12</v>
      </c>
      <c r="OSP370" s="16"/>
      <c r="OSQ370" s="320">
        <v>0.10100000000000001</v>
      </c>
      <c r="OSR370" s="153"/>
      <c r="OSS370" s="153"/>
      <c r="OST370" s="153"/>
      <c r="OSU370" s="648"/>
      <c r="OSV370" s="641"/>
      <c r="OSW370" s="631" t="s">
        <v>265</v>
      </c>
      <c r="OSX370" s="632"/>
      <c r="OSY370" s="16"/>
      <c r="OSZ370" s="636">
        <v>0.13500000000000001</v>
      </c>
      <c r="OTA370" s="636">
        <v>0.12</v>
      </c>
      <c r="OTB370" s="636">
        <v>0.13</v>
      </c>
      <c r="OTC370" s="636">
        <v>0.12</v>
      </c>
      <c r="OTD370" s="636">
        <v>0.12</v>
      </c>
      <c r="OTE370" s="649">
        <v>0.12</v>
      </c>
      <c r="OTF370" s="16"/>
      <c r="OTG370" s="320">
        <v>0.10100000000000001</v>
      </c>
      <c r="OTH370" s="153"/>
      <c r="OTI370" s="153"/>
      <c r="OTJ370" s="153"/>
      <c r="OTK370" s="648"/>
      <c r="OTL370" s="641"/>
      <c r="OTM370" s="631" t="s">
        <v>265</v>
      </c>
      <c r="OTN370" s="632"/>
      <c r="OTO370" s="16"/>
      <c r="OTP370" s="636">
        <v>0.13500000000000001</v>
      </c>
      <c r="OTQ370" s="636">
        <v>0.12</v>
      </c>
      <c r="OTR370" s="636">
        <v>0.13</v>
      </c>
      <c r="OTS370" s="636">
        <v>0.12</v>
      </c>
      <c r="OTT370" s="636">
        <v>0.12</v>
      </c>
      <c r="OTU370" s="649">
        <v>0.12</v>
      </c>
      <c r="OTV370" s="16"/>
      <c r="OTW370" s="320">
        <v>0.10100000000000001</v>
      </c>
      <c r="OTX370" s="153"/>
      <c r="OTY370" s="153"/>
      <c r="OTZ370" s="153"/>
      <c r="OUA370" s="648"/>
      <c r="OUB370" s="641"/>
      <c r="OUC370" s="631" t="s">
        <v>265</v>
      </c>
      <c r="OUD370" s="632"/>
      <c r="OUE370" s="16"/>
      <c r="OUF370" s="636">
        <v>0.13500000000000001</v>
      </c>
      <c r="OUG370" s="636">
        <v>0.12</v>
      </c>
      <c r="OUH370" s="636">
        <v>0.13</v>
      </c>
      <c r="OUI370" s="636">
        <v>0.12</v>
      </c>
      <c r="OUJ370" s="636">
        <v>0.12</v>
      </c>
      <c r="OUK370" s="649">
        <v>0.12</v>
      </c>
      <c r="OUL370" s="16"/>
      <c r="OUM370" s="320">
        <v>0.10100000000000001</v>
      </c>
      <c r="OUN370" s="153"/>
      <c r="OUO370" s="153"/>
      <c r="OUP370" s="153"/>
      <c r="OUQ370" s="648"/>
      <c r="OUR370" s="641"/>
      <c r="OUS370" s="631" t="s">
        <v>265</v>
      </c>
      <c r="OUT370" s="632"/>
      <c r="OUU370" s="16"/>
      <c r="OUV370" s="636">
        <v>0.13500000000000001</v>
      </c>
      <c r="OUW370" s="636">
        <v>0.12</v>
      </c>
      <c r="OUX370" s="636">
        <v>0.13</v>
      </c>
      <c r="OUY370" s="636">
        <v>0.12</v>
      </c>
      <c r="OUZ370" s="636">
        <v>0.12</v>
      </c>
      <c r="OVA370" s="649">
        <v>0.12</v>
      </c>
      <c r="OVB370" s="16"/>
      <c r="OVC370" s="320">
        <v>0.10100000000000001</v>
      </c>
      <c r="OVD370" s="153"/>
      <c r="OVE370" s="153"/>
      <c r="OVF370" s="153"/>
      <c r="OVG370" s="648"/>
      <c r="OVH370" s="641"/>
      <c r="OVI370" s="631" t="s">
        <v>265</v>
      </c>
      <c r="OVJ370" s="632"/>
      <c r="OVK370" s="16"/>
      <c r="OVL370" s="636">
        <v>0.13500000000000001</v>
      </c>
      <c r="OVM370" s="636">
        <v>0.12</v>
      </c>
      <c r="OVN370" s="636">
        <v>0.13</v>
      </c>
      <c r="OVO370" s="636">
        <v>0.12</v>
      </c>
      <c r="OVP370" s="636">
        <v>0.12</v>
      </c>
      <c r="OVQ370" s="649">
        <v>0.12</v>
      </c>
      <c r="OVR370" s="16"/>
      <c r="OVS370" s="320">
        <v>0.10100000000000001</v>
      </c>
      <c r="OVT370" s="153"/>
      <c r="OVU370" s="153"/>
      <c r="OVV370" s="153"/>
      <c r="OVW370" s="648"/>
      <c r="OVX370" s="641"/>
      <c r="OVY370" s="631" t="s">
        <v>265</v>
      </c>
      <c r="OVZ370" s="632"/>
      <c r="OWA370" s="16"/>
      <c r="OWB370" s="636">
        <v>0.13500000000000001</v>
      </c>
      <c r="OWC370" s="636">
        <v>0.12</v>
      </c>
      <c r="OWD370" s="636">
        <v>0.13</v>
      </c>
      <c r="OWE370" s="636">
        <v>0.12</v>
      </c>
      <c r="OWF370" s="636">
        <v>0.12</v>
      </c>
      <c r="OWG370" s="649">
        <v>0.12</v>
      </c>
      <c r="OWH370" s="16"/>
      <c r="OWI370" s="320">
        <v>0.10100000000000001</v>
      </c>
      <c r="OWJ370" s="153"/>
      <c r="OWK370" s="153"/>
      <c r="OWL370" s="153"/>
      <c r="OWM370" s="648"/>
      <c r="OWN370" s="641"/>
      <c r="OWO370" s="631" t="s">
        <v>265</v>
      </c>
      <c r="OWP370" s="632"/>
      <c r="OWQ370" s="16"/>
      <c r="OWR370" s="636">
        <v>0.13500000000000001</v>
      </c>
      <c r="OWS370" s="636">
        <v>0.12</v>
      </c>
      <c r="OWT370" s="636">
        <v>0.13</v>
      </c>
      <c r="OWU370" s="636">
        <v>0.12</v>
      </c>
      <c r="OWV370" s="636">
        <v>0.12</v>
      </c>
      <c r="OWW370" s="649">
        <v>0.12</v>
      </c>
      <c r="OWX370" s="16"/>
      <c r="OWY370" s="320">
        <v>0.10100000000000001</v>
      </c>
      <c r="OWZ370" s="153"/>
      <c r="OXA370" s="153"/>
      <c r="OXB370" s="153"/>
      <c r="OXC370" s="648"/>
      <c r="OXD370" s="641"/>
      <c r="OXE370" s="631" t="s">
        <v>265</v>
      </c>
      <c r="OXF370" s="632"/>
      <c r="OXG370" s="16"/>
      <c r="OXH370" s="636">
        <v>0.13500000000000001</v>
      </c>
      <c r="OXI370" s="636">
        <v>0.12</v>
      </c>
      <c r="OXJ370" s="636">
        <v>0.13</v>
      </c>
      <c r="OXK370" s="636">
        <v>0.12</v>
      </c>
      <c r="OXL370" s="636">
        <v>0.12</v>
      </c>
      <c r="OXM370" s="649">
        <v>0.12</v>
      </c>
      <c r="OXN370" s="16"/>
      <c r="OXO370" s="320">
        <v>0.10100000000000001</v>
      </c>
      <c r="OXP370" s="153"/>
      <c r="OXQ370" s="153"/>
      <c r="OXR370" s="153"/>
      <c r="OXS370" s="648"/>
      <c r="OXT370" s="641"/>
      <c r="OXU370" s="631" t="s">
        <v>265</v>
      </c>
      <c r="OXV370" s="632"/>
      <c r="OXW370" s="16"/>
      <c r="OXX370" s="636">
        <v>0.13500000000000001</v>
      </c>
      <c r="OXY370" s="636">
        <v>0.12</v>
      </c>
      <c r="OXZ370" s="636">
        <v>0.13</v>
      </c>
      <c r="OYA370" s="636">
        <v>0.12</v>
      </c>
      <c r="OYB370" s="636">
        <v>0.12</v>
      </c>
      <c r="OYC370" s="649">
        <v>0.12</v>
      </c>
      <c r="OYD370" s="16"/>
      <c r="OYE370" s="320">
        <v>0.10100000000000001</v>
      </c>
      <c r="OYF370" s="153"/>
      <c r="OYG370" s="153"/>
      <c r="OYH370" s="153"/>
      <c r="OYI370" s="648"/>
      <c r="OYJ370" s="641"/>
      <c r="OYK370" s="631" t="s">
        <v>265</v>
      </c>
      <c r="OYL370" s="632"/>
      <c r="OYM370" s="16"/>
      <c r="OYN370" s="636">
        <v>0.13500000000000001</v>
      </c>
      <c r="OYO370" s="636">
        <v>0.12</v>
      </c>
      <c r="OYP370" s="636">
        <v>0.13</v>
      </c>
      <c r="OYQ370" s="636">
        <v>0.12</v>
      </c>
      <c r="OYR370" s="636">
        <v>0.12</v>
      </c>
      <c r="OYS370" s="649">
        <v>0.12</v>
      </c>
      <c r="OYT370" s="16"/>
      <c r="OYU370" s="320">
        <v>0.10100000000000001</v>
      </c>
      <c r="OYV370" s="153"/>
      <c r="OYW370" s="153"/>
      <c r="OYX370" s="153"/>
      <c r="OYY370" s="648"/>
      <c r="OYZ370" s="641"/>
      <c r="OZA370" s="631" t="s">
        <v>265</v>
      </c>
      <c r="OZB370" s="632"/>
      <c r="OZC370" s="16"/>
      <c r="OZD370" s="636">
        <v>0.13500000000000001</v>
      </c>
      <c r="OZE370" s="636">
        <v>0.12</v>
      </c>
      <c r="OZF370" s="636">
        <v>0.13</v>
      </c>
      <c r="OZG370" s="636">
        <v>0.12</v>
      </c>
      <c r="OZH370" s="636">
        <v>0.12</v>
      </c>
      <c r="OZI370" s="649">
        <v>0.12</v>
      </c>
      <c r="OZJ370" s="16"/>
      <c r="OZK370" s="320">
        <v>0.10100000000000001</v>
      </c>
      <c r="OZL370" s="153"/>
      <c r="OZM370" s="153"/>
      <c r="OZN370" s="153"/>
      <c r="OZO370" s="648"/>
      <c r="OZP370" s="641"/>
      <c r="OZQ370" s="631" t="s">
        <v>265</v>
      </c>
      <c r="OZR370" s="632"/>
      <c r="OZS370" s="16"/>
      <c r="OZT370" s="636">
        <v>0.13500000000000001</v>
      </c>
      <c r="OZU370" s="636">
        <v>0.12</v>
      </c>
      <c r="OZV370" s="636">
        <v>0.13</v>
      </c>
      <c r="OZW370" s="636">
        <v>0.12</v>
      </c>
      <c r="OZX370" s="636">
        <v>0.12</v>
      </c>
      <c r="OZY370" s="649">
        <v>0.12</v>
      </c>
      <c r="OZZ370" s="16"/>
      <c r="PAA370" s="320">
        <v>0.10100000000000001</v>
      </c>
      <c r="PAB370" s="153"/>
      <c r="PAC370" s="153"/>
      <c r="PAD370" s="153"/>
      <c r="PAE370" s="648"/>
      <c r="PAF370" s="641"/>
      <c r="PAG370" s="631" t="s">
        <v>265</v>
      </c>
      <c r="PAH370" s="632"/>
      <c r="PAI370" s="16"/>
      <c r="PAJ370" s="636">
        <v>0.13500000000000001</v>
      </c>
      <c r="PAK370" s="636">
        <v>0.12</v>
      </c>
      <c r="PAL370" s="636">
        <v>0.13</v>
      </c>
      <c r="PAM370" s="636">
        <v>0.12</v>
      </c>
      <c r="PAN370" s="636">
        <v>0.12</v>
      </c>
      <c r="PAO370" s="649">
        <v>0.12</v>
      </c>
      <c r="PAP370" s="16"/>
      <c r="PAQ370" s="320">
        <v>0.10100000000000001</v>
      </c>
      <c r="PAR370" s="153"/>
      <c r="PAS370" s="153"/>
      <c r="PAT370" s="153"/>
      <c r="PAU370" s="648"/>
      <c r="PAV370" s="641"/>
      <c r="PAW370" s="631" t="s">
        <v>265</v>
      </c>
      <c r="PAX370" s="632"/>
      <c r="PAY370" s="16"/>
      <c r="PAZ370" s="636">
        <v>0.13500000000000001</v>
      </c>
      <c r="PBA370" s="636">
        <v>0.12</v>
      </c>
      <c r="PBB370" s="636">
        <v>0.13</v>
      </c>
      <c r="PBC370" s="636">
        <v>0.12</v>
      </c>
      <c r="PBD370" s="636">
        <v>0.12</v>
      </c>
      <c r="PBE370" s="649">
        <v>0.12</v>
      </c>
      <c r="PBF370" s="16"/>
      <c r="PBG370" s="320">
        <v>0.10100000000000001</v>
      </c>
      <c r="PBH370" s="153"/>
      <c r="PBI370" s="153"/>
      <c r="PBJ370" s="153"/>
      <c r="PBK370" s="648"/>
      <c r="PBL370" s="641"/>
      <c r="PBM370" s="631" t="s">
        <v>265</v>
      </c>
      <c r="PBN370" s="632"/>
      <c r="PBO370" s="16"/>
      <c r="PBP370" s="636">
        <v>0.13500000000000001</v>
      </c>
      <c r="PBQ370" s="636">
        <v>0.12</v>
      </c>
      <c r="PBR370" s="636">
        <v>0.13</v>
      </c>
      <c r="PBS370" s="636">
        <v>0.12</v>
      </c>
      <c r="PBT370" s="636">
        <v>0.12</v>
      </c>
      <c r="PBU370" s="649">
        <v>0.12</v>
      </c>
      <c r="PBV370" s="16"/>
      <c r="PBW370" s="320">
        <v>0.10100000000000001</v>
      </c>
      <c r="PBX370" s="153"/>
      <c r="PBY370" s="153"/>
      <c r="PBZ370" s="153"/>
      <c r="PCA370" s="648"/>
      <c r="PCB370" s="641"/>
      <c r="PCC370" s="631" t="s">
        <v>265</v>
      </c>
      <c r="PCD370" s="632"/>
      <c r="PCE370" s="16"/>
      <c r="PCF370" s="636">
        <v>0.13500000000000001</v>
      </c>
      <c r="PCG370" s="636">
        <v>0.12</v>
      </c>
      <c r="PCH370" s="636">
        <v>0.13</v>
      </c>
      <c r="PCI370" s="636">
        <v>0.12</v>
      </c>
      <c r="PCJ370" s="636">
        <v>0.12</v>
      </c>
      <c r="PCK370" s="649">
        <v>0.12</v>
      </c>
      <c r="PCL370" s="16"/>
      <c r="PCM370" s="320">
        <v>0.10100000000000001</v>
      </c>
      <c r="PCN370" s="153"/>
      <c r="PCO370" s="153"/>
      <c r="PCP370" s="153"/>
      <c r="PCQ370" s="648"/>
      <c r="PCR370" s="641"/>
      <c r="PCS370" s="631" t="s">
        <v>265</v>
      </c>
      <c r="PCT370" s="632"/>
      <c r="PCU370" s="16"/>
      <c r="PCV370" s="636">
        <v>0.13500000000000001</v>
      </c>
      <c r="PCW370" s="636">
        <v>0.12</v>
      </c>
      <c r="PCX370" s="636">
        <v>0.13</v>
      </c>
      <c r="PCY370" s="636">
        <v>0.12</v>
      </c>
      <c r="PCZ370" s="636">
        <v>0.12</v>
      </c>
      <c r="PDA370" s="649">
        <v>0.12</v>
      </c>
      <c r="PDB370" s="16"/>
      <c r="PDC370" s="320">
        <v>0.10100000000000001</v>
      </c>
      <c r="PDD370" s="153"/>
      <c r="PDE370" s="153"/>
      <c r="PDF370" s="153"/>
      <c r="PDG370" s="648"/>
      <c r="PDH370" s="641"/>
      <c r="PDI370" s="631" t="s">
        <v>265</v>
      </c>
      <c r="PDJ370" s="632"/>
      <c r="PDK370" s="16"/>
      <c r="PDL370" s="636">
        <v>0.13500000000000001</v>
      </c>
      <c r="PDM370" s="636">
        <v>0.12</v>
      </c>
      <c r="PDN370" s="636">
        <v>0.13</v>
      </c>
      <c r="PDO370" s="636">
        <v>0.12</v>
      </c>
      <c r="PDP370" s="636">
        <v>0.12</v>
      </c>
      <c r="PDQ370" s="649">
        <v>0.12</v>
      </c>
      <c r="PDR370" s="16"/>
      <c r="PDS370" s="320">
        <v>0.10100000000000001</v>
      </c>
      <c r="PDT370" s="153"/>
      <c r="PDU370" s="153"/>
      <c r="PDV370" s="153"/>
      <c r="PDW370" s="648"/>
      <c r="PDX370" s="641"/>
      <c r="PDY370" s="631" t="s">
        <v>265</v>
      </c>
      <c r="PDZ370" s="632"/>
      <c r="PEA370" s="16"/>
      <c r="PEB370" s="636">
        <v>0.13500000000000001</v>
      </c>
      <c r="PEC370" s="636">
        <v>0.12</v>
      </c>
      <c r="PED370" s="636">
        <v>0.13</v>
      </c>
      <c r="PEE370" s="636">
        <v>0.12</v>
      </c>
      <c r="PEF370" s="636">
        <v>0.12</v>
      </c>
      <c r="PEG370" s="649">
        <v>0.12</v>
      </c>
      <c r="PEH370" s="16"/>
      <c r="PEI370" s="320">
        <v>0.10100000000000001</v>
      </c>
      <c r="PEJ370" s="153"/>
      <c r="PEK370" s="153"/>
      <c r="PEL370" s="153"/>
      <c r="PEM370" s="648"/>
      <c r="PEN370" s="641"/>
      <c r="PEO370" s="631" t="s">
        <v>265</v>
      </c>
      <c r="PEP370" s="632"/>
      <c r="PEQ370" s="16"/>
      <c r="PER370" s="636">
        <v>0.13500000000000001</v>
      </c>
      <c r="PES370" s="636">
        <v>0.12</v>
      </c>
      <c r="PET370" s="636">
        <v>0.13</v>
      </c>
      <c r="PEU370" s="636">
        <v>0.12</v>
      </c>
      <c r="PEV370" s="636">
        <v>0.12</v>
      </c>
      <c r="PEW370" s="649">
        <v>0.12</v>
      </c>
      <c r="PEX370" s="16"/>
      <c r="PEY370" s="320">
        <v>0.10100000000000001</v>
      </c>
      <c r="PEZ370" s="153"/>
      <c r="PFA370" s="153"/>
      <c r="PFB370" s="153"/>
      <c r="PFC370" s="648"/>
      <c r="PFD370" s="641"/>
      <c r="PFE370" s="631" t="s">
        <v>265</v>
      </c>
      <c r="PFF370" s="632"/>
      <c r="PFG370" s="16"/>
      <c r="PFH370" s="636">
        <v>0.13500000000000001</v>
      </c>
      <c r="PFI370" s="636">
        <v>0.12</v>
      </c>
      <c r="PFJ370" s="636">
        <v>0.13</v>
      </c>
      <c r="PFK370" s="636">
        <v>0.12</v>
      </c>
      <c r="PFL370" s="636">
        <v>0.12</v>
      </c>
      <c r="PFM370" s="649">
        <v>0.12</v>
      </c>
      <c r="PFN370" s="16"/>
      <c r="PFO370" s="320">
        <v>0.10100000000000001</v>
      </c>
      <c r="PFP370" s="153"/>
      <c r="PFQ370" s="153"/>
      <c r="PFR370" s="153"/>
      <c r="PFS370" s="648"/>
      <c r="PFT370" s="641"/>
      <c r="PFU370" s="631" t="s">
        <v>265</v>
      </c>
      <c r="PFV370" s="632"/>
      <c r="PFW370" s="16"/>
      <c r="PFX370" s="636">
        <v>0.13500000000000001</v>
      </c>
      <c r="PFY370" s="636">
        <v>0.12</v>
      </c>
      <c r="PFZ370" s="636">
        <v>0.13</v>
      </c>
      <c r="PGA370" s="636">
        <v>0.12</v>
      </c>
      <c r="PGB370" s="636">
        <v>0.12</v>
      </c>
      <c r="PGC370" s="649">
        <v>0.12</v>
      </c>
      <c r="PGD370" s="16"/>
      <c r="PGE370" s="320">
        <v>0.10100000000000001</v>
      </c>
      <c r="PGF370" s="153"/>
      <c r="PGG370" s="153"/>
      <c r="PGH370" s="153"/>
      <c r="PGI370" s="648"/>
      <c r="PGJ370" s="641"/>
      <c r="PGK370" s="631" t="s">
        <v>265</v>
      </c>
      <c r="PGL370" s="632"/>
      <c r="PGM370" s="16"/>
      <c r="PGN370" s="636">
        <v>0.13500000000000001</v>
      </c>
      <c r="PGO370" s="636">
        <v>0.12</v>
      </c>
      <c r="PGP370" s="636">
        <v>0.13</v>
      </c>
      <c r="PGQ370" s="636">
        <v>0.12</v>
      </c>
      <c r="PGR370" s="636">
        <v>0.12</v>
      </c>
      <c r="PGS370" s="649">
        <v>0.12</v>
      </c>
      <c r="PGT370" s="16"/>
      <c r="PGU370" s="320">
        <v>0.10100000000000001</v>
      </c>
      <c r="PGV370" s="153"/>
      <c r="PGW370" s="153"/>
      <c r="PGX370" s="153"/>
      <c r="PGY370" s="648"/>
      <c r="PGZ370" s="641"/>
      <c r="PHA370" s="631" t="s">
        <v>265</v>
      </c>
      <c r="PHB370" s="632"/>
      <c r="PHC370" s="16"/>
      <c r="PHD370" s="636">
        <v>0.13500000000000001</v>
      </c>
      <c r="PHE370" s="636">
        <v>0.12</v>
      </c>
      <c r="PHF370" s="636">
        <v>0.13</v>
      </c>
      <c r="PHG370" s="636">
        <v>0.12</v>
      </c>
      <c r="PHH370" s="636">
        <v>0.12</v>
      </c>
      <c r="PHI370" s="649">
        <v>0.12</v>
      </c>
      <c r="PHJ370" s="16"/>
      <c r="PHK370" s="320">
        <v>0.10100000000000001</v>
      </c>
      <c r="PHL370" s="153"/>
      <c r="PHM370" s="153"/>
      <c r="PHN370" s="153"/>
      <c r="PHO370" s="648"/>
      <c r="PHP370" s="641"/>
      <c r="PHQ370" s="631" t="s">
        <v>265</v>
      </c>
      <c r="PHR370" s="632"/>
      <c r="PHS370" s="16"/>
      <c r="PHT370" s="636">
        <v>0.13500000000000001</v>
      </c>
      <c r="PHU370" s="636">
        <v>0.12</v>
      </c>
      <c r="PHV370" s="636">
        <v>0.13</v>
      </c>
      <c r="PHW370" s="636">
        <v>0.12</v>
      </c>
      <c r="PHX370" s="636">
        <v>0.12</v>
      </c>
      <c r="PHY370" s="649">
        <v>0.12</v>
      </c>
      <c r="PHZ370" s="16"/>
      <c r="PIA370" s="320">
        <v>0.10100000000000001</v>
      </c>
      <c r="PIB370" s="153"/>
      <c r="PIC370" s="153"/>
      <c r="PID370" s="153"/>
      <c r="PIE370" s="648"/>
      <c r="PIF370" s="641"/>
      <c r="PIG370" s="631" t="s">
        <v>265</v>
      </c>
      <c r="PIH370" s="632"/>
      <c r="PII370" s="16"/>
      <c r="PIJ370" s="636">
        <v>0.13500000000000001</v>
      </c>
      <c r="PIK370" s="636">
        <v>0.12</v>
      </c>
      <c r="PIL370" s="636">
        <v>0.13</v>
      </c>
      <c r="PIM370" s="636">
        <v>0.12</v>
      </c>
      <c r="PIN370" s="636">
        <v>0.12</v>
      </c>
      <c r="PIO370" s="649">
        <v>0.12</v>
      </c>
      <c r="PIP370" s="16"/>
      <c r="PIQ370" s="320">
        <v>0.10100000000000001</v>
      </c>
      <c r="PIR370" s="153"/>
      <c r="PIS370" s="153"/>
      <c r="PIT370" s="153"/>
      <c r="PIU370" s="648"/>
      <c r="PIV370" s="641"/>
      <c r="PIW370" s="631" t="s">
        <v>265</v>
      </c>
      <c r="PIX370" s="632"/>
      <c r="PIY370" s="16"/>
      <c r="PIZ370" s="636">
        <v>0.13500000000000001</v>
      </c>
      <c r="PJA370" s="636">
        <v>0.12</v>
      </c>
      <c r="PJB370" s="636">
        <v>0.13</v>
      </c>
      <c r="PJC370" s="636">
        <v>0.12</v>
      </c>
      <c r="PJD370" s="636">
        <v>0.12</v>
      </c>
      <c r="PJE370" s="649">
        <v>0.12</v>
      </c>
      <c r="PJF370" s="16"/>
      <c r="PJG370" s="320">
        <v>0.10100000000000001</v>
      </c>
      <c r="PJH370" s="153"/>
      <c r="PJI370" s="153"/>
      <c r="PJJ370" s="153"/>
      <c r="PJK370" s="648"/>
      <c r="PJL370" s="641"/>
      <c r="PJM370" s="631" t="s">
        <v>265</v>
      </c>
      <c r="PJN370" s="632"/>
      <c r="PJO370" s="16"/>
      <c r="PJP370" s="636">
        <v>0.13500000000000001</v>
      </c>
      <c r="PJQ370" s="636">
        <v>0.12</v>
      </c>
      <c r="PJR370" s="636">
        <v>0.13</v>
      </c>
      <c r="PJS370" s="636">
        <v>0.12</v>
      </c>
      <c r="PJT370" s="636">
        <v>0.12</v>
      </c>
      <c r="PJU370" s="649">
        <v>0.12</v>
      </c>
      <c r="PJV370" s="16"/>
      <c r="PJW370" s="320">
        <v>0.10100000000000001</v>
      </c>
      <c r="PJX370" s="153"/>
      <c r="PJY370" s="153"/>
      <c r="PJZ370" s="153"/>
      <c r="PKA370" s="648"/>
      <c r="PKB370" s="641"/>
      <c r="PKC370" s="631" t="s">
        <v>265</v>
      </c>
      <c r="PKD370" s="632"/>
      <c r="PKE370" s="16"/>
      <c r="PKF370" s="636">
        <v>0.13500000000000001</v>
      </c>
      <c r="PKG370" s="636">
        <v>0.12</v>
      </c>
      <c r="PKH370" s="636">
        <v>0.13</v>
      </c>
      <c r="PKI370" s="636">
        <v>0.12</v>
      </c>
      <c r="PKJ370" s="636">
        <v>0.12</v>
      </c>
      <c r="PKK370" s="649">
        <v>0.12</v>
      </c>
      <c r="PKL370" s="16"/>
      <c r="PKM370" s="320">
        <v>0.10100000000000001</v>
      </c>
      <c r="PKN370" s="153"/>
      <c r="PKO370" s="153"/>
      <c r="PKP370" s="153"/>
      <c r="PKQ370" s="648"/>
      <c r="PKR370" s="641"/>
      <c r="PKS370" s="631" t="s">
        <v>265</v>
      </c>
      <c r="PKT370" s="632"/>
      <c r="PKU370" s="16"/>
      <c r="PKV370" s="636">
        <v>0.13500000000000001</v>
      </c>
      <c r="PKW370" s="636">
        <v>0.12</v>
      </c>
      <c r="PKX370" s="636">
        <v>0.13</v>
      </c>
      <c r="PKY370" s="636">
        <v>0.12</v>
      </c>
      <c r="PKZ370" s="636">
        <v>0.12</v>
      </c>
      <c r="PLA370" s="649">
        <v>0.12</v>
      </c>
      <c r="PLB370" s="16"/>
      <c r="PLC370" s="320">
        <v>0.10100000000000001</v>
      </c>
      <c r="PLD370" s="153"/>
      <c r="PLE370" s="153"/>
      <c r="PLF370" s="153"/>
      <c r="PLG370" s="648"/>
      <c r="PLH370" s="641"/>
      <c r="PLI370" s="631" t="s">
        <v>265</v>
      </c>
      <c r="PLJ370" s="632"/>
      <c r="PLK370" s="16"/>
      <c r="PLL370" s="636">
        <v>0.13500000000000001</v>
      </c>
      <c r="PLM370" s="636">
        <v>0.12</v>
      </c>
      <c r="PLN370" s="636">
        <v>0.13</v>
      </c>
      <c r="PLO370" s="636">
        <v>0.12</v>
      </c>
      <c r="PLP370" s="636">
        <v>0.12</v>
      </c>
      <c r="PLQ370" s="649">
        <v>0.12</v>
      </c>
      <c r="PLR370" s="16"/>
      <c r="PLS370" s="320">
        <v>0.10100000000000001</v>
      </c>
      <c r="PLT370" s="153"/>
      <c r="PLU370" s="153"/>
      <c r="PLV370" s="153"/>
      <c r="PLW370" s="648"/>
      <c r="PLX370" s="641"/>
      <c r="PLY370" s="631" t="s">
        <v>265</v>
      </c>
      <c r="PLZ370" s="632"/>
      <c r="PMA370" s="16"/>
      <c r="PMB370" s="636">
        <v>0.13500000000000001</v>
      </c>
      <c r="PMC370" s="636">
        <v>0.12</v>
      </c>
      <c r="PMD370" s="636">
        <v>0.13</v>
      </c>
      <c r="PME370" s="636">
        <v>0.12</v>
      </c>
      <c r="PMF370" s="636">
        <v>0.12</v>
      </c>
      <c r="PMG370" s="649">
        <v>0.12</v>
      </c>
      <c r="PMH370" s="16"/>
      <c r="PMI370" s="320">
        <v>0.10100000000000001</v>
      </c>
      <c r="PMJ370" s="153"/>
      <c r="PMK370" s="153"/>
      <c r="PML370" s="153"/>
      <c r="PMM370" s="648"/>
      <c r="PMN370" s="641"/>
      <c r="PMO370" s="631" t="s">
        <v>265</v>
      </c>
      <c r="PMP370" s="632"/>
      <c r="PMQ370" s="16"/>
      <c r="PMR370" s="636">
        <v>0.13500000000000001</v>
      </c>
      <c r="PMS370" s="636">
        <v>0.12</v>
      </c>
      <c r="PMT370" s="636">
        <v>0.13</v>
      </c>
      <c r="PMU370" s="636">
        <v>0.12</v>
      </c>
      <c r="PMV370" s="636">
        <v>0.12</v>
      </c>
      <c r="PMW370" s="649">
        <v>0.12</v>
      </c>
      <c r="PMX370" s="16"/>
      <c r="PMY370" s="320">
        <v>0.10100000000000001</v>
      </c>
      <c r="PMZ370" s="153"/>
      <c r="PNA370" s="153"/>
      <c r="PNB370" s="153"/>
      <c r="PNC370" s="648"/>
      <c r="PND370" s="641"/>
      <c r="PNE370" s="631" t="s">
        <v>265</v>
      </c>
      <c r="PNF370" s="632"/>
      <c r="PNG370" s="16"/>
      <c r="PNH370" s="636">
        <v>0.13500000000000001</v>
      </c>
      <c r="PNI370" s="636">
        <v>0.12</v>
      </c>
      <c r="PNJ370" s="636">
        <v>0.13</v>
      </c>
      <c r="PNK370" s="636">
        <v>0.12</v>
      </c>
      <c r="PNL370" s="636">
        <v>0.12</v>
      </c>
      <c r="PNM370" s="649">
        <v>0.12</v>
      </c>
      <c r="PNN370" s="16"/>
      <c r="PNO370" s="320">
        <v>0.10100000000000001</v>
      </c>
      <c r="PNP370" s="153"/>
      <c r="PNQ370" s="153"/>
      <c r="PNR370" s="153"/>
      <c r="PNS370" s="648"/>
      <c r="PNT370" s="641"/>
      <c r="PNU370" s="631" t="s">
        <v>265</v>
      </c>
      <c r="PNV370" s="632"/>
      <c r="PNW370" s="16"/>
      <c r="PNX370" s="636">
        <v>0.13500000000000001</v>
      </c>
      <c r="PNY370" s="636">
        <v>0.12</v>
      </c>
      <c r="PNZ370" s="636">
        <v>0.13</v>
      </c>
      <c r="POA370" s="636">
        <v>0.12</v>
      </c>
      <c r="POB370" s="636">
        <v>0.12</v>
      </c>
      <c r="POC370" s="649">
        <v>0.12</v>
      </c>
      <c r="POD370" s="16"/>
      <c r="POE370" s="320">
        <v>0.10100000000000001</v>
      </c>
      <c r="POF370" s="153"/>
      <c r="POG370" s="153"/>
      <c r="POH370" s="153"/>
      <c r="POI370" s="648"/>
      <c r="POJ370" s="641"/>
      <c r="POK370" s="631" t="s">
        <v>265</v>
      </c>
      <c r="POL370" s="632"/>
      <c r="POM370" s="16"/>
      <c r="PON370" s="636">
        <v>0.13500000000000001</v>
      </c>
      <c r="POO370" s="636">
        <v>0.12</v>
      </c>
      <c r="POP370" s="636">
        <v>0.13</v>
      </c>
      <c r="POQ370" s="636">
        <v>0.12</v>
      </c>
      <c r="POR370" s="636">
        <v>0.12</v>
      </c>
      <c r="POS370" s="649">
        <v>0.12</v>
      </c>
      <c r="POT370" s="16"/>
      <c r="POU370" s="320">
        <v>0.10100000000000001</v>
      </c>
      <c r="POV370" s="153"/>
      <c r="POW370" s="153"/>
      <c r="POX370" s="153"/>
      <c r="POY370" s="648"/>
      <c r="POZ370" s="641"/>
      <c r="PPA370" s="631" t="s">
        <v>265</v>
      </c>
      <c r="PPB370" s="632"/>
      <c r="PPC370" s="16"/>
      <c r="PPD370" s="636">
        <v>0.13500000000000001</v>
      </c>
      <c r="PPE370" s="636">
        <v>0.12</v>
      </c>
      <c r="PPF370" s="636">
        <v>0.13</v>
      </c>
      <c r="PPG370" s="636">
        <v>0.12</v>
      </c>
      <c r="PPH370" s="636">
        <v>0.12</v>
      </c>
      <c r="PPI370" s="649">
        <v>0.12</v>
      </c>
      <c r="PPJ370" s="16"/>
      <c r="PPK370" s="320">
        <v>0.10100000000000001</v>
      </c>
      <c r="PPL370" s="153"/>
      <c r="PPM370" s="153"/>
      <c r="PPN370" s="153"/>
      <c r="PPO370" s="648"/>
      <c r="PPP370" s="641"/>
      <c r="PPQ370" s="631" t="s">
        <v>265</v>
      </c>
      <c r="PPR370" s="632"/>
      <c r="PPS370" s="16"/>
      <c r="PPT370" s="636">
        <v>0.13500000000000001</v>
      </c>
      <c r="PPU370" s="636">
        <v>0.12</v>
      </c>
      <c r="PPV370" s="636">
        <v>0.13</v>
      </c>
      <c r="PPW370" s="636">
        <v>0.12</v>
      </c>
      <c r="PPX370" s="636">
        <v>0.12</v>
      </c>
      <c r="PPY370" s="649">
        <v>0.12</v>
      </c>
      <c r="PPZ370" s="16"/>
      <c r="PQA370" s="320">
        <v>0.10100000000000001</v>
      </c>
      <c r="PQB370" s="153"/>
      <c r="PQC370" s="153"/>
      <c r="PQD370" s="153"/>
      <c r="PQE370" s="648"/>
      <c r="PQF370" s="641"/>
      <c r="PQG370" s="631" t="s">
        <v>265</v>
      </c>
      <c r="PQH370" s="632"/>
      <c r="PQI370" s="16"/>
      <c r="PQJ370" s="636">
        <v>0.13500000000000001</v>
      </c>
      <c r="PQK370" s="636">
        <v>0.12</v>
      </c>
      <c r="PQL370" s="636">
        <v>0.13</v>
      </c>
      <c r="PQM370" s="636">
        <v>0.12</v>
      </c>
      <c r="PQN370" s="636">
        <v>0.12</v>
      </c>
      <c r="PQO370" s="649">
        <v>0.12</v>
      </c>
      <c r="PQP370" s="16"/>
      <c r="PQQ370" s="320">
        <v>0.10100000000000001</v>
      </c>
      <c r="PQR370" s="153"/>
      <c r="PQS370" s="153"/>
      <c r="PQT370" s="153"/>
      <c r="PQU370" s="648"/>
      <c r="PQV370" s="641"/>
      <c r="PQW370" s="631" t="s">
        <v>265</v>
      </c>
      <c r="PQX370" s="632"/>
      <c r="PQY370" s="16"/>
      <c r="PQZ370" s="636">
        <v>0.13500000000000001</v>
      </c>
      <c r="PRA370" s="636">
        <v>0.12</v>
      </c>
      <c r="PRB370" s="636">
        <v>0.13</v>
      </c>
      <c r="PRC370" s="636">
        <v>0.12</v>
      </c>
      <c r="PRD370" s="636">
        <v>0.12</v>
      </c>
      <c r="PRE370" s="649">
        <v>0.12</v>
      </c>
      <c r="PRF370" s="16"/>
      <c r="PRG370" s="320">
        <v>0.10100000000000001</v>
      </c>
      <c r="PRH370" s="153"/>
      <c r="PRI370" s="153"/>
      <c r="PRJ370" s="153"/>
      <c r="PRK370" s="648"/>
      <c r="PRL370" s="641"/>
      <c r="PRM370" s="631" t="s">
        <v>265</v>
      </c>
      <c r="PRN370" s="632"/>
      <c r="PRO370" s="16"/>
      <c r="PRP370" s="636">
        <v>0.13500000000000001</v>
      </c>
      <c r="PRQ370" s="636">
        <v>0.12</v>
      </c>
      <c r="PRR370" s="636">
        <v>0.13</v>
      </c>
      <c r="PRS370" s="636">
        <v>0.12</v>
      </c>
      <c r="PRT370" s="636">
        <v>0.12</v>
      </c>
      <c r="PRU370" s="649">
        <v>0.12</v>
      </c>
      <c r="PRV370" s="16"/>
      <c r="PRW370" s="320">
        <v>0.10100000000000001</v>
      </c>
      <c r="PRX370" s="153"/>
      <c r="PRY370" s="153"/>
      <c r="PRZ370" s="153"/>
      <c r="PSA370" s="648"/>
      <c r="PSB370" s="641"/>
      <c r="PSC370" s="631" t="s">
        <v>265</v>
      </c>
      <c r="PSD370" s="632"/>
      <c r="PSE370" s="16"/>
      <c r="PSF370" s="636">
        <v>0.13500000000000001</v>
      </c>
      <c r="PSG370" s="636">
        <v>0.12</v>
      </c>
      <c r="PSH370" s="636">
        <v>0.13</v>
      </c>
      <c r="PSI370" s="636">
        <v>0.12</v>
      </c>
      <c r="PSJ370" s="636">
        <v>0.12</v>
      </c>
      <c r="PSK370" s="649">
        <v>0.12</v>
      </c>
      <c r="PSL370" s="16"/>
      <c r="PSM370" s="320">
        <v>0.10100000000000001</v>
      </c>
      <c r="PSN370" s="153"/>
      <c r="PSO370" s="153"/>
      <c r="PSP370" s="153"/>
      <c r="PSQ370" s="648"/>
      <c r="PSR370" s="641"/>
      <c r="PSS370" s="631" t="s">
        <v>265</v>
      </c>
      <c r="PST370" s="632"/>
      <c r="PSU370" s="16"/>
      <c r="PSV370" s="636">
        <v>0.13500000000000001</v>
      </c>
      <c r="PSW370" s="636">
        <v>0.12</v>
      </c>
      <c r="PSX370" s="636">
        <v>0.13</v>
      </c>
      <c r="PSY370" s="636">
        <v>0.12</v>
      </c>
      <c r="PSZ370" s="636">
        <v>0.12</v>
      </c>
      <c r="PTA370" s="649">
        <v>0.12</v>
      </c>
      <c r="PTB370" s="16"/>
      <c r="PTC370" s="320">
        <v>0.10100000000000001</v>
      </c>
      <c r="PTD370" s="153"/>
      <c r="PTE370" s="153"/>
      <c r="PTF370" s="153"/>
      <c r="PTG370" s="648"/>
      <c r="PTH370" s="641"/>
      <c r="PTI370" s="631" t="s">
        <v>265</v>
      </c>
      <c r="PTJ370" s="632"/>
      <c r="PTK370" s="16"/>
      <c r="PTL370" s="636">
        <v>0.13500000000000001</v>
      </c>
      <c r="PTM370" s="636">
        <v>0.12</v>
      </c>
      <c r="PTN370" s="636">
        <v>0.13</v>
      </c>
      <c r="PTO370" s="636">
        <v>0.12</v>
      </c>
      <c r="PTP370" s="636">
        <v>0.12</v>
      </c>
      <c r="PTQ370" s="649">
        <v>0.12</v>
      </c>
      <c r="PTR370" s="16"/>
      <c r="PTS370" s="320">
        <v>0.10100000000000001</v>
      </c>
      <c r="PTT370" s="153"/>
      <c r="PTU370" s="153"/>
      <c r="PTV370" s="153"/>
      <c r="PTW370" s="648"/>
      <c r="PTX370" s="641"/>
      <c r="PTY370" s="631" t="s">
        <v>265</v>
      </c>
      <c r="PTZ370" s="632"/>
      <c r="PUA370" s="16"/>
      <c r="PUB370" s="636">
        <v>0.13500000000000001</v>
      </c>
      <c r="PUC370" s="636">
        <v>0.12</v>
      </c>
      <c r="PUD370" s="636">
        <v>0.13</v>
      </c>
      <c r="PUE370" s="636">
        <v>0.12</v>
      </c>
      <c r="PUF370" s="636">
        <v>0.12</v>
      </c>
      <c r="PUG370" s="649">
        <v>0.12</v>
      </c>
      <c r="PUH370" s="16"/>
      <c r="PUI370" s="320">
        <v>0.10100000000000001</v>
      </c>
      <c r="PUJ370" s="153"/>
      <c r="PUK370" s="153"/>
      <c r="PUL370" s="153"/>
      <c r="PUM370" s="648"/>
      <c r="PUN370" s="641"/>
      <c r="PUO370" s="631" t="s">
        <v>265</v>
      </c>
      <c r="PUP370" s="632"/>
      <c r="PUQ370" s="16"/>
      <c r="PUR370" s="636">
        <v>0.13500000000000001</v>
      </c>
      <c r="PUS370" s="636">
        <v>0.12</v>
      </c>
      <c r="PUT370" s="636">
        <v>0.13</v>
      </c>
      <c r="PUU370" s="636">
        <v>0.12</v>
      </c>
      <c r="PUV370" s="636">
        <v>0.12</v>
      </c>
      <c r="PUW370" s="649">
        <v>0.12</v>
      </c>
      <c r="PUX370" s="16"/>
      <c r="PUY370" s="320">
        <v>0.10100000000000001</v>
      </c>
      <c r="PUZ370" s="153"/>
      <c r="PVA370" s="153"/>
      <c r="PVB370" s="153"/>
      <c r="PVC370" s="648"/>
      <c r="PVD370" s="641"/>
      <c r="PVE370" s="631" t="s">
        <v>265</v>
      </c>
      <c r="PVF370" s="632"/>
      <c r="PVG370" s="16"/>
      <c r="PVH370" s="636">
        <v>0.13500000000000001</v>
      </c>
      <c r="PVI370" s="636">
        <v>0.12</v>
      </c>
      <c r="PVJ370" s="636">
        <v>0.13</v>
      </c>
      <c r="PVK370" s="636">
        <v>0.12</v>
      </c>
      <c r="PVL370" s="636">
        <v>0.12</v>
      </c>
      <c r="PVM370" s="649">
        <v>0.12</v>
      </c>
      <c r="PVN370" s="16"/>
      <c r="PVO370" s="320">
        <v>0.10100000000000001</v>
      </c>
      <c r="PVP370" s="153"/>
      <c r="PVQ370" s="153"/>
      <c r="PVR370" s="153"/>
      <c r="PVS370" s="648"/>
      <c r="PVT370" s="641"/>
      <c r="PVU370" s="631" t="s">
        <v>265</v>
      </c>
      <c r="PVV370" s="632"/>
      <c r="PVW370" s="16"/>
      <c r="PVX370" s="636">
        <v>0.13500000000000001</v>
      </c>
      <c r="PVY370" s="636">
        <v>0.12</v>
      </c>
      <c r="PVZ370" s="636">
        <v>0.13</v>
      </c>
      <c r="PWA370" s="636">
        <v>0.12</v>
      </c>
      <c r="PWB370" s="636">
        <v>0.12</v>
      </c>
      <c r="PWC370" s="649">
        <v>0.12</v>
      </c>
      <c r="PWD370" s="16"/>
      <c r="PWE370" s="320">
        <v>0.10100000000000001</v>
      </c>
      <c r="PWF370" s="153"/>
      <c r="PWG370" s="153"/>
      <c r="PWH370" s="153"/>
      <c r="PWI370" s="648"/>
      <c r="PWJ370" s="641"/>
      <c r="PWK370" s="631" t="s">
        <v>265</v>
      </c>
      <c r="PWL370" s="632"/>
      <c r="PWM370" s="16"/>
      <c r="PWN370" s="636">
        <v>0.13500000000000001</v>
      </c>
      <c r="PWO370" s="636">
        <v>0.12</v>
      </c>
      <c r="PWP370" s="636">
        <v>0.13</v>
      </c>
      <c r="PWQ370" s="636">
        <v>0.12</v>
      </c>
      <c r="PWR370" s="636">
        <v>0.12</v>
      </c>
      <c r="PWS370" s="649">
        <v>0.12</v>
      </c>
      <c r="PWT370" s="16"/>
      <c r="PWU370" s="320">
        <v>0.10100000000000001</v>
      </c>
      <c r="PWV370" s="153"/>
      <c r="PWW370" s="153"/>
      <c r="PWX370" s="153"/>
      <c r="PWY370" s="648"/>
      <c r="PWZ370" s="641"/>
      <c r="PXA370" s="631" t="s">
        <v>265</v>
      </c>
      <c r="PXB370" s="632"/>
      <c r="PXC370" s="16"/>
      <c r="PXD370" s="636">
        <v>0.13500000000000001</v>
      </c>
      <c r="PXE370" s="636">
        <v>0.12</v>
      </c>
      <c r="PXF370" s="636">
        <v>0.13</v>
      </c>
      <c r="PXG370" s="636">
        <v>0.12</v>
      </c>
      <c r="PXH370" s="636">
        <v>0.12</v>
      </c>
      <c r="PXI370" s="649">
        <v>0.12</v>
      </c>
      <c r="PXJ370" s="16"/>
      <c r="PXK370" s="320">
        <v>0.10100000000000001</v>
      </c>
      <c r="PXL370" s="153"/>
      <c r="PXM370" s="153"/>
      <c r="PXN370" s="153"/>
      <c r="PXO370" s="648"/>
      <c r="PXP370" s="641"/>
      <c r="PXQ370" s="631" t="s">
        <v>265</v>
      </c>
      <c r="PXR370" s="632"/>
      <c r="PXS370" s="16"/>
      <c r="PXT370" s="636">
        <v>0.13500000000000001</v>
      </c>
      <c r="PXU370" s="636">
        <v>0.12</v>
      </c>
      <c r="PXV370" s="636">
        <v>0.13</v>
      </c>
      <c r="PXW370" s="636">
        <v>0.12</v>
      </c>
      <c r="PXX370" s="636">
        <v>0.12</v>
      </c>
      <c r="PXY370" s="649">
        <v>0.12</v>
      </c>
      <c r="PXZ370" s="16"/>
      <c r="PYA370" s="320">
        <v>0.10100000000000001</v>
      </c>
      <c r="PYB370" s="153"/>
      <c r="PYC370" s="153"/>
      <c r="PYD370" s="153"/>
      <c r="PYE370" s="648"/>
      <c r="PYF370" s="641"/>
      <c r="PYG370" s="631" t="s">
        <v>265</v>
      </c>
      <c r="PYH370" s="632"/>
      <c r="PYI370" s="16"/>
      <c r="PYJ370" s="636">
        <v>0.13500000000000001</v>
      </c>
      <c r="PYK370" s="636">
        <v>0.12</v>
      </c>
      <c r="PYL370" s="636">
        <v>0.13</v>
      </c>
      <c r="PYM370" s="636">
        <v>0.12</v>
      </c>
      <c r="PYN370" s="636">
        <v>0.12</v>
      </c>
      <c r="PYO370" s="649">
        <v>0.12</v>
      </c>
      <c r="PYP370" s="16"/>
      <c r="PYQ370" s="320">
        <v>0.10100000000000001</v>
      </c>
      <c r="PYR370" s="153"/>
      <c r="PYS370" s="153"/>
      <c r="PYT370" s="153"/>
      <c r="PYU370" s="648"/>
      <c r="PYV370" s="641"/>
      <c r="PYW370" s="631" t="s">
        <v>265</v>
      </c>
      <c r="PYX370" s="632"/>
      <c r="PYY370" s="16"/>
      <c r="PYZ370" s="636">
        <v>0.13500000000000001</v>
      </c>
      <c r="PZA370" s="636">
        <v>0.12</v>
      </c>
      <c r="PZB370" s="636">
        <v>0.13</v>
      </c>
      <c r="PZC370" s="636">
        <v>0.12</v>
      </c>
      <c r="PZD370" s="636">
        <v>0.12</v>
      </c>
      <c r="PZE370" s="649">
        <v>0.12</v>
      </c>
      <c r="PZF370" s="16"/>
      <c r="PZG370" s="320">
        <v>0.10100000000000001</v>
      </c>
      <c r="PZH370" s="153"/>
      <c r="PZI370" s="153"/>
      <c r="PZJ370" s="153"/>
      <c r="PZK370" s="648"/>
      <c r="PZL370" s="641"/>
      <c r="PZM370" s="631" t="s">
        <v>265</v>
      </c>
      <c r="PZN370" s="632"/>
      <c r="PZO370" s="16"/>
      <c r="PZP370" s="636">
        <v>0.13500000000000001</v>
      </c>
      <c r="PZQ370" s="636">
        <v>0.12</v>
      </c>
      <c r="PZR370" s="636">
        <v>0.13</v>
      </c>
      <c r="PZS370" s="636">
        <v>0.12</v>
      </c>
      <c r="PZT370" s="636">
        <v>0.12</v>
      </c>
      <c r="PZU370" s="649">
        <v>0.12</v>
      </c>
      <c r="PZV370" s="16"/>
      <c r="PZW370" s="320">
        <v>0.10100000000000001</v>
      </c>
      <c r="PZX370" s="153"/>
      <c r="PZY370" s="153"/>
      <c r="PZZ370" s="153"/>
      <c r="QAA370" s="648"/>
      <c r="QAB370" s="641"/>
      <c r="QAC370" s="631" t="s">
        <v>265</v>
      </c>
      <c r="QAD370" s="632"/>
      <c r="QAE370" s="16"/>
      <c r="QAF370" s="636">
        <v>0.13500000000000001</v>
      </c>
      <c r="QAG370" s="636">
        <v>0.12</v>
      </c>
      <c r="QAH370" s="636">
        <v>0.13</v>
      </c>
      <c r="QAI370" s="636">
        <v>0.12</v>
      </c>
      <c r="QAJ370" s="636">
        <v>0.12</v>
      </c>
      <c r="QAK370" s="649">
        <v>0.12</v>
      </c>
      <c r="QAL370" s="16"/>
      <c r="QAM370" s="320">
        <v>0.10100000000000001</v>
      </c>
      <c r="QAN370" s="153"/>
      <c r="QAO370" s="153"/>
      <c r="QAP370" s="153"/>
      <c r="QAQ370" s="648"/>
      <c r="QAR370" s="641"/>
      <c r="QAS370" s="631" t="s">
        <v>265</v>
      </c>
      <c r="QAT370" s="632"/>
      <c r="QAU370" s="16"/>
      <c r="QAV370" s="636">
        <v>0.13500000000000001</v>
      </c>
      <c r="QAW370" s="636">
        <v>0.12</v>
      </c>
      <c r="QAX370" s="636">
        <v>0.13</v>
      </c>
      <c r="QAY370" s="636">
        <v>0.12</v>
      </c>
      <c r="QAZ370" s="636">
        <v>0.12</v>
      </c>
      <c r="QBA370" s="649">
        <v>0.12</v>
      </c>
      <c r="QBB370" s="16"/>
      <c r="QBC370" s="320">
        <v>0.10100000000000001</v>
      </c>
      <c r="QBD370" s="153"/>
      <c r="QBE370" s="153"/>
      <c r="QBF370" s="153"/>
      <c r="QBG370" s="648"/>
      <c r="QBH370" s="641"/>
      <c r="QBI370" s="631" t="s">
        <v>265</v>
      </c>
      <c r="QBJ370" s="632"/>
      <c r="QBK370" s="16"/>
      <c r="QBL370" s="636">
        <v>0.13500000000000001</v>
      </c>
      <c r="QBM370" s="636">
        <v>0.12</v>
      </c>
      <c r="QBN370" s="636">
        <v>0.13</v>
      </c>
      <c r="QBO370" s="636">
        <v>0.12</v>
      </c>
      <c r="QBP370" s="636">
        <v>0.12</v>
      </c>
      <c r="QBQ370" s="649">
        <v>0.12</v>
      </c>
      <c r="QBR370" s="16"/>
      <c r="QBS370" s="320">
        <v>0.10100000000000001</v>
      </c>
      <c r="QBT370" s="153"/>
      <c r="QBU370" s="153"/>
      <c r="QBV370" s="153"/>
      <c r="QBW370" s="648"/>
      <c r="QBX370" s="641"/>
      <c r="QBY370" s="631" t="s">
        <v>265</v>
      </c>
      <c r="QBZ370" s="632"/>
      <c r="QCA370" s="16"/>
      <c r="QCB370" s="636">
        <v>0.13500000000000001</v>
      </c>
      <c r="QCC370" s="636">
        <v>0.12</v>
      </c>
      <c r="QCD370" s="636">
        <v>0.13</v>
      </c>
      <c r="QCE370" s="636">
        <v>0.12</v>
      </c>
      <c r="QCF370" s="636">
        <v>0.12</v>
      </c>
      <c r="QCG370" s="649">
        <v>0.12</v>
      </c>
      <c r="QCH370" s="16"/>
      <c r="QCI370" s="320">
        <v>0.10100000000000001</v>
      </c>
      <c r="QCJ370" s="153"/>
      <c r="QCK370" s="153"/>
      <c r="QCL370" s="153"/>
      <c r="QCM370" s="648"/>
      <c r="QCN370" s="641"/>
      <c r="QCO370" s="631" t="s">
        <v>265</v>
      </c>
      <c r="QCP370" s="632"/>
      <c r="QCQ370" s="16"/>
      <c r="QCR370" s="636">
        <v>0.13500000000000001</v>
      </c>
      <c r="QCS370" s="636">
        <v>0.12</v>
      </c>
      <c r="QCT370" s="636">
        <v>0.13</v>
      </c>
      <c r="QCU370" s="636">
        <v>0.12</v>
      </c>
      <c r="QCV370" s="636">
        <v>0.12</v>
      </c>
      <c r="QCW370" s="649">
        <v>0.12</v>
      </c>
      <c r="QCX370" s="16"/>
      <c r="QCY370" s="320">
        <v>0.10100000000000001</v>
      </c>
      <c r="QCZ370" s="153"/>
      <c r="QDA370" s="153"/>
      <c r="QDB370" s="153"/>
      <c r="QDC370" s="648"/>
      <c r="QDD370" s="641"/>
      <c r="QDE370" s="631" t="s">
        <v>265</v>
      </c>
      <c r="QDF370" s="632"/>
      <c r="QDG370" s="16"/>
      <c r="QDH370" s="636">
        <v>0.13500000000000001</v>
      </c>
      <c r="QDI370" s="636">
        <v>0.12</v>
      </c>
      <c r="QDJ370" s="636">
        <v>0.13</v>
      </c>
      <c r="QDK370" s="636">
        <v>0.12</v>
      </c>
      <c r="QDL370" s="636">
        <v>0.12</v>
      </c>
      <c r="QDM370" s="649">
        <v>0.12</v>
      </c>
      <c r="QDN370" s="16"/>
      <c r="QDO370" s="320">
        <v>0.10100000000000001</v>
      </c>
      <c r="QDP370" s="153"/>
      <c r="QDQ370" s="153"/>
      <c r="QDR370" s="153"/>
      <c r="QDS370" s="648"/>
      <c r="QDT370" s="641"/>
      <c r="QDU370" s="631" t="s">
        <v>265</v>
      </c>
      <c r="QDV370" s="632"/>
      <c r="QDW370" s="16"/>
      <c r="QDX370" s="636">
        <v>0.13500000000000001</v>
      </c>
      <c r="QDY370" s="636">
        <v>0.12</v>
      </c>
      <c r="QDZ370" s="636">
        <v>0.13</v>
      </c>
      <c r="QEA370" s="636">
        <v>0.12</v>
      </c>
      <c r="QEB370" s="636">
        <v>0.12</v>
      </c>
      <c r="QEC370" s="649">
        <v>0.12</v>
      </c>
      <c r="QED370" s="16"/>
      <c r="QEE370" s="320">
        <v>0.10100000000000001</v>
      </c>
      <c r="QEF370" s="153"/>
      <c r="QEG370" s="153"/>
      <c r="QEH370" s="153"/>
      <c r="QEI370" s="648"/>
      <c r="QEJ370" s="641"/>
      <c r="QEK370" s="631" t="s">
        <v>265</v>
      </c>
      <c r="QEL370" s="632"/>
      <c r="QEM370" s="16"/>
      <c r="QEN370" s="636">
        <v>0.13500000000000001</v>
      </c>
      <c r="QEO370" s="636">
        <v>0.12</v>
      </c>
      <c r="QEP370" s="636">
        <v>0.13</v>
      </c>
      <c r="QEQ370" s="636">
        <v>0.12</v>
      </c>
      <c r="QER370" s="636">
        <v>0.12</v>
      </c>
      <c r="QES370" s="649">
        <v>0.12</v>
      </c>
      <c r="QET370" s="16"/>
      <c r="QEU370" s="320">
        <v>0.10100000000000001</v>
      </c>
      <c r="QEV370" s="153"/>
      <c r="QEW370" s="153"/>
      <c r="QEX370" s="153"/>
      <c r="QEY370" s="648"/>
      <c r="QEZ370" s="641"/>
      <c r="QFA370" s="631" t="s">
        <v>265</v>
      </c>
      <c r="QFB370" s="632"/>
      <c r="QFC370" s="16"/>
      <c r="QFD370" s="636">
        <v>0.13500000000000001</v>
      </c>
      <c r="QFE370" s="636">
        <v>0.12</v>
      </c>
      <c r="QFF370" s="636">
        <v>0.13</v>
      </c>
      <c r="QFG370" s="636">
        <v>0.12</v>
      </c>
      <c r="QFH370" s="636">
        <v>0.12</v>
      </c>
      <c r="QFI370" s="649">
        <v>0.12</v>
      </c>
      <c r="QFJ370" s="16"/>
      <c r="QFK370" s="320">
        <v>0.10100000000000001</v>
      </c>
      <c r="QFL370" s="153"/>
      <c r="QFM370" s="153"/>
      <c r="QFN370" s="153"/>
      <c r="QFO370" s="648"/>
      <c r="QFP370" s="641"/>
      <c r="QFQ370" s="631" t="s">
        <v>265</v>
      </c>
      <c r="QFR370" s="632"/>
      <c r="QFS370" s="16"/>
      <c r="QFT370" s="636">
        <v>0.13500000000000001</v>
      </c>
      <c r="QFU370" s="636">
        <v>0.12</v>
      </c>
      <c r="QFV370" s="636">
        <v>0.13</v>
      </c>
      <c r="QFW370" s="636">
        <v>0.12</v>
      </c>
      <c r="QFX370" s="636">
        <v>0.12</v>
      </c>
      <c r="QFY370" s="649">
        <v>0.12</v>
      </c>
      <c r="QFZ370" s="16"/>
      <c r="QGA370" s="320">
        <v>0.10100000000000001</v>
      </c>
      <c r="QGB370" s="153"/>
      <c r="QGC370" s="153"/>
      <c r="QGD370" s="153"/>
      <c r="QGE370" s="648"/>
      <c r="QGF370" s="641"/>
      <c r="QGG370" s="631" t="s">
        <v>265</v>
      </c>
      <c r="QGH370" s="632"/>
      <c r="QGI370" s="16"/>
      <c r="QGJ370" s="636">
        <v>0.13500000000000001</v>
      </c>
      <c r="QGK370" s="636">
        <v>0.12</v>
      </c>
      <c r="QGL370" s="636">
        <v>0.13</v>
      </c>
      <c r="QGM370" s="636">
        <v>0.12</v>
      </c>
      <c r="QGN370" s="636">
        <v>0.12</v>
      </c>
      <c r="QGO370" s="649">
        <v>0.12</v>
      </c>
      <c r="QGP370" s="16"/>
      <c r="QGQ370" s="320">
        <v>0.10100000000000001</v>
      </c>
      <c r="QGR370" s="153"/>
      <c r="QGS370" s="153"/>
      <c r="QGT370" s="153"/>
      <c r="QGU370" s="648"/>
      <c r="QGV370" s="641"/>
      <c r="QGW370" s="631" t="s">
        <v>265</v>
      </c>
      <c r="QGX370" s="632"/>
      <c r="QGY370" s="16"/>
      <c r="QGZ370" s="636">
        <v>0.13500000000000001</v>
      </c>
      <c r="QHA370" s="636">
        <v>0.12</v>
      </c>
      <c r="QHB370" s="636">
        <v>0.13</v>
      </c>
      <c r="QHC370" s="636">
        <v>0.12</v>
      </c>
      <c r="QHD370" s="636">
        <v>0.12</v>
      </c>
      <c r="QHE370" s="649">
        <v>0.12</v>
      </c>
      <c r="QHF370" s="16"/>
      <c r="QHG370" s="320">
        <v>0.10100000000000001</v>
      </c>
      <c r="QHH370" s="153"/>
      <c r="QHI370" s="153"/>
      <c r="QHJ370" s="153"/>
      <c r="QHK370" s="648"/>
      <c r="QHL370" s="641"/>
      <c r="QHM370" s="631" t="s">
        <v>265</v>
      </c>
      <c r="QHN370" s="632"/>
      <c r="QHO370" s="16"/>
      <c r="QHP370" s="636">
        <v>0.13500000000000001</v>
      </c>
      <c r="QHQ370" s="636">
        <v>0.12</v>
      </c>
      <c r="QHR370" s="636">
        <v>0.13</v>
      </c>
      <c r="QHS370" s="636">
        <v>0.12</v>
      </c>
      <c r="QHT370" s="636">
        <v>0.12</v>
      </c>
      <c r="QHU370" s="649">
        <v>0.12</v>
      </c>
      <c r="QHV370" s="16"/>
      <c r="QHW370" s="320">
        <v>0.10100000000000001</v>
      </c>
      <c r="QHX370" s="153"/>
      <c r="QHY370" s="153"/>
      <c r="QHZ370" s="153"/>
      <c r="QIA370" s="648"/>
      <c r="QIB370" s="641"/>
      <c r="QIC370" s="631" t="s">
        <v>265</v>
      </c>
      <c r="QID370" s="632"/>
      <c r="QIE370" s="16"/>
      <c r="QIF370" s="636">
        <v>0.13500000000000001</v>
      </c>
      <c r="QIG370" s="636">
        <v>0.12</v>
      </c>
      <c r="QIH370" s="636">
        <v>0.13</v>
      </c>
      <c r="QII370" s="636">
        <v>0.12</v>
      </c>
      <c r="QIJ370" s="636">
        <v>0.12</v>
      </c>
      <c r="QIK370" s="649">
        <v>0.12</v>
      </c>
      <c r="QIL370" s="16"/>
      <c r="QIM370" s="320">
        <v>0.10100000000000001</v>
      </c>
      <c r="QIN370" s="153"/>
      <c r="QIO370" s="153"/>
      <c r="QIP370" s="153"/>
      <c r="QIQ370" s="648"/>
      <c r="QIR370" s="641"/>
      <c r="QIS370" s="631" t="s">
        <v>265</v>
      </c>
      <c r="QIT370" s="632"/>
      <c r="QIU370" s="16"/>
      <c r="QIV370" s="636">
        <v>0.13500000000000001</v>
      </c>
      <c r="QIW370" s="636">
        <v>0.12</v>
      </c>
      <c r="QIX370" s="636">
        <v>0.13</v>
      </c>
      <c r="QIY370" s="636">
        <v>0.12</v>
      </c>
      <c r="QIZ370" s="636">
        <v>0.12</v>
      </c>
      <c r="QJA370" s="649">
        <v>0.12</v>
      </c>
      <c r="QJB370" s="16"/>
      <c r="QJC370" s="320">
        <v>0.10100000000000001</v>
      </c>
      <c r="QJD370" s="153"/>
      <c r="QJE370" s="153"/>
      <c r="QJF370" s="153"/>
      <c r="QJG370" s="648"/>
      <c r="QJH370" s="641"/>
      <c r="QJI370" s="631" t="s">
        <v>265</v>
      </c>
      <c r="QJJ370" s="632"/>
      <c r="QJK370" s="16"/>
      <c r="QJL370" s="636">
        <v>0.13500000000000001</v>
      </c>
      <c r="QJM370" s="636">
        <v>0.12</v>
      </c>
      <c r="QJN370" s="636">
        <v>0.13</v>
      </c>
      <c r="QJO370" s="636">
        <v>0.12</v>
      </c>
      <c r="QJP370" s="636">
        <v>0.12</v>
      </c>
      <c r="QJQ370" s="649">
        <v>0.12</v>
      </c>
      <c r="QJR370" s="16"/>
      <c r="QJS370" s="320">
        <v>0.10100000000000001</v>
      </c>
      <c r="QJT370" s="153"/>
      <c r="QJU370" s="153"/>
      <c r="QJV370" s="153"/>
      <c r="QJW370" s="648"/>
      <c r="QJX370" s="641"/>
      <c r="QJY370" s="631" t="s">
        <v>265</v>
      </c>
      <c r="QJZ370" s="632"/>
      <c r="QKA370" s="16"/>
      <c r="QKB370" s="636">
        <v>0.13500000000000001</v>
      </c>
      <c r="QKC370" s="636">
        <v>0.12</v>
      </c>
      <c r="QKD370" s="636">
        <v>0.13</v>
      </c>
      <c r="QKE370" s="636">
        <v>0.12</v>
      </c>
      <c r="QKF370" s="636">
        <v>0.12</v>
      </c>
      <c r="QKG370" s="649">
        <v>0.12</v>
      </c>
      <c r="QKH370" s="16"/>
      <c r="QKI370" s="320">
        <v>0.10100000000000001</v>
      </c>
      <c r="QKJ370" s="153"/>
      <c r="QKK370" s="153"/>
      <c r="QKL370" s="153"/>
      <c r="QKM370" s="648"/>
      <c r="QKN370" s="641"/>
      <c r="QKO370" s="631" t="s">
        <v>265</v>
      </c>
      <c r="QKP370" s="632"/>
      <c r="QKQ370" s="16"/>
      <c r="QKR370" s="636">
        <v>0.13500000000000001</v>
      </c>
      <c r="QKS370" s="636">
        <v>0.12</v>
      </c>
      <c r="QKT370" s="636">
        <v>0.13</v>
      </c>
      <c r="QKU370" s="636">
        <v>0.12</v>
      </c>
      <c r="QKV370" s="636">
        <v>0.12</v>
      </c>
      <c r="QKW370" s="649">
        <v>0.12</v>
      </c>
      <c r="QKX370" s="16"/>
      <c r="QKY370" s="320">
        <v>0.10100000000000001</v>
      </c>
      <c r="QKZ370" s="153"/>
      <c r="QLA370" s="153"/>
      <c r="QLB370" s="153"/>
      <c r="QLC370" s="648"/>
      <c r="QLD370" s="641"/>
      <c r="QLE370" s="631" t="s">
        <v>265</v>
      </c>
      <c r="QLF370" s="632"/>
      <c r="QLG370" s="16"/>
      <c r="QLH370" s="636">
        <v>0.13500000000000001</v>
      </c>
      <c r="QLI370" s="636">
        <v>0.12</v>
      </c>
      <c r="QLJ370" s="636">
        <v>0.13</v>
      </c>
      <c r="QLK370" s="636">
        <v>0.12</v>
      </c>
      <c r="QLL370" s="636">
        <v>0.12</v>
      </c>
      <c r="QLM370" s="649">
        <v>0.12</v>
      </c>
      <c r="QLN370" s="16"/>
      <c r="QLO370" s="320">
        <v>0.10100000000000001</v>
      </c>
      <c r="QLP370" s="153"/>
      <c r="QLQ370" s="153"/>
      <c r="QLR370" s="153"/>
      <c r="QLS370" s="648"/>
      <c r="QLT370" s="641"/>
      <c r="QLU370" s="631" t="s">
        <v>265</v>
      </c>
      <c r="QLV370" s="632"/>
      <c r="QLW370" s="16"/>
      <c r="QLX370" s="636">
        <v>0.13500000000000001</v>
      </c>
      <c r="QLY370" s="636">
        <v>0.12</v>
      </c>
      <c r="QLZ370" s="636">
        <v>0.13</v>
      </c>
      <c r="QMA370" s="636">
        <v>0.12</v>
      </c>
      <c r="QMB370" s="636">
        <v>0.12</v>
      </c>
      <c r="QMC370" s="649">
        <v>0.12</v>
      </c>
      <c r="QMD370" s="16"/>
      <c r="QME370" s="320">
        <v>0.10100000000000001</v>
      </c>
      <c r="QMF370" s="153"/>
      <c r="QMG370" s="153"/>
      <c r="QMH370" s="153"/>
      <c r="QMI370" s="648"/>
      <c r="QMJ370" s="641"/>
      <c r="QMK370" s="631" t="s">
        <v>265</v>
      </c>
      <c r="QML370" s="632"/>
      <c r="QMM370" s="16"/>
      <c r="QMN370" s="636">
        <v>0.13500000000000001</v>
      </c>
      <c r="QMO370" s="636">
        <v>0.12</v>
      </c>
      <c r="QMP370" s="636">
        <v>0.13</v>
      </c>
      <c r="QMQ370" s="636">
        <v>0.12</v>
      </c>
      <c r="QMR370" s="636">
        <v>0.12</v>
      </c>
      <c r="QMS370" s="649">
        <v>0.12</v>
      </c>
      <c r="QMT370" s="16"/>
      <c r="QMU370" s="320">
        <v>0.10100000000000001</v>
      </c>
      <c r="QMV370" s="153"/>
      <c r="QMW370" s="153"/>
      <c r="QMX370" s="153"/>
      <c r="QMY370" s="648"/>
      <c r="QMZ370" s="641"/>
      <c r="QNA370" s="631" t="s">
        <v>265</v>
      </c>
      <c r="QNB370" s="632"/>
      <c r="QNC370" s="16"/>
      <c r="QND370" s="636">
        <v>0.13500000000000001</v>
      </c>
      <c r="QNE370" s="636">
        <v>0.12</v>
      </c>
      <c r="QNF370" s="636">
        <v>0.13</v>
      </c>
      <c r="QNG370" s="636">
        <v>0.12</v>
      </c>
      <c r="QNH370" s="636">
        <v>0.12</v>
      </c>
      <c r="QNI370" s="649">
        <v>0.12</v>
      </c>
      <c r="QNJ370" s="16"/>
      <c r="QNK370" s="320">
        <v>0.10100000000000001</v>
      </c>
      <c r="QNL370" s="153"/>
      <c r="QNM370" s="153"/>
      <c r="QNN370" s="153"/>
      <c r="QNO370" s="648"/>
      <c r="QNP370" s="641"/>
      <c r="QNQ370" s="631" t="s">
        <v>265</v>
      </c>
      <c r="QNR370" s="632"/>
      <c r="QNS370" s="16"/>
      <c r="QNT370" s="636">
        <v>0.13500000000000001</v>
      </c>
      <c r="QNU370" s="636">
        <v>0.12</v>
      </c>
      <c r="QNV370" s="636">
        <v>0.13</v>
      </c>
      <c r="QNW370" s="636">
        <v>0.12</v>
      </c>
      <c r="QNX370" s="636">
        <v>0.12</v>
      </c>
      <c r="QNY370" s="649">
        <v>0.12</v>
      </c>
      <c r="QNZ370" s="16"/>
      <c r="QOA370" s="320">
        <v>0.10100000000000001</v>
      </c>
      <c r="QOB370" s="153"/>
      <c r="QOC370" s="153"/>
      <c r="QOD370" s="153"/>
      <c r="QOE370" s="648"/>
      <c r="QOF370" s="641"/>
      <c r="QOG370" s="631" t="s">
        <v>265</v>
      </c>
      <c r="QOH370" s="632"/>
      <c r="QOI370" s="16"/>
      <c r="QOJ370" s="636">
        <v>0.13500000000000001</v>
      </c>
      <c r="QOK370" s="636">
        <v>0.12</v>
      </c>
      <c r="QOL370" s="636">
        <v>0.13</v>
      </c>
      <c r="QOM370" s="636">
        <v>0.12</v>
      </c>
      <c r="QON370" s="636">
        <v>0.12</v>
      </c>
      <c r="QOO370" s="649">
        <v>0.12</v>
      </c>
      <c r="QOP370" s="16"/>
      <c r="QOQ370" s="320">
        <v>0.10100000000000001</v>
      </c>
      <c r="QOR370" s="153"/>
      <c r="QOS370" s="153"/>
      <c r="QOT370" s="153"/>
      <c r="QOU370" s="648"/>
      <c r="QOV370" s="641"/>
      <c r="QOW370" s="631" t="s">
        <v>265</v>
      </c>
      <c r="QOX370" s="632"/>
      <c r="QOY370" s="16"/>
      <c r="QOZ370" s="636">
        <v>0.13500000000000001</v>
      </c>
      <c r="QPA370" s="636">
        <v>0.12</v>
      </c>
      <c r="QPB370" s="636">
        <v>0.13</v>
      </c>
      <c r="QPC370" s="636">
        <v>0.12</v>
      </c>
      <c r="QPD370" s="636">
        <v>0.12</v>
      </c>
      <c r="QPE370" s="649">
        <v>0.12</v>
      </c>
      <c r="QPF370" s="16"/>
      <c r="QPG370" s="320">
        <v>0.10100000000000001</v>
      </c>
      <c r="QPH370" s="153"/>
      <c r="QPI370" s="153"/>
      <c r="QPJ370" s="153"/>
      <c r="QPK370" s="648"/>
      <c r="QPL370" s="641"/>
      <c r="QPM370" s="631" t="s">
        <v>265</v>
      </c>
      <c r="QPN370" s="632"/>
      <c r="QPO370" s="16"/>
      <c r="QPP370" s="636">
        <v>0.13500000000000001</v>
      </c>
      <c r="QPQ370" s="636">
        <v>0.12</v>
      </c>
      <c r="QPR370" s="636">
        <v>0.13</v>
      </c>
      <c r="QPS370" s="636">
        <v>0.12</v>
      </c>
      <c r="QPT370" s="636">
        <v>0.12</v>
      </c>
      <c r="QPU370" s="649">
        <v>0.12</v>
      </c>
      <c r="QPV370" s="16"/>
      <c r="QPW370" s="320">
        <v>0.10100000000000001</v>
      </c>
      <c r="QPX370" s="153"/>
      <c r="QPY370" s="153"/>
      <c r="QPZ370" s="153"/>
      <c r="QQA370" s="648"/>
      <c r="QQB370" s="641"/>
      <c r="QQC370" s="631" t="s">
        <v>265</v>
      </c>
      <c r="QQD370" s="632"/>
      <c r="QQE370" s="16"/>
      <c r="QQF370" s="636">
        <v>0.13500000000000001</v>
      </c>
      <c r="QQG370" s="636">
        <v>0.12</v>
      </c>
      <c r="QQH370" s="636">
        <v>0.13</v>
      </c>
      <c r="QQI370" s="636">
        <v>0.12</v>
      </c>
      <c r="QQJ370" s="636">
        <v>0.12</v>
      </c>
      <c r="QQK370" s="649">
        <v>0.12</v>
      </c>
      <c r="QQL370" s="16"/>
      <c r="QQM370" s="320">
        <v>0.10100000000000001</v>
      </c>
      <c r="QQN370" s="153"/>
      <c r="QQO370" s="153"/>
      <c r="QQP370" s="153"/>
      <c r="QQQ370" s="648"/>
      <c r="QQR370" s="641"/>
      <c r="QQS370" s="631" t="s">
        <v>265</v>
      </c>
      <c r="QQT370" s="632"/>
      <c r="QQU370" s="16"/>
      <c r="QQV370" s="636">
        <v>0.13500000000000001</v>
      </c>
      <c r="QQW370" s="636">
        <v>0.12</v>
      </c>
      <c r="QQX370" s="636">
        <v>0.13</v>
      </c>
      <c r="QQY370" s="636">
        <v>0.12</v>
      </c>
      <c r="QQZ370" s="636">
        <v>0.12</v>
      </c>
      <c r="QRA370" s="649">
        <v>0.12</v>
      </c>
      <c r="QRB370" s="16"/>
      <c r="QRC370" s="320">
        <v>0.10100000000000001</v>
      </c>
      <c r="QRD370" s="153"/>
      <c r="QRE370" s="153"/>
      <c r="QRF370" s="153"/>
      <c r="QRG370" s="648"/>
      <c r="QRH370" s="641"/>
      <c r="QRI370" s="631" t="s">
        <v>265</v>
      </c>
      <c r="QRJ370" s="632"/>
      <c r="QRK370" s="16"/>
      <c r="QRL370" s="636">
        <v>0.13500000000000001</v>
      </c>
      <c r="QRM370" s="636">
        <v>0.12</v>
      </c>
      <c r="QRN370" s="636">
        <v>0.13</v>
      </c>
      <c r="QRO370" s="636">
        <v>0.12</v>
      </c>
      <c r="QRP370" s="636">
        <v>0.12</v>
      </c>
      <c r="QRQ370" s="649">
        <v>0.12</v>
      </c>
      <c r="QRR370" s="16"/>
      <c r="QRS370" s="320">
        <v>0.10100000000000001</v>
      </c>
      <c r="QRT370" s="153"/>
      <c r="QRU370" s="153"/>
      <c r="QRV370" s="153"/>
      <c r="QRW370" s="648"/>
      <c r="QRX370" s="641"/>
      <c r="QRY370" s="631" t="s">
        <v>265</v>
      </c>
      <c r="QRZ370" s="632"/>
      <c r="QSA370" s="16"/>
      <c r="QSB370" s="636">
        <v>0.13500000000000001</v>
      </c>
      <c r="QSC370" s="636">
        <v>0.12</v>
      </c>
      <c r="QSD370" s="636">
        <v>0.13</v>
      </c>
      <c r="QSE370" s="636">
        <v>0.12</v>
      </c>
      <c r="QSF370" s="636">
        <v>0.12</v>
      </c>
      <c r="QSG370" s="649">
        <v>0.12</v>
      </c>
      <c r="QSH370" s="16"/>
      <c r="QSI370" s="320">
        <v>0.10100000000000001</v>
      </c>
      <c r="QSJ370" s="153"/>
      <c r="QSK370" s="153"/>
      <c r="QSL370" s="153"/>
      <c r="QSM370" s="648"/>
      <c r="QSN370" s="641"/>
      <c r="QSO370" s="631" t="s">
        <v>265</v>
      </c>
      <c r="QSP370" s="632"/>
      <c r="QSQ370" s="16"/>
      <c r="QSR370" s="636">
        <v>0.13500000000000001</v>
      </c>
      <c r="QSS370" s="636">
        <v>0.12</v>
      </c>
      <c r="QST370" s="636">
        <v>0.13</v>
      </c>
      <c r="QSU370" s="636">
        <v>0.12</v>
      </c>
      <c r="QSV370" s="636">
        <v>0.12</v>
      </c>
      <c r="QSW370" s="649">
        <v>0.12</v>
      </c>
      <c r="QSX370" s="16"/>
      <c r="QSY370" s="320">
        <v>0.10100000000000001</v>
      </c>
      <c r="QSZ370" s="153"/>
      <c r="QTA370" s="153"/>
      <c r="QTB370" s="153"/>
      <c r="QTC370" s="648"/>
      <c r="QTD370" s="641"/>
      <c r="QTE370" s="631" t="s">
        <v>265</v>
      </c>
      <c r="QTF370" s="632"/>
      <c r="QTG370" s="16"/>
      <c r="QTH370" s="636">
        <v>0.13500000000000001</v>
      </c>
      <c r="QTI370" s="636">
        <v>0.12</v>
      </c>
      <c r="QTJ370" s="636">
        <v>0.13</v>
      </c>
      <c r="QTK370" s="636">
        <v>0.12</v>
      </c>
      <c r="QTL370" s="636">
        <v>0.12</v>
      </c>
      <c r="QTM370" s="649">
        <v>0.12</v>
      </c>
      <c r="QTN370" s="16"/>
      <c r="QTO370" s="320">
        <v>0.10100000000000001</v>
      </c>
      <c r="QTP370" s="153"/>
      <c r="QTQ370" s="153"/>
      <c r="QTR370" s="153"/>
      <c r="QTS370" s="648"/>
      <c r="QTT370" s="641"/>
      <c r="QTU370" s="631" t="s">
        <v>265</v>
      </c>
      <c r="QTV370" s="632"/>
      <c r="QTW370" s="16"/>
      <c r="QTX370" s="636">
        <v>0.13500000000000001</v>
      </c>
      <c r="QTY370" s="636">
        <v>0.12</v>
      </c>
      <c r="QTZ370" s="636">
        <v>0.13</v>
      </c>
      <c r="QUA370" s="636">
        <v>0.12</v>
      </c>
      <c r="QUB370" s="636">
        <v>0.12</v>
      </c>
      <c r="QUC370" s="649">
        <v>0.12</v>
      </c>
      <c r="QUD370" s="16"/>
      <c r="QUE370" s="320">
        <v>0.10100000000000001</v>
      </c>
      <c r="QUF370" s="153"/>
      <c r="QUG370" s="153"/>
      <c r="QUH370" s="153"/>
      <c r="QUI370" s="648"/>
      <c r="QUJ370" s="641"/>
      <c r="QUK370" s="631" t="s">
        <v>265</v>
      </c>
      <c r="QUL370" s="632"/>
      <c r="QUM370" s="16"/>
      <c r="QUN370" s="636">
        <v>0.13500000000000001</v>
      </c>
      <c r="QUO370" s="636">
        <v>0.12</v>
      </c>
      <c r="QUP370" s="636">
        <v>0.13</v>
      </c>
      <c r="QUQ370" s="636">
        <v>0.12</v>
      </c>
      <c r="QUR370" s="636">
        <v>0.12</v>
      </c>
      <c r="QUS370" s="649">
        <v>0.12</v>
      </c>
      <c r="QUT370" s="16"/>
      <c r="QUU370" s="320">
        <v>0.10100000000000001</v>
      </c>
      <c r="QUV370" s="153"/>
      <c r="QUW370" s="153"/>
      <c r="QUX370" s="153"/>
      <c r="QUY370" s="648"/>
      <c r="QUZ370" s="641"/>
      <c r="QVA370" s="631" t="s">
        <v>265</v>
      </c>
      <c r="QVB370" s="632"/>
      <c r="QVC370" s="16"/>
      <c r="QVD370" s="636">
        <v>0.13500000000000001</v>
      </c>
      <c r="QVE370" s="636">
        <v>0.12</v>
      </c>
      <c r="QVF370" s="636">
        <v>0.13</v>
      </c>
      <c r="QVG370" s="636">
        <v>0.12</v>
      </c>
      <c r="QVH370" s="636">
        <v>0.12</v>
      </c>
      <c r="QVI370" s="649">
        <v>0.12</v>
      </c>
      <c r="QVJ370" s="16"/>
      <c r="QVK370" s="320">
        <v>0.10100000000000001</v>
      </c>
      <c r="QVL370" s="153"/>
      <c r="QVM370" s="153"/>
      <c r="QVN370" s="153"/>
      <c r="QVO370" s="648"/>
      <c r="QVP370" s="641"/>
      <c r="QVQ370" s="631" t="s">
        <v>265</v>
      </c>
      <c r="QVR370" s="632"/>
      <c r="QVS370" s="16"/>
      <c r="QVT370" s="636">
        <v>0.13500000000000001</v>
      </c>
      <c r="QVU370" s="636">
        <v>0.12</v>
      </c>
      <c r="QVV370" s="636">
        <v>0.13</v>
      </c>
      <c r="QVW370" s="636">
        <v>0.12</v>
      </c>
      <c r="QVX370" s="636">
        <v>0.12</v>
      </c>
      <c r="QVY370" s="649">
        <v>0.12</v>
      </c>
      <c r="QVZ370" s="16"/>
      <c r="QWA370" s="320">
        <v>0.10100000000000001</v>
      </c>
      <c r="QWB370" s="153"/>
      <c r="QWC370" s="153"/>
      <c r="QWD370" s="153"/>
      <c r="QWE370" s="648"/>
      <c r="QWF370" s="641"/>
      <c r="QWG370" s="631" t="s">
        <v>265</v>
      </c>
      <c r="QWH370" s="632"/>
      <c r="QWI370" s="16"/>
      <c r="QWJ370" s="636">
        <v>0.13500000000000001</v>
      </c>
      <c r="QWK370" s="636">
        <v>0.12</v>
      </c>
      <c r="QWL370" s="636">
        <v>0.13</v>
      </c>
      <c r="QWM370" s="636">
        <v>0.12</v>
      </c>
      <c r="QWN370" s="636">
        <v>0.12</v>
      </c>
      <c r="QWO370" s="649">
        <v>0.12</v>
      </c>
      <c r="QWP370" s="16"/>
      <c r="QWQ370" s="320">
        <v>0.10100000000000001</v>
      </c>
      <c r="QWR370" s="153"/>
      <c r="QWS370" s="153"/>
      <c r="QWT370" s="153"/>
      <c r="QWU370" s="648"/>
      <c r="QWV370" s="641"/>
      <c r="QWW370" s="631" t="s">
        <v>265</v>
      </c>
      <c r="QWX370" s="632"/>
      <c r="QWY370" s="16"/>
      <c r="QWZ370" s="636">
        <v>0.13500000000000001</v>
      </c>
      <c r="QXA370" s="636">
        <v>0.12</v>
      </c>
      <c r="QXB370" s="636">
        <v>0.13</v>
      </c>
      <c r="QXC370" s="636">
        <v>0.12</v>
      </c>
      <c r="QXD370" s="636">
        <v>0.12</v>
      </c>
      <c r="QXE370" s="649">
        <v>0.12</v>
      </c>
      <c r="QXF370" s="16"/>
      <c r="QXG370" s="320">
        <v>0.10100000000000001</v>
      </c>
      <c r="QXH370" s="153"/>
      <c r="QXI370" s="153"/>
      <c r="QXJ370" s="153"/>
      <c r="QXK370" s="648"/>
      <c r="QXL370" s="641"/>
      <c r="QXM370" s="631" t="s">
        <v>265</v>
      </c>
      <c r="QXN370" s="632"/>
      <c r="QXO370" s="16"/>
      <c r="QXP370" s="636">
        <v>0.13500000000000001</v>
      </c>
      <c r="QXQ370" s="636">
        <v>0.12</v>
      </c>
      <c r="QXR370" s="636">
        <v>0.13</v>
      </c>
      <c r="QXS370" s="636">
        <v>0.12</v>
      </c>
      <c r="QXT370" s="636">
        <v>0.12</v>
      </c>
      <c r="QXU370" s="649">
        <v>0.12</v>
      </c>
      <c r="QXV370" s="16"/>
      <c r="QXW370" s="320">
        <v>0.10100000000000001</v>
      </c>
      <c r="QXX370" s="153"/>
      <c r="QXY370" s="153"/>
      <c r="QXZ370" s="153"/>
      <c r="QYA370" s="648"/>
      <c r="QYB370" s="641"/>
      <c r="QYC370" s="631" t="s">
        <v>265</v>
      </c>
      <c r="QYD370" s="632"/>
      <c r="QYE370" s="16"/>
      <c r="QYF370" s="636">
        <v>0.13500000000000001</v>
      </c>
      <c r="QYG370" s="636">
        <v>0.12</v>
      </c>
      <c r="QYH370" s="636">
        <v>0.13</v>
      </c>
      <c r="QYI370" s="636">
        <v>0.12</v>
      </c>
      <c r="QYJ370" s="636">
        <v>0.12</v>
      </c>
      <c r="QYK370" s="649">
        <v>0.12</v>
      </c>
      <c r="QYL370" s="16"/>
      <c r="QYM370" s="320">
        <v>0.10100000000000001</v>
      </c>
      <c r="QYN370" s="153"/>
      <c r="QYO370" s="153"/>
      <c r="QYP370" s="153"/>
      <c r="QYQ370" s="648"/>
      <c r="QYR370" s="641"/>
      <c r="QYS370" s="631" t="s">
        <v>265</v>
      </c>
      <c r="QYT370" s="632"/>
      <c r="QYU370" s="16"/>
      <c r="QYV370" s="636">
        <v>0.13500000000000001</v>
      </c>
      <c r="QYW370" s="636">
        <v>0.12</v>
      </c>
      <c r="QYX370" s="636">
        <v>0.13</v>
      </c>
      <c r="QYY370" s="636">
        <v>0.12</v>
      </c>
      <c r="QYZ370" s="636">
        <v>0.12</v>
      </c>
      <c r="QZA370" s="649">
        <v>0.12</v>
      </c>
      <c r="QZB370" s="16"/>
      <c r="QZC370" s="320">
        <v>0.10100000000000001</v>
      </c>
      <c r="QZD370" s="153"/>
      <c r="QZE370" s="153"/>
      <c r="QZF370" s="153"/>
      <c r="QZG370" s="648"/>
      <c r="QZH370" s="641"/>
      <c r="QZI370" s="631" t="s">
        <v>265</v>
      </c>
      <c r="QZJ370" s="632"/>
      <c r="QZK370" s="16"/>
      <c r="QZL370" s="636">
        <v>0.13500000000000001</v>
      </c>
      <c r="QZM370" s="636">
        <v>0.12</v>
      </c>
      <c r="QZN370" s="636">
        <v>0.13</v>
      </c>
      <c r="QZO370" s="636">
        <v>0.12</v>
      </c>
      <c r="QZP370" s="636">
        <v>0.12</v>
      </c>
      <c r="QZQ370" s="649">
        <v>0.12</v>
      </c>
      <c r="QZR370" s="16"/>
      <c r="QZS370" s="320">
        <v>0.10100000000000001</v>
      </c>
      <c r="QZT370" s="153"/>
      <c r="QZU370" s="153"/>
      <c r="QZV370" s="153"/>
      <c r="QZW370" s="648"/>
      <c r="QZX370" s="641"/>
      <c r="QZY370" s="631" t="s">
        <v>265</v>
      </c>
      <c r="QZZ370" s="632"/>
      <c r="RAA370" s="16"/>
      <c r="RAB370" s="636">
        <v>0.13500000000000001</v>
      </c>
      <c r="RAC370" s="636">
        <v>0.12</v>
      </c>
      <c r="RAD370" s="636">
        <v>0.13</v>
      </c>
      <c r="RAE370" s="636">
        <v>0.12</v>
      </c>
      <c r="RAF370" s="636">
        <v>0.12</v>
      </c>
      <c r="RAG370" s="649">
        <v>0.12</v>
      </c>
      <c r="RAH370" s="16"/>
      <c r="RAI370" s="320">
        <v>0.10100000000000001</v>
      </c>
      <c r="RAJ370" s="153"/>
      <c r="RAK370" s="153"/>
      <c r="RAL370" s="153"/>
      <c r="RAM370" s="648"/>
      <c r="RAN370" s="641"/>
      <c r="RAO370" s="631" t="s">
        <v>265</v>
      </c>
      <c r="RAP370" s="632"/>
      <c r="RAQ370" s="16"/>
      <c r="RAR370" s="636">
        <v>0.13500000000000001</v>
      </c>
      <c r="RAS370" s="636">
        <v>0.12</v>
      </c>
      <c r="RAT370" s="636">
        <v>0.13</v>
      </c>
      <c r="RAU370" s="636">
        <v>0.12</v>
      </c>
      <c r="RAV370" s="636">
        <v>0.12</v>
      </c>
      <c r="RAW370" s="649">
        <v>0.12</v>
      </c>
      <c r="RAX370" s="16"/>
      <c r="RAY370" s="320">
        <v>0.10100000000000001</v>
      </c>
      <c r="RAZ370" s="153"/>
      <c r="RBA370" s="153"/>
      <c r="RBB370" s="153"/>
      <c r="RBC370" s="648"/>
      <c r="RBD370" s="641"/>
      <c r="RBE370" s="631" t="s">
        <v>265</v>
      </c>
      <c r="RBF370" s="632"/>
      <c r="RBG370" s="16"/>
      <c r="RBH370" s="636">
        <v>0.13500000000000001</v>
      </c>
      <c r="RBI370" s="636">
        <v>0.12</v>
      </c>
      <c r="RBJ370" s="636">
        <v>0.13</v>
      </c>
      <c r="RBK370" s="636">
        <v>0.12</v>
      </c>
      <c r="RBL370" s="636">
        <v>0.12</v>
      </c>
      <c r="RBM370" s="649">
        <v>0.12</v>
      </c>
      <c r="RBN370" s="16"/>
      <c r="RBO370" s="320">
        <v>0.10100000000000001</v>
      </c>
      <c r="RBP370" s="153"/>
      <c r="RBQ370" s="153"/>
      <c r="RBR370" s="153"/>
      <c r="RBS370" s="648"/>
      <c r="RBT370" s="641"/>
      <c r="RBU370" s="631" t="s">
        <v>265</v>
      </c>
      <c r="RBV370" s="632"/>
      <c r="RBW370" s="16"/>
      <c r="RBX370" s="636">
        <v>0.13500000000000001</v>
      </c>
      <c r="RBY370" s="636">
        <v>0.12</v>
      </c>
      <c r="RBZ370" s="636">
        <v>0.13</v>
      </c>
      <c r="RCA370" s="636">
        <v>0.12</v>
      </c>
      <c r="RCB370" s="636">
        <v>0.12</v>
      </c>
      <c r="RCC370" s="649">
        <v>0.12</v>
      </c>
      <c r="RCD370" s="16"/>
      <c r="RCE370" s="320">
        <v>0.10100000000000001</v>
      </c>
      <c r="RCF370" s="153"/>
      <c r="RCG370" s="153"/>
      <c r="RCH370" s="153"/>
      <c r="RCI370" s="648"/>
      <c r="RCJ370" s="641"/>
      <c r="RCK370" s="631" t="s">
        <v>265</v>
      </c>
      <c r="RCL370" s="632"/>
      <c r="RCM370" s="16"/>
      <c r="RCN370" s="636">
        <v>0.13500000000000001</v>
      </c>
      <c r="RCO370" s="636">
        <v>0.12</v>
      </c>
      <c r="RCP370" s="636">
        <v>0.13</v>
      </c>
      <c r="RCQ370" s="636">
        <v>0.12</v>
      </c>
      <c r="RCR370" s="636">
        <v>0.12</v>
      </c>
      <c r="RCS370" s="649">
        <v>0.12</v>
      </c>
      <c r="RCT370" s="16"/>
      <c r="RCU370" s="320">
        <v>0.10100000000000001</v>
      </c>
      <c r="RCV370" s="153"/>
      <c r="RCW370" s="153"/>
      <c r="RCX370" s="153"/>
      <c r="RCY370" s="648"/>
      <c r="RCZ370" s="641"/>
      <c r="RDA370" s="631" t="s">
        <v>265</v>
      </c>
      <c r="RDB370" s="632"/>
      <c r="RDC370" s="16"/>
      <c r="RDD370" s="636">
        <v>0.13500000000000001</v>
      </c>
      <c r="RDE370" s="636">
        <v>0.12</v>
      </c>
      <c r="RDF370" s="636">
        <v>0.13</v>
      </c>
      <c r="RDG370" s="636">
        <v>0.12</v>
      </c>
      <c r="RDH370" s="636">
        <v>0.12</v>
      </c>
      <c r="RDI370" s="649">
        <v>0.12</v>
      </c>
      <c r="RDJ370" s="16"/>
      <c r="RDK370" s="320">
        <v>0.10100000000000001</v>
      </c>
      <c r="RDL370" s="153"/>
      <c r="RDM370" s="153"/>
      <c r="RDN370" s="153"/>
      <c r="RDO370" s="648"/>
      <c r="RDP370" s="641"/>
      <c r="RDQ370" s="631" t="s">
        <v>265</v>
      </c>
      <c r="RDR370" s="632"/>
      <c r="RDS370" s="16"/>
      <c r="RDT370" s="636">
        <v>0.13500000000000001</v>
      </c>
      <c r="RDU370" s="636">
        <v>0.12</v>
      </c>
      <c r="RDV370" s="636">
        <v>0.13</v>
      </c>
      <c r="RDW370" s="636">
        <v>0.12</v>
      </c>
      <c r="RDX370" s="636">
        <v>0.12</v>
      </c>
      <c r="RDY370" s="649">
        <v>0.12</v>
      </c>
      <c r="RDZ370" s="16"/>
      <c r="REA370" s="320">
        <v>0.10100000000000001</v>
      </c>
      <c r="REB370" s="153"/>
      <c r="REC370" s="153"/>
      <c r="RED370" s="153"/>
      <c r="REE370" s="648"/>
      <c r="REF370" s="641"/>
      <c r="REG370" s="631" t="s">
        <v>265</v>
      </c>
      <c r="REH370" s="632"/>
      <c r="REI370" s="16"/>
      <c r="REJ370" s="636">
        <v>0.13500000000000001</v>
      </c>
      <c r="REK370" s="636">
        <v>0.12</v>
      </c>
      <c r="REL370" s="636">
        <v>0.13</v>
      </c>
      <c r="REM370" s="636">
        <v>0.12</v>
      </c>
      <c r="REN370" s="636">
        <v>0.12</v>
      </c>
      <c r="REO370" s="649">
        <v>0.12</v>
      </c>
      <c r="REP370" s="16"/>
      <c r="REQ370" s="320">
        <v>0.10100000000000001</v>
      </c>
      <c r="RER370" s="153"/>
      <c r="RES370" s="153"/>
      <c r="RET370" s="153"/>
      <c r="REU370" s="648"/>
      <c r="REV370" s="641"/>
      <c r="REW370" s="631" t="s">
        <v>265</v>
      </c>
      <c r="REX370" s="632"/>
      <c r="REY370" s="16"/>
      <c r="REZ370" s="636">
        <v>0.13500000000000001</v>
      </c>
      <c r="RFA370" s="636">
        <v>0.12</v>
      </c>
      <c r="RFB370" s="636">
        <v>0.13</v>
      </c>
      <c r="RFC370" s="636">
        <v>0.12</v>
      </c>
      <c r="RFD370" s="636">
        <v>0.12</v>
      </c>
      <c r="RFE370" s="649">
        <v>0.12</v>
      </c>
      <c r="RFF370" s="16"/>
      <c r="RFG370" s="320">
        <v>0.10100000000000001</v>
      </c>
      <c r="RFH370" s="153"/>
      <c r="RFI370" s="153"/>
      <c r="RFJ370" s="153"/>
      <c r="RFK370" s="648"/>
      <c r="RFL370" s="641"/>
      <c r="RFM370" s="631" t="s">
        <v>265</v>
      </c>
      <c r="RFN370" s="632"/>
      <c r="RFO370" s="16"/>
      <c r="RFP370" s="636">
        <v>0.13500000000000001</v>
      </c>
      <c r="RFQ370" s="636">
        <v>0.12</v>
      </c>
      <c r="RFR370" s="636">
        <v>0.13</v>
      </c>
      <c r="RFS370" s="636">
        <v>0.12</v>
      </c>
      <c r="RFT370" s="636">
        <v>0.12</v>
      </c>
      <c r="RFU370" s="649">
        <v>0.12</v>
      </c>
      <c r="RFV370" s="16"/>
      <c r="RFW370" s="320">
        <v>0.10100000000000001</v>
      </c>
      <c r="RFX370" s="153"/>
      <c r="RFY370" s="153"/>
      <c r="RFZ370" s="153"/>
      <c r="RGA370" s="648"/>
      <c r="RGB370" s="641"/>
      <c r="RGC370" s="631" t="s">
        <v>265</v>
      </c>
      <c r="RGD370" s="632"/>
      <c r="RGE370" s="16"/>
      <c r="RGF370" s="636">
        <v>0.13500000000000001</v>
      </c>
      <c r="RGG370" s="636">
        <v>0.12</v>
      </c>
      <c r="RGH370" s="636">
        <v>0.13</v>
      </c>
      <c r="RGI370" s="636">
        <v>0.12</v>
      </c>
      <c r="RGJ370" s="636">
        <v>0.12</v>
      </c>
      <c r="RGK370" s="649">
        <v>0.12</v>
      </c>
      <c r="RGL370" s="16"/>
      <c r="RGM370" s="320">
        <v>0.10100000000000001</v>
      </c>
      <c r="RGN370" s="153"/>
      <c r="RGO370" s="153"/>
      <c r="RGP370" s="153"/>
      <c r="RGQ370" s="648"/>
      <c r="RGR370" s="641"/>
      <c r="RGS370" s="631" t="s">
        <v>265</v>
      </c>
      <c r="RGT370" s="632"/>
      <c r="RGU370" s="16"/>
      <c r="RGV370" s="636">
        <v>0.13500000000000001</v>
      </c>
      <c r="RGW370" s="636">
        <v>0.12</v>
      </c>
      <c r="RGX370" s="636">
        <v>0.13</v>
      </c>
      <c r="RGY370" s="636">
        <v>0.12</v>
      </c>
      <c r="RGZ370" s="636">
        <v>0.12</v>
      </c>
      <c r="RHA370" s="649">
        <v>0.12</v>
      </c>
      <c r="RHB370" s="16"/>
      <c r="RHC370" s="320">
        <v>0.10100000000000001</v>
      </c>
      <c r="RHD370" s="153"/>
      <c r="RHE370" s="153"/>
      <c r="RHF370" s="153"/>
      <c r="RHG370" s="648"/>
      <c r="RHH370" s="641"/>
      <c r="RHI370" s="631" t="s">
        <v>265</v>
      </c>
      <c r="RHJ370" s="632"/>
      <c r="RHK370" s="16"/>
      <c r="RHL370" s="636">
        <v>0.13500000000000001</v>
      </c>
      <c r="RHM370" s="636">
        <v>0.12</v>
      </c>
      <c r="RHN370" s="636">
        <v>0.13</v>
      </c>
      <c r="RHO370" s="636">
        <v>0.12</v>
      </c>
      <c r="RHP370" s="636">
        <v>0.12</v>
      </c>
      <c r="RHQ370" s="649">
        <v>0.12</v>
      </c>
      <c r="RHR370" s="16"/>
      <c r="RHS370" s="320">
        <v>0.10100000000000001</v>
      </c>
      <c r="RHT370" s="153"/>
      <c r="RHU370" s="153"/>
      <c r="RHV370" s="153"/>
      <c r="RHW370" s="648"/>
      <c r="RHX370" s="641"/>
      <c r="RHY370" s="631" t="s">
        <v>265</v>
      </c>
      <c r="RHZ370" s="632"/>
      <c r="RIA370" s="16"/>
      <c r="RIB370" s="636">
        <v>0.13500000000000001</v>
      </c>
      <c r="RIC370" s="636">
        <v>0.12</v>
      </c>
      <c r="RID370" s="636">
        <v>0.13</v>
      </c>
      <c r="RIE370" s="636">
        <v>0.12</v>
      </c>
      <c r="RIF370" s="636">
        <v>0.12</v>
      </c>
      <c r="RIG370" s="649">
        <v>0.12</v>
      </c>
      <c r="RIH370" s="16"/>
      <c r="RII370" s="320">
        <v>0.10100000000000001</v>
      </c>
      <c r="RIJ370" s="153"/>
      <c r="RIK370" s="153"/>
      <c r="RIL370" s="153"/>
      <c r="RIM370" s="648"/>
      <c r="RIN370" s="641"/>
      <c r="RIO370" s="631" t="s">
        <v>265</v>
      </c>
      <c r="RIP370" s="632"/>
      <c r="RIQ370" s="16"/>
      <c r="RIR370" s="636">
        <v>0.13500000000000001</v>
      </c>
      <c r="RIS370" s="636">
        <v>0.12</v>
      </c>
      <c r="RIT370" s="636">
        <v>0.13</v>
      </c>
      <c r="RIU370" s="636">
        <v>0.12</v>
      </c>
      <c r="RIV370" s="636">
        <v>0.12</v>
      </c>
      <c r="RIW370" s="649">
        <v>0.12</v>
      </c>
      <c r="RIX370" s="16"/>
      <c r="RIY370" s="320">
        <v>0.10100000000000001</v>
      </c>
      <c r="RIZ370" s="153"/>
      <c r="RJA370" s="153"/>
      <c r="RJB370" s="153"/>
      <c r="RJC370" s="648"/>
      <c r="RJD370" s="641"/>
      <c r="RJE370" s="631" t="s">
        <v>265</v>
      </c>
      <c r="RJF370" s="632"/>
      <c r="RJG370" s="16"/>
      <c r="RJH370" s="636">
        <v>0.13500000000000001</v>
      </c>
      <c r="RJI370" s="636">
        <v>0.12</v>
      </c>
      <c r="RJJ370" s="636">
        <v>0.13</v>
      </c>
      <c r="RJK370" s="636">
        <v>0.12</v>
      </c>
      <c r="RJL370" s="636">
        <v>0.12</v>
      </c>
      <c r="RJM370" s="649">
        <v>0.12</v>
      </c>
      <c r="RJN370" s="16"/>
      <c r="RJO370" s="320">
        <v>0.10100000000000001</v>
      </c>
      <c r="RJP370" s="153"/>
      <c r="RJQ370" s="153"/>
      <c r="RJR370" s="153"/>
      <c r="RJS370" s="648"/>
      <c r="RJT370" s="641"/>
      <c r="RJU370" s="631" t="s">
        <v>265</v>
      </c>
      <c r="RJV370" s="632"/>
      <c r="RJW370" s="16"/>
      <c r="RJX370" s="636">
        <v>0.13500000000000001</v>
      </c>
      <c r="RJY370" s="636">
        <v>0.12</v>
      </c>
      <c r="RJZ370" s="636">
        <v>0.13</v>
      </c>
      <c r="RKA370" s="636">
        <v>0.12</v>
      </c>
      <c r="RKB370" s="636">
        <v>0.12</v>
      </c>
      <c r="RKC370" s="649">
        <v>0.12</v>
      </c>
      <c r="RKD370" s="16"/>
      <c r="RKE370" s="320">
        <v>0.10100000000000001</v>
      </c>
      <c r="RKF370" s="153"/>
      <c r="RKG370" s="153"/>
      <c r="RKH370" s="153"/>
      <c r="RKI370" s="648"/>
      <c r="RKJ370" s="641"/>
      <c r="RKK370" s="631" t="s">
        <v>265</v>
      </c>
      <c r="RKL370" s="632"/>
      <c r="RKM370" s="16"/>
      <c r="RKN370" s="636">
        <v>0.13500000000000001</v>
      </c>
      <c r="RKO370" s="636">
        <v>0.12</v>
      </c>
      <c r="RKP370" s="636">
        <v>0.13</v>
      </c>
      <c r="RKQ370" s="636">
        <v>0.12</v>
      </c>
      <c r="RKR370" s="636">
        <v>0.12</v>
      </c>
      <c r="RKS370" s="649">
        <v>0.12</v>
      </c>
      <c r="RKT370" s="16"/>
      <c r="RKU370" s="320">
        <v>0.10100000000000001</v>
      </c>
      <c r="RKV370" s="153"/>
      <c r="RKW370" s="153"/>
      <c r="RKX370" s="153"/>
      <c r="RKY370" s="648"/>
      <c r="RKZ370" s="641"/>
      <c r="RLA370" s="631" t="s">
        <v>265</v>
      </c>
      <c r="RLB370" s="632"/>
      <c r="RLC370" s="16"/>
      <c r="RLD370" s="636">
        <v>0.13500000000000001</v>
      </c>
      <c r="RLE370" s="636">
        <v>0.12</v>
      </c>
      <c r="RLF370" s="636">
        <v>0.13</v>
      </c>
      <c r="RLG370" s="636">
        <v>0.12</v>
      </c>
      <c r="RLH370" s="636">
        <v>0.12</v>
      </c>
      <c r="RLI370" s="649">
        <v>0.12</v>
      </c>
      <c r="RLJ370" s="16"/>
      <c r="RLK370" s="320">
        <v>0.10100000000000001</v>
      </c>
      <c r="RLL370" s="153"/>
      <c r="RLM370" s="153"/>
      <c r="RLN370" s="153"/>
      <c r="RLO370" s="648"/>
      <c r="RLP370" s="641"/>
      <c r="RLQ370" s="631" t="s">
        <v>265</v>
      </c>
      <c r="RLR370" s="632"/>
      <c r="RLS370" s="16"/>
      <c r="RLT370" s="636">
        <v>0.13500000000000001</v>
      </c>
      <c r="RLU370" s="636">
        <v>0.12</v>
      </c>
      <c r="RLV370" s="636">
        <v>0.13</v>
      </c>
      <c r="RLW370" s="636">
        <v>0.12</v>
      </c>
      <c r="RLX370" s="636">
        <v>0.12</v>
      </c>
      <c r="RLY370" s="649">
        <v>0.12</v>
      </c>
      <c r="RLZ370" s="16"/>
      <c r="RMA370" s="320">
        <v>0.10100000000000001</v>
      </c>
      <c r="RMB370" s="153"/>
      <c r="RMC370" s="153"/>
      <c r="RMD370" s="153"/>
      <c r="RME370" s="648"/>
      <c r="RMF370" s="641"/>
      <c r="RMG370" s="631" t="s">
        <v>265</v>
      </c>
      <c r="RMH370" s="632"/>
      <c r="RMI370" s="16"/>
      <c r="RMJ370" s="636">
        <v>0.13500000000000001</v>
      </c>
      <c r="RMK370" s="636">
        <v>0.12</v>
      </c>
      <c r="RML370" s="636">
        <v>0.13</v>
      </c>
      <c r="RMM370" s="636">
        <v>0.12</v>
      </c>
      <c r="RMN370" s="636">
        <v>0.12</v>
      </c>
      <c r="RMO370" s="649">
        <v>0.12</v>
      </c>
      <c r="RMP370" s="16"/>
      <c r="RMQ370" s="320">
        <v>0.10100000000000001</v>
      </c>
      <c r="RMR370" s="153"/>
      <c r="RMS370" s="153"/>
      <c r="RMT370" s="153"/>
      <c r="RMU370" s="648"/>
      <c r="RMV370" s="641"/>
      <c r="RMW370" s="631" t="s">
        <v>265</v>
      </c>
      <c r="RMX370" s="632"/>
      <c r="RMY370" s="16"/>
      <c r="RMZ370" s="636">
        <v>0.13500000000000001</v>
      </c>
      <c r="RNA370" s="636">
        <v>0.12</v>
      </c>
      <c r="RNB370" s="636">
        <v>0.13</v>
      </c>
      <c r="RNC370" s="636">
        <v>0.12</v>
      </c>
      <c r="RND370" s="636">
        <v>0.12</v>
      </c>
      <c r="RNE370" s="649">
        <v>0.12</v>
      </c>
      <c r="RNF370" s="16"/>
      <c r="RNG370" s="320">
        <v>0.10100000000000001</v>
      </c>
      <c r="RNH370" s="153"/>
      <c r="RNI370" s="153"/>
      <c r="RNJ370" s="153"/>
      <c r="RNK370" s="648"/>
      <c r="RNL370" s="641"/>
      <c r="RNM370" s="631" t="s">
        <v>265</v>
      </c>
      <c r="RNN370" s="632"/>
      <c r="RNO370" s="16"/>
      <c r="RNP370" s="636">
        <v>0.13500000000000001</v>
      </c>
      <c r="RNQ370" s="636">
        <v>0.12</v>
      </c>
      <c r="RNR370" s="636">
        <v>0.13</v>
      </c>
      <c r="RNS370" s="636">
        <v>0.12</v>
      </c>
      <c r="RNT370" s="636">
        <v>0.12</v>
      </c>
      <c r="RNU370" s="649">
        <v>0.12</v>
      </c>
      <c r="RNV370" s="16"/>
      <c r="RNW370" s="320">
        <v>0.10100000000000001</v>
      </c>
      <c r="RNX370" s="153"/>
      <c r="RNY370" s="153"/>
      <c r="RNZ370" s="153"/>
      <c r="ROA370" s="648"/>
      <c r="ROB370" s="641"/>
      <c r="ROC370" s="631" t="s">
        <v>265</v>
      </c>
      <c r="ROD370" s="632"/>
      <c r="ROE370" s="16"/>
      <c r="ROF370" s="636">
        <v>0.13500000000000001</v>
      </c>
      <c r="ROG370" s="636">
        <v>0.12</v>
      </c>
      <c r="ROH370" s="636">
        <v>0.13</v>
      </c>
      <c r="ROI370" s="636">
        <v>0.12</v>
      </c>
      <c r="ROJ370" s="636">
        <v>0.12</v>
      </c>
      <c r="ROK370" s="649">
        <v>0.12</v>
      </c>
      <c r="ROL370" s="16"/>
      <c r="ROM370" s="320">
        <v>0.10100000000000001</v>
      </c>
      <c r="RON370" s="153"/>
      <c r="ROO370" s="153"/>
      <c r="ROP370" s="153"/>
      <c r="ROQ370" s="648"/>
      <c r="ROR370" s="641"/>
      <c r="ROS370" s="631" t="s">
        <v>265</v>
      </c>
      <c r="ROT370" s="632"/>
      <c r="ROU370" s="16"/>
      <c r="ROV370" s="636">
        <v>0.13500000000000001</v>
      </c>
      <c r="ROW370" s="636">
        <v>0.12</v>
      </c>
      <c r="ROX370" s="636">
        <v>0.13</v>
      </c>
      <c r="ROY370" s="636">
        <v>0.12</v>
      </c>
      <c r="ROZ370" s="636">
        <v>0.12</v>
      </c>
      <c r="RPA370" s="649">
        <v>0.12</v>
      </c>
      <c r="RPB370" s="16"/>
      <c r="RPC370" s="320">
        <v>0.10100000000000001</v>
      </c>
      <c r="RPD370" s="153"/>
      <c r="RPE370" s="153"/>
      <c r="RPF370" s="153"/>
      <c r="RPG370" s="648"/>
      <c r="RPH370" s="641"/>
      <c r="RPI370" s="631" t="s">
        <v>265</v>
      </c>
      <c r="RPJ370" s="632"/>
      <c r="RPK370" s="16"/>
      <c r="RPL370" s="636">
        <v>0.13500000000000001</v>
      </c>
      <c r="RPM370" s="636">
        <v>0.12</v>
      </c>
      <c r="RPN370" s="636">
        <v>0.13</v>
      </c>
      <c r="RPO370" s="636">
        <v>0.12</v>
      </c>
      <c r="RPP370" s="636">
        <v>0.12</v>
      </c>
      <c r="RPQ370" s="649">
        <v>0.12</v>
      </c>
      <c r="RPR370" s="16"/>
      <c r="RPS370" s="320">
        <v>0.10100000000000001</v>
      </c>
      <c r="RPT370" s="153"/>
      <c r="RPU370" s="153"/>
      <c r="RPV370" s="153"/>
      <c r="RPW370" s="648"/>
      <c r="RPX370" s="641"/>
      <c r="RPY370" s="631" t="s">
        <v>265</v>
      </c>
      <c r="RPZ370" s="632"/>
      <c r="RQA370" s="16"/>
      <c r="RQB370" s="636">
        <v>0.13500000000000001</v>
      </c>
      <c r="RQC370" s="636">
        <v>0.12</v>
      </c>
      <c r="RQD370" s="636">
        <v>0.13</v>
      </c>
      <c r="RQE370" s="636">
        <v>0.12</v>
      </c>
      <c r="RQF370" s="636">
        <v>0.12</v>
      </c>
      <c r="RQG370" s="649">
        <v>0.12</v>
      </c>
      <c r="RQH370" s="16"/>
      <c r="RQI370" s="320">
        <v>0.10100000000000001</v>
      </c>
      <c r="RQJ370" s="153"/>
      <c r="RQK370" s="153"/>
      <c r="RQL370" s="153"/>
      <c r="RQM370" s="648"/>
      <c r="RQN370" s="641"/>
      <c r="RQO370" s="631" t="s">
        <v>265</v>
      </c>
      <c r="RQP370" s="632"/>
      <c r="RQQ370" s="16"/>
      <c r="RQR370" s="636">
        <v>0.13500000000000001</v>
      </c>
      <c r="RQS370" s="636">
        <v>0.12</v>
      </c>
      <c r="RQT370" s="636">
        <v>0.13</v>
      </c>
      <c r="RQU370" s="636">
        <v>0.12</v>
      </c>
      <c r="RQV370" s="636">
        <v>0.12</v>
      </c>
      <c r="RQW370" s="649">
        <v>0.12</v>
      </c>
      <c r="RQX370" s="16"/>
      <c r="RQY370" s="320">
        <v>0.10100000000000001</v>
      </c>
      <c r="RQZ370" s="153"/>
      <c r="RRA370" s="153"/>
      <c r="RRB370" s="153"/>
      <c r="RRC370" s="648"/>
      <c r="RRD370" s="641"/>
      <c r="RRE370" s="631" t="s">
        <v>265</v>
      </c>
      <c r="RRF370" s="632"/>
      <c r="RRG370" s="16"/>
      <c r="RRH370" s="636">
        <v>0.13500000000000001</v>
      </c>
      <c r="RRI370" s="636">
        <v>0.12</v>
      </c>
      <c r="RRJ370" s="636">
        <v>0.13</v>
      </c>
      <c r="RRK370" s="636">
        <v>0.12</v>
      </c>
      <c r="RRL370" s="636">
        <v>0.12</v>
      </c>
      <c r="RRM370" s="649">
        <v>0.12</v>
      </c>
      <c r="RRN370" s="16"/>
      <c r="RRO370" s="320">
        <v>0.10100000000000001</v>
      </c>
      <c r="RRP370" s="153"/>
      <c r="RRQ370" s="153"/>
      <c r="RRR370" s="153"/>
      <c r="RRS370" s="648"/>
      <c r="RRT370" s="641"/>
      <c r="RRU370" s="631" t="s">
        <v>265</v>
      </c>
      <c r="RRV370" s="632"/>
      <c r="RRW370" s="16"/>
      <c r="RRX370" s="636">
        <v>0.13500000000000001</v>
      </c>
      <c r="RRY370" s="636">
        <v>0.12</v>
      </c>
      <c r="RRZ370" s="636">
        <v>0.13</v>
      </c>
      <c r="RSA370" s="636">
        <v>0.12</v>
      </c>
      <c r="RSB370" s="636">
        <v>0.12</v>
      </c>
      <c r="RSC370" s="649">
        <v>0.12</v>
      </c>
      <c r="RSD370" s="16"/>
      <c r="RSE370" s="320">
        <v>0.10100000000000001</v>
      </c>
      <c r="RSF370" s="153"/>
      <c r="RSG370" s="153"/>
      <c r="RSH370" s="153"/>
      <c r="RSI370" s="648"/>
      <c r="RSJ370" s="641"/>
      <c r="RSK370" s="631" t="s">
        <v>265</v>
      </c>
      <c r="RSL370" s="632"/>
      <c r="RSM370" s="16"/>
      <c r="RSN370" s="636">
        <v>0.13500000000000001</v>
      </c>
      <c r="RSO370" s="636">
        <v>0.12</v>
      </c>
      <c r="RSP370" s="636">
        <v>0.13</v>
      </c>
      <c r="RSQ370" s="636">
        <v>0.12</v>
      </c>
      <c r="RSR370" s="636">
        <v>0.12</v>
      </c>
      <c r="RSS370" s="649">
        <v>0.12</v>
      </c>
      <c r="RST370" s="16"/>
      <c r="RSU370" s="320">
        <v>0.10100000000000001</v>
      </c>
      <c r="RSV370" s="153"/>
      <c r="RSW370" s="153"/>
      <c r="RSX370" s="153"/>
      <c r="RSY370" s="648"/>
      <c r="RSZ370" s="641"/>
      <c r="RTA370" s="631" t="s">
        <v>265</v>
      </c>
      <c r="RTB370" s="632"/>
      <c r="RTC370" s="16"/>
      <c r="RTD370" s="636">
        <v>0.13500000000000001</v>
      </c>
      <c r="RTE370" s="636">
        <v>0.12</v>
      </c>
      <c r="RTF370" s="636">
        <v>0.13</v>
      </c>
      <c r="RTG370" s="636">
        <v>0.12</v>
      </c>
      <c r="RTH370" s="636">
        <v>0.12</v>
      </c>
      <c r="RTI370" s="649">
        <v>0.12</v>
      </c>
      <c r="RTJ370" s="16"/>
      <c r="RTK370" s="320">
        <v>0.10100000000000001</v>
      </c>
      <c r="RTL370" s="153"/>
      <c r="RTM370" s="153"/>
      <c r="RTN370" s="153"/>
      <c r="RTO370" s="648"/>
      <c r="RTP370" s="641"/>
      <c r="RTQ370" s="631" t="s">
        <v>265</v>
      </c>
      <c r="RTR370" s="632"/>
      <c r="RTS370" s="16"/>
      <c r="RTT370" s="636">
        <v>0.13500000000000001</v>
      </c>
      <c r="RTU370" s="636">
        <v>0.12</v>
      </c>
      <c r="RTV370" s="636">
        <v>0.13</v>
      </c>
      <c r="RTW370" s="636">
        <v>0.12</v>
      </c>
      <c r="RTX370" s="636">
        <v>0.12</v>
      </c>
      <c r="RTY370" s="649">
        <v>0.12</v>
      </c>
      <c r="RTZ370" s="16"/>
      <c r="RUA370" s="320">
        <v>0.10100000000000001</v>
      </c>
      <c r="RUB370" s="153"/>
      <c r="RUC370" s="153"/>
      <c r="RUD370" s="153"/>
      <c r="RUE370" s="648"/>
      <c r="RUF370" s="641"/>
      <c r="RUG370" s="631" t="s">
        <v>265</v>
      </c>
      <c r="RUH370" s="632"/>
      <c r="RUI370" s="16"/>
      <c r="RUJ370" s="636">
        <v>0.13500000000000001</v>
      </c>
      <c r="RUK370" s="636">
        <v>0.12</v>
      </c>
      <c r="RUL370" s="636">
        <v>0.13</v>
      </c>
      <c r="RUM370" s="636">
        <v>0.12</v>
      </c>
      <c r="RUN370" s="636">
        <v>0.12</v>
      </c>
      <c r="RUO370" s="649">
        <v>0.12</v>
      </c>
      <c r="RUP370" s="16"/>
      <c r="RUQ370" s="320">
        <v>0.10100000000000001</v>
      </c>
      <c r="RUR370" s="153"/>
      <c r="RUS370" s="153"/>
      <c r="RUT370" s="153"/>
      <c r="RUU370" s="648"/>
      <c r="RUV370" s="641"/>
      <c r="RUW370" s="631" t="s">
        <v>265</v>
      </c>
      <c r="RUX370" s="632"/>
      <c r="RUY370" s="16"/>
      <c r="RUZ370" s="636">
        <v>0.13500000000000001</v>
      </c>
      <c r="RVA370" s="636">
        <v>0.12</v>
      </c>
      <c r="RVB370" s="636">
        <v>0.13</v>
      </c>
      <c r="RVC370" s="636">
        <v>0.12</v>
      </c>
      <c r="RVD370" s="636">
        <v>0.12</v>
      </c>
      <c r="RVE370" s="649">
        <v>0.12</v>
      </c>
      <c r="RVF370" s="16"/>
      <c r="RVG370" s="320">
        <v>0.10100000000000001</v>
      </c>
      <c r="RVH370" s="153"/>
      <c r="RVI370" s="153"/>
      <c r="RVJ370" s="153"/>
      <c r="RVK370" s="648"/>
      <c r="RVL370" s="641"/>
      <c r="RVM370" s="631" t="s">
        <v>265</v>
      </c>
      <c r="RVN370" s="632"/>
      <c r="RVO370" s="16"/>
      <c r="RVP370" s="636">
        <v>0.13500000000000001</v>
      </c>
      <c r="RVQ370" s="636">
        <v>0.12</v>
      </c>
      <c r="RVR370" s="636">
        <v>0.13</v>
      </c>
      <c r="RVS370" s="636">
        <v>0.12</v>
      </c>
      <c r="RVT370" s="636">
        <v>0.12</v>
      </c>
      <c r="RVU370" s="649">
        <v>0.12</v>
      </c>
      <c r="RVV370" s="16"/>
      <c r="RVW370" s="320">
        <v>0.10100000000000001</v>
      </c>
      <c r="RVX370" s="153"/>
      <c r="RVY370" s="153"/>
      <c r="RVZ370" s="153"/>
      <c r="RWA370" s="648"/>
      <c r="RWB370" s="641"/>
      <c r="RWC370" s="631" t="s">
        <v>265</v>
      </c>
      <c r="RWD370" s="632"/>
      <c r="RWE370" s="16"/>
      <c r="RWF370" s="636">
        <v>0.13500000000000001</v>
      </c>
      <c r="RWG370" s="636">
        <v>0.12</v>
      </c>
      <c r="RWH370" s="636">
        <v>0.13</v>
      </c>
      <c r="RWI370" s="636">
        <v>0.12</v>
      </c>
      <c r="RWJ370" s="636">
        <v>0.12</v>
      </c>
      <c r="RWK370" s="649">
        <v>0.12</v>
      </c>
      <c r="RWL370" s="16"/>
      <c r="RWM370" s="320">
        <v>0.10100000000000001</v>
      </c>
      <c r="RWN370" s="153"/>
      <c r="RWO370" s="153"/>
      <c r="RWP370" s="153"/>
      <c r="RWQ370" s="648"/>
      <c r="RWR370" s="641"/>
      <c r="RWS370" s="631" t="s">
        <v>265</v>
      </c>
      <c r="RWT370" s="632"/>
      <c r="RWU370" s="16"/>
      <c r="RWV370" s="636">
        <v>0.13500000000000001</v>
      </c>
      <c r="RWW370" s="636">
        <v>0.12</v>
      </c>
      <c r="RWX370" s="636">
        <v>0.13</v>
      </c>
      <c r="RWY370" s="636">
        <v>0.12</v>
      </c>
      <c r="RWZ370" s="636">
        <v>0.12</v>
      </c>
      <c r="RXA370" s="649">
        <v>0.12</v>
      </c>
      <c r="RXB370" s="16"/>
      <c r="RXC370" s="320">
        <v>0.10100000000000001</v>
      </c>
      <c r="RXD370" s="153"/>
      <c r="RXE370" s="153"/>
      <c r="RXF370" s="153"/>
      <c r="RXG370" s="648"/>
      <c r="RXH370" s="641"/>
      <c r="RXI370" s="631" t="s">
        <v>265</v>
      </c>
      <c r="RXJ370" s="632"/>
      <c r="RXK370" s="16"/>
      <c r="RXL370" s="636">
        <v>0.13500000000000001</v>
      </c>
      <c r="RXM370" s="636">
        <v>0.12</v>
      </c>
      <c r="RXN370" s="636">
        <v>0.13</v>
      </c>
      <c r="RXO370" s="636">
        <v>0.12</v>
      </c>
      <c r="RXP370" s="636">
        <v>0.12</v>
      </c>
      <c r="RXQ370" s="649">
        <v>0.12</v>
      </c>
      <c r="RXR370" s="16"/>
      <c r="RXS370" s="320">
        <v>0.10100000000000001</v>
      </c>
      <c r="RXT370" s="153"/>
      <c r="RXU370" s="153"/>
      <c r="RXV370" s="153"/>
      <c r="RXW370" s="648"/>
      <c r="RXX370" s="641"/>
      <c r="RXY370" s="631" t="s">
        <v>265</v>
      </c>
      <c r="RXZ370" s="632"/>
      <c r="RYA370" s="16"/>
      <c r="RYB370" s="636">
        <v>0.13500000000000001</v>
      </c>
      <c r="RYC370" s="636">
        <v>0.12</v>
      </c>
      <c r="RYD370" s="636">
        <v>0.13</v>
      </c>
      <c r="RYE370" s="636">
        <v>0.12</v>
      </c>
      <c r="RYF370" s="636">
        <v>0.12</v>
      </c>
      <c r="RYG370" s="649">
        <v>0.12</v>
      </c>
      <c r="RYH370" s="16"/>
      <c r="RYI370" s="320">
        <v>0.10100000000000001</v>
      </c>
      <c r="RYJ370" s="153"/>
      <c r="RYK370" s="153"/>
      <c r="RYL370" s="153"/>
      <c r="RYM370" s="648"/>
      <c r="RYN370" s="641"/>
      <c r="RYO370" s="631" t="s">
        <v>265</v>
      </c>
      <c r="RYP370" s="632"/>
      <c r="RYQ370" s="16"/>
      <c r="RYR370" s="636">
        <v>0.13500000000000001</v>
      </c>
      <c r="RYS370" s="636">
        <v>0.12</v>
      </c>
      <c r="RYT370" s="636">
        <v>0.13</v>
      </c>
      <c r="RYU370" s="636">
        <v>0.12</v>
      </c>
      <c r="RYV370" s="636">
        <v>0.12</v>
      </c>
      <c r="RYW370" s="649">
        <v>0.12</v>
      </c>
      <c r="RYX370" s="16"/>
      <c r="RYY370" s="320">
        <v>0.10100000000000001</v>
      </c>
      <c r="RYZ370" s="153"/>
      <c r="RZA370" s="153"/>
      <c r="RZB370" s="153"/>
      <c r="RZC370" s="648"/>
      <c r="RZD370" s="641"/>
      <c r="RZE370" s="631" t="s">
        <v>265</v>
      </c>
      <c r="RZF370" s="632"/>
      <c r="RZG370" s="16"/>
      <c r="RZH370" s="636">
        <v>0.13500000000000001</v>
      </c>
      <c r="RZI370" s="636">
        <v>0.12</v>
      </c>
      <c r="RZJ370" s="636">
        <v>0.13</v>
      </c>
      <c r="RZK370" s="636">
        <v>0.12</v>
      </c>
      <c r="RZL370" s="636">
        <v>0.12</v>
      </c>
      <c r="RZM370" s="649">
        <v>0.12</v>
      </c>
      <c r="RZN370" s="16"/>
      <c r="RZO370" s="320">
        <v>0.10100000000000001</v>
      </c>
      <c r="RZP370" s="153"/>
      <c r="RZQ370" s="153"/>
      <c r="RZR370" s="153"/>
      <c r="RZS370" s="648"/>
      <c r="RZT370" s="641"/>
      <c r="RZU370" s="631" t="s">
        <v>265</v>
      </c>
      <c r="RZV370" s="632"/>
      <c r="RZW370" s="16"/>
      <c r="RZX370" s="636">
        <v>0.13500000000000001</v>
      </c>
      <c r="RZY370" s="636">
        <v>0.12</v>
      </c>
      <c r="RZZ370" s="636">
        <v>0.13</v>
      </c>
      <c r="SAA370" s="636">
        <v>0.12</v>
      </c>
      <c r="SAB370" s="636">
        <v>0.12</v>
      </c>
      <c r="SAC370" s="649">
        <v>0.12</v>
      </c>
      <c r="SAD370" s="16"/>
      <c r="SAE370" s="320">
        <v>0.10100000000000001</v>
      </c>
      <c r="SAF370" s="153"/>
      <c r="SAG370" s="153"/>
      <c r="SAH370" s="153"/>
      <c r="SAI370" s="648"/>
      <c r="SAJ370" s="641"/>
      <c r="SAK370" s="631" t="s">
        <v>265</v>
      </c>
      <c r="SAL370" s="632"/>
      <c r="SAM370" s="16"/>
      <c r="SAN370" s="636">
        <v>0.13500000000000001</v>
      </c>
      <c r="SAO370" s="636">
        <v>0.12</v>
      </c>
      <c r="SAP370" s="636">
        <v>0.13</v>
      </c>
      <c r="SAQ370" s="636">
        <v>0.12</v>
      </c>
      <c r="SAR370" s="636">
        <v>0.12</v>
      </c>
      <c r="SAS370" s="649">
        <v>0.12</v>
      </c>
      <c r="SAT370" s="16"/>
      <c r="SAU370" s="320">
        <v>0.10100000000000001</v>
      </c>
      <c r="SAV370" s="153"/>
      <c r="SAW370" s="153"/>
      <c r="SAX370" s="153"/>
      <c r="SAY370" s="648"/>
      <c r="SAZ370" s="641"/>
      <c r="SBA370" s="631" t="s">
        <v>265</v>
      </c>
      <c r="SBB370" s="632"/>
      <c r="SBC370" s="16"/>
      <c r="SBD370" s="636">
        <v>0.13500000000000001</v>
      </c>
      <c r="SBE370" s="636">
        <v>0.12</v>
      </c>
      <c r="SBF370" s="636">
        <v>0.13</v>
      </c>
      <c r="SBG370" s="636">
        <v>0.12</v>
      </c>
      <c r="SBH370" s="636">
        <v>0.12</v>
      </c>
      <c r="SBI370" s="649">
        <v>0.12</v>
      </c>
      <c r="SBJ370" s="16"/>
      <c r="SBK370" s="320">
        <v>0.10100000000000001</v>
      </c>
      <c r="SBL370" s="153"/>
      <c r="SBM370" s="153"/>
      <c r="SBN370" s="153"/>
      <c r="SBO370" s="648"/>
      <c r="SBP370" s="641"/>
      <c r="SBQ370" s="631" t="s">
        <v>265</v>
      </c>
      <c r="SBR370" s="632"/>
      <c r="SBS370" s="16"/>
      <c r="SBT370" s="636">
        <v>0.13500000000000001</v>
      </c>
      <c r="SBU370" s="636">
        <v>0.12</v>
      </c>
      <c r="SBV370" s="636">
        <v>0.13</v>
      </c>
      <c r="SBW370" s="636">
        <v>0.12</v>
      </c>
      <c r="SBX370" s="636">
        <v>0.12</v>
      </c>
      <c r="SBY370" s="649">
        <v>0.12</v>
      </c>
      <c r="SBZ370" s="16"/>
      <c r="SCA370" s="320">
        <v>0.10100000000000001</v>
      </c>
      <c r="SCB370" s="153"/>
      <c r="SCC370" s="153"/>
      <c r="SCD370" s="153"/>
      <c r="SCE370" s="648"/>
      <c r="SCF370" s="641"/>
      <c r="SCG370" s="631" t="s">
        <v>265</v>
      </c>
      <c r="SCH370" s="632"/>
      <c r="SCI370" s="16"/>
      <c r="SCJ370" s="636">
        <v>0.13500000000000001</v>
      </c>
      <c r="SCK370" s="636">
        <v>0.12</v>
      </c>
      <c r="SCL370" s="636">
        <v>0.13</v>
      </c>
      <c r="SCM370" s="636">
        <v>0.12</v>
      </c>
      <c r="SCN370" s="636">
        <v>0.12</v>
      </c>
      <c r="SCO370" s="649">
        <v>0.12</v>
      </c>
      <c r="SCP370" s="16"/>
      <c r="SCQ370" s="320">
        <v>0.10100000000000001</v>
      </c>
      <c r="SCR370" s="153"/>
      <c r="SCS370" s="153"/>
      <c r="SCT370" s="153"/>
      <c r="SCU370" s="648"/>
      <c r="SCV370" s="641"/>
      <c r="SCW370" s="631" t="s">
        <v>265</v>
      </c>
      <c r="SCX370" s="632"/>
      <c r="SCY370" s="16"/>
      <c r="SCZ370" s="636">
        <v>0.13500000000000001</v>
      </c>
      <c r="SDA370" s="636">
        <v>0.12</v>
      </c>
      <c r="SDB370" s="636">
        <v>0.13</v>
      </c>
      <c r="SDC370" s="636">
        <v>0.12</v>
      </c>
      <c r="SDD370" s="636">
        <v>0.12</v>
      </c>
      <c r="SDE370" s="649">
        <v>0.12</v>
      </c>
      <c r="SDF370" s="16"/>
      <c r="SDG370" s="320">
        <v>0.10100000000000001</v>
      </c>
      <c r="SDH370" s="153"/>
      <c r="SDI370" s="153"/>
      <c r="SDJ370" s="153"/>
      <c r="SDK370" s="648"/>
      <c r="SDL370" s="641"/>
      <c r="SDM370" s="631" t="s">
        <v>265</v>
      </c>
      <c r="SDN370" s="632"/>
      <c r="SDO370" s="16"/>
      <c r="SDP370" s="636">
        <v>0.13500000000000001</v>
      </c>
      <c r="SDQ370" s="636">
        <v>0.12</v>
      </c>
      <c r="SDR370" s="636">
        <v>0.13</v>
      </c>
      <c r="SDS370" s="636">
        <v>0.12</v>
      </c>
      <c r="SDT370" s="636">
        <v>0.12</v>
      </c>
      <c r="SDU370" s="649">
        <v>0.12</v>
      </c>
      <c r="SDV370" s="16"/>
      <c r="SDW370" s="320">
        <v>0.10100000000000001</v>
      </c>
      <c r="SDX370" s="153"/>
      <c r="SDY370" s="153"/>
      <c r="SDZ370" s="153"/>
      <c r="SEA370" s="648"/>
      <c r="SEB370" s="641"/>
      <c r="SEC370" s="631" t="s">
        <v>265</v>
      </c>
      <c r="SED370" s="632"/>
      <c r="SEE370" s="16"/>
      <c r="SEF370" s="636">
        <v>0.13500000000000001</v>
      </c>
      <c r="SEG370" s="636">
        <v>0.12</v>
      </c>
      <c r="SEH370" s="636">
        <v>0.13</v>
      </c>
      <c r="SEI370" s="636">
        <v>0.12</v>
      </c>
      <c r="SEJ370" s="636">
        <v>0.12</v>
      </c>
      <c r="SEK370" s="649">
        <v>0.12</v>
      </c>
      <c r="SEL370" s="16"/>
      <c r="SEM370" s="320">
        <v>0.10100000000000001</v>
      </c>
      <c r="SEN370" s="153"/>
      <c r="SEO370" s="153"/>
      <c r="SEP370" s="153"/>
      <c r="SEQ370" s="648"/>
      <c r="SER370" s="641"/>
      <c r="SES370" s="631" t="s">
        <v>265</v>
      </c>
      <c r="SET370" s="632"/>
      <c r="SEU370" s="16"/>
      <c r="SEV370" s="636">
        <v>0.13500000000000001</v>
      </c>
      <c r="SEW370" s="636">
        <v>0.12</v>
      </c>
      <c r="SEX370" s="636">
        <v>0.13</v>
      </c>
      <c r="SEY370" s="636">
        <v>0.12</v>
      </c>
      <c r="SEZ370" s="636">
        <v>0.12</v>
      </c>
      <c r="SFA370" s="649">
        <v>0.12</v>
      </c>
      <c r="SFB370" s="16"/>
      <c r="SFC370" s="320">
        <v>0.10100000000000001</v>
      </c>
      <c r="SFD370" s="153"/>
      <c r="SFE370" s="153"/>
      <c r="SFF370" s="153"/>
      <c r="SFG370" s="648"/>
      <c r="SFH370" s="641"/>
      <c r="SFI370" s="631" t="s">
        <v>265</v>
      </c>
      <c r="SFJ370" s="632"/>
      <c r="SFK370" s="16"/>
      <c r="SFL370" s="636">
        <v>0.13500000000000001</v>
      </c>
      <c r="SFM370" s="636">
        <v>0.12</v>
      </c>
      <c r="SFN370" s="636">
        <v>0.13</v>
      </c>
      <c r="SFO370" s="636">
        <v>0.12</v>
      </c>
      <c r="SFP370" s="636">
        <v>0.12</v>
      </c>
      <c r="SFQ370" s="649">
        <v>0.12</v>
      </c>
      <c r="SFR370" s="16"/>
      <c r="SFS370" s="320">
        <v>0.10100000000000001</v>
      </c>
      <c r="SFT370" s="153"/>
      <c r="SFU370" s="153"/>
      <c r="SFV370" s="153"/>
      <c r="SFW370" s="648"/>
      <c r="SFX370" s="641"/>
      <c r="SFY370" s="631" t="s">
        <v>265</v>
      </c>
      <c r="SFZ370" s="632"/>
      <c r="SGA370" s="16"/>
      <c r="SGB370" s="636">
        <v>0.13500000000000001</v>
      </c>
      <c r="SGC370" s="636">
        <v>0.12</v>
      </c>
      <c r="SGD370" s="636">
        <v>0.13</v>
      </c>
      <c r="SGE370" s="636">
        <v>0.12</v>
      </c>
      <c r="SGF370" s="636">
        <v>0.12</v>
      </c>
      <c r="SGG370" s="649">
        <v>0.12</v>
      </c>
      <c r="SGH370" s="16"/>
      <c r="SGI370" s="320">
        <v>0.10100000000000001</v>
      </c>
      <c r="SGJ370" s="153"/>
      <c r="SGK370" s="153"/>
      <c r="SGL370" s="153"/>
      <c r="SGM370" s="648"/>
      <c r="SGN370" s="641"/>
      <c r="SGO370" s="631" t="s">
        <v>265</v>
      </c>
      <c r="SGP370" s="632"/>
      <c r="SGQ370" s="16"/>
      <c r="SGR370" s="636">
        <v>0.13500000000000001</v>
      </c>
      <c r="SGS370" s="636">
        <v>0.12</v>
      </c>
      <c r="SGT370" s="636">
        <v>0.13</v>
      </c>
      <c r="SGU370" s="636">
        <v>0.12</v>
      </c>
      <c r="SGV370" s="636">
        <v>0.12</v>
      </c>
      <c r="SGW370" s="649">
        <v>0.12</v>
      </c>
      <c r="SGX370" s="16"/>
      <c r="SGY370" s="320">
        <v>0.10100000000000001</v>
      </c>
      <c r="SGZ370" s="153"/>
      <c r="SHA370" s="153"/>
      <c r="SHB370" s="153"/>
      <c r="SHC370" s="648"/>
      <c r="SHD370" s="641"/>
      <c r="SHE370" s="631" t="s">
        <v>265</v>
      </c>
      <c r="SHF370" s="632"/>
      <c r="SHG370" s="16"/>
      <c r="SHH370" s="636">
        <v>0.13500000000000001</v>
      </c>
      <c r="SHI370" s="636">
        <v>0.12</v>
      </c>
      <c r="SHJ370" s="636">
        <v>0.13</v>
      </c>
      <c r="SHK370" s="636">
        <v>0.12</v>
      </c>
      <c r="SHL370" s="636">
        <v>0.12</v>
      </c>
      <c r="SHM370" s="649">
        <v>0.12</v>
      </c>
      <c r="SHN370" s="16"/>
      <c r="SHO370" s="320">
        <v>0.10100000000000001</v>
      </c>
      <c r="SHP370" s="153"/>
      <c r="SHQ370" s="153"/>
      <c r="SHR370" s="153"/>
      <c r="SHS370" s="648"/>
      <c r="SHT370" s="641"/>
      <c r="SHU370" s="631" t="s">
        <v>265</v>
      </c>
      <c r="SHV370" s="632"/>
      <c r="SHW370" s="16"/>
      <c r="SHX370" s="636">
        <v>0.13500000000000001</v>
      </c>
      <c r="SHY370" s="636">
        <v>0.12</v>
      </c>
      <c r="SHZ370" s="636">
        <v>0.13</v>
      </c>
      <c r="SIA370" s="636">
        <v>0.12</v>
      </c>
      <c r="SIB370" s="636">
        <v>0.12</v>
      </c>
      <c r="SIC370" s="649">
        <v>0.12</v>
      </c>
      <c r="SID370" s="16"/>
      <c r="SIE370" s="320">
        <v>0.10100000000000001</v>
      </c>
      <c r="SIF370" s="153"/>
      <c r="SIG370" s="153"/>
      <c r="SIH370" s="153"/>
      <c r="SII370" s="648"/>
      <c r="SIJ370" s="641"/>
      <c r="SIK370" s="631" t="s">
        <v>265</v>
      </c>
      <c r="SIL370" s="632"/>
      <c r="SIM370" s="16"/>
      <c r="SIN370" s="636">
        <v>0.13500000000000001</v>
      </c>
      <c r="SIO370" s="636">
        <v>0.12</v>
      </c>
      <c r="SIP370" s="636">
        <v>0.13</v>
      </c>
      <c r="SIQ370" s="636">
        <v>0.12</v>
      </c>
      <c r="SIR370" s="636">
        <v>0.12</v>
      </c>
      <c r="SIS370" s="649">
        <v>0.12</v>
      </c>
      <c r="SIT370" s="16"/>
      <c r="SIU370" s="320">
        <v>0.10100000000000001</v>
      </c>
      <c r="SIV370" s="153"/>
      <c r="SIW370" s="153"/>
      <c r="SIX370" s="153"/>
      <c r="SIY370" s="648"/>
      <c r="SIZ370" s="641"/>
      <c r="SJA370" s="631" t="s">
        <v>265</v>
      </c>
      <c r="SJB370" s="632"/>
      <c r="SJC370" s="16"/>
      <c r="SJD370" s="636">
        <v>0.13500000000000001</v>
      </c>
      <c r="SJE370" s="636">
        <v>0.12</v>
      </c>
      <c r="SJF370" s="636">
        <v>0.13</v>
      </c>
      <c r="SJG370" s="636">
        <v>0.12</v>
      </c>
      <c r="SJH370" s="636">
        <v>0.12</v>
      </c>
      <c r="SJI370" s="649">
        <v>0.12</v>
      </c>
      <c r="SJJ370" s="16"/>
      <c r="SJK370" s="320">
        <v>0.10100000000000001</v>
      </c>
      <c r="SJL370" s="153"/>
      <c r="SJM370" s="153"/>
      <c r="SJN370" s="153"/>
      <c r="SJO370" s="648"/>
      <c r="SJP370" s="641"/>
      <c r="SJQ370" s="631" t="s">
        <v>265</v>
      </c>
      <c r="SJR370" s="632"/>
      <c r="SJS370" s="16"/>
      <c r="SJT370" s="636">
        <v>0.13500000000000001</v>
      </c>
      <c r="SJU370" s="636">
        <v>0.12</v>
      </c>
      <c r="SJV370" s="636">
        <v>0.13</v>
      </c>
      <c r="SJW370" s="636">
        <v>0.12</v>
      </c>
      <c r="SJX370" s="636">
        <v>0.12</v>
      </c>
      <c r="SJY370" s="649">
        <v>0.12</v>
      </c>
      <c r="SJZ370" s="16"/>
      <c r="SKA370" s="320">
        <v>0.10100000000000001</v>
      </c>
      <c r="SKB370" s="153"/>
      <c r="SKC370" s="153"/>
      <c r="SKD370" s="153"/>
      <c r="SKE370" s="648"/>
      <c r="SKF370" s="641"/>
      <c r="SKG370" s="631" t="s">
        <v>265</v>
      </c>
      <c r="SKH370" s="632"/>
      <c r="SKI370" s="16"/>
      <c r="SKJ370" s="636">
        <v>0.13500000000000001</v>
      </c>
      <c r="SKK370" s="636">
        <v>0.12</v>
      </c>
      <c r="SKL370" s="636">
        <v>0.13</v>
      </c>
      <c r="SKM370" s="636">
        <v>0.12</v>
      </c>
      <c r="SKN370" s="636">
        <v>0.12</v>
      </c>
      <c r="SKO370" s="649">
        <v>0.12</v>
      </c>
      <c r="SKP370" s="16"/>
      <c r="SKQ370" s="320">
        <v>0.10100000000000001</v>
      </c>
      <c r="SKR370" s="153"/>
      <c r="SKS370" s="153"/>
      <c r="SKT370" s="153"/>
      <c r="SKU370" s="648"/>
      <c r="SKV370" s="641"/>
      <c r="SKW370" s="631" t="s">
        <v>265</v>
      </c>
      <c r="SKX370" s="632"/>
      <c r="SKY370" s="16"/>
      <c r="SKZ370" s="636">
        <v>0.13500000000000001</v>
      </c>
      <c r="SLA370" s="636">
        <v>0.12</v>
      </c>
      <c r="SLB370" s="636">
        <v>0.13</v>
      </c>
      <c r="SLC370" s="636">
        <v>0.12</v>
      </c>
      <c r="SLD370" s="636">
        <v>0.12</v>
      </c>
      <c r="SLE370" s="649">
        <v>0.12</v>
      </c>
      <c r="SLF370" s="16"/>
      <c r="SLG370" s="320">
        <v>0.10100000000000001</v>
      </c>
      <c r="SLH370" s="153"/>
      <c r="SLI370" s="153"/>
      <c r="SLJ370" s="153"/>
      <c r="SLK370" s="648"/>
      <c r="SLL370" s="641"/>
      <c r="SLM370" s="631" t="s">
        <v>265</v>
      </c>
      <c r="SLN370" s="632"/>
      <c r="SLO370" s="16"/>
      <c r="SLP370" s="636">
        <v>0.13500000000000001</v>
      </c>
      <c r="SLQ370" s="636">
        <v>0.12</v>
      </c>
      <c r="SLR370" s="636">
        <v>0.13</v>
      </c>
      <c r="SLS370" s="636">
        <v>0.12</v>
      </c>
      <c r="SLT370" s="636">
        <v>0.12</v>
      </c>
      <c r="SLU370" s="649">
        <v>0.12</v>
      </c>
      <c r="SLV370" s="16"/>
      <c r="SLW370" s="320">
        <v>0.10100000000000001</v>
      </c>
      <c r="SLX370" s="153"/>
      <c r="SLY370" s="153"/>
      <c r="SLZ370" s="153"/>
      <c r="SMA370" s="648"/>
      <c r="SMB370" s="641"/>
      <c r="SMC370" s="631" t="s">
        <v>265</v>
      </c>
      <c r="SMD370" s="632"/>
      <c r="SME370" s="16"/>
      <c r="SMF370" s="636">
        <v>0.13500000000000001</v>
      </c>
      <c r="SMG370" s="636">
        <v>0.12</v>
      </c>
      <c r="SMH370" s="636">
        <v>0.13</v>
      </c>
      <c r="SMI370" s="636">
        <v>0.12</v>
      </c>
      <c r="SMJ370" s="636">
        <v>0.12</v>
      </c>
      <c r="SMK370" s="649">
        <v>0.12</v>
      </c>
      <c r="SML370" s="16"/>
      <c r="SMM370" s="320">
        <v>0.10100000000000001</v>
      </c>
      <c r="SMN370" s="153"/>
      <c r="SMO370" s="153"/>
      <c r="SMP370" s="153"/>
      <c r="SMQ370" s="648"/>
      <c r="SMR370" s="641"/>
      <c r="SMS370" s="631" t="s">
        <v>265</v>
      </c>
      <c r="SMT370" s="632"/>
      <c r="SMU370" s="16"/>
      <c r="SMV370" s="636">
        <v>0.13500000000000001</v>
      </c>
      <c r="SMW370" s="636">
        <v>0.12</v>
      </c>
      <c r="SMX370" s="636">
        <v>0.13</v>
      </c>
      <c r="SMY370" s="636">
        <v>0.12</v>
      </c>
      <c r="SMZ370" s="636">
        <v>0.12</v>
      </c>
      <c r="SNA370" s="649">
        <v>0.12</v>
      </c>
      <c r="SNB370" s="16"/>
      <c r="SNC370" s="320">
        <v>0.10100000000000001</v>
      </c>
      <c r="SND370" s="153"/>
      <c r="SNE370" s="153"/>
      <c r="SNF370" s="153"/>
      <c r="SNG370" s="648"/>
      <c r="SNH370" s="641"/>
      <c r="SNI370" s="631" t="s">
        <v>265</v>
      </c>
      <c r="SNJ370" s="632"/>
      <c r="SNK370" s="16"/>
      <c r="SNL370" s="636">
        <v>0.13500000000000001</v>
      </c>
      <c r="SNM370" s="636">
        <v>0.12</v>
      </c>
      <c r="SNN370" s="636">
        <v>0.13</v>
      </c>
      <c r="SNO370" s="636">
        <v>0.12</v>
      </c>
      <c r="SNP370" s="636">
        <v>0.12</v>
      </c>
      <c r="SNQ370" s="649">
        <v>0.12</v>
      </c>
      <c r="SNR370" s="16"/>
      <c r="SNS370" s="320">
        <v>0.10100000000000001</v>
      </c>
      <c r="SNT370" s="153"/>
      <c r="SNU370" s="153"/>
      <c r="SNV370" s="153"/>
      <c r="SNW370" s="648"/>
      <c r="SNX370" s="641"/>
      <c r="SNY370" s="631" t="s">
        <v>265</v>
      </c>
      <c r="SNZ370" s="632"/>
      <c r="SOA370" s="16"/>
      <c r="SOB370" s="636">
        <v>0.13500000000000001</v>
      </c>
      <c r="SOC370" s="636">
        <v>0.12</v>
      </c>
      <c r="SOD370" s="636">
        <v>0.13</v>
      </c>
      <c r="SOE370" s="636">
        <v>0.12</v>
      </c>
      <c r="SOF370" s="636">
        <v>0.12</v>
      </c>
      <c r="SOG370" s="649">
        <v>0.12</v>
      </c>
      <c r="SOH370" s="16"/>
      <c r="SOI370" s="320">
        <v>0.10100000000000001</v>
      </c>
      <c r="SOJ370" s="153"/>
      <c r="SOK370" s="153"/>
      <c r="SOL370" s="153"/>
      <c r="SOM370" s="648"/>
      <c r="SON370" s="641"/>
      <c r="SOO370" s="631" t="s">
        <v>265</v>
      </c>
      <c r="SOP370" s="632"/>
      <c r="SOQ370" s="16"/>
      <c r="SOR370" s="636">
        <v>0.13500000000000001</v>
      </c>
      <c r="SOS370" s="636">
        <v>0.12</v>
      </c>
      <c r="SOT370" s="636">
        <v>0.13</v>
      </c>
      <c r="SOU370" s="636">
        <v>0.12</v>
      </c>
      <c r="SOV370" s="636">
        <v>0.12</v>
      </c>
      <c r="SOW370" s="649">
        <v>0.12</v>
      </c>
      <c r="SOX370" s="16"/>
      <c r="SOY370" s="320">
        <v>0.10100000000000001</v>
      </c>
      <c r="SOZ370" s="153"/>
      <c r="SPA370" s="153"/>
      <c r="SPB370" s="153"/>
      <c r="SPC370" s="648"/>
      <c r="SPD370" s="641"/>
      <c r="SPE370" s="631" t="s">
        <v>265</v>
      </c>
      <c r="SPF370" s="632"/>
      <c r="SPG370" s="16"/>
      <c r="SPH370" s="636">
        <v>0.13500000000000001</v>
      </c>
      <c r="SPI370" s="636">
        <v>0.12</v>
      </c>
      <c r="SPJ370" s="636">
        <v>0.13</v>
      </c>
      <c r="SPK370" s="636">
        <v>0.12</v>
      </c>
      <c r="SPL370" s="636">
        <v>0.12</v>
      </c>
      <c r="SPM370" s="649">
        <v>0.12</v>
      </c>
      <c r="SPN370" s="16"/>
      <c r="SPO370" s="320">
        <v>0.10100000000000001</v>
      </c>
      <c r="SPP370" s="153"/>
      <c r="SPQ370" s="153"/>
      <c r="SPR370" s="153"/>
      <c r="SPS370" s="648"/>
      <c r="SPT370" s="641"/>
      <c r="SPU370" s="631" t="s">
        <v>265</v>
      </c>
      <c r="SPV370" s="632"/>
      <c r="SPW370" s="16"/>
      <c r="SPX370" s="636">
        <v>0.13500000000000001</v>
      </c>
      <c r="SPY370" s="636">
        <v>0.12</v>
      </c>
      <c r="SPZ370" s="636">
        <v>0.13</v>
      </c>
      <c r="SQA370" s="636">
        <v>0.12</v>
      </c>
      <c r="SQB370" s="636">
        <v>0.12</v>
      </c>
      <c r="SQC370" s="649">
        <v>0.12</v>
      </c>
      <c r="SQD370" s="16"/>
      <c r="SQE370" s="320">
        <v>0.10100000000000001</v>
      </c>
      <c r="SQF370" s="153"/>
      <c r="SQG370" s="153"/>
      <c r="SQH370" s="153"/>
      <c r="SQI370" s="648"/>
      <c r="SQJ370" s="641"/>
      <c r="SQK370" s="631" t="s">
        <v>265</v>
      </c>
      <c r="SQL370" s="632"/>
      <c r="SQM370" s="16"/>
      <c r="SQN370" s="636">
        <v>0.13500000000000001</v>
      </c>
      <c r="SQO370" s="636">
        <v>0.12</v>
      </c>
      <c r="SQP370" s="636">
        <v>0.13</v>
      </c>
      <c r="SQQ370" s="636">
        <v>0.12</v>
      </c>
      <c r="SQR370" s="636">
        <v>0.12</v>
      </c>
      <c r="SQS370" s="649">
        <v>0.12</v>
      </c>
      <c r="SQT370" s="16"/>
      <c r="SQU370" s="320">
        <v>0.10100000000000001</v>
      </c>
      <c r="SQV370" s="153"/>
      <c r="SQW370" s="153"/>
      <c r="SQX370" s="153"/>
      <c r="SQY370" s="648"/>
      <c r="SQZ370" s="641"/>
      <c r="SRA370" s="631" t="s">
        <v>265</v>
      </c>
      <c r="SRB370" s="632"/>
      <c r="SRC370" s="16"/>
      <c r="SRD370" s="636">
        <v>0.13500000000000001</v>
      </c>
      <c r="SRE370" s="636">
        <v>0.12</v>
      </c>
      <c r="SRF370" s="636">
        <v>0.13</v>
      </c>
      <c r="SRG370" s="636">
        <v>0.12</v>
      </c>
      <c r="SRH370" s="636">
        <v>0.12</v>
      </c>
      <c r="SRI370" s="649">
        <v>0.12</v>
      </c>
      <c r="SRJ370" s="16"/>
      <c r="SRK370" s="320">
        <v>0.10100000000000001</v>
      </c>
      <c r="SRL370" s="153"/>
      <c r="SRM370" s="153"/>
      <c r="SRN370" s="153"/>
      <c r="SRO370" s="648"/>
      <c r="SRP370" s="641"/>
      <c r="SRQ370" s="631" t="s">
        <v>265</v>
      </c>
      <c r="SRR370" s="632"/>
      <c r="SRS370" s="16"/>
      <c r="SRT370" s="636">
        <v>0.13500000000000001</v>
      </c>
      <c r="SRU370" s="636">
        <v>0.12</v>
      </c>
      <c r="SRV370" s="636">
        <v>0.13</v>
      </c>
      <c r="SRW370" s="636">
        <v>0.12</v>
      </c>
      <c r="SRX370" s="636">
        <v>0.12</v>
      </c>
      <c r="SRY370" s="649">
        <v>0.12</v>
      </c>
      <c r="SRZ370" s="16"/>
      <c r="SSA370" s="320">
        <v>0.10100000000000001</v>
      </c>
      <c r="SSB370" s="153"/>
      <c r="SSC370" s="153"/>
      <c r="SSD370" s="153"/>
      <c r="SSE370" s="648"/>
      <c r="SSF370" s="641"/>
      <c r="SSG370" s="631" t="s">
        <v>265</v>
      </c>
      <c r="SSH370" s="632"/>
      <c r="SSI370" s="16"/>
      <c r="SSJ370" s="636">
        <v>0.13500000000000001</v>
      </c>
      <c r="SSK370" s="636">
        <v>0.12</v>
      </c>
      <c r="SSL370" s="636">
        <v>0.13</v>
      </c>
      <c r="SSM370" s="636">
        <v>0.12</v>
      </c>
      <c r="SSN370" s="636">
        <v>0.12</v>
      </c>
      <c r="SSO370" s="649">
        <v>0.12</v>
      </c>
      <c r="SSP370" s="16"/>
      <c r="SSQ370" s="320">
        <v>0.10100000000000001</v>
      </c>
      <c r="SSR370" s="153"/>
      <c r="SSS370" s="153"/>
      <c r="SST370" s="153"/>
      <c r="SSU370" s="648"/>
      <c r="SSV370" s="641"/>
      <c r="SSW370" s="631" t="s">
        <v>265</v>
      </c>
      <c r="SSX370" s="632"/>
      <c r="SSY370" s="16"/>
      <c r="SSZ370" s="636">
        <v>0.13500000000000001</v>
      </c>
      <c r="STA370" s="636">
        <v>0.12</v>
      </c>
      <c r="STB370" s="636">
        <v>0.13</v>
      </c>
      <c r="STC370" s="636">
        <v>0.12</v>
      </c>
      <c r="STD370" s="636">
        <v>0.12</v>
      </c>
      <c r="STE370" s="649">
        <v>0.12</v>
      </c>
      <c r="STF370" s="16"/>
      <c r="STG370" s="320">
        <v>0.10100000000000001</v>
      </c>
      <c r="STH370" s="153"/>
      <c r="STI370" s="153"/>
      <c r="STJ370" s="153"/>
      <c r="STK370" s="648"/>
      <c r="STL370" s="641"/>
      <c r="STM370" s="631" t="s">
        <v>265</v>
      </c>
      <c r="STN370" s="632"/>
      <c r="STO370" s="16"/>
      <c r="STP370" s="636">
        <v>0.13500000000000001</v>
      </c>
      <c r="STQ370" s="636">
        <v>0.12</v>
      </c>
      <c r="STR370" s="636">
        <v>0.13</v>
      </c>
      <c r="STS370" s="636">
        <v>0.12</v>
      </c>
      <c r="STT370" s="636">
        <v>0.12</v>
      </c>
      <c r="STU370" s="649">
        <v>0.12</v>
      </c>
      <c r="STV370" s="16"/>
      <c r="STW370" s="320">
        <v>0.10100000000000001</v>
      </c>
      <c r="STX370" s="153"/>
      <c r="STY370" s="153"/>
      <c r="STZ370" s="153"/>
      <c r="SUA370" s="648"/>
      <c r="SUB370" s="641"/>
    </row>
    <row r="371" spans="1:13392" s="57" customFormat="1" ht="27.75" customHeight="1">
      <c r="A371" s="631" t="s">
        <v>1842</v>
      </c>
      <c r="B371" s="632"/>
      <c r="C371" s="16"/>
      <c r="D371" s="636">
        <v>1.5299999999999999E-2</v>
      </c>
      <c r="E371" s="636">
        <v>1.5299999999999999E-2</v>
      </c>
      <c r="F371" s="636">
        <v>1.5299999999999999E-2</v>
      </c>
      <c r="G371" s="636">
        <v>9.7000000000000003E-3</v>
      </c>
      <c r="H371" s="636">
        <v>9.7000000000000003E-3</v>
      </c>
      <c r="I371" s="649">
        <v>9.7000000000000003E-3</v>
      </c>
      <c r="J371" s="16"/>
      <c r="K371" s="320">
        <v>8.6999999999999994E-3</v>
      </c>
      <c r="L371" s="153"/>
      <c r="M371" s="153"/>
      <c r="N371" s="153"/>
      <c r="O371" s="648"/>
      <c r="P371" s="641"/>
      <c r="Q371" s="693" t="s">
        <v>1842</v>
      </c>
      <c r="R371" s="694"/>
      <c r="S371" s="687"/>
      <c r="T371" s="692">
        <v>1.5299999999999999E-2</v>
      </c>
      <c r="U371" s="692">
        <v>1.5299999999999999E-2</v>
      </c>
      <c r="V371" s="692">
        <v>1.5299999999999999E-2</v>
      </c>
      <c r="W371" s="692">
        <v>9.7000000000000003E-3</v>
      </c>
      <c r="X371" s="692">
        <v>9.7000000000000003E-3</v>
      </c>
      <c r="Y371" s="692">
        <v>9.7000000000000003E-3</v>
      </c>
      <c r="Z371" s="687"/>
      <c r="AA371" s="687">
        <v>8.6999999999999994E-3</v>
      </c>
      <c r="AB371" s="687"/>
      <c r="AC371" s="687"/>
      <c r="AD371" s="687"/>
      <c r="AE371" s="698"/>
      <c r="AF371" s="692"/>
      <c r="AG371" s="631" t="s">
        <v>1842</v>
      </c>
      <c r="AH371" s="632"/>
      <c r="AI371" s="16"/>
      <c r="AJ371" s="636">
        <v>1.5299999999999999E-2</v>
      </c>
      <c r="AK371" s="636">
        <v>1.5299999999999999E-2</v>
      </c>
      <c r="AL371" s="636">
        <v>1.5299999999999999E-2</v>
      </c>
      <c r="AM371" s="636">
        <v>9.7000000000000003E-3</v>
      </c>
      <c r="AN371" s="636">
        <v>9.7000000000000003E-3</v>
      </c>
      <c r="AO371" s="649">
        <v>9.7000000000000003E-3</v>
      </c>
      <c r="AP371" s="16"/>
      <c r="AQ371" s="320">
        <v>8.6999999999999994E-3</v>
      </c>
      <c r="AR371" s="153"/>
      <c r="AS371" s="153"/>
      <c r="AT371" s="153"/>
      <c r="AU371" s="648"/>
      <c r="AV371" s="641"/>
      <c r="AW371" s="631" t="s">
        <v>1842</v>
      </c>
      <c r="AX371" s="632"/>
      <c r="AY371" s="16"/>
      <c r="AZ371" s="636">
        <v>1.5299999999999999E-2</v>
      </c>
      <c r="BA371" s="636">
        <v>1.5299999999999999E-2</v>
      </c>
      <c r="BB371" s="636">
        <v>1.5299999999999999E-2</v>
      </c>
      <c r="BC371" s="636">
        <v>9.7000000000000003E-3</v>
      </c>
      <c r="BD371" s="636">
        <v>9.7000000000000003E-3</v>
      </c>
      <c r="BE371" s="649">
        <v>9.7000000000000003E-3</v>
      </c>
      <c r="BF371" s="16"/>
      <c r="BG371" s="320">
        <v>8.6999999999999994E-3</v>
      </c>
      <c r="BH371" s="153"/>
      <c r="BI371" s="153"/>
      <c r="BJ371" s="153"/>
      <c r="BK371" s="648"/>
      <c r="BL371" s="641"/>
      <c r="BM371" s="631" t="s">
        <v>1842</v>
      </c>
      <c r="BN371" s="632"/>
      <c r="BO371" s="16"/>
      <c r="BP371" s="636">
        <v>1.5299999999999999E-2</v>
      </c>
      <c r="BQ371" s="636">
        <v>1.5299999999999999E-2</v>
      </c>
      <c r="BR371" s="636">
        <v>1.5299999999999999E-2</v>
      </c>
      <c r="BS371" s="636">
        <v>9.7000000000000003E-3</v>
      </c>
      <c r="BT371" s="636">
        <v>9.7000000000000003E-3</v>
      </c>
      <c r="BU371" s="649">
        <v>9.7000000000000003E-3</v>
      </c>
      <c r="BV371" s="16"/>
      <c r="BW371" s="320">
        <v>8.6999999999999994E-3</v>
      </c>
      <c r="BX371" s="153"/>
      <c r="BY371" s="153"/>
      <c r="BZ371" s="153"/>
      <c r="CA371" s="648"/>
      <c r="CB371" s="641"/>
      <c r="CC371" s="631" t="s">
        <v>1842</v>
      </c>
      <c r="CD371" s="632"/>
      <c r="CE371" s="16"/>
      <c r="CF371" s="636">
        <v>1.5299999999999999E-2</v>
      </c>
      <c r="CG371" s="636">
        <v>1.5299999999999999E-2</v>
      </c>
      <c r="CH371" s="636">
        <v>1.5299999999999999E-2</v>
      </c>
      <c r="CI371" s="636">
        <v>9.7000000000000003E-3</v>
      </c>
      <c r="CJ371" s="636">
        <v>9.7000000000000003E-3</v>
      </c>
      <c r="CK371" s="649">
        <v>9.7000000000000003E-3</v>
      </c>
      <c r="CL371" s="16"/>
      <c r="CM371" s="320">
        <v>8.6999999999999994E-3</v>
      </c>
      <c r="CN371" s="153"/>
      <c r="CO371" s="153"/>
      <c r="CP371" s="153"/>
      <c r="CQ371" s="648"/>
      <c r="CR371" s="641"/>
      <c r="CS371" s="631" t="s">
        <v>1842</v>
      </c>
      <c r="CT371" s="632"/>
      <c r="CU371" s="16"/>
      <c r="CV371" s="636">
        <v>1.5299999999999999E-2</v>
      </c>
      <c r="CW371" s="636">
        <v>1.5299999999999999E-2</v>
      </c>
      <c r="CX371" s="636">
        <v>1.5299999999999999E-2</v>
      </c>
      <c r="CY371" s="636">
        <v>9.7000000000000003E-3</v>
      </c>
      <c r="CZ371" s="636">
        <v>9.7000000000000003E-3</v>
      </c>
      <c r="DA371" s="649">
        <v>9.7000000000000003E-3</v>
      </c>
      <c r="DB371" s="16"/>
      <c r="DC371" s="320">
        <v>8.6999999999999994E-3</v>
      </c>
      <c r="DD371" s="153"/>
      <c r="DE371" s="153"/>
      <c r="DF371" s="153"/>
      <c r="DG371" s="648"/>
      <c r="DH371" s="641"/>
      <c r="DI371" s="631" t="s">
        <v>1842</v>
      </c>
      <c r="DJ371" s="632"/>
      <c r="DK371" s="16"/>
      <c r="DL371" s="636">
        <v>1.5299999999999999E-2</v>
      </c>
      <c r="DM371" s="636">
        <v>1.5299999999999999E-2</v>
      </c>
      <c r="DN371" s="636">
        <v>1.5299999999999999E-2</v>
      </c>
      <c r="DO371" s="636">
        <v>9.7000000000000003E-3</v>
      </c>
      <c r="DP371" s="636">
        <v>9.7000000000000003E-3</v>
      </c>
      <c r="DQ371" s="649">
        <v>9.7000000000000003E-3</v>
      </c>
      <c r="DR371" s="16"/>
      <c r="DS371" s="320">
        <v>8.6999999999999994E-3</v>
      </c>
      <c r="DT371" s="153"/>
      <c r="DU371" s="153"/>
      <c r="DV371" s="153"/>
      <c r="DW371" s="648"/>
      <c r="DX371" s="641"/>
      <c r="DY371" s="631" t="s">
        <v>1842</v>
      </c>
      <c r="DZ371" s="632"/>
      <c r="EA371" s="16"/>
      <c r="EB371" s="636">
        <v>1.5299999999999999E-2</v>
      </c>
      <c r="EC371" s="636">
        <v>1.5299999999999999E-2</v>
      </c>
      <c r="ED371" s="636">
        <v>1.5299999999999999E-2</v>
      </c>
      <c r="EE371" s="636">
        <v>9.7000000000000003E-3</v>
      </c>
      <c r="EF371" s="636">
        <v>9.7000000000000003E-3</v>
      </c>
      <c r="EG371" s="649">
        <v>9.7000000000000003E-3</v>
      </c>
      <c r="EH371" s="16"/>
      <c r="EI371" s="320">
        <v>8.6999999999999994E-3</v>
      </c>
      <c r="EJ371" s="153"/>
      <c r="EK371" s="153"/>
      <c r="EL371" s="153"/>
      <c r="EM371" s="648"/>
      <c r="EN371" s="641"/>
      <c r="EO371" s="631" t="s">
        <v>1842</v>
      </c>
      <c r="EP371" s="632"/>
      <c r="EQ371" s="16"/>
      <c r="ER371" s="636">
        <v>1.5299999999999999E-2</v>
      </c>
      <c r="ES371" s="636">
        <v>1.5299999999999999E-2</v>
      </c>
      <c r="ET371" s="636">
        <v>1.5299999999999999E-2</v>
      </c>
      <c r="EU371" s="636">
        <v>9.7000000000000003E-3</v>
      </c>
      <c r="EV371" s="636">
        <v>9.7000000000000003E-3</v>
      </c>
      <c r="EW371" s="649">
        <v>9.7000000000000003E-3</v>
      </c>
      <c r="EX371" s="16"/>
      <c r="EY371" s="320">
        <v>8.6999999999999994E-3</v>
      </c>
      <c r="EZ371" s="153"/>
      <c r="FA371" s="153"/>
      <c r="FB371" s="153"/>
      <c r="FC371" s="648"/>
      <c r="FD371" s="641"/>
      <c r="FE371" s="631" t="s">
        <v>1842</v>
      </c>
      <c r="FF371" s="632"/>
      <c r="FG371" s="16"/>
      <c r="FH371" s="636">
        <v>1.5299999999999999E-2</v>
      </c>
      <c r="FI371" s="636">
        <v>1.5299999999999999E-2</v>
      </c>
      <c r="FJ371" s="636">
        <v>1.5299999999999999E-2</v>
      </c>
      <c r="FK371" s="636">
        <v>9.7000000000000003E-3</v>
      </c>
      <c r="FL371" s="636">
        <v>9.7000000000000003E-3</v>
      </c>
      <c r="FM371" s="649">
        <v>9.7000000000000003E-3</v>
      </c>
      <c r="FN371" s="16"/>
      <c r="FO371" s="320">
        <v>8.6999999999999994E-3</v>
      </c>
      <c r="FP371" s="153"/>
      <c r="FQ371" s="153"/>
      <c r="FR371" s="153"/>
      <c r="FS371" s="648"/>
      <c r="FT371" s="641"/>
      <c r="FU371" s="631" t="s">
        <v>1842</v>
      </c>
      <c r="FV371" s="632"/>
      <c r="FW371" s="16"/>
      <c r="FX371" s="636">
        <v>1.5299999999999999E-2</v>
      </c>
      <c r="FY371" s="636">
        <v>1.5299999999999999E-2</v>
      </c>
      <c r="FZ371" s="636">
        <v>1.5299999999999999E-2</v>
      </c>
      <c r="GA371" s="636">
        <v>9.7000000000000003E-3</v>
      </c>
      <c r="GB371" s="636">
        <v>9.7000000000000003E-3</v>
      </c>
      <c r="GC371" s="649">
        <v>9.7000000000000003E-3</v>
      </c>
      <c r="GD371" s="16"/>
      <c r="GE371" s="320">
        <v>8.6999999999999994E-3</v>
      </c>
      <c r="GF371" s="153"/>
      <c r="GG371" s="153"/>
      <c r="GH371" s="153"/>
      <c r="GI371" s="648"/>
      <c r="GJ371" s="641"/>
      <c r="GK371" s="631" t="s">
        <v>1842</v>
      </c>
      <c r="GL371" s="632"/>
      <c r="GM371" s="16"/>
      <c r="GN371" s="636">
        <v>1.5299999999999999E-2</v>
      </c>
      <c r="GO371" s="636">
        <v>1.5299999999999999E-2</v>
      </c>
      <c r="GP371" s="636">
        <v>1.5299999999999999E-2</v>
      </c>
      <c r="GQ371" s="636">
        <v>9.7000000000000003E-3</v>
      </c>
      <c r="GR371" s="636">
        <v>9.7000000000000003E-3</v>
      </c>
      <c r="GS371" s="649">
        <v>9.7000000000000003E-3</v>
      </c>
      <c r="GT371" s="16"/>
      <c r="GU371" s="320">
        <v>8.6999999999999994E-3</v>
      </c>
      <c r="GV371" s="153"/>
      <c r="GW371" s="153"/>
      <c r="GX371" s="153"/>
      <c r="GY371" s="648"/>
      <c r="GZ371" s="641"/>
      <c r="HA371" s="631" t="s">
        <v>1842</v>
      </c>
      <c r="HB371" s="632"/>
      <c r="HC371" s="16"/>
      <c r="HD371" s="636">
        <v>1.5299999999999999E-2</v>
      </c>
      <c r="HE371" s="636">
        <v>1.5299999999999999E-2</v>
      </c>
      <c r="HF371" s="636">
        <v>1.5299999999999999E-2</v>
      </c>
      <c r="HG371" s="636">
        <v>9.7000000000000003E-3</v>
      </c>
      <c r="HH371" s="636">
        <v>9.7000000000000003E-3</v>
      </c>
      <c r="HI371" s="649">
        <v>9.7000000000000003E-3</v>
      </c>
      <c r="HJ371" s="16"/>
      <c r="HK371" s="320">
        <v>8.6999999999999994E-3</v>
      </c>
      <c r="HL371" s="153"/>
      <c r="HM371" s="153"/>
      <c r="HN371" s="153"/>
      <c r="HO371" s="648"/>
      <c r="HP371" s="641"/>
      <c r="HQ371" s="631" t="s">
        <v>1842</v>
      </c>
      <c r="HR371" s="632"/>
      <c r="HS371" s="16"/>
      <c r="HT371" s="636">
        <v>1.5299999999999999E-2</v>
      </c>
      <c r="HU371" s="636">
        <v>1.5299999999999999E-2</v>
      </c>
      <c r="HV371" s="636">
        <v>1.5299999999999999E-2</v>
      </c>
      <c r="HW371" s="636">
        <v>9.7000000000000003E-3</v>
      </c>
      <c r="HX371" s="636">
        <v>9.7000000000000003E-3</v>
      </c>
      <c r="HY371" s="649">
        <v>9.7000000000000003E-3</v>
      </c>
      <c r="HZ371" s="16"/>
      <c r="IA371" s="320">
        <v>8.6999999999999994E-3</v>
      </c>
      <c r="IB371" s="153"/>
      <c r="IC371" s="153"/>
      <c r="ID371" s="153"/>
      <c r="IE371" s="648"/>
      <c r="IF371" s="641"/>
      <c r="IG371" s="631" t="s">
        <v>1842</v>
      </c>
      <c r="IH371" s="632"/>
      <c r="II371" s="16"/>
      <c r="IJ371" s="636">
        <v>1.5299999999999999E-2</v>
      </c>
      <c r="IK371" s="636">
        <v>1.5299999999999999E-2</v>
      </c>
      <c r="IL371" s="636">
        <v>1.5299999999999999E-2</v>
      </c>
      <c r="IM371" s="636">
        <v>9.7000000000000003E-3</v>
      </c>
      <c r="IN371" s="636">
        <v>9.7000000000000003E-3</v>
      </c>
      <c r="IO371" s="649">
        <v>9.7000000000000003E-3</v>
      </c>
      <c r="IP371" s="16"/>
      <c r="IQ371" s="320">
        <v>8.6999999999999994E-3</v>
      </c>
      <c r="IR371" s="153"/>
      <c r="IS371" s="153"/>
      <c r="IT371" s="153"/>
      <c r="IU371" s="648"/>
      <c r="IV371" s="641"/>
      <c r="IW371" s="631" t="s">
        <v>1842</v>
      </c>
      <c r="IX371" s="632"/>
      <c r="IY371" s="16"/>
      <c r="IZ371" s="636">
        <v>1.5299999999999999E-2</v>
      </c>
      <c r="JA371" s="636">
        <v>1.5299999999999999E-2</v>
      </c>
      <c r="JB371" s="636">
        <v>1.5299999999999999E-2</v>
      </c>
      <c r="JC371" s="636">
        <v>9.7000000000000003E-3</v>
      </c>
      <c r="JD371" s="636">
        <v>9.7000000000000003E-3</v>
      </c>
      <c r="JE371" s="649">
        <v>9.7000000000000003E-3</v>
      </c>
      <c r="JF371" s="16"/>
      <c r="JG371" s="320">
        <v>8.6999999999999994E-3</v>
      </c>
      <c r="JH371" s="153"/>
      <c r="JI371" s="153"/>
      <c r="JJ371" s="153"/>
      <c r="JK371" s="648"/>
      <c r="JL371" s="641"/>
      <c r="JM371" s="631" t="s">
        <v>1842</v>
      </c>
      <c r="JN371" s="632"/>
      <c r="JO371" s="16"/>
      <c r="JP371" s="636">
        <v>1.5299999999999999E-2</v>
      </c>
      <c r="JQ371" s="636">
        <v>1.5299999999999999E-2</v>
      </c>
      <c r="JR371" s="636">
        <v>1.5299999999999999E-2</v>
      </c>
      <c r="JS371" s="636">
        <v>9.7000000000000003E-3</v>
      </c>
      <c r="JT371" s="636">
        <v>9.7000000000000003E-3</v>
      </c>
      <c r="JU371" s="649">
        <v>9.7000000000000003E-3</v>
      </c>
      <c r="JV371" s="16"/>
      <c r="JW371" s="320">
        <v>8.6999999999999994E-3</v>
      </c>
      <c r="JX371" s="153"/>
      <c r="JY371" s="153"/>
      <c r="JZ371" s="153"/>
      <c r="KA371" s="648"/>
      <c r="KB371" s="641"/>
      <c r="KC371" s="631" t="s">
        <v>1842</v>
      </c>
      <c r="KD371" s="632"/>
      <c r="KE371" s="16"/>
      <c r="KF371" s="636">
        <v>1.5299999999999999E-2</v>
      </c>
      <c r="KG371" s="636">
        <v>1.5299999999999999E-2</v>
      </c>
      <c r="KH371" s="636">
        <v>1.5299999999999999E-2</v>
      </c>
      <c r="KI371" s="636">
        <v>9.7000000000000003E-3</v>
      </c>
      <c r="KJ371" s="636">
        <v>9.7000000000000003E-3</v>
      </c>
      <c r="KK371" s="649">
        <v>9.7000000000000003E-3</v>
      </c>
      <c r="KL371" s="16"/>
      <c r="KM371" s="320">
        <v>8.6999999999999994E-3</v>
      </c>
      <c r="KN371" s="153"/>
      <c r="KO371" s="153"/>
      <c r="KP371" s="153"/>
      <c r="KQ371" s="648"/>
      <c r="KR371" s="641"/>
      <c r="KS371" s="631" t="s">
        <v>1842</v>
      </c>
      <c r="KT371" s="632"/>
      <c r="KU371" s="16"/>
      <c r="KV371" s="636">
        <v>1.5299999999999999E-2</v>
      </c>
      <c r="KW371" s="636">
        <v>1.5299999999999999E-2</v>
      </c>
      <c r="KX371" s="636">
        <v>1.5299999999999999E-2</v>
      </c>
      <c r="KY371" s="636">
        <v>9.7000000000000003E-3</v>
      </c>
      <c r="KZ371" s="636">
        <v>9.7000000000000003E-3</v>
      </c>
      <c r="LA371" s="649">
        <v>9.7000000000000003E-3</v>
      </c>
      <c r="LB371" s="16"/>
      <c r="LC371" s="320">
        <v>8.6999999999999994E-3</v>
      </c>
      <c r="LD371" s="153"/>
      <c r="LE371" s="153"/>
      <c r="LF371" s="153"/>
      <c r="LG371" s="648"/>
      <c r="LH371" s="641"/>
      <c r="LI371" s="631" t="s">
        <v>1842</v>
      </c>
      <c r="LJ371" s="632"/>
      <c r="LK371" s="16"/>
      <c r="LL371" s="636">
        <v>1.5299999999999999E-2</v>
      </c>
      <c r="LM371" s="636">
        <v>1.5299999999999999E-2</v>
      </c>
      <c r="LN371" s="636">
        <v>1.5299999999999999E-2</v>
      </c>
      <c r="LO371" s="636">
        <v>9.7000000000000003E-3</v>
      </c>
      <c r="LP371" s="636">
        <v>9.7000000000000003E-3</v>
      </c>
      <c r="LQ371" s="649">
        <v>9.7000000000000003E-3</v>
      </c>
      <c r="LR371" s="16"/>
      <c r="LS371" s="320">
        <v>8.6999999999999994E-3</v>
      </c>
      <c r="LT371" s="153"/>
      <c r="LU371" s="153"/>
      <c r="LV371" s="153"/>
      <c r="LW371" s="648"/>
      <c r="LX371" s="641"/>
      <c r="LY371" s="631" t="s">
        <v>1842</v>
      </c>
      <c r="LZ371" s="632"/>
      <c r="MA371" s="16"/>
      <c r="MB371" s="636">
        <v>1.5299999999999999E-2</v>
      </c>
      <c r="MC371" s="636">
        <v>1.5299999999999999E-2</v>
      </c>
      <c r="MD371" s="636">
        <v>1.5299999999999999E-2</v>
      </c>
      <c r="ME371" s="636">
        <v>9.7000000000000003E-3</v>
      </c>
      <c r="MF371" s="636">
        <v>9.7000000000000003E-3</v>
      </c>
      <c r="MG371" s="649">
        <v>9.7000000000000003E-3</v>
      </c>
      <c r="MH371" s="16"/>
      <c r="MI371" s="320">
        <v>8.6999999999999994E-3</v>
      </c>
      <c r="MJ371" s="153"/>
      <c r="MK371" s="153"/>
      <c r="ML371" s="153"/>
      <c r="MM371" s="648"/>
      <c r="MN371" s="641"/>
      <c r="MO371" s="631" t="s">
        <v>1842</v>
      </c>
      <c r="MP371" s="632"/>
      <c r="MQ371" s="16"/>
      <c r="MR371" s="636">
        <v>1.5299999999999999E-2</v>
      </c>
      <c r="MS371" s="636">
        <v>1.5299999999999999E-2</v>
      </c>
      <c r="MT371" s="636">
        <v>1.5299999999999999E-2</v>
      </c>
      <c r="MU371" s="636">
        <v>9.7000000000000003E-3</v>
      </c>
      <c r="MV371" s="636">
        <v>9.7000000000000003E-3</v>
      </c>
      <c r="MW371" s="649">
        <v>9.7000000000000003E-3</v>
      </c>
      <c r="MX371" s="16"/>
      <c r="MY371" s="320">
        <v>8.6999999999999994E-3</v>
      </c>
      <c r="MZ371" s="153"/>
      <c r="NA371" s="153"/>
      <c r="NB371" s="153"/>
      <c r="NC371" s="648"/>
      <c r="ND371" s="641"/>
      <c r="NE371" s="631" t="s">
        <v>1842</v>
      </c>
      <c r="NF371" s="632"/>
      <c r="NG371" s="16"/>
      <c r="NH371" s="636">
        <v>1.5299999999999999E-2</v>
      </c>
      <c r="NI371" s="636">
        <v>1.5299999999999999E-2</v>
      </c>
      <c r="NJ371" s="636">
        <v>1.5299999999999999E-2</v>
      </c>
      <c r="NK371" s="636">
        <v>9.7000000000000003E-3</v>
      </c>
      <c r="NL371" s="636">
        <v>9.7000000000000003E-3</v>
      </c>
      <c r="NM371" s="649">
        <v>9.7000000000000003E-3</v>
      </c>
      <c r="NN371" s="16"/>
      <c r="NO371" s="320">
        <v>8.6999999999999994E-3</v>
      </c>
      <c r="NP371" s="153"/>
      <c r="NQ371" s="153"/>
      <c r="NR371" s="153"/>
      <c r="NS371" s="648"/>
      <c r="NT371" s="641"/>
      <c r="NU371" s="631" t="s">
        <v>1842</v>
      </c>
      <c r="NV371" s="632"/>
      <c r="NW371" s="16"/>
      <c r="NX371" s="636">
        <v>1.5299999999999999E-2</v>
      </c>
      <c r="NY371" s="636">
        <v>1.5299999999999999E-2</v>
      </c>
      <c r="NZ371" s="636">
        <v>1.5299999999999999E-2</v>
      </c>
      <c r="OA371" s="636">
        <v>9.7000000000000003E-3</v>
      </c>
      <c r="OB371" s="636">
        <v>9.7000000000000003E-3</v>
      </c>
      <c r="OC371" s="649">
        <v>9.7000000000000003E-3</v>
      </c>
      <c r="OD371" s="16"/>
      <c r="OE371" s="320">
        <v>8.6999999999999994E-3</v>
      </c>
      <c r="OF371" s="153"/>
      <c r="OG371" s="153"/>
      <c r="OH371" s="153"/>
      <c r="OI371" s="648"/>
      <c r="OJ371" s="641"/>
      <c r="OK371" s="631" t="s">
        <v>1842</v>
      </c>
      <c r="OL371" s="632"/>
      <c r="OM371" s="16"/>
      <c r="ON371" s="636">
        <v>1.5299999999999999E-2</v>
      </c>
      <c r="OO371" s="636">
        <v>1.5299999999999999E-2</v>
      </c>
      <c r="OP371" s="636">
        <v>1.5299999999999999E-2</v>
      </c>
      <c r="OQ371" s="636">
        <v>9.7000000000000003E-3</v>
      </c>
      <c r="OR371" s="636">
        <v>9.7000000000000003E-3</v>
      </c>
      <c r="OS371" s="649">
        <v>9.7000000000000003E-3</v>
      </c>
      <c r="OT371" s="16"/>
      <c r="OU371" s="320">
        <v>8.6999999999999994E-3</v>
      </c>
      <c r="OV371" s="153"/>
      <c r="OW371" s="153"/>
      <c r="OX371" s="153"/>
      <c r="OY371" s="648"/>
      <c r="OZ371" s="641"/>
      <c r="PA371" s="631" t="s">
        <v>1842</v>
      </c>
      <c r="PB371" s="632"/>
      <c r="PC371" s="16"/>
      <c r="PD371" s="636">
        <v>1.5299999999999999E-2</v>
      </c>
      <c r="PE371" s="636">
        <v>1.5299999999999999E-2</v>
      </c>
      <c r="PF371" s="636">
        <v>1.5299999999999999E-2</v>
      </c>
      <c r="PG371" s="636">
        <v>9.7000000000000003E-3</v>
      </c>
      <c r="PH371" s="636">
        <v>9.7000000000000003E-3</v>
      </c>
      <c r="PI371" s="649">
        <v>9.7000000000000003E-3</v>
      </c>
      <c r="PJ371" s="16"/>
      <c r="PK371" s="320">
        <v>8.6999999999999994E-3</v>
      </c>
      <c r="PL371" s="153"/>
      <c r="PM371" s="153"/>
      <c r="PN371" s="153"/>
      <c r="PO371" s="648"/>
      <c r="PP371" s="641"/>
      <c r="PQ371" s="631" t="s">
        <v>1842</v>
      </c>
      <c r="PR371" s="632"/>
      <c r="PS371" s="16"/>
      <c r="PT371" s="636">
        <v>1.5299999999999999E-2</v>
      </c>
      <c r="PU371" s="636">
        <v>1.5299999999999999E-2</v>
      </c>
      <c r="PV371" s="636">
        <v>1.5299999999999999E-2</v>
      </c>
      <c r="PW371" s="636">
        <v>9.7000000000000003E-3</v>
      </c>
      <c r="PX371" s="636">
        <v>9.7000000000000003E-3</v>
      </c>
      <c r="PY371" s="649">
        <v>9.7000000000000003E-3</v>
      </c>
      <c r="PZ371" s="16"/>
      <c r="QA371" s="320">
        <v>8.6999999999999994E-3</v>
      </c>
      <c r="QB371" s="153"/>
      <c r="QC371" s="153"/>
      <c r="QD371" s="153"/>
      <c r="QE371" s="648"/>
      <c r="QF371" s="641"/>
      <c r="QG371" s="631" t="s">
        <v>1842</v>
      </c>
      <c r="QH371" s="632"/>
      <c r="QI371" s="16"/>
      <c r="QJ371" s="636">
        <v>1.5299999999999999E-2</v>
      </c>
      <c r="QK371" s="636">
        <v>1.5299999999999999E-2</v>
      </c>
      <c r="QL371" s="636">
        <v>1.5299999999999999E-2</v>
      </c>
      <c r="QM371" s="636">
        <v>9.7000000000000003E-3</v>
      </c>
      <c r="QN371" s="636">
        <v>9.7000000000000003E-3</v>
      </c>
      <c r="QO371" s="649">
        <v>9.7000000000000003E-3</v>
      </c>
      <c r="QP371" s="16"/>
      <c r="QQ371" s="320">
        <v>8.6999999999999994E-3</v>
      </c>
      <c r="QR371" s="153"/>
      <c r="QS371" s="153"/>
      <c r="QT371" s="153"/>
      <c r="QU371" s="648"/>
      <c r="QV371" s="641"/>
      <c r="QW371" s="631" t="s">
        <v>1842</v>
      </c>
      <c r="QX371" s="632"/>
      <c r="QY371" s="16"/>
      <c r="QZ371" s="636">
        <v>1.5299999999999999E-2</v>
      </c>
      <c r="RA371" s="636">
        <v>1.5299999999999999E-2</v>
      </c>
      <c r="RB371" s="636">
        <v>1.5299999999999999E-2</v>
      </c>
      <c r="RC371" s="636">
        <v>9.7000000000000003E-3</v>
      </c>
      <c r="RD371" s="636">
        <v>9.7000000000000003E-3</v>
      </c>
      <c r="RE371" s="649">
        <v>9.7000000000000003E-3</v>
      </c>
      <c r="RF371" s="16"/>
      <c r="RG371" s="320">
        <v>8.6999999999999994E-3</v>
      </c>
      <c r="RH371" s="153"/>
      <c r="RI371" s="153"/>
      <c r="RJ371" s="153"/>
      <c r="RK371" s="648"/>
      <c r="RL371" s="641"/>
      <c r="RM371" s="631" t="s">
        <v>1842</v>
      </c>
      <c r="RN371" s="632"/>
      <c r="RO371" s="16"/>
      <c r="RP371" s="636">
        <v>1.5299999999999999E-2</v>
      </c>
      <c r="RQ371" s="636">
        <v>1.5299999999999999E-2</v>
      </c>
      <c r="RR371" s="636">
        <v>1.5299999999999999E-2</v>
      </c>
      <c r="RS371" s="636">
        <v>9.7000000000000003E-3</v>
      </c>
      <c r="RT371" s="636">
        <v>9.7000000000000003E-3</v>
      </c>
      <c r="RU371" s="649">
        <v>9.7000000000000003E-3</v>
      </c>
      <c r="RV371" s="16"/>
      <c r="RW371" s="320">
        <v>8.6999999999999994E-3</v>
      </c>
      <c r="RX371" s="153"/>
      <c r="RY371" s="153"/>
      <c r="RZ371" s="153"/>
      <c r="SA371" s="648"/>
      <c r="SB371" s="641"/>
      <c r="SC371" s="631" t="s">
        <v>1842</v>
      </c>
      <c r="SD371" s="632"/>
      <c r="SE371" s="16"/>
      <c r="SF371" s="636">
        <v>1.5299999999999999E-2</v>
      </c>
      <c r="SG371" s="636">
        <v>1.5299999999999999E-2</v>
      </c>
      <c r="SH371" s="636">
        <v>1.5299999999999999E-2</v>
      </c>
      <c r="SI371" s="636">
        <v>9.7000000000000003E-3</v>
      </c>
      <c r="SJ371" s="636">
        <v>9.7000000000000003E-3</v>
      </c>
      <c r="SK371" s="649">
        <v>9.7000000000000003E-3</v>
      </c>
      <c r="SL371" s="16"/>
      <c r="SM371" s="320">
        <v>8.6999999999999994E-3</v>
      </c>
      <c r="SN371" s="153"/>
      <c r="SO371" s="153"/>
      <c r="SP371" s="153"/>
      <c r="SQ371" s="648"/>
      <c r="SR371" s="641"/>
      <c r="SS371" s="631" t="s">
        <v>1842</v>
      </c>
      <c r="ST371" s="632"/>
      <c r="SU371" s="16"/>
      <c r="SV371" s="636">
        <v>1.5299999999999999E-2</v>
      </c>
      <c r="SW371" s="636">
        <v>1.5299999999999999E-2</v>
      </c>
      <c r="SX371" s="636">
        <v>1.5299999999999999E-2</v>
      </c>
      <c r="SY371" s="636">
        <v>9.7000000000000003E-3</v>
      </c>
      <c r="SZ371" s="636">
        <v>9.7000000000000003E-3</v>
      </c>
      <c r="TA371" s="649">
        <v>9.7000000000000003E-3</v>
      </c>
      <c r="TB371" s="16"/>
      <c r="TC371" s="320">
        <v>8.6999999999999994E-3</v>
      </c>
      <c r="TD371" s="153"/>
      <c r="TE371" s="153"/>
      <c r="TF371" s="153"/>
      <c r="TG371" s="648"/>
      <c r="TH371" s="641"/>
      <c r="TI371" s="631" t="s">
        <v>1842</v>
      </c>
      <c r="TJ371" s="632"/>
      <c r="TK371" s="16"/>
      <c r="TL371" s="636">
        <v>1.5299999999999999E-2</v>
      </c>
      <c r="TM371" s="636">
        <v>1.5299999999999999E-2</v>
      </c>
      <c r="TN371" s="636">
        <v>1.5299999999999999E-2</v>
      </c>
      <c r="TO371" s="636">
        <v>9.7000000000000003E-3</v>
      </c>
      <c r="TP371" s="636">
        <v>9.7000000000000003E-3</v>
      </c>
      <c r="TQ371" s="649">
        <v>9.7000000000000003E-3</v>
      </c>
      <c r="TR371" s="16"/>
      <c r="TS371" s="320">
        <v>8.6999999999999994E-3</v>
      </c>
      <c r="TT371" s="153"/>
      <c r="TU371" s="153"/>
      <c r="TV371" s="153"/>
      <c r="TW371" s="648"/>
      <c r="TX371" s="641"/>
      <c r="TY371" s="631" t="s">
        <v>1842</v>
      </c>
      <c r="TZ371" s="632"/>
      <c r="UA371" s="16"/>
      <c r="UB371" s="636">
        <v>1.5299999999999999E-2</v>
      </c>
      <c r="UC371" s="636">
        <v>1.5299999999999999E-2</v>
      </c>
      <c r="UD371" s="636">
        <v>1.5299999999999999E-2</v>
      </c>
      <c r="UE371" s="636">
        <v>9.7000000000000003E-3</v>
      </c>
      <c r="UF371" s="636">
        <v>9.7000000000000003E-3</v>
      </c>
      <c r="UG371" s="649">
        <v>9.7000000000000003E-3</v>
      </c>
      <c r="UH371" s="16"/>
      <c r="UI371" s="320">
        <v>8.6999999999999994E-3</v>
      </c>
      <c r="UJ371" s="153"/>
      <c r="UK371" s="153"/>
      <c r="UL371" s="153"/>
      <c r="UM371" s="648"/>
      <c r="UN371" s="641"/>
      <c r="UO371" s="631" t="s">
        <v>1842</v>
      </c>
      <c r="UP371" s="632"/>
      <c r="UQ371" s="16"/>
      <c r="UR371" s="636">
        <v>1.5299999999999999E-2</v>
      </c>
      <c r="US371" s="636">
        <v>1.5299999999999999E-2</v>
      </c>
      <c r="UT371" s="636">
        <v>1.5299999999999999E-2</v>
      </c>
      <c r="UU371" s="636">
        <v>9.7000000000000003E-3</v>
      </c>
      <c r="UV371" s="636">
        <v>9.7000000000000003E-3</v>
      </c>
      <c r="UW371" s="649">
        <v>9.7000000000000003E-3</v>
      </c>
      <c r="UX371" s="16"/>
      <c r="UY371" s="320">
        <v>8.6999999999999994E-3</v>
      </c>
      <c r="UZ371" s="153"/>
      <c r="VA371" s="153"/>
      <c r="VB371" s="153"/>
      <c r="VC371" s="648"/>
      <c r="VD371" s="641"/>
      <c r="VE371" s="631" t="s">
        <v>1842</v>
      </c>
      <c r="VF371" s="632"/>
      <c r="VG371" s="16"/>
      <c r="VH371" s="636">
        <v>1.5299999999999999E-2</v>
      </c>
      <c r="VI371" s="636">
        <v>1.5299999999999999E-2</v>
      </c>
      <c r="VJ371" s="636">
        <v>1.5299999999999999E-2</v>
      </c>
      <c r="VK371" s="636">
        <v>9.7000000000000003E-3</v>
      </c>
      <c r="VL371" s="636">
        <v>9.7000000000000003E-3</v>
      </c>
      <c r="VM371" s="649">
        <v>9.7000000000000003E-3</v>
      </c>
      <c r="VN371" s="16"/>
      <c r="VO371" s="320">
        <v>8.6999999999999994E-3</v>
      </c>
      <c r="VP371" s="153"/>
      <c r="VQ371" s="153"/>
      <c r="VR371" s="153"/>
      <c r="VS371" s="648"/>
      <c r="VT371" s="641"/>
      <c r="VU371" s="631" t="s">
        <v>1842</v>
      </c>
      <c r="VV371" s="632"/>
      <c r="VW371" s="16"/>
      <c r="VX371" s="636">
        <v>1.5299999999999999E-2</v>
      </c>
      <c r="VY371" s="636">
        <v>1.5299999999999999E-2</v>
      </c>
      <c r="VZ371" s="636">
        <v>1.5299999999999999E-2</v>
      </c>
      <c r="WA371" s="636">
        <v>9.7000000000000003E-3</v>
      </c>
      <c r="WB371" s="636">
        <v>9.7000000000000003E-3</v>
      </c>
      <c r="WC371" s="649">
        <v>9.7000000000000003E-3</v>
      </c>
      <c r="WD371" s="16"/>
      <c r="WE371" s="320">
        <v>8.6999999999999994E-3</v>
      </c>
      <c r="WF371" s="153"/>
      <c r="WG371" s="153"/>
      <c r="WH371" s="153"/>
      <c r="WI371" s="648"/>
      <c r="WJ371" s="641"/>
      <c r="WK371" s="631" t="s">
        <v>1842</v>
      </c>
      <c r="WL371" s="632"/>
      <c r="WM371" s="16"/>
      <c r="WN371" s="636">
        <v>1.5299999999999999E-2</v>
      </c>
      <c r="WO371" s="636">
        <v>1.5299999999999999E-2</v>
      </c>
      <c r="WP371" s="636">
        <v>1.5299999999999999E-2</v>
      </c>
      <c r="WQ371" s="636">
        <v>9.7000000000000003E-3</v>
      </c>
      <c r="WR371" s="636">
        <v>9.7000000000000003E-3</v>
      </c>
      <c r="WS371" s="649">
        <v>9.7000000000000003E-3</v>
      </c>
      <c r="WT371" s="16"/>
      <c r="WU371" s="320">
        <v>8.6999999999999994E-3</v>
      </c>
      <c r="WV371" s="153"/>
      <c r="WW371" s="153"/>
      <c r="WX371" s="153"/>
      <c r="WY371" s="648"/>
      <c r="WZ371" s="641"/>
      <c r="XA371" s="631" t="s">
        <v>1842</v>
      </c>
      <c r="XB371" s="632"/>
      <c r="XC371" s="16"/>
      <c r="XD371" s="636">
        <v>1.5299999999999999E-2</v>
      </c>
      <c r="XE371" s="636">
        <v>1.5299999999999999E-2</v>
      </c>
      <c r="XF371" s="636">
        <v>1.5299999999999999E-2</v>
      </c>
      <c r="XG371" s="636">
        <v>9.7000000000000003E-3</v>
      </c>
      <c r="XH371" s="636">
        <v>9.7000000000000003E-3</v>
      </c>
      <c r="XI371" s="649">
        <v>9.7000000000000003E-3</v>
      </c>
      <c r="XJ371" s="16"/>
      <c r="XK371" s="320">
        <v>8.6999999999999994E-3</v>
      </c>
      <c r="XL371" s="153"/>
      <c r="XM371" s="153"/>
      <c r="XN371" s="153"/>
      <c r="XO371" s="648"/>
      <c r="XP371" s="641"/>
      <c r="XQ371" s="631" t="s">
        <v>1842</v>
      </c>
      <c r="XR371" s="632"/>
      <c r="XS371" s="16"/>
      <c r="XT371" s="636">
        <v>1.5299999999999999E-2</v>
      </c>
      <c r="XU371" s="636">
        <v>1.5299999999999999E-2</v>
      </c>
      <c r="XV371" s="636">
        <v>1.5299999999999999E-2</v>
      </c>
      <c r="XW371" s="636">
        <v>9.7000000000000003E-3</v>
      </c>
      <c r="XX371" s="636">
        <v>9.7000000000000003E-3</v>
      </c>
      <c r="XY371" s="649">
        <v>9.7000000000000003E-3</v>
      </c>
      <c r="XZ371" s="16"/>
      <c r="YA371" s="320">
        <v>8.6999999999999994E-3</v>
      </c>
      <c r="YB371" s="153"/>
      <c r="YC371" s="153"/>
      <c r="YD371" s="153"/>
      <c r="YE371" s="648"/>
      <c r="YF371" s="641"/>
      <c r="YG371" s="631" t="s">
        <v>1842</v>
      </c>
      <c r="YH371" s="632"/>
      <c r="YI371" s="16"/>
      <c r="YJ371" s="636">
        <v>1.5299999999999999E-2</v>
      </c>
      <c r="YK371" s="636">
        <v>1.5299999999999999E-2</v>
      </c>
      <c r="YL371" s="636">
        <v>1.5299999999999999E-2</v>
      </c>
      <c r="YM371" s="636">
        <v>9.7000000000000003E-3</v>
      </c>
      <c r="YN371" s="636">
        <v>9.7000000000000003E-3</v>
      </c>
      <c r="YO371" s="649">
        <v>9.7000000000000003E-3</v>
      </c>
      <c r="YP371" s="16"/>
      <c r="YQ371" s="320">
        <v>8.6999999999999994E-3</v>
      </c>
      <c r="YR371" s="153"/>
      <c r="YS371" s="153"/>
      <c r="YT371" s="153"/>
      <c r="YU371" s="648"/>
      <c r="YV371" s="641"/>
      <c r="YW371" s="631" t="s">
        <v>1842</v>
      </c>
      <c r="YX371" s="632"/>
      <c r="YY371" s="16"/>
      <c r="YZ371" s="636">
        <v>1.5299999999999999E-2</v>
      </c>
      <c r="ZA371" s="636">
        <v>1.5299999999999999E-2</v>
      </c>
      <c r="ZB371" s="636">
        <v>1.5299999999999999E-2</v>
      </c>
      <c r="ZC371" s="636">
        <v>9.7000000000000003E-3</v>
      </c>
      <c r="ZD371" s="636">
        <v>9.7000000000000003E-3</v>
      </c>
      <c r="ZE371" s="649">
        <v>9.7000000000000003E-3</v>
      </c>
      <c r="ZF371" s="16"/>
      <c r="ZG371" s="320">
        <v>8.6999999999999994E-3</v>
      </c>
      <c r="ZH371" s="153"/>
      <c r="ZI371" s="153"/>
      <c r="ZJ371" s="153"/>
      <c r="ZK371" s="648"/>
      <c r="ZL371" s="641"/>
      <c r="ZM371" s="631" t="s">
        <v>1842</v>
      </c>
      <c r="ZN371" s="632"/>
      <c r="ZO371" s="16"/>
      <c r="ZP371" s="636">
        <v>1.5299999999999999E-2</v>
      </c>
      <c r="ZQ371" s="636">
        <v>1.5299999999999999E-2</v>
      </c>
      <c r="ZR371" s="636">
        <v>1.5299999999999999E-2</v>
      </c>
      <c r="ZS371" s="636">
        <v>9.7000000000000003E-3</v>
      </c>
      <c r="ZT371" s="636">
        <v>9.7000000000000003E-3</v>
      </c>
      <c r="ZU371" s="649">
        <v>9.7000000000000003E-3</v>
      </c>
      <c r="ZV371" s="16"/>
      <c r="ZW371" s="320">
        <v>8.6999999999999994E-3</v>
      </c>
      <c r="ZX371" s="153"/>
      <c r="ZY371" s="153"/>
      <c r="ZZ371" s="153"/>
      <c r="AAA371" s="648"/>
      <c r="AAB371" s="641"/>
      <c r="AAC371" s="631" t="s">
        <v>1842</v>
      </c>
      <c r="AAD371" s="632"/>
      <c r="AAE371" s="16"/>
      <c r="AAF371" s="636">
        <v>1.5299999999999999E-2</v>
      </c>
      <c r="AAG371" s="636">
        <v>1.5299999999999999E-2</v>
      </c>
      <c r="AAH371" s="636">
        <v>1.5299999999999999E-2</v>
      </c>
      <c r="AAI371" s="636">
        <v>9.7000000000000003E-3</v>
      </c>
      <c r="AAJ371" s="636">
        <v>9.7000000000000003E-3</v>
      </c>
      <c r="AAK371" s="649">
        <v>9.7000000000000003E-3</v>
      </c>
      <c r="AAL371" s="16"/>
      <c r="AAM371" s="320">
        <v>8.6999999999999994E-3</v>
      </c>
      <c r="AAN371" s="153"/>
      <c r="AAO371" s="153"/>
      <c r="AAP371" s="153"/>
      <c r="AAQ371" s="648"/>
      <c r="AAR371" s="641"/>
      <c r="AAS371" s="631" t="s">
        <v>1842</v>
      </c>
      <c r="AAT371" s="632"/>
      <c r="AAU371" s="16"/>
      <c r="AAV371" s="636">
        <v>1.5299999999999999E-2</v>
      </c>
      <c r="AAW371" s="636">
        <v>1.5299999999999999E-2</v>
      </c>
      <c r="AAX371" s="636">
        <v>1.5299999999999999E-2</v>
      </c>
      <c r="AAY371" s="636">
        <v>9.7000000000000003E-3</v>
      </c>
      <c r="AAZ371" s="636">
        <v>9.7000000000000003E-3</v>
      </c>
      <c r="ABA371" s="649">
        <v>9.7000000000000003E-3</v>
      </c>
      <c r="ABB371" s="16"/>
      <c r="ABC371" s="320">
        <v>8.6999999999999994E-3</v>
      </c>
      <c r="ABD371" s="153"/>
      <c r="ABE371" s="153"/>
      <c r="ABF371" s="153"/>
      <c r="ABG371" s="648"/>
      <c r="ABH371" s="641"/>
      <c r="ABI371" s="631" t="s">
        <v>1842</v>
      </c>
      <c r="ABJ371" s="632"/>
      <c r="ABK371" s="16"/>
      <c r="ABL371" s="636">
        <v>1.5299999999999999E-2</v>
      </c>
      <c r="ABM371" s="636">
        <v>1.5299999999999999E-2</v>
      </c>
      <c r="ABN371" s="636">
        <v>1.5299999999999999E-2</v>
      </c>
      <c r="ABO371" s="636">
        <v>9.7000000000000003E-3</v>
      </c>
      <c r="ABP371" s="636">
        <v>9.7000000000000003E-3</v>
      </c>
      <c r="ABQ371" s="649">
        <v>9.7000000000000003E-3</v>
      </c>
      <c r="ABR371" s="16"/>
      <c r="ABS371" s="320">
        <v>8.6999999999999994E-3</v>
      </c>
      <c r="ABT371" s="153"/>
      <c r="ABU371" s="153"/>
      <c r="ABV371" s="153"/>
      <c r="ABW371" s="648"/>
      <c r="ABX371" s="641"/>
      <c r="ABY371" s="631" t="s">
        <v>1842</v>
      </c>
      <c r="ABZ371" s="632"/>
      <c r="ACA371" s="16"/>
      <c r="ACB371" s="636">
        <v>1.5299999999999999E-2</v>
      </c>
      <c r="ACC371" s="636">
        <v>1.5299999999999999E-2</v>
      </c>
      <c r="ACD371" s="636">
        <v>1.5299999999999999E-2</v>
      </c>
      <c r="ACE371" s="636">
        <v>9.7000000000000003E-3</v>
      </c>
      <c r="ACF371" s="636">
        <v>9.7000000000000003E-3</v>
      </c>
      <c r="ACG371" s="649">
        <v>9.7000000000000003E-3</v>
      </c>
      <c r="ACH371" s="16"/>
      <c r="ACI371" s="320">
        <v>8.6999999999999994E-3</v>
      </c>
      <c r="ACJ371" s="153"/>
      <c r="ACK371" s="153"/>
      <c r="ACL371" s="153"/>
      <c r="ACM371" s="648"/>
      <c r="ACN371" s="641"/>
      <c r="ACO371" s="631" t="s">
        <v>1842</v>
      </c>
      <c r="ACP371" s="632"/>
      <c r="ACQ371" s="16"/>
      <c r="ACR371" s="636">
        <v>1.5299999999999999E-2</v>
      </c>
      <c r="ACS371" s="636">
        <v>1.5299999999999999E-2</v>
      </c>
      <c r="ACT371" s="636">
        <v>1.5299999999999999E-2</v>
      </c>
      <c r="ACU371" s="636">
        <v>9.7000000000000003E-3</v>
      </c>
      <c r="ACV371" s="636">
        <v>9.7000000000000003E-3</v>
      </c>
      <c r="ACW371" s="649">
        <v>9.7000000000000003E-3</v>
      </c>
      <c r="ACX371" s="16"/>
      <c r="ACY371" s="320">
        <v>8.6999999999999994E-3</v>
      </c>
      <c r="ACZ371" s="153"/>
      <c r="ADA371" s="153"/>
      <c r="ADB371" s="153"/>
      <c r="ADC371" s="648"/>
      <c r="ADD371" s="641"/>
      <c r="ADE371" s="631" t="s">
        <v>1842</v>
      </c>
      <c r="ADF371" s="632"/>
      <c r="ADG371" s="16"/>
      <c r="ADH371" s="636">
        <v>1.5299999999999999E-2</v>
      </c>
      <c r="ADI371" s="636">
        <v>1.5299999999999999E-2</v>
      </c>
      <c r="ADJ371" s="636">
        <v>1.5299999999999999E-2</v>
      </c>
      <c r="ADK371" s="636">
        <v>9.7000000000000003E-3</v>
      </c>
      <c r="ADL371" s="636">
        <v>9.7000000000000003E-3</v>
      </c>
      <c r="ADM371" s="649">
        <v>9.7000000000000003E-3</v>
      </c>
      <c r="ADN371" s="16"/>
      <c r="ADO371" s="320">
        <v>8.6999999999999994E-3</v>
      </c>
      <c r="ADP371" s="153"/>
      <c r="ADQ371" s="153"/>
      <c r="ADR371" s="153"/>
      <c r="ADS371" s="648"/>
      <c r="ADT371" s="641"/>
      <c r="ADU371" s="631" t="s">
        <v>1842</v>
      </c>
      <c r="ADV371" s="632"/>
      <c r="ADW371" s="16"/>
      <c r="ADX371" s="636">
        <v>1.5299999999999999E-2</v>
      </c>
      <c r="ADY371" s="636">
        <v>1.5299999999999999E-2</v>
      </c>
      <c r="ADZ371" s="636">
        <v>1.5299999999999999E-2</v>
      </c>
      <c r="AEA371" s="636">
        <v>9.7000000000000003E-3</v>
      </c>
      <c r="AEB371" s="636">
        <v>9.7000000000000003E-3</v>
      </c>
      <c r="AEC371" s="649">
        <v>9.7000000000000003E-3</v>
      </c>
      <c r="AED371" s="16"/>
      <c r="AEE371" s="320">
        <v>8.6999999999999994E-3</v>
      </c>
      <c r="AEF371" s="153"/>
      <c r="AEG371" s="153"/>
      <c r="AEH371" s="153"/>
      <c r="AEI371" s="648"/>
      <c r="AEJ371" s="641"/>
      <c r="AEK371" s="631" t="s">
        <v>1842</v>
      </c>
      <c r="AEL371" s="632"/>
      <c r="AEM371" s="16"/>
      <c r="AEN371" s="636">
        <v>1.5299999999999999E-2</v>
      </c>
      <c r="AEO371" s="636">
        <v>1.5299999999999999E-2</v>
      </c>
      <c r="AEP371" s="636">
        <v>1.5299999999999999E-2</v>
      </c>
      <c r="AEQ371" s="636">
        <v>9.7000000000000003E-3</v>
      </c>
      <c r="AER371" s="636">
        <v>9.7000000000000003E-3</v>
      </c>
      <c r="AES371" s="649">
        <v>9.7000000000000003E-3</v>
      </c>
      <c r="AET371" s="16"/>
      <c r="AEU371" s="320">
        <v>8.6999999999999994E-3</v>
      </c>
      <c r="AEV371" s="153"/>
      <c r="AEW371" s="153"/>
      <c r="AEX371" s="153"/>
      <c r="AEY371" s="648"/>
      <c r="AEZ371" s="641"/>
      <c r="AFA371" s="631" t="s">
        <v>1842</v>
      </c>
      <c r="AFB371" s="632"/>
      <c r="AFC371" s="16"/>
      <c r="AFD371" s="636">
        <v>1.5299999999999999E-2</v>
      </c>
      <c r="AFE371" s="636">
        <v>1.5299999999999999E-2</v>
      </c>
      <c r="AFF371" s="636">
        <v>1.5299999999999999E-2</v>
      </c>
      <c r="AFG371" s="636">
        <v>9.7000000000000003E-3</v>
      </c>
      <c r="AFH371" s="636">
        <v>9.7000000000000003E-3</v>
      </c>
      <c r="AFI371" s="649">
        <v>9.7000000000000003E-3</v>
      </c>
      <c r="AFJ371" s="16"/>
      <c r="AFK371" s="320">
        <v>8.6999999999999994E-3</v>
      </c>
      <c r="AFL371" s="153"/>
      <c r="AFM371" s="153"/>
      <c r="AFN371" s="153"/>
      <c r="AFO371" s="648"/>
      <c r="AFP371" s="641"/>
      <c r="AFQ371" s="631" t="s">
        <v>1842</v>
      </c>
      <c r="AFR371" s="632"/>
      <c r="AFS371" s="16"/>
      <c r="AFT371" s="636">
        <v>1.5299999999999999E-2</v>
      </c>
      <c r="AFU371" s="636">
        <v>1.5299999999999999E-2</v>
      </c>
      <c r="AFV371" s="636">
        <v>1.5299999999999999E-2</v>
      </c>
      <c r="AFW371" s="636">
        <v>9.7000000000000003E-3</v>
      </c>
      <c r="AFX371" s="636">
        <v>9.7000000000000003E-3</v>
      </c>
      <c r="AFY371" s="649">
        <v>9.7000000000000003E-3</v>
      </c>
      <c r="AFZ371" s="16"/>
      <c r="AGA371" s="320">
        <v>8.6999999999999994E-3</v>
      </c>
      <c r="AGB371" s="153"/>
      <c r="AGC371" s="153"/>
      <c r="AGD371" s="153"/>
      <c r="AGE371" s="648"/>
      <c r="AGF371" s="641"/>
      <c r="AGG371" s="631" t="s">
        <v>1842</v>
      </c>
      <c r="AGH371" s="632"/>
      <c r="AGI371" s="16"/>
      <c r="AGJ371" s="636">
        <v>1.5299999999999999E-2</v>
      </c>
      <c r="AGK371" s="636">
        <v>1.5299999999999999E-2</v>
      </c>
      <c r="AGL371" s="636">
        <v>1.5299999999999999E-2</v>
      </c>
      <c r="AGM371" s="636">
        <v>9.7000000000000003E-3</v>
      </c>
      <c r="AGN371" s="636">
        <v>9.7000000000000003E-3</v>
      </c>
      <c r="AGO371" s="649">
        <v>9.7000000000000003E-3</v>
      </c>
      <c r="AGP371" s="16"/>
      <c r="AGQ371" s="320">
        <v>8.6999999999999994E-3</v>
      </c>
      <c r="AGR371" s="153"/>
      <c r="AGS371" s="153"/>
      <c r="AGT371" s="153"/>
      <c r="AGU371" s="648"/>
      <c r="AGV371" s="641"/>
      <c r="AGW371" s="631" t="s">
        <v>1842</v>
      </c>
      <c r="AGX371" s="632"/>
      <c r="AGY371" s="16"/>
      <c r="AGZ371" s="636">
        <v>1.5299999999999999E-2</v>
      </c>
      <c r="AHA371" s="636">
        <v>1.5299999999999999E-2</v>
      </c>
      <c r="AHB371" s="636">
        <v>1.5299999999999999E-2</v>
      </c>
      <c r="AHC371" s="636">
        <v>9.7000000000000003E-3</v>
      </c>
      <c r="AHD371" s="636">
        <v>9.7000000000000003E-3</v>
      </c>
      <c r="AHE371" s="649">
        <v>9.7000000000000003E-3</v>
      </c>
      <c r="AHF371" s="16"/>
      <c r="AHG371" s="320">
        <v>8.6999999999999994E-3</v>
      </c>
      <c r="AHH371" s="153"/>
      <c r="AHI371" s="153"/>
      <c r="AHJ371" s="153"/>
      <c r="AHK371" s="648"/>
      <c r="AHL371" s="641"/>
      <c r="AHM371" s="631" t="s">
        <v>1842</v>
      </c>
      <c r="AHN371" s="632"/>
      <c r="AHO371" s="16"/>
      <c r="AHP371" s="636">
        <v>1.5299999999999999E-2</v>
      </c>
      <c r="AHQ371" s="636">
        <v>1.5299999999999999E-2</v>
      </c>
      <c r="AHR371" s="636">
        <v>1.5299999999999999E-2</v>
      </c>
      <c r="AHS371" s="636">
        <v>9.7000000000000003E-3</v>
      </c>
      <c r="AHT371" s="636">
        <v>9.7000000000000003E-3</v>
      </c>
      <c r="AHU371" s="649">
        <v>9.7000000000000003E-3</v>
      </c>
      <c r="AHV371" s="16"/>
      <c r="AHW371" s="320">
        <v>8.6999999999999994E-3</v>
      </c>
      <c r="AHX371" s="153"/>
      <c r="AHY371" s="153"/>
      <c r="AHZ371" s="153"/>
      <c r="AIA371" s="648"/>
      <c r="AIB371" s="641"/>
      <c r="AIC371" s="631" t="s">
        <v>1842</v>
      </c>
      <c r="AID371" s="632"/>
      <c r="AIE371" s="16"/>
      <c r="AIF371" s="636">
        <v>1.5299999999999999E-2</v>
      </c>
      <c r="AIG371" s="636">
        <v>1.5299999999999999E-2</v>
      </c>
      <c r="AIH371" s="636">
        <v>1.5299999999999999E-2</v>
      </c>
      <c r="AII371" s="636">
        <v>9.7000000000000003E-3</v>
      </c>
      <c r="AIJ371" s="636">
        <v>9.7000000000000003E-3</v>
      </c>
      <c r="AIK371" s="649">
        <v>9.7000000000000003E-3</v>
      </c>
      <c r="AIL371" s="16"/>
      <c r="AIM371" s="320">
        <v>8.6999999999999994E-3</v>
      </c>
      <c r="AIN371" s="153"/>
      <c r="AIO371" s="153"/>
      <c r="AIP371" s="153"/>
      <c r="AIQ371" s="648"/>
      <c r="AIR371" s="641"/>
      <c r="AIS371" s="631" t="s">
        <v>1842</v>
      </c>
      <c r="AIT371" s="632"/>
      <c r="AIU371" s="16"/>
      <c r="AIV371" s="636">
        <v>1.5299999999999999E-2</v>
      </c>
      <c r="AIW371" s="636">
        <v>1.5299999999999999E-2</v>
      </c>
      <c r="AIX371" s="636">
        <v>1.5299999999999999E-2</v>
      </c>
      <c r="AIY371" s="636">
        <v>9.7000000000000003E-3</v>
      </c>
      <c r="AIZ371" s="636">
        <v>9.7000000000000003E-3</v>
      </c>
      <c r="AJA371" s="649">
        <v>9.7000000000000003E-3</v>
      </c>
      <c r="AJB371" s="16"/>
      <c r="AJC371" s="320">
        <v>8.6999999999999994E-3</v>
      </c>
      <c r="AJD371" s="153"/>
      <c r="AJE371" s="153"/>
      <c r="AJF371" s="153"/>
      <c r="AJG371" s="648"/>
      <c r="AJH371" s="641"/>
      <c r="AJI371" s="631" t="s">
        <v>1842</v>
      </c>
      <c r="AJJ371" s="632"/>
      <c r="AJK371" s="16"/>
      <c r="AJL371" s="636">
        <v>1.5299999999999999E-2</v>
      </c>
      <c r="AJM371" s="636">
        <v>1.5299999999999999E-2</v>
      </c>
      <c r="AJN371" s="636">
        <v>1.5299999999999999E-2</v>
      </c>
      <c r="AJO371" s="636">
        <v>9.7000000000000003E-3</v>
      </c>
      <c r="AJP371" s="636">
        <v>9.7000000000000003E-3</v>
      </c>
      <c r="AJQ371" s="649">
        <v>9.7000000000000003E-3</v>
      </c>
      <c r="AJR371" s="16"/>
      <c r="AJS371" s="320">
        <v>8.6999999999999994E-3</v>
      </c>
      <c r="AJT371" s="153"/>
      <c r="AJU371" s="153"/>
      <c r="AJV371" s="153"/>
      <c r="AJW371" s="648"/>
      <c r="AJX371" s="641"/>
      <c r="AJY371" s="631" t="s">
        <v>1842</v>
      </c>
      <c r="AJZ371" s="632"/>
      <c r="AKA371" s="16"/>
      <c r="AKB371" s="636">
        <v>1.5299999999999999E-2</v>
      </c>
      <c r="AKC371" s="636">
        <v>1.5299999999999999E-2</v>
      </c>
      <c r="AKD371" s="636">
        <v>1.5299999999999999E-2</v>
      </c>
      <c r="AKE371" s="636">
        <v>9.7000000000000003E-3</v>
      </c>
      <c r="AKF371" s="636">
        <v>9.7000000000000003E-3</v>
      </c>
      <c r="AKG371" s="649">
        <v>9.7000000000000003E-3</v>
      </c>
      <c r="AKH371" s="16"/>
      <c r="AKI371" s="320">
        <v>8.6999999999999994E-3</v>
      </c>
      <c r="AKJ371" s="153"/>
      <c r="AKK371" s="153"/>
      <c r="AKL371" s="153"/>
      <c r="AKM371" s="648"/>
      <c r="AKN371" s="641"/>
      <c r="AKO371" s="631" t="s">
        <v>1842</v>
      </c>
      <c r="AKP371" s="632"/>
      <c r="AKQ371" s="16"/>
      <c r="AKR371" s="636">
        <v>1.5299999999999999E-2</v>
      </c>
      <c r="AKS371" s="636">
        <v>1.5299999999999999E-2</v>
      </c>
      <c r="AKT371" s="636">
        <v>1.5299999999999999E-2</v>
      </c>
      <c r="AKU371" s="636">
        <v>9.7000000000000003E-3</v>
      </c>
      <c r="AKV371" s="636">
        <v>9.7000000000000003E-3</v>
      </c>
      <c r="AKW371" s="649">
        <v>9.7000000000000003E-3</v>
      </c>
      <c r="AKX371" s="16"/>
      <c r="AKY371" s="320">
        <v>8.6999999999999994E-3</v>
      </c>
      <c r="AKZ371" s="153"/>
      <c r="ALA371" s="153"/>
      <c r="ALB371" s="153"/>
      <c r="ALC371" s="648"/>
      <c r="ALD371" s="641"/>
      <c r="ALE371" s="631" t="s">
        <v>1842</v>
      </c>
      <c r="ALF371" s="632"/>
      <c r="ALG371" s="16"/>
      <c r="ALH371" s="636">
        <v>1.5299999999999999E-2</v>
      </c>
      <c r="ALI371" s="636">
        <v>1.5299999999999999E-2</v>
      </c>
      <c r="ALJ371" s="636">
        <v>1.5299999999999999E-2</v>
      </c>
      <c r="ALK371" s="636">
        <v>9.7000000000000003E-3</v>
      </c>
      <c r="ALL371" s="636">
        <v>9.7000000000000003E-3</v>
      </c>
      <c r="ALM371" s="649">
        <v>9.7000000000000003E-3</v>
      </c>
      <c r="ALN371" s="16"/>
      <c r="ALO371" s="320">
        <v>8.6999999999999994E-3</v>
      </c>
      <c r="ALP371" s="153"/>
      <c r="ALQ371" s="153"/>
      <c r="ALR371" s="153"/>
      <c r="ALS371" s="648"/>
      <c r="ALT371" s="641"/>
      <c r="ALU371" s="631" t="s">
        <v>1842</v>
      </c>
      <c r="ALV371" s="632"/>
      <c r="ALW371" s="16"/>
      <c r="ALX371" s="636">
        <v>1.5299999999999999E-2</v>
      </c>
      <c r="ALY371" s="636">
        <v>1.5299999999999999E-2</v>
      </c>
      <c r="ALZ371" s="636">
        <v>1.5299999999999999E-2</v>
      </c>
      <c r="AMA371" s="636">
        <v>9.7000000000000003E-3</v>
      </c>
      <c r="AMB371" s="636">
        <v>9.7000000000000003E-3</v>
      </c>
      <c r="AMC371" s="649">
        <v>9.7000000000000003E-3</v>
      </c>
      <c r="AMD371" s="16"/>
      <c r="AME371" s="320">
        <v>8.6999999999999994E-3</v>
      </c>
      <c r="AMF371" s="153"/>
      <c r="AMG371" s="153"/>
      <c r="AMH371" s="153"/>
      <c r="AMI371" s="648"/>
      <c r="AMJ371" s="641"/>
      <c r="AMK371" s="631" t="s">
        <v>1842</v>
      </c>
      <c r="AML371" s="632"/>
      <c r="AMM371" s="16"/>
      <c r="AMN371" s="636">
        <v>1.5299999999999999E-2</v>
      </c>
      <c r="AMO371" s="636">
        <v>1.5299999999999999E-2</v>
      </c>
      <c r="AMP371" s="636">
        <v>1.5299999999999999E-2</v>
      </c>
      <c r="AMQ371" s="636">
        <v>9.7000000000000003E-3</v>
      </c>
      <c r="AMR371" s="636">
        <v>9.7000000000000003E-3</v>
      </c>
      <c r="AMS371" s="649">
        <v>9.7000000000000003E-3</v>
      </c>
      <c r="AMT371" s="16"/>
      <c r="AMU371" s="320">
        <v>8.6999999999999994E-3</v>
      </c>
      <c r="AMV371" s="153"/>
      <c r="AMW371" s="153"/>
      <c r="AMX371" s="153"/>
      <c r="AMY371" s="648"/>
      <c r="AMZ371" s="641"/>
      <c r="ANA371" s="631" t="s">
        <v>1842</v>
      </c>
      <c r="ANB371" s="632"/>
      <c r="ANC371" s="16"/>
      <c r="AND371" s="636">
        <v>1.5299999999999999E-2</v>
      </c>
      <c r="ANE371" s="636">
        <v>1.5299999999999999E-2</v>
      </c>
      <c r="ANF371" s="636">
        <v>1.5299999999999999E-2</v>
      </c>
      <c r="ANG371" s="636">
        <v>9.7000000000000003E-3</v>
      </c>
      <c r="ANH371" s="636">
        <v>9.7000000000000003E-3</v>
      </c>
      <c r="ANI371" s="649">
        <v>9.7000000000000003E-3</v>
      </c>
      <c r="ANJ371" s="16"/>
      <c r="ANK371" s="320">
        <v>8.6999999999999994E-3</v>
      </c>
      <c r="ANL371" s="153"/>
      <c r="ANM371" s="153"/>
      <c r="ANN371" s="153"/>
      <c r="ANO371" s="648"/>
      <c r="ANP371" s="641"/>
      <c r="ANQ371" s="631" t="s">
        <v>1842</v>
      </c>
      <c r="ANR371" s="632"/>
      <c r="ANS371" s="16"/>
      <c r="ANT371" s="636">
        <v>1.5299999999999999E-2</v>
      </c>
      <c r="ANU371" s="636">
        <v>1.5299999999999999E-2</v>
      </c>
      <c r="ANV371" s="636">
        <v>1.5299999999999999E-2</v>
      </c>
      <c r="ANW371" s="636">
        <v>9.7000000000000003E-3</v>
      </c>
      <c r="ANX371" s="636">
        <v>9.7000000000000003E-3</v>
      </c>
      <c r="ANY371" s="649">
        <v>9.7000000000000003E-3</v>
      </c>
      <c r="ANZ371" s="16"/>
      <c r="AOA371" s="320">
        <v>8.6999999999999994E-3</v>
      </c>
      <c r="AOB371" s="153"/>
      <c r="AOC371" s="153"/>
      <c r="AOD371" s="153"/>
      <c r="AOE371" s="648"/>
      <c r="AOF371" s="641"/>
      <c r="AOG371" s="631" t="s">
        <v>1842</v>
      </c>
      <c r="AOH371" s="632"/>
      <c r="AOI371" s="16"/>
      <c r="AOJ371" s="636">
        <v>1.5299999999999999E-2</v>
      </c>
      <c r="AOK371" s="636">
        <v>1.5299999999999999E-2</v>
      </c>
      <c r="AOL371" s="636">
        <v>1.5299999999999999E-2</v>
      </c>
      <c r="AOM371" s="636">
        <v>9.7000000000000003E-3</v>
      </c>
      <c r="AON371" s="636">
        <v>9.7000000000000003E-3</v>
      </c>
      <c r="AOO371" s="649">
        <v>9.7000000000000003E-3</v>
      </c>
      <c r="AOP371" s="16"/>
      <c r="AOQ371" s="320">
        <v>8.6999999999999994E-3</v>
      </c>
      <c r="AOR371" s="153"/>
      <c r="AOS371" s="153"/>
      <c r="AOT371" s="153"/>
      <c r="AOU371" s="648"/>
      <c r="AOV371" s="641"/>
      <c r="AOW371" s="631" t="s">
        <v>1842</v>
      </c>
      <c r="AOX371" s="632"/>
      <c r="AOY371" s="16"/>
      <c r="AOZ371" s="636">
        <v>1.5299999999999999E-2</v>
      </c>
      <c r="APA371" s="636">
        <v>1.5299999999999999E-2</v>
      </c>
      <c r="APB371" s="636">
        <v>1.5299999999999999E-2</v>
      </c>
      <c r="APC371" s="636">
        <v>9.7000000000000003E-3</v>
      </c>
      <c r="APD371" s="636">
        <v>9.7000000000000003E-3</v>
      </c>
      <c r="APE371" s="649">
        <v>9.7000000000000003E-3</v>
      </c>
      <c r="APF371" s="16"/>
      <c r="APG371" s="320">
        <v>8.6999999999999994E-3</v>
      </c>
      <c r="APH371" s="153"/>
      <c r="API371" s="153"/>
      <c r="APJ371" s="153"/>
      <c r="APK371" s="648"/>
      <c r="APL371" s="641"/>
      <c r="APM371" s="631" t="s">
        <v>1842</v>
      </c>
      <c r="APN371" s="632"/>
      <c r="APO371" s="16"/>
      <c r="APP371" s="636">
        <v>1.5299999999999999E-2</v>
      </c>
      <c r="APQ371" s="636">
        <v>1.5299999999999999E-2</v>
      </c>
      <c r="APR371" s="636">
        <v>1.5299999999999999E-2</v>
      </c>
      <c r="APS371" s="636">
        <v>9.7000000000000003E-3</v>
      </c>
      <c r="APT371" s="636">
        <v>9.7000000000000003E-3</v>
      </c>
      <c r="APU371" s="649">
        <v>9.7000000000000003E-3</v>
      </c>
      <c r="APV371" s="16"/>
      <c r="APW371" s="320">
        <v>8.6999999999999994E-3</v>
      </c>
      <c r="APX371" s="153"/>
      <c r="APY371" s="153"/>
      <c r="APZ371" s="153"/>
      <c r="AQA371" s="648"/>
      <c r="AQB371" s="641"/>
      <c r="AQC371" s="631" t="s">
        <v>1842</v>
      </c>
      <c r="AQD371" s="632"/>
      <c r="AQE371" s="16"/>
      <c r="AQF371" s="636">
        <v>1.5299999999999999E-2</v>
      </c>
      <c r="AQG371" s="636">
        <v>1.5299999999999999E-2</v>
      </c>
      <c r="AQH371" s="636">
        <v>1.5299999999999999E-2</v>
      </c>
      <c r="AQI371" s="636">
        <v>9.7000000000000003E-3</v>
      </c>
      <c r="AQJ371" s="636">
        <v>9.7000000000000003E-3</v>
      </c>
      <c r="AQK371" s="649">
        <v>9.7000000000000003E-3</v>
      </c>
      <c r="AQL371" s="16"/>
      <c r="AQM371" s="320">
        <v>8.6999999999999994E-3</v>
      </c>
      <c r="AQN371" s="153"/>
      <c r="AQO371" s="153"/>
      <c r="AQP371" s="153"/>
      <c r="AQQ371" s="648"/>
      <c r="AQR371" s="641"/>
      <c r="AQS371" s="631" t="s">
        <v>1842</v>
      </c>
      <c r="AQT371" s="632"/>
      <c r="AQU371" s="16"/>
      <c r="AQV371" s="636">
        <v>1.5299999999999999E-2</v>
      </c>
      <c r="AQW371" s="636">
        <v>1.5299999999999999E-2</v>
      </c>
      <c r="AQX371" s="636">
        <v>1.5299999999999999E-2</v>
      </c>
      <c r="AQY371" s="636">
        <v>9.7000000000000003E-3</v>
      </c>
      <c r="AQZ371" s="636">
        <v>9.7000000000000003E-3</v>
      </c>
      <c r="ARA371" s="649">
        <v>9.7000000000000003E-3</v>
      </c>
      <c r="ARB371" s="16"/>
      <c r="ARC371" s="320">
        <v>8.6999999999999994E-3</v>
      </c>
      <c r="ARD371" s="153"/>
      <c r="ARE371" s="153"/>
      <c r="ARF371" s="153"/>
      <c r="ARG371" s="648"/>
      <c r="ARH371" s="641"/>
      <c r="ARI371" s="631" t="s">
        <v>1842</v>
      </c>
      <c r="ARJ371" s="632"/>
      <c r="ARK371" s="16"/>
      <c r="ARL371" s="636">
        <v>1.5299999999999999E-2</v>
      </c>
      <c r="ARM371" s="636">
        <v>1.5299999999999999E-2</v>
      </c>
      <c r="ARN371" s="636">
        <v>1.5299999999999999E-2</v>
      </c>
      <c r="ARO371" s="636">
        <v>9.7000000000000003E-3</v>
      </c>
      <c r="ARP371" s="636">
        <v>9.7000000000000003E-3</v>
      </c>
      <c r="ARQ371" s="649">
        <v>9.7000000000000003E-3</v>
      </c>
      <c r="ARR371" s="16"/>
      <c r="ARS371" s="320">
        <v>8.6999999999999994E-3</v>
      </c>
      <c r="ART371" s="153"/>
      <c r="ARU371" s="153"/>
      <c r="ARV371" s="153"/>
      <c r="ARW371" s="648"/>
      <c r="ARX371" s="641"/>
      <c r="ARY371" s="631" t="s">
        <v>1842</v>
      </c>
      <c r="ARZ371" s="632"/>
      <c r="ASA371" s="16"/>
      <c r="ASB371" s="636">
        <v>1.5299999999999999E-2</v>
      </c>
      <c r="ASC371" s="636">
        <v>1.5299999999999999E-2</v>
      </c>
      <c r="ASD371" s="636">
        <v>1.5299999999999999E-2</v>
      </c>
      <c r="ASE371" s="636">
        <v>9.7000000000000003E-3</v>
      </c>
      <c r="ASF371" s="636">
        <v>9.7000000000000003E-3</v>
      </c>
      <c r="ASG371" s="649">
        <v>9.7000000000000003E-3</v>
      </c>
      <c r="ASH371" s="16"/>
      <c r="ASI371" s="320">
        <v>8.6999999999999994E-3</v>
      </c>
      <c r="ASJ371" s="153"/>
      <c r="ASK371" s="153"/>
      <c r="ASL371" s="153"/>
      <c r="ASM371" s="648"/>
      <c r="ASN371" s="641"/>
      <c r="ASO371" s="631" t="s">
        <v>1842</v>
      </c>
      <c r="ASP371" s="632"/>
      <c r="ASQ371" s="16"/>
      <c r="ASR371" s="636">
        <v>1.5299999999999999E-2</v>
      </c>
      <c r="ASS371" s="636">
        <v>1.5299999999999999E-2</v>
      </c>
      <c r="AST371" s="636">
        <v>1.5299999999999999E-2</v>
      </c>
      <c r="ASU371" s="636">
        <v>9.7000000000000003E-3</v>
      </c>
      <c r="ASV371" s="636">
        <v>9.7000000000000003E-3</v>
      </c>
      <c r="ASW371" s="649">
        <v>9.7000000000000003E-3</v>
      </c>
      <c r="ASX371" s="16"/>
      <c r="ASY371" s="320">
        <v>8.6999999999999994E-3</v>
      </c>
      <c r="ASZ371" s="153"/>
      <c r="ATA371" s="153"/>
      <c r="ATB371" s="153"/>
      <c r="ATC371" s="648"/>
      <c r="ATD371" s="641"/>
      <c r="ATE371" s="631" t="s">
        <v>1842</v>
      </c>
      <c r="ATF371" s="632"/>
      <c r="ATG371" s="16"/>
      <c r="ATH371" s="636">
        <v>1.5299999999999999E-2</v>
      </c>
      <c r="ATI371" s="636">
        <v>1.5299999999999999E-2</v>
      </c>
      <c r="ATJ371" s="636">
        <v>1.5299999999999999E-2</v>
      </c>
      <c r="ATK371" s="636">
        <v>9.7000000000000003E-3</v>
      </c>
      <c r="ATL371" s="636">
        <v>9.7000000000000003E-3</v>
      </c>
      <c r="ATM371" s="649">
        <v>9.7000000000000003E-3</v>
      </c>
      <c r="ATN371" s="16"/>
      <c r="ATO371" s="320">
        <v>8.6999999999999994E-3</v>
      </c>
      <c r="ATP371" s="153"/>
      <c r="ATQ371" s="153"/>
      <c r="ATR371" s="153"/>
      <c r="ATS371" s="648"/>
      <c r="ATT371" s="641"/>
      <c r="ATU371" s="631" t="s">
        <v>1842</v>
      </c>
      <c r="ATV371" s="632"/>
      <c r="ATW371" s="16"/>
      <c r="ATX371" s="636">
        <v>1.5299999999999999E-2</v>
      </c>
      <c r="ATY371" s="636">
        <v>1.5299999999999999E-2</v>
      </c>
      <c r="ATZ371" s="636">
        <v>1.5299999999999999E-2</v>
      </c>
      <c r="AUA371" s="636">
        <v>9.7000000000000003E-3</v>
      </c>
      <c r="AUB371" s="636">
        <v>9.7000000000000003E-3</v>
      </c>
      <c r="AUC371" s="649">
        <v>9.7000000000000003E-3</v>
      </c>
      <c r="AUD371" s="16"/>
      <c r="AUE371" s="320">
        <v>8.6999999999999994E-3</v>
      </c>
      <c r="AUF371" s="153"/>
      <c r="AUG371" s="153"/>
      <c r="AUH371" s="153"/>
      <c r="AUI371" s="648"/>
      <c r="AUJ371" s="641"/>
      <c r="AUK371" s="631" t="s">
        <v>1842</v>
      </c>
      <c r="AUL371" s="632"/>
      <c r="AUM371" s="16"/>
      <c r="AUN371" s="636">
        <v>1.5299999999999999E-2</v>
      </c>
      <c r="AUO371" s="636">
        <v>1.5299999999999999E-2</v>
      </c>
      <c r="AUP371" s="636">
        <v>1.5299999999999999E-2</v>
      </c>
      <c r="AUQ371" s="636">
        <v>9.7000000000000003E-3</v>
      </c>
      <c r="AUR371" s="636">
        <v>9.7000000000000003E-3</v>
      </c>
      <c r="AUS371" s="649">
        <v>9.7000000000000003E-3</v>
      </c>
      <c r="AUT371" s="16"/>
      <c r="AUU371" s="320">
        <v>8.6999999999999994E-3</v>
      </c>
      <c r="AUV371" s="153"/>
      <c r="AUW371" s="153"/>
      <c r="AUX371" s="153"/>
      <c r="AUY371" s="648"/>
      <c r="AUZ371" s="641"/>
      <c r="AVA371" s="631" t="s">
        <v>1842</v>
      </c>
      <c r="AVB371" s="632"/>
      <c r="AVC371" s="16"/>
      <c r="AVD371" s="636">
        <v>1.5299999999999999E-2</v>
      </c>
      <c r="AVE371" s="636">
        <v>1.5299999999999999E-2</v>
      </c>
      <c r="AVF371" s="636">
        <v>1.5299999999999999E-2</v>
      </c>
      <c r="AVG371" s="636">
        <v>9.7000000000000003E-3</v>
      </c>
      <c r="AVH371" s="636">
        <v>9.7000000000000003E-3</v>
      </c>
      <c r="AVI371" s="649">
        <v>9.7000000000000003E-3</v>
      </c>
      <c r="AVJ371" s="16"/>
      <c r="AVK371" s="320">
        <v>8.6999999999999994E-3</v>
      </c>
      <c r="AVL371" s="153"/>
      <c r="AVM371" s="153"/>
      <c r="AVN371" s="153"/>
      <c r="AVO371" s="648"/>
      <c r="AVP371" s="641"/>
      <c r="AVQ371" s="631" t="s">
        <v>1842</v>
      </c>
      <c r="AVR371" s="632"/>
      <c r="AVS371" s="16"/>
      <c r="AVT371" s="636">
        <v>1.5299999999999999E-2</v>
      </c>
      <c r="AVU371" s="636">
        <v>1.5299999999999999E-2</v>
      </c>
      <c r="AVV371" s="636">
        <v>1.5299999999999999E-2</v>
      </c>
      <c r="AVW371" s="636">
        <v>9.7000000000000003E-3</v>
      </c>
      <c r="AVX371" s="636">
        <v>9.7000000000000003E-3</v>
      </c>
      <c r="AVY371" s="649">
        <v>9.7000000000000003E-3</v>
      </c>
      <c r="AVZ371" s="16"/>
      <c r="AWA371" s="320">
        <v>8.6999999999999994E-3</v>
      </c>
      <c r="AWB371" s="153"/>
      <c r="AWC371" s="153"/>
      <c r="AWD371" s="153"/>
      <c r="AWE371" s="648"/>
      <c r="AWF371" s="641"/>
      <c r="AWG371" s="631" t="s">
        <v>1842</v>
      </c>
      <c r="AWH371" s="632"/>
      <c r="AWI371" s="16"/>
      <c r="AWJ371" s="636">
        <v>1.5299999999999999E-2</v>
      </c>
      <c r="AWK371" s="636">
        <v>1.5299999999999999E-2</v>
      </c>
      <c r="AWL371" s="636">
        <v>1.5299999999999999E-2</v>
      </c>
      <c r="AWM371" s="636">
        <v>9.7000000000000003E-3</v>
      </c>
      <c r="AWN371" s="636">
        <v>9.7000000000000003E-3</v>
      </c>
      <c r="AWO371" s="649">
        <v>9.7000000000000003E-3</v>
      </c>
      <c r="AWP371" s="16"/>
      <c r="AWQ371" s="320">
        <v>8.6999999999999994E-3</v>
      </c>
      <c r="AWR371" s="153"/>
      <c r="AWS371" s="153"/>
      <c r="AWT371" s="153"/>
      <c r="AWU371" s="648"/>
      <c r="AWV371" s="641"/>
      <c r="AWW371" s="631" t="s">
        <v>1842</v>
      </c>
      <c r="AWX371" s="632"/>
      <c r="AWY371" s="16"/>
      <c r="AWZ371" s="636">
        <v>1.5299999999999999E-2</v>
      </c>
      <c r="AXA371" s="636">
        <v>1.5299999999999999E-2</v>
      </c>
      <c r="AXB371" s="636">
        <v>1.5299999999999999E-2</v>
      </c>
      <c r="AXC371" s="636">
        <v>9.7000000000000003E-3</v>
      </c>
      <c r="AXD371" s="636">
        <v>9.7000000000000003E-3</v>
      </c>
      <c r="AXE371" s="649">
        <v>9.7000000000000003E-3</v>
      </c>
      <c r="AXF371" s="16"/>
      <c r="AXG371" s="320">
        <v>8.6999999999999994E-3</v>
      </c>
      <c r="AXH371" s="153"/>
      <c r="AXI371" s="153"/>
      <c r="AXJ371" s="153"/>
      <c r="AXK371" s="648"/>
      <c r="AXL371" s="641"/>
      <c r="AXM371" s="631" t="s">
        <v>1842</v>
      </c>
      <c r="AXN371" s="632"/>
      <c r="AXO371" s="16"/>
      <c r="AXP371" s="636">
        <v>1.5299999999999999E-2</v>
      </c>
      <c r="AXQ371" s="636">
        <v>1.5299999999999999E-2</v>
      </c>
      <c r="AXR371" s="636">
        <v>1.5299999999999999E-2</v>
      </c>
      <c r="AXS371" s="636">
        <v>9.7000000000000003E-3</v>
      </c>
      <c r="AXT371" s="636">
        <v>9.7000000000000003E-3</v>
      </c>
      <c r="AXU371" s="649">
        <v>9.7000000000000003E-3</v>
      </c>
      <c r="AXV371" s="16"/>
      <c r="AXW371" s="320">
        <v>8.6999999999999994E-3</v>
      </c>
      <c r="AXX371" s="153"/>
      <c r="AXY371" s="153"/>
      <c r="AXZ371" s="153"/>
      <c r="AYA371" s="648"/>
      <c r="AYB371" s="641"/>
      <c r="AYC371" s="631" t="s">
        <v>1842</v>
      </c>
      <c r="AYD371" s="632"/>
      <c r="AYE371" s="16"/>
      <c r="AYF371" s="636">
        <v>1.5299999999999999E-2</v>
      </c>
      <c r="AYG371" s="636">
        <v>1.5299999999999999E-2</v>
      </c>
      <c r="AYH371" s="636">
        <v>1.5299999999999999E-2</v>
      </c>
      <c r="AYI371" s="636">
        <v>9.7000000000000003E-3</v>
      </c>
      <c r="AYJ371" s="636">
        <v>9.7000000000000003E-3</v>
      </c>
      <c r="AYK371" s="649">
        <v>9.7000000000000003E-3</v>
      </c>
      <c r="AYL371" s="16"/>
      <c r="AYM371" s="320">
        <v>8.6999999999999994E-3</v>
      </c>
      <c r="AYN371" s="153"/>
      <c r="AYO371" s="153"/>
      <c r="AYP371" s="153"/>
      <c r="AYQ371" s="648"/>
      <c r="AYR371" s="641"/>
      <c r="AYS371" s="631" t="s">
        <v>1842</v>
      </c>
      <c r="AYT371" s="632"/>
      <c r="AYU371" s="16"/>
      <c r="AYV371" s="636">
        <v>1.5299999999999999E-2</v>
      </c>
      <c r="AYW371" s="636">
        <v>1.5299999999999999E-2</v>
      </c>
      <c r="AYX371" s="636">
        <v>1.5299999999999999E-2</v>
      </c>
      <c r="AYY371" s="636">
        <v>9.7000000000000003E-3</v>
      </c>
      <c r="AYZ371" s="636">
        <v>9.7000000000000003E-3</v>
      </c>
      <c r="AZA371" s="649">
        <v>9.7000000000000003E-3</v>
      </c>
      <c r="AZB371" s="16"/>
      <c r="AZC371" s="320">
        <v>8.6999999999999994E-3</v>
      </c>
      <c r="AZD371" s="153"/>
      <c r="AZE371" s="153"/>
      <c r="AZF371" s="153"/>
      <c r="AZG371" s="648"/>
      <c r="AZH371" s="641"/>
      <c r="AZI371" s="631" t="s">
        <v>1842</v>
      </c>
      <c r="AZJ371" s="632"/>
      <c r="AZK371" s="16"/>
      <c r="AZL371" s="636">
        <v>1.5299999999999999E-2</v>
      </c>
      <c r="AZM371" s="636">
        <v>1.5299999999999999E-2</v>
      </c>
      <c r="AZN371" s="636">
        <v>1.5299999999999999E-2</v>
      </c>
      <c r="AZO371" s="636">
        <v>9.7000000000000003E-3</v>
      </c>
      <c r="AZP371" s="636">
        <v>9.7000000000000003E-3</v>
      </c>
      <c r="AZQ371" s="649">
        <v>9.7000000000000003E-3</v>
      </c>
      <c r="AZR371" s="16"/>
      <c r="AZS371" s="320">
        <v>8.6999999999999994E-3</v>
      </c>
      <c r="AZT371" s="153"/>
      <c r="AZU371" s="153"/>
      <c r="AZV371" s="153"/>
      <c r="AZW371" s="648"/>
      <c r="AZX371" s="641"/>
      <c r="AZY371" s="631" t="s">
        <v>1842</v>
      </c>
      <c r="AZZ371" s="632"/>
      <c r="BAA371" s="16"/>
      <c r="BAB371" s="636">
        <v>1.5299999999999999E-2</v>
      </c>
      <c r="BAC371" s="636">
        <v>1.5299999999999999E-2</v>
      </c>
      <c r="BAD371" s="636">
        <v>1.5299999999999999E-2</v>
      </c>
      <c r="BAE371" s="636">
        <v>9.7000000000000003E-3</v>
      </c>
      <c r="BAF371" s="636">
        <v>9.7000000000000003E-3</v>
      </c>
      <c r="BAG371" s="649">
        <v>9.7000000000000003E-3</v>
      </c>
      <c r="BAH371" s="16"/>
      <c r="BAI371" s="320">
        <v>8.6999999999999994E-3</v>
      </c>
      <c r="BAJ371" s="153"/>
      <c r="BAK371" s="153"/>
      <c r="BAL371" s="153"/>
      <c r="BAM371" s="648"/>
      <c r="BAN371" s="641"/>
      <c r="BAO371" s="631" t="s">
        <v>1842</v>
      </c>
      <c r="BAP371" s="632"/>
      <c r="BAQ371" s="16"/>
      <c r="BAR371" s="636">
        <v>1.5299999999999999E-2</v>
      </c>
      <c r="BAS371" s="636">
        <v>1.5299999999999999E-2</v>
      </c>
      <c r="BAT371" s="636">
        <v>1.5299999999999999E-2</v>
      </c>
      <c r="BAU371" s="636">
        <v>9.7000000000000003E-3</v>
      </c>
      <c r="BAV371" s="636">
        <v>9.7000000000000003E-3</v>
      </c>
      <c r="BAW371" s="649">
        <v>9.7000000000000003E-3</v>
      </c>
      <c r="BAX371" s="16"/>
      <c r="BAY371" s="320">
        <v>8.6999999999999994E-3</v>
      </c>
      <c r="BAZ371" s="153"/>
      <c r="BBA371" s="153"/>
      <c r="BBB371" s="153"/>
      <c r="BBC371" s="648"/>
      <c r="BBD371" s="641"/>
      <c r="BBE371" s="631" t="s">
        <v>1842</v>
      </c>
      <c r="BBF371" s="632"/>
      <c r="BBG371" s="16"/>
      <c r="BBH371" s="636">
        <v>1.5299999999999999E-2</v>
      </c>
      <c r="BBI371" s="636">
        <v>1.5299999999999999E-2</v>
      </c>
      <c r="BBJ371" s="636">
        <v>1.5299999999999999E-2</v>
      </c>
      <c r="BBK371" s="636">
        <v>9.7000000000000003E-3</v>
      </c>
      <c r="BBL371" s="636">
        <v>9.7000000000000003E-3</v>
      </c>
      <c r="BBM371" s="649">
        <v>9.7000000000000003E-3</v>
      </c>
      <c r="BBN371" s="16"/>
      <c r="BBO371" s="320">
        <v>8.6999999999999994E-3</v>
      </c>
      <c r="BBP371" s="153"/>
      <c r="BBQ371" s="153"/>
      <c r="BBR371" s="153"/>
      <c r="BBS371" s="648"/>
      <c r="BBT371" s="641"/>
      <c r="BBU371" s="631" t="s">
        <v>1842</v>
      </c>
      <c r="BBV371" s="632"/>
      <c r="BBW371" s="16"/>
      <c r="BBX371" s="636">
        <v>1.5299999999999999E-2</v>
      </c>
      <c r="BBY371" s="636">
        <v>1.5299999999999999E-2</v>
      </c>
      <c r="BBZ371" s="636">
        <v>1.5299999999999999E-2</v>
      </c>
      <c r="BCA371" s="636">
        <v>9.7000000000000003E-3</v>
      </c>
      <c r="BCB371" s="636">
        <v>9.7000000000000003E-3</v>
      </c>
      <c r="BCC371" s="649">
        <v>9.7000000000000003E-3</v>
      </c>
      <c r="BCD371" s="16"/>
      <c r="BCE371" s="320">
        <v>8.6999999999999994E-3</v>
      </c>
      <c r="BCF371" s="153"/>
      <c r="BCG371" s="153"/>
      <c r="BCH371" s="153"/>
      <c r="BCI371" s="648"/>
      <c r="BCJ371" s="641"/>
      <c r="BCK371" s="631" t="s">
        <v>1842</v>
      </c>
      <c r="BCL371" s="632"/>
      <c r="BCM371" s="16"/>
      <c r="BCN371" s="636">
        <v>1.5299999999999999E-2</v>
      </c>
      <c r="BCO371" s="636">
        <v>1.5299999999999999E-2</v>
      </c>
      <c r="BCP371" s="636">
        <v>1.5299999999999999E-2</v>
      </c>
      <c r="BCQ371" s="636">
        <v>9.7000000000000003E-3</v>
      </c>
      <c r="BCR371" s="636">
        <v>9.7000000000000003E-3</v>
      </c>
      <c r="BCS371" s="649">
        <v>9.7000000000000003E-3</v>
      </c>
      <c r="BCT371" s="16"/>
      <c r="BCU371" s="320">
        <v>8.6999999999999994E-3</v>
      </c>
      <c r="BCV371" s="153"/>
      <c r="BCW371" s="153"/>
      <c r="BCX371" s="153"/>
      <c r="BCY371" s="648"/>
      <c r="BCZ371" s="641"/>
      <c r="BDA371" s="631" t="s">
        <v>1842</v>
      </c>
      <c r="BDB371" s="632"/>
      <c r="BDC371" s="16"/>
      <c r="BDD371" s="636">
        <v>1.5299999999999999E-2</v>
      </c>
      <c r="BDE371" s="636">
        <v>1.5299999999999999E-2</v>
      </c>
      <c r="BDF371" s="636">
        <v>1.5299999999999999E-2</v>
      </c>
      <c r="BDG371" s="636">
        <v>9.7000000000000003E-3</v>
      </c>
      <c r="BDH371" s="636">
        <v>9.7000000000000003E-3</v>
      </c>
      <c r="BDI371" s="649">
        <v>9.7000000000000003E-3</v>
      </c>
      <c r="BDJ371" s="16"/>
      <c r="BDK371" s="320">
        <v>8.6999999999999994E-3</v>
      </c>
      <c r="BDL371" s="153"/>
      <c r="BDM371" s="153"/>
      <c r="BDN371" s="153"/>
      <c r="BDO371" s="648"/>
      <c r="BDP371" s="641"/>
      <c r="BDQ371" s="631" t="s">
        <v>1842</v>
      </c>
      <c r="BDR371" s="632"/>
      <c r="BDS371" s="16"/>
      <c r="BDT371" s="636">
        <v>1.5299999999999999E-2</v>
      </c>
      <c r="BDU371" s="636">
        <v>1.5299999999999999E-2</v>
      </c>
      <c r="BDV371" s="636">
        <v>1.5299999999999999E-2</v>
      </c>
      <c r="BDW371" s="636">
        <v>9.7000000000000003E-3</v>
      </c>
      <c r="BDX371" s="636">
        <v>9.7000000000000003E-3</v>
      </c>
      <c r="BDY371" s="649">
        <v>9.7000000000000003E-3</v>
      </c>
      <c r="BDZ371" s="16"/>
      <c r="BEA371" s="320">
        <v>8.6999999999999994E-3</v>
      </c>
      <c r="BEB371" s="153"/>
      <c r="BEC371" s="153"/>
      <c r="BED371" s="153"/>
      <c r="BEE371" s="648"/>
      <c r="BEF371" s="641"/>
      <c r="BEG371" s="631" t="s">
        <v>1842</v>
      </c>
      <c r="BEH371" s="632"/>
      <c r="BEI371" s="16"/>
      <c r="BEJ371" s="636">
        <v>1.5299999999999999E-2</v>
      </c>
      <c r="BEK371" s="636">
        <v>1.5299999999999999E-2</v>
      </c>
      <c r="BEL371" s="636">
        <v>1.5299999999999999E-2</v>
      </c>
      <c r="BEM371" s="636">
        <v>9.7000000000000003E-3</v>
      </c>
      <c r="BEN371" s="636">
        <v>9.7000000000000003E-3</v>
      </c>
      <c r="BEO371" s="649">
        <v>9.7000000000000003E-3</v>
      </c>
      <c r="BEP371" s="16"/>
      <c r="BEQ371" s="320">
        <v>8.6999999999999994E-3</v>
      </c>
      <c r="BER371" s="153"/>
      <c r="BES371" s="153"/>
      <c r="BET371" s="153"/>
      <c r="BEU371" s="648"/>
      <c r="BEV371" s="641"/>
      <c r="BEW371" s="631" t="s">
        <v>1842</v>
      </c>
      <c r="BEX371" s="632"/>
      <c r="BEY371" s="16"/>
      <c r="BEZ371" s="636">
        <v>1.5299999999999999E-2</v>
      </c>
      <c r="BFA371" s="636">
        <v>1.5299999999999999E-2</v>
      </c>
      <c r="BFB371" s="636">
        <v>1.5299999999999999E-2</v>
      </c>
      <c r="BFC371" s="636">
        <v>9.7000000000000003E-3</v>
      </c>
      <c r="BFD371" s="636">
        <v>9.7000000000000003E-3</v>
      </c>
      <c r="BFE371" s="649">
        <v>9.7000000000000003E-3</v>
      </c>
      <c r="BFF371" s="16"/>
      <c r="BFG371" s="320">
        <v>8.6999999999999994E-3</v>
      </c>
      <c r="BFH371" s="153"/>
      <c r="BFI371" s="153"/>
      <c r="BFJ371" s="153"/>
      <c r="BFK371" s="648"/>
      <c r="BFL371" s="641"/>
      <c r="BFM371" s="631" t="s">
        <v>1842</v>
      </c>
      <c r="BFN371" s="632"/>
      <c r="BFO371" s="16"/>
      <c r="BFP371" s="636">
        <v>1.5299999999999999E-2</v>
      </c>
      <c r="BFQ371" s="636">
        <v>1.5299999999999999E-2</v>
      </c>
      <c r="BFR371" s="636">
        <v>1.5299999999999999E-2</v>
      </c>
      <c r="BFS371" s="636">
        <v>9.7000000000000003E-3</v>
      </c>
      <c r="BFT371" s="636">
        <v>9.7000000000000003E-3</v>
      </c>
      <c r="BFU371" s="649">
        <v>9.7000000000000003E-3</v>
      </c>
      <c r="BFV371" s="16"/>
      <c r="BFW371" s="320">
        <v>8.6999999999999994E-3</v>
      </c>
      <c r="BFX371" s="153"/>
      <c r="BFY371" s="153"/>
      <c r="BFZ371" s="153"/>
      <c r="BGA371" s="648"/>
      <c r="BGB371" s="641"/>
      <c r="BGC371" s="631" t="s">
        <v>1842</v>
      </c>
      <c r="BGD371" s="632"/>
      <c r="BGE371" s="16"/>
      <c r="BGF371" s="636">
        <v>1.5299999999999999E-2</v>
      </c>
      <c r="BGG371" s="636">
        <v>1.5299999999999999E-2</v>
      </c>
      <c r="BGH371" s="636">
        <v>1.5299999999999999E-2</v>
      </c>
      <c r="BGI371" s="636">
        <v>9.7000000000000003E-3</v>
      </c>
      <c r="BGJ371" s="636">
        <v>9.7000000000000003E-3</v>
      </c>
      <c r="BGK371" s="649">
        <v>9.7000000000000003E-3</v>
      </c>
      <c r="BGL371" s="16"/>
      <c r="BGM371" s="320">
        <v>8.6999999999999994E-3</v>
      </c>
      <c r="BGN371" s="153"/>
      <c r="BGO371" s="153"/>
      <c r="BGP371" s="153"/>
      <c r="BGQ371" s="648"/>
      <c r="BGR371" s="641"/>
      <c r="BGS371" s="631" t="s">
        <v>1842</v>
      </c>
      <c r="BGT371" s="632"/>
      <c r="BGU371" s="16"/>
      <c r="BGV371" s="636">
        <v>1.5299999999999999E-2</v>
      </c>
      <c r="BGW371" s="636">
        <v>1.5299999999999999E-2</v>
      </c>
      <c r="BGX371" s="636">
        <v>1.5299999999999999E-2</v>
      </c>
      <c r="BGY371" s="636">
        <v>9.7000000000000003E-3</v>
      </c>
      <c r="BGZ371" s="636">
        <v>9.7000000000000003E-3</v>
      </c>
      <c r="BHA371" s="649">
        <v>9.7000000000000003E-3</v>
      </c>
      <c r="BHB371" s="16"/>
      <c r="BHC371" s="320">
        <v>8.6999999999999994E-3</v>
      </c>
      <c r="BHD371" s="153"/>
      <c r="BHE371" s="153"/>
      <c r="BHF371" s="153"/>
      <c r="BHG371" s="648"/>
      <c r="BHH371" s="641"/>
      <c r="BHI371" s="631" t="s">
        <v>1842</v>
      </c>
      <c r="BHJ371" s="632"/>
      <c r="BHK371" s="16"/>
      <c r="BHL371" s="636">
        <v>1.5299999999999999E-2</v>
      </c>
      <c r="BHM371" s="636">
        <v>1.5299999999999999E-2</v>
      </c>
      <c r="BHN371" s="636">
        <v>1.5299999999999999E-2</v>
      </c>
      <c r="BHO371" s="636">
        <v>9.7000000000000003E-3</v>
      </c>
      <c r="BHP371" s="636">
        <v>9.7000000000000003E-3</v>
      </c>
      <c r="BHQ371" s="649">
        <v>9.7000000000000003E-3</v>
      </c>
      <c r="BHR371" s="16"/>
      <c r="BHS371" s="320">
        <v>8.6999999999999994E-3</v>
      </c>
      <c r="BHT371" s="153"/>
      <c r="BHU371" s="153"/>
      <c r="BHV371" s="153"/>
      <c r="BHW371" s="648"/>
      <c r="BHX371" s="641"/>
      <c r="BHY371" s="631" t="s">
        <v>1842</v>
      </c>
      <c r="BHZ371" s="632"/>
      <c r="BIA371" s="16"/>
      <c r="BIB371" s="636">
        <v>1.5299999999999999E-2</v>
      </c>
      <c r="BIC371" s="636">
        <v>1.5299999999999999E-2</v>
      </c>
      <c r="BID371" s="636">
        <v>1.5299999999999999E-2</v>
      </c>
      <c r="BIE371" s="636">
        <v>9.7000000000000003E-3</v>
      </c>
      <c r="BIF371" s="636">
        <v>9.7000000000000003E-3</v>
      </c>
      <c r="BIG371" s="649">
        <v>9.7000000000000003E-3</v>
      </c>
      <c r="BIH371" s="16"/>
      <c r="BII371" s="320">
        <v>8.6999999999999994E-3</v>
      </c>
      <c r="BIJ371" s="153"/>
      <c r="BIK371" s="153"/>
      <c r="BIL371" s="153"/>
      <c r="BIM371" s="648"/>
      <c r="BIN371" s="641"/>
      <c r="BIO371" s="631" t="s">
        <v>1842</v>
      </c>
      <c r="BIP371" s="632"/>
      <c r="BIQ371" s="16"/>
      <c r="BIR371" s="636">
        <v>1.5299999999999999E-2</v>
      </c>
      <c r="BIS371" s="636">
        <v>1.5299999999999999E-2</v>
      </c>
      <c r="BIT371" s="636">
        <v>1.5299999999999999E-2</v>
      </c>
      <c r="BIU371" s="636">
        <v>9.7000000000000003E-3</v>
      </c>
      <c r="BIV371" s="636">
        <v>9.7000000000000003E-3</v>
      </c>
      <c r="BIW371" s="649">
        <v>9.7000000000000003E-3</v>
      </c>
      <c r="BIX371" s="16"/>
      <c r="BIY371" s="320">
        <v>8.6999999999999994E-3</v>
      </c>
      <c r="BIZ371" s="153"/>
      <c r="BJA371" s="153"/>
      <c r="BJB371" s="153"/>
      <c r="BJC371" s="648"/>
      <c r="BJD371" s="641"/>
      <c r="BJE371" s="631" t="s">
        <v>1842</v>
      </c>
      <c r="BJF371" s="632"/>
      <c r="BJG371" s="16"/>
      <c r="BJH371" s="636">
        <v>1.5299999999999999E-2</v>
      </c>
      <c r="BJI371" s="636">
        <v>1.5299999999999999E-2</v>
      </c>
      <c r="BJJ371" s="636">
        <v>1.5299999999999999E-2</v>
      </c>
      <c r="BJK371" s="636">
        <v>9.7000000000000003E-3</v>
      </c>
      <c r="BJL371" s="636">
        <v>9.7000000000000003E-3</v>
      </c>
      <c r="BJM371" s="649">
        <v>9.7000000000000003E-3</v>
      </c>
      <c r="BJN371" s="16"/>
      <c r="BJO371" s="320">
        <v>8.6999999999999994E-3</v>
      </c>
      <c r="BJP371" s="153"/>
      <c r="BJQ371" s="153"/>
      <c r="BJR371" s="153"/>
      <c r="BJS371" s="648"/>
      <c r="BJT371" s="641"/>
      <c r="BJU371" s="631" t="s">
        <v>1842</v>
      </c>
      <c r="BJV371" s="632"/>
      <c r="BJW371" s="16"/>
      <c r="BJX371" s="636">
        <v>1.5299999999999999E-2</v>
      </c>
      <c r="BJY371" s="636">
        <v>1.5299999999999999E-2</v>
      </c>
      <c r="BJZ371" s="636">
        <v>1.5299999999999999E-2</v>
      </c>
      <c r="BKA371" s="636">
        <v>9.7000000000000003E-3</v>
      </c>
      <c r="BKB371" s="636">
        <v>9.7000000000000003E-3</v>
      </c>
      <c r="BKC371" s="649">
        <v>9.7000000000000003E-3</v>
      </c>
      <c r="BKD371" s="16"/>
      <c r="BKE371" s="320">
        <v>8.6999999999999994E-3</v>
      </c>
      <c r="BKF371" s="153"/>
      <c r="BKG371" s="153"/>
      <c r="BKH371" s="153"/>
      <c r="BKI371" s="648"/>
      <c r="BKJ371" s="641"/>
      <c r="BKK371" s="631" t="s">
        <v>1842</v>
      </c>
      <c r="BKL371" s="632"/>
      <c r="BKM371" s="16"/>
      <c r="BKN371" s="636">
        <v>1.5299999999999999E-2</v>
      </c>
      <c r="BKO371" s="636">
        <v>1.5299999999999999E-2</v>
      </c>
      <c r="BKP371" s="636">
        <v>1.5299999999999999E-2</v>
      </c>
      <c r="BKQ371" s="636">
        <v>9.7000000000000003E-3</v>
      </c>
      <c r="BKR371" s="636">
        <v>9.7000000000000003E-3</v>
      </c>
      <c r="BKS371" s="649">
        <v>9.7000000000000003E-3</v>
      </c>
      <c r="BKT371" s="16"/>
      <c r="BKU371" s="320">
        <v>8.6999999999999994E-3</v>
      </c>
      <c r="BKV371" s="153"/>
      <c r="BKW371" s="153"/>
      <c r="BKX371" s="153"/>
      <c r="BKY371" s="648"/>
      <c r="BKZ371" s="641"/>
      <c r="BLA371" s="631" t="s">
        <v>1842</v>
      </c>
      <c r="BLB371" s="632"/>
      <c r="BLC371" s="16"/>
      <c r="BLD371" s="636">
        <v>1.5299999999999999E-2</v>
      </c>
      <c r="BLE371" s="636">
        <v>1.5299999999999999E-2</v>
      </c>
      <c r="BLF371" s="636">
        <v>1.5299999999999999E-2</v>
      </c>
      <c r="BLG371" s="636">
        <v>9.7000000000000003E-3</v>
      </c>
      <c r="BLH371" s="636">
        <v>9.7000000000000003E-3</v>
      </c>
      <c r="BLI371" s="649">
        <v>9.7000000000000003E-3</v>
      </c>
      <c r="BLJ371" s="16"/>
      <c r="BLK371" s="320">
        <v>8.6999999999999994E-3</v>
      </c>
      <c r="BLL371" s="153"/>
      <c r="BLM371" s="153"/>
      <c r="BLN371" s="153"/>
      <c r="BLO371" s="648"/>
      <c r="BLP371" s="641"/>
      <c r="BLQ371" s="631" t="s">
        <v>1842</v>
      </c>
      <c r="BLR371" s="632"/>
      <c r="BLS371" s="16"/>
      <c r="BLT371" s="636">
        <v>1.5299999999999999E-2</v>
      </c>
      <c r="BLU371" s="636">
        <v>1.5299999999999999E-2</v>
      </c>
      <c r="BLV371" s="636">
        <v>1.5299999999999999E-2</v>
      </c>
      <c r="BLW371" s="636">
        <v>9.7000000000000003E-3</v>
      </c>
      <c r="BLX371" s="636">
        <v>9.7000000000000003E-3</v>
      </c>
      <c r="BLY371" s="649">
        <v>9.7000000000000003E-3</v>
      </c>
      <c r="BLZ371" s="16"/>
      <c r="BMA371" s="320">
        <v>8.6999999999999994E-3</v>
      </c>
      <c r="BMB371" s="153"/>
      <c r="BMC371" s="153"/>
      <c r="BMD371" s="153"/>
      <c r="BME371" s="648"/>
      <c r="BMF371" s="641"/>
      <c r="BMG371" s="631" t="s">
        <v>1842</v>
      </c>
      <c r="BMH371" s="632"/>
      <c r="BMI371" s="16"/>
      <c r="BMJ371" s="636">
        <v>1.5299999999999999E-2</v>
      </c>
      <c r="BMK371" s="636">
        <v>1.5299999999999999E-2</v>
      </c>
      <c r="BML371" s="636">
        <v>1.5299999999999999E-2</v>
      </c>
      <c r="BMM371" s="636">
        <v>9.7000000000000003E-3</v>
      </c>
      <c r="BMN371" s="636">
        <v>9.7000000000000003E-3</v>
      </c>
      <c r="BMO371" s="649">
        <v>9.7000000000000003E-3</v>
      </c>
      <c r="BMP371" s="16"/>
      <c r="BMQ371" s="320">
        <v>8.6999999999999994E-3</v>
      </c>
      <c r="BMR371" s="153"/>
      <c r="BMS371" s="153"/>
      <c r="BMT371" s="153"/>
      <c r="BMU371" s="648"/>
      <c r="BMV371" s="641"/>
      <c r="BMW371" s="631" t="s">
        <v>1842</v>
      </c>
      <c r="BMX371" s="632"/>
      <c r="BMY371" s="16"/>
      <c r="BMZ371" s="636">
        <v>1.5299999999999999E-2</v>
      </c>
      <c r="BNA371" s="636">
        <v>1.5299999999999999E-2</v>
      </c>
      <c r="BNB371" s="636">
        <v>1.5299999999999999E-2</v>
      </c>
      <c r="BNC371" s="636">
        <v>9.7000000000000003E-3</v>
      </c>
      <c r="BND371" s="636">
        <v>9.7000000000000003E-3</v>
      </c>
      <c r="BNE371" s="649">
        <v>9.7000000000000003E-3</v>
      </c>
      <c r="BNF371" s="16"/>
      <c r="BNG371" s="320">
        <v>8.6999999999999994E-3</v>
      </c>
      <c r="BNH371" s="153"/>
      <c r="BNI371" s="153"/>
      <c r="BNJ371" s="153"/>
      <c r="BNK371" s="648"/>
      <c r="BNL371" s="641"/>
      <c r="BNM371" s="631" t="s">
        <v>1842</v>
      </c>
      <c r="BNN371" s="632"/>
      <c r="BNO371" s="16"/>
      <c r="BNP371" s="636">
        <v>1.5299999999999999E-2</v>
      </c>
      <c r="BNQ371" s="636">
        <v>1.5299999999999999E-2</v>
      </c>
      <c r="BNR371" s="636">
        <v>1.5299999999999999E-2</v>
      </c>
      <c r="BNS371" s="636">
        <v>9.7000000000000003E-3</v>
      </c>
      <c r="BNT371" s="636">
        <v>9.7000000000000003E-3</v>
      </c>
      <c r="BNU371" s="649">
        <v>9.7000000000000003E-3</v>
      </c>
      <c r="BNV371" s="16"/>
      <c r="BNW371" s="320">
        <v>8.6999999999999994E-3</v>
      </c>
      <c r="BNX371" s="153"/>
      <c r="BNY371" s="153"/>
      <c r="BNZ371" s="153"/>
      <c r="BOA371" s="648"/>
      <c r="BOB371" s="641"/>
      <c r="BOC371" s="631" t="s">
        <v>1842</v>
      </c>
      <c r="BOD371" s="632"/>
      <c r="BOE371" s="16"/>
      <c r="BOF371" s="636">
        <v>1.5299999999999999E-2</v>
      </c>
      <c r="BOG371" s="636">
        <v>1.5299999999999999E-2</v>
      </c>
      <c r="BOH371" s="636">
        <v>1.5299999999999999E-2</v>
      </c>
      <c r="BOI371" s="636">
        <v>9.7000000000000003E-3</v>
      </c>
      <c r="BOJ371" s="636">
        <v>9.7000000000000003E-3</v>
      </c>
      <c r="BOK371" s="649">
        <v>9.7000000000000003E-3</v>
      </c>
      <c r="BOL371" s="16"/>
      <c r="BOM371" s="320">
        <v>8.6999999999999994E-3</v>
      </c>
      <c r="BON371" s="153"/>
      <c r="BOO371" s="153"/>
      <c r="BOP371" s="153"/>
      <c r="BOQ371" s="648"/>
      <c r="BOR371" s="641"/>
      <c r="BOS371" s="631" t="s">
        <v>1842</v>
      </c>
      <c r="BOT371" s="632"/>
      <c r="BOU371" s="16"/>
      <c r="BOV371" s="636">
        <v>1.5299999999999999E-2</v>
      </c>
      <c r="BOW371" s="636">
        <v>1.5299999999999999E-2</v>
      </c>
      <c r="BOX371" s="636">
        <v>1.5299999999999999E-2</v>
      </c>
      <c r="BOY371" s="636">
        <v>9.7000000000000003E-3</v>
      </c>
      <c r="BOZ371" s="636">
        <v>9.7000000000000003E-3</v>
      </c>
      <c r="BPA371" s="649">
        <v>9.7000000000000003E-3</v>
      </c>
      <c r="BPB371" s="16"/>
      <c r="BPC371" s="320">
        <v>8.6999999999999994E-3</v>
      </c>
      <c r="BPD371" s="153"/>
      <c r="BPE371" s="153"/>
      <c r="BPF371" s="153"/>
      <c r="BPG371" s="648"/>
      <c r="BPH371" s="641"/>
      <c r="BPI371" s="631" t="s">
        <v>1842</v>
      </c>
      <c r="BPJ371" s="632"/>
      <c r="BPK371" s="16"/>
      <c r="BPL371" s="636">
        <v>1.5299999999999999E-2</v>
      </c>
      <c r="BPM371" s="636">
        <v>1.5299999999999999E-2</v>
      </c>
      <c r="BPN371" s="636">
        <v>1.5299999999999999E-2</v>
      </c>
      <c r="BPO371" s="636">
        <v>9.7000000000000003E-3</v>
      </c>
      <c r="BPP371" s="636">
        <v>9.7000000000000003E-3</v>
      </c>
      <c r="BPQ371" s="649">
        <v>9.7000000000000003E-3</v>
      </c>
      <c r="BPR371" s="16"/>
      <c r="BPS371" s="320">
        <v>8.6999999999999994E-3</v>
      </c>
      <c r="BPT371" s="153"/>
      <c r="BPU371" s="153"/>
      <c r="BPV371" s="153"/>
      <c r="BPW371" s="648"/>
      <c r="BPX371" s="641"/>
      <c r="BPY371" s="631" t="s">
        <v>1842</v>
      </c>
      <c r="BPZ371" s="632"/>
      <c r="BQA371" s="16"/>
      <c r="BQB371" s="636">
        <v>1.5299999999999999E-2</v>
      </c>
      <c r="BQC371" s="636">
        <v>1.5299999999999999E-2</v>
      </c>
      <c r="BQD371" s="636">
        <v>1.5299999999999999E-2</v>
      </c>
      <c r="BQE371" s="636">
        <v>9.7000000000000003E-3</v>
      </c>
      <c r="BQF371" s="636">
        <v>9.7000000000000003E-3</v>
      </c>
      <c r="BQG371" s="649">
        <v>9.7000000000000003E-3</v>
      </c>
      <c r="BQH371" s="16"/>
      <c r="BQI371" s="320">
        <v>8.6999999999999994E-3</v>
      </c>
      <c r="BQJ371" s="153"/>
      <c r="BQK371" s="153"/>
      <c r="BQL371" s="153"/>
      <c r="BQM371" s="648"/>
      <c r="BQN371" s="641"/>
      <c r="BQO371" s="631" t="s">
        <v>1842</v>
      </c>
      <c r="BQP371" s="632"/>
      <c r="BQQ371" s="16"/>
      <c r="BQR371" s="636">
        <v>1.5299999999999999E-2</v>
      </c>
      <c r="BQS371" s="636">
        <v>1.5299999999999999E-2</v>
      </c>
      <c r="BQT371" s="636">
        <v>1.5299999999999999E-2</v>
      </c>
      <c r="BQU371" s="636">
        <v>9.7000000000000003E-3</v>
      </c>
      <c r="BQV371" s="636">
        <v>9.7000000000000003E-3</v>
      </c>
      <c r="BQW371" s="649">
        <v>9.7000000000000003E-3</v>
      </c>
      <c r="BQX371" s="16"/>
      <c r="BQY371" s="320">
        <v>8.6999999999999994E-3</v>
      </c>
      <c r="BQZ371" s="153"/>
      <c r="BRA371" s="153"/>
      <c r="BRB371" s="153"/>
      <c r="BRC371" s="648"/>
      <c r="BRD371" s="641"/>
      <c r="BRE371" s="631" t="s">
        <v>1842</v>
      </c>
      <c r="BRF371" s="632"/>
      <c r="BRG371" s="16"/>
      <c r="BRH371" s="636">
        <v>1.5299999999999999E-2</v>
      </c>
      <c r="BRI371" s="636">
        <v>1.5299999999999999E-2</v>
      </c>
      <c r="BRJ371" s="636">
        <v>1.5299999999999999E-2</v>
      </c>
      <c r="BRK371" s="636">
        <v>9.7000000000000003E-3</v>
      </c>
      <c r="BRL371" s="636">
        <v>9.7000000000000003E-3</v>
      </c>
      <c r="BRM371" s="649">
        <v>9.7000000000000003E-3</v>
      </c>
      <c r="BRN371" s="16"/>
      <c r="BRO371" s="320">
        <v>8.6999999999999994E-3</v>
      </c>
      <c r="BRP371" s="153"/>
      <c r="BRQ371" s="153"/>
      <c r="BRR371" s="153"/>
      <c r="BRS371" s="648"/>
      <c r="BRT371" s="641"/>
      <c r="BRU371" s="631" t="s">
        <v>1842</v>
      </c>
      <c r="BRV371" s="632"/>
      <c r="BRW371" s="16"/>
      <c r="BRX371" s="636">
        <v>1.5299999999999999E-2</v>
      </c>
      <c r="BRY371" s="636">
        <v>1.5299999999999999E-2</v>
      </c>
      <c r="BRZ371" s="636">
        <v>1.5299999999999999E-2</v>
      </c>
      <c r="BSA371" s="636">
        <v>9.7000000000000003E-3</v>
      </c>
      <c r="BSB371" s="636">
        <v>9.7000000000000003E-3</v>
      </c>
      <c r="BSC371" s="649">
        <v>9.7000000000000003E-3</v>
      </c>
      <c r="BSD371" s="16"/>
      <c r="BSE371" s="320">
        <v>8.6999999999999994E-3</v>
      </c>
      <c r="BSF371" s="153"/>
      <c r="BSG371" s="153"/>
      <c r="BSH371" s="153"/>
      <c r="BSI371" s="648"/>
      <c r="BSJ371" s="641"/>
      <c r="BSK371" s="631" t="s">
        <v>1842</v>
      </c>
      <c r="BSL371" s="632"/>
      <c r="BSM371" s="16"/>
      <c r="BSN371" s="636">
        <v>1.5299999999999999E-2</v>
      </c>
      <c r="BSO371" s="636">
        <v>1.5299999999999999E-2</v>
      </c>
      <c r="BSP371" s="636">
        <v>1.5299999999999999E-2</v>
      </c>
      <c r="BSQ371" s="636">
        <v>9.7000000000000003E-3</v>
      </c>
      <c r="BSR371" s="636">
        <v>9.7000000000000003E-3</v>
      </c>
      <c r="BSS371" s="649">
        <v>9.7000000000000003E-3</v>
      </c>
      <c r="BST371" s="16"/>
      <c r="BSU371" s="320">
        <v>8.6999999999999994E-3</v>
      </c>
      <c r="BSV371" s="153"/>
      <c r="BSW371" s="153"/>
      <c r="BSX371" s="153"/>
      <c r="BSY371" s="648"/>
      <c r="BSZ371" s="641"/>
      <c r="BTA371" s="631" t="s">
        <v>1842</v>
      </c>
      <c r="BTB371" s="632"/>
      <c r="BTC371" s="16"/>
      <c r="BTD371" s="636">
        <v>1.5299999999999999E-2</v>
      </c>
      <c r="BTE371" s="636">
        <v>1.5299999999999999E-2</v>
      </c>
      <c r="BTF371" s="636">
        <v>1.5299999999999999E-2</v>
      </c>
      <c r="BTG371" s="636">
        <v>9.7000000000000003E-3</v>
      </c>
      <c r="BTH371" s="636">
        <v>9.7000000000000003E-3</v>
      </c>
      <c r="BTI371" s="649">
        <v>9.7000000000000003E-3</v>
      </c>
      <c r="BTJ371" s="16"/>
      <c r="BTK371" s="320">
        <v>8.6999999999999994E-3</v>
      </c>
      <c r="BTL371" s="153"/>
      <c r="BTM371" s="153"/>
      <c r="BTN371" s="153"/>
      <c r="BTO371" s="648"/>
      <c r="BTP371" s="641"/>
      <c r="BTQ371" s="631" t="s">
        <v>1842</v>
      </c>
      <c r="BTR371" s="632"/>
      <c r="BTS371" s="16"/>
      <c r="BTT371" s="636">
        <v>1.5299999999999999E-2</v>
      </c>
      <c r="BTU371" s="636">
        <v>1.5299999999999999E-2</v>
      </c>
      <c r="BTV371" s="636">
        <v>1.5299999999999999E-2</v>
      </c>
      <c r="BTW371" s="636">
        <v>9.7000000000000003E-3</v>
      </c>
      <c r="BTX371" s="636">
        <v>9.7000000000000003E-3</v>
      </c>
      <c r="BTY371" s="649">
        <v>9.7000000000000003E-3</v>
      </c>
      <c r="BTZ371" s="16"/>
      <c r="BUA371" s="320">
        <v>8.6999999999999994E-3</v>
      </c>
      <c r="BUB371" s="153"/>
      <c r="BUC371" s="153"/>
      <c r="BUD371" s="153"/>
      <c r="BUE371" s="648"/>
      <c r="BUF371" s="641"/>
      <c r="BUG371" s="631" t="s">
        <v>1842</v>
      </c>
      <c r="BUH371" s="632"/>
      <c r="BUI371" s="16"/>
      <c r="BUJ371" s="636">
        <v>1.5299999999999999E-2</v>
      </c>
      <c r="BUK371" s="636">
        <v>1.5299999999999999E-2</v>
      </c>
      <c r="BUL371" s="636">
        <v>1.5299999999999999E-2</v>
      </c>
      <c r="BUM371" s="636">
        <v>9.7000000000000003E-3</v>
      </c>
      <c r="BUN371" s="636">
        <v>9.7000000000000003E-3</v>
      </c>
      <c r="BUO371" s="649">
        <v>9.7000000000000003E-3</v>
      </c>
      <c r="BUP371" s="16"/>
      <c r="BUQ371" s="320">
        <v>8.6999999999999994E-3</v>
      </c>
      <c r="BUR371" s="153"/>
      <c r="BUS371" s="153"/>
      <c r="BUT371" s="153"/>
      <c r="BUU371" s="648"/>
      <c r="BUV371" s="641"/>
      <c r="BUW371" s="631" t="s">
        <v>1842</v>
      </c>
      <c r="BUX371" s="632"/>
      <c r="BUY371" s="16"/>
      <c r="BUZ371" s="636">
        <v>1.5299999999999999E-2</v>
      </c>
      <c r="BVA371" s="636">
        <v>1.5299999999999999E-2</v>
      </c>
      <c r="BVB371" s="636">
        <v>1.5299999999999999E-2</v>
      </c>
      <c r="BVC371" s="636">
        <v>9.7000000000000003E-3</v>
      </c>
      <c r="BVD371" s="636">
        <v>9.7000000000000003E-3</v>
      </c>
      <c r="BVE371" s="649">
        <v>9.7000000000000003E-3</v>
      </c>
      <c r="BVF371" s="16"/>
      <c r="BVG371" s="320">
        <v>8.6999999999999994E-3</v>
      </c>
      <c r="BVH371" s="153"/>
      <c r="BVI371" s="153"/>
      <c r="BVJ371" s="153"/>
      <c r="BVK371" s="648"/>
      <c r="BVL371" s="641"/>
      <c r="BVM371" s="631" t="s">
        <v>1842</v>
      </c>
      <c r="BVN371" s="632"/>
      <c r="BVO371" s="16"/>
      <c r="BVP371" s="636">
        <v>1.5299999999999999E-2</v>
      </c>
      <c r="BVQ371" s="636">
        <v>1.5299999999999999E-2</v>
      </c>
      <c r="BVR371" s="636">
        <v>1.5299999999999999E-2</v>
      </c>
      <c r="BVS371" s="636">
        <v>9.7000000000000003E-3</v>
      </c>
      <c r="BVT371" s="636">
        <v>9.7000000000000003E-3</v>
      </c>
      <c r="BVU371" s="649">
        <v>9.7000000000000003E-3</v>
      </c>
      <c r="BVV371" s="16"/>
      <c r="BVW371" s="320">
        <v>8.6999999999999994E-3</v>
      </c>
      <c r="BVX371" s="153"/>
      <c r="BVY371" s="153"/>
      <c r="BVZ371" s="153"/>
      <c r="BWA371" s="648"/>
      <c r="BWB371" s="641"/>
      <c r="BWC371" s="631" t="s">
        <v>1842</v>
      </c>
      <c r="BWD371" s="632"/>
      <c r="BWE371" s="16"/>
      <c r="BWF371" s="636">
        <v>1.5299999999999999E-2</v>
      </c>
      <c r="BWG371" s="636">
        <v>1.5299999999999999E-2</v>
      </c>
      <c r="BWH371" s="636">
        <v>1.5299999999999999E-2</v>
      </c>
      <c r="BWI371" s="636">
        <v>9.7000000000000003E-3</v>
      </c>
      <c r="BWJ371" s="636">
        <v>9.7000000000000003E-3</v>
      </c>
      <c r="BWK371" s="649">
        <v>9.7000000000000003E-3</v>
      </c>
      <c r="BWL371" s="16"/>
      <c r="BWM371" s="320">
        <v>8.6999999999999994E-3</v>
      </c>
      <c r="BWN371" s="153"/>
      <c r="BWO371" s="153"/>
      <c r="BWP371" s="153"/>
      <c r="BWQ371" s="648"/>
      <c r="BWR371" s="641"/>
      <c r="BWS371" s="631" t="s">
        <v>1842</v>
      </c>
      <c r="BWT371" s="632"/>
      <c r="BWU371" s="16"/>
      <c r="BWV371" s="636">
        <v>1.5299999999999999E-2</v>
      </c>
      <c r="BWW371" s="636">
        <v>1.5299999999999999E-2</v>
      </c>
      <c r="BWX371" s="636">
        <v>1.5299999999999999E-2</v>
      </c>
      <c r="BWY371" s="636">
        <v>9.7000000000000003E-3</v>
      </c>
      <c r="BWZ371" s="636">
        <v>9.7000000000000003E-3</v>
      </c>
      <c r="BXA371" s="649">
        <v>9.7000000000000003E-3</v>
      </c>
      <c r="BXB371" s="16"/>
      <c r="BXC371" s="320">
        <v>8.6999999999999994E-3</v>
      </c>
      <c r="BXD371" s="153"/>
      <c r="BXE371" s="153"/>
      <c r="BXF371" s="153"/>
      <c r="BXG371" s="648"/>
      <c r="BXH371" s="641"/>
      <c r="BXI371" s="631" t="s">
        <v>1842</v>
      </c>
      <c r="BXJ371" s="632"/>
      <c r="BXK371" s="16"/>
      <c r="BXL371" s="636">
        <v>1.5299999999999999E-2</v>
      </c>
      <c r="BXM371" s="636">
        <v>1.5299999999999999E-2</v>
      </c>
      <c r="BXN371" s="636">
        <v>1.5299999999999999E-2</v>
      </c>
      <c r="BXO371" s="636">
        <v>9.7000000000000003E-3</v>
      </c>
      <c r="BXP371" s="636">
        <v>9.7000000000000003E-3</v>
      </c>
      <c r="BXQ371" s="649">
        <v>9.7000000000000003E-3</v>
      </c>
      <c r="BXR371" s="16"/>
      <c r="BXS371" s="320">
        <v>8.6999999999999994E-3</v>
      </c>
      <c r="BXT371" s="153"/>
      <c r="BXU371" s="153"/>
      <c r="BXV371" s="153"/>
      <c r="BXW371" s="648"/>
      <c r="BXX371" s="641"/>
      <c r="BXY371" s="631" t="s">
        <v>1842</v>
      </c>
      <c r="BXZ371" s="632"/>
      <c r="BYA371" s="16"/>
      <c r="BYB371" s="636">
        <v>1.5299999999999999E-2</v>
      </c>
      <c r="BYC371" s="636">
        <v>1.5299999999999999E-2</v>
      </c>
      <c r="BYD371" s="636">
        <v>1.5299999999999999E-2</v>
      </c>
      <c r="BYE371" s="636">
        <v>9.7000000000000003E-3</v>
      </c>
      <c r="BYF371" s="636">
        <v>9.7000000000000003E-3</v>
      </c>
      <c r="BYG371" s="649">
        <v>9.7000000000000003E-3</v>
      </c>
      <c r="BYH371" s="16"/>
      <c r="BYI371" s="320">
        <v>8.6999999999999994E-3</v>
      </c>
      <c r="BYJ371" s="153"/>
      <c r="BYK371" s="153"/>
      <c r="BYL371" s="153"/>
      <c r="BYM371" s="648"/>
      <c r="BYN371" s="641"/>
      <c r="BYO371" s="631" t="s">
        <v>1842</v>
      </c>
      <c r="BYP371" s="632"/>
      <c r="BYQ371" s="16"/>
      <c r="BYR371" s="636">
        <v>1.5299999999999999E-2</v>
      </c>
      <c r="BYS371" s="636">
        <v>1.5299999999999999E-2</v>
      </c>
      <c r="BYT371" s="636">
        <v>1.5299999999999999E-2</v>
      </c>
      <c r="BYU371" s="636">
        <v>9.7000000000000003E-3</v>
      </c>
      <c r="BYV371" s="636">
        <v>9.7000000000000003E-3</v>
      </c>
      <c r="BYW371" s="649">
        <v>9.7000000000000003E-3</v>
      </c>
      <c r="BYX371" s="16"/>
      <c r="BYY371" s="320">
        <v>8.6999999999999994E-3</v>
      </c>
      <c r="BYZ371" s="153"/>
      <c r="BZA371" s="153"/>
      <c r="BZB371" s="153"/>
      <c r="BZC371" s="648"/>
      <c r="BZD371" s="641"/>
      <c r="BZE371" s="631" t="s">
        <v>1842</v>
      </c>
      <c r="BZF371" s="632"/>
      <c r="BZG371" s="16"/>
      <c r="BZH371" s="636">
        <v>1.5299999999999999E-2</v>
      </c>
      <c r="BZI371" s="636">
        <v>1.5299999999999999E-2</v>
      </c>
      <c r="BZJ371" s="636">
        <v>1.5299999999999999E-2</v>
      </c>
      <c r="BZK371" s="636">
        <v>9.7000000000000003E-3</v>
      </c>
      <c r="BZL371" s="636">
        <v>9.7000000000000003E-3</v>
      </c>
      <c r="BZM371" s="649">
        <v>9.7000000000000003E-3</v>
      </c>
      <c r="BZN371" s="16"/>
      <c r="BZO371" s="320">
        <v>8.6999999999999994E-3</v>
      </c>
      <c r="BZP371" s="153"/>
      <c r="BZQ371" s="153"/>
      <c r="BZR371" s="153"/>
      <c r="BZS371" s="648"/>
      <c r="BZT371" s="641"/>
      <c r="BZU371" s="631" t="s">
        <v>1842</v>
      </c>
      <c r="BZV371" s="632"/>
      <c r="BZW371" s="16"/>
      <c r="BZX371" s="636">
        <v>1.5299999999999999E-2</v>
      </c>
      <c r="BZY371" s="636">
        <v>1.5299999999999999E-2</v>
      </c>
      <c r="BZZ371" s="636">
        <v>1.5299999999999999E-2</v>
      </c>
      <c r="CAA371" s="636">
        <v>9.7000000000000003E-3</v>
      </c>
      <c r="CAB371" s="636">
        <v>9.7000000000000003E-3</v>
      </c>
      <c r="CAC371" s="649">
        <v>9.7000000000000003E-3</v>
      </c>
      <c r="CAD371" s="16"/>
      <c r="CAE371" s="320">
        <v>8.6999999999999994E-3</v>
      </c>
      <c r="CAF371" s="153"/>
      <c r="CAG371" s="153"/>
      <c r="CAH371" s="153"/>
      <c r="CAI371" s="648"/>
      <c r="CAJ371" s="641"/>
      <c r="CAK371" s="631" t="s">
        <v>1842</v>
      </c>
      <c r="CAL371" s="632"/>
      <c r="CAM371" s="16"/>
      <c r="CAN371" s="636">
        <v>1.5299999999999999E-2</v>
      </c>
      <c r="CAO371" s="636">
        <v>1.5299999999999999E-2</v>
      </c>
      <c r="CAP371" s="636">
        <v>1.5299999999999999E-2</v>
      </c>
      <c r="CAQ371" s="636">
        <v>9.7000000000000003E-3</v>
      </c>
      <c r="CAR371" s="636">
        <v>9.7000000000000003E-3</v>
      </c>
      <c r="CAS371" s="649">
        <v>9.7000000000000003E-3</v>
      </c>
      <c r="CAT371" s="16"/>
      <c r="CAU371" s="320">
        <v>8.6999999999999994E-3</v>
      </c>
      <c r="CAV371" s="153"/>
      <c r="CAW371" s="153"/>
      <c r="CAX371" s="153"/>
      <c r="CAY371" s="648"/>
      <c r="CAZ371" s="641"/>
      <c r="CBA371" s="631" t="s">
        <v>1842</v>
      </c>
      <c r="CBB371" s="632"/>
      <c r="CBC371" s="16"/>
      <c r="CBD371" s="636">
        <v>1.5299999999999999E-2</v>
      </c>
      <c r="CBE371" s="636">
        <v>1.5299999999999999E-2</v>
      </c>
      <c r="CBF371" s="636">
        <v>1.5299999999999999E-2</v>
      </c>
      <c r="CBG371" s="636">
        <v>9.7000000000000003E-3</v>
      </c>
      <c r="CBH371" s="636">
        <v>9.7000000000000003E-3</v>
      </c>
      <c r="CBI371" s="649">
        <v>9.7000000000000003E-3</v>
      </c>
      <c r="CBJ371" s="16"/>
      <c r="CBK371" s="320">
        <v>8.6999999999999994E-3</v>
      </c>
      <c r="CBL371" s="153"/>
      <c r="CBM371" s="153"/>
      <c r="CBN371" s="153"/>
      <c r="CBO371" s="648"/>
      <c r="CBP371" s="641"/>
      <c r="CBQ371" s="631" t="s">
        <v>1842</v>
      </c>
      <c r="CBR371" s="632"/>
      <c r="CBS371" s="16"/>
      <c r="CBT371" s="636">
        <v>1.5299999999999999E-2</v>
      </c>
      <c r="CBU371" s="636">
        <v>1.5299999999999999E-2</v>
      </c>
      <c r="CBV371" s="636">
        <v>1.5299999999999999E-2</v>
      </c>
      <c r="CBW371" s="636">
        <v>9.7000000000000003E-3</v>
      </c>
      <c r="CBX371" s="636">
        <v>9.7000000000000003E-3</v>
      </c>
      <c r="CBY371" s="649">
        <v>9.7000000000000003E-3</v>
      </c>
      <c r="CBZ371" s="16"/>
      <c r="CCA371" s="320">
        <v>8.6999999999999994E-3</v>
      </c>
      <c r="CCB371" s="153"/>
      <c r="CCC371" s="153"/>
      <c r="CCD371" s="153"/>
      <c r="CCE371" s="648"/>
      <c r="CCF371" s="641"/>
      <c r="CCG371" s="631" t="s">
        <v>1842</v>
      </c>
      <c r="CCH371" s="632"/>
      <c r="CCI371" s="16"/>
      <c r="CCJ371" s="636">
        <v>1.5299999999999999E-2</v>
      </c>
      <c r="CCK371" s="636">
        <v>1.5299999999999999E-2</v>
      </c>
      <c r="CCL371" s="636">
        <v>1.5299999999999999E-2</v>
      </c>
      <c r="CCM371" s="636">
        <v>9.7000000000000003E-3</v>
      </c>
      <c r="CCN371" s="636">
        <v>9.7000000000000003E-3</v>
      </c>
      <c r="CCO371" s="649">
        <v>9.7000000000000003E-3</v>
      </c>
      <c r="CCP371" s="16"/>
      <c r="CCQ371" s="320">
        <v>8.6999999999999994E-3</v>
      </c>
      <c r="CCR371" s="153"/>
      <c r="CCS371" s="153"/>
      <c r="CCT371" s="153"/>
      <c r="CCU371" s="648"/>
      <c r="CCV371" s="641"/>
      <c r="CCW371" s="631" t="s">
        <v>1842</v>
      </c>
      <c r="CCX371" s="632"/>
      <c r="CCY371" s="16"/>
      <c r="CCZ371" s="636">
        <v>1.5299999999999999E-2</v>
      </c>
      <c r="CDA371" s="636">
        <v>1.5299999999999999E-2</v>
      </c>
      <c r="CDB371" s="636">
        <v>1.5299999999999999E-2</v>
      </c>
      <c r="CDC371" s="636">
        <v>9.7000000000000003E-3</v>
      </c>
      <c r="CDD371" s="636">
        <v>9.7000000000000003E-3</v>
      </c>
      <c r="CDE371" s="649">
        <v>9.7000000000000003E-3</v>
      </c>
      <c r="CDF371" s="16"/>
      <c r="CDG371" s="320">
        <v>8.6999999999999994E-3</v>
      </c>
      <c r="CDH371" s="153"/>
      <c r="CDI371" s="153"/>
      <c r="CDJ371" s="153"/>
      <c r="CDK371" s="648"/>
      <c r="CDL371" s="641"/>
      <c r="CDM371" s="631" t="s">
        <v>1842</v>
      </c>
      <c r="CDN371" s="632"/>
      <c r="CDO371" s="16"/>
      <c r="CDP371" s="636">
        <v>1.5299999999999999E-2</v>
      </c>
      <c r="CDQ371" s="636">
        <v>1.5299999999999999E-2</v>
      </c>
      <c r="CDR371" s="636">
        <v>1.5299999999999999E-2</v>
      </c>
      <c r="CDS371" s="636">
        <v>9.7000000000000003E-3</v>
      </c>
      <c r="CDT371" s="636">
        <v>9.7000000000000003E-3</v>
      </c>
      <c r="CDU371" s="649">
        <v>9.7000000000000003E-3</v>
      </c>
      <c r="CDV371" s="16"/>
      <c r="CDW371" s="320">
        <v>8.6999999999999994E-3</v>
      </c>
      <c r="CDX371" s="153"/>
      <c r="CDY371" s="153"/>
      <c r="CDZ371" s="153"/>
      <c r="CEA371" s="648"/>
      <c r="CEB371" s="641"/>
      <c r="CEC371" s="631" t="s">
        <v>1842</v>
      </c>
      <c r="CED371" s="632"/>
      <c r="CEE371" s="16"/>
      <c r="CEF371" s="636">
        <v>1.5299999999999999E-2</v>
      </c>
      <c r="CEG371" s="636">
        <v>1.5299999999999999E-2</v>
      </c>
      <c r="CEH371" s="636">
        <v>1.5299999999999999E-2</v>
      </c>
      <c r="CEI371" s="636">
        <v>9.7000000000000003E-3</v>
      </c>
      <c r="CEJ371" s="636">
        <v>9.7000000000000003E-3</v>
      </c>
      <c r="CEK371" s="649">
        <v>9.7000000000000003E-3</v>
      </c>
      <c r="CEL371" s="16"/>
      <c r="CEM371" s="320">
        <v>8.6999999999999994E-3</v>
      </c>
      <c r="CEN371" s="153"/>
      <c r="CEO371" s="153"/>
      <c r="CEP371" s="153"/>
      <c r="CEQ371" s="648"/>
      <c r="CER371" s="641"/>
      <c r="CES371" s="631" t="s">
        <v>1842</v>
      </c>
      <c r="CET371" s="632"/>
      <c r="CEU371" s="16"/>
      <c r="CEV371" s="636">
        <v>1.5299999999999999E-2</v>
      </c>
      <c r="CEW371" s="636">
        <v>1.5299999999999999E-2</v>
      </c>
      <c r="CEX371" s="636">
        <v>1.5299999999999999E-2</v>
      </c>
      <c r="CEY371" s="636">
        <v>9.7000000000000003E-3</v>
      </c>
      <c r="CEZ371" s="636">
        <v>9.7000000000000003E-3</v>
      </c>
      <c r="CFA371" s="649">
        <v>9.7000000000000003E-3</v>
      </c>
      <c r="CFB371" s="16"/>
      <c r="CFC371" s="320">
        <v>8.6999999999999994E-3</v>
      </c>
      <c r="CFD371" s="153"/>
      <c r="CFE371" s="153"/>
      <c r="CFF371" s="153"/>
      <c r="CFG371" s="648"/>
      <c r="CFH371" s="641"/>
      <c r="CFI371" s="631" t="s">
        <v>1842</v>
      </c>
      <c r="CFJ371" s="632"/>
      <c r="CFK371" s="16"/>
      <c r="CFL371" s="636">
        <v>1.5299999999999999E-2</v>
      </c>
      <c r="CFM371" s="636">
        <v>1.5299999999999999E-2</v>
      </c>
      <c r="CFN371" s="636">
        <v>1.5299999999999999E-2</v>
      </c>
      <c r="CFO371" s="636">
        <v>9.7000000000000003E-3</v>
      </c>
      <c r="CFP371" s="636">
        <v>9.7000000000000003E-3</v>
      </c>
      <c r="CFQ371" s="649">
        <v>9.7000000000000003E-3</v>
      </c>
      <c r="CFR371" s="16"/>
      <c r="CFS371" s="320">
        <v>8.6999999999999994E-3</v>
      </c>
      <c r="CFT371" s="153"/>
      <c r="CFU371" s="153"/>
      <c r="CFV371" s="153"/>
      <c r="CFW371" s="648"/>
      <c r="CFX371" s="641"/>
      <c r="CFY371" s="631" t="s">
        <v>1842</v>
      </c>
      <c r="CFZ371" s="632"/>
      <c r="CGA371" s="16"/>
      <c r="CGB371" s="636">
        <v>1.5299999999999999E-2</v>
      </c>
      <c r="CGC371" s="636">
        <v>1.5299999999999999E-2</v>
      </c>
      <c r="CGD371" s="636">
        <v>1.5299999999999999E-2</v>
      </c>
      <c r="CGE371" s="636">
        <v>9.7000000000000003E-3</v>
      </c>
      <c r="CGF371" s="636">
        <v>9.7000000000000003E-3</v>
      </c>
      <c r="CGG371" s="649">
        <v>9.7000000000000003E-3</v>
      </c>
      <c r="CGH371" s="16"/>
      <c r="CGI371" s="320">
        <v>8.6999999999999994E-3</v>
      </c>
      <c r="CGJ371" s="153"/>
      <c r="CGK371" s="153"/>
      <c r="CGL371" s="153"/>
      <c r="CGM371" s="648"/>
      <c r="CGN371" s="641"/>
      <c r="CGO371" s="631" t="s">
        <v>1842</v>
      </c>
      <c r="CGP371" s="632"/>
      <c r="CGQ371" s="16"/>
      <c r="CGR371" s="636">
        <v>1.5299999999999999E-2</v>
      </c>
      <c r="CGS371" s="636">
        <v>1.5299999999999999E-2</v>
      </c>
      <c r="CGT371" s="636">
        <v>1.5299999999999999E-2</v>
      </c>
      <c r="CGU371" s="636">
        <v>9.7000000000000003E-3</v>
      </c>
      <c r="CGV371" s="636">
        <v>9.7000000000000003E-3</v>
      </c>
      <c r="CGW371" s="649">
        <v>9.7000000000000003E-3</v>
      </c>
      <c r="CGX371" s="16"/>
      <c r="CGY371" s="320">
        <v>8.6999999999999994E-3</v>
      </c>
      <c r="CGZ371" s="153"/>
      <c r="CHA371" s="153"/>
      <c r="CHB371" s="153"/>
      <c r="CHC371" s="648"/>
      <c r="CHD371" s="641"/>
      <c r="CHE371" s="631" t="s">
        <v>1842</v>
      </c>
      <c r="CHF371" s="632"/>
      <c r="CHG371" s="16"/>
      <c r="CHH371" s="636">
        <v>1.5299999999999999E-2</v>
      </c>
      <c r="CHI371" s="636">
        <v>1.5299999999999999E-2</v>
      </c>
      <c r="CHJ371" s="636">
        <v>1.5299999999999999E-2</v>
      </c>
      <c r="CHK371" s="636">
        <v>9.7000000000000003E-3</v>
      </c>
      <c r="CHL371" s="636">
        <v>9.7000000000000003E-3</v>
      </c>
      <c r="CHM371" s="649">
        <v>9.7000000000000003E-3</v>
      </c>
      <c r="CHN371" s="16"/>
      <c r="CHO371" s="320">
        <v>8.6999999999999994E-3</v>
      </c>
      <c r="CHP371" s="153"/>
      <c r="CHQ371" s="153"/>
      <c r="CHR371" s="153"/>
      <c r="CHS371" s="648"/>
      <c r="CHT371" s="641"/>
      <c r="CHU371" s="631" t="s">
        <v>1842</v>
      </c>
      <c r="CHV371" s="632"/>
      <c r="CHW371" s="16"/>
      <c r="CHX371" s="636">
        <v>1.5299999999999999E-2</v>
      </c>
      <c r="CHY371" s="636">
        <v>1.5299999999999999E-2</v>
      </c>
      <c r="CHZ371" s="636">
        <v>1.5299999999999999E-2</v>
      </c>
      <c r="CIA371" s="636">
        <v>9.7000000000000003E-3</v>
      </c>
      <c r="CIB371" s="636">
        <v>9.7000000000000003E-3</v>
      </c>
      <c r="CIC371" s="649">
        <v>9.7000000000000003E-3</v>
      </c>
      <c r="CID371" s="16"/>
      <c r="CIE371" s="320">
        <v>8.6999999999999994E-3</v>
      </c>
      <c r="CIF371" s="153"/>
      <c r="CIG371" s="153"/>
      <c r="CIH371" s="153"/>
      <c r="CII371" s="648"/>
      <c r="CIJ371" s="641"/>
      <c r="CIK371" s="631" t="s">
        <v>1842</v>
      </c>
      <c r="CIL371" s="632"/>
      <c r="CIM371" s="16"/>
      <c r="CIN371" s="636">
        <v>1.5299999999999999E-2</v>
      </c>
      <c r="CIO371" s="636">
        <v>1.5299999999999999E-2</v>
      </c>
      <c r="CIP371" s="636">
        <v>1.5299999999999999E-2</v>
      </c>
      <c r="CIQ371" s="636">
        <v>9.7000000000000003E-3</v>
      </c>
      <c r="CIR371" s="636">
        <v>9.7000000000000003E-3</v>
      </c>
      <c r="CIS371" s="649">
        <v>9.7000000000000003E-3</v>
      </c>
      <c r="CIT371" s="16"/>
      <c r="CIU371" s="320">
        <v>8.6999999999999994E-3</v>
      </c>
      <c r="CIV371" s="153"/>
      <c r="CIW371" s="153"/>
      <c r="CIX371" s="153"/>
      <c r="CIY371" s="648"/>
      <c r="CIZ371" s="641"/>
      <c r="CJA371" s="631" t="s">
        <v>1842</v>
      </c>
      <c r="CJB371" s="632"/>
      <c r="CJC371" s="16"/>
      <c r="CJD371" s="636">
        <v>1.5299999999999999E-2</v>
      </c>
      <c r="CJE371" s="636">
        <v>1.5299999999999999E-2</v>
      </c>
      <c r="CJF371" s="636">
        <v>1.5299999999999999E-2</v>
      </c>
      <c r="CJG371" s="636">
        <v>9.7000000000000003E-3</v>
      </c>
      <c r="CJH371" s="636">
        <v>9.7000000000000003E-3</v>
      </c>
      <c r="CJI371" s="649">
        <v>9.7000000000000003E-3</v>
      </c>
      <c r="CJJ371" s="16"/>
      <c r="CJK371" s="320">
        <v>8.6999999999999994E-3</v>
      </c>
      <c r="CJL371" s="153"/>
      <c r="CJM371" s="153"/>
      <c r="CJN371" s="153"/>
      <c r="CJO371" s="648"/>
      <c r="CJP371" s="641"/>
      <c r="CJQ371" s="631" t="s">
        <v>1842</v>
      </c>
      <c r="CJR371" s="632"/>
      <c r="CJS371" s="16"/>
      <c r="CJT371" s="636">
        <v>1.5299999999999999E-2</v>
      </c>
      <c r="CJU371" s="636">
        <v>1.5299999999999999E-2</v>
      </c>
      <c r="CJV371" s="636">
        <v>1.5299999999999999E-2</v>
      </c>
      <c r="CJW371" s="636">
        <v>9.7000000000000003E-3</v>
      </c>
      <c r="CJX371" s="636">
        <v>9.7000000000000003E-3</v>
      </c>
      <c r="CJY371" s="649">
        <v>9.7000000000000003E-3</v>
      </c>
      <c r="CJZ371" s="16"/>
      <c r="CKA371" s="320">
        <v>8.6999999999999994E-3</v>
      </c>
      <c r="CKB371" s="153"/>
      <c r="CKC371" s="153"/>
      <c r="CKD371" s="153"/>
      <c r="CKE371" s="648"/>
      <c r="CKF371" s="641"/>
      <c r="CKG371" s="631" t="s">
        <v>1842</v>
      </c>
      <c r="CKH371" s="632"/>
      <c r="CKI371" s="16"/>
      <c r="CKJ371" s="636">
        <v>1.5299999999999999E-2</v>
      </c>
      <c r="CKK371" s="636">
        <v>1.5299999999999999E-2</v>
      </c>
      <c r="CKL371" s="636">
        <v>1.5299999999999999E-2</v>
      </c>
      <c r="CKM371" s="636">
        <v>9.7000000000000003E-3</v>
      </c>
      <c r="CKN371" s="636">
        <v>9.7000000000000003E-3</v>
      </c>
      <c r="CKO371" s="649">
        <v>9.7000000000000003E-3</v>
      </c>
      <c r="CKP371" s="16"/>
      <c r="CKQ371" s="320">
        <v>8.6999999999999994E-3</v>
      </c>
      <c r="CKR371" s="153"/>
      <c r="CKS371" s="153"/>
      <c r="CKT371" s="153"/>
      <c r="CKU371" s="648"/>
      <c r="CKV371" s="641"/>
      <c r="CKW371" s="631" t="s">
        <v>1842</v>
      </c>
      <c r="CKX371" s="632"/>
      <c r="CKY371" s="16"/>
      <c r="CKZ371" s="636">
        <v>1.5299999999999999E-2</v>
      </c>
      <c r="CLA371" s="636">
        <v>1.5299999999999999E-2</v>
      </c>
      <c r="CLB371" s="636">
        <v>1.5299999999999999E-2</v>
      </c>
      <c r="CLC371" s="636">
        <v>9.7000000000000003E-3</v>
      </c>
      <c r="CLD371" s="636">
        <v>9.7000000000000003E-3</v>
      </c>
      <c r="CLE371" s="649">
        <v>9.7000000000000003E-3</v>
      </c>
      <c r="CLF371" s="16"/>
      <c r="CLG371" s="320">
        <v>8.6999999999999994E-3</v>
      </c>
      <c r="CLH371" s="153"/>
      <c r="CLI371" s="153"/>
      <c r="CLJ371" s="153"/>
      <c r="CLK371" s="648"/>
      <c r="CLL371" s="641"/>
      <c r="CLM371" s="631" t="s">
        <v>1842</v>
      </c>
      <c r="CLN371" s="632"/>
      <c r="CLO371" s="16"/>
      <c r="CLP371" s="636">
        <v>1.5299999999999999E-2</v>
      </c>
      <c r="CLQ371" s="636">
        <v>1.5299999999999999E-2</v>
      </c>
      <c r="CLR371" s="636">
        <v>1.5299999999999999E-2</v>
      </c>
      <c r="CLS371" s="636">
        <v>9.7000000000000003E-3</v>
      </c>
      <c r="CLT371" s="636">
        <v>9.7000000000000003E-3</v>
      </c>
      <c r="CLU371" s="649">
        <v>9.7000000000000003E-3</v>
      </c>
      <c r="CLV371" s="16"/>
      <c r="CLW371" s="320">
        <v>8.6999999999999994E-3</v>
      </c>
      <c r="CLX371" s="153"/>
      <c r="CLY371" s="153"/>
      <c r="CLZ371" s="153"/>
      <c r="CMA371" s="648"/>
      <c r="CMB371" s="641"/>
      <c r="CMC371" s="631" t="s">
        <v>1842</v>
      </c>
      <c r="CMD371" s="632"/>
      <c r="CME371" s="16"/>
      <c r="CMF371" s="636">
        <v>1.5299999999999999E-2</v>
      </c>
      <c r="CMG371" s="636">
        <v>1.5299999999999999E-2</v>
      </c>
      <c r="CMH371" s="636">
        <v>1.5299999999999999E-2</v>
      </c>
      <c r="CMI371" s="636">
        <v>9.7000000000000003E-3</v>
      </c>
      <c r="CMJ371" s="636">
        <v>9.7000000000000003E-3</v>
      </c>
      <c r="CMK371" s="649">
        <v>9.7000000000000003E-3</v>
      </c>
      <c r="CML371" s="16"/>
      <c r="CMM371" s="320">
        <v>8.6999999999999994E-3</v>
      </c>
      <c r="CMN371" s="153"/>
      <c r="CMO371" s="153"/>
      <c r="CMP371" s="153"/>
      <c r="CMQ371" s="648"/>
      <c r="CMR371" s="641"/>
      <c r="CMS371" s="631" t="s">
        <v>1842</v>
      </c>
      <c r="CMT371" s="632"/>
      <c r="CMU371" s="16"/>
      <c r="CMV371" s="636">
        <v>1.5299999999999999E-2</v>
      </c>
      <c r="CMW371" s="636">
        <v>1.5299999999999999E-2</v>
      </c>
      <c r="CMX371" s="636">
        <v>1.5299999999999999E-2</v>
      </c>
      <c r="CMY371" s="636">
        <v>9.7000000000000003E-3</v>
      </c>
      <c r="CMZ371" s="636">
        <v>9.7000000000000003E-3</v>
      </c>
      <c r="CNA371" s="649">
        <v>9.7000000000000003E-3</v>
      </c>
      <c r="CNB371" s="16"/>
      <c r="CNC371" s="320">
        <v>8.6999999999999994E-3</v>
      </c>
      <c r="CND371" s="153"/>
      <c r="CNE371" s="153"/>
      <c r="CNF371" s="153"/>
      <c r="CNG371" s="648"/>
      <c r="CNH371" s="641"/>
      <c r="CNI371" s="631" t="s">
        <v>1842</v>
      </c>
      <c r="CNJ371" s="632"/>
      <c r="CNK371" s="16"/>
      <c r="CNL371" s="636">
        <v>1.5299999999999999E-2</v>
      </c>
      <c r="CNM371" s="636">
        <v>1.5299999999999999E-2</v>
      </c>
      <c r="CNN371" s="636">
        <v>1.5299999999999999E-2</v>
      </c>
      <c r="CNO371" s="636">
        <v>9.7000000000000003E-3</v>
      </c>
      <c r="CNP371" s="636">
        <v>9.7000000000000003E-3</v>
      </c>
      <c r="CNQ371" s="649">
        <v>9.7000000000000003E-3</v>
      </c>
      <c r="CNR371" s="16"/>
      <c r="CNS371" s="320">
        <v>8.6999999999999994E-3</v>
      </c>
      <c r="CNT371" s="153"/>
      <c r="CNU371" s="153"/>
      <c r="CNV371" s="153"/>
      <c r="CNW371" s="648"/>
      <c r="CNX371" s="641"/>
      <c r="CNY371" s="631" t="s">
        <v>1842</v>
      </c>
      <c r="CNZ371" s="632"/>
      <c r="COA371" s="16"/>
      <c r="COB371" s="636">
        <v>1.5299999999999999E-2</v>
      </c>
      <c r="COC371" s="636">
        <v>1.5299999999999999E-2</v>
      </c>
      <c r="COD371" s="636">
        <v>1.5299999999999999E-2</v>
      </c>
      <c r="COE371" s="636">
        <v>9.7000000000000003E-3</v>
      </c>
      <c r="COF371" s="636">
        <v>9.7000000000000003E-3</v>
      </c>
      <c r="COG371" s="649">
        <v>9.7000000000000003E-3</v>
      </c>
      <c r="COH371" s="16"/>
      <c r="COI371" s="320">
        <v>8.6999999999999994E-3</v>
      </c>
      <c r="COJ371" s="153"/>
      <c r="COK371" s="153"/>
      <c r="COL371" s="153"/>
      <c r="COM371" s="648"/>
      <c r="CON371" s="641"/>
      <c r="COO371" s="631" t="s">
        <v>1842</v>
      </c>
      <c r="COP371" s="632"/>
      <c r="COQ371" s="16"/>
      <c r="COR371" s="636">
        <v>1.5299999999999999E-2</v>
      </c>
      <c r="COS371" s="636">
        <v>1.5299999999999999E-2</v>
      </c>
      <c r="COT371" s="636">
        <v>1.5299999999999999E-2</v>
      </c>
      <c r="COU371" s="636">
        <v>9.7000000000000003E-3</v>
      </c>
      <c r="COV371" s="636">
        <v>9.7000000000000003E-3</v>
      </c>
      <c r="COW371" s="649">
        <v>9.7000000000000003E-3</v>
      </c>
      <c r="COX371" s="16"/>
      <c r="COY371" s="320">
        <v>8.6999999999999994E-3</v>
      </c>
      <c r="COZ371" s="153"/>
      <c r="CPA371" s="153"/>
      <c r="CPB371" s="153"/>
      <c r="CPC371" s="648"/>
      <c r="CPD371" s="641"/>
      <c r="CPE371" s="631" t="s">
        <v>1842</v>
      </c>
      <c r="CPF371" s="632"/>
      <c r="CPG371" s="16"/>
      <c r="CPH371" s="636">
        <v>1.5299999999999999E-2</v>
      </c>
      <c r="CPI371" s="636">
        <v>1.5299999999999999E-2</v>
      </c>
      <c r="CPJ371" s="636">
        <v>1.5299999999999999E-2</v>
      </c>
      <c r="CPK371" s="636">
        <v>9.7000000000000003E-3</v>
      </c>
      <c r="CPL371" s="636">
        <v>9.7000000000000003E-3</v>
      </c>
      <c r="CPM371" s="649">
        <v>9.7000000000000003E-3</v>
      </c>
      <c r="CPN371" s="16"/>
      <c r="CPO371" s="320">
        <v>8.6999999999999994E-3</v>
      </c>
      <c r="CPP371" s="153"/>
      <c r="CPQ371" s="153"/>
      <c r="CPR371" s="153"/>
      <c r="CPS371" s="648"/>
      <c r="CPT371" s="641"/>
      <c r="CPU371" s="631" t="s">
        <v>1842</v>
      </c>
      <c r="CPV371" s="632"/>
      <c r="CPW371" s="16"/>
      <c r="CPX371" s="636">
        <v>1.5299999999999999E-2</v>
      </c>
      <c r="CPY371" s="636">
        <v>1.5299999999999999E-2</v>
      </c>
      <c r="CPZ371" s="636">
        <v>1.5299999999999999E-2</v>
      </c>
      <c r="CQA371" s="636">
        <v>9.7000000000000003E-3</v>
      </c>
      <c r="CQB371" s="636">
        <v>9.7000000000000003E-3</v>
      </c>
      <c r="CQC371" s="649">
        <v>9.7000000000000003E-3</v>
      </c>
      <c r="CQD371" s="16"/>
      <c r="CQE371" s="320">
        <v>8.6999999999999994E-3</v>
      </c>
      <c r="CQF371" s="153"/>
      <c r="CQG371" s="153"/>
      <c r="CQH371" s="153"/>
      <c r="CQI371" s="648"/>
      <c r="CQJ371" s="641"/>
      <c r="CQK371" s="631" t="s">
        <v>1842</v>
      </c>
      <c r="CQL371" s="632"/>
      <c r="CQM371" s="16"/>
      <c r="CQN371" s="636">
        <v>1.5299999999999999E-2</v>
      </c>
      <c r="CQO371" s="636">
        <v>1.5299999999999999E-2</v>
      </c>
      <c r="CQP371" s="636">
        <v>1.5299999999999999E-2</v>
      </c>
      <c r="CQQ371" s="636">
        <v>9.7000000000000003E-3</v>
      </c>
      <c r="CQR371" s="636">
        <v>9.7000000000000003E-3</v>
      </c>
      <c r="CQS371" s="649">
        <v>9.7000000000000003E-3</v>
      </c>
      <c r="CQT371" s="16"/>
      <c r="CQU371" s="320">
        <v>8.6999999999999994E-3</v>
      </c>
      <c r="CQV371" s="153"/>
      <c r="CQW371" s="153"/>
      <c r="CQX371" s="153"/>
      <c r="CQY371" s="648"/>
      <c r="CQZ371" s="641"/>
      <c r="CRA371" s="631" t="s">
        <v>1842</v>
      </c>
      <c r="CRB371" s="632"/>
      <c r="CRC371" s="16"/>
      <c r="CRD371" s="636">
        <v>1.5299999999999999E-2</v>
      </c>
      <c r="CRE371" s="636">
        <v>1.5299999999999999E-2</v>
      </c>
      <c r="CRF371" s="636">
        <v>1.5299999999999999E-2</v>
      </c>
      <c r="CRG371" s="636">
        <v>9.7000000000000003E-3</v>
      </c>
      <c r="CRH371" s="636">
        <v>9.7000000000000003E-3</v>
      </c>
      <c r="CRI371" s="649">
        <v>9.7000000000000003E-3</v>
      </c>
      <c r="CRJ371" s="16"/>
      <c r="CRK371" s="320">
        <v>8.6999999999999994E-3</v>
      </c>
      <c r="CRL371" s="153"/>
      <c r="CRM371" s="153"/>
      <c r="CRN371" s="153"/>
      <c r="CRO371" s="648"/>
      <c r="CRP371" s="641"/>
      <c r="CRQ371" s="631" t="s">
        <v>1842</v>
      </c>
      <c r="CRR371" s="632"/>
      <c r="CRS371" s="16"/>
      <c r="CRT371" s="636">
        <v>1.5299999999999999E-2</v>
      </c>
      <c r="CRU371" s="636">
        <v>1.5299999999999999E-2</v>
      </c>
      <c r="CRV371" s="636">
        <v>1.5299999999999999E-2</v>
      </c>
      <c r="CRW371" s="636">
        <v>9.7000000000000003E-3</v>
      </c>
      <c r="CRX371" s="636">
        <v>9.7000000000000003E-3</v>
      </c>
      <c r="CRY371" s="649">
        <v>9.7000000000000003E-3</v>
      </c>
      <c r="CRZ371" s="16"/>
      <c r="CSA371" s="320">
        <v>8.6999999999999994E-3</v>
      </c>
      <c r="CSB371" s="153"/>
      <c r="CSC371" s="153"/>
      <c r="CSD371" s="153"/>
      <c r="CSE371" s="648"/>
      <c r="CSF371" s="641"/>
      <c r="CSG371" s="631" t="s">
        <v>1842</v>
      </c>
      <c r="CSH371" s="632"/>
      <c r="CSI371" s="16"/>
      <c r="CSJ371" s="636">
        <v>1.5299999999999999E-2</v>
      </c>
      <c r="CSK371" s="636">
        <v>1.5299999999999999E-2</v>
      </c>
      <c r="CSL371" s="636">
        <v>1.5299999999999999E-2</v>
      </c>
      <c r="CSM371" s="636">
        <v>9.7000000000000003E-3</v>
      </c>
      <c r="CSN371" s="636">
        <v>9.7000000000000003E-3</v>
      </c>
      <c r="CSO371" s="649">
        <v>9.7000000000000003E-3</v>
      </c>
      <c r="CSP371" s="16"/>
      <c r="CSQ371" s="320">
        <v>8.6999999999999994E-3</v>
      </c>
      <c r="CSR371" s="153"/>
      <c r="CSS371" s="153"/>
      <c r="CST371" s="153"/>
      <c r="CSU371" s="648"/>
      <c r="CSV371" s="641"/>
      <c r="CSW371" s="631" t="s">
        <v>1842</v>
      </c>
      <c r="CSX371" s="632"/>
      <c r="CSY371" s="16"/>
      <c r="CSZ371" s="636">
        <v>1.5299999999999999E-2</v>
      </c>
      <c r="CTA371" s="636">
        <v>1.5299999999999999E-2</v>
      </c>
      <c r="CTB371" s="636">
        <v>1.5299999999999999E-2</v>
      </c>
      <c r="CTC371" s="636">
        <v>9.7000000000000003E-3</v>
      </c>
      <c r="CTD371" s="636">
        <v>9.7000000000000003E-3</v>
      </c>
      <c r="CTE371" s="649">
        <v>9.7000000000000003E-3</v>
      </c>
      <c r="CTF371" s="16"/>
      <c r="CTG371" s="320">
        <v>8.6999999999999994E-3</v>
      </c>
      <c r="CTH371" s="153"/>
      <c r="CTI371" s="153"/>
      <c r="CTJ371" s="153"/>
      <c r="CTK371" s="648"/>
      <c r="CTL371" s="641"/>
      <c r="CTM371" s="631" t="s">
        <v>1842</v>
      </c>
      <c r="CTN371" s="632"/>
      <c r="CTO371" s="16"/>
      <c r="CTP371" s="636">
        <v>1.5299999999999999E-2</v>
      </c>
      <c r="CTQ371" s="636">
        <v>1.5299999999999999E-2</v>
      </c>
      <c r="CTR371" s="636">
        <v>1.5299999999999999E-2</v>
      </c>
      <c r="CTS371" s="636">
        <v>9.7000000000000003E-3</v>
      </c>
      <c r="CTT371" s="636">
        <v>9.7000000000000003E-3</v>
      </c>
      <c r="CTU371" s="649">
        <v>9.7000000000000003E-3</v>
      </c>
      <c r="CTV371" s="16"/>
      <c r="CTW371" s="320">
        <v>8.6999999999999994E-3</v>
      </c>
      <c r="CTX371" s="153"/>
      <c r="CTY371" s="153"/>
      <c r="CTZ371" s="153"/>
      <c r="CUA371" s="648"/>
      <c r="CUB371" s="641"/>
      <c r="CUC371" s="631" t="s">
        <v>1842</v>
      </c>
      <c r="CUD371" s="632"/>
      <c r="CUE371" s="16"/>
      <c r="CUF371" s="636">
        <v>1.5299999999999999E-2</v>
      </c>
      <c r="CUG371" s="636">
        <v>1.5299999999999999E-2</v>
      </c>
      <c r="CUH371" s="636">
        <v>1.5299999999999999E-2</v>
      </c>
      <c r="CUI371" s="636">
        <v>9.7000000000000003E-3</v>
      </c>
      <c r="CUJ371" s="636">
        <v>9.7000000000000003E-3</v>
      </c>
      <c r="CUK371" s="649">
        <v>9.7000000000000003E-3</v>
      </c>
      <c r="CUL371" s="16"/>
      <c r="CUM371" s="320">
        <v>8.6999999999999994E-3</v>
      </c>
      <c r="CUN371" s="153"/>
      <c r="CUO371" s="153"/>
      <c r="CUP371" s="153"/>
      <c r="CUQ371" s="648"/>
      <c r="CUR371" s="641"/>
      <c r="CUS371" s="631" t="s">
        <v>1842</v>
      </c>
      <c r="CUT371" s="632"/>
      <c r="CUU371" s="16"/>
      <c r="CUV371" s="636">
        <v>1.5299999999999999E-2</v>
      </c>
      <c r="CUW371" s="636">
        <v>1.5299999999999999E-2</v>
      </c>
      <c r="CUX371" s="636">
        <v>1.5299999999999999E-2</v>
      </c>
      <c r="CUY371" s="636">
        <v>9.7000000000000003E-3</v>
      </c>
      <c r="CUZ371" s="636">
        <v>9.7000000000000003E-3</v>
      </c>
      <c r="CVA371" s="649">
        <v>9.7000000000000003E-3</v>
      </c>
      <c r="CVB371" s="16"/>
      <c r="CVC371" s="320">
        <v>8.6999999999999994E-3</v>
      </c>
      <c r="CVD371" s="153"/>
      <c r="CVE371" s="153"/>
      <c r="CVF371" s="153"/>
      <c r="CVG371" s="648"/>
      <c r="CVH371" s="641"/>
      <c r="CVI371" s="631" t="s">
        <v>1842</v>
      </c>
      <c r="CVJ371" s="632"/>
      <c r="CVK371" s="16"/>
      <c r="CVL371" s="636">
        <v>1.5299999999999999E-2</v>
      </c>
      <c r="CVM371" s="636">
        <v>1.5299999999999999E-2</v>
      </c>
      <c r="CVN371" s="636">
        <v>1.5299999999999999E-2</v>
      </c>
      <c r="CVO371" s="636">
        <v>9.7000000000000003E-3</v>
      </c>
      <c r="CVP371" s="636">
        <v>9.7000000000000003E-3</v>
      </c>
      <c r="CVQ371" s="649">
        <v>9.7000000000000003E-3</v>
      </c>
      <c r="CVR371" s="16"/>
      <c r="CVS371" s="320">
        <v>8.6999999999999994E-3</v>
      </c>
      <c r="CVT371" s="153"/>
      <c r="CVU371" s="153"/>
      <c r="CVV371" s="153"/>
      <c r="CVW371" s="648"/>
      <c r="CVX371" s="641"/>
      <c r="CVY371" s="631" t="s">
        <v>1842</v>
      </c>
      <c r="CVZ371" s="632"/>
      <c r="CWA371" s="16"/>
      <c r="CWB371" s="636">
        <v>1.5299999999999999E-2</v>
      </c>
      <c r="CWC371" s="636">
        <v>1.5299999999999999E-2</v>
      </c>
      <c r="CWD371" s="636">
        <v>1.5299999999999999E-2</v>
      </c>
      <c r="CWE371" s="636">
        <v>9.7000000000000003E-3</v>
      </c>
      <c r="CWF371" s="636">
        <v>9.7000000000000003E-3</v>
      </c>
      <c r="CWG371" s="649">
        <v>9.7000000000000003E-3</v>
      </c>
      <c r="CWH371" s="16"/>
      <c r="CWI371" s="320">
        <v>8.6999999999999994E-3</v>
      </c>
      <c r="CWJ371" s="153"/>
      <c r="CWK371" s="153"/>
      <c r="CWL371" s="153"/>
      <c r="CWM371" s="648"/>
      <c r="CWN371" s="641"/>
      <c r="CWO371" s="631" t="s">
        <v>1842</v>
      </c>
      <c r="CWP371" s="632"/>
      <c r="CWQ371" s="16"/>
      <c r="CWR371" s="636">
        <v>1.5299999999999999E-2</v>
      </c>
      <c r="CWS371" s="636">
        <v>1.5299999999999999E-2</v>
      </c>
      <c r="CWT371" s="636">
        <v>1.5299999999999999E-2</v>
      </c>
      <c r="CWU371" s="636">
        <v>9.7000000000000003E-3</v>
      </c>
      <c r="CWV371" s="636">
        <v>9.7000000000000003E-3</v>
      </c>
      <c r="CWW371" s="649">
        <v>9.7000000000000003E-3</v>
      </c>
      <c r="CWX371" s="16"/>
      <c r="CWY371" s="320">
        <v>8.6999999999999994E-3</v>
      </c>
      <c r="CWZ371" s="153"/>
      <c r="CXA371" s="153"/>
      <c r="CXB371" s="153"/>
      <c r="CXC371" s="648"/>
      <c r="CXD371" s="641"/>
      <c r="CXE371" s="631" t="s">
        <v>1842</v>
      </c>
      <c r="CXF371" s="632"/>
      <c r="CXG371" s="16"/>
      <c r="CXH371" s="636">
        <v>1.5299999999999999E-2</v>
      </c>
      <c r="CXI371" s="636">
        <v>1.5299999999999999E-2</v>
      </c>
      <c r="CXJ371" s="636">
        <v>1.5299999999999999E-2</v>
      </c>
      <c r="CXK371" s="636">
        <v>9.7000000000000003E-3</v>
      </c>
      <c r="CXL371" s="636">
        <v>9.7000000000000003E-3</v>
      </c>
      <c r="CXM371" s="649">
        <v>9.7000000000000003E-3</v>
      </c>
      <c r="CXN371" s="16"/>
      <c r="CXO371" s="320">
        <v>8.6999999999999994E-3</v>
      </c>
      <c r="CXP371" s="153"/>
      <c r="CXQ371" s="153"/>
      <c r="CXR371" s="153"/>
      <c r="CXS371" s="648"/>
      <c r="CXT371" s="641"/>
      <c r="CXU371" s="631" t="s">
        <v>1842</v>
      </c>
      <c r="CXV371" s="632"/>
      <c r="CXW371" s="16"/>
      <c r="CXX371" s="636">
        <v>1.5299999999999999E-2</v>
      </c>
      <c r="CXY371" s="636">
        <v>1.5299999999999999E-2</v>
      </c>
      <c r="CXZ371" s="636">
        <v>1.5299999999999999E-2</v>
      </c>
      <c r="CYA371" s="636">
        <v>9.7000000000000003E-3</v>
      </c>
      <c r="CYB371" s="636">
        <v>9.7000000000000003E-3</v>
      </c>
      <c r="CYC371" s="649">
        <v>9.7000000000000003E-3</v>
      </c>
      <c r="CYD371" s="16"/>
      <c r="CYE371" s="320">
        <v>8.6999999999999994E-3</v>
      </c>
      <c r="CYF371" s="153"/>
      <c r="CYG371" s="153"/>
      <c r="CYH371" s="153"/>
      <c r="CYI371" s="648"/>
      <c r="CYJ371" s="641"/>
      <c r="CYK371" s="631" t="s">
        <v>1842</v>
      </c>
      <c r="CYL371" s="632"/>
      <c r="CYM371" s="16"/>
      <c r="CYN371" s="636">
        <v>1.5299999999999999E-2</v>
      </c>
      <c r="CYO371" s="636">
        <v>1.5299999999999999E-2</v>
      </c>
      <c r="CYP371" s="636">
        <v>1.5299999999999999E-2</v>
      </c>
      <c r="CYQ371" s="636">
        <v>9.7000000000000003E-3</v>
      </c>
      <c r="CYR371" s="636">
        <v>9.7000000000000003E-3</v>
      </c>
      <c r="CYS371" s="649">
        <v>9.7000000000000003E-3</v>
      </c>
      <c r="CYT371" s="16"/>
      <c r="CYU371" s="320">
        <v>8.6999999999999994E-3</v>
      </c>
      <c r="CYV371" s="153"/>
      <c r="CYW371" s="153"/>
      <c r="CYX371" s="153"/>
      <c r="CYY371" s="648"/>
      <c r="CYZ371" s="641"/>
      <c r="CZA371" s="631" t="s">
        <v>1842</v>
      </c>
      <c r="CZB371" s="632"/>
      <c r="CZC371" s="16"/>
      <c r="CZD371" s="636">
        <v>1.5299999999999999E-2</v>
      </c>
      <c r="CZE371" s="636">
        <v>1.5299999999999999E-2</v>
      </c>
      <c r="CZF371" s="636">
        <v>1.5299999999999999E-2</v>
      </c>
      <c r="CZG371" s="636">
        <v>9.7000000000000003E-3</v>
      </c>
      <c r="CZH371" s="636">
        <v>9.7000000000000003E-3</v>
      </c>
      <c r="CZI371" s="649">
        <v>9.7000000000000003E-3</v>
      </c>
      <c r="CZJ371" s="16"/>
      <c r="CZK371" s="320">
        <v>8.6999999999999994E-3</v>
      </c>
      <c r="CZL371" s="153"/>
      <c r="CZM371" s="153"/>
      <c r="CZN371" s="153"/>
      <c r="CZO371" s="648"/>
      <c r="CZP371" s="641"/>
      <c r="CZQ371" s="631" t="s">
        <v>1842</v>
      </c>
      <c r="CZR371" s="632"/>
      <c r="CZS371" s="16"/>
      <c r="CZT371" s="636">
        <v>1.5299999999999999E-2</v>
      </c>
      <c r="CZU371" s="636">
        <v>1.5299999999999999E-2</v>
      </c>
      <c r="CZV371" s="636">
        <v>1.5299999999999999E-2</v>
      </c>
      <c r="CZW371" s="636">
        <v>9.7000000000000003E-3</v>
      </c>
      <c r="CZX371" s="636">
        <v>9.7000000000000003E-3</v>
      </c>
      <c r="CZY371" s="649">
        <v>9.7000000000000003E-3</v>
      </c>
      <c r="CZZ371" s="16"/>
      <c r="DAA371" s="320">
        <v>8.6999999999999994E-3</v>
      </c>
      <c r="DAB371" s="153"/>
      <c r="DAC371" s="153"/>
      <c r="DAD371" s="153"/>
      <c r="DAE371" s="648"/>
      <c r="DAF371" s="641"/>
      <c r="DAG371" s="631" t="s">
        <v>1842</v>
      </c>
      <c r="DAH371" s="632"/>
      <c r="DAI371" s="16"/>
      <c r="DAJ371" s="636">
        <v>1.5299999999999999E-2</v>
      </c>
      <c r="DAK371" s="636">
        <v>1.5299999999999999E-2</v>
      </c>
      <c r="DAL371" s="636">
        <v>1.5299999999999999E-2</v>
      </c>
      <c r="DAM371" s="636">
        <v>9.7000000000000003E-3</v>
      </c>
      <c r="DAN371" s="636">
        <v>9.7000000000000003E-3</v>
      </c>
      <c r="DAO371" s="649">
        <v>9.7000000000000003E-3</v>
      </c>
      <c r="DAP371" s="16"/>
      <c r="DAQ371" s="320">
        <v>8.6999999999999994E-3</v>
      </c>
      <c r="DAR371" s="153"/>
      <c r="DAS371" s="153"/>
      <c r="DAT371" s="153"/>
      <c r="DAU371" s="648"/>
      <c r="DAV371" s="641"/>
      <c r="DAW371" s="631" t="s">
        <v>1842</v>
      </c>
      <c r="DAX371" s="632"/>
      <c r="DAY371" s="16"/>
      <c r="DAZ371" s="636">
        <v>1.5299999999999999E-2</v>
      </c>
      <c r="DBA371" s="636">
        <v>1.5299999999999999E-2</v>
      </c>
      <c r="DBB371" s="636">
        <v>1.5299999999999999E-2</v>
      </c>
      <c r="DBC371" s="636">
        <v>9.7000000000000003E-3</v>
      </c>
      <c r="DBD371" s="636">
        <v>9.7000000000000003E-3</v>
      </c>
      <c r="DBE371" s="649">
        <v>9.7000000000000003E-3</v>
      </c>
      <c r="DBF371" s="16"/>
      <c r="DBG371" s="320">
        <v>8.6999999999999994E-3</v>
      </c>
      <c r="DBH371" s="153"/>
      <c r="DBI371" s="153"/>
      <c r="DBJ371" s="153"/>
      <c r="DBK371" s="648"/>
      <c r="DBL371" s="641"/>
      <c r="DBM371" s="631" t="s">
        <v>1842</v>
      </c>
      <c r="DBN371" s="632"/>
      <c r="DBO371" s="16"/>
      <c r="DBP371" s="636">
        <v>1.5299999999999999E-2</v>
      </c>
      <c r="DBQ371" s="636">
        <v>1.5299999999999999E-2</v>
      </c>
      <c r="DBR371" s="636">
        <v>1.5299999999999999E-2</v>
      </c>
      <c r="DBS371" s="636">
        <v>9.7000000000000003E-3</v>
      </c>
      <c r="DBT371" s="636">
        <v>9.7000000000000003E-3</v>
      </c>
      <c r="DBU371" s="649">
        <v>9.7000000000000003E-3</v>
      </c>
      <c r="DBV371" s="16"/>
      <c r="DBW371" s="320">
        <v>8.6999999999999994E-3</v>
      </c>
      <c r="DBX371" s="153"/>
      <c r="DBY371" s="153"/>
      <c r="DBZ371" s="153"/>
      <c r="DCA371" s="648"/>
      <c r="DCB371" s="641"/>
      <c r="DCC371" s="631" t="s">
        <v>1842</v>
      </c>
      <c r="DCD371" s="632"/>
      <c r="DCE371" s="16"/>
      <c r="DCF371" s="636">
        <v>1.5299999999999999E-2</v>
      </c>
      <c r="DCG371" s="636">
        <v>1.5299999999999999E-2</v>
      </c>
      <c r="DCH371" s="636">
        <v>1.5299999999999999E-2</v>
      </c>
      <c r="DCI371" s="636">
        <v>9.7000000000000003E-3</v>
      </c>
      <c r="DCJ371" s="636">
        <v>9.7000000000000003E-3</v>
      </c>
      <c r="DCK371" s="649">
        <v>9.7000000000000003E-3</v>
      </c>
      <c r="DCL371" s="16"/>
      <c r="DCM371" s="320">
        <v>8.6999999999999994E-3</v>
      </c>
      <c r="DCN371" s="153"/>
      <c r="DCO371" s="153"/>
      <c r="DCP371" s="153"/>
      <c r="DCQ371" s="648"/>
      <c r="DCR371" s="641"/>
      <c r="DCS371" s="631" t="s">
        <v>1842</v>
      </c>
      <c r="DCT371" s="632"/>
      <c r="DCU371" s="16"/>
      <c r="DCV371" s="636">
        <v>1.5299999999999999E-2</v>
      </c>
      <c r="DCW371" s="636">
        <v>1.5299999999999999E-2</v>
      </c>
      <c r="DCX371" s="636">
        <v>1.5299999999999999E-2</v>
      </c>
      <c r="DCY371" s="636">
        <v>9.7000000000000003E-3</v>
      </c>
      <c r="DCZ371" s="636">
        <v>9.7000000000000003E-3</v>
      </c>
      <c r="DDA371" s="649">
        <v>9.7000000000000003E-3</v>
      </c>
      <c r="DDB371" s="16"/>
      <c r="DDC371" s="320">
        <v>8.6999999999999994E-3</v>
      </c>
      <c r="DDD371" s="153"/>
      <c r="DDE371" s="153"/>
      <c r="DDF371" s="153"/>
      <c r="DDG371" s="648"/>
      <c r="DDH371" s="641"/>
      <c r="DDI371" s="631" t="s">
        <v>1842</v>
      </c>
      <c r="DDJ371" s="632"/>
      <c r="DDK371" s="16"/>
      <c r="DDL371" s="636">
        <v>1.5299999999999999E-2</v>
      </c>
      <c r="DDM371" s="636">
        <v>1.5299999999999999E-2</v>
      </c>
      <c r="DDN371" s="636">
        <v>1.5299999999999999E-2</v>
      </c>
      <c r="DDO371" s="636">
        <v>9.7000000000000003E-3</v>
      </c>
      <c r="DDP371" s="636">
        <v>9.7000000000000003E-3</v>
      </c>
      <c r="DDQ371" s="649">
        <v>9.7000000000000003E-3</v>
      </c>
      <c r="DDR371" s="16"/>
      <c r="DDS371" s="320">
        <v>8.6999999999999994E-3</v>
      </c>
      <c r="DDT371" s="153"/>
      <c r="DDU371" s="153"/>
      <c r="DDV371" s="153"/>
      <c r="DDW371" s="648"/>
      <c r="DDX371" s="641"/>
      <c r="DDY371" s="631" t="s">
        <v>1842</v>
      </c>
      <c r="DDZ371" s="632"/>
      <c r="DEA371" s="16"/>
      <c r="DEB371" s="636">
        <v>1.5299999999999999E-2</v>
      </c>
      <c r="DEC371" s="636">
        <v>1.5299999999999999E-2</v>
      </c>
      <c r="DED371" s="636">
        <v>1.5299999999999999E-2</v>
      </c>
      <c r="DEE371" s="636">
        <v>9.7000000000000003E-3</v>
      </c>
      <c r="DEF371" s="636">
        <v>9.7000000000000003E-3</v>
      </c>
      <c r="DEG371" s="649">
        <v>9.7000000000000003E-3</v>
      </c>
      <c r="DEH371" s="16"/>
      <c r="DEI371" s="320">
        <v>8.6999999999999994E-3</v>
      </c>
      <c r="DEJ371" s="153"/>
      <c r="DEK371" s="153"/>
      <c r="DEL371" s="153"/>
      <c r="DEM371" s="648"/>
      <c r="DEN371" s="641"/>
      <c r="DEO371" s="631" t="s">
        <v>1842</v>
      </c>
      <c r="DEP371" s="632"/>
      <c r="DEQ371" s="16"/>
      <c r="DER371" s="636">
        <v>1.5299999999999999E-2</v>
      </c>
      <c r="DES371" s="636">
        <v>1.5299999999999999E-2</v>
      </c>
      <c r="DET371" s="636">
        <v>1.5299999999999999E-2</v>
      </c>
      <c r="DEU371" s="636">
        <v>9.7000000000000003E-3</v>
      </c>
      <c r="DEV371" s="636">
        <v>9.7000000000000003E-3</v>
      </c>
      <c r="DEW371" s="649">
        <v>9.7000000000000003E-3</v>
      </c>
      <c r="DEX371" s="16"/>
      <c r="DEY371" s="320">
        <v>8.6999999999999994E-3</v>
      </c>
      <c r="DEZ371" s="153"/>
      <c r="DFA371" s="153"/>
      <c r="DFB371" s="153"/>
      <c r="DFC371" s="648"/>
      <c r="DFD371" s="641"/>
      <c r="DFE371" s="631" t="s">
        <v>1842</v>
      </c>
      <c r="DFF371" s="632"/>
      <c r="DFG371" s="16"/>
      <c r="DFH371" s="636">
        <v>1.5299999999999999E-2</v>
      </c>
      <c r="DFI371" s="636">
        <v>1.5299999999999999E-2</v>
      </c>
      <c r="DFJ371" s="636">
        <v>1.5299999999999999E-2</v>
      </c>
      <c r="DFK371" s="636">
        <v>9.7000000000000003E-3</v>
      </c>
      <c r="DFL371" s="636">
        <v>9.7000000000000003E-3</v>
      </c>
      <c r="DFM371" s="649">
        <v>9.7000000000000003E-3</v>
      </c>
      <c r="DFN371" s="16"/>
      <c r="DFO371" s="320">
        <v>8.6999999999999994E-3</v>
      </c>
      <c r="DFP371" s="153"/>
      <c r="DFQ371" s="153"/>
      <c r="DFR371" s="153"/>
      <c r="DFS371" s="648"/>
      <c r="DFT371" s="641"/>
      <c r="DFU371" s="631" t="s">
        <v>1842</v>
      </c>
      <c r="DFV371" s="632"/>
      <c r="DFW371" s="16"/>
      <c r="DFX371" s="636">
        <v>1.5299999999999999E-2</v>
      </c>
      <c r="DFY371" s="636">
        <v>1.5299999999999999E-2</v>
      </c>
      <c r="DFZ371" s="636">
        <v>1.5299999999999999E-2</v>
      </c>
      <c r="DGA371" s="636">
        <v>9.7000000000000003E-3</v>
      </c>
      <c r="DGB371" s="636">
        <v>9.7000000000000003E-3</v>
      </c>
      <c r="DGC371" s="649">
        <v>9.7000000000000003E-3</v>
      </c>
      <c r="DGD371" s="16"/>
      <c r="DGE371" s="320">
        <v>8.6999999999999994E-3</v>
      </c>
      <c r="DGF371" s="153"/>
      <c r="DGG371" s="153"/>
      <c r="DGH371" s="153"/>
      <c r="DGI371" s="648"/>
      <c r="DGJ371" s="641"/>
      <c r="DGK371" s="631" t="s">
        <v>1842</v>
      </c>
      <c r="DGL371" s="632"/>
      <c r="DGM371" s="16"/>
      <c r="DGN371" s="636">
        <v>1.5299999999999999E-2</v>
      </c>
      <c r="DGO371" s="636">
        <v>1.5299999999999999E-2</v>
      </c>
      <c r="DGP371" s="636">
        <v>1.5299999999999999E-2</v>
      </c>
      <c r="DGQ371" s="636">
        <v>9.7000000000000003E-3</v>
      </c>
      <c r="DGR371" s="636">
        <v>9.7000000000000003E-3</v>
      </c>
      <c r="DGS371" s="649">
        <v>9.7000000000000003E-3</v>
      </c>
      <c r="DGT371" s="16"/>
      <c r="DGU371" s="320">
        <v>8.6999999999999994E-3</v>
      </c>
      <c r="DGV371" s="153"/>
      <c r="DGW371" s="153"/>
      <c r="DGX371" s="153"/>
      <c r="DGY371" s="648"/>
      <c r="DGZ371" s="641"/>
      <c r="DHA371" s="631" t="s">
        <v>1842</v>
      </c>
      <c r="DHB371" s="632"/>
      <c r="DHC371" s="16"/>
      <c r="DHD371" s="636">
        <v>1.5299999999999999E-2</v>
      </c>
      <c r="DHE371" s="636">
        <v>1.5299999999999999E-2</v>
      </c>
      <c r="DHF371" s="636">
        <v>1.5299999999999999E-2</v>
      </c>
      <c r="DHG371" s="636">
        <v>9.7000000000000003E-3</v>
      </c>
      <c r="DHH371" s="636">
        <v>9.7000000000000003E-3</v>
      </c>
      <c r="DHI371" s="649">
        <v>9.7000000000000003E-3</v>
      </c>
      <c r="DHJ371" s="16"/>
      <c r="DHK371" s="320">
        <v>8.6999999999999994E-3</v>
      </c>
      <c r="DHL371" s="153"/>
      <c r="DHM371" s="153"/>
      <c r="DHN371" s="153"/>
      <c r="DHO371" s="648"/>
      <c r="DHP371" s="641"/>
      <c r="DHQ371" s="631" t="s">
        <v>1842</v>
      </c>
      <c r="DHR371" s="632"/>
      <c r="DHS371" s="16"/>
      <c r="DHT371" s="636">
        <v>1.5299999999999999E-2</v>
      </c>
      <c r="DHU371" s="636">
        <v>1.5299999999999999E-2</v>
      </c>
      <c r="DHV371" s="636">
        <v>1.5299999999999999E-2</v>
      </c>
      <c r="DHW371" s="636">
        <v>9.7000000000000003E-3</v>
      </c>
      <c r="DHX371" s="636">
        <v>9.7000000000000003E-3</v>
      </c>
      <c r="DHY371" s="649">
        <v>9.7000000000000003E-3</v>
      </c>
      <c r="DHZ371" s="16"/>
      <c r="DIA371" s="320">
        <v>8.6999999999999994E-3</v>
      </c>
      <c r="DIB371" s="153"/>
      <c r="DIC371" s="153"/>
      <c r="DID371" s="153"/>
      <c r="DIE371" s="648"/>
      <c r="DIF371" s="641"/>
      <c r="DIG371" s="631" t="s">
        <v>1842</v>
      </c>
      <c r="DIH371" s="632"/>
      <c r="DII371" s="16"/>
      <c r="DIJ371" s="636">
        <v>1.5299999999999999E-2</v>
      </c>
      <c r="DIK371" s="636">
        <v>1.5299999999999999E-2</v>
      </c>
      <c r="DIL371" s="636">
        <v>1.5299999999999999E-2</v>
      </c>
      <c r="DIM371" s="636">
        <v>9.7000000000000003E-3</v>
      </c>
      <c r="DIN371" s="636">
        <v>9.7000000000000003E-3</v>
      </c>
      <c r="DIO371" s="649">
        <v>9.7000000000000003E-3</v>
      </c>
      <c r="DIP371" s="16"/>
      <c r="DIQ371" s="320">
        <v>8.6999999999999994E-3</v>
      </c>
      <c r="DIR371" s="153"/>
      <c r="DIS371" s="153"/>
      <c r="DIT371" s="153"/>
      <c r="DIU371" s="648"/>
      <c r="DIV371" s="641"/>
      <c r="DIW371" s="631" t="s">
        <v>1842</v>
      </c>
      <c r="DIX371" s="632"/>
      <c r="DIY371" s="16"/>
      <c r="DIZ371" s="636">
        <v>1.5299999999999999E-2</v>
      </c>
      <c r="DJA371" s="636">
        <v>1.5299999999999999E-2</v>
      </c>
      <c r="DJB371" s="636">
        <v>1.5299999999999999E-2</v>
      </c>
      <c r="DJC371" s="636">
        <v>9.7000000000000003E-3</v>
      </c>
      <c r="DJD371" s="636">
        <v>9.7000000000000003E-3</v>
      </c>
      <c r="DJE371" s="649">
        <v>9.7000000000000003E-3</v>
      </c>
      <c r="DJF371" s="16"/>
      <c r="DJG371" s="320">
        <v>8.6999999999999994E-3</v>
      </c>
      <c r="DJH371" s="153"/>
      <c r="DJI371" s="153"/>
      <c r="DJJ371" s="153"/>
      <c r="DJK371" s="648"/>
      <c r="DJL371" s="641"/>
      <c r="DJM371" s="631" t="s">
        <v>1842</v>
      </c>
      <c r="DJN371" s="632"/>
      <c r="DJO371" s="16"/>
      <c r="DJP371" s="636">
        <v>1.5299999999999999E-2</v>
      </c>
      <c r="DJQ371" s="636">
        <v>1.5299999999999999E-2</v>
      </c>
      <c r="DJR371" s="636">
        <v>1.5299999999999999E-2</v>
      </c>
      <c r="DJS371" s="636">
        <v>9.7000000000000003E-3</v>
      </c>
      <c r="DJT371" s="636">
        <v>9.7000000000000003E-3</v>
      </c>
      <c r="DJU371" s="649">
        <v>9.7000000000000003E-3</v>
      </c>
      <c r="DJV371" s="16"/>
      <c r="DJW371" s="320">
        <v>8.6999999999999994E-3</v>
      </c>
      <c r="DJX371" s="153"/>
      <c r="DJY371" s="153"/>
      <c r="DJZ371" s="153"/>
      <c r="DKA371" s="648"/>
      <c r="DKB371" s="641"/>
      <c r="DKC371" s="631" t="s">
        <v>1842</v>
      </c>
      <c r="DKD371" s="632"/>
      <c r="DKE371" s="16"/>
      <c r="DKF371" s="636">
        <v>1.5299999999999999E-2</v>
      </c>
      <c r="DKG371" s="636">
        <v>1.5299999999999999E-2</v>
      </c>
      <c r="DKH371" s="636">
        <v>1.5299999999999999E-2</v>
      </c>
      <c r="DKI371" s="636">
        <v>9.7000000000000003E-3</v>
      </c>
      <c r="DKJ371" s="636">
        <v>9.7000000000000003E-3</v>
      </c>
      <c r="DKK371" s="649">
        <v>9.7000000000000003E-3</v>
      </c>
      <c r="DKL371" s="16"/>
      <c r="DKM371" s="320">
        <v>8.6999999999999994E-3</v>
      </c>
      <c r="DKN371" s="153"/>
      <c r="DKO371" s="153"/>
      <c r="DKP371" s="153"/>
      <c r="DKQ371" s="648"/>
      <c r="DKR371" s="641"/>
      <c r="DKS371" s="631" t="s">
        <v>1842</v>
      </c>
      <c r="DKT371" s="632"/>
      <c r="DKU371" s="16"/>
      <c r="DKV371" s="636">
        <v>1.5299999999999999E-2</v>
      </c>
      <c r="DKW371" s="636">
        <v>1.5299999999999999E-2</v>
      </c>
      <c r="DKX371" s="636">
        <v>1.5299999999999999E-2</v>
      </c>
      <c r="DKY371" s="636">
        <v>9.7000000000000003E-3</v>
      </c>
      <c r="DKZ371" s="636">
        <v>9.7000000000000003E-3</v>
      </c>
      <c r="DLA371" s="649">
        <v>9.7000000000000003E-3</v>
      </c>
      <c r="DLB371" s="16"/>
      <c r="DLC371" s="320">
        <v>8.6999999999999994E-3</v>
      </c>
      <c r="DLD371" s="153"/>
      <c r="DLE371" s="153"/>
      <c r="DLF371" s="153"/>
      <c r="DLG371" s="648"/>
      <c r="DLH371" s="641"/>
      <c r="DLI371" s="631" t="s">
        <v>1842</v>
      </c>
      <c r="DLJ371" s="632"/>
      <c r="DLK371" s="16"/>
      <c r="DLL371" s="636">
        <v>1.5299999999999999E-2</v>
      </c>
      <c r="DLM371" s="636">
        <v>1.5299999999999999E-2</v>
      </c>
      <c r="DLN371" s="636">
        <v>1.5299999999999999E-2</v>
      </c>
      <c r="DLO371" s="636">
        <v>9.7000000000000003E-3</v>
      </c>
      <c r="DLP371" s="636">
        <v>9.7000000000000003E-3</v>
      </c>
      <c r="DLQ371" s="649">
        <v>9.7000000000000003E-3</v>
      </c>
      <c r="DLR371" s="16"/>
      <c r="DLS371" s="320">
        <v>8.6999999999999994E-3</v>
      </c>
      <c r="DLT371" s="153"/>
      <c r="DLU371" s="153"/>
      <c r="DLV371" s="153"/>
      <c r="DLW371" s="648"/>
      <c r="DLX371" s="641"/>
      <c r="DLY371" s="631" t="s">
        <v>1842</v>
      </c>
      <c r="DLZ371" s="632"/>
      <c r="DMA371" s="16"/>
      <c r="DMB371" s="636">
        <v>1.5299999999999999E-2</v>
      </c>
      <c r="DMC371" s="636">
        <v>1.5299999999999999E-2</v>
      </c>
      <c r="DMD371" s="636">
        <v>1.5299999999999999E-2</v>
      </c>
      <c r="DME371" s="636">
        <v>9.7000000000000003E-3</v>
      </c>
      <c r="DMF371" s="636">
        <v>9.7000000000000003E-3</v>
      </c>
      <c r="DMG371" s="649">
        <v>9.7000000000000003E-3</v>
      </c>
      <c r="DMH371" s="16"/>
      <c r="DMI371" s="320">
        <v>8.6999999999999994E-3</v>
      </c>
      <c r="DMJ371" s="153"/>
      <c r="DMK371" s="153"/>
      <c r="DML371" s="153"/>
      <c r="DMM371" s="648"/>
      <c r="DMN371" s="641"/>
      <c r="DMO371" s="631" t="s">
        <v>1842</v>
      </c>
      <c r="DMP371" s="632"/>
      <c r="DMQ371" s="16"/>
      <c r="DMR371" s="636">
        <v>1.5299999999999999E-2</v>
      </c>
      <c r="DMS371" s="636">
        <v>1.5299999999999999E-2</v>
      </c>
      <c r="DMT371" s="636">
        <v>1.5299999999999999E-2</v>
      </c>
      <c r="DMU371" s="636">
        <v>9.7000000000000003E-3</v>
      </c>
      <c r="DMV371" s="636">
        <v>9.7000000000000003E-3</v>
      </c>
      <c r="DMW371" s="649">
        <v>9.7000000000000003E-3</v>
      </c>
      <c r="DMX371" s="16"/>
      <c r="DMY371" s="320">
        <v>8.6999999999999994E-3</v>
      </c>
      <c r="DMZ371" s="153"/>
      <c r="DNA371" s="153"/>
      <c r="DNB371" s="153"/>
      <c r="DNC371" s="648"/>
      <c r="DND371" s="641"/>
      <c r="DNE371" s="631" t="s">
        <v>1842</v>
      </c>
      <c r="DNF371" s="632"/>
      <c r="DNG371" s="16"/>
      <c r="DNH371" s="636">
        <v>1.5299999999999999E-2</v>
      </c>
      <c r="DNI371" s="636">
        <v>1.5299999999999999E-2</v>
      </c>
      <c r="DNJ371" s="636">
        <v>1.5299999999999999E-2</v>
      </c>
      <c r="DNK371" s="636">
        <v>9.7000000000000003E-3</v>
      </c>
      <c r="DNL371" s="636">
        <v>9.7000000000000003E-3</v>
      </c>
      <c r="DNM371" s="649">
        <v>9.7000000000000003E-3</v>
      </c>
      <c r="DNN371" s="16"/>
      <c r="DNO371" s="320">
        <v>8.6999999999999994E-3</v>
      </c>
      <c r="DNP371" s="153"/>
      <c r="DNQ371" s="153"/>
      <c r="DNR371" s="153"/>
      <c r="DNS371" s="648"/>
      <c r="DNT371" s="641"/>
      <c r="DNU371" s="631" t="s">
        <v>1842</v>
      </c>
      <c r="DNV371" s="632"/>
      <c r="DNW371" s="16"/>
      <c r="DNX371" s="636">
        <v>1.5299999999999999E-2</v>
      </c>
      <c r="DNY371" s="636">
        <v>1.5299999999999999E-2</v>
      </c>
      <c r="DNZ371" s="636">
        <v>1.5299999999999999E-2</v>
      </c>
      <c r="DOA371" s="636">
        <v>9.7000000000000003E-3</v>
      </c>
      <c r="DOB371" s="636">
        <v>9.7000000000000003E-3</v>
      </c>
      <c r="DOC371" s="649">
        <v>9.7000000000000003E-3</v>
      </c>
      <c r="DOD371" s="16"/>
      <c r="DOE371" s="320">
        <v>8.6999999999999994E-3</v>
      </c>
      <c r="DOF371" s="153"/>
      <c r="DOG371" s="153"/>
      <c r="DOH371" s="153"/>
      <c r="DOI371" s="648"/>
      <c r="DOJ371" s="641"/>
      <c r="DOK371" s="631" t="s">
        <v>1842</v>
      </c>
      <c r="DOL371" s="632"/>
      <c r="DOM371" s="16"/>
      <c r="DON371" s="636">
        <v>1.5299999999999999E-2</v>
      </c>
      <c r="DOO371" s="636">
        <v>1.5299999999999999E-2</v>
      </c>
      <c r="DOP371" s="636">
        <v>1.5299999999999999E-2</v>
      </c>
      <c r="DOQ371" s="636">
        <v>9.7000000000000003E-3</v>
      </c>
      <c r="DOR371" s="636">
        <v>9.7000000000000003E-3</v>
      </c>
      <c r="DOS371" s="649">
        <v>9.7000000000000003E-3</v>
      </c>
      <c r="DOT371" s="16"/>
      <c r="DOU371" s="320">
        <v>8.6999999999999994E-3</v>
      </c>
      <c r="DOV371" s="153"/>
      <c r="DOW371" s="153"/>
      <c r="DOX371" s="153"/>
      <c r="DOY371" s="648"/>
      <c r="DOZ371" s="641"/>
      <c r="DPA371" s="631" t="s">
        <v>1842</v>
      </c>
      <c r="DPB371" s="632"/>
      <c r="DPC371" s="16"/>
      <c r="DPD371" s="636">
        <v>1.5299999999999999E-2</v>
      </c>
      <c r="DPE371" s="636">
        <v>1.5299999999999999E-2</v>
      </c>
      <c r="DPF371" s="636">
        <v>1.5299999999999999E-2</v>
      </c>
      <c r="DPG371" s="636">
        <v>9.7000000000000003E-3</v>
      </c>
      <c r="DPH371" s="636">
        <v>9.7000000000000003E-3</v>
      </c>
      <c r="DPI371" s="649">
        <v>9.7000000000000003E-3</v>
      </c>
      <c r="DPJ371" s="16"/>
      <c r="DPK371" s="320">
        <v>8.6999999999999994E-3</v>
      </c>
      <c r="DPL371" s="153"/>
      <c r="DPM371" s="153"/>
      <c r="DPN371" s="153"/>
      <c r="DPO371" s="648"/>
      <c r="DPP371" s="641"/>
      <c r="DPQ371" s="631" t="s">
        <v>1842</v>
      </c>
      <c r="DPR371" s="632"/>
      <c r="DPS371" s="16"/>
      <c r="DPT371" s="636">
        <v>1.5299999999999999E-2</v>
      </c>
      <c r="DPU371" s="636">
        <v>1.5299999999999999E-2</v>
      </c>
      <c r="DPV371" s="636">
        <v>1.5299999999999999E-2</v>
      </c>
      <c r="DPW371" s="636">
        <v>9.7000000000000003E-3</v>
      </c>
      <c r="DPX371" s="636">
        <v>9.7000000000000003E-3</v>
      </c>
      <c r="DPY371" s="649">
        <v>9.7000000000000003E-3</v>
      </c>
      <c r="DPZ371" s="16"/>
      <c r="DQA371" s="320">
        <v>8.6999999999999994E-3</v>
      </c>
      <c r="DQB371" s="153"/>
      <c r="DQC371" s="153"/>
      <c r="DQD371" s="153"/>
      <c r="DQE371" s="648"/>
      <c r="DQF371" s="641"/>
      <c r="DQG371" s="631" t="s">
        <v>1842</v>
      </c>
      <c r="DQH371" s="632"/>
      <c r="DQI371" s="16"/>
      <c r="DQJ371" s="636">
        <v>1.5299999999999999E-2</v>
      </c>
      <c r="DQK371" s="636">
        <v>1.5299999999999999E-2</v>
      </c>
      <c r="DQL371" s="636">
        <v>1.5299999999999999E-2</v>
      </c>
      <c r="DQM371" s="636">
        <v>9.7000000000000003E-3</v>
      </c>
      <c r="DQN371" s="636">
        <v>9.7000000000000003E-3</v>
      </c>
      <c r="DQO371" s="649">
        <v>9.7000000000000003E-3</v>
      </c>
      <c r="DQP371" s="16"/>
      <c r="DQQ371" s="320">
        <v>8.6999999999999994E-3</v>
      </c>
      <c r="DQR371" s="153"/>
      <c r="DQS371" s="153"/>
      <c r="DQT371" s="153"/>
      <c r="DQU371" s="648"/>
      <c r="DQV371" s="641"/>
      <c r="DQW371" s="631" t="s">
        <v>1842</v>
      </c>
      <c r="DQX371" s="632"/>
      <c r="DQY371" s="16"/>
      <c r="DQZ371" s="636">
        <v>1.5299999999999999E-2</v>
      </c>
      <c r="DRA371" s="636">
        <v>1.5299999999999999E-2</v>
      </c>
      <c r="DRB371" s="636">
        <v>1.5299999999999999E-2</v>
      </c>
      <c r="DRC371" s="636">
        <v>9.7000000000000003E-3</v>
      </c>
      <c r="DRD371" s="636">
        <v>9.7000000000000003E-3</v>
      </c>
      <c r="DRE371" s="649">
        <v>9.7000000000000003E-3</v>
      </c>
      <c r="DRF371" s="16"/>
      <c r="DRG371" s="320">
        <v>8.6999999999999994E-3</v>
      </c>
      <c r="DRH371" s="153"/>
      <c r="DRI371" s="153"/>
      <c r="DRJ371" s="153"/>
      <c r="DRK371" s="648"/>
      <c r="DRL371" s="641"/>
      <c r="DRM371" s="631" t="s">
        <v>1842</v>
      </c>
      <c r="DRN371" s="632"/>
      <c r="DRO371" s="16"/>
      <c r="DRP371" s="636">
        <v>1.5299999999999999E-2</v>
      </c>
      <c r="DRQ371" s="636">
        <v>1.5299999999999999E-2</v>
      </c>
      <c r="DRR371" s="636">
        <v>1.5299999999999999E-2</v>
      </c>
      <c r="DRS371" s="636">
        <v>9.7000000000000003E-3</v>
      </c>
      <c r="DRT371" s="636">
        <v>9.7000000000000003E-3</v>
      </c>
      <c r="DRU371" s="649">
        <v>9.7000000000000003E-3</v>
      </c>
      <c r="DRV371" s="16"/>
      <c r="DRW371" s="320">
        <v>8.6999999999999994E-3</v>
      </c>
      <c r="DRX371" s="153"/>
      <c r="DRY371" s="153"/>
      <c r="DRZ371" s="153"/>
      <c r="DSA371" s="648"/>
      <c r="DSB371" s="641"/>
      <c r="DSC371" s="631" t="s">
        <v>1842</v>
      </c>
      <c r="DSD371" s="632"/>
      <c r="DSE371" s="16"/>
      <c r="DSF371" s="636">
        <v>1.5299999999999999E-2</v>
      </c>
      <c r="DSG371" s="636">
        <v>1.5299999999999999E-2</v>
      </c>
      <c r="DSH371" s="636">
        <v>1.5299999999999999E-2</v>
      </c>
      <c r="DSI371" s="636">
        <v>9.7000000000000003E-3</v>
      </c>
      <c r="DSJ371" s="636">
        <v>9.7000000000000003E-3</v>
      </c>
      <c r="DSK371" s="649">
        <v>9.7000000000000003E-3</v>
      </c>
      <c r="DSL371" s="16"/>
      <c r="DSM371" s="320">
        <v>8.6999999999999994E-3</v>
      </c>
      <c r="DSN371" s="153"/>
      <c r="DSO371" s="153"/>
      <c r="DSP371" s="153"/>
      <c r="DSQ371" s="648"/>
      <c r="DSR371" s="641"/>
      <c r="DSS371" s="631" t="s">
        <v>1842</v>
      </c>
      <c r="DST371" s="632"/>
      <c r="DSU371" s="16"/>
      <c r="DSV371" s="636">
        <v>1.5299999999999999E-2</v>
      </c>
      <c r="DSW371" s="636">
        <v>1.5299999999999999E-2</v>
      </c>
      <c r="DSX371" s="636">
        <v>1.5299999999999999E-2</v>
      </c>
      <c r="DSY371" s="636">
        <v>9.7000000000000003E-3</v>
      </c>
      <c r="DSZ371" s="636">
        <v>9.7000000000000003E-3</v>
      </c>
      <c r="DTA371" s="649">
        <v>9.7000000000000003E-3</v>
      </c>
      <c r="DTB371" s="16"/>
      <c r="DTC371" s="320">
        <v>8.6999999999999994E-3</v>
      </c>
      <c r="DTD371" s="153"/>
      <c r="DTE371" s="153"/>
      <c r="DTF371" s="153"/>
      <c r="DTG371" s="648"/>
      <c r="DTH371" s="641"/>
      <c r="DTI371" s="631" t="s">
        <v>1842</v>
      </c>
      <c r="DTJ371" s="632"/>
      <c r="DTK371" s="16"/>
      <c r="DTL371" s="636">
        <v>1.5299999999999999E-2</v>
      </c>
      <c r="DTM371" s="636">
        <v>1.5299999999999999E-2</v>
      </c>
      <c r="DTN371" s="636">
        <v>1.5299999999999999E-2</v>
      </c>
      <c r="DTO371" s="636">
        <v>9.7000000000000003E-3</v>
      </c>
      <c r="DTP371" s="636">
        <v>9.7000000000000003E-3</v>
      </c>
      <c r="DTQ371" s="649">
        <v>9.7000000000000003E-3</v>
      </c>
      <c r="DTR371" s="16"/>
      <c r="DTS371" s="320">
        <v>8.6999999999999994E-3</v>
      </c>
      <c r="DTT371" s="153"/>
      <c r="DTU371" s="153"/>
      <c r="DTV371" s="153"/>
      <c r="DTW371" s="648"/>
      <c r="DTX371" s="641"/>
      <c r="DTY371" s="631" t="s">
        <v>1842</v>
      </c>
      <c r="DTZ371" s="632"/>
      <c r="DUA371" s="16"/>
      <c r="DUB371" s="636">
        <v>1.5299999999999999E-2</v>
      </c>
      <c r="DUC371" s="636">
        <v>1.5299999999999999E-2</v>
      </c>
      <c r="DUD371" s="636">
        <v>1.5299999999999999E-2</v>
      </c>
      <c r="DUE371" s="636">
        <v>9.7000000000000003E-3</v>
      </c>
      <c r="DUF371" s="636">
        <v>9.7000000000000003E-3</v>
      </c>
      <c r="DUG371" s="649">
        <v>9.7000000000000003E-3</v>
      </c>
      <c r="DUH371" s="16"/>
      <c r="DUI371" s="320">
        <v>8.6999999999999994E-3</v>
      </c>
      <c r="DUJ371" s="153"/>
      <c r="DUK371" s="153"/>
      <c r="DUL371" s="153"/>
      <c r="DUM371" s="648"/>
      <c r="DUN371" s="641"/>
      <c r="DUO371" s="631" t="s">
        <v>1842</v>
      </c>
      <c r="DUP371" s="632"/>
      <c r="DUQ371" s="16"/>
      <c r="DUR371" s="636">
        <v>1.5299999999999999E-2</v>
      </c>
      <c r="DUS371" s="636">
        <v>1.5299999999999999E-2</v>
      </c>
      <c r="DUT371" s="636">
        <v>1.5299999999999999E-2</v>
      </c>
      <c r="DUU371" s="636">
        <v>9.7000000000000003E-3</v>
      </c>
      <c r="DUV371" s="636">
        <v>9.7000000000000003E-3</v>
      </c>
      <c r="DUW371" s="649">
        <v>9.7000000000000003E-3</v>
      </c>
      <c r="DUX371" s="16"/>
      <c r="DUY371" s="320">
        <v>8.6999999999999994E-3</v>
      </c>
      <c r="DUZ371" s="153"/>
      <c r="DVA371" s="153"/>
      <c r="DVB371" s="153"/>
      <c r="DVC371" s="648"/>
      <c r="DVD371" s="641"/>
      <c r="DVE371" s="631" t="s">
        <v>1842</v>
      </c>
      <c r="DVF371" s="632"/>
      <c r="DVG371" s="16"/>
      <c r="DVH371" s="636">
        <v>1.5299999999999999E-2</v>
      </c>
      <c r="DVI371" s="636">
        <v>1.5299999999999999E-2</v>
      </c>
      <c r="DVJ371" s="636">
        <v>1.5299999999999999E-2</v>
      </c>
      <c r="DVK371" s="636">
        <v>9.7000000000000003E-3</v>
      </c>
      <c r="DVL371" s="636">
        <v>9.7000000000000003E-3</v>
      </c>
      <c r="DVM371" s="649">
        <v>9.7000000000000003E-3</v>
      </c>
      <c r="DVN371" s="16"/>
      <c r="DVO371" s="320">
        <v>8.6999999999999994E-3</v>
      </c>
      <c r="DVP371" s="153"/>
      <c r="DVQ371" s="153"/>
      <c r="DVR371" s="153"/>
      <c r="DVS371" s="648"/>
      <c r="DVT371" s="641"/>
      <c r="DVU371" s="631" t="s">
        <v>1842</v>
      </c>
      <c r="DVV371" s="632"/>
      <c r="DVW371" s="16"/>
      <c r="DVX371" s="636">
        <v>1.5299999999999999E-2</v>
      </c>
      <c r="DVY371" s="636">
        <v>1.5299999999999999E-2</v>
      </c>
      <c r="DVZ371" s="636">
        <v>1.5299999999999999E-2</v>
      </c>
      <c r="DWA371" s="636">
        <v>9.7000000000000003E-3</v>
      </c>
      <c r="DWB371" s="636">
        <v>9.7000000000000003E-3</v>
      </c>
      <c r="DWC371" s="649">
        <v>9.7000000000000003E-3</v>
      </c>
      <c r="DWD371" s="16"/>
      <c r="DWE371" s="320">
        <v>8.6999999999999994E-3</v>
      </c>
      <c r="DWF371" s="153"/>
      <c r="DWG371" s="153"/>
      <c r="DWH371" s="153"/>
      <c r="DWI371" s="648"/>
      <c r="DWJ371" s="641"/>
      <c r="DWK371" s="631" t="s">
        <v>1842</v>
      </c>
      <c r="DWL371" s="632"/>
      <c r="DWM371" s="16"/>
      <c r="DWN371" s="636">
        <v>1.5299999999999999E-2</v>
      </c>
      <c r="DWO371" s="636">
        <v>1.5299999999999999E-2</v>
      </c>
      <c r="DWP371" s="636">
        <v>1.5299999999999999E-2</v>
      </c>
      <c r="DWQ371" s="636">
        <v>9.7000000000000003E-3</v>
      </c>
      <c r="DWR371" s="636">
        <v>9.7000000000000003E-3</v>
      </c>
      <c r="DWS371" s="649">
        <v>9.7000000000000003E-3</v>
      </c>
      <c r="DWT371" s="16"/>
      <c r="DWU371" s="320">
        <v>8.6999999999999994E-3</v>
      </c>
      <c r="DWV371" s="153"/>
      <c r="DWW371" s="153"/>
      <c r="DWX371" s="153"/>
      <c r="DWY371" s="648"/>
      <c r="DWZ371" s="641"/>
      <c r="DXA371" s="631" t="s">
        <v>1842</v>
      </c>
      <c r="DXB371" s="632"/>
      <c r="DXC371" s="16"/>
      <c r="DXD371" s="636">
        <v>1.5299999999999999E-2</v>
      </c>
      <c r="DXE371" s="636">
        <v>1.5299999999999999E-2</v>
      </c>
      <c r="DXF371" s="636">
        <v>1.5299999999999999E-2</v>
      </c>
      <c r="DXG371" s="636">
        <v>9.7000000000000003E-3</v>
      </c>
      <c r="DXH371" s="636">
        <v>9.7000000000000003E-3</v>
      </c>
      <c r="DXI371" s="649">
        <v>9.7000000000000003E-3</v>
      </c>
      <c r="DXJ371" s="16"/>
      <c r="DXK371" s="320">
        <v>8.6999999999999994E-3</v>
      </c>
      <c r="DXL371" s="153"/>
      <c r="DXM371" s="153"/>
      <c r="DXN371" s="153"/>
      <c r="DXO371" s="648"/>
      <c r="DXP371" s="641"/>
      <c r="DXQ371" s="631" t="s">
        <v>1842</v>
      </c>
      <c r="DXR371" s="632"/>
      <c r="DXS371" s="16"/>
      <c r="DXT371" s="636">
        <v>1.5299999999999999E-2</v>
      </c>
      <c r="DXU371" s="636">
        <v>1.5299999999999999E-2</v>
      </c>
      <c r="DXV371" s="636">
        <v>1.5299999999999999E-2</v>
      </c>
      <c r="DXW371" s="636">
        <v>9.7000000000000003E-3</v>
      </c>
      <c r="DXX371" s="636">
        <v>9.7000000000000003E-3</v>
      </c>
      <c r="DXY371" s="649">
        <v>9.7000000000000003E-3</v>
      </c>
      <c r="DXZ371" s="16"/>
      <c r="DYA371" s="320">
        <v>8.6999999999999994E-3</v>
      </c>
      <c r="DYB371" s="153"/>
      <c r="DYC371" s="153"/>
      <c r="DYD371" s="153"/>
      <c r="DYE371" s="648"/>
      <c r="DYF371" s="641"/>
      <c r="DYG371" s="631" t="s">
        <v>1842</v>
      </c>
      <c r="DYH371" s="632"/>
      <c r="DYI371" s="16"/>
      <c r="DYJ371" s="636">
        <v>1.5299999999999999E-2</v>
      </c>
      <c r="DYK371" s="636">
        <v>1.5299999999999999E-2</v>
      </c>
      <c r="DYL371" s="636">
        <v>1.5299999999999999E-2</v>
      </c>
      <c r="DYM371" s="636">
        <v>9.7000000000000003E-3</v>
      </c>
      <c r="DYN371" s="636">
        <v>9.7000000000000003E-3</v>
      </c>
      <c r="DYO371" s="649">
        <v>9.7000000000000003E-3</v>
      </c>
      <c r="DYP371" s="16"/>
      <c r="DYQ371" s="320">
        <v>8.6999999999999994E-3</v>
      </c>
      <c r="DYR371" s="153"/>
      <c r="DYS371" s="153"/>
      <c r="DYT371" s="153"/>
      <c r="DYU371" s="648"/>
      <c r="DYV371" s="641"/>
      <c r="DYW371" s="631" t="s">
        <v>1842</v>
      </c>
      <c r="DYX371" s="632"/>
      <c r="DYY371" s="16"/>
      <c r="DYZ371" s="636">
        <v>1.5299999999999999E-2</v>
      </c>
      <c r="DZA371" s="636">
        <v>1.5299999999999999E-2</v>
      </c>
      <c r="DZB371" s="636">
        <v>1.5299999999999999E-2</v>
      </c>
      <c r="DZC371" s="636">
        <v>9.7000000000000003E-3</v>
      </c>
      <c r="DZD371" s="636">
        <v>9.7000000000000003E-3</v>
      </c>
      <c r="DZE371" s="649">
        <v>9.7000000000000003E-3</v>
      </c>
      <c r="DZF371" s="16"/>
      <c r="DZG371" s="320">
        <v>8.6999999999999994E-3</v>
      </c>
      <c r="DZH371" s="153"/>
      <c r="DZI371" s="153"/>
      <c r="DZJ371" s="153"/>
      <c r="DZK371" s="648"/>
      <c r="DZL371" s="641"/>
      <c r="DZM371" s="631" t="s">
        <v>1842</v>
      </c>
      <c r="DZN371" s="632"/>
      <c r="DZO371" s="16"/>
      <c r="DZP371" s="636">
        <v>1.5299999999999999E-2</v>
      </c>
      <c r="DZQ371" s="636">
        <v>1.5299999999999999E-2</v>
      </c>
      <c r="DZR371" s="636">
        <v>1.5299999999999999E-2</v>
      </c>
      <c r="DZS371" s="636">
        <v>9.7000000000000003E-3</v>
      </c>
      <c r="DZT371" s="636">
        <v>9.7000000000000003E-3</v>
      </c>
      <c r="DZU371" s="649">
        <v>9.7000000000000003E-3</v>
      </c>
      <c r="DZV371" s="16"/>
      <c r="DZW371" s="320">
        <v>8.6999999999999994E-3</v>
      </c>
      <c r="DZX371" s="153"/>
      <c r="DZY371" s="153"/>
      <c r="DZZ371" s="153"/>
      <c r="EAA371" s="648"/>
      <c r="EAB371" s="641"/>
      <c r="EAC371" s="631" t="s">
        <v>1842</v>
      </c>
      <c r="EAD371" s="632"/>
      <c r="EAE371" s="16"/>
      <c r="EAF371" s="636">
        <v>1.5299999999999999E-2</v>
      </c>
      <c r="EAG371" s="636">
        <v>1.5299999999999999E-2</v>
      </c>
      <c r="EAH371" s="636">
        <v>1.5299999999999999E-2</v>
      </c>
      <c r="EAI371" s="636">
        <v>9.7000000000000003E-3</v>
      </c>
      <c r="EAJ371" s="636">
        <v>9.7000000000000003E-3</v>
      </c>
      <c r="EAK371" s="649">
        <v>9.7000000000000003E-3</v>
      </c>
      <c r="EAL371" s="16"/>
      <c r="EAM371" s="320">
        <v>8.6999999999999994E-3</v>
      </c>
      <c r="EAN371" s="153"/>
      <c r="EAO371" s="153"/>
      <c r="EAP371" s="153"/>
      <c r="EAQ371" s="648"/>
      <c r="EAR371" s="641"/>
      <c r="EAS371" s="631" t="s">
        <v>1842</v>
      </c>
      <c r="EAT371" s="632"/>
      <c r="EAU371" s="16"/>
      <c r="EAV371" s="636">
        <v>1.5299999999999999E-2</v>
      </c>
      <c r="EAW371" s="636">
        <v>1.5299999999999999E-2</v>
      </c>
      <c r="EAX371" s="636">
        <v>1.5299999999999999E-2</v>
      </c>
      <c r="EAY371" s="636">
        <v>9.7000000000000003E-3</v>
      </c>
      <c r="EAZ371" s="636">
        <v>9.7000000000000003E-3</v>
      </c>
      <c r="EBA371" s="649">
        <v>9.7000000000000003E-3</v>
      </c>
      <c r="EBB371" s="16"/>
      <c r="EBC371" s="320">
        <v>8.6999999999999994E-3</v>
      </c>
      <c r="EBD371" s="153"/>
      <c r="EBE371" s="153"/>
      <c r="EBF371" s="153"/>
      <c r="EBG371" s="648"/>
      <c r="EBH371" s="641"/>
      <c r="EBI371" s="631" t="s">
        <v>1842</v>
      </c>
      <c r="EBJ371" s="632"/>
      <c r="EBK371" s="16"/>
      <c r="EBL371" s="636">
        <v>1.5299999999999999E-2</v>
      </c>
      <c r="EBM371" s="636">
        <v>1.5299999999999999E-2</v>
      </c>
      <c r="EBN371" s="636">
        <v>1.5299999999999999E-2</v>
      </c>
      <c r="EBO371" s="636">
        <v>9.7000000000000003E-3</v>
      </c>
      <c r="EBP371" s="636">
        <v>9.7000000000000003E-3</v>
      </c>
      <c r="EBQ371" s="649">
        <v>9.7000000000000003E-3</v>
      </c>
      <c r="EBR371" s="16"/>
      <c r="EBS371" s="320">
        <v>8.6999999999999994E-3</v>
      </c>
      <c r="EBT371" s="153"/>
      <c r="EBU371" s="153"/>
      <c r="EBV371" s="153"/>
      <c r="EBW371" s="648"/>
      <c r="EBX371" s="641"/>
      <c r="EBY371" s="631" t="s">
        <v>1842</v>
      </c>
      <c r="EBZ371" s="632"/>
      <c r="ECA371" s="16"/>
      <c r="ECB371" s="636">
        <v>1.5299999999999999E-2</v>
      </c>
      <c r="ECC371" s="636">
        <v>1.5299999999999999E-2</v>
      </c>
      <c r="ECD371" s="636">
        <v>1.5299999999999999E-2</v>
      </c>
      <c r="ECE371" s="636">
        <v>9.7000000000000003E-3</v>
      </c>
      <c r="ECF371" s="636">
        <v>9.7000000000000003E-3</v>
      </c>
      <c r="ECG371" s="649">
        <v>9.7000000000000003E-3</v>
      </c>
      <c r="ECH371" s="16"/>
      <c r="ECI371" s="320">
        <v>8.6999999999999994E-3</v>
      </c>
      <c r="ECJ371" s="153"/>
      <c r="ECK371" s="153"/>
      <c r="ECL371" s="153"/>
      <c r="ECM371" s="648"/>
      <c r="ECN371" s="641"/>
      <c r="ECO371" s="631" t="s">
        <v>1842</v>
      </c>
      <c r="ECP371" s="632"/>
      <c r="ECQ371" s="16"/>
      <c r="ECR371" s="636">
        <v>1.5299999999999999E-2</v>
      </c>
      <c r="ECS371" s="636">
        <v>1.5299999999999999E-2</v>
      </c>
      <c r="ECT371" s="636">
        <v>1.5299999999999999E-2</v>
      </c>
      <c r="ECU371" s="636">
        <v>9.7000000000000003E-3</v>
      </c>
      <c r="ECV371" s="636">
        <v>9.7000000000000003E-3</v>
      </c>
      <c r="ECW371" s="649">
        <v>9.7000000000000003E-3</v>
      </c>
      <c r="ECX371" s="16"/>
      <c r="ECY371" s="320">
        <v>8.6999999999999994E-3</v>
      </c>
      <c r="ECZ371" s="153"/>
      <c r="EDA371" s="153"/>
      <c r="EDB371" s="153"/>
      <c r="EDC371" s="648"/>
      <c r="EDD371" s="641"/>
      <c r="EDE371" s="631" t="s">
        <v>1842</v>
      </c>
      <c r="EDF371" s="632"/>
      <c r="EDG371" s="16"/>
      <c r="EDH371" s="636">
        <v>1.5299999999999999E-2</v>
      </c>
      <c r="EDI371" s="636">
        <v>1.5299999999999999E-2</v>
      </c>
      <c r="EDJ371" s="636">
        <v>1.5299999999999999E-2</v>
      </c>
      <c r="EDK371" s="636">
        <v>9.7000000000000003E-3</v>
      </c>
      <c r="EDL371" s="636">
        <v>9.7000000000000003E-3</v>
      </c>
      <c r="EDM371" s="649">
        <v>9.7000000000000003E-3</v>
      </c>
      <c r="EDN371" s="16"/>
      <c r="EDO371" s="320">
        <v>8.6999999999999994E-3</v>
      </c>
      <c r="EDP371" s="153"/>
      <c r="EDQ371" s="153"/>
      <c r="EDR371" s="153"/>
      <c r="EDS371" s="648"/>
      <c r="EDT371" s="641"/>
      <c r="EDU371" s="631" t="s">
        <v>1842</v>
      </c>
      <c r="EDV371" s="632"/>
      <c r="EDW371" s="16"/>
      <c r="EDX371" s="636">
        <v>1.5299999999999999E-2</v>
      </c>
      <c r="EDY371" s="636">
        <v>1.5299999999999999E-2</v>
      </c>
      <c r="EDZ371" s="636">
        <v>1.5299999999999999E-2</v>
      </c>
      <c r="EEA371" s="636">
        <v>9.7000000000000003E-3</v>
      </c>
      <c r="EEB371" s="636">
        <v>9.7000000000000003E-3</v>
      </c>
      <c r="EEC371" s="649">
        <v>9.7000000000000003E-3</v>
      </c>
      <c r="EED371" s="16"/>
      <c r="EEE371" s="320">
        <v>8.6999999999999994E-3</v>
      </c>
      <c r="EEF371" s="153"/>
      <c r="EEG371" s="153"/>
      <c r="EEH371" s="153"/>
      <c r="EEI371" s="648"/>
      <c r="EEJ371" s="641"/>
      <c r="EEK371" s="631" t="s">
        <v>1842</v>
      </c>
      <c r="EEL371" s="632"/>
      <c r="EEM371" s="16"/>
      <c r="EEN371" s="636">
        <v>1.5299999999999999E-2</v>
      </c>
      <c r="EEO371" s="636">
        <v>1.5299999999999999E-2</v>
      </c>
      <c r="EEP371" s="636">
        <v>1.5299999999999999E-2</v>
      </c>
      <c r="EEQ371" s="636">
        <v>9.7000000000000003E-3</v>
      </c>
      <c r="EER371" s="636">
        <v>9.7000000000000003E-3</v>
      </c>
      <c r="EES371" s="649">
        <v>9.7000000000000003E-3</v>
      </c>
      <c r="EET371" s="16"/>
      <c r="EEU371" s="320">
        <v>8.6999999999999994E-3</v>
      </c>
      <c r="EEV371" s="153"/>
      <c r="EEW371" s="153"/>
      <c r="EEX371" s="153"/>
      <c r="EEY371" s="648"/>
      <c r="EEZ371" s="641"/>
      <c r="EFA371" s="631" t="s">
        <v>1842</v>
      </c>
      <c r="EFB371" s="632"/>
      <c r="EFC371" s="16"/>
      <c r="EFD371" s="636">
        <v>1.5299999999999999E-2</v>
      </c>
      <c r="EFE371" s="636">
        <v>1.5299999999999999E-2</v>
      </c>
      <c r="EFF371" s="636">
        <v>1.5299999999999999E-2</v>
      </c>
      <c r="EFG371" s="636">
        <v>9.7000000000000003E-3</v>
      </c>
      <c r="EFH371" s="636">
        <v>9.7000000000000003E-3</v>
      </c>
      <c r="EFI371" s="649">
        <v>9.7000000000000003E-3</v>
      </c>
      <c r="EFJ371" s="16"/>
      <c r="EFK371" s="320">
        <v>8.6999999999999994E-3</v>
      </c>
      <c r="EFL371" s="153"/>
      <c r="EFM371" s="153"/>
      <c r="EFN371" s="153"/>
      <c r="EFO371" s="648"/>
      <c r="EFP371" s="641"/>
      <c r="EFQ371" s="631" t="s">
        <v>1842</v>
      </c>
      <c r="EFR371" s="632"/>
      <c r="EFS371" s="16"/>
      <c r="EFT371" s="636">
        <v>1.5299999999999999E-2</v>
      </c>
      <c r="EFU371" s="636">
        <v>1.5299999999999999E-2</v>
      </c>
      <c r="EFV371" s="636">
        <v>1.5299999999999999E-2</v>
      </c>
      <c r="EFW371" s="636">
        <v>9.7000000000000003E-3</v>
      </c>
      <c r="EFX371" s="636">
        <v>9.7000000000000003E-3</v>
      </c>
      <c r="EFY371" s="649">
        <v>9.7000000000000003E-3</v>
      </c>
      <c r="EFZ371" s="16"/>
      <c r="EGA371" s="320">
        <v>8.6999999999999994E-3</v>
      </c>
      <c r="EGB371" s="153"/>
      <c r="EGC371" s="153"/>
      <c r="EGD371" s="153"/>
      <c r="EGE371" s="648"/>
      <c r="EGF371" s="641"/>
      <c r="EGG371" s="631" t="s">
        <v>1842</v>
      </c>
      <c r="EGH371" s="632"/>
      <c r="EGI371" s="16"/>
      <c r="EGJ371" s="636">
        <v>1.5299999999999999E-2</v>
      </c>
      <c r="EGK371" s="636">
        <v>1.5299999999999999E-2</v>
      </c>
      <c r="EGL371" s="636">
        <v>1.5299999999999999E-2</v>
      </c>
      <c r="EGM371" s="636">
        <v>9.7000000000000003E-3</v>
      </c>
      <c r="EGN371" s="636">
        <v>9.7000000000000003E-3</v>
      </c>
      <c r="EGO371" s="649">
        <v>9.7000000000000003E-3</v>
      </c>
      <c r="EGP371" s="16"/>
      <c r="EGQ371" s="320">
        <v>8.6999999999999994E-3</v>
      </c>
      <c r="EGR371" s="153"/>
      <c r="EGS371" s="153"/>
      <c r="EGT371" s="153"/>
      <c r="EGU371" s="648"/>
      <c r="EGV371" s="641"/>
      <c r="EGW371" s="631" t="s">
        <v>1842</v>
      </c>
      <c r="EGX371" s="632"/>
      <c r="EGY371" s="16"/>
      <c r="EGZ371" s="636">
        <v>1.5299999999999999E-2</v>
      </c>
      <c r="EHA371" s="636">
        <v>1.5299999999999999E-2</v>
      </c>
      <c r="EHB371" s="636">
        <v>1.5299999999999999E-2</v>
      </c>
      <c r="EHC371" s="636">
        <v>9.7000000000000003E-3</v>
      </c>
      <c r="EHD371" s="636">
        <v>9.7000000000000003E-3</v>
      </c>
      <c r="EHE371" s="649">
        <v>9.7000000000000003E-3</v>
      </c>
      <c r="EHF371" s="16"/>
      <c r="EHG371" s="320">
        <v>8.6999999999999994E-3</v>
      </c>
      <c r="EHH371" s="153"/>
      <c r="EHI371" s="153"/>
      <c r="EHJ371" s="153"/>
      <c r="EHK371" s="648"/>
      <c r="EHL371" s="641"/>
      <c r="EHM371" s="631" t="s">
        <v>1842</v>
      </c>
      <c r="EHN371" s="632"/>
      <c r="EHO371" s="16"/>
      <c r="EHP371" s="636">
        <v>1.5299999999999999E-2</v>
      </c>
      <c r="EHQ371" s="636">
        <v>1.5299999999999999E-2</v>
      </c>
      <c r="EHR371" s="636">
        <v>1.5299999999999999E-2</v>
      </c>
      <c r="EHS371" s="636">
        <v>9.7000000000000003E-3</v>
      </c>
      <c r="EHT371" s="636">
        <v>9.7000000000000003E-3</v>
      </c>
      <c r="EHU371" s="649">
        <v>9.7000000000000003E-3</v>
      </c>
      <c r="EHV371" s="16"/>
      <c r="EHW371" s="320">
        <v>8.6999999999999994E-3</v>
      </c>
      <c r="EHX371" s="153"/>
      <c r="EHY371" s="153"/>
      <c r="EHZ371" s="153"/>
      <c r="EIA371" s="648"/>
      <c r="EIB371" s="641"/>
      <c r="EIC371" s="631" t="s">
        <v>1842</v>
      </c>
      <c r="EID371" s="632"/>
      <c r="EIE371" s="16"/>
      <c r="EIF371" s="636">
        <v>1.5299999999999999E-2</v>
      </c>
      <c r="EIG371" s="636">
        <v>1.5299999999999999E-2</v>
      </c>
      <c r="EIH371" s="636">
        <v>1.5299999999999999E-2</v>
      </c>
      <c r="EII371" s="636">
        <v>9.7000000000000003E-3</v>
      </c>
      <c r="EIJ371" s="636">
        <v>9.7000000000000003E-3</v>
      </c>
      <c r="EIK371" s="649">
        <v>9.7000000000000003E-3</v>
      </c>
      <c r="EIL371" s="16"/>
      <c r="EIM371" s="320">
        <v>8.6999999999999994E-3</v>
      </c>
      <c r="EIN371" s="153"/>
      <c r="EIO371" s="153"/>
      <c r="EIP371" s="153"/>
      <c r="EIQ371" s="648"/>
      <c r="EIR371" s="641"/>
      <c r="EIS371" s="631" t="s">
        <v>1842</v>
      </c>
      <c r="EIT371" s="632"/>
      <c r="EIU371" s="16"/>
      <c r="EIV371" s="636">
        <v>1.5299999999999999E-2</v>
      </c>
      <c r="EIW371" s="636">
        <v>1.5299999999999999E-2</v>
      </c>
      <c r="EIX371" s="636">
        <v>1.5299999999999999E-2</v>
      </c>
      <c r="EIY371" s="636">
        <v>9.7000000000000003E-3</v>
      </c>
      <c r="EIZ371" s="636">
        <v>9.7000000000000003E-3</v>
      </c>
      <c r="EJA371" s="649">
        <v>9.7000000000000003E-3</v>
      </c>
      <c r="EJB371" s="16"/>
      <c r="EJC371" s="320">
        <v>8.6999999999999994E-3</v>
      </c>
      <c r="EJD371" s="153"/>
      <c r="EJE371" s="153"/>
      <c r="EJF371" s="153"/>
      <c r="EJG371" s="648"/>
      <c r="EJH371" s="641"/>
      <c r="EJI371" s="631" t="s">
        <v>1842</v>
      </c>
      <c r="EJJ371" s="632"/>
      <c r="EJK371" s="16"/>
      <c r="EJL371" s="636">
        <v>1.5299999999999999E-2</v>
      </c>
      <c r="EJM371" s="636">
        <v>1.5299999999999999E-2</v>
      </c>
      <c r="EJN371" s="636">
        <v>1.5299999999999999E-2</v>
      </c>
      <c r="EJO371" s="636">
        <v>9.7000000000000003E-3</v>
      </c>
      <c r="EJP371" s="636">
        <v>9.7000000000000003E-3</v>
      </c>
      <c r="EJQ371" s="649">
        <v>9.7000000000000003E-3</v>
      </c>
      <c r="EJR371" s="16"/>
      <c r="EJS371" s="320">
        <v>8.6999999999999994E-3</v>
      </c>
      <c r="EJT371" s="153"/>
      <c r="EJU371" s="153"/>
      <c r="EJV371" s="153"/>
      <c r="EJW371" s="648"/>
      <c r="EJX371" s="641"/>
      <c r="EJY371" s="631" t="s">
        <v>1842</v>
      </c>
      <c r="EJZ371" s="632"/>
      <c r="EKA371" s="16"/>
      <c r="EKB371" s="636">
        <v>1.5299999999999999E-2</v>
      </c>
      <c r="EKC371" s="636">
        <v>1.5299999999999999E-2</v>
      </c>
      <c r="EKD371" s="636">
        <v>1.5299999999999999E-2</v>
      </c>
      <c r="EKE371" s="636">
        <v>9.7000000000000003E-3</v>
      </c>
      <c r="EKF371" s="636">
        <v>9.7000000000000003E-3</v>
      </c>
      <c r="EKG371" s="649">
        <v>9.7000000000000003E-3</v>
      </c>
      <c r="EKH371" s="16"/>
      <c r="EKI371" s="320">
        <v>8.6999999999999994E-3</v>
      </c>
      <c r="EKJ371" s="153"/>
      <c r="EKK371" s="153"/>
      <c r="EKL371" s="153"/>
      <c r="EKM371" s="648"/>
      <c r="EKN371" s="641"/>
      <c r="EKO371" s="631" t="s">
        <v>1842</v>
      </c>
      <c r="EKP371" s="632"/>
      <c r="EKQ371" s="16"/>
      <c r="EKR371" s="636">
        <v>1.5299999999999999E-2</v>
      </c>
      <c r="EKS371" s="636">
        <v>1.5299999999999999E-2</v>
      </c>
      <c r="EKT371" s="636">
        <v>1.5299999999999999E-2</v>
      </c>
      <c r="EKU371" s="636">
        <v>9.7000000000000003E-3</v>
      </c>
      <c r="EKV371" s="636">
        <v>9.7000000000000003E-3</v>
      </c>
      <c r="EKW371" s="649">
        <v>9.7000000000000003E-3</v>
      </c>
      <c r="EKX371" s="16"/>
      <c r="EKY371" s="320">
        <v>8.6999999999999994E-3</v>
      </c>
      <c r="EKZ371" s="153"/>
      <c r="ELA371" s="153"/>
      <c r="ELB371" s="153"/>
      <c r="ELC371" s="648"/>
      <c r="ELD371" s="641"/>
      <c r="ELE371" s="631" t="s">
        <v>1842</v>
      </c>
      <c r="ELF371" s="632"/>
      <c r="ELG371" s="16"/>
      <c r="ELH371" s="636">
        <v>1.5299999999999999E-2</v>
      </c>
      <c r="ELI371" s="636">
        <v>1.5299999999999999E-2</v>
      </c>
      <c r="ELJ371" s="636">
        <v>1.5299999999999999E-2</v>
      </c>
      <c r="ELK371" s="636">
        <v>9.7000000000000003E-3</v>
      </c>
      <c r="ELL371" s="636">
        <v>9.7000000000000003E-3</v>
      </c>
      <c r="ELM371" s="649">
        <v>9.7000000000000003E-3</v>
      </c>
      <c r="ELN371" s="16"/>
      <c r="ELO371" s="320">
        <v>8.6999999999999994E-3</v>
      </c>
      <c r="ELP371" s="153"/>
      <c r="ELQ371" s="153"/>
      <c r="ELR371" s="153"/>
      <c r="ELS371" s="648"/>
      <c r="ELT371" s="641"/>
      <c r="ELU371" s="631" t="s">
        <v>1842</v>
      </c>
      <c r="ELV371" s="632"/>
      <c r="ELW371" s="16"/>
      <c r="ELX371" s="636">
        <v>1.5299999999999999E-2</v>
      </c>
      <c r="ELY371" s="636">
        <v>1.5299999999999999E-2</v>
      </c>
      <c r="ELZ371" s="636">
        <v>1.5299999999999999E-2</v>
      </c>
      <c r="EMA371" s="636">
        <v>9.7000000000000003E-3</v>
      </c>
      <c r="EMB371" s="636">
        <v>9.7000000000000003E-3</v>
      </c>
      <c r="EMC371" s="649">
        <v>9.7000000000000003E-3</v>
      </c>
      <c r="EMD371" s="16"/>
      <c r="EME371" s="320">
        <v>8.6999999999999994E-3</v>
      </c>
      <c r="EMF371" s="153"/>
      <c r="EMG371" s="153"/>
      <c r="EMH371" s="153"/>
      <c r="EMI371" s="648"/>
      <c r="EMJ371" s="641"/>
      <c r="EMK371" s="631" t="s">
        <v>1842</v>
      </c>
      <c r="EML371" s="632"/>
      <c r="EMM371" s="16"/>
      <c r="EMN371" s="636">
        <v>1.5299999999999999E-2</v>
      </c>
      <c r="EMO371" s="636">
        <v>1.5299999999999999E-2</v>
      </c>
      <c r="EMP371" s="636">
        <v>1.5299999999999999E-2</v>
      </c>
      <c r="EMQ371" s="636">
        <v>9.7000000000000003E-3</v>
      </c>
      <c r="EMR371" s="636">
        <v>9.7000000000000003E-3</v>
      </c>
      <c r="EMS371" s="649">
        <v>9.7000000000000003E-3</v>
      </c>
      <c r="EMT371" s="16"/>
      <c r="EMU371" s="320">
        <v>8.6999999999999994E-3</v>
      </c>
      <c r="EMV371" s="153"/>
      <c r="EMW371" s="153"/>
      <c r="EMX371" s="153"/>
      <c r="EMY371" s="648"/>
      <c r="EMZ371" s="641"/>
      <c r="ENA371" s="631" t="s">
        <v>1842</v>
      </c>
      <c r="ENB371" s="632"/>
      <c r="ENC371" s="16"/>
      <c r="END371" s="636">
        <v>1.5299999999999999E-2</v>
      </c>
      <c r="ENE371" s="636">
        <v>1.5299999999999999E-2</v>
      </c>
      <c r="ENF371" s="636">
        <v>1.5299999999999999E-2</v>
      </c>
      <c r="ENG371" s="636">
        <v>9.7000000000000003E-3</v>
      </c>
      <c r="ENH371" s="636">
        <v>9.7000000000000003E-3</v>
      </c>
      <c r="ENI371" s="649">
        <v>9.7000000000000003E-3</v>
      </c>
      <c r="ENJ371" s="16"/>
      <c r="ENK371" s="320">
        <v>8.6999999999999994E-3</v>
      </c>
      <c r="ENL371" s="153"/>
      <c r="ENM371" s="153"/>
      <c r="ENN371" s="153"/>
      <c r="ENO371" s="648"/>
      <c r="ENP371" s="641"/>
      <c r="ENQ371" s="631" t="s">
        <v>1842</v>
      </c>
      <c r="ENR371" s="632"/>
      <c r="ENS371" s="16"/>
      <c r="ENT371" s="636">
        <v>1.5299999999999999E-2</v>
      </c>
      <c r="ENU371" s="636">
        <v>1.5299999999999999E-2</v>
      </c>
      <c r="ENV371" s="636">
        <v>1.5299999999999999E-2</v>
      </c>
      <c r="ENW371" s="636">
        <v>9.7000000000000003E-3</v>
      </c>
      <c r="ENX371" s="636">
        <v>9.7000000000000003E-3</v>
      </c>
      <c r="ENY371" s="649">
        <v>9.7000000000000003E-3</v>
      </c>
      <c r="ENZ371" s="16"/>
      <c r="EOA371" s="320">
        <v>8.6999999999999994E-3</v>
      </c>
      <c r="EOB371" s="153"/>
      <c r="EOC371" s="153"/>
      <c r="EOD371" s="153"/>
      <c r="EOE371" s="648"/>
      <c r="EOF371" s="641"/>
      <c r="EOG371" s="631" t="s">
        <v>1842</v>
      </c>
      <c r="EOH371" s="632"/>
      <c r="EOI371" s="16"/>
      <c r="EOJ371" s="636">
        <v>1.5299999999999999E-2</v>
      </c>
      <c r="EOK371" s="636">
        <v>1.5299999999999999E-2</v>
      </c>
      <c r="EOL371" s="636">
        <v>1.5299999999999999E-2</v>
      </c>
      <c r="EOM371" s="636">
        <v>9.7000000000000003E-3</v>
      </c>
      <c r="EON371" s="636">
        <v>9.7000000000000003E-3</v>
      </c>
      <c r="EOO371" s="649">
        <v>9.7000000000000003E-3</v>
      </c>
      <c r="EOP371" s="16"/>
      <c r="EOQ371" s="320">
        <v>8.6999999999999994E-3</v>
      </c>
      <c r="EOR371" s="153"/>
      <c r="EOS371" s="153"/>
      <c r="EOT371" s="153"/>
      <c r="EOU371" s="648"/>
      <c r="EOV371" s="641"/>
      <c r="EOW371" s="631" t="s">
        <v>1842</v>
      </c>
      <c r="EOX371" s="632"/>
      <c r="EOY371" s="16"/>
      <c r="EOZ371" s="636">
        <v>1.5299999999999999E-2</v>
      </c>
      <c r="EPA371" s="636">
        <v>1.5299999999999999E-2</v>
      </c>
      <c r="EPB371" s="636">
        <v>1.5299999999999999E-2</v>
      </c>
      <c r="EPC371" s="636">
        <v>9.7000000000000003E-3</v>
      </c>
      <c r="EPD371" s="636">
        <v>9.7000000000000003E-3</v>
      </c>
      <c r="EPE371" s="649">
        <v>9.7000000000000003E-3</v>
      </c>
      <c r="EPF371" s="16"/>
      <c r="EPG371" s="320">
        <v>8.6999999999999994E-3</v>
      </c>
      <c r="EPH371" s="153"/>
      <c r="EPI371" s="153"/>
      <c r="EPJ371" s="153"/>
      <c r="EPK371" s="648"/>
      <c r="EPL371" s="641"/>
      <c r="EPM371" s="631" t="s">
        <v>1842</v>
      </c>
      <c r="EPN371" s="632"/>
      <c r="EPO371" s="16"/>
      <c r="EPP371" s="636">
        <v>1.5299999999999999E-2</v>
      </c>
      <c r="EPQ371" s="636">
        <v>1.5299999999999999E-2</v>
      </c>
      <c r="EPR371" s="636">
        <v>1.5299999999999999E-2</v>
      </c>
      <c r="EPS371" s="636">
        <v>9.7000000000000003E-3</v>
      </c>
      <c r="EPT371" s="636">
        <v>9.7000000000000003E-3</v>
      </c>
      <c r="EPU371" s="649">
        <v>9.7000000000000003E-3</v>
      </c>
      <c r="EPV371" s="16"/>
      <c r="EPW371" s="320">
        <v>8.6999999999999994E-3</v>
      </c>
      <c r="EPX371" s="153"/>
      <c r="EPY371" s="153"/>
      <c r="EPZ371" s="153"/>
      <c r="EQA371" s="648"/>
      <c r="EQB371" s="641"/>
      <c r="EQC371" s="631" t="s">
        <v>1842</v>
      </c>
      <c r="EQD371" s="632"/>
      <c r="EQE371" s="16"/>
      <c r="EQF371" s="636">
        <v>1.5299999999999999E-2</v>
      </c>
      <c r="EQG371" s="636">
        <v>1.5299999999999999E-2</v>
      </c>
      <c r="EQH371" s="636">
        <v>1.5299999999999999E-2</v>
      </c>
      <c r="EQI371" s="636">
        <v>9.7000000000000003E-3</v>
      </c>
      <c r="EQJ371" s="636">
        <v>9.7000000000000003E-3</v>
      </c>
      <c r="EQK371" s="649">
        <v>9.7000000000000003E-3</v>
      </c>
      <c r="EQL371" s="16"/>
      <c r="EQM371" s="320">
        <v>8.6999999999999994E-3</v>
      </c>
      <c r="EQN371" s="153"/>
      <c r="EQO371" s="153"/>
      <c r="EQP371" s="153"/>
      <c r="EQQ371" s="648"/>
      <c r="EQR371" s="641"/>
      <c r="EQS371" s="631" t="s">
        <v>1842</v>
      </c>
      <c r="EQT371" s="632"/>
      <c r="EQU371" s="16"/>
      <c r="EQV371" s="636">
        <v>1.5299999999999999E-2</v>
      </c>
      <c r="EQW371" s="636">
        <v>1.5299999999999999E-2</v>
      </c>
      <c r="EQX371" s="636">
        <v>1.5299999999999999E-2</v>
      </c>
      <c r="EQY371" s="636">
        <v>9.7000000000000003E-3</v>
      </c>
      <c r="EQZ371" s="636">
        <v>9.7000000000000003E-3</v>
      </c>
      <c r="ERA371" s="649">
        <v>9.7000000000000003E-3</v>
      </c>
      <c r="ERB371" s="16"/>
      <c r="ERC371" s="320">
        <v>8.6999999999999994E-3</v>
      </c>
      <c r="ERD371" s="153"/>
      <c r="ERE371" s="153"/>
      <c r="ERF371" s="153"/>
      <c r="ERG371" s="648"/>
      <c r="ERH371" s="641"/>
      <c r="ERI371" s="631" t="s">
        <v>1842</v>
      </c>
      <c r="ERJ371" s="632"/>
      <c r="ERK371" s="16"/>
      <c r="ERL371" s="636">
        <v>1.5299999999999999E-2</v>
      </c>
      <c r="ERM371" s="636">
        <v>1.5299999999999999E-2</v>
      </c>
      <c r="ERN371" s="636">
        <v>1.5299999999999999E-2</v>
      </c>
      <c r="ERO371" s="636">
        <v>9.7000000000000003E-3</v>
      </c>
      <c r="ERP371" s="636">
        <v>9.7000000000000003E-3</v>
      </c>
      <c r="ERQ371" s="649">
        <v>9.7000000000000003E-3</v>
      </c>
      <c r="ERR371" s="16"/>
      <c r="ERS371" s="320">
        <v>8.6999999999999994E-3</v>
      </c>
      <c r="ERT371" s="153"/>
      <c r="ERU371" s="153"/>
      <c r="ERV371" s="153"/>
      <c r="ERW371" s="648"/>
      <c r="ERX371" s="641"/>
      <c r="ERY371" s="631" t="s">
        <v>1842</v>
      </c>
      <c r="ERZ371" s="632"/>
      <c r="ESA371" s="16"/>
      <c r="ESB371" s="636">
        <v>1.5299999999999999E-2</v>
      </c>
      <c r="ESC371" s="636">
        <v>1.5299999999999999E-2</v>
      </c>
      <c r="ESD371" s="636">
        <v>1.5299999999999999E-2</v>
      </c>
      <c r="ESE371" s="636">
        <v>9.7000000000000003E-3</v>
      </c>
      <c r="ESF371" s="636">
        <v>9.7000000000000003E-3</v>
      </c>
      <c r="ESG371" s="649">
        <v>9.7000000000000003E-3</v>
      </c>
      <c r="ESH371" s="16"/>
      <c r="ESI371" s="320">
        <v>8.6999999999999994E-3</v>
      </c>
      <c r="ESJ371" s="153"/>
      <c r="ESK371" s="153"/>
      <c r="ESL371" s="153"/>
      <c r="ESM371" s="648"/>
      <c r="ESN371" s="641"/>
      <c r="ESO371" s="631" t="s">
        <v>1842</v>
      </c>
      <c r="ESP371" s="632"/>
      <c r="ESQ371" s="16"/>
      <c r="ESR371" s="636">
        <v>1.5299999999999999E-2</v>
      </c>
      <c r="ESS371" s="636">
        <v>1.5299999999999999E-2</v>
      </c>
      <c r="EST371" s="636">
        <v>1.5299999999999999E-2</v>
      </c>
      <c r="ESU371" s="636">
        <v>9.7000000000000003E-3</v>
      </c>
      <c r="ESV371" s="636">
        <v>9.7000000000000003E-3</v>
      </c>
      <c r="ESW371" s="649">
        <v>9.7000000000000003E-3</v>
      </c>
      <c r="ESX371" s="16"/>
      <c r="ESY371" s="320">
        <v>8.6999999999999994E-3</v>
      </c>
      <c r="ESZ371" s="153"/>
      <c r="ETA371" s="153"/>
      <c r="ETB371" s="153"/>
      <c r="ETC371" s="648"/>
      <c r="ETD371" s="641"/>
      <c r="ETE371" s="631" t="s">
        <v>1842</v>
      </c>
      <c r="ETF371" s="632"/>
      <c r="ETG371" s="16"/>
      <c r="ETH371" s="636">
        <v>1.5299999999999999E-2</v>
      </c>
      <c r="ETI371" s="636">
        <v>1.5299999999999999E-2</v>
      </c>
      <c r="ETJ371" s="636">
        <v>1.5299999999999999E-2</v>
      </c>
      <c r="ETK371" s="636">
        <v>9.7000000000000003E-3</v>
      </c>
      <c r="ETL371" s="636">
        <v>9.7000000000000003E-3</v>
      </c>
      <c r="ETM371" s="649">
        <v>9.7000000000000003E-3</v>
      </c>
      <c r="ETN371" s="16"/>
      <c r="ETO371" s="320">
        <v>8.6999999999999994E-3</v>
      </c>
      <c r="ETP371" s="153"/>
      <c r="ETQ371" s="153"/>
      <c r="ETR371" s="153"/>
      <c r="ETS371" s="648"/>
      <c r="ETT371" s="641"/>
      <c r="ETU371" s="631" t="s">
        <v>1842</v>
      </c>
      <c r="ETV371" s="632"/>
      <c r="ETW371" s="16"/>
      <c r="ETX371" s="636">
        <v>1.5299999999999999E-2</v>
      </c>
      <c r="ETY371" s="636">
        <v>1.5299999999999999E-2</v>
      </c>
      <c r="ETZ371" s="636">
        <v>1.5299999999999999E-2</v>
      </c>
      <c r="EUA371" s="636">
        <v>9.7000000000000003E-3</v>
      </c>
      <c r="EUB371" s="636">
        <v>9.7000000000000003E-3</v>
      </c>
      <c r="EUC371" s="649">
        <v>9.7000000000000003E-3</v>
      </c>
      <c r="EUD371" s="16"/>
      <c r="EUE371" s="320">
        <v>8.6999999999999994E-3</v>
      </c>
      <c r="EUF371" s="153"/>
      <c r="EUG371" s="153"/>
      <c r="EUH371" s="153"/>
      <c r="EUI371" s="648"/>
      <c r="EUJ371" s="641"/>
      <c r="EUK371" s="631" t="s">
        <v>1842</v>
      </c>
      <c r="EUL371" s="632"/>
      <c r="EUM371" s="16"/>
      <c r="EUN371" s="636">
        <v>1.5299999999999999E-2</v>
      </c>
      <c r="EUO371" s="636">
        <v>1.5299999999999999E-2</v>
      </c>
      <c r="EUP371" s="636">
        <v>1.5299999999999999E-2</v>
      </c>
      <c r="EUQ371" s="636">
        <v>9.7000000000000003E-3</v>
      </c>
      <c r="EUR371" s="636">
        <v>9.7000000000000003E-3</v>
      </c>
      <c r="EUS371" s="649">
        <v>9.7000000000000003E-3</v>
      </c>
      <c r="EUT371" s="16"/>
      <c r="EUU371" s="320">
        <v>8.6999999999999994E-3</v>
      </c>
      <c r="EUV371" s="153"/>
      <c r="EUW371" s="153"/>
      <c r="EUX371" s="153"/>
      <c r="EUY371" s="648"/>
      <c r="EUZ371" s="641"/>
      <c r="EVA371" s="631" t="s">
        <v>1842</v>
      </c>
      <c r="EVB371" s="632"/>
      <c r="EVC371" s="16"/>
      <c r="EVD371" s="636">
        <v>1.5299999999999999E-2</v>
      </c>
      <c r="EVE371" s="636">
        <v>1.5299999999999999E-2</v>
      </c>
      <c r="EVF371" s="636">
        <v>1.5299999999999999E-2</v>
      </c>
      <c r="EVG371" s="636">
        <v>9.7000000000000003E-3</v>
      </c>
      <c r="EVH371" s="636">
        <v>9.7000000000000003E-3</v>
      </c>
      <c r="EVI371" s="649">
        <v>9.7000000000000003E-3</v>
      </c>
      <c r="EVJ371" s="16"/>
      <c r="EVK371" s="320">
        <v>8.6999999999999994E-3</v>
      </c>
      <c r="EVL371" s="153"/>
      <c r="EVM371" s="153"/>
      <c r="EVN371" s="153"/>
      <c r="EVO371" s="648"/>
      <c r="EVP371" s="641"/>
      <c r="EVQ371" s="631" t="s">
        <v>1842</v>
      </c>
      <c r="EVR371" s="632"/>
      <c r="EVS371" s="16"/>
      <c r="EVT371" s="636">
        <v>1.5299999999999999E-2</v>
      </c>
      <c r="EVU371" s="636">
        <v>1.5299999999999999E-2</v>
      </c>
      <c r="EVV371" s="636">
        <v>1.5299999999999999E-2</v>
      </c>
      <c r="EVW371" s="636">
        <v>9.7000000000000003E-3</v>
      </c>
      <c r="EVX371" s="636">
        <v>9.7000000000000003E-3</v>
      </c>
      <c r="EVY371" s="649">
        <v>9.7000000000000003E-3</v>
      </c>
      <c r="EVZ371" s="16"/>
      <c r="EWA371" s="320">
        <v>8.6999999999999994E-3</v>
      </c>
      <c r="EWB371" s="153"/>
      <c r="EWC371" s="153"/>
      <c r="EWD371" s="153"/>
      <c r="EWE371" s="648"/>
      <c r="EWF371" s="641"/>
      <c r="EWG371" s="631" t="s">
        <v>1842</v>
      </c>
      <c r="EWH371" s="632"/>
      <c r="EWI371" s="16"/>
      <c r="EWJ371" s="636">
        <v>1.5299999999999999E-2</v>
      </c>
      <c r="EWK371" s="636">
        <v>1.5299999999999999E-2</v>
      </c>
      <c r="EWL371" s="636">
        <v>1.5299999999999999E-2</v>
      </c>
      <c r="EWM371" s="636">
        <v>9.7000000000000003E-3</v>
      </c>
      <c r="EWN371" s="636">
        <v>9.7000000000000003E-3</v>
      </c>
      <c r="EWO371" s="649">
        <v>9.7000000000000003E-3</v>
      </c>
      <c r="EWP371" s="16"/>
      <c r="EWQ371" s="320">
        <v>8.6999999999999994E-3</v>
      </c>
      <c r="EWR371" s="153"/>
      <c r="EWS371" s="153"/>
      <c r="EWT371" s="153"/>
      <c r="EWU371" s="648"/>
      <c r="EWV371" s="641"/>
      <c r="EWW371" s="631" t="s">
        <v>1842</v>
      </c>
      <c r="EWX371" s="632"/>
      <c r="EWY371" s="16"/>
      <c r="EWZ371" s="636">
        <v>1.5299999999999999E-2</v>
      </c>
      <c r="EXA371" s="636">
        <v>1.5299999999999999E-2</v>
      </c>
      <c r="EXB371" s="636">
        <v>1.5299999999999999E-2</v>
      </c>
      <c r="EXC371" s="636">
        <v>9.7000000000000003E-3</v>
      </c>
      <c r="EXD371" s="636">
        <v>9.7000000000000003E-3</v>
      </c>
      <c r="EXE371" s="649">
        <v>9.7000000000000003E-3</v>
      </c>
      <c r="EXF371" s="16"/>
      <c r="EXG371" s="320">
        <v>8.6999999999999994E-3</v>
      </c>
      <c r="EXH371" s="153"/>
      <c r="EXI371" s="153"/>
      <c r="EXJ371" s="153"/>
      <c r="EXK371" s="648"/>
      <c r="EXL371" s="641"/>
      <c r="EXM371" s="631" t="s">
        <v>1842</v>
      </c>
      <c r="EXN371" s="632"/>
      <c r="EXO371" s="16"/>
      <c r="EXP371" s="636">
        <v>1.5299999999999999E-2</v>
      </c>
      <c r="EXQ371" s="636">
        <v>1.5299999999999999E-2</v>
      </c>
      <c r="EXR371" s="636">
        <v>1.5299999999999999E-2</v>
      </c>
      <c r="EXS371" s="636">
        <v>9.7000000000000003E-3</v>
      </c>
      <c r="EXT371" s="636">
        <v>9.7000000000000003E-3</v>
      </c>
      <c r="EXU371" s="649">
        <v>9.7000000000000003E-3</v>
      </c>
      <c r="EXV371" s="16"/>
      <c r="EXW371" s="320">
        <v>8.6999999999999994E-3</v>
      </c>
      <c r="EXX371" s="153"/>
      <c r="EXY371" s="153"/>
      <c r="EXZ371" s="153"/>
      <c r="EYA371" s="648"/>
      <c r="EYB371" s="641"/>
      <c r="EYC371" s="631" t="s">
        <v>1842</v>
      </c>
      <c r="EYD371" s="632"/>
      <c r="EYE371" s="16"/>
      <c r="EYF371" s="636">
        <v>1.5299999999999999E-2</v>
      </c>
      <c r="EYG371" s="636">
        <v>1.5299999999999999E-2</v>
      </c>
      <c r="EYH371" s="636">
        <v>1.5299999999999999E-2</v>
      </c>
      <c r="EYI371" s="636">
        <v>9.7000000000000003E-3</v>
      </c>
      <c r="EYJ371" s="636">
        <v>9.7000000000000003E-3</v>
      </c>
      <c r="EYK371" s="649">
        <v>9.7000000000000003E-3</v>
      </c>
      <c r="EYL371" s="16"/>
      <c r="EYM371" s="320">
        <v>8.6999999999999994E-3</v>
      </c>
      <c r="EYN371" s="153"/>
      <c r="EYO371" s="153"/>
      <c r="EYP371" s="153"/>
      <c r="EYQ371" s="648"/>
      <c r="EYR371" s="641"/>
      <c r="EYS371" s="631" t="s">
        <v>1842</v>
      </c>
      <c r="EYT371" s="632"/>
      <c r="EYU371" s="16"/>
      <c r="EYV371" s="636">
        <v>1.5299999999999999E-2</v>
      </c>
      <c r="EYW371" s="636">
        <v>1.5299999999999999E-2</v>
      </c>
      <c r="EYX371" s="636">
        <v>1.5299999999999999E-2</v>
      </c>
      <c r="EYY371" s="636">
        <v>9.7000000000000003E-3</v>
      </c>
      <c r="EYZ371" s="636">
        <v>9.7000000000000003E-3</v>
      </c>
      <c r="EZA371" s="649">
        <v>9.7000000000000003E-3</v>
      </c>
      <c r="EZB371" s="16"/>
      <c r="EZC371" s="320">
        <v>8.6999999999999994E-3</v>
      </c>
      <c r="EZD371" s="153"/>
      <c r="EZE371" s="153"/>
      <c r="EZF371" s="153"/>
      <c r="EZG371" s="648"/>
      <c r="EZH371" s="641"/>
      <c r="EZI371" s="631" t="s">
        <v>1842</v>
      </c>
      <c r="EZJ371" s="632"/>
      <c r="EZK371" s="16"/>
      <c r="EZL371" s="636">
        <v>1.5299999999999999E-2</v>
      </c>
      <c r="EZM371" s="636">
        <v>1.5299999999999999E-2</v>
      </c>
      <c r="EZN371" s="636">
        <v>1.5299999999999999E-2</v>
      </c>
      <c r="EZO371" s="636">
        <v>9.7000000000000003E-3</v>
      </c>
      <c r="EZP371" s="636">
        <v>9.7000000000000003E-3</v>
      </c>
      <c r="EZQ371" s="649">
        <v>9.7000000000000003E-3</v>
      </c>
      <c r="EZR371" s="16"/>
      <c r="EZS371" s="320">
        <v>8.6999999999999994E-3</v>
      </c>
      <c r="EZT371" s="153"/>
      <c r="EZU371" s="153"/>
      <c r="EZV371" s="153"/>
      <c r="EZW371" s="648"/>
      <c r="EZX371" s="641"/>
      <c r="EZY371" s="631" t="s">
        <v>1842</v>
      </c>
      <c r="EZZ371" s="632"/>
      <c r="FAA371" s="16"/>
      <c r="FAB371" s="636">
        <v>1.5299999999999999E-2</v>
      </c>
      <c r="FAC371" s="636">
        <v>1.5299999999999999E-2</v>
      </c>
      <c r="FAD371" s="636">
        <v>1.5299999999999999E-2</v>
      </c>
      <c r="FAE371" s="636">
        <v>9.7000000000000003E-3</v>
      </c>
      <c r="FAF371" s="636">
        <v>9.7000000000000003E-3</v>
      </c>
      <c r="FAG371" s="649">
        <v>9.7000000000000003E-3</v>
      </c>
      <c r="FAH371" s="16"/>
      <c r="FAI371" s="320">
        <v>8.6999999999999994E-3</v>
      </c>
      <c r="FAJ371" s="153"/>
      <c r="FAK371" s="153"/>
      <c r="FAL371" s="153"/>
      <c r="FAM371" s="648"/>
      <c r="FAN371" s="641"/>
      <c r="FAO371" s="631" t="s">
        <v>1842</v>
      </c>
      <c r="FAP371" s="632"/>
      <c r="FAQ371" s="16"/>
      <c r="FAR371" s="636">
        <v>1.5299999999999999E-2</v>
      </c>
      <c r="FAS371" s="636">
        <v>1.5299999999999999E-2</v>
      </c>
      <c r="FAT371" s="636">
        <v>1.5299999999999999E-2</v>
      </c>
      <c r="FAU371" s="636">
        <v>9.7000000000000003E-3</v>
      </c>
      <c r="FAV371" s="636">
        <v>9.7000000000000003E-3</v>
      </c>
      <c r="FAW371" s="649">
        <v>9.7000000000000003E-3</v>
      </c>
      <c r="FAX371" s="16"/>
      <c r="FAY371" s="320">
        <v>8.6999999999999994E-3</v>
      </c>
      <c r="FAZ371" s="153"/>
      <c r="FBA371" s="153"/>
      <c r="FBB371" s="153"/>
      <c r="FBC371" s="648"/>
      <c r="FBD371" s="641"/>
      <c r="FBE371" s="631" t="s">
        <v>1842</v>
      </c>
      <c r="FBF371" s="632"/>
      <c r="FBG371" s="16"/>
      <c r="FBH371" s="636">
        <v>1.5299999999999999E-2</v>
      </c>
      <c r="FBI371" s="636">
        <v>1.5299999999999999E-2</v>
      </c>
      <c r="FBJ371" s="636">
        <v>1.5299999999999999E-2</v>
      </c>
      <c r="FBK371" s="636">
        <v>9.7000000000000003E-3</v>
      </c>
      <c r="FBL371" s="636">
        <v>9.7000000000000003E-3</v>
      </c>
      <c r="FBM371" s="649">
        <v>9.7000000000000003E-3</v>
      </c>
      <c r="FBN371" s="16"/>
      <c r="FBO371" s="320">
        <v>8.6999999999999994E-3</v>
      </c>
      <c r="FBP371" s="153"/>
      <c r="FBQ371" s="153"/>
      <c r="FBR371" s="153"/>
      <c r="FBS371" s="648"/>
      <c r="FBT371" s="641"/>
      <c r="FBU371" s="631" t="s">
        <v>1842</v>
      </c>
      <c r="FBV371" s="632"/>
      <c r="FBW371" s="16"/>
      <c r="FBX371" s="636">
        <v>1.5299999999999999E-2</v>
      </c>
      <c r="FBY371" s="636">
        <v>1.5299999999999999E-2</v>
      </c>
      <c r="FBZ371" s="636">
        <v>1.5299999999999999E-2</v>
      </c>
      <c r="FCA371" s="636">
        <v>9.7000000000000003E-3</v>
      </c>
      <c r="FCB371" s="636">
        <v>9.7000000000000003E-3</v>
      </c>
      <c r="FCC371" s="649">
        <v>9.7000000000000003E-3</v>
      </c>
      <c r="FCD371" s="16"/>
      <c r="FCE371" s="320">
        <v>8.6999999999999994E-3</v>
      </c>
      <c r="FCF371" s="153"/>
      <c r="FCG371" s="153"/>
      <c r="FCH371" s="153"/>
      <c r="FCI371" s="648"/>
      <c r="FCJ371" s="641"/>
      <c r="FCK371" s="631" t="s">
        <v>1842</v>
      </c>
      <c r="FCL371" s="632"/>
      <c r="FCM371" s="16"/>
      <c r="FCN371" s="636">
        <v>1.5299999999999999E-2</v>
      </c>
      <c r="FCO371" s="636">
        <v>1.5299999999999999E-2</v>
      </c>
      <c r="FCP371" s="636">
        <v>1.5299999999999999E-2</v>
      </c>
      <c r="FCQ371" s="636">
        <v>9.7000000000000003E-3</v>
      </c>
      <c r="FCR371" s="636">
        <v>9.7000000000000003E-3</v>
      </c>
      <c r="FCS371" s="649">
        <v>9.7000000000000003E-3</v>
      </c>
      <c r="FCT371" s="16"/>
      <c r="FCU371" s="320">
        <v>8.6999999999999994E-3</v>
      </c>
      <c r="FCV371" s="153"/>
      <c r="FCW371" s="153"/>
      <c r="FCX371" s="153"/>
      <c r="FCY371" s="648"/>
      <c r="FCZ371" s="641"/>
      <c r="FDA371" s="631" t="s">
        <v>1842</v>
      </c>
      <c r="FDB371" s="632"/>
      <c r="FDC371" s="16"/>
      <c r="FDD371" s="636">
        <v>1.5299999999999999E-2</v>
      </c>
      <c r="FDE371" s="636">
        <v>1.5299999999999999E-2</v>
      </c>
      <c r="FDF371" s="636">
        <v>1.5299999999999999E-2</v>
      </c>
      <c r="FDG371" s="636">
        <v>9.7000000000000003E-3</v>
      </c>
      <c r="FDH371" s="636">
        <v>9.7000000000000003E-3</v>
      </c>
      <c r="FDI371" s="649">
        <v>9.7000000000000003E-3</v>
      </c>
      <c r="FDJ371" s="16"/>
      <c r="FDK371" s="320">
        <v>8.6999999999999994E-3</v>
      </c>
      <c r="FDL371" s="153"/>
      <c r="FDM371" s="153"/>
      <c r="FDN371" s="153"/>
      <c r="FDO371" s="648"/>
      <c r="FDP371" s="641"/>
      <c r="FDQ371" s="631" t="s">
        <v>1842</v>
      </c>
      <c r="FDR371" s="632"/>
      <c r="FDS371" s="16"/>
      <c r="FDT371" s="636">
        <v>1.5299999999999999E-2</v>
      </c>
      <c r="FDU371" s="636">
        <v>1.5299999999999999E-2</v>
      </c>
      <c r="FDV371" s="636">
        <v>1.5299999999999999E-2</v>
      </c>
      <c r="FDW371" s="636">
        <v>9.7000000000000003E-3</v>
      </c>
      <c r="FDX371" s="636">
        <v>9.7000000000000003E-3</v>
      </c>
      <c r="FDY371" s="649">
        <v>9.7000000000000003E-3</v>
      </c>
      <c r="FDZ371" s="16"/>
      <c r="FEA371" s="320">
        <v>8.6999999999999994E-3</v>
      </c>
      <c r="FEB371" s="153"/>
      <c r="FEC371" s="153"/>
      <c r="FED371" s="153"/>
      <c r="FEE371" s="648"/>
      <c r="FEF371" s="641"/>
      <c r="FEG371" s="631" t="s">
        <v>1842</v>
      </c>
      <c r="FEH371" s="632"/>
      <c r="FEI371" s="16"/>
      <c r="FEJ371" s="636">
        <v>1.5299999999999999E-2</v>
      </c>
      <c r="FEK371" s="636">
        <v>1.5299999999999999E-2</v>
      </c>
      <c r="FEL371" s="636">
        <v>1.5299999999999999E-2</v>
      </c>
      <c r="FEM371" s="636">
        <v>9.7000000000000003E-3</v>
      </c>
      <c r="FEN371" s="636">
        <v>9.7000000000000003E-3</v>
      </c>
      <c r="FEO371" s="649">
        <v>9.7000000000000003E-3</v>
      </c>
      <c r="FEP371" s="16"/>
      <c r="FEQ371" s="320">
        <v>8.6999999999999994E-3</v>
      </c>
      <c r="FER371" s="153"/>
      <c r="FES371" s="153"/>
      <c r="FET371" s="153"/>
      <c r="FEU371" s="648"/>
      <c r="FEV371" s="641"/>
      <c r="FEW371" s="631" t="s">
        <v>1842</v>
      </c>
      <c r="FEX371" s="632"/>
      <c r="FEY371" s="16"/>
      <c r="FEZ371" s="636">
        <v>1.5299999999999999E-2</v>
      </c>
      <c r="FFA371" s="636">
        <v>1.5299999999999999E-2</v>
      </c>
      <c r="FFB371" s="636">
        <v>1.5299999999999999E-2</v>
      </c>
      <c r="FFC371" s="636">
        <v>9.7000000000000003E-3</v>
      </c>
      <c r="FFD371" s="636">
        <v>9.7000000000000003E-3</v>
      </c>
      <c r="FFE371" s="649">
        <v>9.7000000000000003E-3</v>
      </c>
      <c r="FFF371" s="16"/>
      <c r="FFG371" s="320">
        <v>8.6999999999999994E-3</v>
      </c>
      <c r="FFH371" s="153"/>
      <c r="FFI371" s="153"/>
      <c r="FFJ371" s="153"/>
      <c r="FFK371" s="648"/>
      <c r="FFL371" s="641"/>
      <c r="FFM371" s="631" t="s">
        <v>1842</v>
      </c>
      <c r="FFN371" s="632"/>
      <c r="FFO371" s="16"/>
      <c r="FFP371" s="636">
        <v>1.5299999999999999E-2</v>
      </c>
      <c r="FFQ371" s="636">
        <v>1.5299999999999999E-2</v>
      </c>
      <c r="FFR371" s="636">
        <v>1.5299999999999999E-2</v>
      </c>
      <c r="FFS371" s="636">
        <v>9.7000000000000003E-3</v>
      </c>
      <c r="FFT371" s="636">
        <v>9.7000000000000003E-3</v>
      </c>
      <c r="FFU371" s="649">
        <v>9.7000000000000003E-3</v>
      </c>
      <c r="FFV371" s="16"/>
      <c r="FFW371" s="320">
        <v>8.6999999999999994E-3</v>
      </c>
      <c r="FFX371" s="153"/>
      <c r="FFY371" s="153"/>
      <c r="FFZ371" s="153"/>
      <c r="FGA371" s="648"/>
      <c r="FGB371" s="641"/>
      <c r="FGC371" s="631" t="s">
        <v>1842</v>
      </c>
      <c r="FGD371" s="632"/>
      <c r="FGE371" s="16"/>
      <c r="FGF371" s="636">
        <v>1.5299999999999999E-2</v>
      </c>
      <c r="FGG371" s="636">
        <v>1.5299999999999999E-2</v>
      </c>
      <c r="FGH371" s="636">
        <v>1.5299999999999999E-2</v>
      </c>
      <c r="FGI371" s="636">
        <v>9.7000000000000003E-3</v>
      </c>
      <c r="FGJ371" s="636">
        <v>9.7000000000000003E-3</v>
      </c>
      <c r="FGK371" s="649">
        <v>9.7000000000000003E-3</v>
      </c>
      <c r="FGL371" s="16"/>
      <c r="FGM371" s="320">
        <v>8.6999999999999994E-3</v>
      </c>
      <c r="FGN371" s="153"/>
      <c r="FGO371" s="153"/>
      <c r="FGP371" s="153"/>
      <c r="FGQ371" s="648"/>
      <c r="FGR371" s="641"/>
      <c r="FGS371" s="631" t="s">
        <v>1842</v>
      </c>
      <c r="FGT371" s="632"/>
      <c r="FGU371" s="16"/>
      <c r="FGV371" s="636">
        <v>1.5299999999999999E-2</v>
      </c>
      <c r="FGW371" s="636">
        <v>1.5299999999999999E-2</v>
      </c>
      <c r="FGX371" s="636">
        <v>1.5299999999999999E-2</v>
      </c>
      <c r="FGY371" s="636">
        <v>9.7000000000000003E-3</v>
      </c>
      <c r="FGZ371" s="636">
        <v>9.7000000000000003E-3</v>
      </c>
      <c r="FHA371" s="649">
        <v>9.7000000000000003E-3</v>
      </c>
      <c r="FHB371" s="16"/>
      <c r="FHC371" s="320">
        <v>8.6999999999999994E-3</v>
      </c>
      <c r="FHD371" s="153"/>
      <c r="FHE371" s="153"/>
      <c r="FHF371" s="153"/>
      <c r="FHG371" s="648"/>
      <c r="FHH371" s="641"/>
      <c r="FHI371" s="631" t="s">
        <v>1842</v>
      </c>
      <c r="FHJ371" s="632"/>
      <c r="FHK371" s="16"/>
      <c r="FHL371" s="636">
        <v>1.5299999999999999E-2</v>
      </c>
      <c r="FHM371" s="636">
        <v>1.5299999999999999E-2</v>
      </c>
      <c r="FHN371" s="636">
        <v>1.5299999999999999E-2</v>
      </c>
      <c r="FHO371" s="636">
        <v>9.7000000000000003E-3</v>
      </c>
      <c r="FHP371" s="636">
        <v>9.7000000000000003E-3</v>
      </c>
      <c r="FHQ371" s="649">
        <v>9.7000000000000003E-3</v>
      </c>
      <c r="FHR371" s="16"/>
      <c r="FHS371" s="320">
        <v>8.6999999999999994E-3</v>
      </c>
      <c r="FHT371" s="153"/>
      <c r="FHU371" s="153"/>
      <c r="FHV371" s="153"/>
      <c r="FHW371" s="648"/>
      <c r="FHX371" s="641"/>
      <c r="FHY371" s="631" t="s">
        <v>1842</v>
      </c>
      <c r="FHZ371" s="632"/>
      <c r="FIA371" s="16"/>
      <c r="FIB371" s="636">
        <v>1.5299999999999999E-2</v>
      </c>
      <c r="FIC371" s="636">
        <v>1.5299999999999999E-2</v>
      </c>
      <c r="FID371" s="636">
        <v>1.5299999999999999E-2</v>
      </c>
      <c r="FIE371" s="636">
        <v>9.7000000000000003E-3</v>
      </c>
      <c r="FIF371" s="636">
        <v>9.7000000000000003E-3</v>
      </c>
      <c r="FIG371" s="649">
        <v>9.7000000000000003E-3</v>
      </c>
      <c r="FIH371" s="16"/>
      <c r="FII371" s="320">
        <v>8.6999999999999994E-3</v>
      </c>
      <c r="FIJ371" s="153"/>
      <c r="FIK371" s="153"/>
      <c r="FIL371" s="153"/>
      <c r="FIM371" s="648"/>
      <c r="FIN371" s="641"/>
      <c r="FIO371" s="631" t="s">
        <v>1842</v>
      </c>
      <c r="FIP371" s="632"/>
      <c r="FIQ371" s="16"/>
      <c r="FIR371" s="636">
        <v>1.5299999999999999E-2</v>
      </c>
      <c r="FIS371" s="636">
        <v>1.5299999999999999E-2</v>
      </c>
      <c r="FIT371" s="636">
        <v>1.5299999999999999E-2</v>
      </c>
      <c r="FIU371" s="636">
        <v>9.7000000000000003E-3</v>
      </c>
      <c r="FIV371" s="636">
        <v>9.7000000000000003E-3</v>
      </c>
      <c r="FIW371" s="649">
        <v>9.7000000000000003E-3</v>
      </c>
      <c r="FIX371" s="16"/>
      <c r="FIY371" s="320">
        <v>8.6999999999999994E-3</v>
      </c>
      <c r="FIZ371" s="153"/>
      <c r="FJA371" s="153"/>
      <c r="FJB371" s="153"/>
      <c r="FJC371" s="648"/>
      <c r="FJD371" s="641"/>
      <c r="FJE371" s="631" t="s">
        <v>1842</v>
      </c>
      <c r="FJF371" s="632"/>
      <c r="FJG371" s="16"/>
      <c r="FJH371" s="636">
        <v>1.5299999999999999E-2</v>
      </c>
      <c r="FJI371" s="636">
        <v>1.5299999999999999E-2</v>
      </c>
      <c r="FJJ371" s="636">
        <v>1.5299999999999999E-2</v>
      </c>
      <c r="FJK371" s="636">
        <v>9.7000000000000003E-3</v>
      </c>
      <c r="FJL371" s="636">
        <v>9.7000000000000003E-3</v>
      </c>
      <c r="FJM371" s="649">
        <v>9.7000000000000003E-3</v>
      </c>
      <c r="FJN371" s="16"/>
      <c r="FJO371" s="320">
        <v>8.6999999999999994E-3</v>
      </c>
      <c r="FJP371" s="153"/>
      <c r="FJQ371" s="153"/>
      <c r="FJR371" s="153"/>
      <c r="FJS371" s="648"/>
      <c r="FJT371" s="641"/>
      <c r="FJU371" s="631" t="s">
        <v>1842</v>
      </c>
      <c r="FJV371" s="632"/>
      <c r="FJW371" s="16"/>
      <c r="FJX371" s="636">
        <v>1.5299999999999999E-2</v>
      </c>
      <c r="FJY371" s="636">
        <v>1.5299999999999999E-2</v>
      </c>
      <c r="FJZ371" s="636">
        <v>1.5299999999999999E-2</v>
      </c>
      <c r="FKA371" s="636">
        <v>9.7000000000000003E-3</v>
      </c>
      <c r="FKB371" s="636">
        <v>9.7000000000000003E-3</v>
      </c>
      <c r="FKC371" s="649">
        <v>9.7000000000000003E-3</v>
      </c>
      <c r="FKD371" s="16"/>
      <c r="FKE371" s="320">
        <v>8.6999999999999994E-3</v>
      </c>
      <c r="FKF371" s="153"/>
      <c r="FKG371" s="153"/>
      <c r="FKH371" s="153"/>
      <c r="FKI371" s="648"/>
      <c r="FKJ371" s="641"/>
      <c r="FKK371" s="631" t="s">
        <v>1842</v>
      </c>
      <c r="FKL371" s="632"/>
      <c r="FKM371" s="16"/>
      <c r="FKN371" s="636">
        <v>1.5299999999999999E-2</v>
      </c>
      <c r="FKO371" s="636">
        <v>1.5299999999999999E-2</v>
      </c>
      <c r="FKP371" s="636">
        <v>1.5299999999999999E-2</v>
      </c>
      <c r="FKQ371" s="636">
        <v>9.7000000000000003E-3</v>
      </c>
      <c r="FKR371" s="636">
        <v>9.7000000000000003E-3</v>
      </c>
      <c r="FKS371" s="649">
        <v>9.7000000000000003E-3</v>
      </c>
      <c r="FKT371" s="16"/>
      <c r="FKU371" s="320">
        <v>8.6999999999999994E-3</v>
      </c>
      <c r="FKV371" s="153"/>
      <c r="FKW371" s="153"/>
      <c r="FKX371" s="153"/>
      <c r="FKY371" s="648"/>
      <c r="FKZ371" s="641"/>
      <c r="FLA371" s="631" t="s">
        <v>1842</v>
      </c>
      <c r="FLB371" s="632"/>
      <c r="FLC371" s="16"/>
      <c r="FLD371" s="636">
        <v>1.5299999999999999E-2</v>
      </c>
      <c r="FLE371" s="636">
        <v>1.5299999999999999E-2</v>
      </c>
      <c r="FLF371" s="636">
        <v>1.5299999999999999E-2</v>
      </c>
      <c r="FLG371" s="636">
        <v>9.7000000000000003E-3</v>
      </c>
      <c r="FLH371" s="636">
        <v>9.7000000000000003E-3</v>
      </c>
      <c r="FLI371" s="649">
        <v>9.7000000000000003E-3</v>
      </c>
      <c r="FLJ371" s="16"/>
      <c r="FLK371" s="320">
        <v>8.6999999999999994E-3</v>
      </c>
      <c r="FLL371" s="153"/>
      <c r="FLM371" s="153"/>
      <c r="FLN371" s="153"/>
      <c r="FLO371" s="648"/>
      <c r="FLP371" s="641"/>
      <c r="FLQ371" s="631" t="s">
        <v>1842</v>
      </c>
      <c r="FLR371" s="632"/>
      <c r="FLS371" s="16"/>
      <c r="FLT371" s="636">
        <v>1.5299999999999999E-2</v>
      </c>
      <c r="FLU371" s="636">
        <v>1.5299999999999999E-2</v>
      </c>
      <c r="FLV371" s="636">
        <v>1.5299999999999999E-2</v>
      </c>
      <c r="FLW371" s="636">
        <v>9.7000000000000003E-3</v>
      </c>
      <c r="FLX371" s="636">
        <v>9.7000000000000003E-3</v>
      </c>
      <c r="FLY371" s="649">
        <v>9.7000000000000003E-3</v>
      </c>
      <c r="FLZ371" s="16"/>
      <c r="FMA371" s="320">
        <v>8.6999999999999994E-3</v>
      </c>
      <c r="FMB371" s="153"/>
      <c r="FMC371" s="153"/>
      <c r="FMD371" s="153"/>
      <c r="FME371" s="648"/>
      <c r="FMF371" s="641"/>
      <c r="FMG371" s="631" t="s">
        <v>1842</v>
      </c>
      <c r="FMH371" s="632"/>
      <c r="FMI371" s="16"/>
      <c r="FMJ371" s="636">
        <v>1.5299999999999999E-2</v>
      </c>
      <c r="FMK371" s="636">
        <v>1.5299999999999999E-2</v>
      </c>
      <c r="FML371" s="636">
        <v>1.5299999999999999E-2</v>
      </c>
      <c r="FMM371" s="636">
        <v>9.7000000000000003E-3</v>
      </c>
      <c r="FMN371" s="636">
        <v>9.7000000000000003E-3</v>
      </c>
      <c r="FMO371" s="649">
        <v>9.7000000000000003E-3</v>
      </c>
      <c r="FMP371" s="16"/>
      <c r="FMQ371" s="320">
        <v>8.6999999999999994E-3</v>
      </c>
      <c r="FMR371" s="153"/>
      <c r="FMS371" s="153"/>
      <c r="FMT371" s="153"/>
      <c r="FMU371" s="648"/>
      <c r="FMV371" s="641"/>
      <c r="FMW371" s="631" t="s">
        <v>1842</v>
      </c>
      <c r="FMX371" s="632"/>
      <c r="FMY371" s="16"/>
      <c r="FMZ371" s="636">
        <v>1.5299999999999999E-2</v>
      </c>
      <c r="FNA371" s="636">
        <v>1.5299999999999999E-2</v>
      </c>
      <c r="FNB371" s="636">
        <v>1.5299999999999999E-2</v>
      </c>
      <c r="FNC371" s="636">
        <v>9.7000000000000003E-3</v>
      </c>
      <c r="FND371" s="636">
        <v>9.7000000000000003E-3</v>
      </c>
      <c r="FNE371" s="649">
        <v>9.7000000000000003E-3</v>
      </c>
      <c r="FNF371" s="16"/>
      <c r="FNG371" s="320">
        <v>8.6999999999999994E-3</v>
      </c>
      <c r="FNH371" s="153"/>
      <c r="FNI371" s="153"/>
      <c r="FNJ371" s="153"/>
      <c r="FNK371" s="648"/>
      <c r="FNL371" s="641"/>
      <c r="FNM371" s="631" t="s">
        <v>1842</v>
      </c>
      <c r="FNN371" s="632"/>
      <c r="FNO371" s="16"/>
      <c r="FNP371" s="636">
        <v>1.5299999999999999E-2</v>
      </c>
      <c r="FNQ371" s="636">
        <v>1.5299999999999999E-2</v>
      </c>
      <c r="FNR371" s="636">
        <v>1.5299999999999999E-2</v>
      </c>
      <c r="FNS371" s="636">
        <v>9.7000000000000003E-3</v>
      </c>
      <c r="FNT371" s="636">
        <v>9.7000000000000003E-3</v>
      </c>
      <c r="FNU371" s="649">
        <v>9.7000000000000003E-3</v>
      </c>
      <c r="FNV371" s="16"/>
      <c r="FNW371" s="320">
        <v>8.6999999999999994E-3</v>
      </c>
      <c r="FNX371" s="153"/>
      <c r="FNY371" s="153"/>
      <c r="FNZ371" s="153"/>
      <c r="FOA371" s="648"/>
      <c r="FOB371" s="641"/>
      <c r="FOC371" s="631" t="s">
        <v>1842</v>
      </c>
      <c r="FOD371" s="632"/>
      <c r="FOE371" s="16"/>
      <c r="FOF371" s="636">
        <v>1.5299999999999999E-2</v>
      </c>
      <c r="FOG371" s="636">
        <v>1.5299999999999999E-2</v>
      </c>
      <c r="FOH371" s="636">
        <v>1.5299999999999999E-2</v>
      </c>
      <c r="FOI371" s="636">
        <v>9.7000000000000003E-3</v>
      </c>
      <c r="FOJ371" s="636">
        <v>9.7000000000000003E-3</v>
      </c>
      <c r="FOK371" s="649">
        <v>9.7000000000000003E-3</v>
      </c>
      <c r="FOL371" s="16"/>
      <c r="FOM371" s="320">
        <v>8.6999999999999994E-3</v>
      </c>
      <c r="FON371" s="153"/>
      <c r="FOO371" s="153"/>
      <c r="FOP371" s="153"/>
      <c r="FOQ371" s="648"/>
      <c r="FOR371" s="641"/>
      <c r="FOS371" s="631" t="s">
        <v>1842</v>
      </c>
      <c r="FOT371" s="632"/>
      <c r="FOU371" s="16"/>
      <c r="FOV371" s="636">
        <v>1.5299999999999999E-2</v>
      </c>
      <c r="FOW371" s="636">
        <v>1.5299999999999999E-2</v>
      </c>
      <c r="FOX371" s="636">
        <v>1.5299999999999999E-2</v>
      </c>
      <c r="FOY371" s="636">
        <v>9.7000000000000003E-3</v>
      </c>
      <c r="FOZ371" s="636">
        <v>9.7000000000000003E-3</v>
      </c>
      <c r="FPA371" s="649">
        <v>9.7000000000000003E-3</v>
      </c>
      <c r="FPB371" s="16"/>
      <c r="FPC371" s="320">
        <v>8.6999999999999994E-3</v>
      </c>
      <c r="FPD371" s="153"/>
      <c r="FPE371" s="153"/>
      <c r="FPF371" s="153"/>
      <c r="FPG371" s="648"/>
      <c r="FPH371" s="641"/>
      <c r="FPI371" s="631" t="s">
        <v>1842</v>
      </c>
      <c r="FPJ371" s="632"/>
      <c r="FPK371" s="16"/>
      <c r="FPL371" s="636">
        <v>1.5299999999999999E-2</v>
      </c>
      <c r="FPM371" s="636">
        <v>1.5299999999999999E-2</v>
      </c>
      <c r="FPN371" s="636">
        <v>1.5299999999999999E-2</v>
      </c>
      <c r="FPO371" s="636">
        <v>9.7000000000000003E-3</v>
      </c>
      <c r="FPP371" s="636">
        <v>9.7000000000000003E-3</v>
      </c>
      <c r="FPQ371" s="649">
        <v>9.7000000000000003E-3</v>
      </c>
      <c r="FPR371" s="16"/>
      <c r="FPS371" s="320">
        <v>8.6999999999999994E-3</v>
      </c>
      <c r="FPT371" s="153"/>
      <c r="FPU371" s="153"/>
      <c r="FPV371" s="153"/>
      <c r="FPW371" s="648"/>
      <c r="FPX371" s="641"/>
      <c r="FPY371" s="631" t="s">
        <v>1842</v>
      </c>
      <c r="FPZ371" s="632"/>
      <c r="FQA371" s="16"/>
      <c r="FQB371" s="636">
        <v>1.5299999999999999E-2</v>
      </c>
      <c r="FQC371" s="636">
        <v>1.5299999999999999E-2</v>
      </c>
      <c r="FQD371" s="636">
        <v>1.5299999999999999E-2</v>
      </c>
      <c r="FQE371" s="636">
        <v>9.7000000000000003E-3</v>
      </c>
      <c r="FQF371" s="636">
        <v>9.7000000000000003E-3</v>
      </c>
      <c r="FQG371" s="649">
        <v>9.7000000000000003E-3</v>
      </c>
      <c r="FQH371" s="16"/>
      <c r="FQI371" s="320">
        <v>8.6999999999999994E-3</v>
      </c>
      <c r="FQJ371" s="153"/>
      <c r="FQK371" s="153"/>
      <c r="FQL371" s="153"/>
      <c r="FQM371" s="648"/>
      <c r="FQN371" s="641"/>
      <c r="FQO371" s="631" t="s">
        <v>1842</v>
      </c>
      <c r="FQP371" s="632"/>
      <c r="FQQ371" s="16"/>
      <c r="FQR371" s="636">
        <v>1.5299999999999999E-2</v>
      </c>
      <c r="FQS371" s="636">
        <v>1.5299999999999999E-2</v>
      </c>
      <c r="FQT371" s="636">
        <v>1.5299999999999999E-2</v>
      </c>
      <c r="FQU371" s="636">
        <v>9.7000000000000003E-3</v>
      </c>
      <c r="FQV371" s="636">
        <v>9.7000000000000003E-3</v>
      </c>
      <c r="FQW371" s="649">
        <v>9.7000000000000003E-3</v>
      </c>
      <c r="FQX371" s="16"/>
      <c r="FQY371" s="320">
        <v>8.6999999999999994E-3</v>
      </c>
      <c r="FQZ371" s="153"/>
      <c r="FRA371" s="153"/>
      <c r="FRB371" s="153"/>
      <c r="FRC371" s="648"/>
      <c r="FRD371" s="641"/>
      <c r="FRE371" s="631" t="s">
        <v>1842</v>
      </c>
      <c r="FRF371" s="632"/>
      <c r="FRG371" s="16"/>
      <c r="FRH371" s="636">
        <v>1.5299999999999999E-2</v>
      </c>
      <c r="FRI371" s="636">
        <v>1.5299999999999999E-2</v>
      </c>
      <c r="FRJ371" s="636">
        <v>1.5299999999999999E-2</v>
      </c>
      <c r="FRK371" s="636">
        <v>9.7000000000000003E-3</v>
      </c>
      <c r="FRL371" s="636">
        <v>9.7000000000000003E-3</v>
      </c>
      <c r="FRM371" s="649">
        <v>9.7000000000000003E-3</v>
      </c>
      <c r="FRN371" s="16"/>
      <c r="FRO371" s="320">
        <v>8.6999999999999994E-3</v>
      </c>
      <c r="FRP371" s="153"/>
      <c r="FRQ371" s="153"/>
      <c r="FRR371" s="153"/>
      <c r="FRS371" s="648"/>
      <c r="FRT371" s="641"/>
      <c r="FRU371" s="631" t="s">
        <v>1842</v>
      </c>
      <c r="FRV371" s="632"/>
      <c r="FRW371" s="16"/>
      <c r="FRX371" s="636">
        <v>1.5299999999999999E-2</v>
      </c>
      <c r="FRY371" s="636">
        <v>1.5299999999999999E-2</v>
      </c>
      <c r="FRZ371" s="636">
        <v>1.5299999999999999E-2</v>
      </c>
      <c r="FSA371" s="636">
        <v>9.7000000000000003E-3</v>
      </c>
      <c r="FSB371" s="636">
        <v>9.7000000000000003E-3</v>
      </c>
      <c r="FSC371" s="649">
        <v>9.7000000000000003E-3</v>
      </c>
      <c r="FSD371" s="16"/>
      <c r="FSE371" s="320">
        <v>8.6999999999999994E-3</v>
      </c>
      <c r="FSF371" s="153"/>
      <c r="FSG371" s="153"/>
      <c r="FSH371" s="153"/>
      <c r="FSI371" s="648"/>
      <c r="FSJ371" s="641"/>
      <c r="FSK371" s="631" t="s">
        <v>1842</v>
      </c>
      <c r="FSL371" s="632"/>
      <c r="FSM371" s="16"/>
      <c r="FSN371" s="636">
        <v>1.5299999999999999E-2</v>
      </c>
      <c r="FSO371" s="636">
        <v>1.5299999999999999E-2</v>
      </c>
      <c r="FSP371" s="636">
        <v>1.5299999999999999E-2</v>
      </c>
      <c r="FSQ371" s="636">
        <v>9.7000000000000003E-3</v>
      </c>
      <c r="FSR371" s="636">
        <v>9.7000000000000003E-3</v>
      </c>
      <c r="FSS371" s="649">
        <v>9.7000000000000003E-3</v>
      </c>
      <c r="FST371" s="16"/>
      <c r="FSU371" s="320">
        <v>8.6999999999999994E-3</v>
      </c>
      <c r="FSV371" s="153"/>
      <c r="FSW371" s="153"/>
      <c r="FSX371" s="153"/>
      <c r="FSY371" s="648"/>
      <c r="FSZ371" s="641"/>
      <c r="FTA371" s="631" t="s">
        <v>1842</v>
      </c>
      <c r="FTB371" s="632"/>
      <c r="FTC371" s="16"/>
      <c r="FTD371" s="636">
        <v>1.5299999999999999E-2</v>
      </c>
      <c r="FTE371" s="636">
        <v>1.5299999999999999E-2</v>
      </c>
      <c r="FTF371" s="636">
        <v>1.5299999999999999E-2</v>
      </c>
      <c r="FTG371" s="636">
        <v>9.7000000000000003E-3</v>
      </c>
      <c r="FTH371" s="636">
        <v>9.7000000000000003E-3</v>
      </c>
      <c r="FTI371" s="649">
        <v>9.7000000000000003E-3</v>
      </c>
      <c r="FTJ371" s="16"/>
      <c r="FTK371" s="320">
        <v>8.6999999999999994E-3</v>
      </c>
      <c r="FTL371" s="153"/>
      <c r="FTM371" s="153"/>
      <c r="FTN371" s="153"/>
      <c r="FTO371" s="648"/>
      <c r="FTP371" s="641"/>
      <c r="FTQ371" s="631" t="s">
        <v>1842</v>
      </c>
      <c r="FTR371" s="632"/>
      <c r="FTS371" s="16"/>
      <c r="FTT371" s="636">
        <v>1.5299999999999999E-2</v>
      </c>
      <c r="FTU371" s="636">
        <v>1.5299999999999999E-2</v>
      </c>
      <c r="FTV371" s="636">
        <v>1.5299999999999999E-2</v>
      </c>
      <c r="FTW371" s="636">
        <v>9.7000000000000003E-3</v>
      </c>
      <c r="FTX371" s="636">
        <v>9.7000000000000003E-3</v>
      </c>
      <c r="FTY371" s="649">
        <v>9.7000000000000003E-3</v>
      </c>
      <c r="FTZ371" s="16"/>
      <c r="FUA371" s="320">
        <v>8.6999999999999994E-3</v>
      </c>
      <c r="FUB371" s="153"/>
      <c r="FUC371" s="153"/>
      <c r="FUD371" s="153"/>
      <c r="FUE371" s="648"/>
      <c r="FUF371" s="641"/>
      <c r="FUG371" s="631" t="s">
        <v>1842</v>
      </c>
      <c r="FUH371" s="632"/>
      <c r="FUI371" s="16"/>
      <c r="FUJ371" s="636">
        <v>1.5299999999999999E-2</v>
      </c>
      <c r="FUK371" s="636">
        <v>1.5299999999999999E-2</v>
      </c>
      <c r="FUL371" s="636">
        <v>1.5299999999999999E-2</v>
      </c>
      <c r="FUM371" s="636">
        <v>9.7000000000000003E-3</v>
      </c>
      <c r="FUN371" s="636">
        <v>9.7000000000000003E-3</v>
      </c>
      <c r="FUO371" s="649">
        <v>9.7000000000000003E-3</v>
      </c>
      <c r="FUP371" s="16"/>
      <c r="FUQ371" s="320">
        <v>8.6999999999999994E-3</v>
      </c>
      <c r="FUR371" s="153"/>
      <c r="FUS371" s="153"/>
      <c r="FUT371" s="153"/>
      <c r="FUU371" s="648"/>
      <c r="FUV371" s="641"/>
      <c r="FUW371" s="631" t="s">
        <v>1842</v>
      </c>
      <c r="FUX371" s="632"/>
      <c r="FUY371" s="16"/>
      <c r="FUZ371" s="636">
        <v>1.5299999999999999E-2</v>
      </c>
      <c r="FVA371" s="636">
        <v>1.5299999999999999E-2</v>
      </c>
      <c r="FVB371" s="636">
        <v>1.5299999999999999E-2</v>
      </c>
      <c r="FVC371" s="636">
        <v>9.7000000000000003E-3</v>
      </c>
      <c r="FVD371" s="636">
        <v>9.7000000000000003E-3</v>
      </c>
      <c r="FVE371" s="649">
        <v>9.7000000000000003E-3</v>
      </c>
      <c r="FVF371" s="16"/>
      <c r="FVG371" s="320">
        <v>8.6999999999999994E-3</v>
      </c>
      <c r="FVH371" s="153"/>
      <c r="FVI371" s="153"/>
      <c r="FVJ371" s="153"/>
      <c r="FVK371" s="648"/>
      <c r="FVL371" s="641"/>
      <c r="FVM371" s="631" t="s">
        <v>1842</v>
      </c>
      <c r="FVN371" s="632"/>
      <c r="FVO371" s="16"/>
      <c r="FVP371" s="636">
        <v>1.5299999999999999E-2</v>
      </c>
      <c r="FVQ371" s="636">
        <v>1.5299999999999999E-2</v>
      </c>
      <c r="FVR371" s="636">
        <v>1.5299999999999999E-2</v>
      </c>
      <c r="FVS371" s="636">
        <v>9.7000000000000003E-3</v>
      </c>
      <c r="FVT371" s="636">
        <v>9.7000000000000003E-3</v>
      </c>
      <c r="FVU371" s="649">
        <v>9.7000000000000003E-3</v>
      </c>
      <c r="FVV371" s="16"/>
      <c r="FVW371" s="320">
        <v>8.6999999999999994E-3</v>
      </c>
      <c r="FVX371" s="153"/>
      <c r="FVY371" s="153"/>
      <c r="FVZ371" s="153"/>
      <c r="FWA371" s="648"/>
      <c r="FWB371" s="641"/>
      <c r="FWC371" s="631" t="s">
        <v>1842</v>
      </c>
      <c r="FWD371" s="632"/>
      <c r="FWE371" s="16"/>
      <c r="FWF371" s="636">
        <v>1.5299999999999999E-2</v>
      </c>
      <c r="FWG371" s="636">
        <v>1.5299999999999999E-2</v>
      </c>
      <c r="FWH371" s="636">
        <v>1.5299999999999999E-2</v>
      </c>
      <c r="FWI371" s="636">
        <v>9.7000000000000003E-3</v>
      </c>
      <c r="FWJ371" s="636">
        <v>9.7000000000000003E-3</v>
      </c>
      <c r="FWK371" s="649">
        <v>9.7000000000000003E-3</v>
      </c>
      <c r="FWL371" s="16"/>
      <c r="FWM371" s="320">
        <v>8.6999999999999994E-3</v>
      </c>
      <c r="FWN371" s="153"/>
      <c r="FWO371" s="153"/>
      <c r="FWP371" s="153"/>
      <c r="FWQ371" s="648"/>
      <c r="FWR371" s="641"/>
      <c r="FWS371" s="631" t="s">
        <v>1842</v>
      </c>
      <c r="FWT371" s="632"/>
      <c r="FWU371" s="16"/>
      <c r="FWV371" s="636">
        <v>1.5299999999999999E-2</v>
      </c>
      <c r="FWW371" s="636">
        <v>1.5299999999999999E-2</v>
      </c>
      <c r="FWX371" s="636">
        <v>1.5299999999999999E-2</v>
      </c>
      <c r="FWY371" s="636">
        <v>9.7000000000000003E-3</v>
      </c>
      <c r="FWZ371" s="636">
        <v>9.7000000000000003E-3</v>
      </c>
      <c r="FXA371" s="649">
        <v>9.7000000000000003E-3</v>
      </c>
      <c r="FXB371" s="16"/>
      <c r="FXC371" s="320">
        <v>8.6999999999999994E-3</v>
      </c>
      <c r="FXD371" s="153"/>
      <c r="FXE371" s="153"/>
      <c r="FXF371" s="153"/>
      <c r="FXG371" s="648"/>
      <c r="FXH371" s="641"/>
      <c r="FXI371" s="631" t="s">
        <v>1842</v>
      </c>
      <c r="FXJ371" s="632"/>
      <c r="FXK371" s="16"/>
      <c r="FXL371" s="636">
        <v>1.5299999999999999E-2</v>
      </c>
      <c r="FXM371" s="636">
        <v>1.5299999999999999E-2</v>
      </c>
      <c r="FXN371" s="636">
        <v>1.5299999999999999E-2</v>
      </c>
      <c r="FXO371" s="636">
        <v>9.7000000000000003E-3</v>
      </c>
      <c r="FXP371" s="636">
        <v>9.7000000000000003E-3</v>
      </c>
      <c r="FXQ371" s="649">
        <v>9.7000000000000003E-3</v>
      </c>
      <c r="FXR371" s="16"/>
      <c r="FXS371" s="320">
        <v>8.6999999999999994E-3</v>
      </c>
      <c r="FXT371" s="153"/>
      <c r="FXU371" s="153"/>
      <c r="FXV371" s="153"/>
      <c r="FXW371" s="648"/>
      <c r="FXX371" s="641"/>
      <c r="FXY371" s="631" t="s">
        <v>1842</v>
      </c>
      <c r="FXZ371" s="632"/>
      <c r="FYA371" s="16"/>
      <c r="FYB371" s="636">
        <v>1.5299999999999999E-2</v>
      </c>
      <c r="FYC371" s="636">
        <v>1.5299999999999999E-2</v>
      </c>
      <c r="FYD371" s="636">
        <v>1.5299999999999999E-2</v>
      </c>
      <c r="FYE371" s="636">
        <v>9.7000000000000003E-3</v>
      </c>
      <c r="FYF371" s="636">
        <v>9.7000000000000003E-3</v>
      </c>
      <c r="FYG371" s="649">
        <v>9.7000000000000003E-3</v>
      </c>
      <c r="FYH371" s="16"/>
      <c r="FYI371" s="320">
        <v>8.6999999999999994E-3</v>
      </c>
      <c r="FYJ371" s="153"/>
      <c r="FYK371" s="153"/>
      <c r="FYL371" s="153"/>
      <c r="FYM371" s="648"/>
      <c r="FYN371" s="641"/>
      <c r="FYO371" s="631" t="s">
        <v>1842</v>
      </c>
      <c r="FYP371" s="632"/>
      <c r="FYQ371" s="16"/>
      <c r="FYR371" s="636">
        <v>1.5299999999999999E-2</v>
      </c>
      <c r="FYS371" s="636">
        <v>1.5299999999999999E-2</v>
      </c>
      <c r="FYT371" s="636">
        <v>1.5299999999999999E-2</v>
      </c>
      <c r="FYU371" s="636">
        <v>9.7000000000000003E-3</v>
      </c>
      <c r="FYV371" s="636">
        <v>9.7000000000000003E-3</v>
      </c>
      <c r="FYW371" s="649">
        <v>9.7000000000000003E-3</v>
      </c>
      <c r="FYX371" s="16"/>
      <c r="FYY371" s="320">
        <v>8.6999999999999994E-3</v>
      </c>
      <c r="FYZ371" s="153"/>
      <c r="FZA371" s="153"/>
      <c r="FZB371" s="153"/>
      <c r="FZC371" s="648"/>
      <c r="FZD371" s="641"/>
      <c r="FZE371" s="631" t="s">
        <v>1842</v>
      </c>
      <c r="FZF371" s="632"/>
      <c r="FZG371" s="16"/>
      <c r="FZH371" s="636">
        <v>1.5299999999999999E-2</v>
      </c>
      <c r="FZI371" s="636">
        <v>1.5299999999999999E-2</v>
      </c>
      <c r="FZJ371" s="636">
        <v>1.5299999999999999E-2</v>
      </c>
      <c r="FZK371" s="636">
        <v>9.7000000000000003E-3</v>
      </c>
      <c r="FZL371" s="636">
        <v>9.7000000000000003E-3</v>
      </c>
      <c r="FZM371" s="649">
        <v>9.7000000000000003E-3</v>
      </c>
      <c r="FZN371" s="16"/>
      <c r="FZO371" s="320">
        <v>8.6999999999999994E-3</v>
      </c>
      <c r="FZP371" s="153"/>
      <c r="FZQ371" s="153"/>
      <c r="FZR371" s="153"/>
      <c r="FZS371" s="648"/>
      <c r="FZT371" s="641"/>
      <c r="FZU371" s="631" t="s">
        <v>1842</v>
      </c>
      <c r="FZV371" s="632"/>
      <c r="FZW371" s="16"/>
      <c r="FZX371" s="636">
        <v>1.5299999999999999E-2</v>
      </c>
      <c r="FZY371" s="636">
        <v>1.5299999999999999E-2</v>
      </c>
      <c r="FZZ371" s="636">
        <v>1.5299999999999999E-2</v>
      </c>
      <c r="GAA371" s="636">
        <v>9.7000000000000003E-3</v>
      </c>
      <c r="GAB371" s="636">
        <v>9.7000000000000003E-3</v>
      </c>
      <c r="GAC371" s="649">
        <v>9.7000000000000003E-3</v>
      </c>
      <c r="GAD371" s="16"/>
      <c r="GAE371" s="320">
        <v>8.6999999999999994E-3</v>
      </c>
      <c r="GAF371" s="153"/>
      <c r="GAG371" s="153"/>
      <c r="GAH371" s="153"/>
      <c r="GAI371" s="648"/>
      <c r="GAJ371" s="641"/>
      <c r="GAK371" s="631" t="s">
        <v>1842</v>
      </c>
      <c r="GAL371" s="632"/>
      <c r="GAM371" s="16"/>
      <c r="GAN371" s="636">
        <v>1.5299999999999999E-2</v>
      </c>
      <c r="GAO371" s="636">
        <v>1.5299999999999999E-2</v>
      </c>
      <c r="GAP371" s="636">
        <v>1.5299999999999999E-2</v>
      </c>
      <c r="GAQ371" s="636">
        <v>9.7000000000000003E-3</v>
      </c>
      <c r="GAR371" s="636">
        <v>9.7000000000000003E-3</v>
      </c>
      <c r="GAS371" s="649">
        <v>9.7000000000000003E-3</v>
      </c>
      <c r="GAT371" s="16"/>
      <c r="GAU371" s="320">
        <v>8.6999999999999994E-3</v>
      </c>
      <c r="GAV371" s="153"/>
      <c r="GAW371" s="153"/>
      <c r="GAX371" s="153"/>
      <c r="GAY371" s="648"/>
      <c r="GAZ371" s="641"/>
      <c r="GBA371" s="631" t="s">
        <v>1842</v>
      </c>
      <c r="GBB371" s="632"/>
      <c r="GBC371" s="16"/>
      <c r="GBD371" s="636">
        <v>1.5299999999999999E-2</v>
      </c>
      <c r="GBE371" s="636">
        <v>1.5299999999999999E-2</v>
      </c>
      <c r="GBF371" s="636">
        <v>1.5299999999999999E-2</v>
      </c>
      <c r="GBG371" s="636">
        <v>9.7000000000000003E-3</v>
      </c>
      <c r="GBH371" s="636">
        <v>9.7000000000000003E-3</v>
      </c>
      <c r="GBI371" s="649">
        <v>9.7000000000000003E-3</v>
      </c>
      <c r="GBJ371" s="16"/>
      <c r="GBK371" s="320">
        <v>8.6999999999999994E-3</v>
      </c>
      <c r="GBL371" s="153"/>
      <c r="GBM371" s="153"/>
      <c r="GBN371" s="153"/>
      <c r="GBO371" s="648"/>
      <c r="GBP371" s="641"/>
      <c r="GBQ371" s="631" t="s">
        <v>1842</v>
      </c>
      <c r="GBR371" s="632"/>
      <c r="GBS371" s="16"/>
      <c r="GBT371" s="636">
        <v>1.5299999999999999E-2</v>
      </c>
      <c r="GBU371" s="636">
        <v>1.5299999999999999E-2</v>
      </c>
      <c r="GBV371" s="636">
        <v>1.5299999999999999E-2</v>
      </c>
      <c r="GBW371" s="636">
        <v>9.7000000000000003E-3</v>
      </c>
      <c r="GBX371" s="636">
        <v>9.7000000000000003E-3</v>
      </c>
      <c r="GBY371" s="649">
        <v>9.7000000000000003E-3</v>
      </c>
      <c r="GBZ371" s="16"/>
      <c r="GCA371" s="320">
        <v>8.6999999999999994E-3</v>
      </c>
      <c r="GCB371" s="153"/>
      <c r="GCC371" s="153"/>
      <c r="GCD371" s="153"/>
      <c r="GCE371" s="648"/>
      <c r="GCF371" s="641"/>
      <c r="GCG371" s="631" t="s">
        <v>1842</v>
      </c>
      <c r="GCH371" s="632"/>
      <c r="GCI371" s="16"/>
      <c r="GCJ371" s="636">
        <v>1.5299999999999999E-2</v>
      </c>
      <c r="GCK371" s="636">
        <v>1.5299999999999999E-2</v>
      </c>
      <c r="GCL371" s="636">
        <v>1.5299999999999999E-2</v>
      </c>
      <c r="GCM371" s="636">
        <v>9.7000000000000003E-3</v>
      </c>
      <c r="GCN371" s="636">
        <v>9.7000000000000003E-3</v>
      </c>
      <c r="GCO371" s="649">
        <v>9.7000000000000003E-3</v>
      </c>
      <c r="GCP371" s="16"/>
      <c r="GCQ371" s="320">
        <v>8.6999999999999994E-3</v>
      </c>
      <c r="GCR371" s="153"/>
      <c r="GCS371" s="153"/>
      <c r="GCT371" s="153"/>
      <c r="GCU371" s="648"/>
      <c r="GCV371" s="641"/>
      <c r="GCW371" s="631" t="s">
        <v>1842</v>
      </c>
      <c r="GCX371" s="632"/>
      <c r="GCY371" s="16"/>
      <c r="GCZ371" s="636">
        <v>1.5299999999999999E-2</v>
      </c>
      <c r="GDA371" s="636">
        <v>1.5299999999999999E-2</v>
      </c>
      <c r="GDB371" s="636">
        <v>1.5299999999999999E-2</v>
      </c>
      <c r="GDC371" s="636">
        <v>9.7000000000000003E-3</v>
      </c>
      <c r="GDD371" s="636">
        <v>9.7000000000000003E-3</v>
      </c>
      <c r="GDE371" s="649">
        <v>9.7000000000000003E-3</v>
      </c>
      <c r="GDF371" s="16"/>
      <c r="GDG371" s="320">
        <v>8.6999999999999994E-3</v>
      </c>
      <c r="GDH371" s="153"/>
      <c r="GDI371" s="153"/>
      <c r="GDJ371" s="153"/>
      <c r="GDK371" s="648"/>
      <c r="GDL371" s="641"/>
      <c r="GDM371" s="631" t="s">
        <v>1842</v>
      </c>
      <c r="GDN371" s="632"/>
      <c r="GDO371" s="16"/>
      <c r="GDP371" s="636">
        <v>1.5299999999999999E-2</v>
      </c>
      <c r="GDQ371" s="636">
        <v>1.5299999999999999E-2</v>
      </c>
      <c r="GDR371" s="636">
        <v>1.5299999999999999E-2</v>
      </c>
      <c r="GDS371" s="636">
        <v>9.7000000000000003E-3</v>
      </c>
      <c r="GDT371" s="636">
        <v>9.7000000000000003E-3</v>
      </c>
      <c r="GDU371" s="649">
        <v>9.7000000000000003E-3</v>
      </c>
      <c r="GDV371" s="16"/>
      <c r="GDW371" s="320">
        <v>8.6999999999999994E-3</v>
      </c>
      <c r="GDX371" s="153"/>
      <c r="GDY371" s="153"/>
      <c r="GDZ371" s="153"/>
      <c r="GEA371" s="648"/>
      <c r="GEB371" s="641"/>
      <c r="GEC371" s="631" t="s">
        <v>1842</v>
      </c>
      <c r="GED371" s="632"/>
      <c r="GEE371" s="16"/>
      <c r="GEF371" s="636">
        <v>1.5299999999999999E-2</v>
      </c>
      <c r="GEG371" s="636">
        <v>1.5299999999999999E-2</v>
      </c>
      <c r="GEH371" s="636">
        <v>1.5299999999999999E-2</v>
      </c>
      <c r="GEI371" s="636">
        <v>9.7000000000000003E-3</v>
      </c>
      <c r="GEJ371" s="636">
        <v>9.7000000000000003E-3</v>
      </c>
      <c r="GEK371" s="649">
        <v>9.7000000000000003E-3</v>
      </c>
      <c r="GEL371" s="16"/>
      <c r="GEM371" s="320">
        <v>8.6999999999999994E-3</v>
      </c>
      <c r="GEN371" s="153"/>
      <c r="GEO371" s="153"/>
      <c r="GEP371" s="153"/>
      <c r="GEQ371" s="648"/>
      <c r="GER371" s="641"/>
      <c r="GES371" s="631" t="s">
        <v>1842</v>
      </c>
      <c r="GET371" s="632"/>
      <c r="GEU371" s="16"/>
      <c r="GEV371" s="636">
        <v>1.5299999999999999E-2</v>
      </c>
      <c r="GEW371" s="636">
        <v>1.5299999999999999E-2</v>
      </c>
      <c r="GEX371" s="636">
        <v>1.5299999999999999E-2</v>
      </c>
      <c r="GEY371" s="636">
        <v>9.7000000000000003E-3</v>
      </c>
      <c r="GEZ371" s="636">
        <v>9.7000000000000003E-3</v>
      </c>
      <c r="GFA371" s="649">
        <v>9.7000000000000003E-3</v>
      </c>
      <c r="GFB371" s="16"/>
      <c r="GFC371" s="320">
        <v>8.6999999999999994E-3</v>
      </c>
      <c r="GFD371" s="153"/>
      <c r="GFE371" s="153"/>
      <c r="GFF371" s="153"/>
      <c r="GFG371" s="648"/>
      <c r="GFH371" s="641"/>
      <c r="GFI371" s="631" t="s">
        <v>1842</v>
      </c>
      <c r="GFJ371" s="632"/>
      <c r="GFK371" s="16"/>
      <c r="GFL371" s="636">
        <v>1.5299999999999999E-2</v>
      </c>
      <c r="GFM371" s="636">
        <v>1.5299999999999999E-2</v>
      </c>
      <c r="GFN371" s="636">
        <v>1.5299999999999999E-2</v>
      </c>
      <c r="GFO371" s="636">
        <v>9.7000000000000003E-3</v>
      </c>
      <c r="GFP371" s="636">
        <v>9.7000000000000003E-3</v>
      </c>
      <c r="GFQ371" s="649">
        <v>9.7000000000000003E-3</v>
      </c>
      <c r="GFR371" s="16"/>
      <c r="GFS371" s="320">
        <v>8.6999999999999994E-3</v>
      </c>
      <c r="GFT371" s="153"/>
      <c r="GFU371" s="153"/>
      <c r="GFV371" s="153"/>
      <c r="GFW371" s="648"/>
      <c r="GFX371" s="641"/>
      <c r="GFY371" s="631" t="s">
        <v>1842</v>
      </c>
      <c r="GFZ371" s="632"/>
      <c r="GGA371" s="16"/>
      <c r="GGB371" s="636">
        <v>1.5299999999999999E-2</v>
      </c>
      <c r="GGC371" s="636">
        <v>1.5299999999999999E-2</v>
      </c>
      <c r="GGD371" s="636">
        <v>1.5299999999999999E-2</v>
      </c>
      <c r="GGE371" s="636">
        <v>9.7000000000000003E-3</v>
      </c>
      <c r="GGF371" s="636">
        <v>9.7000000000000003E-3</v>
      </c>
      <c r="GGG371" s="649">
        <v>9.7000000000000003E-3</v>
      </c>
      <c r="GGH371" s="16"/>
      <c r="GGI371" s="320">
        <v>8.6999999999999994E-3</v>
      </c>
      <c r="GGJ371" s="153"/>
      <c r="GGK371" s="153"/>
      <c r="GGL371" s="153"/>
      <c r="GGM371" s="648"/>
      <c r="GGN371" s="641"/>
      <c r="GGO371" s="631" t="s">
        <v>1842</v>
      </c>
      <c r="GGP371" s="632"/>
      <c r="GGQ371" s="16"/>
      <c r="GGR371" s="636">
        <v>1.5299999999999999E-2</v>
      </c>
      <c r="GGS371" s="636">
        <v>1.5299999999999999E-2</v>
      </c>
      <c r="GGT371" s="636">
        <v>1.5299999999999999E-2</v>
      </c>
      <c r="GGU371" s="636">
        <v>9.7000000000000003E-3</v>
      </c>
      <c r="GGV371" s="636">
        <v>9.7000000000000003E-3</v>
      </c>
      <c r="GGW371" s="649">
        <v>9.7000000000000003E-3</v>
      </c>
      <c r="GGX371" s="16"/>
      <c r="GGY371" s="320">
        <v>8.6999999999999994E-3</v>
      </c>
      <c r="GGZ371" s="153"/>
      <c r="GHA371" s="153"/>
      <c r="GHB371" s="153"/>
      <c r="GHC371" s="648"/>
      <c r="GHD371" s="641"/>
      <c r="GHE371" s="631" t="s">
        <v>1842</v>
      </c>
      <c r="GHF371" s="632"/>
      <c r="GHG371" s="16"/>
      <c r="GHH371" s="636">
        <v>1.5299999999999999E-2</v>
      </c>
      <c r="GHI371" s="636">
        <v>1.5299999999999999E-2</v>
      </c>
      <c r="GHJ371" s="636">
        <v>1.5299999999999999E-2</v>
      </c>
      <c r="GHK371" s="636">
        <v>9.7000000000000003E-3</v>
      </c>
      <c r="GHL371" s="636">
        <v>9.7000000000000003E-3</v>
      </c>
      <c r="GHM371" s="649">
        <v>9.7000000000000003E-3</v>
      </c>
      <c r="GHN371" s="16"/>
      <c r="GHO371" s="320">
        <v>8.6999999999999994E-3</v>
      </c>
      <c r="GHP371" s="153"/>
      <c r="GHQ371" s="153"/>
      <c r="GHR371" s="153"/>
      <c r="GHS371" s="648"/>
      <c r="GHT371" s="641"/>
      <c r="GHU371" s="631" t="s">
        <v>1842</v>
      </c>
      <c r="GHV371" s="632"/>
      <c r="GHW371" s="16"/>
      <c r="GHX371" s="636">
        <v>1.5299999999999999E-2</v>
      </c>
      <c r="GHY371" s="636">
        <v>1.5299999999999999E-2</v>
      </c>
      <c r="GHZ371" s="636">
        <v>1.5299999999999999E-2</v>
      </c>
      <c r="GIA371" s="636">
        <v>9.7000000000000003E-3</v>
      </c>
      <c r="GIB371" s="636">
        <v>9.7000000000000003E-3</v>
      </c>
      <c r="GIC371" s="649">
        <v>9.7000000000000003E-3</v>
      </c>
      <c r="GID371" s="16"/>
      <c r="GIE371" s="320">
        <v>8.6999999999999994E-3</v>
      </c>
      <c r="GIF371" s="153"/>
      <c r="GIG371" s="153"/>
      <c r="GIH371" s="153"/>
      <c r="GII371" s="648"/>
      <c r="GIJ371" s="641"/>
      <c r="GIK371" s="631" t="s">
        <v>1842</v>
      </c>
      <c r="GIL371" s="632"/>
      <c r="GIM371" s="16"/>
      <c r="GIN371" s="636">
        <v>1.5299999999999999E-2</v>
      </c>
      <c r="GIO371" s="636">
        <v>1.5299999999999999E-2</v>
      </c>
      <c r="GIP371" s="636">
        <v>1.5299999999999999E-2</v>
      </c>
      <c r="GIQ371" s="636">
        <v>9.7000000000000003E-3</v>
      </c>
      <c r="GIR371" s="636">
        <v>9.7000000000000003E-3</v>
      </c>
      <c r="GIS371" s="649">
        <v>9.7000000000000003E-3</v>
      </c>
      <c r="GIT371" s="16"/>
      <c r="GIU371" s="320">
        <v>8.6999999999999994E-3</v>
      </c>
      <c r="GIV371" s="153"/>
      <c r="GIW371" s="153"/>
      <c r="GIX371" s="153"/>
      <c r="GIY371" s="648"/>
      <c r="GIZ371" s="641"/>
      <c r="GJA371" s="631" t="s">
        <v>1842</v>
      </c>
      <c r="GJB371" s="632"/>
      <c r="GJC371" s="16"/>
      <c r="GJD371" s="636">
        <v>1.5299999999999999E-2</v>
      </c>
      <c r="GJE371" s="636">
        <v>1.5299999999999999E-2</v>
      </c>
      <c r="GJF371" s="636">
        <v>1.5299999999999999E-2</v>
      </c>
      <c r="GJG371" s="636">
        <v>9.7000000000000003E-3</v>
      </c>
      <c r="GJH371" s="636">
        <v>9.7000000000000003E-3</v>
      </c>
      <c r="GJI371" s="649">
        <v>9.7000000000000003E-3</v>
      </c>
      <c r="GJJ371" s="16"/>
      <c r="GJK371" s="320">
        <v>8.6999999999999994E-3</v>
      </c>
      <c r="GJL371" s="153"/>
      <c r="GJM371" s="153"/>
      <c r="GJN371" s="153"/>
      <c r="GJO371" s="648"/>
      <c r="GJP371" s="641"/>
      <c r="GJQ371" s="631" t="s">
        <v>1842</v>
      </c>
      <c r="GJR371" s="632"/>
      <c r="GJS371" s="16"/>
      <c r="GJT371" s="636">
        <v>1.5299999999999999E-2</v>
      </c>
      <c r="GJU371" s="636">
        <v>1.5299999999999999E-2</v>
      </c>
      <c r="GJV371" s="636">
        <v>1.5299999999999999E-2</v>
      </c>
      <c r="GJW371" s="636">
        <v>9.7000000000000003E-3</v>
      </c>
      <c r="GJX371" s="636">
        <v>9.7000000000000003E-3</v>
      </c>
      <c r="GJY371" s="649">
        <v>9.7000000000000003E-3</v>
      </c>
      <c r="GJZ371" s="16"/>
      <c r="GKA371" s="320">
        <v>8.6999999999999994E-3</v>
      </c>
      <c r="GKB371" s="153"/>
      <c r="GKC371" s="153"/>
      <c r="GKD371" s="153"/>
      <c r="GKE371" s="648"/>
      <c r="GKF371" s="641"/>
      <c r="GKG371" s="631" t="s">
        <v>1842</v>
      </c>
      <c r="GKH371" s="632"/>
      <c r="GKI371" s="16"/>
      <c r="GKJ371" s="636">
        <v>1.5299999999999999E-2</v>
      </c>
      <c r="GKK371" s="636">
        <v>1.5299999999999999E-2</v>
      </c>
      <c r="GKL371" s="636">
        <v>1.5299999999999999E-2</v>
      </c>
      <c r="GKM371" s="636">
        <v>9.7000000000000003E-3</v>
      </c>
      <c r="GKN371" s="636">
        <v>9.7000000000000003E-3</v>
      </c>
      <c r="GKO371" s="649">
        <v>9.7000000000000003E-3</v>
      </c>
      <c r="GKP371" s="16"/>
      <c r="GKQ371" s="320">
        <v>8.6999999999999994E-3</v>
      </c>
      <c r="GKR371" s="153"/>
      <c r="GKS371" s="153"/>
      <c r="GKT371" s="153"/>
      <c r="GKU371" s="648"/>
      <c r="GKV371" s="641"/>
      <c r="GKW371" s="631" t="s">
        <v>1842</v>
      </c>
      <c r="GKX371" s="632"/>
      <c r="GKY371" s="16"/>
      <c r="GKZ371" s="636">
        <v>1.5299999999999999E-2</v>
      </c>
      <c r="GLA371" s="636">
        <v>1.5299999999999999E-2</v>
      </c>
      <c r="GLB371" s="636">
        <v>1.5299999999999999E-2</v>
      </c>
      <c r="GLC371" s="636">
        <v>9.7000000000000003E-3</v>
      </c>
      <c r="GLD371" s="636">
        <v>9.7000000000000003E-3</v>
      </c>
      <c r="GLE371" s="649">
        <v>9.7000000000000003E-3</v>
      </c>
      <c r="GLF371" s="16"/>
      <c r="GLG371" s="320">
        <v>8.6999999999999994E-3</v>
      </c>
      <c r="GLH371" s="153"/>
      <c r="GLI371" s="153"/>
      <c r="GLJ371" s="153"/>
      <c r="GLK371" s="648"/>
      <c r="GLL371" s="641"/>
      <c r="GLM371" s="631" t="s">
        <v>1842</v>
      </c>
      <c r="GLN371" s="632"/>
      <c r="GLO371" s="16"/>
      <c r="GLP371" s="636">
        <v>1.5299999999999999E-2</v>
      </c>
      <c r="GLQ371" s="636">
        <v>1.5299999999999999E-2</v>
      </c>
      <c r="GLR371" s="636">
        <v>1.5299999999999999E-2</v>
      </c>
      <c r="GLS371" s="636">
        <v>9.7000000000000003E-3</v>
      </c>
      <c r="GLT371" s="636">
        <v>9.7000000000000003E-3</v>
      </c>
      <c r="GLU371" s="649">
        <v>9.7000000000000003E-3</v>
      </c>
      <c r="GLV371" s="16"/>
      <c r="GLW371" s="320">
        <v>8.6999999999999994E-3</v>
      </c>
      <c r="GLX371" s="153"/>
      <c r="GLY371" s="153"/>
      <c r="GLZ371" s="153"/>
      <c r="GMA371" s="648"/>
      <c r="GMB371" s="641"/>
      <c r="GMC371" s="631" t="s">
        <v>1842</v>
      </c>
      <c r="GMD371" s="632"/>
      <c r="GME371" s="16"/>
      <c r="GMF371" s="636">
        <v>1.5299999999999999E-2</v>
      </c>
      <c r="GMG371" s="636">
        <v>1.5299999999999999E-2</v>
      </c>
      <c r="GMH371" s="636">
        <v>1.5299999999999999E-2</v>
      </c>
      <c r="GMI371" s="636">
        <v>9.7000000000000003E-3</v>
      </c>
      <c r="GMJ371" s="636">
        <v>9.7000000000000003E-3</v>
      </c>
      <c r="GMK371" s="649">
        <v>9.7000000000000003E-3</v>
      </c>
      <c r="GML371" s="16"/>
      <c r="GMM371" s="320">
        <v>8.6999999999999994E-3</v>
      </c>
      <c r="GMN371" s="153"/>
      <c r="GMO371" s="153"/>
      <c r="GMP371" s="153"/>
      <c r="GMQ371" s="648"/>
      <c r="GMR371" s="641"/>
      <c r="GMS371" s="631" t="s">
        <v>1842</v>
      </c>
      <c r="GMT371" s="632"/>
      <c r="GMU371" s="16"/>
      <c r="GMV371" s="636">
        <v>1.5299999999999999E-2</v>
      </c>
      <c r="GMW371" s="636">
        <v>1.5299999999999999E-2</v>
      </c>
      <c r="GMX371" s="636">
        <v>1.5299999999999999E-2</v>
      </c>
      <c r="GMY371" s="636">
        <v>9.7000000000000003E-3</v>
      </c>
      <c r="GMZ371" s="636">
        <v>9.7000000000000003E-3</v>
      </c>
      <c r="GNA371" s="649">
        <v>9.7000000000000003E-3</v>
      </c>
      <c r="GNB371" s="16"/>
      <c r="GNC371" s="320">
        <v>8.6999999999999994E-3</v>
      </c>
      <c r="GND371" s="153"/>
      <c r="GNE371" s="153"/>
      <c r="GNF371" s="153"/>
      <c r="GNG371" s="648"/>
      <c r="GNH371" s="641"/>
      <c r="GNI371" s="631" t="s">
        <v>1842</v>
      </c>
      <c r="GNJ371" s="632"/>
      <c r="GNK371" s="16"/>
      <c r="GNL371" s="636">
        <v>1.5299999999999999E-2</v>
      </c>
      <c r="GNM371" s="636">
        <v>1.5299999999999999E-2</v>
      </c>
      <c r="GNN371" s="636">
        <v>1.5299999999999999E-2</v>
      </c>
      <c r="GNO371" s="636">
        <v>9.7000000000000003E-3</v>
      </c>
      <c r="GNP371" s="636">
        <v>9.7000000000000003E-3</v>
      </c>
      <c r="GNQ371" s="649">
        <v>9.7000000000000003E-3</v>
      </c>
      <c r="GNR371" s="16"/>
      <c r="GNS371" s="320">
        <v>8.6999999999999994E-3</v>
      </c>
      <c r="GNT371" s="153"/>
      <c r="GNU371" s="153"/>
      <c r="GNV371" s="153"/>
      <c r="GNW371" s="648"/>
      <c r="GNX371" s="641"/>
      <c r="GNY371" s="631" t="s">
        <v>1842</v>
      </c>
      <c r="GNZ371" s="632"/>
      <c r="GOA371" s="16"/>
      <c r="GOB371" s="636">
        <v>1.5299999999999999E-2</v>
      </c>
      <c r="GOC371" s="636">
        <v>1.5299999999999999E-2</v>
      </c>
      <c r="GOD371" s="636">
        <v>1.5299999999999999E-2</v>
      </c>
      <c r="GOE371" s="636">
        <v>9.7000000000000003E-3</v>
      </c>
      <c r="GOF371" s="636">
        <v>9.7000000000000003E-3</v>
      </c>
      <c r="GOG371" s="649">
        <v>9.7000000000000003E-3</v>
      </c>
      <c r="GOH371" s="16"/>
      <c r="GOI371" s="320">
        <v>8.6999999999999994E-3</v>
      </c>
      <c r="GOJ371" s="153"/>
      <c r="GOK371" s="153"/>
      <c r="GOL371" s="153"/>
      <c r="GOM371" s="648"/>
      <c r="GON371" s="641"/>
      <c r="GOO371" s="631" t="s">
        <v>1842</v>
      </c>
      <c r="GOP371" s="632"/>
      <c r="GOQ371" s="16"/>
      <c r="GOR371" s="636">
        <v>1.5299999999999999E-2</v>
      </c>
      <c r="GOS371" s="636">
        <v>1.5299999999999999E-2</v>
      </c>
      <c r="GOT371" s="636">
        <v>1.5299999999999999E-2</v>
      </c>
      <c r="GOU371" s="636">
        <v>9.7000000000000003E-3</v>
      </c>
      <c r="GOV371" s="636">
        <v>9.7000000000000003E-3</v>
      </c>
      <c r="GOW371" s="649">
        <v>9.7000000000000003E-3</v>
      </c>
      <c r="GOX371" s="16"/>
      <c r="GOY371" s="320">
        <v>8.6999999999999994E-3</v>
      </c>
      <c r="GOZ371" s="153"/>
      <c r="GPA371" s="153"/>
      <c r="GPB371" s="153"/>
      <c r="GPC371" s="648"/>
      <c r="GPD371" s="641"/>
      <c r="GPE371" s="631" t="s">
        <v>1842</v>
      </c>
      <c r="GPF371" s="632"/>
      <c r="GPG371" s="16"/>
      <c r="GPH371" s="636">
        <v>1.5299999999999999E-2</v>
      </c>
      <c r="GPI371" s="636">
        <v>1.5299999999999999E-2</v>
      </c>
      <c r="GPJ371" s="636">
        <v>1.5299999999999999E-2</v>
      </c>
      <c r="GPK371" s="636">
        <v>9.7000000000000003E-3</v>
      </c>
      <c r="GPL371" s="636">
        <v>9.7000000000000003E-3</v>
      </c>
      <c r="GPM371" s="649">
        <v>9.7000000000000003E-3</v>
      </c>
      <c r="GPN371" s="16"/>
      <c r="GPO371" s="320">
        <v>8.6999999999999994E-3</v>
      </c>
      <c r="GPP371" s="153"/>
      <c r="GPQ371" s="153"/>
      <c r="GPR371" s="153"/>
      <c r="GPS371" s="648"/>
      <c r="GPT371" s="641"/>
      <c r="GPU371" s="631" t="s">
        <v>1842</v>
      </c>
      <c r="GPV371" s="632"/>
      <c r="GPW371" s="16"/>
      <c r="GPX371" s="636">
        <v>1.5299999999999999E-2</v>
      </c>
      <c r="GPY371" s="636">
        <v>1.5299999999999999E-2</v>
      </c>
      <c r="GPZ371" s="636">
        <v>1.5299999999999999E-2</v>
      </c>
      <c r="GQA371" s="636">
        <v>9.7000000000000003E-3</v>
      </c>
      <c r="GQB371" s="636">
        <v>9.7000000000000003E-3</v>
      </c>
      <c r="GQC371" s="649">
        <v>9.7000000000000003E-3</v>
      </c>
      <c r="GQD371" s="16"/>
      <c r="GQE371" s="320">
        <v>8.6999999999999994E-3</v>
      </c>
      <c r="GQF371" s="153"/>
      <c r="GQG371" s="153"/>
      <c r="GQH371" s="153"/>
      <c r="GQI371" s="648"/>
      <c r="GQJ371" s="641"/>
      <c r="GQK371" s="631" t="s">
        <v>1842</v>
      </c>
      <c r="GQL371" s="632"/>
      <c r="GQM371" s="16"/>
      <c r="GQN371" s="636">
        <v>1.5299999999999999E-2</v>
      </c>
      <c r="GQO371" s="636">
        <v>1.5299999999999999E-2</v>
      </c>
      <c r="GQP371" s="636">
        <v>1.5299999999999999E-2</v>
      </c>
      <c r="GQQ371" s="636">
        <v>9.7000000000000003E-3</v>
      </c>
      <c r="GQR371" s="636">
        <v>9.7000000000000003E-3</v>
      </c>
      <c r="GQS371" s="649">
        <v>9.7000000000000003E-3</v>
      </c>
      <c r="GQT371" s="16"/>
      <c r="GQU371" s="320">
        <v>8.6999999999999994E-3</v>
      </c>
      <c r="GQV371" s="153"/>
      <c r="GQW371" s="153"/>
      <c r="GQX371" s="153"/>
      <c r="GQY371" s="648"/>
      <c r="GQZ371" s="641"/>
      <c r="GRA371" s="631" t="s">
        <v>1842</v>
      </c>
      <c r="GRB371" s="632"/>
      <c r="GRC371" s="16"/>
      <c r="GRD371" s="636">
        <v>1.5299999999999999E-2</v>
      </c>
      <c r="GRE371" s="636">
        <v>1.5299999999999999E-2</v>
      </c>
      <c r="GRF371" s="636">
        <v>1.5299999999999999E-2</v>
      </c>
      <c r="GRG371" s="636">
        <v>9.7000000000000003E-3</v>
      </c>
      <c r="GRH371" s="636">
        <v>9.7000000000000003E-3</v>
      </c>
      <c r="GRI371" s="649">
        <v>9.7000000000000003E-3</v>
      </c>
      <c r="GRJ371" s="16"/>
      <c r="GRK371" s="320">
        <v>8.6999999999999994E-3</v>
      </c>
      <c r="GRL371" s="153"/>
      <c r="GRM371" s="153"/>
      <c r="GRN371" s="153"/>
      <c r="GRO371" s="648"/>
      <c r="GRP371" s="641"/>
      <c r="GRQ371" s="631" t="s">
        <v>1842</v>
      </c>
      <c r="GRR371" s="632"/>
      <c r="GRS371" s="16"/>
      <c r="GRT371" s="636">
        <v>1.5299999999999999E-2</v>
      </c>
      <c r="GRU371" s="636">
        <v>1.5299999999999999E-2</v>
      </c>
      <c r="GRV371" s="636">
        <v>1.5299999999999999E-2</v>
      </c>
      <c r="GRW371" s="636">
        <v>9.7000000000000003E-3</v>
      </c>
      <c r="GRX371" s="636">
        <v>9.7000000000000003E-3</v>
      </c>
      <c r="GRY371" s="649">
        <v>9.7000000000000003E-3</v>
      </c>
      <c r="GRZ371" s="16"/>
      <c r="GSA371" s="320">
        <v>8.6999999999999994E-3</v>
      </c>
      <c r="GSB371" s="153"/>
      <c r="GSC371" s="153"/>
      <c r="GSD371" s="153"/>
      <c r="GSE371" s="648"/>
      <c r="GSF371" s="641"/>
      <c r="GSG371" s="631" t="s">
        <v>1842</v>
      </c>
      <c r="GSH371" s="632"/>
      <c r="GSI371" s="16"/>
      <c r="GSJ371" s="636">
        <v>1.5299999999999999E-2</v>
      </c>
      <c r="GSK371" s="636">
        <v>1.5299999999999999E-2</v>
      </c>
      <c r="GSL371" s="636">
        <v>1.5299999999999999E-2</v>
      </c>
      <c r="GSM371" s="636">
        <v>9.7000000000000003E-3</v>
      </c>
      <c r="GSN371" s="636">
        <v>9.7000000000000003E-3</v>
      </c>
      <c r="GSO371" s="649">
        <v>9.7000000000000003E-3</v>
      </c>
      <c r="GSP371" s="16"/>
      <c r="GSQ371" s="320">
        <v>8.6999999999999994E-3</v>
      </c>
      <c r="GSR371" s="153"/>
      <c r="GSS371" s="153"/>
      <c r="GST371" s="153"/>
      <c r="GSU371" s="648"/>
      <c r="GSV371" s="641"/>
      <c r="GSW371" s="631" t="s">
        <v>1842</v>
      </c>
      <c r="GSX371" s="632"/>
      <c r="GSY371" s="16"/>
      <c r="GSZ371" s="636">
        <v>1.5299999999999999E-2</v>
      </c>
      <c r="GTA371" s="636">
        <v>1.5299999999999999E-2</v>
      </c>
      <c r="GTB371" s="636">
        <v>1.5299999999999999E-2</v>
      </c>
      <c r="GTC371" s="636">
        <v>9.7000000000000003E-3</v>
      </c>
      <c r="GTD371" s="636">
        <v>9.7000000000000003E-3</v>
      </c>
      <c r="GTE371" s="649">
        <v>9.7000000000000003E-3</v>
      </c>
      <c r="GTF371" s="16"/>
      <c r="GTG371" s="320">
        <v>8.6999999999999994E-3</v>
      </c>
      <c r="GTH371" s="153"/>
      <c r="GTI371" s="153"/>
      <c r="GTJ371" s="153"/>
      <c r="GTK371" s="648"/>
      <c r="GTL371" s="641"/>
      <c r="GTM371" s="631" t="s">
        <v>1842</v>
      </c>
      <c r="GTN371" s="632"/>
      <c r="GTO371" s="16"/>
      <c r="GTP371" s="636">
        <v>1.5299999999999999E-2</v>
      </c>
      <c r="GTQ371" s="636">
        <v>1.5299999999999999E-2</v>
      </c>
      <c r="GTR371" s="636">
        <v>1.5299999999999999E-2</v>
      </c>
      <c r="GTS371" s="636">
        <v>9.7000000000000003E-3</v>
      </c>
      <c r="GTT371" s="636">
        <v>9.7000000000000003E-3</v>
      </c>
      <c r="GTU371" s="649">
        <v>9.7000000000000003E-3</v>
      </c>
      <c r="GTV371" s="16"/>
      <c r="GTW371" s="320">
        <v>8.6999999999999994E-3</v>
      </c>
      <c r="GTX371" s="153"/>
      <c r="GTY371" s="153"/>
      <c r="GTZ371" s="153"/>
      <c r="GUA371" s="648"/>
      <c r="GUB371" s="641"/>
      <c r="GUC371" s="631" t="s">
        <v>1842</v>
      </c>
      <c r="GUD371" s="632"/>
      <c r="GUE371" s="16"/>
      <c r="GUF371" s="636">
        <v>1.5299999999999999E-2</v>
      </c>
      <c r="GUG371" s="636">
        <v>1.5299999999999999E-2</v>
      </c>
      <c r="GUH371" s="636">
        <v>1.5299999999999999E-2</v>
      </c>
      <c r="GUI371" s="636">
        <v>9.7000000000000003E-3</v>
      </c>
      <c r="GUJ371" s="636">
        <v>9.7000000000000003E-3</v>
      </c>
      <c r="GUK371" s="649">
        <v>9.7000000000000003E-3</v>
      </c>
      <c r="GUL371" s="16"/>
      <c r="GUM371" s="320">
        <v>8.6999999999999994E-3</v>
      </c>
      <c r="GUN371" s="153"/>
      <c r="GUO371" s="153"/>
      <c r="GUP371" s="153"/>
      <c r="GUQ371" s="648"/>
      <c r="GUR371" s="641"/>
      <c r="GUS371" s="631" t="s">
        <v>1842</v>
      </c>
      <c r="GUT371" s="632"/>
      <c r="GUU371" s="16"/>
      <c r="GUV371" s="636">
        <v>1.5299999999999999E-2</v>
      </c>
      <c r="GUW371" s="636">
        <v>1.5299999999999999E-2</v>
      </c>
      <c r="GUX371" s="636">
        <v>1.5299999999999999E-2</v>
      </c>
      <c r="GUY371" s="636">
        <v>9.7000000000000003E-3</v>
      </c>
      <c r="GUZ371" s="636">
        <v>9.7000000000000003E-3</v>
      </c>
      <c r="GVA371" s="649">
        <v>9.7000000000000003E-3</v>
      </c>
      <c r="GVB371" s="16"/>
      <c r="GVC371" s="320">
        <v>8.6999999999999994E-3</v>
      </c>
      <c r="GVD371" s="153"/>
      <c r="GVE371" s="153"/>
      <c r="GVF371" s="153"/>
      <c r="GVG371" s="648"/>
      <c r="GVH371" s="641"/>
      <c r="GVI371" s="631" t="s">
        <v>1842</v>
      </c>
      <c r="GVJ371" s="632"/>
      <c r="GVK371" s="16"/>
      <c r="GVL371" s="636">
        <v>1.5299999999999999E-2</v>
      </c>
      <c r="GVM371" s="636">
        <v>1.5299999999999999E-2</v>
      </c>
      <c r="GVN371" s="636">
        <v>1.5299999999999999E-2</v>
      </c>
      <c r="GVO371" s="636">
        <v>9.7000000000000003E-3</v>
      </c>
      <c r="GVP371" s="636">
        <v>9.7000000000000003E-3</v>
      </c>
      <c r="GVQ371" s="649">
        <v>9.7000000000000003E-3</v>
      </c>
      <c r="GVR371" s="16"/>
      <c r="GVS371" s="320">
        <v>8.6999999999999994E-3</v>
      </c>
      <c r="GVT371" s="153"/>
      <c r="GVU371" s="153"/>
      <c r="GVV371" s="153"/>
      <c r="GVW371" s="648"/>
      <c r="GVX371" s="641"/>
      <c r="GVY371" s="631" t="s">
        <v>1842</v>
      </c>
      <c r="GVZ371" s="632"/>
      <c r="GWA371" s="16"/>
      <c r="GWB371" s="636">
        <v>1.5299999999999999E-2</v>
      </c>
      <c r="GWC371" s="636">
        <v>1.5299999999999999E-2</v>
      </c>
      <c r="GWD371" s="636">
        <v>1.5299999999999999E-2</v>
      </c>
      <c r="GWE371" s="636">
        <v>9.7000000000000003E-3</v>
      </c>
      <c r="GWF371" s="636">
        <v>9.7000000000000003E-3</v>
      </c>
      <c r="GWG371" s="649">
        <v>9.7000000000000003E-3</v>
      </c>
      <c r="GWH371" s="16"/>
      <c r="GWI371" s="320">
        <v>8.6999999999999994E-3</v>
      </c>
      <c r="GWJ371" s="153"/>
      <c r="GWK371" s="153"/>
      <c r="GWL371" s="153"/>
      <c r="GWM371" s="648"/>
      <c r="GWN371" s="641"/>
      <c r="GWO371" s="631" t="s">
        <v>1842</v>
      </c>
      <c r="GWP371" s="632"/>
      <c r="GWQ371" s="16"/>
      <c r="GWR371" s="636">
        <v>1.5299999999999999E-2</v>
      </c>
      <c r="GWS371" s="636">
        <v>1.5299999999999999E-2</v>
      </c>
      <c r="GWT371" s="636">
        <v>1.5299999999999999E-2</v>
      </c>
      <c r="GWU371" s="636">
        <v>9.7000000000000003E-3</v>
      </c>
      <c r="GWV371" s="636">
        <v>9.7000000000000003E-3</v>
      </c>
      <c r="GWW371" s="649">
        <v>9.7000000000000003E-3</v>
      </c>
      <c r="GWX371" s="16"/>
      <c r="GWY371" s="320">
        <v>8.6999999999999994E-3</v>
      </c>
      <c r="GWZ371" s="153"/>
      <c r="GXA371" s="153"/>
      <c r="GXB371" s="153"/>
      <c r="GXC371" s="648"/>
      <c r="GXD371" s="641"/>
      <c r="GXE371" s="631" t="s">
        <v>1842</v>
      </c>
      <c r="GXF371" s="632"/>
      <c r="GXG371" s="16"/>
      <c r="GXH371" s="636">
        <v>1.5299999999999999E-2</v>
      </c>
      <c r="GXI371" s="636">
        <v>1.5299999999999999E-2</v>
      </c>
      <c r="GXJ371" s="636">
        <v>1.5299999999999999E-2</v>
      </c>
      <c r="GXK371" s="636">
        <v>9.7000000000000003E-3</v>
      </c>
      <c r="GXL371" s="636">
        <v>9.7000000000000003E-3</v>
      </c>
      <c r="GXM371" s="649">
        <v>9.7000000000000003E-3</v>
      </c>
      <c r="GXN371" s="16"/>
      <c r="GXO371" s="320">
        <v>8.6999999999999994E-3</v>
      </c>
      <c r="GXP371" s="153"/>
      <c r="GXQ371" s="153"/>
      <c r="GXR371" s="153"/>
      <c r="GXS371" s="648"/>
      <c r="GXT371" s="641"/>
      <c r="GXU371" s="631" t="s">
        <v>1842</v>
      </c>
      <c r="GXV371" s="632"/>
      <c r="GXW371" s="16"/>
      <c r="GXX371" s="636">
        <v>1.5299999999999999E-2</v>
      </c>
      <c r="GXY371" s="636">
        <v>1.5299999999999999E-2</v>
      </c>
      <c r="GXZ371" s="636">
        <v>1.5299999999999999E-2</v>
      </c>
      <c r="GYA371" s="636">
        <v>9.7000000000000003E-3</v>
      </c>
      <c r="GYB371" s="636">
        <v>9.7000000000000003E-3</v>
      </c>
      <c r="GYC371" s="649">
        <v>9.7000000000000003E-3</v>
      </c>
      <c r="GYD371" s="16"/>
      <c r="GYE371" s="320">
        <v>8.6999999999999994E-3</v>
      </c>
      <c r="GYF371" s="153"/>
      <c r="GYG371" s="153"/>
      <c r="GYH371" s="153"/>
      <c r="GYI371" s="648"/>
      <c r="GYJ371" s="641"/>
      <c r="GYK371" s="631" t="s">
        <v>1842</v>
      </c>
      <c r="GYL371" s="632"/>
      <c r="GYM371" s="16"/>
      <c r="GYN371" s="636">
        <v>1.5299999999999999E-2</v>
      </c>
      <c r="GYO371" s="636">
        <v>1.5299999999999999E-2</v>
      </c>
      <c r="GYP371" s="636">
        <v>1.5299999999999999E-2</v>
      </c>
      <c r="GYQ371" s="636">
        <v>9.7000000000000003E-3</v>
      </c>
      <c r="GYR371" s="636">
        <v>9.7000000000000003E-3</v>
      </c>
      <c r="GYS371" s="649">
        <v>9.7000000000000003E-3</v>
      </c>
      <c r="GYT371" s="16"/>
      <c r="GYU371" s="320">
        <v>8.6999999999999994E-3</v>
      </c>
      <c r="GYV371" s="153"/>
      <c r="GYW371" s="153"/>
      <c r="GYX371" s="153"/>
      <c r="GYY371" s="648"/>
      <c r="GYZ371" s="641"/>
      <c r="GZA371" s="631" t="s">
        <v>1842</v>
      </c>
      <c r="GZB371" s="632"/>
      <c r="GZC371" s="16"/>
      <c r="GZD371" s="636">
        <v>1.5299999999999999E-2</v>
      </c>
      <c r="GZE371" s="636">
        <v>1.5299999999999999E-2</v>
      </c>
      <c r="GZF371" s="636">
        <v>1.5299999999999999E-2</v>
      </c>
      <c r="GZG371" s="636">
        <v>9.7000000000000003E-3</v>
      </c>
      <c r="GZH371" s="636">
        <v>9.7000000000000003E-3</v>
      </c>
      <c r="GZI371" s="649">
        <v>9.7000000000000003E-3</v>
      </c>
      <c r="GZJ371" s="16"/>
      <c r="GZK371" s="320">
        <v>8.6999999999999994E-3</v>
      </c>
      <c r="GZL371" s="153"/>
      <c r="GZM371" s="153"/>
      <c r="GZN371" s="153"/>
      <c r="GZO371" s="648"/>
      <c r="GZP371" s="641"/>
      <c r="GZQ371" s="631" t="s">
        <v>1842</v>
      </c>
      <c r="GZR371" s="632"/>
      <c r="GZS371" s="16"/>
      <c r="GZT371" s="636">
        <v>1.5299999999999999E-2</v>
      </c>
      <c r="GZU371" s="636">
        <v>1.5299999999999999E-2</v>
      </c>
      <c r="GZV371" s="636">
        <v>1.5299999999999999E-2</v>
      </c>
      <c r="GZW371" s="636">
        <v>9.7000000000000003E-3</v>
      </c>
      <c r="GZX371" s="636">
        <v>9.7000000000000003E-3</v>
      </c>
      <c r="GZY371" s="649">
        <v>9.7000000000000003E-3</v>
      </c>
      <c r="GZZ371" s="16"/>
      <c r="HAA371" s="320">
        <v>8.6999999999999994E-3</v>
      </c>
      <c r="HAB371" s="153"/>
      <c r="HAC371" s="153"/>
      <c r="HAD371" s="153"/>
      <c r="HAE371" s="648"/>
      <c r="HAF371" s="641"/>
      <c r="HAG371" s="631" t="s">
        <v>1842</v>
      </c>
      <c r="HAH371" s="632"/>
      <c r="HAI371" s="16"/>
      <c r="HAJ371" s="636">
        <v>1.5299999999999999E-2</v>
      </c>
      <c r="HAK371" s="636">
        <v>1.5299999999999999E-2</v>
      </c>
      <c r="HAL371" s="636">
        <v>1.5299999999999999E-2</v>
      </c>
      <c r="HAM371" s="636">
        <v>9.7000000000000003E-3</v>
      </c>
      <c r="HAN371" s="636">
        <v>9.7000000000000003E-3</v>
      </c>
      <c r="HAO371" s="649">
        <v>9.7000000000000003E-3</v>
      </c>
      <c r="HAP371" s="16"/>
      <c r="HAQ371" s="320">
        <v>8.6999999999999994E-3</v>
      </c>
      <c r="HAR371" s="153"/>
      <c r="HAS371" s="153"/>
      <c r="HAT371" s="153"/>
      <c r="HAU371" s="648"/>
      <c r="HAV371" s="641"/>
      <c r="HAW371" s="631" t="s">
        <v>1842</v>
      </c>
      <c r="HAX371" s="632"/>
      <c r="HAY371" s="16"/>
      <c r="HAZ371" s="636">
        <v>1.5299999999999999E-2</v>
      </c>
      <c r="HBA371" s="636">
        <v>1.5299999999999999E-2</v>
      </c>
      <c r="HBB371" s="636">
        <v>1.5299999999999999E-2</v>
      </c>
      <c r="HBC371" s="636">
        <v>9.7000000000000003E-3</v>
      </c>
      <c r="HBD371" s="636">
        <v>9.7000000000000003E-3</v>
      </c>
      <c r="HBE371" s="649">
        <v>9.7000000000000003E-3</v>
      </c>
      <c r="HBF371" s="16"/>
      <c r="HBG371" s="320">
        <v>8.6999999999999994E-3</v>
      </c>
      <c r="HBH371" s="153"/>
      <c r="HBI371" s="153"/>
      <c r="HBJ371" s="153"/>
      <c r="HBK371" s="648"/>
      <c r="HBL371" s="641"/>
      <c r="HBM371" s="631" t="s">
        <v>1842</v>
      </c>
      <c r="HBN371" s="632"/>
      <c r="HBO371" s="16"/>
      <c r="HBP371" s="636">
        <v>1.5299999999999999E-2</v>
      </c>
      <c r="HBQ371" s="636">
        <v>1.5299999999999999E-2</v>
      </c>
      <c r="HBR371" s="636">
        <v>1.5299999999999999E-2</v>
      </c>
      <c r="HBS371" s="636">
        <v>9.7000000000000003E-3</v>
      </c>
      <c r="HBT371" s="636">
        <v>9.7000000000000003E-3</v>
      </c>
      <c r="HBU371" s="649">
        <v>9.7000000000000003E-3</v>
      </c>
      <c r="HBV371" s="16"/>
      <c r="HBW371" s="320">
        <v>8.6999999999999994E-3</v>
      </c>
      <c r="HBX371" s="153"/>
      <c r="HBY371" s="153"/>
      <c r="HBZ371" s="153"/>
      <c r="HCA371" s="648"/>
      <c r="HCB371" s="641"/>
      <c r="HCC371" s="631" t="s">
        <v>1842</v>
      </c>
      <c r="HCD371" s="632"/>
      <c r="HCE371" s="16"/>
      <c r="HCF371" s="636">
        <v>1.5299999999999999E-2</v>
      </c>
      <c r="HCG371" s="636">
        <v>1.5299999999999999E-2</v>
      </c>
      <c r="HCH371" s="636">
        <v>1.5299999999999999E-2</v>
      </c>
      <c r="HCI371" s="636">
        <v>9.7000000000000003E-3</v>
      </c>
      <c r="HCJ371" s="636">
        <v>9.7000000000000003E-3</v>
      </c>
      <c r="HCK371" s="649">
        <v>9.7000000000000003E-3</v>
      </c>
      <c r="HCL371" s="16"/>
      <c r="HCM371" s="320">
        <v>8.6999999999999994E-3</v>
      </c>
      <c r="HCN371" s="153"/>
      <c r="HCO371" s="153"/>
      <c r="HCP371" s="153"/>
      <c r="HCQ371" s="648"/>
      <c r="HCR371" s="641"/>
      <c r="HCS371" s="631" t="s">
        <v>1842</v>
      </c>
      <c r="HCT371" s="632"/>
      <c r="HCU371" s="16"/>
      <c r="HCV371" s="636">
        <v>1.5299999999999999E-2</v>
      </c>
      <c r="HCW371" s="636">
        <v>1.5299999999999999E-2</v>
      </c>
      <c r="HCX371" s="636">
        <v>1.5299999999999999E-2</v>
      </c>
      <c r="HCY371" s="636">
        <v>9.7000000000000003E-3</v>
      </c>
      <c r="HCZ371" s="636">
        <v>9.7000000000000003E-3</v>
      </c>
      <c r="HDA371" s="649">
        <v>9.7000000000000003E-3</v>
      </c>
      <c r="HDB371" s="16"/>
      <c r="HDC371" s="320">
        <v>8.6999999999999994E-3</v>
      </c>
      <c r="HDD371" s="153"/>
      <c r="HDE371" s="153"/>
      <c r="HDF371" s="153"/>
      <c r="HDG371" s="648"/>
      <c r="HDH371" s="641"/>
      <c r="HDI371" s="631" t="s">
        <v>1842</v>
      </c>
      <c r="HDJ371" s="632"/>
      <c r="HDK371" s="16"/>
      <c r="HDL371" s="636">
        <v>1.5299999999999999E-2</v>
      </c>
      <c r="HDM371" s="636">
        <v>1.5299999999999999E-2</v>
      </c>
      <c r="HDN371" s="636">
        <v>1.5299999999999999E-2</v>
      </c>
      <c r="HDO371" s="636">
        <v>9.7000000000000003E-3</v>
      </c>
      <c r="HDP371" s="636">
        <v>9.7000000000000003E-3</v>
      </c>
      <c r="HDQ371" s="649">
        <v>9.7000000000000003E-3</v>
      </c>
      <c r="HDR371" s="16"/>
      <c r="HDS371" s="320">
        <v>8.6999999999999994E-3</v>
      </c>
      <c r="HDT371" s="153"/>
      <c r="HDU371" s="153"/>
      <c r="HDV371" s="153"/>
      <c r="HDW371" s="648"/>
      <c r="HDX371" s="641"/>
      <c r="HDY371" s="631" t="s">
        <v>1842</v>
      </c>
      <c r="HDZ371" s="632"/>
      <c r="HEA371" s="16"/>
      <c r="HEB371" s="636">
        <v>1.5299999999999999E-2</v>
      </c>
      <c r="HEC371" s="636">
        <v>1.5299999999999999E-2</v>
      </c>
      <c r="HED371" s="636">
        <v>1.5299999999999999E-2</v>
      </c>
      <c r="HEE371" s="636">
        <v>9.7000000000000003E-3</v>
      </c>
      <c r="HEF371" s="636">
        <v>9.7000000000000003E-3</v>
      </c>
      <c r="HEG371" s="649">
        <v>9.7000000000000003E-3</v>
      </c>
      <c r="HEH371" s="16"/>
      <c r="HEI371" s="320">
        <v>8.6999999999999994E-3</v>
      </c>
      <c r="HEJ371" s="153"/>
      <c r="HEK371" s="153"/>
      <c r="HEL371" s="153"/>
      <c r="HEM371" s="648"/>
      <c r="HEN371" s="641"/>
      <c r="HEO371" s="631" t="s">
        <v>1842</v>
      </c>
      <c r="HEP371" s="632"/>
      <c r="HEQ371" s="16"/>
      <c r="HER371" s="636">
        <v>1.5299999999999999E-2</v>
      </c>
      <c r="HES371" s="636">
        <v>1.5299999999999999E-2</v>
      </c>
      <c r="HET371" s="636">
        <v>1.5299999999999999E-2</v>
      </c>
      <c r="HEU371" s="636">
        <v>9.7000000000000003E-3</v>
      </c>
      <c r="HEV371" s="636">
        <v>9.7000000000000003E-3</v>
      </c>
      <c r="HEW371" s="649">
        <v>9.7000000000000003E-3</v>
      </c>
      <c r="HEX371" s="16"/>
      <c r="HEY371" s="320">
        <v>8.6999999999999994E-3</v>
      </c>
      <c r="HEZ371" s="153"/>
      <c r="HFA371" s="153"/>
      <c r="HFB371" s="153"/>
      <c r="HFC371" s="648"/>
      <c r="HFD371" s="641"/>
      <c r="HFE371" s="631" t="s">
        <v>1842</v>
      </c>
      <c r="HFF371" s="632"/>
      <c r="HFG371" s="16"/>
      <c r="HFH371" s="636">
        <v>1.5299999999999999E-2</v>
      </c>
      <c r="HFI371" s="636">
        <v>1.5299999999999999E-2</v>
      </c>
      <c r="HFJ371" s="636">
        <v>1.5299999999999999E-2</v>
      </c>
      <c r="HFK371" s="636">
        <v>9.7000000000000003E-3</v>
      </c>
      <c r="HFL371" s="636">
        <v>9.7000000000000003E-3</v>
      </c>
      <c r="HFM371" s="649">
        <v>9.7000000000000003E-3</v>
      </c>
      <c r="HFN371" s="16"/>
      <c r="HFO371" s="320">
        <v>8.6999999999999994E-3</v>
      </c>
      <c r="HFP371" s="153"/>
      <c r="HFQ371" s="153"/>
      <c r="HFR371" s="153"/>
      <c r="HFS371" s="648"/>
      <c r="HFT371" s="641"/>
      <c r="HFU371" s="631" t="s">
        <v>1842</v>
      </c>
      <c r="HFV371" s="632"/>
      <c r="HFW371" s="16"/>
      <c r="HFX371" s="636">
        <v>1.5299999999999999E-2</v>
      </c>
      <c r="HFY371" s="636">
        <v>1.5299999999999999E-2</v>
      </c>
      <c r="HFZ371" s="636">
        <v>1.5299999999999999E-2</v>
      </c>
      <c r="HGA371" s="636">
        <v>9.7000000000000003E-3</v>
      </c>
      <c r="HGB371" s="636">
        <v>9.7000000000000003E-3</v>
      </c>
      <c r="HGC371" s="649">
        <v>9.7000000000000003E-3</v>
      </c>
      <c r="HGD371" s="16"/>
      <c r="HGE371" s="320">
        <v>8.6999999999999994E-3</v>
      </c>
      <c r="HGF371" s="153"/>
      <c r="HGG371" s="153"/>
      <c r="HGH371" s="153"/>
      <c r="HGI371" s="648"/>
      <c r="HGJ371" s="641"/>
      <c r="HGK371" s="631" t="s">
        <v>1842</v>
      </c>
      <c r="HGL371" s="632"/>
      <c r="HGM371" s="16"/>
      <c r="HGN371" s="636">
        <v>1.5299999999999999E-2</v>
      </c>
      <c r="HGO371" s="636">
        <v>1.5299999999999999E-2</v>
      </c>
      <c r="HGP371" s="636">
        <v>1.5299999999999999E-2</v>
      </c>
      <c r="HGQ371" s="636">
        <v>9.7000000000000003E-3</v>
      </c>
      <c r="HGR371" s="636">
        <v>9.7000000000000003E-3</v>
      </c>
      <c r="HGS371" s="649">
        <v>9.7000000000000003E-3</v>
      </c>
      <c r="HGT371" s="16"/>
      <c r="HGU371" s="320">
        <v>8.6999999999999994E-3</v>
      </c>
      <c r="HGV371" s="153"/>
      <c r="HGW371" s="153"/>
      <c r="HGX371" s="153"/>
      <c r="HGY371" s="648"/>
      <c r="HGZ371" s="641"/>
      <c r="HHA371" s="631" t="s">
        <v>1842</v>
      </c>
      <c r="HHB371" s="632"/>
      <c r="HHC371" s="16"/>
      <c r="HHD371" s="636">
        <v>1.5299999999999999E-2</v>
      </c>
      <c r="HHE371" s="636">
        <v>1.5299999999999999E-2</v>
      </c>
      <c r="HHF371" s="636">
        <v>1.5299999999999999E-2</v>
      </c>
      <c r="HHG371" s="636">
        <v>9.7000000000000003E-3</v>
      </c>
      <c r="HHH371" s="636">
        <v>9.7000000000000003E-3</v>
      </c>
      <c r="HHI371" s="649">
        <v>9.7000000000000003E-3</v>
      </c>
      <c r="HHJ371" s="16"/>
      <c r="HHK371" s="320">
        <v>8.6999999999999994E-3</v>
      </c>
      <c r="HHL371" s="153"/>
      <c r="HHM371" s="153"/>
      <c r="HHN371" s="153"/>
      <c r="HHO371" s="648"/>
      <c r="HHP371" s="641"/>
      <c r="HHQ371" s="631" t="s">
        <v>1842</v>
      </c>
      <c r="HHR371" s="632"/>
      <c r="HHS371" s="16"/>
      <c r="HHT371" s="636">
        <v>1.5299999999999999E-2</v>
      </c>
      <c r="HHU371" s="636">
        <v>1.5299999999999999E-2</v>
      </c>
      <c r="HHV371" s="636">
        <v>1.5299999999999999E-2</v>
      </c>
      <c r="HHW371" s="636">
        <v>9.7000000000000003E-3</v>
      </c>
      <c r="HHX371" s="636">
        <v>9.7000000000000003E-3</v>
      </c>
      <c r="HHY371" s="649">
        <v>9.7000000000000003E-3</v>
      </c>
      <c r="HHZ371" s="16"/>
      <c r="HIA371" s="320">
        <v>8.6999999999999994E-3</v>
      </c>
      <c r="HIB371" s="153"/>
      <c r="HIC371" s="153"/>
      <c r="HID371" s="153"/>
      <c r="HIE371" s="648"/>
      <c r="HIF371" s="641"/>
      <c r="HIG371" s="631" t="s">
        <v>1842</v>
      </c>
      <c r="HIH371" s="632"/>
      <c r="HII371" s="16"/>
      <c r="HIJ371" s="636">
        <v>1.5299999999999999E-2</v>
      </c>
      <c r="HIK371" s="636">
        <v>1.5299999999999999E-2</v>
      </c>
      <c r="HIL371" s="636">
        <v>1.5299999999999999E-2</v>
      </c>
      <c r="HIM371" s="636">
        <v>9.7000000000000003E-3</v>
      </c>
      <c r="HIN371" s="636">
        <v>9.7000000000000003E-3</v>
      </c>
      <c r="HIO371" s="649">
        <v>9.7000000000000003E-3</v>
      </c>
      <c r="HIP371" s="16"/>
      <c r="HIQ371" s="320">
        <v>8.6999999999999994E-3</v>
      </c>
      <c r="HIR371" s="153"/>
      <c r="HIS371" s="153"/>
      <c r="HIT371" s="153"/>
      <c r="HIU371" s="648"/>
      <c r="HIV371" s="641"/>
      <c r="HIW371" s="631" t="s">
        <v>1842</v>
      </c>
      <c r="HIX371" s="632"/>
      <c r="HIY371" s="16"/>
      <c r="HIZ371" s="636">
        <v>1.5299999999999999E-2</v>
      </c>
      <c r="HJA371" s="636">
        <v>1.5299999999999999E-2</v>
      </c>
      <c r="HJB371" s="636">
        <v>1.5299999999999999E-2</v>
      </c>
      <c r="HJC371" s="636">
        <v>9.7000000000000003E-3</v>
      </c>
      <c r="HJD371" s="636">
        <v>9.7000000000000003E-3</v>
      </c>
      <c r="HJE371" s="649">
        <v>9.7000000000000003E-3</v>
      </c>
      <c r="HJF371" s="16"/>
      <c r="HJG371" s="320">
        <v>8.6999999999999994E-3</v>
      </c>
      <c r="HJH371" s="153"/>
      <c r="HJI371" s="153"/>
      <c r="HJJ371" s="153"/>
      <c r="HJK371" s="648"/>
      <c r="HJL371" s="641"/>
      <c r="HJM371" s="631" t="s">
        <v>1842</v>
      </c>
      <c r="HJN371" s="632"/>
      <c r="HJO371" s="16"/>
      <c r="HJP371" s="636">
        <v>1.5299999999999999E-2</v>
      </c>
      <c r="HJQ371" s="636">
        <v>1.5299999999999999E-2</v>
      </c>
      <c r="HJR371" s="636">
        <v>1.5299999999999999E-2</v>
      </c>
      <c r="HJS371" s="636">
        <v>9.7000000000000003E-3</v>
      </c>
      <c r="HJT371" s="636">
        <v>9.7000000000000003E-3</v>
      </c>
      <c r="HJU371" s="649">
        <v>9.7000000000000003E-3</v>
      </c>
      <c r="HJV371" s="16"/>
      <c r="HJW371" s="320">
        <v>8.6999999999999994E-3</v>
      </c>
      <c r="HJX371" s="153"/>
      <c r="HJY371" s="153"/>
      <c r="HJZ371" s="153"/>
      <c r="HKA371" s="648"/>
      <c r="HKB371" s="641"/>
      <c r="HKC371" s="631" t="s">
        <v>1842</v>
      </c>
      <c r="HKD371" s="632"/>
      <c r="HKE371" s="16"/>
      <c r="HKF371" s="636">
        <v>1.5299999999999999E-2</v>
      </c>
      <c r="HKG371" s="636">
        <v>1.5299999999999999E-2</v>
      </c>
      <c r="HKH371" s="636">
        <v>1.5299999999999999E-2</v>
      </c>
      <c r="HKI371" s="636">
        <v>9.7000000000000003E-3</v>
      </c>
      <c r="HKJ371" s="636">
        <v>9.7000000000000003E-3</v>
      </c>
      <c r="HKK371" s="649">
        <v>9.7000000000000003E-3</v>
      </c>
      <c r="HKL371" s="16"/>
      <c r="HKM371" s="320">
        <v>8.6999999999999994E-3</v>
      </c>
      <c r="HKN371" s="153"/>
      <c r="HKO371" s="153"/>
      <c r="HKP371" s="153"/>
      <c r="HKQ371" s="648"/>
      <c r="HKR371" s="641"/>
      <c r="HKS371" s="631" t="s">
        <v>1842</v>
      </c>
      <c r="HKT371" s="632"/>
      <c r="HKU371" s="16"/>
      <c r="HKV371" s="636">
        <v>1.5299999999999999E-2</v>
      </c>
      <c r="HKW371" s="636">
        <v>1.5299999999999999E-2</v>
      </c>
      <c r="HKX371" s="636">
        <v>1.5299999999999999E-2</v>
      </c>
      <c r="HKY371" s="636">
        <v>9.7000000000000003E-3</v>
      </c>
      <c r="HKZ371" s="636">
        <v>9.7000000000000003E-3</v>
      </c>
      <c r="HLA371" s="649">
        <v>9.7000000000000003E-3</v>
      </c>
      <c r="HLB371" s="16"/>
      <c r="HLC371" s="320">
        <v>8.6999999999999994E-3</v>
      </c>
      <c r="HLD371" s="153"/>
      <c r="HLE371" s="153"/>
      <c r="HLF371" s="153"/>
      <c r="HLG371" s="648"/>
      <c r="HLH371" s="641"/>
      <c r="HLI371" s="631" t="s">
        <v>1842</v>
      </c>
      <c r="HLJ371" s="632"/>
      <c r="HLK371" s="16"/>
      <c r="HLL371" s="636">
        <v>1.5299999999999999E-2</v>
      </c>
      <c r="HLM371" s="636">
        <v>1.5299999999999999E-2</v>
      </c>
      <c r="HLN371" s="636">
        <v>1.5299999999999999E-2</v>
      </c>
      <c r="HLO371" s="636">
        <v>9.7000000000000003E-3</v>
      </c>
      <c r="HLP371" s="636">
        <v>9.7000000000000003E-3</v>
      </c>
      <c r="HLQ371" s="649">
        <v>9.7000000000000003E-3</v>
      </c>
      <c r="HLR371" s="16"/>
      <c r="HLS371" s="320">
        <v>8.6999999999999994E-3</v>
      </c>
      <c r="HLT371" s="153"/>
      <c r="HLU371" s="153"/>
      <c r="HLV371" s="153"/>
      <c r="HLW371" s="648"/>
      <c r="HLX371" s="641"/>
      <c r="HLY371" s="631" t="s">
        <v>1842</v>
      </c>
      <c r="HLZ371" s="632"/>
      <c r="HMA371" s="16"/>
      <c r="HMB371" s="636">
        <v>1.5299999999999999E-2</v>
      </c>
      <c r="HMC371" s="636">
        <v>1.5299999999999999E-2</v>
      </c>
      <c r="HMD371" s="636">
        <v>1.5299999999999999E-2</v>
      </c>
      <c r="HME371" s="636">
        <v>9.7000000000000003E-3</v>
      </c>
      <c r="HMF371" s="636">
        <v>9.7000000000000003E-3</v>
      </c>
      <c r="HMG371" s="649">
        <v>9.7000000000000003E-3</v>
      </c>
      <c r="HMH371" s="16"/>
      <c r="HMI371" s="320">
        <v>8.6999999999999994E-3</v>
      </c>
      <c r="HMJ371" s="153"/>
      <c r="HMK371" s="153"/>
      <c r="HML371" s="153"/>
      <c r="HMM371" s="648"/>
      <c r="HMN371" s="641"/>
      <c r="HMO371" s="631" t="s">
        <v>1842</v>
      </c>
      <c r="HMP371" s="632"/>
      <c r="HMQ371" s="16"/>
      <c r="HMR371" s="636">
        <v>1.5299999999999999E-2</v>
      </c>
      <c r="HMS371" s="636">
        <v>1.5299999999999999E-2</v>
      </c>
      <c r="HMT371" s="636">
        <v>1.5299999999999999E-2</v>
      </c>
      <c r="HMU371" s="636">
        <v>9.7000000000000003E-3</v>
      </c>
      <c r="HMV371" s="636">
        <v>9.7000000000000003E-3</v>
      </c>
      <c r="HMW371" s="649">
        <v>9.7000000000000003E-3</v>
      </c>
      <c r="HMX371" s="16"/>
      <c r="HMY371" s="320">
        <v>8.6999999999999994E-3</v>
      </c>
      <c r="HMZ371" s="153"/>
      <c r="HNA371" s="153"/>
      <c r="HNB371" s="153"/>
      <c r="HNC371" s="648"/>
      <c r="HND371" s="641"/>
      <c r="HNE371" s="631" t="s">
        <v>1842</v>
      </c>
      <c r="HNF371" s="632"/>
      <c r="HNG371" s="16"/>
      <c r="HNH371" s="636">
        <v>1.5299999999999999E-2</v>
      </c>
      <c r="HNI371" s="636">
        <v>1.5299999999999999E-2</v>
      </c>
      <c r="HNJ371" s="636">
        <v>1.5299999999999999E-2</v>
      </c>
      <c r="HNK371" s="636">
        <v>9.7000000000000003E-3</v>
      </c>
      <c r="HNL371" s="636">
        <v>9.7000000000000003E-3</v>
      </c>
      <c r="HNM371" s="649">
        <v>9.7000000000000003E-3</v>
      </c>
      <c r="HNN371" s="16"/>
      <c r="HNO371" s="320">
        <v>8.6999999999999994E-3</v>
      </c>
      <c r="HNP371" s="153"/>
      <c r="HNQ371" s="153"/>
      <c r="HNR371" s="153"/>
      <c r="HNS371" s="648"/>
      <c r="HNT371" s="641"/>
      <c r="HNU371" s="631" t="s">
        <v>1842</v>
      </c>
      <c r="HNV371" s="632"/>
      <c r="HNW371" s="16"/>
      <c r="HNX371" s="636">
        <v>1.5299999999999999E-2</v>
      </c>
      <c r="HNY371" s="636">
        <v>1.5299999999999999E-2</v>
      </c>
      <c r="HNZ371" s="636">
        <v>1.5299999999999999E-2</v>
      </c>
      <c r="HOA371" s="636">
        <v>9.7000000000000003E-3</v>
      </c>
      <c r="HOB371" s="636">
        <v>9.7000000000000003E-3</v>
      </c>
      <c r="HOC371" s="649">
        <v>9.7000000000000003E-3</v>
      </c>
      <c r="HOD371" s="16"/>
      <c r="HOE371" s="320">
        <v>8.6999999999999994E-3</v>
      </c>
      <c r="HOF371" s="153"/>
      <c r="HOG371" s="153"/>
      <c r="HOH371" s="153"/>
      <c r="HOI371" s="648"/>
      <c r="HOJ371" s="641"/>
      <c r="HOK371" s="631" t="s">
        <v>1842</v>
      </c>
      <c r="HOL371" s="632"/>
      <c r="HOM371" s="16"/>
      <c r="HON371" s="636">
        <v>1.5299999999999999E-2</v>
      </c>
      <c r="HOO371" s="636">
        <v>1.5299999999999999E-2</v>
      </c>
      <c r="HOP371" s="636">
        <v>1.5299999999999999E-2</v>
      </c>
      <c r="HOQ371" s="636">
        <v>9.7000000000000003E-3</v>
      </c>
      <c r="HOR371" s="636">
        <v>9.7000000000000003E-3</v>
      </c>
      <c r="HOS371" s="649">
        <v>9.7000000000000003E-3</v>
      </c>
      <c r="HOT371" s="16"/>
      <c r="HOU371" s="320">
        <v>8.6999999999999994E-3</v>
      </c>
      <c r="HOV371" s="153"/>
      <c r="HOW371" s="153"/>
      <c r="HOX371" s="153"/>
      <c r="HOY371" s="648"/>
      <c r="HOZ371" s="641"/>
      <c r="HPA371" s="631" t="s">
        <v>1842</v>
      </c>
      <c r="HPB371" s="632"/>
      <c r="HPC371" s="16"/>
      <c r="HPD371" s="636">
        <v>1.5299999999999999E-2</v>
      </c>
      <c r="HPE371" s="636">
        <v>1.5299999999999999E-2</v>
      </c>
      <c r="HPF371" s="636">
        <v>1.5299999999999999E-2</v>
      </c>
      <c r="HPG371" s="636">
        <v>9.7000000000000003E-3</v>
      </c>
      <c r="HPH371" s="636">
        <v>9.7000000000000003E-3</v>
      </c>
      <c r="HPI371" s="649">
        <v>9.7000000000000003E-3</v>
      </c>
      <c r="HPJ371" s="16"/>
      <c r="HPK371" s="320">
        <v>8.6999999999999994E-3</v>
      </c>
      <c r="HPL371" s="153"/>
      <c r="HPM371" s="153"/>
      <c r="HPN371" s="153"/>
      <c r="HPO371" s="648"/>
      <c r="HPP371" s="641"/>
      <c r="HPQ371" s="631" t="s">
        <v>1842</v>
      </c>
      <c r="HPR371" s="632"/>
      <c r="HPS371" s="16"/>
      <c r="HPT371" s="636">
        <v>1.5299999999999999E-2</v>
      </c>
      <c r="HPU371" s="636">
        <v>1.5299999999999999E-2</v>
      </c>
      <c r="HPV371" s="636">
        <v>1.5299999999999999E-2</v>
      </c>
      <c r="HPW371" s="636">
        <v>9.7000000000000003E-3</v>
      </c>
      <c r="HPX371" s="636">
        <v>9.7000000000000003E-3</v>
      </c>
      <c r="HPY371" s="649">
        <v>9.7000000000000003E-3</v>
      </c>
      <c r="HPZ371" s="16"/>
      <c r="HQA371" s="320">
        <v>8.6999999999999994E-3</v>
      </c>
      <c r="HQB371" s="153"/>
      <c r="HQC371" s="153"/>
      <c r="HQD371" s="153"/>
      <c r="HQE371" s="648"/>
      <c r="HQF371" s="641"/>
      <c r="HQG371" s="631" t="s">
        <v>1842</v>
      </c>
      <c r="HQH371" s="632"/>
      <c r="HQI371" s="16"/>
      <c r="HQJ371" s="636">
        <v>1.5299999999999999E-2</v>
      </c>
      <c r="HQK371" s="636">
        <v>1.5299999999999999E-2</v>
      </c>
      <c r="HQL371" s="636">
        <v>1.5299999999999999E-2</v>
      </c>
      <c r="HQM371" s="636">
        <v>9.7000000000000003E-3</v>
      </c>
      <c r="HQN371" s="636">
        <v>9.7000000000000003E-3</v>
      </c>
      <c r="HQO371" s="649">
        <v>9.7000000000000003E-3</v>
      </c>
      <c r="HQP371" s="16"/>
      <c r="HQQ371" s="320">
        <v>8.6999999999999994E-3</v>
      </c>
      <c r="HQR371" s="153"/>
      <c r="HQS371" s="153"/>
      <c r="HQT371" s="153"/>
      <c r="HQU371" s="648"/>
      <c r="HQV371" s="641"/>
      <c r="HQW371" s="631" t="s">
        <v>1842</v>
      </c>
      <c r="HQX371" s="632"/>
      <c r="HQY371" s="16"/>
      <c r="HQZ371" s="636">
        <v>1.5299999999999999E-2</v>
      </c>
      <c r="HRA371" s="636">
        <v>1.5299999999999999E-2</v>
      </c>
      <c r="HRB371" s="636">
        <v>1.5299999999999999E-2</v>
      </c>
      <c r="HRC371" s="636">
        <v>9.7000000000000003E-3</v>
      </c>
      <c r="HRD371" s="636">
        <v>9.7000000000000003E-3</v>
      </c>
      <c r="HRE371" s="649">
        <v>9.7000000000000003E-3</v>
      </c>
      <c r="HRF371" s="16"/>
      <c r="HRG371" s="320">
        <v>8.6999999999999994E-3</v>
      </c>
      <c r="HRH371" s="153"/>
      <c r="HRI371" s="153"/>
      <c r="HRJ371" s="153"/>
      <c r="HRK371" s="648"/>
      <c r="HRL371" s="641"/>
      <c r="HRM371" s="631" t="s">
        <v>1842</v>
      </c>
      <c r="HRN371" s="632"/>
      <c r="HRO371" s="16"/>
      <c r="HRP371" s="636">
        <v>1.5299999999999999E-2</v>
      </c>
      <c r="HRQ371" s="636">
        <v>1.5299999999999999E-2</v>
      </c>
      <c r="HRR371" s="636">
        <v>1.5299999999999999E-2</v>
      </c>
      <c r="HRS371" s="636">
        <v>9.7000000000000003E-3</v>
      </c>
      <c r="HRT371" s="636">
        <v>9.7000000000000003E-3</v>
      </c>
      <c r="HRU371" s="649">
        <v>9.7000000000000003E-3</v>
      </c>
      <c r="HRV371" s="16"/>
      <c r="HRW371" s="320">
        <v>8.6999999999999994E-3</v>
      </c>
      <c r="HRX371" s="153"/>
      <c r="HRY371" s="153"/>
      <c r="HRZ371" s="153"/>
      <c r="HSA371" s="648"/>
      <c r="HSB371" s="641"/>
      <c r="HSC371" s="631" t="s">
        <v>1842</v>
      </c>
      <c r="HSD371" s="632"/>
      <c r="HSE371" s="16"/>
      <c r="HSF371" s="636">
        <v>1.5299999999999999E-2</v>
      </c>
      <c r="HSG371" s="636">
        <v>1.5299999999999999E-2</v>
      </c>
      <c r="HSH371" s="636">
        <v>1.5299999999999999E-2</v>
      </c>
      <c r="HSI371" s="636">
        <v>9.7000000000000003E-3</v>
      </c>
      <c r="HSJ371" s="636">
        <v>9.7000000000000003E-3</v>
      </c>
      <c r="HSK371" s="649">
        <v>9.7000000000000003E-3</v>
      </c>
      <c r="HSL371" s="16"/>
      <c r="HSM371" s="320">
        <v>8.6999999999999994E-3</v>
      </c>
      <c r="HSN371" s="153"/>
      <c r="HSO371" s="153"/>
      <c r="HSP371" s="153"/>
      <c r="HSQ371" s="648"/>
      <c r="HSR371" s="641"/>
      <c r="HSS371" s="631" t="s">
        <v>1842</v>
      </c>
      <c r="HST371" s="632"/>
      <c r="HSU371" s="16"/>
      <c r="HSV371" s="636">
        <v>1.5299999999999999E-2</v>
      </c>
      <c r="HSW371" s="636">
        <v>1.5299999999999999E-2</v>
      </c>
      <c r="HSX371" s="636">
        <v>1.5299999999999999E-2</v>
      </c>
      <c r="HSY371" s="636">
        <v>9.7000000000000003E-3</v>
      </c>
      <c r="HSZ371" s="636">
        <v>9.7000000000000003E-3</v>
      </c>
      <c r="HTA371" s="649">
        <v>9.7000000000000003E-3</v>
      </c>
      <c r="HTB371" s="16"/>
      <c r="HTC371" s="320">
        <v>8.6999999999999994E-3</v>
      </c>
      <c r="HTD371" s="153"/>
      <c r="HTE371" s="153"/>
      <c r="HTF371" s="153"/>
      <c r="HTG371" s="648"/>
      <c r="HTH371" s="641"/>
      <c r="HTI371" s="631" t="s">
        <v>1842</v>
      </c>
      <c r="HTJ371" s="632"/>
      <c r="HTK371" s="16"/>
      <c r="HTL371" s="636">
        <v>1.5299999999999999E-2</v>
      </c>
      <c r="HTM371" s="636">
        <v>1.5299999999999999E-2</v>
      </c>
      <c r="HTN371" s="636">
        <v>1.5299999999999999E-2</v>
      </c>
      <c r="HTO371" s="636">
        <v>9.7000000000000003E-3</v>
      </c>
      <c r="HTP371" s="636">
        <v>9.7000000000000003E-3</v>
      </c>
      <c r="HTQ371" s="649">
        <v>9.7000000000000003E-3</v>
      </c>
      <c r="HTR371" s="16"/>
      <c r="HTS371" s="320">
        <v>8.6999999999999994E-3</v>
      </c>
      <c r="HTT371" s="153"/>
      <c r="HTU371" s="153"/>
      <c r="HTV371" s="153"/>
      <c r="HTW371" s="648"/>
      <c r="HTX371" s="641"/>
      <c r="HTY371" s="631" t="s">
        <v>1842</v>
      </c>
      <c r="HTZ371" s="632"/>
      <c r="HUA371" s="16"/>
      <c r="HUB371" s="636">
        <v>1.5299999999999999E-2</v>
      </c>
      <c r="HUC371" s="636">
        <v>1.5299999999999999E-2</v>
      </c>
      <c r="HUD371" s="636">
        <v>1.5299999999999999E-2</v>
      </c>
      <c r="HUE371" s="636">
        <v>9.7000000000000003E-3</v>
      </c>
      <c r="HUF371" s="636">
        <v>9.7000000000000003E-3</v>
      </c>
      <c r="HUG371" s="649">
        <v>9.7000000000000003E-3</v>
      </c>
      <c r="HUH371" s="16"/>
      <c r="HUI371" s="320">
        <v>8.6999999999999994E-3</v>
      </c>
      <c r="HUJ371" s="153"/>
      <c r="HUK371" s="153"/>
      <c r="HUL371" s="153"/>
      <c r="HUM371" s="648"/>
      <c r="HUN371" s="641"/>
      <c r="HUO371" s="631" t="s">
        <v>1842</v>
      </c>
      <c r="HUP371" s="632"/>
      <c r="HUQ371" s="16"/>
      <c r="HUR371" s="636">
        <v>1.5299999999999999E-2</v>
      </c>
      <c r="HUS371" s="636">
        <v>1.5299999999999999E-2</v>
      </c>
      <c r="HUT371" s="636">
        <v>1.5299999999999999E-2</v>
      </c>
      <c r="HUU371" s="636">
        <v>9.7000000000000003E-3</v>
      </c>
      <c r="HUV371" s="636">
        <v>9.7000000000000003E-3</v>
      </c>
      <c r="HUW371" s="649">
        <v>9.7000000000000003E-3</v>
      </c>
      <c r="HUX371" s="16"/>
      <c r="HUY371" s="320">
        <v>8.6999999999999994E-3</v>
      </c>
      <c r="HUZ371" s="153"/>
      <c r="HVA371" s="153"/>
      <c r="HVB371" s="153"/>
      <c r="HVC371" s="648"/>
      <c r="HVD371" s="641"/>
      <c r="HVE371" s="631" t="s">
        <v>1842</v>
      </c>
      <c r="HVF371" s="632"/>
      <c r="HVG371" s="16"/>
      <c r="HVH371" s="636">
        <v>1.5299999999999999E-2</v>
      </c>
      <c r="HVI371" s="636">
        <v>1.5299999999999999E-2</v>
      </c>
      <c r="HVJ371" s="636">
        <v>1.5299999999999999E-2</v>
      </c>
      <c r="HVK371" s="636">
        <v>9.7000000000000003E-3</v>
      </c>
      <c r="HVL371" s="636">
        <v>9.7000000000000003E-3</v>
      </c>
      <c r="HVM371" s="649">
        <v>9.7000000000000003E-3</v>
      </c>
      <c r="HVN371" s="16"/>
      <c r="HVO371" s="320">
        <v>8.6999999999999994E-3</v>
      </c>
      <c r="HVP371" s="153"/>
      <c r="HVQ371" s="153"/>
      <c r="HVR371" s="153"/>
      <c r="HVS371" s="648"/>
      <c r="HVT371" s="641"/>
      <c r="HVU371" s="631" t="s">
        <v>1842</v>
      </c>
      <c r="HVV371" s="632"/>
      <c r="HVW371" s="16"/>
      <c r="HVX371" s="636">
        <v>1.5299999999999999E-2</v>
      </c>
      <c r="HVY371" s="636">
        <v>1.5299999999999999E-2</v>
      </c>
      <c r="HVZ371" s="636">
        <v>1.5299999999999999E-2</v>
      </c>
      <c r="HWA371" s="636">
        <v>9.7000000000000003E-3</v>
      </c>
      <c r="HWB371" s="636">
        <v>9.7000000000000003E-3</v>
      </c>
      <c r="HWC371" s="649">
        <v>9.7000000000000003E-3</v>
      </c>
      <c r="HWD371" s="16"/>
      <c r="HWE371" s="320">
        <v>8.6999999999999994E-3</v>
      </c>
      <c r="HWF371" s="153"/>
      <c r="HWG371" s="153"/>
      <c r="HWH371" s="153"/>
      <c r="HWI371" s="648"/>
      <c r="HWJ371" s="641"/>
      <c r="HWK371" s="631" t="s">
        <v>1842</v>
      </c>
      <c r="HWL371" s="632"/>
      <c r="HWM371" s="16"/>
      <c r="HWN371" s="636">
        <v>1.5299999999999999E-2</v>
      </c>
      <c r="HWO371" s="636">
        <v>1.5299999999999999E-2</v>
      </c>
      <c r="HWP371" s="636">
        <v>1.5299999999999999E-2</v>
      </c>
      <c r="HWQ371" s="636">
        <v>9.7000000000000003E-3</v>
      </c>
      <c r="HWR371" s="636">
        <v>9.7000000000000003E-3</v>
      </c>
      <c r="HWS371" s="649">
        <v>9.7000000000000003E-3</v>
      </c>
      <c r="HWT371" s="16"/>
      <c r="HWU371" s="320">
        <v>8.6999999999999994E-3</v>
      </c>
      <c r="HWV371" s="153"/>
      <c r="HWW371" s="153"/>
      <c r="HWX371" s="153"/>
      <c r="HWY371" s="648"/>
      <c r="HWZ371" s="641"/>
      <c r="HXA371" s="631" t="s">
        <v>1842</v>
      </c>
      <c r="HXB371" s="632"/>
      <c r="HXC371" s="16"/>
      <c r="HXD371" s="636">
        <v>1.5299999999999999E-2</v>
      </c>
      <c r="HXE371" s="636">
        <v>1.5299999999999999E-2</v>
      </c>
      <c r="HXF371" s="636">
        <v>1.5299999999999999E-2</v>
      </c>
      <c r="HXG371" s="636">
        <v>9.7000000000000003E-3</v>
      </c>
      <c r="HXH371" s="636">
        <v>9.7000000000000003E-3</v>
      </c>
      <c r="HXI371" s="649">
        <v>9.7000000000000003E-3</v>
      </c>
      <c r="HXJ371" s="16"/>
      <c r="HXK371" s="320">
        <v>8.6999999999999994E-3</v>
      </c>
      <c r="HXL371" s="153"/>
      <c r="HXM371" s="153"/>
      <c r="HXN371" s="153"/>
      <c r="HXO371" s="648"/>
      <c r="HXP371" s="641"/>
      <c r="HXQ371" s="631" t="s">
        <v>1842</v>
      </c>
      <c r="HXR371" s="632"/>
      <c r="HXS371" s="16"/>
      <c r="HXT371" s="636">
        <v>1.5299999999999999E-2</v>
      </c>
      <c r="HXU371" s="636">
        <v>1.5299999999999999E-2</v>
      </c>
      <c r="HXV371" s="636">
        <v>1.5299999999999999E-2</v>
      </c>
      <c r="HXW371" s="636">
        <v>9.7000000000000003E-3</v>
      </c>
      <c r="HXX371" s="636">
        <v>9.7000000000000003E-3</v>
      </c>
      <c r="HXY371" s="649">
        <v>9.7000000000000003E-3</v>
      </c>
      <c r="HXZ371" s="16"/>
      <c r="HYA371" s="320">
        <v>8.6999999999999994E-3</v>
      </c>
      <c r="HYB371" s="153"/>
      <c r="HYC371" s="153"/>
      <c r="HYD371" s="153"/>
      <c r="HYE371" s="648"/>
      <c r="HYF371" s="641"/>
      <c r="HYG371" s="631" t="s">
        <v>1842</v>
      </c>
      <c r="HYH371" s="632"/>
      <c r="HYI371" s="16"/>
      <c r="HYJ371" s="636">
        <v>1.5299999999999999E-2</v>
      </c>
      <c r="HYK371" s="636">
        <v>1.5299999999999999E-2</v>
      </c>
      <c r="HYL371" s="636">
        <v>1.5299999999999999E-2</v>
      </c>
      <c r="HYM371" s="636">
        <v>9.7000000000000003E-3</v>
      </c>
      <c r="HYN371" s="636">
        <v>9.7000000000000003E-3</v>
      </c>
      <c r="HYO371" s="649">
        <v>9.7000000000000003E-3</v>
      </c>
      <c r="HYP371" s="16"/>
      <c r="HYQ371" s="320">
        <v>8.6999999999999994E-3</v>
      </c>
      <c r="HYR371" s="153"/>
      <c r="HYS371" s="153"/>
      <c r="HYT371" s="153"/>
      <c r="HYU371" s="648"/>
      <c r="HYV371" s="641"/>
      <c r="HYW371" s="631" t="s">
        <v>1842</v>
      </c>
      <c r="HYX371" s="632"/>
      <c r="HYY371" s="16"/>
      <c r="HYZ371" s="636">
        <v>1.5299999999999999E-2</v>
      </c>
      <c r="HZA371" s="636">
        <v>1.5299999999999999E-2</v>
      </c>
      <c r="HZB371" s="636">
        <v>1.5299999999999999E-2</v>
      </c>
      <c r="HZC371" s="636">
        <v>9.7000000000000003E-3</v>
      </c>
      <c r="HZD371" s="636">
        <v>9.7000000000000003E-3</v>
      </c>
      <c r="HZE371" s="649">
        <v>9.7000000000000003E-3</v>
      </c>
      <c r="HZF371" s="16"/>
      <c r="HZG371" s="320">
        <v>8.6999999999999994E-3</v>
      </c>
      <c r="HZH371" s="153"/>
      <c r="HZI371" s="153"/>
      <c r="HZJ371" s="153"/>
      <c r="HZK371" s="648"/>
      <c r="HZL371" s="641"/>
      <c r="HZM371" s="631" t="s">
        <v>1842</v>
      </c>
      <c r="HZN371" s="632"/>
      <c r="HZO371" s="16"/>
      <c r="HZP371" s="636">
        <v>1.5299999999999999E-2</v>
      </c>
      <c r="HZQ371" s="636">
        <v>1.5299999999999999E-2</v>
      </c>
      <c r="HZR371" s="636">
        <v>1.5299999999999999E-2</v>
      </c>
      <c r="HZS371" s="636">
        <v>9.7000000000000003E-3</v>
      </c>
      <c r="HZT371" s="636">
        <v>9.7000000000000003E-3</v>
      </c>
      <c r="HZU371" s="649">
        <v>9.7000000000000003E-3</v>
      </c>
      <c r="HZV371" s="16"/>
      <c r="HZW371" s="320">
        <v>8.6999999999999994E-3</v>
      </c>
      <c r="HZX371" s="153"/>
      <c r="HZY371" s="153"/>
      <c r="HZZ371" s="153"/>
      <c r="IAA371" s="648"/>
      <c r="IAB371" s="641"/>
      <c r="IAC371" s="631" t="s">
        <v>1842</v>
      </c>
      <c r="IAD371" s="632"/>
      <c r="IAE371" s="16"/>
      <c r="IAF371" s="636">
        <v>1.5299999999999999E-2</v>
      </c>
      <c r="IAG371" s="636">
        <v>1.5299999999999999E-2</v>
      </c>
      <c r="IAH371" s="636">
        <v>1.5299999999999999E-2</v>
      </c>
      <c r="IAI371" s="636">
        <v>9.7000000000000003E-3</v>
      </c>
      <c r="IAJ371" s="636">
        <v>9.7000000000000003E-3</v>
      </c>
      <c r="IAK371" s="649">
        <v>9.7000000000000003E-3</v>
      </c>
      <c r="IAL371" s="16"/>
      <c r="IAM371" s="320">
        <v>8.6999999999999994E-3</v>
      </c>
      <c r="IAN371" s="153"/>
      <c r="IAO371" s="153"/>
      <c r="IAP371" s="153"/>
      <c r="IAQ371" s="648"/>
      <c r="IAR371" s="641"/>
      <c r="IAS371" s="631" t="s">
        <v>1842</v>
      </c>
      <c r="IAT371" s="632"/>
      <c r="IAU371" s="16"/>
      <c r="IAV371" s="636">
        <v>1.5299999999999999E-2</v>
      </c>
      <c r="IAW371" s="636">
        <v>1.5299999999999999E-2</v>
      </c>
      <c r="IAX371" s="636">
        <v>1.5299999999999999E-2</v>
      </c>
      <c r="IAY371" s="636">
        <v>9.7000000000000003E-3</v>
      </c>
      <c r="IAZ371" s="636">
        <v>9.7000000000000003E-3</v>
      </c>
      <c r="IBA371" s="649">
        <v>9.7000000000000003E-3</v>
      </c>
      <c r="IBB371" s="16"/>
      <c r="IBC371" s="320">
        <v>8.6999999999999994E-3</v>
      </c>
      <c r="IBD371" s="153"/>
      <c r="IBE371" s="153"/>
      <c r="IBF371" s="153"/>
      <c r="IBG371" s="648"/>
      <c r="IBH371" s="641"/>
      <c r="IBI371" s="631" t="s">
        <v>1842</v>
      </c>
      <c r="IBJ371" s="632"/>
      <c r="IBK371" s="16"/>
      <c r="IBL371" s="636">
        <v>1.5299999999999999E-2</v>
      </c>
      <c r="IBM371" s="636">
        <v>1.5299999999999999E-2</v>
      </c>
      <c r="IBN371" s="636">
        <v>1.5299999999999999E-2</v>
      </c>
      <c r="IBO371" s="636">
        <v>9.7000000000000003E-3</v>
      </c>
      <c r="IBP371" s="636">
        <v>9.7000000000000003E-3</v>
      </c>
      <c r="IBQ371" s="649">
        <v>9.7000000000000003E-3</v>
      </c>
      <c r="IBR371" s="16"/>
      <c r="IBS371" s="320">
        <v>8.6999999999999994E-3</v>
      </c>
      <c r="IBT371" s="153"/>
      <c r="IBU371" s="153"/>
      <c r="IBV371" s="153"/>
      <c r="IBW371" s="648"/>
      <c r="IBX371" s="641"/>
      <c r="IBY371" s="631" t="s">
        <v>1842</v>
      </c>
      <c r="IBZ371" s="632"/>
      <c r="ICA371" s="16"/>
      <c r="ICB371" s="636">
        <v>1.5299999999999999E-2</v>
      </c>
      <c r="ICC371" s="636">
        <v>1.5299999999999999E-2</v>
      </c>
      <c r="ICD371" s="636">
        <v>1.5299999999999999E-2</v>
      </c>
      <c r="ICE371" s="636">
        <v>9.7000000000000003E-3</v>
      </c>
      <c r="ICF371" s="636">
        <v>9.7000000000000003E-3</v>
      </c>
      <c r="ICG371" s="649">
        <v>9.7000000000000003E-3</v>
      </c>
      <c r="ICH371" s="16"/>
      <c r="ICI371" s="320">
        <v>8.6999999999999994E-3</v>
      </c>
      <c r="ICJ371" s="153"/>
      <c r="ICK371" s="153"/>
      <c r="ICL371" s="153"/>
      <c r="ICM371" s="648"/>
      <c r="ICN371" s="641"/>
      <c r="ICO371" s="631" t="s">
        <v>1842</v>
      </c>
      <c r="ICP371" s="632"/>
      <c r="ICQ371" s="16"/>
      <c r="ICR371" s="636">
        <v>1.5299999999999999E-2</v>
      </c>
      <c r="ICS371" s="636">
        <v>1.5299999999999999E-2</v>
      </c>
      <c r="ICT371" s="636">
        <v>1.5299999999999999E-2</v>
      </c>
      <c r="ICU371" s="636">
        <v>9.7000000000000003E-3</v>
      </c>
      <c r="ICV371" s="636">
        <v>9.7000000000000003E-3</v>
      </c>
      <c r="ICW371" s="649">
        <v>9.7000000000000003E-3</v>
      </c>
      <c r="ICX371" s="16"/>
      <c r="ICY371" s="320">
        <v>8.6999999999999994E-3</v>
      </c>
      <c r="ICZ371" s="153"/>
      <c r="IDA371" s="153"/>
      <c r="IDB371" s="153"/>
      <c r="IDC371" s="648"/>
      <c r="IDD371" s="641"/>
      <c r="IDE371" s="631" t="s">
        <v>1842</v>
      </c>
      <c r="IDF371" s="632"/>
      <c r="IDG371" s="16"/>
      <c r="IDH371" s="636">
        <v>1.5299999999999999E-2</v>
      </c>
      <c r="IDI371" s="636">
        <v>1.5299999999999999E-2</v>
      </c>
      <c r="IDJ371" s="636">
        <v>1.5299999999999999E-2</v>
      </c>
      <c r="IDK371" s="636">
        <v>9.7000000000000003E-3</v>
      </c>
      <c r="IDL371" s="636">
        <v>9.7000000000000003E-3</v>
      </c>
      <c r="IDM371" s="649">
        <v>9.7000000000000003E-3</v>
      </c>
      <c r="IDN371" s="16"/>
      <c r="IDO371" s="320">
        <v>8.6999999999999994E-3</v>
      </c>
      <c r="IDP371" s="153"/>
      <c r="IDQ371" s="153"/>
      <c r="IDR371" s="153"/>
      <c r="IDS371" s="648"/>
      <c r="IDT371" s="641"/>
      <c r="IDU371" s="631" t="s">
        <v>1842</v>
      </c>
      <c r="IDV371" s="632"/>
      <c r="IDW371" s="16"/>
      <c r="IDX371" s="636">
        <v>1.5299999999999999E-2</v>
      </c>
      <c r="IDY371" s="636">
        <v>1.5299999999999999E-2</v>
      </c>
      <c r="IDZ371" s="636">
        <v>1.5299999999999999E-2</v>
      </c>
      <c r="IEA371" s="636">
        <v>9.7000000000000003E-3</v>
      </c>
      <c r="IEB371" s="636">
        <v>9.7000000000000003E-3</v>
      </c>
      <c r="IEC371" s="649">
        <v>9.7000000000000003E-3</v>
      </c>
      <c r="IED371" s="16"/>
      <c r="IEE371" s="320">
        <v>8.6999999999999994E-3</v>
      </c>
      <c r="IEF371" s="153"/>
      <c r="IEG371" s="153"/>
      <c r="IEH371" s="153"/>
      <c r="IEI371" s="648"/>
      <c r="IEJ371" s="641"/>
      <c r="IEK371" s="631" t="s">
        <v>1842</v>
      </c>
      <c r="IEL371" s="632"/>
      <c r="IEM371" s="16"/>
      <c r="IEN371" s="636">
        <v>1.5299999999999999E-2</v>
      </c>
      <c r="IEO371" s="636">
        <v>1.5299999999999999E-2</v>
      </c>
      <c r="IEP371" s="636">
        <v>1.5299999999999999E-2</v>
      </c>
      <c r="IEQ371" s="636">
        <v>9.7000000000000003E-3</v>
      </c>
      <c r="IER371" s="636">
        <v>9.7000000000000003E-3</v>
      </c>
      <c r="IES371" s="649">
        <v>9.7000000000000003E-3</v>
      </c>
      <c r="IET371" s="16"/>
      <c r="IEU371" s="320">
        <v>8.6999999999999994E-3</v>
      </c>
      <c r="IEV371" s="153"/>
      <c r="IEW371" s="153"/>
      <c r="IEX371" s="153"/>
      <c r="IEY371" s="648"/>
      <c r="IEZ371" s="641"/>
      <c r="IFA371" s="631" t="s">
        <v>1842</v>
      </c>
      <c r="IFB371" s="632"/>
      <c r="IFC371" s="16"/>
      <c r="IFD371" s="636">
        <v>1.5299999999999999E-2</v>
      </c>
      <c r="IFE371" s="636">
        <v>1.5299999999999999E-2</v>
      </c>
      <c r="IFF371" s="636">
        <v>1.5299999999999999E-2</v>
      </c>
      <c r="IFG371" s="636">
        <v>9.7000000000000003E-3</v>
      </c>
      <c r="IFH371" s="636">
        <v>9.7000000000000003E-3</v>
      </c>
      <c r="IFI371" s="649">
        <v>9.7000000000000003E-3</v>
      </c>
      <c r="IFJ371" s="16"/>
      <c r="IFK371" s="320">
        <v>8.6999999999999994E-3</v>
      </c>
      <c r="IFL371" s="153"/>
      <c r="IFM371" s="153"/>
      <c r="IFN371" s="153"/>
      <c r="IFO371" s="648"/>
      <c r="IFP371" s="641"/>
      <c r="IFQ371" s="631" t="s">
        <v>1842</v>
      </c>
      <c r="IFR371" s="632"/>
      <c r="IFS371" s="16"/>
      <c r="IFT371" s="636">
        <v>1.5299999999999999E-2</v>
      </c>
      <c r="IFU371" s="636">
        <v>1.5299999999999999E-2</v>
      </c>
      <c r="IFV371" s="636">
        <v>1.5299999999999999E-2</v>
      </c>
      <c r="IFW371" s="636">
        <v>9.7000000000000003E-3</v>
      </c>
      <c r="IFX371" s="636">
        <v>9.7000000000000003E-3</v>
      </c>
      <c r="IFY371" s="649">
        <v>9.7000000000000003E-3</v>
      </c>
      <c r="IFZ371" s="16"/>
      <c r="IGA371" s="320">
        <v>8.6999999999999994E-3</v>
      </c>
      <c r="IGB371" s="153"/>
      <c r="IGC371" s="153"/>
      <c r="IGD371" s="153"/>
      <c r="IGE371" s="648"/>
      <c r="IGF371" s="641"/>
      <c r="IGG371" s="631" t="s">
        <v>1842</v>
      </c>
      <c r="IGH371" s="632"/>
      <c r="IGI371" s="16"/>
      <c r="IGJ371" s="636">
        <v>1.5299999999999999E-2</v>
      </c>
      <c r="IGK371" s="636">
        <v>1.5299999999999999E-2</v>
      </c>
      <c r="IGL371" s="636">
        <v>1.5299999999999999E-2</v>
      </c>
      <c r="IGM371" s="636">
        <v>9.7000000000000003E-3</v>
      </c>
      <c r="IGN371" s="636">
        <v>9.7000000000000003E-3</v>
      </c>
      <c r="IGO371" s="649">
        <v>9.7000000000000003E-3</v>
      </c>
      <c r="IGP371" s="16"/>
      <c r="IGQ371" s="320">
        <v>8.6999999999999994E-3</v>
      </c>
      <c r="IGR371" s="153"/>
      <c r="IGS371" s="153"/>
      <c r="IGT371" s="153"/>
      <c r="IGU371" s="648"/>
      <c r="IGV371" s="641"/>
      <c r="IGW371" s="631" t="s">
        <v>1842</v>
      </c>
      <c r="IGX371" s="632"/>
      <c r="IGY371" s="16"/>
      <c r="IGZ371" s="636">
        <v>1.5299999999999999E-2</v>
      </c>
      <c r="IHA371" s="636">
        <v>1.5299999999999999E-2</v>
      </c>
      <c r="IHB371" s="636">
        <v>1.5299999999999999E-2</v>
      </c>
      <c r="IHC371" s="636">
        <v>9.7000000000000003E-3</v>
      </c>
      <c r="IHD371" s="636">
        <v>9.7000000000000003E-3</v>
      </c>
      <c r="IHE371" s="649">
        <v>9.7000000000000003E-3</v>
      </c>
      <c r="IHF371" s="16"/>
      <c r="IHG371" s="320">
        <v>8.6999999999999994E-3</v>
      </c>
      <c r="IHH371" s="153"/>
      <c r="IHI371" s="153"/>
      <c r="IHJ371" s="153"/>
      <c r="IHK371" s="648"/>
      <c r="IHL371" s="641"/>
      <c r="IHM371" s="631" t="s">
        <v>1842</v>
      </c>
      <c r="IHN371" s="632"/>
      <c r="IHO371" s="16"/>
      <c r="IHP371" s="636">
        <v>1.5299999999999999E-2</v>
      </c>
      <c r="IHQ371" s="636">
        <v>1.5299999999999999E-2</v>
      </c>
      <c r="IHR371" s="636">
        <v>1.5299999999999999E-2</v>
      </c>
      <c r="IHS371" s="636">
        <v>9.7000000000000003E-3</v>
      </c>
      <c r="IHT371" s="636">
        <v>9.7000000000000003E-3</v>
      </c>
      <c r="IHU371" s="649">
        <v>9.7000000000000003E-3</v>
      </c>
      <c r="IHV371" s="16"/>
      <c r="IHW371" s="320">
        <v>8.6999999999999994E-3</v>
      </c>
      <c r="IHX371" s="153"/>
      <c r="IHY371" s="153"/>
      <c r="IHZ371" s="153"/>
      <c r="IIA371" s="648"/>
      <c r="IIB371" s="641"/>
      <c r="IIC371" s="631" t="s">
        <v>1842</v>
      </c>
      <c r="IID371" s="632"/>
      <c r="IIE371" s="16"/>
      <c r="IIF371" s="636">
        <v>1.5299999999999999E-2</v>
      </c>
      <c r="IIG371" s="636">
        <v>1.5299999999999999E-2</v>
      </c>
      <c r="IIH371" s="636">
        <v>1.5299999999999999E-2</v>
      </c>
      <c r="III371" s="636">
        <v>9.7000000000000003E-3</v>
      </c>
      <c r="IIJ371" s="636">
        <v>9.7000000000000003E-3</v>
      </c>
      <c r="IIK371" s="649">
        <v>9.7000000000000003E-3</v>
      </c>
      <c r="IIL371" s="16"/>
      <c r="IIM371" s="320">
        <v>8.6999999999999994E-3</v>
      </c>
      <c r="IIN371" s="153"/>
      <c r="IIO371" s="153"/>
      <c r="IIP371" s="153"/>
      <c r="IIQ371" s="648"/>
      <c r="IIR371" s="641"/>
      <c r="IIS371" s="631" t="s">
        <v>1842</v>
      </c>
      <c r="IIT371" s="632"/>
      <c r="IIU371" s="16"/>
      <c r="IIV371" s="636">
        <v>1.5299999999999999E-2</v>
      </c>
      <c r="IIW371" s="636">
        <v>1.5299999999999999E-2</v>
      </c>
      <c r="IIX371" s="636">
        <v>1.5299999999999999E-2</v>
      </c>
      <c r="IIY371" s="636">
        <v>9.7000000000000003E-3</v>
      </c>
      <c r="IIZ371" s="636">
        <v>9.7000000000000003E-3</v>
      </c>
      <c r="IJA371" s="649">
        <v>9.7000000000000003E-3</v>
      </c>
      <c r="IJB371" s="16"/>
      <c r="IJC371" s="320">
        <v>8.6999999999999994E-3</v>
      </c>
      <c r="IJD371" s="153"/>
      <c r="IJE371" s="153"/>
      <c r="IJF371" s="153"/>
      <c r="IJG371" s="648"/>
      <c r="IJH371" s="641"/>
      <c r="IJI371" s="631" t="s">
        <v>1842</v>
      </c>
      <c r="IJJ371" s="632"/>
      <c r="IJK371" s="16"/>
      <c r="IJL371" s="636">
        <v>1.5299999999999999E-2</v>
      </c>
      <c r="IJM371" s="636">
        <v>1.5299999999999999E-2</v>
      </c>
      <c r="IJN371" s="636">
        <v>1.5299999999999999E-2</v>
      </c>
      <c r="IJO371" s="636">
        <v>9.7000000000000003E-3</v>
      </c>
      <c r="IJP371" s="636">
        <v>9.7000000000000003E-3</v>
      </c>
      <c r="IJQ371" s="649">
        <v>9.7000000000000003E-3</v>
      </c>
      <c r="IJR371" s="16"/>
      <c r="IJS371" s="320">
        <v>8.6999999999999994E-3</v>
      </c>
      <c r="IJT371" s="153"/>
      <c r="IJU371" s="153"/>
      <c r="IJV371" s="153"/>
      <c r="IJW371" s="648"/>
      <c r="IJX371" s="641"/>
      <c r="IJY371" s="631" t="s">
        <v>1842</v>
      </c>
      <c r="IJZ371" s="632"/>
      <c r="IKA371" s="16"/>
      <c r="IKB371" s="636">
        <v>1.5299999999999999E-2</v>
      </c>
      <c r="IKC371" s="636">
        <v>1.5299999999999999E-2</v>
      </c>
      <c r="IKD371" s="636">
        <v>1.5299999999999999E-2</v>
      </c>
      <c r="IKE371" s="636">
        <v>9.7000000000000003E-3</v>
      </c>
      <c r="IKF371" s="636">
        <v>9.7000000000000003E-3</v>
      </c>
      <c r="IKG371" s="649">
        <v>9.7000000000000003E-3</v>
      </c>
      <c r="IKH371" s="16"/>
      <c r="IKI371" s="320">
        <v>8.6999999999999994E-3</v>
      </c>
      <c r="IKJ371" s="153"/>
      <c r="IKK371" s="153"/>
      <c r="IKL371" s="153"/>
      <c r="IKM371" s="648"/>
      <c r="IKN371" s="641"/>
      <c r="IKO371" s="631" t="s">
        <v>1842</v>
      </c>
      <c r="IKP371" s="632"/>
      <c r="IKQ371" s="16"/>
      <c r="IKR371" s="636">
        <v>1.5299999999999999E-2</v>
      </c>
      <c r="IKS371" s="636">
        <v>1.5299999999999999E-2</v>
      </c>
      <c r="IKT371" s="636">
        <v>1.5299999999999999E-2</v>
      </c>
      <c r="IKU371" s="636">
        <v>9.7000000000000003E-3</v>
      </c>
      <c r="IKV371" s="636">
        <v>9.7000000000000003E-3</v>
      </c>
      <c r="IKW371" s="649">
        <v>9.7000000000000003E-3</v>
      </c>
      <c r="IKX371" s="16"/>
      <c r="IKY371" s="320">
        <v>8.6999999999999994E-3</v>
      </c>
      <c r="IKZ371" s="153"/>
      <c r="ILA371" s="153"/>
      <c r="ILB371" s="153"/>
      <c r="ILC371" s="648"/>
      <c r="ILD371" s="641"/>
      <c r="ILE371" s="631" t="s">
        <v>1842</v>
      </c>
      <c r="ILF371" s="632"/>
      <c r="ILG371" s="16"/>
      <c r="ILH371" s="636">
        <v>1.5299999999999999E-2</v>
      </c>
      <c r="ILI371" s="636">
        <v>1.5299999999999999E-2</v>
      </c>
      <c r="ILJ371" s="636">
        <v>1.5299999999999999E-2</v>
      </c>
      <c r="ILK371" s="636">
        <v>9.7000000000000003E-3</v>
      </c>
      <c r="ILL371" s="636">
        <v>9.7000000000000003E-3</v>
      </c>
      <c r="ILM371" s="649">
        <v>9.7000000000000003E-3</v>
      </c>
      <c r="ILN371" s="16"/>
      <c r="ILO371" s="320">
        <v>8.6999999999999994E-3</v>
      </c>
      <c r="ILP371" s="153"/>
      <c r="ILQ371" s="153"/>
      <c r="ILR371" s="153"/>
      <c r="ILS371" s="648"/>
      <c r="ILT371" s="641"/>
      <c r="ILU371" s="631" t="s">
        <v>1842</v>
      </c>
      <c r="ILV371" s="632"/>
      <c r="ILW371" s="16"/>
      <c r="ILX371" s="636">
        <v>1.5299999999999999E-2</v>
      </c>
      <c r="ILY371" s="636">
        <v>1.5299999999999999E-2</v>
      </c>
      <c r="ILZ371" s="636">
        <v>1.5299999999999999E-2</v>
      </c>
      <c r="IMA371" s="636">
        <v>9.7000000000000003E-3</v>
      </c>
      <c r="IMB371" s="636">
        <v>9.7000000000000003E-3</v>
      </c>
      <c r="IMC371" s="649">
        <v>9.7000000000000003E-3</v>
      </c>
      <c r="IMD371" s="16"/>
      <c r="IME371" s="320">
        <v>8.6999999999999994E-3</v>
      </c>
      <c r="IMF371" s="153"/>
      <c r="IMG371" s="153"/>
      <c r="IMH371" s="153"/>
      <c r="IMI371" s="648"/>
      <c r="IMJ371" s="641"/>
      <c r="IMK371" s="631" t="s">
        <v>1842</v>
      </c>
      <c r="IML371" s="632"/>
      <c r="IMM371" s="16"/>
      <c r="IMN371" s="636">
        <v>1.5299999999999999E-2</v>
      </c>
      <c r="IMO371" s="636">
        <v>1.5299999999999999E-2</v>
      </c>
      <c r="IMP371" s="636">
        <v>1.5299999999999999E-2</v>
      </c>
      <c r="IMQ371" s="636">
        <v>9.7000000000000003E-3</v>
      </c>
      <c r="IMR371" s="636">
        <v>9.7000000000000003E-3</v>
      </c>
      <c r="IMS371" s="649">
        <v>9.7000000000000003E-3</v>
      </c>
      <c r="IMT371" s="16"/>
      <c r="IMU371" s="320">
        <v>8.6999999999999994E-3</v>
      </c>
      <c r="IMV371" s="153"/>
      <c r="IMW371" s="153"/>
      <c r="IMX371" s="153"/>
      <c r="IMY371" s="648"/>
      <c r="IMZ371" s="641"/>
      <c r="INA371" s="631" t="s">
        <v>1842</v>
      </c>
      <c r="INB371" s="632"/>
      <c r="INC371" s="16"/>
      <c r="IND371" s="636">
        <v>1.5299999999999999E-2</v>
      </c>
      <c r="INE371" s="636">
        <v>1.5299999999999999E-2</v>
      </c>
      <c r="INF371" s="636">
        <v>1.5299999999999999E-2</v>
      </c>
      <c r="ING371" s="636">
        <v>9.7000000000000003E-3</v>
      </c>
      <c r="INH371" s="636">
        <v>9.7000000000000003E-3</v>
      </c>
      <c r="INI371" s="649">
        <v>9.7000000000000003E-3</v>
      </c>
      <c r="INJ371" s="16"/>
      <c r="INK371" s="320">
        <v>8.6999999999999994E-3</v>
      </c>
      <c r="INL371" s="153"/>
      <c r="INM371" s="153"/>
      <c r="INN371" s="153"/>
      <c r="INO371" s="648"/>
      <c r="INP371" s="641"/>
      <c r="INQ371" s="631" t="s">
        <v>1842</v>
      </c>
      <c r="INR371" s="632"/>
      <c r="INS371" s="16"/>
      <c r="INT371" s="636">
        <v>1.5299999999999999E-2</v>
      </c>
      <c r="INU371" s="636">
        <v>1.5299999999999999E-2</v>
      </c>
      <c r="INV371" s="636">
        <v>1.5299999999999999E-2</v>
      </c>
      <c r="INW371" s="636">
        <v>9.7000000000000003E-3</v>
      </c>
      <c r="INX371" s="636">
        <v>9.7000000000000003E-3</v>
      </c>
      <c r="INY371" s="649">
        <v>9.7000000000000003E-3</v>
      </c>
      <c r="INZ371" s="16"/>
      <c r="IOA371" s="320">
        <v>8.6999999999999994E-3</v>
      </c>
      <c r="IOB371" s="153"/>
      <c r="IOC371" s="153"/>
      <c r="IOD371" s="153"/>
      <c r="IOE371" s="648"/>
      <c r="IOF371" s="641"/>
      <c r="IOG371" s="631" t="s">
        <v>1842</v>
      </c>
      <c r="IOH371" s="632"/>
      <c r="IOI371" s="16"/>
      <c r="IOJ371" s="636">
        <v>1.5299999999999999E-2</v>
      </c>
      <c r="IOK371" s="636">
        <v>1.5299999999999999E-2</v>
      </c>
      <c r="IOL371" s="636">
        <v>1.5299999999999999E-2</v>
      </c>
      <c r="IOM371" s="636">
        <v>9.7000000000000003E-3</v>
      </c>
      <c r="ION371" s="636">
        <v>9.7000000000000003E-3</v>
      </c>
      <c r="IOO371" s="649">
        <v>9.7000000000000003E-3</v>
      </c>
      <c r="IOP371" s="16"/>
      <c r="IOQ371" s="320">
        <v>8.6999999999999994E-3</v>
      </c>
      <c r="IOR371" s="153"/>
      <c r="IOS371" s="153"/>
      <c r="IOT371" s="153"/>
      <c r="IOU371" s="648"/>
      <c r="IOV371" s="641"/>
      <c r="IOW371" s="631" t="s">
        <v>1842</v>
      </c>
      <c r="IOX371" s="632"/>
      <c r="IOY371" s="16"/>
      <c r="IOZ371" s="636">
        <v>1.5299999999999999E-2</v>
      </c>
      <c r="IPA371" s="636">
        <v>1.5299999999999999E-2</v>
      </c>
      <c r="IPB371" s="636">
        <v>1.5299999999999999E-2</v>
      </c>
      <c r="IPC371" s="636">
        <v>9.7000000000000003E-3</v>
      </c>
      <c r="IPD371" s="636">
        <v>9.7000000000000003E-3</v>
      </c>
      <c r="IPE371" s="649">
        <v>9.7000000000000003E-3</v>
      </c>
      <c r="IPF371" s="16"/>
      <c r="IPG371" s="320">
        <v>8.6999999999999994E-3</v>
      </c>
      <c r="IPH371" s="153"/>
      <c r="IPI371" s="153"/>
      <c r="IPJ371" s="153"/>
      <c r="IPK371" s="648"/>
      <c r="IPL371" s="641"/>
      <c r="IPM371" s="631" t="s">
        <v>1842</v>
      </c>
      <c r="IPN371" s="632"/>
      <c r="IPO371" s="16"/>
      <c r="IPP371" s="636">
        <v>1.5299999999999999E-2</v>
      </c>
      <c r="IPQ371" s="636">
        <v>1.5299999999999999E-2</v>
      </c>
      <c r="IPR371" s="636">
        <v>1.5299999999999999E-2</v>
      </c>
      <c r="IPS371" s="636">
        <v>9.7000000000000003E-3</v>
      </c>
      <c r="IPT371" s="636">
        <v>9.7000000000000003E-3</v>
      </c>
      <c r="IPU371" s="649">
        <v>9.7000000000000003E-3</v>
      </c>
      <c r="IPV371" s="16"/>
      <c r="IPW371" s="320">
        <v>8.6999999999999994E-3</v>
      </c>
      <c r="IPX371" s="153"/>
      <c r="IPY371" s="153"/>
      <c r="IPZ371" s="153"/>
      <c r="IQA371" s="648"/>
      <c r="IQB371" s="641"/>
      <c r="IQC371" s="631" t="s">
        <v>1842</v>
      </c>
      <c r="IQD371" s="632"/>
      <c r="IQE371" s="16"/>
      <c r="IQF371" s="636">
        <v>1.5299999999999999E-2</v>
      </c>
      <c r="IQG371" s="636">
        <v>1.5299999999999999E-2</v>
      </c>
      <c r="IQH371" s="636">
        <v>1.5299999999999999E-2</v>
      </c>
      <c r="IQI371" s="636">
        <v>9.7000000000000003E-3</v>
      </c>
      <c r="IQJ371" s="636">
        <v>9.7000000000000003E-3</v>
      </c>
      <c r="IQK371" s="649">
        <v>9.7000000000000003E-3</v>
      </c>
      <c r="IQL371" s="16"/>
      <c r="IQM371" s="320">
        <v>8.6999999999999994E-3</v>
      </c>
      <c r="IQN371" s="153"/>
      <c r="IQO371" s="153"/>
      <c r="IQP371" s="153"/>
      <c r="IQQ371" s="648"/>
      <c r="IQR371" s="641"/>
      <c r="IQS371" s="631" t="s">
        <v>1842</v>
      </c>
      <c r="IQT371" s="632"/>
      <c r="IQU371" s="16"/>
      <c r="IQV371" s="636">
        <v>1.5299999999999999E-2</v>
      </c>
      <c r="IQW371" s="636">
        <v>1.5299999999999999E-2</v>
      </c>
      <c r="IQX371" s="636">
        <v>1.5299999999999999E-2</v>
      </c>
      <c r="IQY371" s="636">
        <v>9.7000000000000003E-3</v>
      </c>
      <c r="IQZ371" s="636">
        <v>9.7000000000000003E-3</v>
      </c>
      <c r="IRA371" s="649">
        <v>9.7000000000000003E-3</v>
      </c>
      <c r="IRB371" s="16"/>
      <c r="IRC371" s="320">
        <v>8.6999999999999994E-3</v>
      </c>
      <c r="IRD371" s="153"/>
      <c r="IRE371" s="153"/>
      <c r="IRF371" s="153"/>
      <c r="IRG371" s="648"/>
      <c r="IRH371" s="641"/>
      <c r="IRI371" s="631" t="s">
        <v>1842</v>
      </c>
      <c r="IRJ371" s="632"/>
      <c r="IRK371" s="16"/>
      <c r="IRL371" s="636">
        <v>1.5299999999999999E-2</v>
      </c>
      <c r="IRM371" s="636">
        <v>1.5299999999999999E-2</v>
      </c>
      <c r="IRN371" s="636">
        <v>1.5299999999999999E-2</v>
      </c>
      <c r="IRO371" s="636">
        <v>9.7000000000000003E-3</v>
      </c>
      <c r="IRP371" s="636">
        <v>9.7000000000000003E-3</v>
      </c>
      <c r="IRQ371" s="649">
        <v>9.7000000000000003E-3</v>
      </c>
      <c r="IRR371" s="16"/>
      <c r="IRS371" s="320">
        <v>8.6999999999999994E-3</v>
      </c>
      <c r="IRT371" s="153"/>
      <c r="IRU371" s="153"/>
      <c r="IRV371" s="153"/>
      <c r="IRW371" s="648"/>
      <c r="IRX371" s="641"/>
      <c r="IRY371" s="631" t="s">
        <v>1842</v>
      </c>
      <c r="IRZ371" s="632"/>
      <c r="ISA371" s="16"/>
      <c r="ISB371" s="636">
        <v>1.5299999999999999E-2</v>
      </c>
      <c r="ISC371" s="636">
        <v>1.5299999999999999E-2</v>
      </c>
      <c r="ISD371" s="636">
        <v>1.5299999999999999E-2</v>
      </c>
      <c r="ISE371" s="636">
        <v>9.7000000000000003E-3</v>
      </c>
      <c r="ISF371" s="636">
        <v>9.7000000000000003E-3</v>
      </c>
      <c r="ISG371" s="649">
        <v>9.7000000000000003E-3</v>
      </c>
      <c r="ISH371" s="16"/>
      <c r="ISI371" s="320">
        <v>8.6999999999999994E-3</v>
      </c>
      <c r="ISJ371" s="153"/>
      <c r="ISK371" s="153"/>
      <c r="ISL371" s="153"/>
      <c r="ISM371" s="648"/>
      <c r="ISN371" s="641"/>
      <c r="ISO371" s="631" t="s">
        <v>1842</v>
      </c>
      <c r="ISP371" s="632"/>
      <c r="ISQ371" s="16"/>
      <c r="ISR371" s="636">
        <v>1.5299999999999999E-2</v>
      </c>
      <c r="ISS371" s="636">
        <v>1.5299999999999999E-2</v>
      </c>
      <c r="IST371" s="636">
        <v>1.5299999999999999E-2</v>
      </c>
      <c r="ISU371" s="636">
        <v>9.7000000000000003E-3</v>
      </c>
      <c r="ISV371" s="636">
        <v>9.7000000000000003E-3</v>
      </c>
      <c r="ISW371" s="649">
        <v>9.7000000000000003E-3</v>
      </c>
      <c r="ISX371" s="16"/>
      <c r="ISY371" s="320">
        <v>8.6999999999999994E-3</v>
      </c>
      <c r="ISZ371" s="153"/>
      <c r="ITA371" s="153"/>
      <c r="ITB371" s="153"/>
      <c r="ITC371" s="648"/>
      <c r="ITD371" s="641"/>
      <c r="ITE371" s="631" t="s">
        <v>1842</v>
      </c>
      <c r="ITF371" s="632"/>
      <c r="ITG371" s="16"/>
      <c r="ITH371" s="636">
        <v>1.5299999999999999E-2</v>
      </c>
      <c r="ITI371" s="636">
        <v>1.5299999999999999E-2</v>
      </c>
      <c r="ITJ371" s="636">
        <v>1.5299999999999999E-2</v>
      </c>
      <c r="ITK371" s="636">
        <v>9.7000000000000003E-3</v>
      </c>
      <c r="ITL371" s="636">
        <v>9.7000000000000003E-3</v>
      </c>
      <c r="ITM371" s="649">
        <v>9.7000000000000003E-3</v>
      </c>
      <c r="ITN371" s="16"/>
      <c r="ITO371" s="320">
        <v>8.6999999999999994E-3</v>
      </c>
      <c r="ITP371" s="153"/>
      <c r="ITQ371" s="153"/>
      <c r="ITR371" s="153"/>
      <c r="ITS371" s="648"/>
      <c r="ITT371" s="641"/>
      <c r="ITU371" s="631" t="s">
        <v>1842</v>
      </c>
      <c r="ITV371" s="632"/>
      <c r="ITW371" s="16"/>
      <c r="ITX371" s="636">
        <v>1.5299999999999999E-2</v>
      </c>
      <c r="ITY371" s="636">
        <v>1.5299999999999999E-2</v>
      </c>
      <c r="ITZ371" s="636">
        <v>1.5299999999999999E-2</v>
      </c>
      <c r="IUA371" s="636">
        <v>9.7000000000000003E-3</v>
      </c>
      <c r="IUB371" s="636">
        <v>9.7000000000000003E-3</v>
      </c>
      <c r="IUC371" s="649">
        <v>9.7000000000000003E-3</v>
      </c>
      <c r="IUD371" s="16"/>
      <c r="IUE371" s="320">
        <v>8.6999999999999994E-3</v>
      </c>
      <c r="IUF371" s="153"/>
      <c r="IUG371" s="153"/>
      <c r="IUH371" s="153"/>
      <c r="IUI371" s="648"/>
      <c r="IUJ371" s="641"/>
      <c r="IUK371" s="631" t="s">
        <v>1842</v>
      </c>
      <c r="IUL371" s="632"/>
      <c r="IUM371" s="16"/>
      <c r="IUN371" s="636">
        <v>1.5299999999999999E-2</v>
      </c>
      <c r="IUO371" s="636">
        <v>1.5299999999999999E-2</v>
      </c>
      <c r="IUP371" s="636">
        <v>1.5299999999999999E-2</v>
      </c>
      <c r="IUQ371" s="636">
        <v>9.7000000000000003E-3</v>
      </c>
      <c r="IUR371" s="636">
        <v>9.7000000000000003E-3</v>
      </c>
      <c r="IUS371" s="649">
        <v>9.7000000000000003E-3</v>
      </c>
      <c r="IUT371" s="16"/>
      <c r="IUU371" s="320">
        <v>8.6999999999999994E-3</v>
      </c>
      <c r="IUV371" s="153"/>
      <c r="IUW371" s="153"/>
      <c r="IUX371" s="153"/>
      <c r="IUY371" s="648"/>
      <c r="IUZ371" s="641"/>
      <c r="IVA371" s="631" t="s">
        <v>1842</v>
      </c>
      <c r="IVB371" s="632"/>
      <c r="IVC371" s="16"/>
      <c r="IVD371" s="636">
        <v>1.5299999999999999E-2</v>
      </c>
      <c r="IVE371" s="636">
        <v>1.5299999999999999E-2</v>
      </c>
      <c r="IVF371" s="636">
        <v>1.5299999999999999E-2</v>
      </c>
      <c r="IVG371" s="636">
        <v>9.7000000000000003E-3</v>
      </c>
      <c r="IVH371" s="636">
        <v>9.7000000000000003E-3</v>
      </c>
      <c r="IVI371" s="649">
        <v>9.7000000000000003E-3</v>
      </c>
      <c r="IVJ371" s="16"/>
      <c r="IVK371" s="320">
        <v>8.6999999999999994E-3</v>
      </c>
      <c r="IVL371" s="153"/>
      <c r="IVM371" s="153"/>
      <c r="IVN371" s="153"/>
      <c r="IVO371" s="648"/>
      <c r="IVP371" s="641"/>
      <c r="IVQ371" s="631" t="s">
        <v>1842</v>
      </c>
      <c r="IVR371" s="632"/>
      <c r="IVS371" s="16"/>
      <c r="IVT371" s="636">
        <v>1.5299999999999999E-2</v>
      </c>
      <c r="IVU371" s="636">
        <v>1.5299999999999999E-2</v>
      </c>
      <c r="IVV371" s="636">
        <v>1.5299999999999999E-2</v>
      </c>
      <c r="IVW371" s="636">
        <v>9.7000000000000003E-3</v>
      </c>
      <c r="IVX371" s="636">
        <v>9.7000000000000003E-3</v>
      </c>
      <c r="IVY371" s="649">
        <v>9.7000000000000003E-3</v>
      </c>
      <c r="IVZ371" s="16"/>
      <c r="IWA371" s="320">
        <v>8.6999999999999994E-3</v>
      </c>
      <c r="IWB371" s="153"/>
      <c r="IWC371" s="153"/>
      <c r="IWD371" s="153"/>
      <c r="IWE371" s="648"/>
      <c r="IWF371" s="641"/>
      <c r="IWG371" s="631" t="s">
        <v>1842</v>
      </c>
      <c r="IWH371" s="632"/>
      <c r="IWI371" s="16"/>
      <c r="IWJ371" s="636">
        <v>1.5299999999999999E-2</v>
      </c>
      <c r="IWK371" s="636">
        <v>1.5299999999999999E-2</v>
      </c>
      <c r="IWL371" s="636">
        <v>1.5299999999999999E-2</v>
      </c>
      <c r="IWM371" s="636">
        <v>9.7000000000000003E-3</v>
      </c>
      <c r="IWN371" s="636">
        <v>9.7000000000000003E-3</v>
      </c>
      <c r="IWO371" s="649">
        <v>9.7000000000000003E-3</v>
      </c>
      <c r="IWP371" s="16"/>
      <c r="IWQ371" s="320">
        <v>8.6999999999999994E-3</v>
      </c>
      <c r="IWR371" s="153"/>
      <c r="IWS371" s="153"/>
      <c r="IWT371" s="153"/>
      <c r="IWU371" s="648"/>
      <c r="IWV371" s="641"/>
      <c r="IWW371" s="631" t="s">
        <v>1842</v>
      </c>
      <c r="IWX371" s="632"/>
      <c r="IWY371" s="16"/>
      <c r="IWZ371" s="636">
        <v>1.5299999999999999E-2</v>
      </c>
      <c r="IXA371" s="636">
        <v>1.5299999999999999E-2</v>
      </c>
      <c r="IXB371" s="636">
        <v>1.5299999999999999E-2</v>
      </c>
      <c r="IXC371" s="636">
        <v>9.7000000000000003E-3</v>
      </c>
      <c r="IXD371" s="636">
        <v>9.7000000000000003E-3</v>
      </c>
      <c r="IXE371" s="649">
        <v>9.7000000000000003E-3</v>
      </c>
      <c r="IXF371" s="16"/>
      <c r="IXG371" s="320">
        <v>8.6999999999999994E-3</v>
      </c>
      <c r="IXH371" s="153"/>
      <c r="IXI371" s="153"/>
      <c r="IXJ371" s="153"/>
      <c r="IXK371" s="648"/>
      <c r="IXL371" s="641"/>
      <c r="IXM371" s="631" t="s">
        <v>1842</v>
      </c>
      <c r="IXN371" s="632"/>
      <c r="IXO371" s="16"/>
      <c r="IXP371" s="636">
        <v>1.5299999999999999E-2</v>
      </c>
      <c r="IXQ371" s="636">
        <v>1.5299999999999999E-2</v>
      </c>
      <c r="IXR371" s="636">
        <v>1.5299999999999999E-2</v>
      </c>
      <c r="IXS371" s="636">
        <v>9.7000000000000003E-3</v>
      </c>
      <c r="IXT371" s="636">
        <v>9.7000000000000003E-3</v>
      </c>
      <c r="IXU371" s="649">
        <v>9.7000000000000003E-3</v>
      </c>
      <c r="IXV371" s="16"/>
      <c r="IXW371" s="320">
        <v>8.6999999999999994E-3</v>
      </c>
      <c r="IXX371" s="153"/>
      <c r="IXY371" s="153"/>
      <c r="IXZ371" s="153"/>
      <c r="IYA371" s="648"/>
      <c r="IYB371" s="641"/>
      <c r="IYC371" s="631" t="s">
        <v>1842</v>
      </c>
      <c r="IYD371" s="632"/>
      <c r="IYE371" s="16"/>
      <c r="IYF371" s="636">
        <v>1.5299999999999999E-2</v>
      </c>
      <c r="IYG371" s="636">
        <v>1.5299999999999999E-2</v>
      </c>
      <c r="IYH371" s="636">
        <v>1.5299999999999999E-2</v>
      </c>
      <c r="IYI371" s="636">
        <v>9.7000000000000003E-3</v>
      </c>
      <c r="IYJ371" s="636">
        <v>9.7000000000000003E-3</v>
      </c>
      <c r="IYK371" s="649">
        <v>9.7000000000000003E-3</v>
      </c>
      <c r="IYL371" s="16"/>
      <c r="IYM371" s="320">
        <v>8.6999999999999994E-3</v>
      </c>
      <c r="IYN371" s="153"/>
      <c r="IYO371" s="153"/>
      <c r="IYP371" s="153"/>
      <c r="IYQ371" s="648"/>
      <c r="IYR371" s="641"/>
      <c r="IYS371" s="631" t="s">
        <v>1842</v>
      </c>
      <c r="IYT371" s="632"/>
      <c r="IYU371" s="16"/>
      <c r="IYV371" s="636">
        <v>1.5299999999999999E-2</v>
      </c>
      <c r="IYW371" s="636">
        <v>1.5299999999999999E-2</v>
      </c>
      <c r="IYX371" s="636">
        <v>1.5299999999999999E-2</v>
      </c>
      <c r="IYY371" s="636">
        <v>9.7000000000000003E-3</v>
      </c>
      <c r="IYZ371" s="636">
        <v>9.7000000000000003E-3</v>
      </c>
      <c r="IZA371" s="649">
        <v>9.7000000000000003E-3</v>
      </c>
      <c r="IZB371" s="16"/>
      <c r="IZC371" s="320">
        <v>8.6999999999999994E-3</v>
      </c>
      <c r="IZD371" s="153"/>
      <c r="IZE371" s="153"/>
      <c r="IZF371" s="153"/>
      <c r="IZG371" s="648"/>
      <c r="IZH371" s="641"/>
      <c r="IZI371" s="631" t="s">
        <v>1842</v>
      </c>
      <c r="IZJ371" s="632"/>
      <c r="IZK371" s="16"/>
      <c r="IZL371" s="636">
        <v>1.5299999999999999E-2</v>
      </c>
      <c r="IZM371" s="636">
        <v>1.5299999999999999E-2</v>
      </c>
      <c r="IZN371" s="636">
        <v>1.5299999999999999E-2</v>
      </c>
      <c r="IZO371" s="636">
        <v>9.7000000000000003E-3</v>
      </c>
      <c r="IZP371" s="636">
        <v>9.7000000000000003E-3</v>
      </c>
      <c r="IZQ371" s="649">
        <v>9.7000000000000003E-3</v>
      </c>
      <c r="IZR371" s="16"/>
      <c r="IZS371" s="320">
        <v>8.6999999999999994E-3</v>
      </c>
      <c r="IZT371" s="153"/>
      <c r="IZU371" s="153"/>
      <c r="IZV371" s="153"/>
      <c r="IZW371" s="648"/>
      <c r="IZX371" s="641"/>
      <c r="IZY371" s="631" t="s">
        <v>1842</v>
      </c>
      <c r="IZZ371" s="632"/>
      <c r="JAA371" s="16"/>
      <c r="JAB371" s="636">
        <v>1.5299999999999999E-2</v>
      </c>
      <c r="JAC371" s="636">
        <v>1.5299999999999999E-2</v>
      </c>
      <c r="JAD371" s="636">
        <v>1.5299999999999999E-2</v>
      </c>
      <c r="JAE371" s="636">
        <v>9.7000000000000003E-3</v>
      </c>
      <c r="JAF371" s="636">
        <v>9.7000000000000003E-3</v>
      </c>
      <c r="JAG371" s="649">
        <v>9.7000000000000003E-3</v>
      </c>
      <c r="JAH371" s="16"/>
      <c r="JAI371" s="320">
        <v>8.6999999999999994E-3</v>
      </c>
      <c r="JAJ371" s="153"/>
      <c r="JAK371" s="153"/>
      <c r="JAL371" s="153"/>
      <c r="JAM371" s="648"/>
      <c r="JAN371" s="641"/>
      <c r="JAO371" s="631" t="s">
        <v>1842</v>
      </c>
      <c r="JAP371" s="632"/>
      <c r="JAQ371" s="16"/>
      <c r="JAR371" s="636">
        <v>1.5299999999999999E-2</v>
      </c>
      <c r="JAS371" s="636">
        <v>1.5299999999999999E-2</v>
      </c>
      <c r="JAT371" s="636">
        <v>1.5299999999999999E-2</v>
      </c>
      <c r="JAU371" s="636">
        <v>9.7000000000000003E-3</v>
      </c>
      <c r="JAV371" s="636">
        <v>9.7000000000000003E-3</v>
      </c>
      <c r="JAW371" s="649">
        <v>9.7000000000000003E-3</v>
      </c>
      <c r="JAX371" s="16"/>
      <c r="JAY371" s="320">
        <v>8.6999999999999994E-3</v>
      </c>
      <c r="JAZ371" s="153"/>
      <c r="JBA371" s="153"/>
      <c r="JBB371" s="153"/>
      <c r="JBC371" s="648"/>
      <c r="JBD371" s="641"/>
      <c r="JBE371" s="631" t="s">
        <v>1842</v>
      </c>
      <c r="JBF371" s="632"/>
      <c r="JBG371" s="16"/>
      <c r="JBH371" s="636">
        <v>1.5299999999999999E-2</v>
      </c>
      <c r="JBI371" s="636">
        <v>1.5299999999999999E-2</v>
      </c>
      <c r="JBJ371" s="636">
        <v>1.5299999999999999E-2</v>
      </c>
      <c r="JBK371" s="636">
        <v>9.7000000000000003E-3</v>
      </c>
      <c r="JBL371" s="636">
        <v>9.7000000000000003E-3</v>
      </c>
      <c r="JBM371" s="649">
        <v>9.7000000000000003E-3</v>
      </c>
      <c r="JBN371" s="16"/>
      <c r="JBO371" s="320">
        <v>8.6999999999999994E-3</v>
      </c>
      <c r="JBP371" s="153"/>
      <c r="JBQ371" s="153"/>
      <c r="JBR371" s="153"/>
      <c r="JBS371" s="648"/>
      <c r="JBT371" s="641"/>
      <c r="JBU371" s="631" t="s">
        <v>1842</v>
      </c>
      <c r="JBV371" s="632"/>
      <c r="JBW371" s="16"/>
      <c r="JBX371" s="636">
        <v>1.5299999999999999E-2</v>
      </c>
      <c r="JBY371" s="636">
        <v>1.5299999999999999E-2</v>
      </c>
      <c r="JBZ371" s="636">
        <v>1.5299999999999999E-2</v>
      </c>
      <c r="JCA371" s="636">
        <v>9.7000000000000003E-3</v>
      </c>
      <c r="JCB371" s="636">
        <v>9.7000000000000003E-3</v>
      </c>
      <c r="JCC371" s="649">
        <v>9.7000000000000003E-3</v>
      </c>
      <c r="JCD371" s="16"/>
      <c r="JCE371" s="320">
        <v>8.6999999999999994E-3</v>
      </c>
      <c r="JCF371" s="153"/>
      <c r="JCG371" s="153"/>
      <c r="JCH371" s="153"/>
      <c r="JCI371" s="648"/>
      <c r="JCJ371" s="641"/>
      <c r="JCK371" s="631" t="s">
        <v>1842</v>
      </c>
      <c r="JCL371" s="632"/>
      <c r="JCM371" s="16"/>
      <c r="JCN371" s="636">
        <v>1.5299999999999999E-2</v>
      </c>
      <c r="JCO371" s="636">
        <v>1.5299999999999999E-2</v>
      </c>
      <c r="JCP371" s="636">
        <v>1.5299999999999999E-2</v>
      </c>
      <c r="JCQ371" s="636">
        <v>9.7000000000000003E-3</v>
      </c>
      <c r="JCR371" s="636">
        <v>9.7000000000000003E-3</v>
      </c>
      <c r="JCS371" s="649">
        <v>9.7000000000000003E-3</v>
      </c>
      <c r="JCT371" s="16"/>
      <c r="JCU371" s="320">
        <v>8.6999999999999994E-3</v>
      </c>
      <c r="JCV371" s="153"/>
      <c r="JCW371" s="153"/>
      <c r="JCX371" s="153"/>
      <c r="JCY371" s="648"/>
      <c r="JCZ371" s="641"/>
      <c r="JDA371" s="631" t="s">
        <v>1842</v>
      </c>
      <c r="JDB371" s="632"/>
      <c r="JDC371" s="16"/>
      <c r="JDD371" s="636">
        <v>1.5299999999999999E-2</v>
      </c>
      <c r="JDE371" s="636">
        <v>1.5299999999999999E-2</v>
      </c>
      <c r="JDF371" s="636">
        <v>1.5299999999999999E-2</v>
      </c>
      <c r="JDG371" s="636">
        <v>9.7000000000000003E-3</v>
      </c>
      <c r="JDH371" s="636">
        <v>9.7000000000000003E-3</v>
      </c>
      <c r="JDI371" s="649">
        <v>9.7000000000000003E-3</v>
      </c>
      <c r="JDJ371" s="16"/>
      <c r="JDK371" s="320">
        <v>8.6999999999999994E-3</v>
      </c>
      <c r="JDL371" s="153"/>
      <c r="JDM371" s="153"/>
      <c r="JDN371" s="153"/>
      <c r="JDO371" s="648"/>
      <c r="JDP371" s="641"/>
      <c r="JDQ371" s="631" t="s">
        <v>1842</v>
      </c>
      <c r="JDR371" s="632"/>
      <c r="JDS371" s="16"/>
      <c r="JDT371" s="636">
        <v>1.5299999999999999E-2</v>
      </c>
      <c r="JDU371" s="636">
        <v>1.5299999999999999E-2</v>
      </c>
      <c r="JDV371" s="636">
        <v>1.5299999999999999E-2</v>
      </c>
      <c r="JDW371" s="636">
        <v>9.7000000000000003E-3</v>
      </c>
      <c r="JDX371" s="636">
        <v>9.7000000000000003E-3</v>
      </c>
      <c r="JDY371" s="649">
        <v>9.7000000000000003E-3</v>
      </c>
      <c r="JDZ371" s="16"/>
      <c r="JEA371" s="320">
        <v>8.6999999999999994E-3</v>
      </c>
      <c r="JEB371" s="153"/>
      <c r="JEC371" s="153"/>
      <c r="JED371" s="153"/>
      <c r="JEE371" s="648"/>
      <c r="JEF371" s="641"/>
      <c r="JEG371" s="631" t="s">
        <v>1842</v>
      </c>
      <c r="JEH371" s="632"/>
      <c r="JEI371" s="16"/>
      <c r="JEJ371" s="636">
        <v>1.5299999999999999E-2</v>
      </c>
      <c r="JEK371" s="636">
        <v>1.5299999999999999E-2</v>
      </c>
      <c r="JEL371" s="636">
        <v>1.5299999999999999E-2</v>
      </c>
      <c r="JEM371" s="636">
        <v>9.7000000000000003E-3</v>
      </c>
      <c r="JEN371" s="636">
        <v>9.7000000000000003E-3</v>
      </c>
      <c r="JEO371" s="649">
        <v>9.7000000000000003E-3</v>
      </c>
      <c r="JEP371" s="16"/>
      <c r="JEQ371" s="320">
        <v>8.6999999999999994E-3</v>
      </c>
      <c r="JER371" s="153"/>
      <c r="JES371" s="153"/>
      <c r="JET371" s="153"/>
      <c r="JEU371" s="648"/>
      <c r="JEV371" s="641"/>
      <c r="JEW371" s="631" t="s">
        <v>1842</v>
      </c>
      <c r="JEX371" s="632"/>
      <c r="JEY371" s="16"/>
      <c r="JEZ371" s="636">
        <v>1.5299999999999999E-2</v>
      </c>
      <c r="JFA371" s="636">
        <v>1.5299999999999999E-2</v>
      </c>
      <c r="JFB371" s="636">
        <v>1.5299999999999999E-2</v>
      </c>
      <c r="JFC371" s="636">
        <v>9.7000000000000003E-3</v>
      </c>
      <c r="JFD371" s="636">
        <v>9.7000000000000003E-3</v>
      </c>
      <c r="JFE371" s="649">
        <v>9.7000000000000003E-3</v>
      </c>
      <c r="JFF371" s="16"/>
      <c r="JFG371" s="320">
        <v>8.6999999999999994E-3</v>
      </c>
      <c r="JFH371" s="153"/>
      <c r="JFI371" s="153"/>
      <c r="JFJ371" s="153"/>
      <c r="JFK371" s="648"/>
      <c r="JFL371" s="641"/>
      <c r="JFM371" s="631" t="s">
        <v>1842</v>
      </c>
      <c r="JFN371" s="632"/>
      <c r="JFO371" s="16"/>
      <c r="JFP371" s="636">
        <v>1.5299999999999999E-2</v>
      </c>
      <c r="JFQ371" s="636">
        <v>1.5299999999999999E-2</v>
      </c>
      <c r="JFR371" s="636">
        <v>1.5299999999999999E-2</v>
      </c>
      <c r="JFS371" s="636">
        <v>9.7000000000000003E-3</v>
      </c>
      <c r="JFT371" s="636">
        <v>9.7000000000000003E-3</v>
      </c>
      <c r="JFU371" s="649">
        <v>9.7000000000000003E-3</v>
      </c>
      <c r="JFV371" s="16"/>
      <c r="JFW371" s="320">
        <v>8.6999999999999994E-3</v>
      </c>
      <c r="JFX371" s="153"/>
      <c r="JFY371" s="153"/>
      <c r="JFZ371" s="153"/>
      <c r="JGA371" s="648"/>
      <c r="JGB371" s="641"/>
      <c r="JGC371" s="631" t="s">
        <v>1842</v>
      </c>
      <c r="JGD371" s="632"/>
      <c r="JGE371" s="16"/>
      <c r="JGF371" s="636">
        <v>1.5299999999999999E-2</v>
      </c>
      <c r="JGG371" s="636">
        <v>1.5299999999999999E-2</v>
      </c>
      <c r="JGH371" s="636">
        <v>1.5299999999999999E-2</v>
      </c>
      <c r="JGI371" s="636">
        <v>9.7000000000000003E-3</v>
      </c>
      <c r="JGJ371" s="636">
        <v>9.7000000000000003E-3</v>
      </c>
      <c r="JGK371" s="649">
        <v>9.7000000000000003E-3</v>
      </c>
      <c r="JGL371" s="16"/>
      <c r="JGM371" s="320">
        <v>8.6999999999999994E-3</v>
      </c>
      <c r="JGN371" s="153"/>
      <c r="JGO371" s="153"/>
      <c r="JGP371" s="153"/>
      <c r="JGQ371" s="648"/>
      <c r="JGR371" s="641"/>
      <c r="JGS371" s="631" t="s">
        <v>1842</v>
      </c>
      <c r="JGT371" s="632"/>
      <c r="JGU371" s="16"/>
      <c r="JGV371" s="636">
        <v>1.5299999999999999E-2</v>
      </c>
      <c r="JGW371" s="636">
        <v>1.5299999999999999E-2</v>
      </c>
      <c r="JGX371" s="636">
        <v>1.5299999999999999E-2</v>
      </c>
      <c r="JGY371" s="636">
        <v>9.7000000000000003E-3</v>
      </c>
      <c r="JGZ371" s="636">
        <v>9.7000000000000003E-3</v>
      </c>
      <c r="JHA371" s="649">
        <v>9.7000000000000003E-3</v>
      </c>
      <c r="JHB371" s="16"/>
      <c r="JHC371" s="320">
        <v>8.6999999999999994E-3</v>
      </c>
      <c r="JHD371" s="153"/>
      <c r="JHE371" s="153"/>
      <c r="JHF371" s="153"/>
      <c r="JHG371" s="648"/>
      <c r="JHH371" s="641"/>
      <c r="JHI371" s="631" t="s">
        <v>1842</v>
      </c>
      <c r="JHJ371" s="632"/>
      <c r="JHK371" s="16"/>
      <c r="JHL371" s="636">
        <v>1.5299999999999999E-2</v>
      </c>
      <c r="JHM371" s="636">
        <v>1.5299999999999999E-2</v>
      </c>
      <c r="JHN371" s="636">
        <v>1.5299999999999999E-2</v>
      </c>
      <c r="JHO371" s="636">
        <v>9.7000000000000003E-3</v>
      </c>
      <c r="JHP371" s="636">
        <v>9.7000000000000003E-3</v>
      </c>
      <c r="JHQ371" s="649">
        <v>9.7000000000000003E-3</v>
      </c>
      <c r="JHR371" s="16"/>
      <c r="JHS371" s="320">
        <v>8.6999999999999994E-3</v>
      </c>
      <c r="JHT371" s="153"/>
      <c r="JHU371" s="153"/>
      <c r="JHV371" s="153"/>
      <c r="JHW371" s="648"/>
      <c r="JHX371" s="641"/>
      <c r="JHY371" s="631" t="s">
        <v>1842</v>
      </c>
      <c r="JHZ371" s="632"/>
      <c r="JIA371" s="16"/>
      <c r="JIB371" s="636">
        <v>1.5299999999999999E-2</v>
      </c>
      <c r="JIC371" s="636">
        <v>1.5299999999999999E-2</v>
      </c>
      <c r="JID371" s="636">
        <v>1.5299999999999999E-2</v>
      </c>
      <c r="JIE371" s="636">
        <v>9.7000000000000003E-3</v>
      </c>
      <c r="JIF371" s="636">
        <v>9.7000000000000003E-3</v>
      </c>
      <c r="JIG371" s="649">
        <v>9.7000000000000003E-3</v>
      </c>
      <c r="JIH371" s="16"/>
      <c r="JII371" s="320">
        <v>8.6999999999999994E-3</v>
      </c>
      <c r="JIJ371" s="153"/>
      <c r="JIK371" s="153"/>
      <c r="JIL371" s="153"/>
      <c r="JIM371" s="648"/>
      <c r="JIN371" s="641"/>
      <c r="JIO371" s="631" t="s">
        <v>1842</v>
      </c>
      <c r="JIP371" s="632"/>
      <c r="JIQ371" s="16"/>
      <c r="JIR371" s="636">
        <v>1.5299999999999999E-2</v>
      </c>
      <c r="JIS371" s="636">
        <v>1.5299999999999999E-2</v>
      </c>
      <c r="JIT371" s="636">
        <v>1.5299999999999999E-2</v>
      </c>
      <c r="JIU371" s="636">
        <v>9.7000000000000003E-3</v>
      </c>
      <c r="JIV371" s="636">
        <v>9.7000000000000003E-3</v>
      </c>
      <c r="JIW371" s="649">
        <v>9.7000000000000003E-3</v>
      </c>
      <c r="JIX371" s="16"/>
      <c r="JIY371" s="320">
        <v>8.6999999999999994E-3</v>
      </c>
      <c r="JIZ371" s="153"/>
      <c r="JJA371" s="153"/>
      <c r="JJB371" s="153"/>
      <c r="JJC371" s="648"/>
      <c r="JJD371" s="641"/>
      <c r="JJE371" s="631" t="s">
        <v>1842</v>
      </c>
      <c r="JJF371" s="632"/>
      <c r="JJG371" s="16"/>
      <c r="JJH371" s="636">
        <v>1.5299999999999999E-2</v>
      </c>
      <c r="JJI371" s="636">
        <v>1.5299999999999999E-2</v>
      </c>
      <c r="JJJ371" s="636">
        <v>1.5299999999999999E-2</v>
      </c>
      <c r="JJK371" s="636">
        <v>9.7000000000000003E-3</v>
      </c>
      <c r="JJL371" s="636">
        <v>9.7000000000000003E-3</v>
      </c>
      <c r="JJM371" s="649">
        <v>9.7000000000000003E-3</v>
      </c>
      <c r="JJN371" s="16"/>
      <c r="JJO371" s="320">
        <v>8.6999999999999994E-3</v>
      </c>
      <c r="JJP371" s="153"/>
      <c r="JJQ371" s="153"/>
      <c r="JJR371" s="153"/>
      <c r="JJS371" s="648"/>
      <c r="JJT371" s="641"/>
      <c r="JJU371" s="631" t="s">
        <v>1842</v>
      </c>
      <c r="JJV371" s="632"/>
      <c r="JJW371" s="16"/>
      <c r="JJX371" s="636">
        <v>1.5299999999999999E-2</v>
      </c>
      <c r="JJY371" s="636">
        <v>1.5299999999999999E-2</v>
      </c>
      <c r="JJZ371" s="636">
        <v>1.5299999999999999E-2</v>
      </c>
      <c r="JKA371" s="636">
        <v>9.7000000000000003E-3</v>
      </c>
      <c r="JKB371" s="636">
        <v>9.7000000000000003E-3</v>
      </c>
      <c r="JKC371" s="649">
        <v>9.7000000000000003E-3</v>
      </c>
      <c r="JKD371" s="16"/>
      <c r="JKE371" s="320">
        <v>8.6999999999999994E-3</v>
      </c>
      <c r="JKF371" s="153"/>
      <c r="JKG371" s="153"/>
      <c r="JKH371" s="153"/>
      <c r="JKI371" s="648"/>
      <c r="JKJ371" s="641"/>
      <c r="JKK371" s="631" t="s">
        <v>1842</v>
      </c>
      <c r="JKL371" s="632"/>
      <c r="JKM371" s="16"/>
      <c r="JKN371" s="636">
        <v>1.5299999999999999E-2</v>
      </c>
      <c r="JKO371" s="636">
        <v>1.5299999999999999E-2</v>
      </c>
      <c r="JKP371" s="636">
        <v>1.5299999999999999E-2</v>
      </c>
      <c r="JKQ371" s="636">
        <v>9.7000000000000003E-3</v>
      </c>
      <c r="JKR371" s="636">
        <v>9.7000000000000003E-3</v>
      </c>
      <c r="JKS371" s="649">
        <v>9.7000000000000003E-3</v>
      </c>
      <c r="JKT371" s="16"/>
      <c r="JKU371" s="320">
        <v>8.6999999999999994E-3</v>
      </c>
      <c r="JKV371" s="153"/>
      <c r="JKW371" s="153"/>
      <c r="JKX371" s="153"/>
      <c r="JKY371" s="648"/>
      <c r="JKZ371" s="641"/>
      <c r="JLA371" s="631" t="s">
        <v>1842</v>
      </c>
      <c r="JLB371" s="632"/>
      <c r="JLC371" s="16"/>
      <c r="JLD371" s="636">
        <v>1.5299999999999999E-2</v>
      </c>
      <c r="JLE371" s="636">
        <v>1.5299999999999999E-2</v>
      </c>
      <c r="JLF371" s="636">
        <v>1.5299999999999999E-2</v>
      </c>
      <c r="JLG371" s="636">
        <v>9.7000000000000003E-3</v>
      </c>
      <c r="JLH371" s="636">
        <v>9.7000000000000003E-3</v>
      </c>
      <c r="JLI371" s="649">
        <v>9.7000000000000003E-3</v>
      </c>
      <c r="JLJ371" s="16"/>
      <c r="JLK371" s="320">
        <v>8.6999999999999994E-3</v>
      </c>
      <c r="JLL371" s="153"/>
      <c r="JLM371" s="153"/>
      <c r="JLN371" s="153"/>
      <c r="JLO371" s="648"/>
      <c r="JLP371" s="641"/>
      <c r="JLQ371" s="631" t="s">
        <v>1842</v>
      </c>
      <c r="JLR371" s="632"/>
      <c r="JLS371" s="16"/>
      <c r="JLT371" s="636">
        <v>1.5299999999999999E-2</v>
      </c>
      <c r="JLU371" s="636">
        <v>1.5299999999999999E-2</v>
      </c>
      <c r="JLV371" s="636">
        <v>1.5299999999999999E-2</v>
      </c>
      <c r="JLW371" s="636">
        <v>9.7000000000000003E-3</v>
      </c>
      <c r="JLX371" s="636">
        <v>9.7000000000000003E-3</v>
      </c>
      <c r="JLY371" s="649">
        <v>9.7000000000000003E-3</v>
      </c>
      <c r="JLZ371" s="16"/>
      <c r="JMA371" s="320">
        <v>8.6999999999999994E-3</v>
      </c>
      <c r="JMB371" s="153"/>
      <c r="JMC371" s="153"/>
      <c r="JMD371" s="153"/>
      <c r="JME371" s="648"/>
      <c r="JMF371" s="641"/>
      <c r="JMG371" s="631" t="s">
        <v>1842</v>
      </c>
      <c r="JMH371" s="632"/>
      <c r="JMI371" s="16"/>
      <c r="JMJ371" s="636">
        <v>1.5299999999999999E-2</v>
      </c>
      <c r="JMK371" s="636">
        <v>1.5299999999999999E-2</v>
      </c>
      <c r="JML371" s="636">
        <v>1.5299999999999999E-2</v>
      </c>
      <c r="JMM371" s="636">
        <v>9.7000000000000003E-3</v>
      </c>
      <c r="JMN371" s="636">
        <v>9.7000000000000003E-3</v>
      </c>
      <c r="JMO371" s="649">
        <v>9.7000000000000003E-3</v>
      </c>
      <c r="JMP371" s="16"/>
      <c r="JMQ371" s="320">
        <v>8.6999999999999994E-3</v>
      </c>
      <c r="JMR371" s="153"/>
      <c r="JMS371" s="153"/>
      <c r="JMT371" s="153"/>
      <c r="JMU371" s="648"/>
      <c r="JMV371" s="641"/>
      <c r="JMW371" s="631" t="s">
        <v>1842</v>
      </c>
      <c r="JMX371" s="632"/>
      <c r="JMY371" s="16"/>
      <c r="JMZ371" s="636">
        <v>1.5299999999999999E-2</v>
      </c>
      <c r="JNA371" s="636">
        <v>1.5299999999999999E-2</v>
      </c>
      <c r="JNB371" s="636">
        <v>1.5299999999999999E-2</v>
      </c>
      <c r="JNC371" s="636">
        <v>9.7000000000000003E-3</v>
      </c>
      <c r="JND371" s="636">
        <v>9.7000000000000003E-3</v>
      </c>
      <c r="JNE371" s="649">
        <v>9.7000000000000003E-3</v>
      </c>
      <c r="JNF371" s="16"/>
      <c r="JNG371" s="320">
        <v>8.6999999999999994E-3</v>
      </c>
      <c r="JNH371" s="153"/>
      <c r="JNI371" s="153"/>
      <c r="JNJ371" s="153"/>
      <c r="JNK371" s="648"/>
      <c r="JNL371" s="641"/>
      <c r="JNM371" s="631" t="s">
        <v>1842</v>
      </c>
      <c r="JNN371" s="632"/>
      <c r="JNO371" s="16"/>
      <c r="JNP371" s="636">
        <v>1.5299999999999999E-2</v>
      </c>
      <c r="JNQ371" s="636">
        <v>1.5299999999999999E-2</v>
      </c>
      <c r="JNR371" s="636">
        <v>1.5299999999999999E-2</v>
      </c>
      <c r="JNS371" s="636">
        <v>9.7000000000000003E-3</v>
      </c>
      <c r="JNT371" s="636">
        <v>9.7000000000000003E-3</v>
      </c>
      <c r="JNU371" s="649">
        <v>9.7000000000000003E-3</v>
      </c>
      <c r="JNV371" s="16"/>
      <c r="JNW371" s="320">
        <v>8.6999999999999994E-3</v>
      </c>
      <c r="JNX371" s="153"/>
      <c r="JNY371" s="153"/>
      <c r="JNZ371" s="153"/>
      <c r="JOA371" s="648"/>
      <c r="JOB371" s="641"/>
      <c r="JOC371" s="631" t="s">
        <v>1842</v>
      </c>
      <c r="JOD371" s="632"/>
      <c r="JOE371" s="16"/>
      <c r="JOF371" s="636">
        <v>1.5299999999999999E-2</v>
      </c>
      <c r="JOG371" s="636">
        <v>1.5299999999999999E-2</v>
      </c>
      <c r="JOH371" s="636">
        <v>1.5299999999999999E-2</v>
      </c>
      <c r="JOI371" s="636">
        <v>9.7000000000000003E-3</v>
      </c>
      <c r="JOJ371" s="636">
        <v>9.7000000000000003E-3</v>
      </c>
      <c r="JOK371" s="649">
        <v>9.7000000000000003E-3</v>
      </c>
      <c r="JOL371" s="16"/>
      <c r="JOM371" s="320">
        <v>8.6999999999999994E-3</v>
      </c>
      <c r="JON371" s="153"/>
      <c r="JOO371" s="153"/>
      <c r="JOP371" s="153"/>
      <c r="JOQ371" s="648"/>
      <c r="JOR371" s="641"/>
      <c r="JOS371" s="631" t="s">
        <v>1842</v>
      </c>
      <c r="JOT371" s="632"/>
      <c r="JOU371" s="16"/>
      <c r="JOV371" s="636">
        <v>1.5299999999999999E-2</v>
      </c>
      <c r="JOW371" s="636">
        <v>1.5299999999999999E-2</v>
      </c>
      <c r="JOX371" s="636">
        <v>1.5299999999999999E-2</v>
      </c>
      <c r="JOY371" s="636">
        <v>9.7000000000000003E-3</v>
      </c>
      <c r="JOZ371" s="636">
        <v>9.7000000000000003E-3</v>
      </c>
      <c r="JPA371" s="649">
        <v>9.7000000000000003E-3</v>
      </c>
      <c r="JPB371" s="16"/>
      <c r="JPC371" s="320">
        <v>8.6999999999999994E-3</v>
      </c>
      <c r="JPD371" s="153"/>
      <c r="JPE371" s="153"/>
      <c r="JPF371" s="153"/>
      <c r="JPG371" s="648"/>
      <c r="JPH371" s="641"/>
      <c r="JPI371" s="631" t="s">
        <v>1842</v>
      </c>
      <c r="JPJ371" s="632"/>
      <c r="JPK371" s="16"/>
      <c r="JPL371" s="636">
        <v>1.5299999999999999E-2</v>
      </c>
      <c r="JPM371" s="636">
        <v>1.5299999999999999E-2</v>
      </c>
      <c r="JPN371" s="636">
        <v>1.5299999999999999E-2</v>
      </c>
      <c r="JPO371" s="636">
        <v>9.7000000000000003E-3</v>
      </c>
      <c r="JPP371" s="636">
        <v>9.7000000000000003E-3</v>
      </c>
      <c r="JPQ371" s="649">
        <v>9.7000000000000003E-3</v>
      </c>
      <c r="JPR371" s="16"/>
      <c r="JPS371" s="320">
        <v>8.6999999999999994E-3</v>
      </c>
      <c r="JPT371" s="153"/>
      <c r="JPU371" s="153"/>
      <c r="JPV371" s="153"/>
      <c r="JPW371" s="648"/>
      <c r="JPX371" s="641"/>
      <c r="JPY371" s="631" t="s">
        <v>1842</v>
      </c>
      <c r="JPZ371" s="632"/>
      <c r="JQA371" s="16"/>
      <c r="JQB371" s="636">
        <v>1.5299999999999999E-2</v>
      </c>
      <c r="JQC371" s="636">
        <v>1.5299999999999999E-2</v>
      </c>
      <c r="JQD371" s="636">
        <v>1.5299999999999999E-2</v>
      </c>
      <c r="JQE371" s="636">
        <v>9.7000000000000003E-3</v>
      </c>
      <c r="JQF371" s="636">
        <v>9.7000000000000003E-3</v>
      </c>
      <c r="JQG371" s="649">
        <v>9.7000000000000003E-3</v>
      </c>
      <c r="JQH371" s="16"/>
      <c r="JQI371" s="320">
        <v>8.6999999999999994E-3</v>
      </c>
      <c r="JQJ371" s="153"/>
      <c r="JQK371" s="153"/>
      <c r="JQL371" s="153"/>
      <c r="JQM371" s="648"/>
      <c r="JQN371" s="641"/>
      <c r="JQO371" s="631" t="s">
        <v>1842</v>
      </c>
      <c r="JQP371" s="632"/>
      <c r="JQQ371" s="16"/>
      <c r="JQR371" s="636">
        <v>1.5299999999999999E-2</v>
      </c>
      <c r="JQS371" s="636">
        <v>1.5299999999999999E-2</v>
      </c>
      <c r="JQT371" s="636">
        <v>1.5299999999999999E-2</v>
      </c>
      <c r="JQU371" s="636">
        <v>9.7000000000000003E-3</v>
      </c>
      <c r="JQV371" s="636">
        <v>9.7000000000000003E-3</v>
      </c>
      <c r="JQW371" s="649">
        <v>9.7000000000000003E-3</v>
      </c>
      <c r="JQX371" s="16"/>
      <c r="JQY371" s="320">
        <v>8.6999999999999994E-3</v>
      </c>
      <c r="JQZ371" s="153"/>
      <c r="JRA371" s="153"/>
      <c r="JRB371" s="153"/>
      <c r="JRC371" s="648"/>
      <c r="JRD371" s="641"/>
      <c r="JRE371" s="631" t="s">
        <v>1842</v>
      </c>
      <c r="JRF371" s="632"/>
      <c r="JRG371" s="16"/>
      <c r="JRH371" s="636">
        <v>1.5299999999999999E-2</v>
      </c>
      <c r="JRI371" s="636">
        <v>1.5299999999999999E-2</v>
      </c>
      <c r="JRJ371" s="636">
        <v>1.5299999999999999E-2</v>
      </c>
      <c r="JRK371" s="636">
        <v>9.7000000000000003E-3</v>
      </c>
      <c r="JRL371" s="636">
        <v>9.7000000000000003E-3</v>
      </c>
      <c r="JRM371" s="649">
        <v>9.7000000000000003E-3</v>
      </c>
      <c r="JRN371" s="16"/>
      <c r="JRO371" s="320">
        <v>8.6999999999999994E-3</v>
      </c>
      <c r="JRP371" s="153"/>
      <c r="JRQ371" s="153"/>
      <c r="JRR371" s="153"/>
      <c r="JRS371" s="648"/>
      <c r="JRT371" s="641"/>
      <c r="JRU371" s="631" t="s">
        <v>1842</v>
      </c>
      <c r="JRV371" s="632"/>
      <c r="JRW371" s="16"/>
      <c r="JRX371" s="636">
        <v>1.5299999999999999E-2</v>
      </c>
      <c r="JRY371" s="636">
        <v>1.5299999999999999E-2</v>
      </c>
      <c r="JRZ371" s="636">
        <v>1.5299999999999999E-2</v>
      </c>
      <c r="JSA371" s="636">
        <v>9.7000000000000003E-3</v>
      </c>
      <c r="JSB371" s="636">
        <v>9.7000000000000003E-3</v>
      </c>
      <c r="JSC371" s="649">
        <v>9.7000000000000003E-3</v>
      </c>
      <c r="JSD371" s="16"/>
      <c r="JSE371" s="320">
        <v>8.6999999999999994E-3</v>
      </c>
      <c r="JSF371" s="153"/>
      <c r="JSG371" s="153"/>
      <c r="JSH371" s="153"/>
      <c r="JSI371" s="648"/>
      <c r="JSJ371" s="641"/>
      <c r="JSK371" s="631" t="s">
        <v>1842</v>
      </c>
      <c r="JSL371" s="632"/>
      <c r="JSM371" s="16"/>
      <c r="JSN371" s="636">
        <v>1.5299999999999999E-2</v>
      </c>
      <c r="JSO371" s="636">
        <v>1.5299999999999999E-2</v>
      </c>
      <c r="JSP371" s="636">
        <v>1.5299999999999999E-2</v>
      </c>
      <c r="JSQ371" s="636">
        <v>9.7000000000000003E-3</v>
      </c>
      <c r="JSR371" s="636">
        <v>9.7000000000000003E-3</v>
      </c>
      <c r="JSS371" s="649">
        <v>9.7000000000000003E-3</v>
      </c>
      <c r="JST371" s="16"/>
      <c r="JSU371" s="320">
        <v>8.6999999999999994E-3</v>
      </c>
      <c r="JSV371" s="153"/>
      <c r="JSW371" s="153"/>
      <c r="JSX371" s="153"/>
      <c r="JSY371" s="648"/>
      <c r="JSZ371" s="641"/>
      <c r="JTA371" s="631" t="s">
        <v>1842</v>
      </c>
      <c r="JTB371" s="632"/>
      <c r="JTC371" s="16"/>
      <c r="JTD371" s="636">
        <v>1.5299999999999999E-2</v>
      </c>
      <c r="JTE371" s="636">
        <v>1.5299999999999999E-2</v>
      </c>
      <c r="JTF371" s="636">
        <v>1.5299999999999999E-2</v>
      </c>
      <c r="JTG371" s="636">
        <v>9.7000000000000003E-3</v>
      </c>
      <c r="JTH371" s="636">
        <v>9.7000000000000003E-3</v>
      </c>
      <c r="JTI371" s="649">
        <v>9.7000000000000003E-3</v>
      </c>
      <c r="JTJ371" s="16"/>
      <c r="JTK371" s="320">
        <v>8.6999999999999994E-3</v>
      </c>
      <c r="JTL371" s="153"/>
      <c r="JTM371" s="153"/>
      <c r="JTN371" s="153"/>
      <c r="JTO371" s="648"/>
      <c r="JTP371" s="641"/>
      <c r="JTQ371" s="631" t="s">
        <v>1842</v>
      </c>
      <c r="JTR371" s="632"/>
      <c r="JTS371" s="16"/>
      <c r="JTT371" s="636">
        <v>1.5299999999999999E-2</v>
      </c>
      <c r="JTU371" s="636">
        <v>1.5299999999999999E-2</v>
      </c>
      <c r="JTV371" s="636">
        <v>1.5299999999999999E-2</v>
      </c>
      <c r="JTW371" s="636">
        <v>9.7000000000000003E-3</v>
      </c>
      <c r="JTX371" s="636">
        <v>9.7000000000000003E-3</v>
      </c>
      <c r="JTY371" s="649">
        <v>9.7000000000000003E-3</v>
      </c>
      <c r="JTZ371" s="16"/>
      <c r="JUA371" s="320">
        <v>8.6999999999999994E-3</v>
      </c>
      <c r="JUB371" s="153"/>
      <c r="JUC371" s="153"/>
      <c r="JUD371" s="153"/>
      <c r="JUE371" s="648"/>
      <c r="JUF371" s="641"/>
      <c r="JUG371" s="631" t="s">
        <v>1842</v>
      </c>
      <c r="JUH371" s="632"/>
      <c r="JUI371" s="16"/>
      <c r="JUJ371" s="636">
        <v>1.5299999999999999E-2</v>
      </c>
      <c r="JUK371" s="636">
        <v>1.5299999999999999E-2</v>
      </c>
      <c r="JUL371" s="636">
        <v>1.5299999999999999E-2</v>
      </c>
      <c r="JUM371" s="636">
        <v>9.7000000000000003E-3</v>
      </c>
      <c r="JUN371" s="636">
        <v>9.7000000000000003E-3</v>
      </c>
      <c r="JUO371" s="649">
        <v>9.7000000000000003E-3</v>
      </c>
      <c r="JUP371" s="16"/>
      <c r="JUQ371" s="320">
        <v>8.6999999999999994E-3</v>
      </c>
      <c r="JUR371" s="153"/>
      <c r="JUS371" s="153"/>
      <c r="JUT371" s="153"/>
      <c r="JUU371" s="648"/>
      <c r="JUV371" s="641"/>
      <c r="JUW371" s="631" t="s">
        <v>1842</v>
      </c>
      <c r="JUX371" s="632"/>
      <c r="JUY371" s="16"/>
      <c r="JUZ371" s="636">
        <v>1.5299999999999999E-2</v>
      </c>
      <c r="JVA371" s="636">
        <v>1.5299999999999999E-2</v>
      </c>
      <c r="JVB371" s="636">
        <v>1.5299999999999999E-2</v>
      </c>
      <c r="JVC371" s="636">
        <v>9.7000000000000003E-3</v>
      </c>
      <c r="JVD371" s="636">
        <v>9.7000000000000003E-3</v>
      </c>
      <c r="JVE371" s="649">
        <v>9.7000000000000003E-3</v>
      </c>
      <c r="JVF371" s="16"/>
      <c r="JVG371" s="320">
        <v>8.6999999999999994E-3</v>
      </c>
      <c r="JVH371" s="153"/>
      <c r="JVI371" s="153"/>
      <c r="JVJ371" s="153"/>
      <c r="JVK371" s="648"/>
      <c r="JVL371" s="641"/>
      <c r="JVM371" s="631" t="s">
        <v>1842</v>
      </c>
      <c r="JVN371" s="632"/>
      <c r="JVO371" s="16"/>
      <c r="JVP371" s="636">
        <v>1.5299999999999999E-2</v>
      </c>
      <c r="JVQ371" s="636">
        <v>1.5299999999999999E-2</v>
      </c>
      <c r="JVR371" s="636">
        <v>1.5299999999999999E-2</v>
      </c>
      <c r="JVS371" s="636">
        <v>9.7000000000000003E-3</v>
      </c>
      <c r="JVT371" s="636">
        <v>9.7000000000000003E-3</v>
      </c>
      <c r="JVU371" s="649">
        <v>9.7000000000000003E-3</v>
      </c>
      <c r="JVV371" s="16"/>
      <c r="JVW371" s="320">
        <v>8.6999999999999994E-3</v>
      </c>
      <c r="JVX371" s="153"/>
      <c r="JVY371" s="153"/>
      <c r="JVZ371" s="153"/>
      <c r="JWA371" s="648"/>
      <c r="JWB371" s="641"/>
      <c r="JWC371" s="631" t="s">
        <v>1842</v>
      </c>
      <c r="JWD371" s="632"/>
      <c r="JWE371" s="16"/>
      <c r="JWF371" s="636">
        <v>1.5299999999999999E-2</v>
      </c>
      <c r="JWG371" s="636">
        <v>1.5299999999999999E-2</v>
      </c>
      <c r="JWH371" s="636">
        <v>1.5299999999999999E-2</v>
      </c>
      <c r="JWI371" s="636">
        <v>9.7000000000000003E-3</v>
      </c>
      <c r="JWJ371" s="636">
        <v>9.7000000000000003E-3</v>
      </c>
      <c r="JWK371" s="649">
        <v>9.7000000000000003E-3</v>
      </c>
      <c r="JWL371" s="16"/>
      <c r="JWM371" s="320">
        <v>8.6999999999999994E-3</v>
      </c>
      <c r="JWN371" s="153"/>
      <c r="JWO371" s="153"/>
      <c r="JWP371" s="153"/>
      <c r="JWQ371" s="648"/>
      <c r="JWR371" s="641"/>
      <c r="JWS371" s="631" t="s">
        <v>1842</v>
      </c>
      <c r="JWT371" s="632"/>
      <c r="JWU371" s="16"/>
      <c r="JWV371" s="636">
        <v>1.5299999999999999E-2</v>
      </c>
      <c r="JWW371" s="636">
        <v>1.5299999999999999E-2</v>
      </c>
      <c r="JWX371" s="636">
        <v>1.5299999999999999E-2</v>
      </c>
      <c r="JWY371" s="636">
        <v>9.7000000000000003E-3</v>
      </c>
      <c r="JWZ371" s="636">
        <v>9.7000000000000003E-3</v>
      </c>
      <c r="JXA371" s="649">
        <v>9.7000000000000003E-3</v>
      </c>
      <c r="JXB371" s="16"/>
      <c r="JXC371" s="320">
        <v>8.6999999999999994E-3</v>
      </c>
      <c r="JXD371" s="153"/>
      <c r="JXE371" s="153"/>
      <c r="JXF371" s="153"/>
      <c r="JXG371" s="648"/>
      <c r="JXH371" s="641"/>
      <c r="JXI371" s="631" t="s">
        <v>1842</v>
      </c>
      <c r="JXJ371" s="632"/>
      <c r="JXK371" s="16"/>
      <c r="JXL371" s="636">
        <v>1.5299999999999999E-2</v>
      </c>
      <c r="JXM371" s="636">
        <v>1.5299999999999999E-2</v>
      </c>
      <c r="JXN371" s="636">
        <v>1.5299999999999999E-2</v>
      </c>
      <c r="JXO371" s="636">
        <v>9.7000000000000003E-3</v>
      </c>
      <c r="JXP371" s="636">
        <v>9.7000000000000003E-3</v>
      </c>
      <c r="JXQ371" s="649">
        <v>9.7000000000000003E-3</v>
      </c>
      <c r="JXR371" s="16"/>
      <c r="JXS371" s="320">
        <v>8.6999999999999994E-3</v>
      </c>
      <c r="JXT371" s="153"/>
      <c r="JXU371" s="153"/>
      <c r="JXV371" s="153"/>
      <c r="JXW371" s="648"/>
      <c r="JXX371" s="641"/>
      <c r="JXY371" s="631" t="s">
        <v>1842</v>
      </c>
      <c r="JXZ371" s="632"/>
      <c r="JYA371" s="16"/>
      <c r="JYB371" s="636">
        <v>1.5299999999999999E-2</v>
      </c>
      <c r="JYC371" s="636">
        <v>1.5299999999999999E-2</v>
      </c>
      <c r="JYD371" s="636">
        <v>1.5299999999999999E-2</v>
      </c>
      <c r="JYE371" s="636">
        <v>9.7000000000000003E-3</v>
      </c>
      <c r="JYF371" s="636">
        <v>9.7000000000000003E-3</v>
      </c>
      <c r="JYG371" s="649">
        <v>9.7000000000000003E-3</v>
      </c>
      <c r="JYH371" s="16"/>
      <c r="JYI371" s="320">
        <v>8.6999999999999994E-3</v>
      </c>
      <c r="JYJ371" s="153"/>
      <c r="JYK371" s="153"/>
      <c r="JYL371" s="153"/>
      <c r="JYM371" s="648"/>
      <c r="JYN371" s="641"/>
      <c r="JYO371" s="631" t="s">
        <v>1842</v>
      </c>
      <c r="JYP371" s="632"/>
      <c r="JYQ371" s="16"/>
      <c r="JYR371" s="636">
        <v>1.5299999999999999E-2</v>
      </c>
      <c r="JYS371" s="636">
        <v>1.5299999999999999E-2</v>
      </c>
      <c r="JYT371" s="636">
        <v>1.5299999999999999E-2</v>
      </c>
      <c r="JYU371" s="636">
        <v>9.7000000000000003E-3</v>
      </c>
      <c r="JYV371" s="636">
        <v>9.7000000000000003E-3</v>
      </c>
      <c r="JYW371" s="649">
        <v>9.7000000000000003E-3</v>
      </c>
      <c r="JYX371" s="16"/>
      <c r="JYY371" s="320">
        <v>8.6999999999999994E-3</v>
      </c>
      <c r="JYZ371" s="153"/>
      <c r="JZA371" s="153"/>
      <c r="JZB371" s="153"/>
      <c r="JZC371" s="648"/>
      <c r="JZD371" s="641"/>
      <c r="JZE371" s="631" t="s">
        <v>1842</v>
      </c>
      <c r="JZF371" s="632"/>
      <c r="JZG371" s="16"/>
      <c r="JZH371" s="636">
        <v>1.5299999999999999E-2</v>
      </c>
      <c r="JZI371" s="636">
        <v>1.5299999999999999E-2</v>
      </c>
      <c r="JZJ371" s="636">
        <v>1.5299999999999999E-2</v>
      </c>
      <c r="JZK371" s="636">
        <v>9.7000000000000003E-3</v>
      </c>
      <c r="JZL371" s="636">
        <v>9.7000000000000003E-3</v>
      </c>
      <c r="JZM371" s="649">
        <v>9.7000000000000003E-3</v>
      </c>
      <c r="JZN371" s="16"/>
      <c r="JZO371" s="320">
        <v>8.6999999999999994E-3</v>
      </c>
      <c r="JZP371" s="153"/>
      <c r="JZQ371" s="153"/>
      <c r="JZR371" s="153"/>
      <c r="JZS371" s="648"/>
      <c r="JZT371" s="641"/>
      <c r="JZU371" s="631" t="s">
        <v>1842</v>
      </c>
      <c r="JZV371" s="632"/>
      <c r="JZW371" s="16"/>
      <c r="JZX371" s="636">
        <v>1.5299999999999999E-2</v>
      </c>
      <c r="JZY371" s="636">
        <v>1.5299999999999999E-2</v>
      </c>
      <c r="JZZ371" s="636">
        <v>1.5299999999999999E-2</v>
      </c>
      <c r="KAA371" s="636">
        <v>9.7000000000000003E-3</v>
      </c>
      <c r="KAB371" s="636">
        <v>9.7000000000000003E-3</v>
      </c>
      <c r="KAC371" s="649">
        <v>9.7000000000000003E-3</v>
      </c>
      <c r="KAD371" s="16"/>
      <c r="KAE371" s="320">
        <v>8.6999999999999994E-3</v>
      </c>
      <c r="KAF371" s="153"/>
      <c r="KAG371" s="153"/>
      <c r="KAH371" s="153"/>
      <c r="KAI371" s="648"/>
      <c r="KAJ371" s="641"/>
      <c r="KAK371" s="631" t="s">
        <v>1842</v>
      </c>
      <c r="KAL371" s="632"/>
      <c r="KAM371" s="16"/>
      <c r="KAN371" s="636">
        <v>1.5299999999999999E-2</v>
      </c>
      <c r="KAO371" s="636">
        <v>1.5299999999999999E-2</v>
      </c>
      <c r="KAP371" s="636">
        <v>1.5299999999999999E-2</v>
      </c>
      <c r="KAQ371" s="636">
        <v>9.7000000000000003E-3</v>
      </c>
      <c r="KAR371" s="636">
        <v>9.7000000000000003E-3</v>
      </c>
      <c r="KAS371" s="649">
        <v>9.7000000000000003E-3</v>
      </c>
      <c r="KAT371" s="16"/>
      <c r="KAU371" s="320">
        <v>8.6999999999999994E-3</v>
      </c>
      <c r="KAV371" s="153"/>
      <c r="KAW371" s="153"/>
      <c r="KAX371" s="153"/>
      <c r="KAY371" s="648"/>
      <c r="KAZ371" s="641"/>
      <c r="KBA371" s="631" t="s">
        <v>1842</v>
      </c>
      <c r="KBB371" s="632"/>
      <c r="KBC371" s="16"/>
      <c r="KBD371" s="636">
        <v>1.5299999999999999E-2</v>
      </c>
      <c r="KBE371" s="636">
        <v>1.5299999999999999E-2</v>
      </c>
      <c r="KBF371" s="636">
        <v>1.5299999999999999E-2</v>
      </c>
      <c r="KBG371" s="636">
        <v>9.7000000000000003E-3</v>
      </c>
      <c r="KBH371" s="636">
        <v>9.7000000000000003E-3</v>
      </c>
      <c r="KBI371" s="649">
        <v>9.7000000000000003E-3</v>
      </c>
      <c r="KBJ371" s="16"/>
      <c r="KBK371" s="320">
        <v>8.6999999999999994E-3</v>
      </c>
      <c r="KBL371" s="153"/>
      <c r="KBM371" s="153"/>
      <c r="KBN371" s="153"/>
      <c r="KBO371" s="648"/>
      <c r="KBP371" s="641"/>
      <c r="KBQ371" s="631" t="s">
        <v>1842</v>
      </c>
      <c r="KBR371" s="632"/>
      <c r="KBS371" s="16"/>
      <c r="KBT371" s="636">
        <v>1.5299999999999999E-2</v>
      </c>
      <c r="KBU371" s="636">
        <v>1.5299999999999999E-2</v>
      </c>
      <c r="KBV371" s="636">
        <v>1.5299999999999999E-2</v>
      </c>
      <c r="KBW371" s="636">
        <v>9.7000000000000003E-3</v>
      </c>
      <c r="KBX371" s="636">
        <v>9.7000000000000003E-3</v>
      </c>
      <c r="KBY371" s="649">
        <v>9.7000000000000003E-3</v>
      </c>
      <c r="KBZ371" s="16"/>
      <c r="KCA371" s="320">
        <v>8.6999999999999994E-3</v>
      </c>
      <c r="KCB371" s="153"/>
      <c r="KCC371" s="153"/>
      <c r="KCD371" s="153"/>
      <c r="KCE371" s="648"/>
      <c r="KCF371" s="641"/>
      <c r="KCG371" s="631" t="s">
        <v>1842</v>
      </c>
      <c r="KCH371" s="632"/>
      <c r="KCI371" s="16"/>
      <c r="KCJ371" s="636">
        <v>1.5299999999999999E-2</v>
      </c>
      <c r="KCK371" s="636">
        <v>1.5299999999999999E-2</v>
      </c>
      <c r="KCL371" s="636">
        <v>1.5299999999999999E-2</v>
      </c>
      <c r="KCM371" s="636">
        <v>9.7000000000000003E-3</v>
      </c>
      <c r="KCN371" s="636">
        <v>9.7000000000000003E-3</v>
      </c>
      <c r="KCO371" s="649">
        <v>9.7000000000000003E-3</v>
      </c>
      <c r="KCP371" s="16"/>
      <c r="KCQ371" s="320">
        <v>8.6999999999999994E-3</v>
      </c>
      <c r="KCR371" s="153"/>
      <c r="KCS371" s="153"/>
      <c r="KCT371" s="153"/>
      <c r="KCU371" s="648"/>
      <c r="KCV371" s="641"/>
      <c r="KCW371" s="631" t="s">
        <v>1842</v>
      </c>
      <c r="KCX371" s="632"/>
      <c r="KCY371" s="16"/>
      <c r="KCZ371" s="636">
        <v>1.5299999999999999E-2</v>
      </c>
      <c r="KDA371" s="636">
        <v>1.5299999999999999E-2</v>
      </c>
      <c r="KDB371" s="636">
        <v>1.5299999999999999E-2</v>
      </c>
      <c r="KDC371" s="636">
        <v>9.7000000000000003E-3</v>
      </c>
      <c r="KDD371" s="636">
        <v>9.7000000000000003E-3</v>
      </c>
      <c r="KDE371" s="649">
        <v>9.7000000000000003E-3</v>
      </c>
      <c r="KDF371" s="16"/>
      <c r="KDG371" s="320">
        <v>8.6999999999999994E-3</v>
      </c>
      <c r="KDH371" s="153"/>
      <c r="KDI371" s="153"/>
      <c r="KDJ371" s="153"/>
      <c r="KDK371" s="648"/>
      <c r="KDL371" s="641"/>
      <c r="KDM371" s="631" t="s">
        <v>1842</v>
      </c>
      <c r="KDN371" s="632"/>
      <c r="KDO371" s="16"/>
      <c r="KDP371" s="636">
        <v>1.5299999999999999E-2</v>
      </c>
      <c r="KDQ371" s="636">
        <v>1.5299999999999999E-2</v>
      </c>
      <c r="KDR371" s="636">
        <v>1.5299999999999999E-2</v>
      </c>
      <c r="KDS371" s="636">
        <v>9.7000000000000003E-3</v>
      </c>
      <c r="KDT371" s="636">
        <v>9.7000000000000003E-3</v>
      </c>
      <c r="KDU371" s="649">
        <v>9.7000000000000003E-3</v>
      </c>
      <c r="KDV371" s="16"/>
      <c r="KDW371" s="320">
        <v>8.6999999999999994E-3</v>
      </c>
      <c r="KDX371" s="153"/>
      <c r="KDY371" s="153"/>
      <c r="KDZ371" s="153"/>
      <c r="KEA371" s="648"/>
      <c r="KEB371" s="641"/>
      <c r="KEC371" s="631" t="s">
        <v>1842</v>
      </c>
      <c r="KED371" s="632"/>
      <c r="KEE371" s="16"/>
      <c r="KEF371" s="636">
        <v>1.5299999999999999E-2</v>
      </c>
      <c r="KEG371" s="636">
        <v>1.5299999999999999E-2</v>
      </c>
      <c r="KEH371" s="636">
        <v>1.5299999999999999E-2</v>
      </c>
      <c r="KEI371" s="636">
        <v>9.7000000000000003E-3</v>
      </c>
      <c r="KEJ371" s="636">
        <v>9.7000000000000003E-3</v>
      </c>
      <c r="KEK371" s="649">
        <v>9.7000000000000003E-3</v>
      </c>
      <c r="KEL371" s="16"/>
      <c r="KEM371" s="320">
        <v>8.6999999999999994E-3</v>
      </c>
      <c r="KEN371" s="153"/>
      <c r="KEO371" s="153"/>
      <c r="KEP371" s="153"/>
      <c r="KEQ371" s="648"/>
      <c r="KER371" s="641"/>
      <c r="KES371" s="631" t="s">
        <v>1842</v>
      </c>
      <c r="KET371" s="632"/>
      <c r="KEU371" s="16"/>
      <c r="KEV371" s="636">
        <v>1.5299999999999999E-2</v>
      </c>
      <c r="KEW371" s="636">
        <v>1.5299999999999999E-2</v>
      </c>
      <c r="KEX371" s="636">
        <v>1.5299999999999999E-2</v>
      </c>
      <c r="KEY371" s="636">
        <v>9.7000000000000003E-3</v>
      </c>
      <c r="KEZ371" s="636">
        <v>9.7000000000000003E-3</v>
      </c>
      <c r="KFA371" s="649">
        <v>9.7000000000000003E-3</v>
      </c>
      <c r="KFB371" s="16"/>
      <c r="KFC371" s="320">
        <v>8.6999999999999994E-3</v>
      </c>
      <c r="KFD371" s="153"/>
      <c r="KFE371" s="153"/>
      <c r="KFF371" s="153"/>
      <c r="KFG371" s="648"/>
      <c r="KFH371" s="641"/>
      <c r="KFI371" s="631" t="s">
        <v>1842</v>
      </c>
      <c r="KFJ371" s="632"/>
      <c r="KFK371" s="16"/>
      <c r="KFL371" s="636">
        <v>1.5299999999999999E-2</v>
      </c>
      <c r="KFM371" s="636">
        <v>1.5299999999999999E-2</v>
      </c>
      <c r="KFN371" s="636">
        <v>1.5299999999999999E-2</v>
      </c>
      <c r="KFO371" s="636">
        <v>9.7000000000000003E-3</v>
      </c>
      <c r="KFP371" s="636">
        <v>9.7000000000000003E-3</v>
      </c>
      <c r="KFQ371" s="649">
        <v>9.7000000000000003E-3</v>
      </c>
      <c r="KFR371" s="16"/>
      <c r="KFS371" s="320">
        <v>8.6999999999999994E-3</v>
      </c>
      <c r="KFT371" s="153"/>
      <c r="KFU371" s="153"/>
      <c r="KFV371" s="153"/>
      <c r="KFW371" s="648"/>
      <c r="KFX371" s="641"/>
      <c r="KFY371" s="631" t="s">
        <v>1842</v>
      </c>
      <c r="KFZ371" s="632"/>
      <c r="KGA371" s="16"/>
      <c r="KGB371" s="636">
        <v>1.5299999999999999E-2</v>
      </c>
      <c r="KGC371" s="636">
        <v>1.5299999999999999E-2</v>
      </c>
      <c r="KGD371" s="636">
        <v>1.5299999999999999E-2</v>
      </c>
      <c r="KGE371" s="636">
        <v>9.7000000000000003E-3</v>
      </c>
      <c r="KGF371" s="636">
        <v>9.7000000000000003E-3</v>
      </c>
      <c r="KGG371" s="649">
        <v>9.7000000000000003E-3</v>
      </c>
      <c r="KGH371" s="16"/>
      <c r="KGI371" s="320">
        <v>8.6999999999999994E-3</v>
      </c>
      <c r="KGJ371" s="153"/>
      <c r="KGK371" s="153"/>
      <c r="KGL371" s="153"/>
      <c r="KGM371" s="648"/>
      <c r="KGN371" s="641"/>
      <c r="KGO371" s="631" t="s">
        <v>1842</v>
      </c>
      <c r="KGP371" s="632"/>
      <c r="KGQ371" s="16"/>
      <c r="KGR371" s="636">
        <v>1.5299999999999999E-2</v>
      </c>
      <c r="KGS371" s="636">
        <v>1.5299999999999999E-2</v>
      </c>
      <c r="KGT371" s="636">
        <v>1.5299999999999999E-2</v>
      </c>
      <c r="KGU371" s="636">
        <v>9.7000000000000003E-3</v>
      </c>
      <c r="KGV371" s="636">
        <v>9.7000000000000003E-3</v>
      </c>
      <c r="KGW371" s="649">
        <v>9.7000000000000003E-3</v>
      </c>
      <c r="KGX371" s="16"/>
      <c r="KGY371" s="320">
        <v>8.6999999999999994E-3</v>
      </c>
      <c r="KGZ371" s="153"/>
      <c r="KHA371" s="153"/>
      <c r="KHB371" s="153"/>
      <c r="KHC371" s="648"/>
      <c r="KHD371" s="641"/>
      <c r="KHE371" s="631" t="s">
        <v>1842</v>
      </c>
      <c r="KHF371" s="632"/>
      <c r="KHG371" s="16"/>
      <c r="KHH371" s="636">
        <v>1.5299999999999999E-2</v>
      </c>
      <c r="KHI371" s="636">
        <v>1.5299999999999999E-2</v>
      </c>
      <c r="KHJ371" s="636">
        <v>1.5299999999999999E-2</v>
      </c>
      <c r="KHK371" s="636">
        <v>9.7000000000000003E-3</v>
      </c>
      <c r="KHL371" s="636">
        <v>9.7000000000000003E-3</v>
      </c>
      <c r="KHM371" s="649">
        <v>9.7000000000000003E-3</v>
      </c>
      <c r="KHN371" s="16"/>
      <c r="KHO371" s="320">
        <v>8.6999999999999994E-3</v>
      </c>
      <c r="KHP371" s="153"/>
      <c r="KHQ371" s="153"/>
      <c r="KHR371" s="153"/>
      <c r="KHS371" s="648"/>
      <c r="KHT371" s="641"/>
      <c r="KHU371" s="631" t="s">
        <v>1842</v>
      </c>
      <c r="KHV371" s="632"/>
      <c r="KHW371" s="16"/>
      <c r="KHX371" s="636">
        <v>1.5299999999999999E-2</v>
      </c>
      <c r="KHY371" s="636">
        <v>1.5299999999999999E-2</v>
      </c>
      <c r="KHZ371" s="636">
        <v>1.5299999999999999E-2</v>
      </c>
      <c r="KIA371" s="636">
        <v>9.7000000000000003E-3</v>
      </c>
      <c r="KIB371" s="636">
        <v>9.7000000000000003E-3</v>
      </c>
      <c r="KIC371" s="649">
        <v>9.7000000000000003E-3</v>
      </c>
      <c r="KID371" s="16"/>
      <c r="KIE371" s="320">
        <v>8.6999999999999994E-3</v>
      </c>
      <c r="KIF371" s="153"/>
      <c r="KIG371" s="153"/>
      <c r="KIH371" s="153"/>
      <c r="KII371" s="648"/>
      <c r="KIJ371" s="641"/>
      <c r="KIK371" s="631" t="s">
        <v>1842</v>
      </c>
      <c r="KIL371" s="632"/>
      <c r="KIM371" s="16"/>
      <c r="KIN371" s="636">
        <v>1.5299999999999999E-2</v>
      </c>
      <c r="KIO371" s="636">
        <v>1.5299999999999999E-2</v>
      </c>
      <c r="KIP371" s="636">
        <v>1.5299999999999999E-2</v>
      </c>
      <c r="KIQ371" s="636">
        <v>9.7000000000000003E-3</v>
      </c>
      <c r="KIR371" s="636">
        <v>9.7000000000000003E-3</v>
      </c>
      <c r="KIS371" s="649">
        <v>9.7000000000000003E-3</v>
      </c>
      <c r="KIT371" s="16"/>
      <c r="KIU371" s="320">
        <v>8.6999999999999994E-3</v>
      </c>
      <c r="KIV371" s="153"/>
      <c r="KIW371" s="153"/>
      <c r="KIX371" s="153"/>
      <c r="KIY371" s="648"/>
      <c r="KIZ371" s="641"/>
      <c r="KJA371" s="631" t="s">
        <v>1842</v>
      </c>
      <c r="KJB371" s="632"/>
      <c r="KJC371" s="16"/>
      <c r="KJD371" s="636">
        <v>1.5299999999999999E-2</v>
      </c>
      <c r="KJE371" s="636">
        <v>1.5299999999999999E-2</v>
      </c>
      <c r="KJF371" s="636">
        <v>1.5299999999999999E-2</v>
      </c>
      <c r="KJG371" s="636">
        <v>9.7000000000000003E-3</v>
      </c>
      <c r="KJH371" s="636">
        <v>9.7000000000000003E-3</v>
      </c>
      <c r="KJI371" s="649">
        <v>9.7000000000000003E-3</v>
      </c>
      <c r="KJJ371" s="16"/>
      <c r="KJK371" s="320">
        <v>8.6999999999999994E-3</v>
      </c>
      <c r="KJL371" s="153"/>
      <c r="KJM371" s="153"/>
      <c r="KJN371" s="153"/>
      <c r="KJO371" s="648"/>
      <c r="KJP371" s="641"/>
      <c r="KJQ371" s="631" t="s">
        <v>1842</v>
      </c>
      <c r="KJR371" s="632"/>
      <c r="KJS371" s="16"/>
      <c r="KJT371" s="636">
        <v>1.5299999999999999E-2</v>
      </c>
      <c r="KJU371" s="636">
        <v>1.5299999999999999E-2</v>
      </c>
      <c r="KJV371" s="636">
        <v>1.5299999999999999E-2</v>
      </c>
      <c r="KJW371" s="636">
        <v>9.7000000000000003E-3</v>
      </c>
      <c r="KJX371" s="636">
        <v>9.7000000000000003E-3</v>
      </c>
      <c r="KJY371" s="649">
        <v>9.7000000000000003E-3</v>
      </c>
      <c r="KJZ371" s="16"/>
      <c r="KKA371" s="320">
        <v>8.6999999999999994E-3</v>
      </c>
      <c r="KKB371" s="153"/>
      <c r="KKC371" s="153"/>
      <c r="KKD371" s="153"/>
      <c r="KKE371" s="648"/>
      <c r="KKF371" s="641"/>
      <c r="KKG371" s="631" t="s">
        <v>1842</v>
      </c>
      <c r="KKH371" s="632"/>
      <c r="KKI371" s="16"/>
      <c r="KKJ371" s="636">
        <v>1.5299999999999999E-2</v>
      </c>
      <c r="KKK371" s="636">
        <v>1.5299999999999999E-2</v>
      </c>
      <c r="KKL371" s="636">
        <v>1.5299999999999999E-2</v>
      </c>
      <c r="KKM371" s="636">
        <v>9.7000000000000003E-3</v>
      </c>
      <c r="KKN371" s="636">
        <v>9.7000000000000003E-3</v>
      </c>
      <c r="KKO371" s="649">
        <v>9.7000000000000003E-3</v>
      </c>
      <c r="KKP371" s="16"/>
      <c r="KKQ371" s="320">
        <v>8.6999999999999994E-3</v>
      </c>
      <c r="KKR371" s="153"/>
      <c r="KKS371" s="153"/>
      <c r="KKT371" s="153"/>
      <c r="KKU371" s="648"/>
      <c r="KKV371" s="641"/>
      <c r="KKW371" s="631" t="s">
        <v>1842</v>
      </c>
      <c r="KKX371" s="632"/>
      <c r="KKY371" s="16"/>
      <c r="KKZ371" s="636">
        <v>1.5299999999999999E-2</v>
      </c>
      <c r="KLA371" s="636">
        <v>1.5299999999999999E-2</v>
      </c>
      <c r="KLB371" s="636">
        <v>1.5299999999999999E-2</v>
      </c>
      <c r="KLC371" s="636">
        <v>9.7000000000000003E-3</v>
      </c>
      <c r="KLD371" s="636">
        <v>9.7000000000000003E-3</v>
      </c>
      <c r="KLE371" s="649">
        <v>9.7000000000000003E-3</v>
      </c>
      <c r="KLF371" s="16"/>
      <c r="KLG371" s="320">
        <v>8.6999999999999994E-3</v>
      </c>
      <c r="KLH371" s="153"/>
      <c r="KLI371" s="153"/>
      <c r="KLJ371" s="153"/>
      <c r="KLK371" s="648"/>
      <c r="KLL371" s="641"/>
      <c r="KLM371" s="631" t="s">
        <v>1842</v>
      </c>
      <c r="KLN371" s="632"/>
      <c r="KLO371" s="16"/>
      <c r="KLP371" s="636">
        <v>1.5299999999999999E-2</v>
      </c>
      <c r="KLQ371" s="636">
        <v>1.5299999999999999E-2</v>
      </c>
      <c r="KLR371" s="636">
        <v>1.5299999999999999E-2</v>
      </c>
      <c r="KLS371" s="636">
        <v>9.7000000000000003E-3</v>
      </c>
      <c r="KLT371" s="636">
        <v>9.7000000000000003E-3</v>
      </c>
      <c r="KLU371" s="649">
        <v>9.7000000000000003E-3</v>
      </c>
      <c r="KLV371" s="16"/>
      <c r="KLW371" s="320">
        <v>8.6999999999999994E-3</v>
      </c>
      <c r="KLX371" s="153"/>
      <c r="KLY371" s="153"/>
      <c r="KLZ371" s="153"/>
      <c r="KMA371" s="648"/>
      <c r="KMB371" s="641"/>
      <c r="KMC371" s="631" t="s">
        <v>1842</v>
      </c>
      <c r="KMD371" s="632"/>
      <c r="KME371" s="16"/>
      <c r="KMF371" s="636">
        <v>1.5299999999999999E-2</v>
      </c>
      <c r="KMG371" s="636">
        <v>1.5299999999999999E-2</v>
      </c>
      <c r="KMH371" s="636">
        <v>1.5299999999999999E-2</v>
      </c>
      <c r="KMI371" s="636">
        <v>9.7000000000000003E-3</v>
      </c>
      <c r="KMJ371" s="636">
        <v>9.7000000000000003E-3</v>
      </c>
      <c r="KMK371" s="649">
        <v>9.7000000000000003E-3</v>
      </c>
      <c r="KML371" s="16"/>
      <c r="KMM371" s="320">
        <v>8.6999999999999994E-3</v>
      </c>
      <c r="KMN371" s="153"/>
      <c r="KMO371" s="153"/>
      <c r="KMP371" s="153"/>
      <c r="KMQ371" s="648"/>
      <c r="KMR371" s="641"/>
      <c r="KMS371" s="631" t="s">
        <v>1842</v>
      </c>
      <c r="KMT371" s="632"/>
      <c r="KMU371" s="16"/>
      <c r="KMV371" s="636">
        <v>1.5299999999999999E-2</v>
      </c>
      <c r="KMW371" s="636">
        <v>1.5299999999999999E-2</v>
      </c>
      <c r="KMX371" s="636">
        <v>1.5299999999999999E-2</v>
      </c>
      <c r="KMY371" s="636">
        <v>9.7000000000000003E-3</v>
      </c>
      <c r="KMZ371" s="636">
        <v>9.7000000000000003E-3</v>
      </c>
      <c r="KNA371" s="649">
        <v>9.7000000000000003E-3</v>
      </c>
      <c r="KNB371" s="16"/>
      <c r="KNC371" s="320">
        <v>8.6999999999999994E-3</v>
      </c>
      <c r="KND371" s="153"/>
      <c r="KNE371" s="153"/>
      <c r="KNF371" s="153"/>
      <c r="KNG371" s="648"/>
      <c r="KNH371" s="641"/>
      <c r="KNI371" s="631" t="s">
        <v>1842</v>
      </c>
      <c r="KNJ371" s="632"/>
      <c r="KNK371" s="16"/>
      <c r="KNL371" s="636">
        <v>1.5299999999999999E-2</v>
      </c>
      <c r="KNM371" s="636">
        <v>1.5299999999999999E-2</v>
      </c>
      <c r="KNN371" s="636">
        <v>1.5299999999999999E-2</v>
      </c>
      <c r="KNO371" s="636">
        <v>9.7000000000000003E-3</v>
      </c>
      <c r="KNP371" s="636">
        <v>9.7000000000000003E-3</v>
      </c>
      <c r="KNQ371" s="649">
        <v>9.7000000000000003E-3</v>
      </c>
      <c r="KNR371" s="16"/>
      <c r="KNS371" s="320">
        <v>8.6999999999999994E-3</v>
      </c>
      <c r="KNT371" s="153"/>
      <c r="KNU371" s="153"/>
      <c r="KNV371" s="153"/>
      <c r="KNW371" s="648"/>
      <c r="KNX371" s="641"/>
      <c r="KNY371" s="631" t="s">
        <v>1842</v>
      </c>
      <c r="KNZ371" s="632"/>
      <c r="KOA371" s="16"/>
      <c r="KOB371" s="636">
        <v>1.5299999999999999E-2</v>
      </c>
      <c r="KOC371" s="636">
        <v>1.5299999999999999E-2</v>
      </c>
      <c r="KOD371" s="636">
        <v>1.5299999999999999E-2</v>
      </c>
      <c r="KOE371" s="636">
        <v>9.7000000000000003E-3</v>
      </c>
      <c r="KOF371" s="636">
        <v>9.7000000000000003E-3</v>
      </c>
      <c r="KOG371" s="649">
        <v>9.7000000000000003E-3</v>
      </c>
      <c r="KOH371" s="16"/>
      <c r="KOI371" s="320">
        <v>8.6999999999999994E-3</v>
      </c>
      <c r="KOJ371" s="153"/>
      <c r="KOK371" s="153"/>
      <c r="KOL371" s="153"/>
      <c r="KOM371" s="648"/>
      <c r="KON371" s="641"/>
      <c r="KOO371" s="631" t="s">
        <v>1842</v>
      </c>
      <c r="KOP371" s="632"/>
      <c r="KOQ371" s="16"/>
      <c r="KOR371" s="636">
        <v>1.5299999999999999E-2</v>
      </c>
      <c r="KOS371" s="636">
        <v>1.5299999999999999E-2</v>
      </c>
      <c r="KOT371" s="636">
        <v>1.5299999999999999E-2</v>
      </c>
      <c r="KOU371" s="636">
        <v>9.7000000000000003E-3</v>
      </c>
      <c r="KOV371" s="636">
        <v>9.7000000000000003E-3</v>
      </c>
      <c r="KOW371" s="649">
        <v>9.7000000000000003E-3</v>
      </c>
      <c r="KOX371" s="16"/>
      <c r="KOY371" s="320">
        <v>8.6999999999999994E-3</v>
      </c>
      <c r="KOZ371" s="153"/>
      <c r="KPA371" s="153"/>
      <c r="KPB371" s="153"/>
      <c r="KPC371" s="648"/>
      <c r="KPD371" s="641"/>
      <c r="KPE371" s="631" t="s">
        <v>1842</v>
      </c>
      <c r="KPF371" s="632"/>
      <c r="KPG371" s="16"/>
      <c r="KPH371" s="636">
        <v>1.5299999999999999E-2</v>
      </c>
      <c r="KPI371" s="636">
        <v>1.5299999999999999E-2</v>
      </c>
      <c r="KPJ371" s="636">
        <v>1.5299999999999999E-2</v>
      </c>
      <c r="KPK371" s="636">
        <v>9.7000000000000003E-3</v>
      </c>
      <c r="KPL371" s="636">
        <v>9.7000000000000003E-3</v>
      </c>
      <c r="KPM371" s="649">
        <v>9.7000000000000003E-3</v>
      </c>
      <c r="KPN371" s="16"/>
      <c r="KPO371" s="320">
        <v>8.6999999999999994E-3</v>
      </c>
      <c r="KPP371" s="153"/>
      <c r="KPQ371" s="153"/>
      <c r="KPR371" s="153"/>
      <c r="KPS371" s="648"/>
      <c r="KPT371" s="641"/>
      <c r="KPU371" s="631" t="s">
        <v>1842</v>
      </c>
      <c r="KPV371" s="632"/>
      <c r="KPW371" s="16"/>
      <c r="KPX371" s="636">
        <v>1.5299999999999999E-2</v>
      </c>
      <c r="KPY371" s="636">
        <v>1.5299999999999999E-2</v>
      </c>
      <c r="KPZ371" s="636">
        <v>1.5299999999999999E-2</v>
      </c>
      <c r="KQA371" s="636">
        <v>9.7000000000000003E-3</v>
      </c>
      <c r="KQB371" s="636">
        <v>9.7000000000000003E-3</v>
      </c>
      <c r="KQC371" s="649">
        <v>9.7000000000000003E-3</v>
      </c>
      <c r="KQD371" s="16"/>
      <c r="KQE371" s="320">
        <v>8.6999999999999994E-3</v>
      </c>
      <c r="KQF371" s="153"/>
      <c r="KQG371" s="153"/>
      <c r="KQH371" s="153"/>
      <c r="KQI371" s="648"/>
      <c r="KQJ371" s="641"/>
      <c r="KQK371" s="631" t="s">
        <v>1842</v>
      </c>
      <c r="KQL371" s="632"/>
      <c r="KQM371" s="16"/>
      <c r="KQN371" s="636">
        <v>1.5299999999999999E-2</v>
      </c>
      <c r="KQO371" s="636">
        <v>1.5299999999999999E-2</v>
      </c>
      <c r="KQP371" s="636">
        <v>1.5299999999999999E-2</v>
      </c>
      <c r="KQQ371" s="636">
        <v>9.7000000000000003E-3</v>
      </c>
      <c r="KQR371" s="636">
        <v>9.7000000000000003E-3</v>
      </c>
      <c r="KQS371" s="649">
        <v>9.7000000000000003E-3</v>
      </c>
      <c r="KQT371" s="16"/>
      <c r="KQU371" s="320">
        <v>8.6999999999999994E-3</v>
      </c>
      <c r="KQV371" s="153"/>
      <c r="KQW371" s="153"/>
      <c r="KQX371" s="153"/>
      <c r="KQY371" s="648"/>
      <c r="KQZ371" s="641"/>
      <c r="KRA371" s="631" t="s">
        <v>1842</v>
      </c>
      <c r="KRB371" s="632"/>
      <c r="KRC371" s="16"/>
      <c r="KRD371" s="636">
        <v>1.5299999999999999E-2</v>
      </c>
      <c r="KRE371" s="636">
        <v>1.5299999999999999E-2</v>
      </c>
      <c r="KRF371" s="636">
        <v>1.5299999999999999E-2</v>
      </c>
      <c r="KRG371" s="636">
        <v>9.7000000000000003E-3</v>
      </c>
      <c r="KRH371" s="636">
        <v>9.7000000000000003E-3</v>
      </c>
      <c r="KRI371" s="649">
        <v>9.7000000000000003E-3</v>
      </c>
      <c r="KRJ371" s="16"/>
      <c r="KRK371" s="320">
        <v>8.6999999999999994E-3</v>
      </c>
      <c r="KRL371" s="153"/>
      <c r="KRM371" s="153"/>
      <c r="KRN371" s="153"/>
      <c r="KRO371" s="648"/>
      <c r="KRP371" s="641"/>
      <c r="KRQ371" s="631" t="s">
        <v>1842</v>
      </c>
      <c r="KRR371" s="632"/>
      <c r="KRS371" s="16"/>
      <c r="KRT371" s="636">
        <v>1.5299999999999999E-2</v>
      </c>
      <c r="KRU371" s="636">
        <v>1.5299999999999999E-2</v>
      </c>
      <c r="KRV371" s="636">
        <v>1.5299999999999999E-2</v>
      </c>
      <c r="KRW371" s="636">
        <v>9.7000000000000003E-3</v>
      </c>
      <c r="KRX371" s="636">
        <v>9.7000000000000003E-3</v>
      </c>
      <c r="KRY371" s="649">
        <v>9.7000000000000003E-3</v>
      </c>
      <c r="KRZ371" s="16"/>
      <c r="KSA371" s="320">
        <v>8.6999999999999994E-3</v>
      </c>
      <c r="KSB371" s="153"/>
      <c r="KSC371" s="153"/>
      <c r="KSD371" s="153"/>
      <c r="KSE371" s="648"/>
      <c r="KSF371" s="641"/>
      <c r="KSG371" s="631" t="s">
        <v>1842</v>
      </c>
      <c r="KSH371" s="632"/>
      <c r="KSI371" s="16"/>
      <c r="KSJ371" s="636">
        <v>1.5299999999999999E-2</v>
      </c>
      <c r="KSK371" s="636">
        <v>1.5299999999999999E-2</v>
      </c>
      <c r="KSL371" s="636">
        <v>1.5299999999999999E-2</v>
      </c>
      <c r="KSM371" s="636">
        <v>9.7000000000000003E-3</v>
      </c>
      <c r="KSN371" s="636">
        <v>9.7000000000000003E-3</v>
      </c>
      <c r="KSO371" s="649">
        <v>9.7000000000000003E-3</v>
      </c>
      <c r="KSP371" s="16"/>
      <c r="KSQ371" s="320">
        <v>8.6999999999999994E-3</v>
      </c>
      <c r="KSR371" s="153"/>
      <c r="KSS371" s="153"/>
      <c r="KST371" s="153"/>
      <c r="KSU371" s="648"/>
      <c r="KSV371" s="641"/>
      <c r="KSW371" s="631" t="s">
        <v>1842</v>
      </c>
      <c r="KSX371" s="632"/>
      <c r="KSY371" s="16"/>
      <c r="KSZ371" s="636">
        <v>1.5299999999999999E-2</v>
      </c>
      <c r="KTA371" s="636">
        <v>1.5299999999999999E-2</v>
      </c>
      <c r="KTB371" s="636">
        <v>1.5299999999999999E-2</v>
      </c>
      <c r="KTC371" s="636">
        <v>9.7000000000000003E-3</v>
      </c>
      <c r="KTD371" s="636">
        <v>9.7000000000000003E-3</v>
      </c>
      <c r="KTE371" s="649">
        <v>9.7000000000000003E-3</v>
      </c>
      <c r="KTF371" s="16"/>
      <c r="KTG371" s="320">
        <v>8.6999999999999994E-3</v>
      </c>
      <c r="KTH371" s="153"/>
      <c r="KTI371" s="153"/>
      <c r="KTJ371" s="153"/>
      <c r="KTK371" s="648"/>
      <c r="KTL371" s="641"/>
      <c r="KTM371" s="631" t="s">
        <v>1842</v>
      </c>
      <c r="KTN371" s="632"/>
      <c r="KTO371" s="16"/>
      <c r="KTP371" s="636">
        <v>1.5299999999999999E-2</v>
      </c>
      <c r="KTQ371" s="636">
        <v>1.5299999999999999E-2</v>
      </c>
      <c r="KTR371" s="636">
        <v>1.5299999999999999E-2</v>
      </c>
      <c r="KTS371" s="636">
        <v>9.7000000000000003E-3</v>
      </c>
      <c r="KTT371" s="636">
        <v>9.7000000000000003E-3</v>
      </c>
      <c r="KTU371" s="649">
        <v>9.7000000000000003E-3</v>
      </c>
      <c r="KTV371" s="16"/>
      <c r="KTW371" s="320">
        <v>8.6999999999999994E-3</v>
      </c>
      <c r="KTX371" s="153"/>
      <c r="KTY371" s="153"/>
      <c r="KTZ371" s="153"/>
      <c r="KUA371" s="648"/>
      <c r="KUB371" s="641"/>
      <c r="KUC371" s="631" t="s">
        <v>1842</v>
      </c>
      <c r="KUD371" s="632"/>
      <c r="KUE371" s="16"/>
      <c r="KUF371" s="636">
        <v>1.5299999999999999E-2</v>
      </c>
      <c r="KUG371" s="636">
        <v>1.5299999999999999E-2</v>
      </c>
      <c r="KUH371" s="636">
        <v>1.5299999999999999E-2</v>
      </c>
      <c r="KUI371" s="636">
        <v>9.7000000000000003E-3</v>
      </c>
      <c r="KUJ371" s="636">
        <v>9.7000000000000003E-3</v>
      </c>
      <c r="KUK371" s="649">
        <v>9.7000000000000003E-3</v>
      </c>
      <c r="KUL371" s="16"/>
      <c r="KUM371" s="320">
        <v>8.6999999999999994E-3</v>
      </c>
      <c r="KUN371" s="153"/>
      <c r="KUO371" s="153"/>
      <c r="KUP371" s="153"/>
      <c r="KUQ371" s="648"/>
      <c r="KUR371" s="641"/>
      <c r="KUS371" s="631" t="s">
        <v>1842</v>
      </c>
      <c r="KUT371" s="632"/>
      <c r="KUU371" s="16"/>
      <c r="KUV371" s="636">
        <v>1.5299999999999999E-2</v>
      </c>
      <c r="KUW371" s="636">
        <v>1.5299999999999999E-2</v>
      </c>
      <c r="KUX371" s="636">
        <v>1.5299999999999999E-2</v>
      </c>
      <c r="KUY371" s="636">
        <v>9.7000000000000003E-3</v>
      </c>
      <c r="KUZ371" s="636">
        <v>9.7000000000000003E-3</v>
      </c>
      <c r="KVA371" s="649">
        <v>9.7000000000000003E-3</v>
      </c>
      <c r="KVB371" s="16"/>
      <c r="KVC371" s="320">
        <v>8.6999999999999994E-3</v>
      </c>
      <c r="KVD371" s="153"/>
      <c r="KVE371" s="153"/>
      <c r="KVF371" s="153"/>
      <c r="KVG371" s="648"/>
      <c r="KVH371" s="641"/>
      <c r="KVI371" s="631" t="s">
        <v>1842</v>
      </c>
      <c r="KVJ371" s="632"/>
      <c r="KVK371" s="16"/>
      <c r="KVL371" s="636">
        <v>1.5299999999999999E-2</v>
      </c>
      <c r="KVM371" s="636">
        <v>1.5299999999999999E-2</v>
      </c>
      <c r="KVN371" s="636">
        <v>1.5299999999999999E-2</v>
      </c>
      <c r="KVO371" s="636">
        <v>9.7000000000000003E-3</v>
      </c>
      <c r="KVP371" s="636">
        <v>9.7000000000000003E-3</v>
      </c>
      <c r="KVQ371" s="649">
        <v>9.7000000000000003E-3</v>
      </c>
      <c r="KVR371" s="16"/>
      <c r="KVS371" s="320">
        <v>8.6999999999999994E-3</v>
      </c>
      <c r="KVT371" s="153"/>
      <c r="KVU371" s="153"/>
      <c r="KVV371" s="153"/>
      <c r="KVW371" s="648"/>
      <c r="KVX371" s="641"/>
      <c r="KVY371" s="631" t="s">
        <v>1842</v>
      </c>
      <c r="KVZ371" s="632"/>
      <c r="KWA371" s="16"/>
      <c r="KWB371" s="636">
        <v>1.5299999999999999E-2</v>
      </c>
      <c r="KWC371" s="636">
        <v>1.5299999999999999E-2</v>
      </c>
      <c r="KWD371" s="636">
        <v>1.5299999999999999E-2</v>
      </c>
      <c r="KWE371" s="636">
        <v>9.7000000000000003E-3</v>
      </c>
      <c r="KWF371" s="636">
        <v>9.7000000000000003E-3</v>
      </c>
      <c r="KWG371" s="649">
        <v>9.7000000000000003E-3</v>
      </c>
      <c r="KWH371" s="16"/>
      <c r="KWI371" s="320">
        <v>8.6999999999999994E-3</v>
      </c>
      <c r="KWJ371" s="153"/>
      <c r="KWK371" s="153"/>
      <c r="KWL371" s="153"/>
      <c r="KWM371" s="648"/>
      <c r="KWN371" s="641"/>
      <c r="KWO371" s="631" t="s">
        <v>1842</v>
      </c>
      <c r="KWP371" s="632"/>
      <c r="KWQ371" s="16"/>
      <c r="KWR371" s="636">
        <v>1.5299999999999999E-2</v>
      </c>
      <c r="KWS371" s="636">
        <v>1.5299999999999999E-2</v>
      </c>
      <c r="KWT371" s="636">
        <v>1.5299999999999999E-2</v>
      </c>
      <c r="KWU371" s="636">
        <v>9.7000000000000003E-3</v>
      </c>
      <c r="KWV371" s="636">
        <v>9.7000000000000003E-3</v>
      </c>
      <c r="KWW371" s="649">
        <v>9.7000000000000003E-3</v>
      </c>
      <c r="KWX371" s="16"/>
      <c r="KWY371" s="320">
        <v>8.6999999999999994E-3</v>
      </c>
      <c r="KWZ371" s="153"/>
      <c r="KXA371" s="153"/>
      <c r="KXB371" s="153"/>
      <c r="KXC371" s="648"/>
      <c r="KXD371" s="641"/>
      <c r="KXE371" s="631" t="s">
        <v>1842</v>
      </c>
      <c r="KXF371" s="632"/>
      <c r="KXG371" s="16"/>
      <c r="KXH371" s="636">
        <v>1.5299999999999999E-2</v>
      </c>
      <c r="KXI371" s="636">
        <v>1.5299999999999999E-2</v>
      </c>
      <c r="KXJ371" s="636">
        <v>1.5299999999999999E-2</v>
      </c>
      <c r="KXK371" s="636">
        <v>9.7000000000000003E-3</v>
      </c>
      <c r="KXL371" s="636">
        <v>9.7000000000000003E-3</v>
      </c>
      <c r="KXM371" s="649">
        <v>9.7000000000000003E-3</v>
      </c>
      <c r="KXN371" s="16"/>
      <c r="KXO371" s="320">
        <v>8.6999999999999994E-3</v>
      </c>
      <c r="KXP371" s="153"/>
      <c r="KXQ371" s="153"/>
      <c r="KXR371" s="153"/>
      <c r="KXS371" s="648"/>
      <c r="KXT371" s="641"/>
      <c r="KXU371" s="631" t="s">
        <v>1842</v>
      </c>
      <c r="KXV371" s="632"/>
      <c r="KXW371" s="16"/>
      <c r="KXX371" s="636">
        <v>1.5299999999999999E-2</v>
      </c>
      <c r="KXY371" s="636">
        <v>1.5299999999999999E-2</v>
      </c>
      <c r="KXZ371" s="636">
        <v>1.5299999999999999E-2</v>
      </c>
      <c r="KYA371" s="636">
        <v>9.7000000000000003E-3</v>
      </c>
      <c r="KYB371" s="636">
        <v>9.7000000000000003E-3</v>
      </c>
      <c r="KYC371" s="649">
        <v>9.7000000000000003E-3</v>
      </c>
      <c r="KYD371" s="16"/>
      <c r="KYE371" s="320">
        <v>8.6999999999999994E-3</v>
      </c>
      <c r="KYF371" s="153"/>
      <c r="KYG371" s="153"/>
      <c r="KYH371" s="153"/>
      <c r="KYI371" s="648"/>
      <c r="KYJ371" s="641"/>
      <c r="KYK371" s="631" t="s">
        <v>1842</v>
      </c>
      <c r="KYL371" s="632"/>
      <c r="KYM371" s="16"/>
      <c r="KYN371" s="636">
        <v>1.5299999999999999E-2</v>
      </c>
      <c r="KYO371" s="636">
        <v>1.5299999999999999E-2</v>
      </c>
      <c r="KYP371" s="636">
        <v>1.5299999999999999E-2</v>
      </c>
      <c r="KYQ371" s="636">
        <v>9.7000000000000003E-3</v>
      </c>
      <c r="KYR371" s="636">
        <v>9.7000000000000003E-3</v>
      </c>
      <c r="KYS371" s="649">
        <v>9.7000000000000003E-3</v>
      </c>
      <c r="KYT371" s="16"/>
      <c r="KYU371" s="320">
        <v>8.6999999999999994E-3</v>
      </c>
      <c r="KYV371" s="153"/>
      <c r="KYW371" s="153"/>
      <c r="KYX371" s="153"/>
      <c r="KYY371" s="648"/>
      <c r="KYZ371" s="641"/>
      <c r="KZA371" s="631" t="s">
        <v>1842</v>
      </c>
      <c r="KZB371" s="632"/>
      <c r="KZC371" s="16"/>
      <c r="KZD371" s="636">
        <v>1.5299999999999999E-2</v>
      </c>
      <c r="KZE371" s="636">
        <v>1.5299999999999999E-2</v>
      </c>
      <c r="KZF371" s="636">
        <v>1.5299999999999999E-2</v>
      </c>
      <c r="KZG371" s="636">
        <v>9.7000000000000003E-3</v>
      </c>
      <c r="KZH371" s="636">
        <v>9.7000000000000003E-3</v>
      </c>
      <c r="KZI371" s="649">
        <v>9.7000000000000003E-3</v>
      </c>
      <c r="KZJ371" s="16"/>
      <c r="KZK371" s="320">
        <v>8.6999999999999994E-3</v>
      </c>
      <c r="KZL371" s="153"/>
      <c r="KZM371" s="153"/>
      <c r="KZN371" s="153"/>
      <c r="KZO371" s="648"/>
      <c r="KZP371" s="641"/>
      <c r="KZQ371" s="631" t="s">
        <v>1842</v>
      </c>
      <c r="KZR371" s="632"/>
      <c r="KZS371" s="16"/>
      <c r="KZT371" s="636">
        <v>1.5299999999999999E-2</v>
      </c>
      <c r="KZU371" s="636">
        <v>1.5299999999999999E-2</v>
      </c>
      <c r="KZV371" s="636">
        <v>1.5299999999999999E-2</v>
      </c>
      <c r="KZW371" s="636">
        <v>9.7000000000000003E-3</v>
      </c>
      <c r="KZX371" s="636">
        <v>9.7000000000000003E-3</v>
      </c>
      <c r="KZY371" s="649">
        <v>9.7000000000000003E-3</v>
      </c>
      <c r="KZZ371" s="16"/>
      <c r="LAA371" s="320">
        <v>8.6999999999999994E-3</v>
      </c>
      <c r="LAB371" s="153"/>
      <c r="LAC371" s="153"/>
      <c r="LAD371" s="153"/>
      <c r="LAE371" s="648"/>
      <c r="LAF371" s="641"/>
      <c r="LAG371" s="631" t="s">
        <v>1842</v>
      </c>
      <c r="LAH371" s="632"/>
      <c r="LAI371" s="16"/>
      <c r="LAJ371" s="636">
        <v>1.5299999999999999E-2</v>
      </c>
      <c r="LAK371" s="636">
        <v>1.5299999999999999E-2</v>
      </c>
      <c r="LAL371" s="636">
        <v>1.5299999999999999E-2</v>
      </c>
      <c r="LAM371" s="636">
        <v>9.7000000000000003E-3</v>
      </c>
      <c r="LAN371" s="636">
        <v>9.7000000000000003E-3</v>
      </c>
      <c r="LAO371" s="649">
        <v>9.7000000000000003E-3</v>
      </c>
      <c r="LAP371" s="16"/>
      <c r="LAQ371" s="320">
        <v>8.6999999999999994E-3</v>
      </c>
      <c r="LAR371" s="153"/>
      <c r="LAS371" s="153"/>
      <c r="LAT371" s="153"/>
      <c r="LAU371" s="648"/>
      <c r="LAV371" s="641"/>
      <c r="LAW371" s="631" t="s">
        <v>1842</v>
      </c>
      <c r="LAX371" s="632"/>
      <c r="LAY371" s="16"/>
      <c r="LAZ371" s="636">
        <v>1.5299999999999999E-2</v>
      </c>
      <c r="LBA371" s="636">
        <v>1.5299999999999999E-2</v>
      </c>
      <c r="LBB371" s="636">
        <v>1.5299999999999999E-2</v>
      </c>
      <c r="LBC371" s="636">
        <v>9.7000000000000003E-3</v>
      </c>
      <c r="LBD371" s="636">
        <v>9.7000000000000003E-3</v>
      </c>
      <c r="LBE371" s="649">
        <v>9.7000000000000003E-3</v>
      </c>
      <c r="LBF371" s="16"/>
      <c r="LBG371" s="320">
        <v>8.6999999999999994E-3</v>
      </c>
      <c r="LBH371" s="153"/>
      <c r="LBI371" s="153"/>
      <c r="LBJ371" s="153"/>
      <c r="LBK371" s="648"/>
      <c r="LBL371" s="641"/>
      <c r="LBM371" s="631" t="s">
        <v>1842</v>
      </c>
      <c r="LBN371" s="632"/>
      <c r="LBO371" s="16"/>
      <c r="LBP371" s="636">
        <v>1.5299999999999999E-2</v>
      </c>
      <c r="LBQ371" s="636">
        <v>1.5299999999999999E-2</v>
      </c>
      <c r="LBR371" s="636">
        <v>1.5299999999999999E-2</v>
      </c>
      <c r="LBS371" s="636">
        <v>9.7000000000000003E-3</v>
      </c>
      <c r="LBT371" s="636">
        <v>9.7000000000000003E-3</v>
      </c>
      <c r="LBU371" s="649">
        <v>9.7000000000000003E-3</v>
      </c>
      <c r="LBV371" s="16"/>
      <c r="LBW371" s="320">
        <v>8.6999999999999994E-3</v>
      </c>
      <c r="LBX371" s="153"/>
      <c r="LBY371" s="153"/>
      <c r="LBZ371" s="153"/>
      <c r="LCA371" s="648"/>
      <c r="LCB371" s="641"/>
      <c r="LCC371" s="631" t="s">
        <v>1842</v>
      </c>
      <c r="LCD371" s="632"/>
      <c r="LCE371" s="16"/>
      <c r="LCF371" s="636">
        <v>1.5299999999999999E-2</v>
      </c>
      <c r="LCG371" s="636">
        <v>1.5299999999999999E-2</v>
      </c>
      <c r="LCH371" s="636">
        <v>1.5299999999999999E-2</v>
      </c>
      <c r="LCI371" s="636">
        <v>9.7000000000000003E-3</v>
      </c>
      <c r="LCJ371" s="636">
        <v>9.7000000000000003E-3</v>
      </c>
      <c r="LCK371" s="649">
        <v>9.7000000000000003E-3</v>
      </c>
      <c r="LCL371" s="16"/>
      <c r="LCM371" s="320">
        <v>8.6999999999999994E-3</v>
      </c>
      <c r="LCN371" s="153"/>
      <c r="LCO371" s="153"/>
      <c r="LCP371" s="153"/>
      <c r="LCQ371" s="648"/>
      <c r="LCR371" s="641"/>
      <c r="LCS371" s="631" t="s">
        <v>1842</v>
      </c>
      <c r="LCT371" s="632"/>
      <c r="LCU371" s="16"/>
      <c r="LCV371" s="636">
        <v>1.5299999999999999E-2</v>
      </c>
      <c r="LCW371" s="636">
        <v>1.5299999999999999E-2</v>
      </c>
      <c r="LCX371" s="636">
        <v>1.5299999999999999E-2</v>
      </c>
      <c r="LCY371" s="636">
        <v>9.7000000000000003E-3</v>
      </c>
      <c r="LCZ371" s="636">
        <v>9.7000000000000003E-3</v>
      </c>
      <c r="LDA371" s="649">
        <v>9.7000000000000003E-3</v>
      </c>
      <c r="LDB371" s="16"/>
      <c r="LDC371" s="320">
        <v>8.6999999999999994E-3</v>
      </c>
      <c r="LDD371" s="153"/>
      <c r="LDE371" s="153"/>
      <c r="LDF371" s="153"/>
      <c r="LDG371" s="648"/>
      <c r="LDH371" s="641"/>
      <c r="LDI371" s="631" t="s">
        <v>1842</v>
      </c>
      <c r="LDJ371" s="632"/>
      <c r="LDK371" s="16"/>
      <c r="LDL371" s="636">
        <v>1.5299999999999999E-2</v>
      </c>
      <c r="LDM371" s="636">
        <v>1.5299999999999999E-2</v>
      </c>
      <c r="LDN371" s="636">
        <v>1.5299999999999999E-2</v>
      </c>
      <c r="LDO371" s="636">
        <v>9.7000000000000003E-3</v>
      </c>
      <c r="LDP371" s="636">
        <v>9.7000000000000003E-3</v>
      </c>
      <c r="LDQ371" s="649">
        <v>9.7000000000000003E-3</v>
      </c>
      <c r="LDR371" s="16"/>
      <c r="LDS371" s="320">
        <v>8.6999999999999994E-3</v>
      </c>
      <c r="LDT371" s="153"/>
      <c r="LDU371" s="153"/>
      <c r="LDV371" s="153"/>
      <c r="LDW371" s="648"/>
      <c r="LDX371" s="641"/>
      <c r="LDY371" s="631" t="s">
        <v>1842</v>
      </c>
      <c r="LDZ371" s="632"/>
      <c r="LEA371" s="16"/>
      <c r="LEB371" s="636">
        <v>1.5299999999999999E-2</v>
      </c>
      <c r="LEC371" s="636">
        <v>1.5299999999999999E-2</v>
      </c>
      <c r="LED371" s="636">
        <v>1.5299999999999999E-2</v>
      </c>
      <c r="LEE371" s="636">
        <v>9.7000000000000003E-3</v>
      </c>
      <c r="LEF371" s="636">
        <v>9.7000000000000003E-3</v>
      </c>
      <c r="LEG371" s="649">
        <v>9.7000000000000003E-3</v>
      </c>
      <c r="LEH371" s="16"/>
      <c r="LEI371" s="320">
        <v>8.6999999999999994E-3</v>
      </c>
      <c r="LEJ371" s="153"/>
      <c r="LEK371" s="153"/>
      <c r="LEL371" s="153"/>
      <c r="LEM371" s="648"/>
      <c r="LEN371" s="641"/>
      <c r="LEO371" s="631" t="s">
        <v>1842</v>
      </c>
      <c r="LEP371" s="632"/>
      <c r="LEQ371" s="16"/>
      <c r="LER371" s="636">
        <v>1.5299999999999999E-2</v>
      </c>
      <c r="LES371" s="636">
        <v>1.5299999999999999E-2</v>
      </c>
      <c r="LET371" s="636">
        <v>1.5299999999999999E-2</v>
      </c>
      <c r="LEU371" s="636">
        <v>9.7000000000000003E-3</v>
      </c>
      <c r="LEV371" s="636">
        <v>9.7000000000000003E-3</v>
      </c>
      <c r="LEW371" s="649">
        <v>9.7000000000000003E-3</v>
      </c>
      <c r="LEX371" s="16"/>
      <c r="LEY371" s="320">
        <v>8.6999999999999994E-3</v>
      </c>
      <c r="LEZ371" s="153"/>
      <c r="LFA371" s="153"/>
      <c r="LFB371" s="153"/>
      <c r="LFC371" s="648"/>
      <c r="LFD371" s="641"/>
      <c r="LFE371" s="631" t="s">
        <v>1842</v>
      </c>
      <c r="LFF371" s="632"/>
      <c r="LFG371" s="16"/>
      <c r="LFH371" s="636">
        <v>1.5299999999999999E-2</v>
      </c>
      <c r="LFI371" s="636">
        <v>1.5299999999999999E-2</v>
      </c>
      <c r="LFJ371" s="636">
        <v>1.5299999999999999E-2</v>
      </c>
      <c r="LFK371" s="636">
        <v>9.7000000000000003E-3</v>
      </c>
      <c r="LFL371" s="636">
        <v>9.7000000000000003E-3</v>
      </c>
      <c r="LFM371" s="649">
        <v>9.7000000000000003E-3</v>
      </c>
      <c r="LFN371" s="16"/>
      <c r="LFO371" s="320">
        <v>8.6999999999999994E-3</v>
      </c>
      <c r="LFP371" s="153"/>
      <c r="LFQ371" s="153"/>
      <c r="LFR371" s="153"/>
      <c r="LFS371" s="648"/>
      <c r="LFT371" s="641"/>
      <c r="LFU371" s="631" t="s">
        <v>1842</v>
      </c>
      <c r="LFV371" s="632"/>
      <c r="LFW371" s="16"/>
      <c r="LFX371" s="636">
        <v>1.5299999999999999E-2</v>
      </c>
      <c r="LFY371" s="636">
        <v>1.5299999999999999E-2</v>
      </c>
      <c r="LFZ371" s="636">
        <v>1.5299999999999999E-2</v>
      </c>
      <c r="LGA371" s="636">
        <v>9.7000000000000003E-3</v>
      </c>
      <c r="LGB371" s="636">
        <v>9.7000000000000003E-3</v>
      </c>
      <c r="LGC371" s="649">
        <v>9.7000000000000003E-3</v>
      </c>
      <c r="LGD371" s="16"/>
      <c r="LGE371" s="320">
        <v>8.6999999999999994E-3</v>
      </c>
      <c r="LGF371" s="153"/>
      <c r="LGG371" s="153"/>
      <c r="LGH371" s="153"/>
      <c r="LGI371" s="648"/>
      <c r="LGJ371" s="641"/>
      <c r="LGK371" s="631" t="s">
        <v>1842</v>
      </c>
      <c r="LGL371" s="632"/>
      <c r="LGM371" s="16"/>
      <c r="LGN371" s="636">
        <v>1.5299999999999999E-2</v>
      </c>
      <c r="LGO371" s="636">
        <v>1.5299999999999999E-2</v>
      </c>
      <c r="LGP371" s="636">
        <v>1.5299999999999999E-2</v>
      </c>
      <c r="LGQ371" s="636">
        <v>9.7000000000000003E-3</v>
      </c>
      <c r="LGR371" s="636">
        <v>9.7000000000000003E-3</v>
      </c>
      <c r="LGS371" s="649">
        <v>9.7000000000000003E-3</v>
      </c>
      <c r="LGT371" s="16"/>
      <c r="LGU371" s="320">
        <v>8.6999999999999994E-3</v>
      </c>
      <c r="LGV371" s="153"/>
      <c r="LGW371" s="153"/>
      <c r="LGX371" s="153"/>
      <c r="LGY371" s="648"/>
      <c r="LGZ371" s="641"/>
      <c r="LHA371" s="631" t="s">
        <v>1842</v>
      </c>
      <c r="LHB371" s="632"/>
      <c r="LHC371" s="16"/>
      <c r="LHD371" s="636">
        <v>1.5299999999999999E-2</v>
      </c>
      <c r="LHE371" s="636">
        <v>1.5299999999999999E-2</v>
      </c>
      <c r="LHF371" s="636">
        <v>1.5299999999999999E-2</v>
      </c>
      <c r="LHG371" s="636">
        <v>9.7000000000000003E-3</v>
      </c>
      <c r="LHH371" s="636">
        <v>9.7000000000000003E-3</v>
      </c>
      <c r="LHI371" s="649">
        <v>9.7000000000000003E-3</v>
      </c>
      <c r="LHJ371" s="16"/>
      <c r="LHK371" s="320">
        <v>8.6999999999999994E-3</v>
      </c>
      <c r="LHL371" s="153"/>
      <c r="LHM371" s="153"/>
      <c r="LHN371" s="153"/>
      <c r="LHO371" s="648"/>
      <c r="LHP371" s="641"/>
      <c r="LHQ371" s="631" t="s">
        <v>1842</v>
      </c>
      <c r="LHR371" s="632"/>
      <c r="LHS371" s="16"/>
      <c r="LHT371" s="636">
        <v>1.5299999999999999E-2</v>
      </c>
      <c r="LHU371" s="636">
        <v>1.5299999999999999E-2</v>
      </c>
      <c r="LHV371" s="636">
        <v>1.5299999999999999E-2</v>
      </c>
      <c r="LHW371" s="636">
        <v>9.7000000000000003E-3</v>
      </c>
      <c r="LHX371" s="636">
        <v>9.7000000000000003E-3</v>
      </c>
      <c r="LHY371" s="649">
        <v>9.7000000000000003E-3</v>
      </c>
      <c r="LHZ371" s="16"/>
      <c r="LIA371" s="320">
        <v>8.6999999999999994E-3</v>
      </c>
      <c r="LIB371" s="153"/>
      <c r="LIC371" s="153"/>
      <c r="LID371" s="153"/>
      <c r="LIE371" s="648"/>
      <c r="LIF371" s="641"/>
      <c r="LIG371" s="631" t="s">
        <v>1842</v>
      </c>
      <c r="LIH371" s="632"/>
      <c r="LII371" s="16"/>
      <c r="LIJ371" s="636">
        <v>1.5299999999999999E-2</v>
      </c>
      <c r="LIK371" s="636">
        <v>1.5299999999999999E-2</v>
      </c>
      <c r="LIL371" s="636">
        <v>1.5299999999999999E-2</v>
      </c>
      <c r="LIM371" s="636">
        <v>9.7000000000000003E-3</v>
      </c>
      <c r="LIN371" s="636">
        <v>9.7000000000000003E-3</v>
      </c>
      <c r="LIO371" s="649">
        <v>9.7000000000000003E-3</v>
      </c>
      <c r="LIP371" s="16"/>
      <c r="LIQ371" s="320">
        <v>8.6999999999999994E-3</v>
      </c>
      <c r="LIR371" s="153"/>
      <c r="LIS371" s="153"/>
      <c r="LIT371" s="153"/>
      <c r="LIU371" s="648"/>
      <c r="LIV371" s="641"/>
      <c r="LIW371" s="631" t="s">
        <v>1842</v>
      </c>
      <c r="LIX371" s="632"/>
      <c r="LIY371" s="16"/>
      <c r="LIZ371" s="636">
        <v>1.5299999999999999E-2</v>
      </c>
      <c r="LJA371" s="636">
        <v>1.5299999999999999E-2</v>
      </c>
      <c r="LJB371" s="636">
        <v>1.5299999999999999E-2</v>
      </c>
      <c r="LJC371" s="636">
        <v>9.7000000000000003E-3</v>
      </c>
      <c r="LJD371" s="636">
        <v>9.7000000000000003E-3</v>
      </c>
      <c r="LJE371" s="649">
        <v>9.7000000000000003E-3</v>
      </c>
      <c r="LJF371" s="16"/>
      <c r="LJG371" s="320">
        <v>8.6999999999999994E-3</v>
      </c>
      <c r="LJH371" s="153"/>
      <c r="LJI371" s="153"/>
      <c r="LJJ371" s="153"/>
      <c r="LJK371" s="648"/>
      <c r="LJL371" s="641"/>
      <c r="LJM371" s="631" t="s">
        <v>1842</v>
      </c>
      <c r="LJN371" s="632"/>
      <c r="LJO371" s="16"/>
      <c r="LJP371" s="636">
        <v>1.5299999999999999E-2</v>
      </c>
      <c r="LJQ371" s="636">
        <v>1.5299999999999999E-2</v>
      </c>
      <c r="LJR371" s="636">
        <v>1.5299999999999999E-2</v>
      </c>
      <c r="LJS371" s="636">
        <v>9.7000000000000003E-3</v>
      </c>
      <c r="LJT371" s="636">
        <v>9.7000000000000003E-3</v>
      </c>
      <c r="LJU371" s="649">
        <v>9.7000000000000003E-3</v>
      </c>
      <c r="LJV371" s="16"/>
      <c r="LJW371" s="320">
        <v>8.6999999999999994E-3</v>
      </c>
      <c r="LJX371" s="153"/>
      <c r="LJY371" s="153"/>
      <c r="LJZ371" s="153"/>
      <c r="LKA371" s="648"/>
      <c r="LKB371" s="641"/>
      <c r="LKC371" s="631" t="s">
        <v>1842</v>
      </c>
      <c r="LKD371" s="632"/>
      <c r="LKE371" s="16"/>
      <c r="LKF371" s="636">
        <v>1.5299999999999999E-2</v>
      </c>
      <c r="LKG371" s="636">
        <v>1.5299999999999999E-2</v>
      </c>
      <c r="LKH371" s="636">
        <v>1.5299999999999999E-2</v>
      </c>
      <c r="LKI371" s="636">
        <v>9.7000000000000003E-3</v>
      </c>
      <c r="LKJ371" s="636">
        <v>9.7000000000000003E-3</v>
      </c>
      <c r="LKK371" s="649">
        <v>9.7000000000000003E-3</v>
      </c>
      <c r="LKL371" s="16"/>
      <c r="LKM371" s="320">
        <v>8.6999999999999994E-3</v>
      </c>
      <c r="LKN371" s="153"/>
      <c r="LKO371" s="153"/>
      <c r="LKP371" s="153"/>
      <c r="LKQ371" s="648"/>
      <c r="LKR371" s="641"/>
      <c r="LKS371" s="631" t="s">
        <v>1842</v>
      </c>
      <c r="LKT371" s="632"/>
      <c r="LKU371" s="16"/>
      <c r="LKV371" s="636">
        <v>1.5299999999999999E-2</v>
      </c>
      <c r="LKW371" s="636">
        <v>1.5299999999999999E-2</v>
      </c>
      <c r="LKX371" s="636">
        <v>1.5299999999999999E-2</v>
      </c>
      <c r="LKY371" s="636">
        <v>9.7000000000000003E-3</v>
      </c>
      <c r="LKZ371" s="636">
        <v>9.7000000000000003E-3</v>
      </c>
      <c r="LLA371" s="649">
        <v>9.7000000000000003E-3</v>
      </c>
      <c r="LLB371" s="16"/>
      <c r="LLC371" s="320">
        <v>8.6999999999999994E-3</v>
      </c>
      <c r="LLD371" s="153"/>
      <c r="LLE371" s="153"/>
      <c r="LLF371" s="153"/>
      <c r="LLG371" s="648"/>
      <c r="LLH371" s="641"/>
      <c r="LLI371" s="631" t="s">
        <v>1842</v>
      </c>
      <c r="LLJ371" s="632"/>
      <c r="LLK371" s="16"/>
      <c r="LLL371" s="636">
        <v>1.5299999999999999E-2</v>
      </c>
      <c r="LLM371" s="636">
        <v>1.5299999999999999E-2</v>
      </c>
      <c r="LLN371" s="636">
        <v>1.5299999999999999E-2</v>
      </c>
      <c r="LLO371" s="636">
        <v>9.7000000000000003E-3</v>
      </c>
      <c r="LLP371" s="636">
        <v>9.7000000000000003E-3</v>
      </c>
      <c r="LLQ371" s="649">
        <v>9.7000000000000003E-3</v>
      </c>
      <c r="LLR371" s="16"/>
      <c r="LLS371" s="320">
        <v>8.6999999999999994E-3</v>
      </c>
      <c r="LLT371" s="153"/>
      <c r="LLU371" s="153"/>
      <c r="LLV371" s="153"/>
      <c r="LLW371" s="648"/>
      <c r="LLX371" s="641"/>
      <c r="LLY371" s="631" t="s">
        <v>1842</v>
      </c>
      <c r="LLZ371" s="632"/>
      <c r="LMA371" s="16"/>
      <c r="LMB371" s="636">
        <v>1.5299999999999999E-2</v>
      </c>
      <c r="LMC371" s="636">
        <v>1.5299999999999999E-2</v>
      </c>
      <c r="LMD371" s="636">
        <v>1.5299999999999999E-2</v>
      </c>
      <c r="LME371" s="636">
        <v>9.7000000000000003E-3</v>
      </c>
      <c r="LMF371" s="636">
        <v>9.7000000000000003E-3</v>
      </c>
      <c r="LMG371" s="649">
        <v>9.7000000000000003E-3</v>
      </c>
      <c r="LMH371" s="16"/>
      <c r="LMI371" s="320">
        <v>8.6999999999999994E-3</v>
      </c>
      <c r="LMJ371" s="153"/>
      <c r="LMK371" s="153"/>
      <c r="LML371" s="153"/>
      <c r="LMM371" s="648"/>
      <c r="LMN371" s="641"/>
      <c r="LMO371" s="631" t="s">
        <v>1842</v>
      </c>
      <c r="LMP371" s="632"/>
      <c r="LMQ371" s="16"/>
      <c r="LMR371" s="636">
        <v>1.5299999999999999E-2</v>
      </c>
      <c r="LMS371" s="636">
        <v>1.5299999999999999E-2</v>
      </c>
      <c r="LMT371" s="636">
        <v>1.5299999999999999E-2</v>
      </c>
      <c r="LMU371" s="636">
        <v>9.7000000000000003E-3</v>
      </c>
      <c r="LMV371" s="636">
        <v>9.7000000000000003E-3</v>
      </c>
      <c r="LMW371" s="649">
        <v>9.7000000000000003E-3</v>
      </c>
      <c r="LMX371" s="16"/>
      <c r="LMY371" s="320">
        <v>8.6999999999999994E-3</v>
      </c>
      <c r="LMZ371" s="153"/>
      <c r="LNA371" s="153"/>
      <c r="LNB371" s="153"/>
      <c r="LNC371" s="648"/>
      <c r="LND371" s="641"/>
      <c r="LNE371" s="631" t="s">
        <v>1842</v>
      </c>
      <c r="LNF371" s="632"/>
      <c r="LNG371" s="16"/>
      <c r="LNH371" s="636">
        <v>1.5299999999999999E-2</v>
      </c>
      <c r="LNI371" s="636">
        <v>1.5299999999999999E-2</v>
      </c>
      <c r="LNJ371" s="636">
        <v>1.5299999999999999E-2</v>
      </c>
      <c r="LNK371" s="636">
        <v>9.7000000000000003E-3</v>
      </c>
      <c r="LNL371" s="636">
        <v>9.7000000000000003E-3</v>
      </c>
      <c r="LNM371" s="649">
        <v>9.7000000000000003E-3</v>
      </c>
      <c r="LNN371" s="16"/>
      <c r="LNO371" s="320">
        <v>8.6999999999999994E-3</v>
      </c>
      <c r="LNP371" s="153"/>
      <c r="LNQ371" s="153"/>
      <c r="LNR371" s="153"/>
      <c r="LNS371" s="648"/>
      <c r="LNT371" s="641"/>
      <c r="LNU371" s="631" t="s">
        <v>1842</v>
      </c>
      <c r="LNV371" s="632"/>
      <c r="LNW371" s="16"/>
      <c r="LNX371" s="636">
        <v>1.5299999999999999E-2</v>
      </c>
      <c r="LNY371" s="636">
        <v>1.5299999999999999E-2</v>
      </c>
      <c r="LNZ371" s="636">
        <v>1.5299999999999999E-2</v>
      </c>
      <c r="LOA371" s="636">
        <v>9.7000000000000003E-3</v>
      </c>
      <c r="LOB371" s="636">
        <v>9.7000000000000003E-3</v>
      </c>
      <c r="LOC371" s="649">
        <v>9.7000000000000003E-3</v>
      </c>
      <c r="LOD371" s="16"/>
      <c r="LOE371" s="320">
        <v>8.6999999999999994E-3</v>
      </c>
      <c r="LOF371" s="153"/>
      <c r="LOG371" s="153"/>
      <c r="LOH371" s="153"/>
      <c r="LOI371" s="648"/>
      <c r="LOJ371" s="641"/>
      <c r="LOK371" s="631" t="s">
        <v>1842</v>
      </c>
      <c r="LOL371" s="632"/>
      <c r="LOM371" s="16"/>
      <c r="LON371" s="636">
        <v>1.5299999999999999E-2</v>
      </c>
      <c r="LOO371" s="636">
        <v>1.5299999999999999E-2</v>
      </c>
      <c r="LOP371" s="636">
        <v>1.5299999999999999E-2</v>
      </c>
      <c r="LOQ371" s="636">
        <v>9.7000000000000003E-3</v>
      </c>
      <c r="LOR371" s="636">
        <v>9.7000000000000003E-3</v>
      </c>
      <c r="LOS371" s="649">
        <v>9.7000000000000003E-3</v>
      </c>
      <c r="LOT371" s="16"/>
      <c r="LOU371" s="320">
        <v>8.6999999999999994E-3</v>
      </c>
      <c r="LOV371" s="153"/>
      <c r="LOW371" s="153"/>
      <c r="LOX371" s="153"/>
      <c r="LOY371" s="648"/>
      <c r="LOZ371" s="641"/>
      <c r="LPA371" s="631" t="s">
        <v>1842</v>
      </c>
      <c r="LPB371" s="632"/>
      <c r="LPC371" s="16"/>
      <c r="LPD371" s="636">
        <v>1.5299999999999999E-2</v>
      </c>
      <c r="LPE371" s="636">
        <v>1.5299999999999999E-2</v>
      </c>
      <c r="LPF371" s="636">
        <v>1.5299999999999999E-2</v>
      </c>
      <c r="LPG371" s="636">
        <v>9.7000000000000003E-3</v>
      </c>
      <c r="LPH371" s="636">
        <v>9.7000000000000003E-3</v>
      </c>
      <c r="LPI371" s="649">
        <v>9.7000000000000003E-3</v>
      </c>
      <c r="LPJ371" s="16"/>
      <c r="LPK371" s="320">
        <v>8.6999999999999994E-3</v>
      </c>
      <c r="LPL371" s="153"/>
      <c r="LPM371" s="153"/>
      <c r="LPN371" s="153"/>
      <c r="LPO371" s="648"/>
      <c r="LPP371" s="641"/>
      <c r="LPQ371" s="631" t="s">
        <v>1842</v>
      </c>
      <c r="LPR371" s="632"/>
      <c r="LPS371" s="16"/>
      <c r="LPT371" s="636">
        <v>1.5299999999999999E-2</v>
      </c>
      <c r="LPU371" s="636">
        <v>1.5299999999999999E-2</v>
      </c>
      <c r="LPV371" s="636">
        <v>1.5299999999999999E-2</v>
      </c>
      <c r="LPW371" s="636">
        <v>9.7000000000000003E-3</v>
      </c>
      <c r="LPX371" s="636">
        <v>9.7000000000000003E-3</v>
      </c>
      <c r="LPY371" s="649">
        <v>9.7000000000000003E-3</v>
      </c>
      <c r="LPZ371" s="16"/>
      <c r="LQA371" s="320">
        <v>8.6999999999999994E-3</v>
      </c>
      <c r="LQB371" s="153"/>
      <c r="LQC371" s="153"/>
      <c r="LQD371" s="153"/>
      <c r="LQE371" s="648"/>
      <c r="LQF371" s="641"/>
      <c r="LQG371" s="631" t="s">
        <v>1842</v>
      </c>
      <c r="LQH371" s="632"/>
      <c r="LQI371" s="16"/>
      <c r="LQJ371" s="636">
        <v>1.5299999999999999E-2</v>
      </c>
      <c r="LQK371" s="636">
        <v>1.5299999999999999E-2</v>
      </c>
      <c r="LQL371" s="636">
        <v>1.5299999999999999E-2</v>
      </c>
      <c r="LQM371" s="636">
        <v>9.7000000000000003E-3</v>
      </c>
      <c r="LQN371" s="636">
        <v>9.7000000000000003E-3</v>
      </c>
      <c r="LQO371" s="649">
        <v>9.7000000000000003E-3</v>
      </c>
      <c r="LQP371" s="16"/>
      <c r="LQQ371" s="320">
        <v>8.6999999999999994E-3</v>
      </c>
      <c r="LQR371" s="153"/>
      <c r="LQS371" s="153"/>
      <c r="LQT371" s="153"/>
      <c r="LQU371" s="648"/>
      <c r="LQV371" s="641"/>
      <c r="LQW371" s="631" t="s">
        <v>1842</v>
      </c>
      <c r="LQX371" s="632"/>
      <c r="LQY371" s="16"/>
      <c r="LQZ371" s="636">
        <v>1.5299999999999999E-2</v>
      </c>
      <c r="LRA371" s="636">
        <v>1.5299999999999999E-2</v>
      </c>
      <c r="LRB371" s="636">
        <v>1.5299999999999999E-2</v>
      </c>
      <c r="LRC371" s="636">
        <v>9.7000000000000003E-3</v>
      </c>
      <c r="LRD371" s="636">
        <v>9.7000000000000003E-3</v>
      </c>
      <c r="LRE371" s="649">
        <v>9.7000000000000003E-3</v>
      </c>
      <c r="LRF371" s="16"/>
      <c r="LRG371" s="320">
        <v>8.6999999999999994E-3</v>
      </c>
      <c r="LRH371" s="153"/>
      <c r="LRI371" s="153"/>
      <c r="LRJ371" s="153"/>
      <c r="LRK371" s="648"/>
      <c r="LRL371" s="641"/>
      <c r="LRM371" s="631" t="s">
        <v>1842</v>
      </c>
      <c r="LRN371" s="632"/>
      <c r="LRO371" s="16"/>
      <c r="LRP371" s="636">
        <v>1.5299999999999999E-2</v>
      </c>
      <c r="LRQ371" s="636">
        <v>1.5299999999999999E-2</v>
      </c>
      <c r="LRR371" s="636">
        <v>1.5299999999999999E-2</v>
      </c>
      <c r="LRS371" s="636">
        <v>9.7000000000000003E-3</v>
      </c>
      <c r="LRT371" s="636">
        <v>9.7000000000000003E-3</v>
      </c>
      <c r="LRU371" s="649">
        <v>9.7000000000000003E-3</v>
      </c>
      <c r="LRV371" s="16"/>
      <c r="LRW371" s="320">
        <v>8.6999999999999994E-3</v>
      </c>
      <c r="LRX371" s="153"/>
      <c r="LRY371" s="153"/>
      <c r="LRZ371" s="153"/>
      <c r="LSA371" s="648"/>
      <c r="LSB371" s="641"/>
      <c r="LSC371" s="631" t="s">
        <v>1842</v>
      </c>
      <c r="LSD371" s="632"/>
      <c r="LSE371" s="16"/>
      <c r="LSF371" s="636">
        <v>1.5299999999999999E-2</v>
      </c>
      <c r="LSG371" s="636">
        <v>1.5299999999999999E-2</v>
      </c>
      <c r="LSH371" s="636">
        <v>1.5299999999999999E-2</v>
      </c>
      <c r="LSI371" s="636">
        <v>9.7000000000000003E-3</v>
      </c>
      <c r="LSJ371" s="636">
        <v>9.7000000000000003E-3</v>
      </c>
      <c r="LSK371" s="649">
        <v>9.7000000000000003E-3</v>
      </c>
      <c r="LSL371" s="16"/>
      <c r="LSM371" s="320">
        <v>8.6999999999999994E-3</v>
      </c>
      <c r="LSN371" s="153"/>
      <c r="LSO371" s="153"/>
      <c r="LSP371" s="153"/>
      <c r="LSQ371" s="648"/>
      <c r="LSR371" s="641"/>
      <c r="LSS371" s="631" t="s">
        <v>1842</v>
      </c>
      <c r="LST371" s="632"/>
      <c r="LSU371" s="16"/>
      <c r="LSV371" s="636">
        <v>1.5299999999999999E-2</v>
      </c>
      <c r="LSW371" s="636">
        <v>1.5299999999999999E-2</v>
      </c>
      <c r="LSX371" s="636">
        <v>1.5299999999999999E-2</v>
      </c>
      <c r="LSY371" s="636">
        <v>9.7000000000000003E-3</v>
      </c>
      <c r="LSZ371" s="636">
        <v>9.7000000000000003E-3</v>
      </c>
      <c r="LTA371" s="649">
        <v>9.7000000000000003E-3</v>
      </c>
      <c r="LTB371" s="16"/>
      <c r="LTC371" s="320">
        <v>8.6999999999999994E-3</v>
      </c>
      <c r="LTD371" s="153"/>
      <c r="LTE371" s="153"/>
      <c r="LTF371" s="153"/>
      <c r="LTG371" s="648"/>
      <c r="LTH371" s="641"/>
      <c r="LTI371" s="631" t="s">
        <v>1842</v>
      </c>
      <c r="LTJ371" s="632"/>
      <c r="LTK371" s="16"/>
      <c r="LTL371" s="636">
        <v>1.5299999999999999E-2</v>
      </c>
      <c r="LTM371" s="636">
        <v>1.5299999999999999E-2</v>
      </c>
      <c r="LTN371" s="636">
        <v>1.5299999999999999E-2</v>
      </c>
      <c r="LTO371" s="636">
        <v>9.7000000000000003E-3</v>
      </c>
      <c r="LTP371" s="636">
        <v>9.7000000000000003E-3</v>
      </c>
      <c r="LTQ371" s="649">
        <v>9.7000000000000003E-3</v>
      </c>
      <c r="LTR371" s="16"/>
      <c r="LTS371" s="320">
        <v>8.6999999999999994E-3</v>
      </c>
      <c r="LTT371" s="153"/>
      <c r="LTU371" s="153"/>
      <c r="LTV371" s="153"/>
      <c r="LTW371" s="648"/>
      <c r="LTX371" s="641"/>
      <c r="LTY371" s="631" t="s">
        <v>1842</v>
      </c>
      <c r="LTZ371" s="632"/>
      <c r="LUA371" s="16"/>
      <c r="LUB371" s="636">
        <v>1.5299999999999999E-2</v>
      </c>
      <c r="LUC371" s="636">
        <v>1.5299999999999999E-2</v>
      </c>
      <c r="LUD371" s="636">
        <v>1.5299999999999999E-2</v>
      </c>
      <c r="LUE371" s="636">
        <v>9.7000000000000003E-3</v>
      </c>
      <c r="LUF371" s="636">
        <v>9.7000000000000003E-3</v>
      </c>
      <c r="LUG371" s="649">
        <v>9.7000000000000003E-3</v>
      </c>
      <c r="LUH371" s="16"/>
      <c r="LUI371" s="320">
        <v>8.6999999999999994E-3</v>
      </c>
      <c r="LUJ371" s="153"/>
      <c r="LUK371" s="153"/>
      <c r="LUL371" s="153"/>
      <c r="LUM371" s="648"/>
      <c r="LUN371" s="641"/>
      <c r="LUO371" s="631" t="s">
        <v>1842</v>
      </c>
      <c r="LUP371" s="632"/>
      <c r="LUQ371" s="16"/>
      <c r="LUR371" s="636">
        <v>1.5299999999999999E-2</v>
      </c>
      <c r="LUS371" s="636">
        <v>1.5299999999999999E-2</v>
      </c>
      <c r="LUT371" s="636">
        <v>1.5299999999999999E-2</v>
      </c>
      <c r="LUU371" s="636">
        <v>9.7000000000000003E-3</v>
      </c>
      <c r="LUV371" s="636">
        <v>9.7000000000000003E-3</v>
      </c>
      <c r="LUW371" s="649">
        <v>9.7000000000000003E-3</v>
      </c>
      <c r="LUX371" s="16"/>
      <c r="LUY371" s="320">
        <v>8.6999999999999994E-3</v>
      </c>
      <c r="LUZ371" s="153"/>
      <c r="LVA371" s="153"/>
      <c r="LVB371" s="153"/>
      <c r="LVC371" s="648"/>
      <c r="LVD371" s="641"/>
      <c r="LVE371" s="631" t="s">
        <v>1842</v>
      </c>
      <c r="LVF371" s="632"/>
      <c r="LVG371" s="16"/>
      <c r="LVH371" s="636">
        <v>1.5299999999999999E-2</v>
      </c>
      <c r="LVI371" s="636">
        <v>1.5299999999999999E-2</v>
      </c>
      <c r="LVJ371" s="636">
        <v>1.5299999999999999E-2</v>
      </c>
      <c r="LVK371" s="636">
        <v>9.7000000000000003E-3</v>
      </c>
      <c r="LVL371" s="636">
        <v>9.7000000000000003E-3</v>
      </c>
      <c r="LVM371" s="649">
        <v>9.7000000000000003E-3</v>
      </c>
      <c r="LVN371" s="16"/>
      <c r="LVO371" s="320">
        <v>8.6999999999999994E-3</v>
      </c>
      <c r="LVP371" s="153"/>
      <c r="LVQ371" s="153"/>
      <c r="LVR371" s="153"/>
      <c r="LVS371" s="648"/>
      <c r="LVT371" s="641"/>
      <c r="LVU371" s="631" t="s">
        <v>1842</v>
      </c>
      <c r="LVV371" s="632"/>
      <c r="LVW371" s="16"/>
      <c r="LVX371" s="636">
        <v>1.5299999999999999E-2</v>
      </c>
      <c r="LVY371" s="636">
        <v>1.5299999999999999E-2</v>
      </c>
      <c r="LVZ371" s="636">
        <v>1.5299999999999999E-2</v>
      </c>
      <c r="LWA371" s="636">
        <v>9.7000000000000003E-3</v>
      </c>
      <c r="LWB371" s="636">
        <v>9.7000000000000003E-3</v>
      </c>
      <c r="LWC371" s="649">
        <v>9.7000000000000003E-3</v>
      </c>
      <c r="LWD371" s="16"/>
      <c r="LWE371" s="320">
        <v>8.6999999999999994E-3</v>
      </c>
      <c r="LWF371" s="153"/>
      <c r="LWG371" s="153"/>
      <c r="LWH371" s="153"/>
      <c r="LWI371" s="648"/>
      <c r="LWJ371" s="641"/>
      <c r="LWK371" s="631" t="s">
        <v>1842</v>
      </c>
      <c r="LWL371" s="632"/>
      <c r="LWM371" s="16"/>
      <c r="LWN371" s="636">
        <v>1.5299999999999999E-2</v>
      </c>
      <c r="LWO371" s="636">
        <v>1.5299999999999999E-2</v>
      </c>
      <c r="LWP371" s="636">
        <v>1.5299999999999999E-2</v>
      </c>
      <c r="LWQ371" s="636">
        <v>9.7000000000000003E-3</v>
      </c>
      <c r="LWR371" s="636">
        <v>9.7000000000000003E-3</v>
      </c>
      <c r="LWS371" s="649">
        <v>9.7000000000000003E-3</v>
      </c>
      <c r="LWT371" s="16"/>
      <c r="LWU371" s="320">
        <v>8.6999999999999994E-3</v>
      </c>
      <c r="LWV371" s="153"/>
      <c r="LWW371" s="153"/>
      <c r="LWX371" s="153"/>
      <c r="LWY371" s="648"/>
      <c r="LWZ371" s="641"/>
      <c r="LXA371" s="631" t="s">
        <v>1842</v>
      </c>
      <c r="LXB371" s="632"/>
      <c r="LXC371" s="16"/>
      <c r="LXD371" s="636">
        <v>1.5299999999999999E-2</v>
      </c>
      <c r="LXE371" s="636">
        <v>1.5299999999999999E-2</v>
      </c>
      <c r="LXF371" s="636">
        <v>1.5299999999999999E-2</v>
      </c>
      <c r="LXG371" s="636">
        <v>9.7000000000000003E-3</v>
      </c>
      <c r="LXH371" s="636">
        <v>9.7000000000000003E-3</v>
      </c>
      <c r="LXI371" s="649">
        <v>9.7000000000000003E-3</v>
      </c>
      <c r="LXJ371" s="16"/>
      <c r="LXK371" s="320">
        <v>8.6999999999999994E-3</v>
      </c>
      <c r="LXL371" s="153"/>
      <c r="LXM371" s="153"/>
      <c r="LXN371" s="153"/>
      <c r="LXO371" s="648"/>
      <c r="LXP371" s="641"/>
      <c r="LXQ371" s="631" t="s">
        <v>1842</v>
      </c>
      <c r="LXR371" s="632"/>
      <c r="LXS371" s="16"/>
      <c r="LXT371" s="636">
        <v>1.5299999999999999E-2</v>
      </c>
      <c r="LXU371" s="636">
        <v>1.5299999999999999E-2</v>
      </c>
      <c r="LXV371" s="636">
        <v>1.5299999999999999E-2</v>
      </c>
      <c r="LXW371" s="636">
        <v>9.7000000000000003E-3</v>
      </c>
      <c r="LXX371" s="636">
        <v>9.7000000000000003E-3</v>
      </c>
      <c r="LXY371" s="649">
        <v>9.7000000000000003E-3</v>
      </c>
      <c r="LXZ371" s="16"/>
      <c r="LYA371" s="320">
        <v>8.6999999999999994E-3</v>
      </c>
      <c r="LYB371" s="153"/>
      <c r="LYC371" s="153"/>
      <c r="LYD371" s="153"/>
      <c r="LYE371" s="648"/>
      <c r="LYF371" s="641"/>
      <c r="LYG371" s="631" t="s">
        <v>1842</v>
      </c>
      <c r="LYH371" s="632"/>
      <c r="LYI371" s="16"/>
      <c r="LYJ371" s="636">
        <v>1.5299999999999999E-2</v>
      </c>
      <c r="LYK371" s="636">
        <v>1.5299999999999999E-2</v>
      </c>
      <c r="LYL371" s="636">
        <v>1.5299999999999999E-2</v>
      </c>
      <c r="LYM371" s="636">
        <v>9.7000000000000003E-3</v>
      </c>
      <c r="LYN371" s="636">
        <v>9.7000000000000003E-3</v>
      </c>
      <c r="LYO371" s="649">
        <v>9.7000000000000003E-3</v>
      </c>
      <c r="LYP371" s="16"/>
      <c r="LYQ371" s="320">
        <v>8.6999999999999994E-3</v>
      </c>
      <c r="LYR371" s="153"/>
      <c r="LYS371" s="153"/>
      <c r="LYT371" s="153"/>
      <c r="LYU371" s="648"/>
      <c r="LYV371" s="641"/>
      <c r="LYW371" s="631" t="s">
        <v>1842</v>
      </c>
      <c r="LYX371" s="632"/>
      <c r="LYY371" s="16"/>
      <c r="LYZ371" s="636">
        <v>1.5299999999999999E-2</v>
      </c>
      <c r="LZA371" s="636">
        <v>1.5299999999999999E-2</v>
      </c>
      <c r="LZB371" s="636">
        <v>1.5299999999999999E-2</v>
      </c>
      <c r="LZC371" s="636">
        <v>9.7000000000000003E-3</v>
      </c>
      <c r="LZD371" s="636">
        <v>9.7000000000000003E-3</v>
      </c>
      <c r="LZE371" s="649">
        <v>9.7000000000000003E-3</v>
      </c>
      <c r="LZF371" s="16"/>
      <c r="LZG371" s="320">
        <v>8.6999999999999994E-3</v>
      </c>
      <c r="LZH371" s="153"/>
      <c r="LZI371" s="153"/>
      <c r="LZJ371" s="153"/>
      <c r="LZK371" s="648"/>
      <c r="LZL371" s="641"/>
      <c r="LZM371" s="631" t="s">
        <v>1842</v>
      </c>
      <c r="LZN371" s="632"/>
      <c r="LZO371" s="16"/>
      <c r="LZP371" s="636">
        <v>1.5299999999999999E-2</v>
      </c>
      <c r="LZQ371" s="636">
        <v>1.5299999999999999E-2</v>
      </c>
      <c r="LZR371" s="636">
        <v>1.5299999999999999E-2</v>
      </c>
      <c r="LZS371" s="636">
        <v>9.7000000000000003E-3</v>
      </c>
      <c r="LZT371" s="636">
        <v>9.7000000000000003E-3</v>
      </c>
      <c r="LZU371" s="649">
        <v>9.7000000000000003E-3</v>
      </c>
      <c r="LZV371" s="16"/>
      <c r="LZW371" s="320">
        <v>8.6999999999999994E-3</v>
      </c>
      <c r="LZX371" s="153"/>
      <c r="LZY371" s="153"/>
      <c r="LZZ371" s="153"/>
      <c r="MAA371" s="648"/>
      <c r="MAB371" s="641"/>
      <c r="MAC371" s="631" t="s">
        <v>1842</v>
      </c>
      <c r="MAD371" s="632"/>
      <c r="MAE371" s="16"/>
      <c r="MAF371" s="636">
        <v>1.5299999999999999E-2</v>
      </c>
      <c r="MAG371" s="636">
        <v>1.5299999999999999E-2</v>
      </c>
      <c r="MAH371" s="636">
        <v>1.5299999999999999E-2</v>
      </c>
      <c r="MAI371" s="636">
        <v>9.7000000000000003E-3</v>
      </c>
      <c r="MAJ371" s="636">
        <v>9.7000000000000003E-3</v>
      </c>
      <c r="MAK371" s="649">
        <v>9.7000000000000003E-3</v>
      </c>
      <c r="MAL371" s="16"/>
      <c r="MAM371" s="320">
        <v>8.6999999999999994E-3</v>
      </c>
      <c r="MAN371" s="153"/>
      <c r="MAO371" s="153"/>
      <c r="MAP371" s="153"/>
      <c r="MAQ371" s="648"/>
      <c r="MAR371" s="641"/>
      <c r="MAS371" s="631" t="s">
        <v>1842</v>
      </c>
      <c r="MAT371" s="632"/>
      <c r="MAU371" s="16"/>
      <c r="MAV371" s="636">
        <v>1.5299999999999999E-2</v>
      </c>
      <c r="MAW371" s="636">
        <v>1.5299999999999999E-2</v>
      </c>
      <c r="MAX371" s="636">
        <v>1.5299999999999999E-2</v>
      </c>
      <c r="MAY371" s="636">
        <v>9.7000000000000003E-3</v>
      </c>
      <c r="MAZ371" s="636">
        <v>9.7000000000000003E-3</v>
      </c>
      <c r="MBA371" s="649">
        <v>9.7000000000000003E-3</v>
      </c>
      <c r="MBB371" s="16"/>
      <c r="MBC371" s="320">
        <v>8.6999999999999994E-3</v>
      </c>
      <c r="MBD371" s="153"/>
      <c r="MBE371" s="153"/>
      <c r="MBF371" s="153"/>
      <c r="MBG371" s="648"/>
      <c r="MBH371" s="641"/>
      <c r="MBI371" s="631" t="s">
        <v>1842</v>
      </c>
      <c r="MBJ371" s="632"/>
      <c r="MBK371" s="16"/>
      <c r="MBL371" s="636">
        <v>1.5299999999999999E-2</v>
      </c>
      <c r="MBM371" s="636">
        <v>1.5299999999999999E-2</v>
      </c>
      <c r="MBN371" s="636">
        <v>1.5299999999999999E-2</v>
      </c>
      <c r="MBO371" s="636">
        <v>9.7000000000000003E-3</v>
      </c>
      <c r="MBP371" s="636">
        <v>9.7000000000000003E-3</v>
      </c>
      <c r="MBQ371" s="649">
        <v>9.7000000000000003E-3</v>
      </c>
      <c r="MBR371" s="16"/>
      <c r="MBS371" s="320">
        <v>8.6999999999999994E-3</v>
      </c>
      <c r="MBT371" s="153"/>
      <c r="MBU371" s="153"/>
      <c r="MBV371" s="153"/>
      <c r="MBW371" s="648"/>
      <c r="MBX371" s="641"/>
      <c r="MBY371" s="631" t="s">
        <v>1842</v>
      </c>
      <c r="MBZ371" s="632"/>
      <c r="MCA371" s="16"/>
      <c r="MCB371" s="636">
        <v>1.5299999999999999E-2</v>
      </c>
      <c r="MCC371" s="636">
        <v>1.5299999999999999E-2</v>
      </c>
      <c r="MCD371" s="636">
        <v>1.5299999999999999E-2</v>
      </c>
      <c r="MCE371" s="636">
        <v>9.7000000000000003E-3</v>
      </c>
      <c r="MCF371" s="636">
        <v>9.7000000000000003E-3</v>
      </c>
      <c r="MCG371" s="649">
        <v>9.7000000000000003E-3</v>
      </c>
      <c r="MCH371" s="16"/>
      <c r="MCI371" s="320">
        <v>8.6999999999999994E-3</v>
      </c>
      <c r="MCJ371" s="153"/>
      <c r="MCK371" s="153"/>
      <c r="MCL371" s="153"/>
      <c r="MCM371" s="648"/>
      <c r="MCN371" s="641"/>
      <c r="MCO371" s="631" t="s">
        <v>1842</v>
      </c>
      <c r="MCP371" s="632"/>
      <c r="MCQ371" s="16"/>
      <c r="MCR371" s="636">
        <v>1.5299999999999999E-2</v>
      </c>
      <c r="MCS371" s="636">
        <v>1.5299999999999999E-2</v>
      </c>
      <c r="MCT371" s="636">
        <v>1.5299999999999999E-2</v>
      </c>
      <c r="MCU371" s="636">
        <v>9.7000000000000003E-3</v>
      </c>
      <c r="MCV371" s="636">
        <v>9.7000000000000003E-3</v>
      </c>
      <c r="MCW371" s="649">
        <v>9.7000000000000003E-3</v>
      </c>
      <c r="MCX371" s="16"/>
      <c r="MCY371" s="320">
        <v>8.6999999999999994E-3</v>
      </c>
      <c r="MCZ371" s="153"/>
      <c r="MDA371" s="153"/>
      <c r="MDB371" s="153"/>
      <c r="MDC371" s="648"/>
      <c r="MDD371" s="641"/>
      <c r="MDE371" s="631" t="s">
        <v>1842</v>
      </c>
      <c r="MDF371" s="632"/>
      <c r="MDG371" s="16"/>
      <c r="MDH371" s="636">
        <v>1.5299999999999999E-2</v>
      </c>
      <c r="MDI371" s="636">
        <v>1.5299999999999999E-2</v>
      </c>
      <c r="MDJ371" s="636">
        <v>1.5299999999999999E-2</v>
      </c>
      <c r="MDK371" s="636">
        <v>9.7000000000000003E-3</v>
      </c>
      <c r="MDL371" s="636">
        <v>9.7000000000000003E-3</v>
      </c>
      <c r="MDM371" s="649">
        <v>9.7000000000000003E-3</v>
      </c>
      <c r="MDN371" s="16"/>
      <c r="MDO371" s="320">
        <v>8.6999999999999994E-3</v>
      </c>
      <c r="MDP371" s="153"/>
      <c r="MDQ371" s="153"/>
      <c r="MDR371" s="153"/>
      <c r="MDS371" s="648"/>
      <c r="MDT371" s="641"/>
      <c r="MDU371" s="631" t="s">
        <v>1842</v>
      </c>
      <c r="MDV371" s="632"/>
      <c r="MDW371" s="16"/>
      <c r="MDX371" s="636">
        <v>1.5299999999999999E-2</v>
      </c>
      <c r="MDY371" s="636">
        <v>1.5299999999999999E-2</v>
      </c>
      <c r="MDZ371" s="636">
        <v>1.5299999999999999E-2</v>
      </c>
      <c r="MEA371" s="636">
        <v>9.7000000000000003E-3</v>
      </c>
      <c r="MEB371" s="636">
        <v>9.7000000000000003E-3</v>
      </c>
      <c r="MEC371" s="649">
        <v>9.7000000000000003E-3</v>
      </c>
      <c r="MED371" s="16"/>
      <c r="MEE371" s="320">
        <v>8.6999999999999994E-3</v>
      </c>
      <c r="MEF371" s="153"/>
      <c r="MEG371" s="153"/>
      <c r="MEH371" s="153"/>
      <c r="MEI371" s="648"/>
      <c r="MEJ371" s="641"/>
      <c r="MEK371" s="631" t="s">
        <v>1842</v>
      </c>
      <c r="MEL371" s="632"/>
      <c r="MEM371" s="16"/>
      <c r="MEN371" s="636">
        <v>1.5299999999999999E-2</v>
      </c>
      <c r="MEO371" s="636">
        <v>1.5299999999999999E-2</v>
      </c>
      <c r="MEP371" s="636">
        <v>1.5299999999999999E-2</v>
      </c>
      <c r="MEQ371" s="636">
        <v>9.7000000000000003E-3</v>
      </c>
      <c r="MER371" s="636">
        <v>9.7000000000000003E-3</v>
      </c>
      <c r="MES371" s="649">
        <v>9.7000000000000003E-3</v>
      </c>
      <c r="MET371" s="16"/>
      <c r="MEU371" s="320">
        <v>8.6999999999999994E-3</v>
      </c>
      <c r="MEV371" s="153"/>
      <c r="MEW371" s="153"/>
      <c r="MEX371" s="153"/>
      <c r="MEY371" s="648"/>
      <c r="MEZ371" s="641"/>
      <c r="MFA371" s="631" t="s">
        <v>1842</v>
      </c>
      <c r="MFB371" s="632"/>
      <c r="MFC371" s="16"/>
      <c r="MFD371" s="636">
        <v>1.5299999999999999E-2</v>
      </c>
      <c r="MFE371" s="636">
        <v>1.5299999999999999E-2</v>
      </c>
      <c r="MFF371" s="636">
        <v>1.5299999999999999E-2</v>
      </c>
      <c r="MFG371" s="636">
        <v>9.7000000000000003E-3</v>
      </c>
      <c r="MFH371" s="636">
        <v>9.7000000000000003E-3</v>
      </c>
      <c r="MFI371" s="649">
        <v>9.7000000000000003E-3</v>
      </c>
      <c r="MFJ371" s="16"/>
      <c r="MFK371" s="320">
        <v>8.6999999999999994E-3</v>
      </c>
      <c r="MFL371" s="153"/>
      <c r="MFM371" s="153"/>
      <c r="MFN371" s="153"/>
      <c r="MFO371" s="648"/>
      <c r="MFP371" s="641"/>
      <c r="MFQ371" s="631" t="s">
        <v>1842</v>
      </c>
      <c r="MFR371" s="632"/>
      <c r="MFS371" s="16"/>
      <c r="MFT371" s="636">
        <v>1.5299999999999999E-2</v>
      </c>
      <c r="MFU371" s="636">
        <v>1.5299999999999999E-2</v>
      </c>
      <c r="MFV371" s="636">
        <v>1.5299999999999999E-2</v>
      </c>
      <c r="MFW371" s="636">
        <v>9.7000000000000003E-3</v>
      </c>
      <c r="MFX371" s="636">
        <v>9.7000000000000003E-3</v>
      </c>
      <c r="MFY371" s="649">
        <v>9.7000000000000003E-3</v>
      </c>
      <c r="MFZ371" s="16"/>
      <c r="MGA371" s="320">
        <v>8.6999999999999994E-3</v>
      </c>
      <c r="MGB371" s="153"/>
      <c r="MGC371" s="153"/>
      <c r="MGD371" s="153"/>
      <c r="MGE371" s="648"/>
      <c r="MGF371" s="641"/>
      <c r="MGG371" s="631" t="s">
        <v>1842</v>
      </c>
      <c r="MGH371" s="632"/>
      <c r="MGI371" s="16"/>
      <c r="MGJ371" s="636">
        <v>1.5299999999999999E-2</v>
      </c>
      <c r="MGK371" s="636">
        <v>1.5299999999999999E-2</v>
      </c>
      <c r="MGL371" s="636">
        <v>1.5299999999999999E-2</v>
      </c>
      <c r="MGM371" s="636">
        <v>9.7000000000000003E-3</v>
      </c>
      <c r="MGN371" s="636">
        <v>9.7000000000000003E-3</v>
      </c>
      <c r="MGO371" s="649">
        <v>9.7000000000000003E-3</v>
      </c>
      <c r="MGP371" s="16"/>
      <c r="MGQ371" s="320">
        <v>8.6999999999999994E-3</v>
      </c>
      <c r="MGR371" s="153"/>
      <c r="MGS371" s="153"/>
      <c r="MGT371" s="153"/>
      <c r="MGU371" s="648"/>
      <c r="MGV371" s="641"/>
      <c r="MGW371" s="631" t="s">
        <v>1842</v>
      </c>
      <c r="MGX371" s="632"/>
      <c r="MGY371" s="16"/>
      <c r="MGZ371" s="636">
        <v>1.5299999999999999E-2</v>
      </c>
      <c r="MHA371" s="636">
        <v>1.5299999999999999E-2</v>
      </c>
      <c r="MHB371" s="636">
        <v>1.5299999999999999E-2</v>
      </c>
      <c r="MHC371" s="636">
        <v>9.7000000000000003E-3</v>
      </c>
      <c r="MHD371" s="636">
        <v>9.7000000000000003E-3</v>
      </c>
      <c r="MHE371" s="649">
        <v>9.7000000000000003E-3</v>
      </c>
      <c r="MHF371" s="16"/>
      <c r="MHG371" s="320">
        <v>8.6999999999999994E-3</v>
      </c>
      <c r="MHH371" s="153"/>
      <c r="MHI371" s="153"/>
      <c r="MHJ371" s="153"/>
      <c r="MHK371" s="648"/>
      <c r="MHL371" s="641"/>
      <c r="MHM371" s="631" t="s">
        <v>1842</v>
      </c>
      <c r="MHN371" s="632"/>
      <c r="MHO371" s="16"/>
      <c r="MHP371" s="636">
        <v>1.5299999999999999E-2</v>
      </c>
      <c r="MHQ371" s="636">
        <v>1.5299999999999999E-2</v>
      </c>
      <c r="MHR371" s="636">
        <v>1.5299999999999999E-2</v>
      </c>
      <c r="MHS371" s="636">
        <v>9.7000000000000003E-3</v>
      </c>
      <c r="MHT371" s="636">
        <v>9.7000000000000003E-3</v>
      </c>
      <c r="MHU371" s="649">
        <v>9.7000000000000003E-3</v>
      </c>
      <c r="MHV371" s="16"/>
      <c r="MHW371" s="320">
        <v>8.6999999999999994E-3</v>
      </c>
      <c r="MHX371" s="153"/>
      <c r="MHY371" s="153"/>
      <c r="MHZ371" s="153"/>
      <c r="MIA371" s="648"/>
      <c r="MIB371" s="641"/>
      <c r="MIC371" s="631" t="s">
        <v>1842</v>
      </c>
      <c r="MID371" s="632"/>
      <c r="MIE371" s="16"/>
      <c r="MIF371" s="636">
        <v>1.5299999999999999E-2</v>
      </c>
      <c r="MIG371" s="636">
        <v>1.5299999999999999E-2</v>
      </c>
      <c r="MIH371" s="636">
        <v>1.5299999999999999E-2</v>
      </c>
      <c r="MII371" s="636">
        <v>9.7000000000000003E-3</v>
      </c>
      <c r="MIJ371" s="636">
        <v>9.7000000000000003E-3</v>
      </c>
      <c r="MIK371" s="649">
        <v>9.7000000000000003E-3</v>
      </c>
      <c r="MIL371" s="16"/>
      <c r="MIM371" s="320">
        <v>8.6999999999999994E-3</v>
      </c>
      <c r="MIN371" s="153"/>
      <c r="MIO371" s="153"/>
      <c r="MIP371" s="153"/>
      <c r="MIQ371" s="648"/>
      <c r="MIR371" s="641"/>
      <c r="MIS371" s="631" t="s">
        <v>1842</v>
      </c>
      <c r="MIT371" s="632"/>
      <c r="MIU371" s="16"/>
      <c r="MIV371" s="636">
        <v>1.5299999999999999E-2</v>
      </c>
      <c r="MIW371" s="636">
        <v>1.5299999999999999E-2</v>
      </c>
      <c r="MIX371" s="636">
        <v>1.5299999999999999E-2</v>
      </c>
      <c r="MIY371" s="636">
        <v>9.7000000000000003E-3</v>
      </c>
      <c r="MIZ371" s="636">
        <v>9.7000000000000003E-3</v>
      </c>
      <c r="MJA371" s="649">
        <v>9.7000000000000003E-3</v>
      </c>
      <c r="MJB371" s="16"/>
      <c r="MJC371" s="320">
        <v>8.6999999999999994E-3</v>
      </c>
      <c r="MJD371" s="153"/>
      <c r="MJE371" s="153"/>
      <c r="MJF371" s="153"/>
      <c r="MJG371" s="648"/>
      <c r="MJH371" s="641"/>
      <c r="MJI371" s="631" t="s">
        <v>1842</v>
      </c>
      <c r="MJJ371" s="632"/>
      <c r="MJK371" s="16"/>
      <c r="MJL371" s="636">
        <v>1.5299999999999999E-2</v>
      </c>
      <c r="MJM371" s="636">
        <v>1.5299999999999999E-2</v>
      </c>
      <c r="MJN371" s="636">
        <v>1.5299999999999999E-2</v>
      </c>
      <c r="MJO371" s="636">
        <v>9.7000000000000003E-3</v>
      </c>
      <c r="MJP371" s="636">
        <v>9.7000000000000003E-3</v>
      </c>
      <c r="MJQ371" s="649">
        <v>9.7000000000000003E-3</v>
      </c>
      <c r="MJR371" s="16"/>
      <c r="MJS371" s="320">
        <v>8.6999999999999994E-3</v>
      </c>
      <c r="MJT371" s="153"/>
      <c r="MJU371" s="153"/>
      <c r="MJV371" s="153"/>
      <c r="MJW371" s="648"/>
      <c r="MJX371" s="641"/>
      <c r="MJY371" s="631" t="s">
        <v>1842</v>
      </c>
      <c r="MJZ371" s="632"/>
      <c r="MKA371" s="16"/>
      <c r="MKB371" s="636">
        <v>1.5299999999999999E-2</v>
      </c>
      <c r="MKC371" s="636">
        <v>1.5299999999999999E-2</v>
      </c>
      <c r="MKD371" s="636">
        <v>1.5299999999999999E-2</v>
      </c>
      <c r="MKE371" s="636">
        <v>9.7000000000000003E-3</v>
      </c>
      <c r="MKF371" s="636">
        <v>9.7000000000000003E-3</v>
      </c>
      <c r="MKG371" s="649">
        <v>9.7000000000000003E-3</v>
      </c>
      <c r="MKH371" s="16"/>
      <c r="MKI371" s="320">
        <v>8.6999999999999994E-3</v>
      </c>
      <c r="MKJ371" s="153"/>
      <c r="MKK371" s="153"/>
      <c r="MKL371" s="153"/>
      <c r="MKM371" s="648"/>
      <c r="MKN371" s="641"/>
      <c r="MKO371" s="631" t="s">
        <v>1842</v>
      </c>
      <c r="MKP371" s="632"/>
      <c r="MKQ371" s="16"/>
      <c r="MKR371" s="636">
        <v>1.5299999999999999E-2</v>
      </c>
      <c r="MKS371" s="636">
        <v>1.5299999999999999E-2</v>
      </c>
      <c r="MKT371" s="636">
        <v>1.5299999999999999E-2</v>
      </c>
      <c r="MKU371" s="636">
        <v>9.7000000000000003E-3</v>
      </c>
      <c r="MKV371" s="636">
        <v>9.7000000000000003E-3</v>
      </c>
      <c r="MKW371" s="649">
        <v>9.7000000000000003E-3</v>
      </c>
      <c r="MKX371" s="16"/>
      <c r="MKY371" s="320">
        <v>8.6999999999999994E-3</v>
      </c>
      <c r="MKZ371" s="153"/>
      <c r="MLA371" s="153"/>
      <c r="MLB371" s="153"/>
      <c r="MLC371" s="648"/>
      <c r="MLD371" s="641"/>
      <c r="MLE371" s="631" t="s">
        <v>1842</v>
      </c>
      <c r="MLF371" s="632"/>
      <c r="MLG371" s="16"/>
      <c r="MLH371" s="636">
        <v>1.5299999999999999E-2</v>
      </c>
      <c r="MLI371" s="636">
        <v>1.5299999999999999E-2</v>
      </c>
      <c r="MLJ371" s="636">
        <v>1.5299999999999999E-2</v>
      </c>
      <c r="MLK371" s="636">
        <v>9.7000000000000003E-3</v>
      </c>
      <c r="MLL371" s="636">
        <v>9.7000000000000003E-3</v>
      </c>
      <c r="MLM371" s="649">
        <v>9.7000000000000003E-3</v>
      </c>
      <c r="MLN371" s="16"/>
      <c r="MLO371" s="320">
        <v>8.6999999999999994E-3</v>
      </c>
      <c r="MLP371" s="153"/>
      <c r="MLQ371" s="153"/>
      <c r="MLR371" s="153"/>
      <c r="MLS371" s="648"/>
      <c r="MLT371" s="641"/>
      <c r="MLU371" s="631" t="s">
        <v>1842</v>
      </c>
      <c r="MLV371" s="632"/>
      <c r="MLW371" s="16"/>
      <c r="MLX371" s="636">
        <v>1.5299999999999999E-2</v>
      </c>
      <c r="MLY371" s="636">
        <v>1.5299999999999999E-2</v>
      </c>
      <c r="MLZ371" s="636">
        <v>1.5299999999999999E-2</v>
      </c>
      <c r="MMA371" s="636">
        <v>9.7000000000000003E-3</v>
      </c>
      <c r="MMB371" s="636">
        <v>9.7000000000000003E-3</v>
      </c>
      <c r="MMC371" s="649">
        <v>9.7000000000000003E-3</v>
      </c>
      <c r="MMD371" s="16"/>
      <c r="MME371" s="320">
        <v>8.6999999999999994E-3</v>
      </c>
      <c r="MMF371" s="153"/>
      <c r="MMG371" s="153"/>
      <c r="MMH371" s="153"/>
      <c r="MMI371" s="648"/>
      <c r="MMJ371" s="641"/>
      <c r="MMK371" s="631" t="s">
        <v>1842</v>
      </c>
      <c r="MML371" s="632"/>
      <c r="MMM371" s="16"/>
      <c r="MMN371" s="636">
        <v>1.5299999999999999E-2</v>
      </c>
      <c r="MMO371" s="636">
        <v>1.5299999999999999E-2</v>
      </c>
      <c r="MMP371" s="636">
        <v>1.5299999999999999E-2</v>
      </c>
      <c r="MMQ371" s="636">
        <v>9.7000000000000003E-3</v>
      </c>
      <c r="MMR371" s="636">
        <v>9.7000000000000003E-3</v>
      </c>
      <c r="MMS371" s="649">
        <v>9.7000000000000003E-3</v>
      </c>
      <c r="MMT371" s="16"/>
      <c r="MMU371" s="320">
        <v>8.6999999999999994E-3</v>
      </c>
      <c r="MMV371" s="153"/>
      <c r="MMW371" s="153"/>
      <c r="MMX371" s="153"/>
      <c r="MMY371" s="648"/>
      <c r="MMZ371" s="641"/>
      <c r="MNA371" s="631" t="s">
        <v>1842</v>
      </c>
      <c r="MNB371" s="632"/>
      <c r="MNC371" s="16"/>
      <c r="MND371" s="636">
        <v>1.5299999999999999E-2</v>
      </c>
      <c r="MNE371" s="636">
        <v>1.5299999999999999E-2</v>
      </c>
      <c r="MNF371" s="636">
        <v>1.5299999999999999E-2</v>
      </c>
      <c r="MNG371" s="636">
        <v>9.7000000000000003E-3</v>
      </c>
      <c r="MNH371" s="636">
        <v>9.7000000000000003E-3</v>
      </c>
      <c r="MNI371" s="649">
        <v>9.7000000000000003E-3</v>
      </c>
      <c r="MNJ371" s="16"/>
      <c r="MNK371" s="320">
        <v>8.6999999999999994E-3</v>
      </c>
      <c r="MNL371" s="153"/>
      <c r="MNM371" s="153"/>
      <c r="MNN371" s="153"/>
      <c r="MNO371" s="648"/>
      <c r="MNP371" s="641"/>
      <c r="MNQ371" s="631" t="s">
        <v>1842</v>
      </c>
      <c r="MNR371" s="632"/>
      <c r="MNS371" s="16"/>
      <c r="MNT371" s="636">
        <v>1.5299999999999999E-2</v>
      </c>
      <c r="MNU371" s="636">
        <v>1.5299999999999999E-2</v>
      </c>
      <c r="MNV371" s="636">
        <v>1.5299999999999999E-2</v>
      </c>
      <c r="MNW371" s="636">
        <v>9.7000000000000003E-3</v>
      </c>
      <c r="MNX371" s="636">
        <v>9.7000000000000003E-3</v>
      </c>
      <c r="MNY371" s="649">
        <v>9.7000000000000003E-3</v>
      </c>
      <c r="MNZ371" s="16"/>
      <c r="MOA371" s="320">
        <v>8.6999999999999994E-3</v>
      </c>
      <c r="MOB371" s="153"/>
      <c r="MOC371" s="153"/>
      <c r="MOD371" s="153"/>
      <c r="MOE371" s="648"/>
      <c r="MOF371" s="641"/>
      <c r="MOG371" s="631" t="s">
        <v>1842</v>
      </c>
      <c r="MOH371" s="632"/>
      <c r="MOI371" s="16"/>
      <c r="MOJ371" s="636">
        <v>1.5299999999999999E-2</v>
      </c>
      <c r="MOK371" s="636">
        <v>1.5299999999999999E-2</v>
      </c>
      <c r="MOL371" s="636">
        <v>1.5299999999999999E-2</v>
      </c>
      <c r="MOM371" s="636">
        <v>9.7000000000000003E-3</v>
      </c>
      <c r="MON371" s="636">
        <v>9.7000000000000003E-3</v>
      </c>
      <c r="MOO371" s="649">
        <v>9.7000000000000003E-3</v>
      </c>
      <c r="MOP371" s="16"/>
      <c r="MOQ371" s="320">
        <v>8.6999999999999994E-3</v>
      </c>
      <c r="MOR371" s="153"/>
      <c r="MOS371" s="153"/>
      <c r="MOT371" s="153"/>
      <c r="MOU371" s="648"/>
      <c r="MOV371" s="641"/>
      <c r="MOW371" s="631" t="s">
        <v>1842</v>
      </c>
      <c r="MOX371" s="632"/>
      <c r="MOY371" s="16"/>
      <c r="MOZ371" s="636">
        <v>1.5299999999999999E-2</v>
      </c>
      <c r="MPA371" s="636">
        <v>1.5299999999999999E-2</v>
      </c>
      <c r="MPB371" s="636">
        <v>1.5299999999999999E-2</v>
      </c>
      <c r="MPC371" s="636">
        <v>9.7000000000000003E-3</v>
      </c>
      <c r="MPD371" s="636">
        <v>9.7000000000000003E-3</v>
      </c>
      <c r="MPE371" s="649">
        <v>9.7000000000000003E-3</v>
      </c>
      <c r="MPF371" s="16"/>
      <c r="MPG371" s="320">
        <v>8.6999999999999994E-3</v>
      </c>
      <c r="MPH371" s="153"/>
      <c r="MPI371" s="153"/>
      <c r="MPJ371" s="153"/>
      <c r="MPK371" s="648"/>
      <c r="MPL371" s="641"/>
      <c r="MPM371" s="631" t="s">
        <v>1842</v>
      </c>
      <c r="MPN371" s="632"/>
      <c r="MPO371" s="16"/>
      <c r="MPP371" s="636">
        <v>1.5299999999999999E-2</v>
      </c>
      <c r="MPQ371" s="636">
        <v>1.5299999999999999E-2</v>
      </c>
      <c r="MPR371" s="636">
        <v>1.5299999999999999E-2</v>
      </c>
      <c r="MPS371" s="636">
        <v>9.7000000000000003E-3</v>
      </c>
      <c r="MPT371" s="636">
        <v>9.7000000000000003E-3</v>
      </c>
      <c r="MPU371" s="649">
        <v>9.7000000000000003E-3</v>
      </c>
      <c r="MPV371" s="16"/>
      <c r="MPW371" s="320">
        <v>8.6999999999999994E-3</v>
      </c>
      <c r="MPX371" s="153"/>
      <c r="MPY371" s="153"/>
      <c r="MPZ371" s="153"/>
      <c r="MQA371" s="648"/>
      <c r="MQB371" s="641"/>
      <c r="MQC371" s="631" t="s">
        <v>1842</v>
      </c>
      <c r="MQD371" s="632"/>
      <c r="MQE371" s="16"/>
      <c r="MQF371" s="636">
        <v>1.5299999999999999E-2</v>
      </c>
      <c r="MQG371" s="636">
        <v>1.5299999999999999E-2</v>
      </c>
      <c r="MQH371" s="636">
        <v>1.5299999999999999E-2</v>
      </c>
      <c r="MQI371" s="636">
        <v>9.7000000000000003E-3</v>
      </c>
      <c r="MQJ371" s="636">
        <v>9.7000000000000003E-3</v>
      </c>
      <c r="MQK371" s="649">
        <v>9.7000000000000003E-3</v>
      </c>
      <c r="MQL371" s="16"/>
      <c r="MQM371" s="320">
        <v>8.6999999999999994E-3</v>
      </c>
      <c r="MQN371" s="153"/>
      <c r="MQO371" s="153"/>
      <c r="MQP371" s="153"/>
      <c r="MQQ371" s="648"/>
      <c r="MQR371" s="641"/>
      <c r="MQS371" s="631" t="s">
        <v>1842</v>
      </c>
      <c r="MQT371" s="632"/>
      <c r="MQU371" s="16"/>
      <c r="MQV371" s="636">
        <v>1.5299999999999999E-2</v>
      </c>
      <c r="MQW371" s="636">
        <v>1.5299999999999999E-2</v>
      </c>
      <c r="MQX371" s="636">
        <v>1.5299999999999999E-2</v>
      </c>
      <c r="MQY371" s="636">
        <v>9.7000000000000003E-3</v>
      </c>
      <c r="MQZ371" s="636">
        <v>9.7000000000000003E-3</v>
      </c>
      <c r="MRA371" s="649">
        <v>9.7000000000000003E-3</v>
      </c>
      <c r="MRB371" s="16"/>
      <c r="MRC371" s="320">
        <v>8.6999999999999994E-3</v>
      </c>
      <c r="MRD371" s="153"/>
      <c r="MRE371" s="153"/>
      <c r="MRF371" s="153"/>
      <c r="MRG371" s="648"/>
      <c r="MRH371" s="641"/>
      <c r="MRI371" s="631" t="s">
        <v>1842</v>
      </c>
      <c r="MRJ371" s="632"/>
      <c r="MRK371" s="16"/>
      <c r="MRL371" s="636">
        <v>1.5299999999999999E-2</v>
      </c>
      <c r="MRM371" s="636">
        <v>1.5299999999999999E-2</v>
      </c>
      <c r="MRN371" s="636">
        <v>1.5299999999999999E-2</v>
      </c>
      <c r="MRO371" s="636">
        <v>9.7000000000000003E-3</v>
      </c>
      <c r="MRP371" s="636">
        <v>9.7000000000000003E-3</v>
      </c>
      <c r="MRQ371" s="649">
        <v>9.7000000000000003E-3</v>
      </c>
      <c r="MRR371" s="16"/>
      <c r="MRS371" s="320">
        <v>8.6999999999999994E-3</v>
      </c>
      <c r="MRT371" s="153"/>
      <c r="MRU371" s="153"/>
      <c r="MRV371" s="153"/>
      <c r="MRW371" s="648"/>
      <c r="MRX371" s="641"/>
      <c r="MRY371" s="631" t="s">
        <v>1842</v>
      </c>
      <c r="MRZ371" s="632"/>
      <c r="MSA371" s="16"/>
      <c r="MSB371" s="636">
        <v>1.5299999999999999E-2</v>
      </c>
      <c r="MSC371" s="636">
        <v>1.5299999999999999E-2</v>
      </c>
      <c r="MSD371" s="636">
        <v>1.5299999999999999E-2</v>
      </c>
      <c r="MSE371" s="636">
        <v>9.7000000000000003E-3</v>
      </c>
      <c r="MSF371" s="636">
        <v>9.7000000000000003E-3</v>
      </c>
      <c r="MSG371" s="649">
        <v>9.7000000000000003E-3</v>
      </c>
      <c r="MSH371" s="16"/>
      <c r="MSI371" s="320">
        <v>8.6999999999999994E-3</v>
      </c>
      <c r="MSJ371" s="153"/>
      <c r="MSK371" s="153"/>
      <c r="MSL371" s="153"/>
      <c r="MSM371" s="648"/>
      <c r="MSN371" s="641"/>
      <c r="MSO371" s="631" t="s">
        <v>1842</v>
      </c>
      <c r="MSP371" s="632"/>
      <c r="MSQ371" s="16"/>
      <c r="MSR371" s="636">
        <v>1.5299999999999999E-2</v>
      </c>
      <c r="MSS371" s="636">
        <v>1.5299999999999999E-2</v>
      </c>
      <c r="MST371" s="636">
        <v>1.5299999999999999E-2</v>
      </c>
      <c r="MSU371" s="636">
        <v>9.7000000000000003E-3</v>
      </c>
      <c r="MSV371" s="636">
        <v>9.7000000000000003E-3</v>
      </c>
      <c r="MSW371" s="649">
        <v>9.7000000000000003E-3</v>
      </c>
      <c r="MSX371" s="16"/>
      <c r="MSY371" s="320">
        <v>8.6999999999999994E-3</v>
      </c>
      <c r="MSZ371" s="153"/>
      <c r="MTA371" s="153"/>
      <c r="MTB371" s="153"/>
      <c r="MTC371" s="648"/>
      <c r="MTD371" s="641"/>
      <c r="MTE371" s="631" t="s">
        <v>1842</v>
      </c>
      <c r="MTF371" s="632"/>
      <c r="MTG371" s="16"/>
      <c r="MTH371" s="636">
        <v>1.5299999999999999E-2</v>
      </c>
      <c r="MTI371" s="636">
        <v>1.5299999999999999E-2</v>
      </c>
      <c r="MTJ371" s="636">
        <v>1.5299999999999999E-2</v>
      </c>
      <c r="MTK371" s="636">
        <v>9.7000000000000003E-3</v>
      </c>
      <c r="MTL371" s="636">
        <v>9.7000000000000003E-3</v>
      </c>
      <c r="MTM371" s="649">
        <v>9.7000000000000003E-3</v>
      </c>
      <c r="MTN371" s="16"/>
      <c r="MTO371" s="320">
        <v>8.6999999999999994E-3</v>
      </c>
      <c r="MTP371" s="153"/>
      <c r="MTQ371" s="153"/>
      <c r="MTR371" s="153"/>
      <c r="MTS371" s="648"/>
      <c r="MTT371" s="641"/>
      <c r="MTU371" s="631" t="s">
        <v>1842</v>
      </c>
      <c r="MTV371" s="632"/>
      <c r="MTW371" s="16"/>
      <c r="MTX371" s="636">
        <v>1.5299999999999999E-2</v>
      </c>
      <c r="MTY371" s="636">
        <v>1.5299999999999999E-2</v>
      </c>
      <c r="MTZ371" s="636">
        <v>1.5299999999999999E-2</v>
      </c>
      <c r="MUA371" s="636">
        <v>9.7000000000000003E-3</v>
      </c>
      <c r="MUB371" s="636">
        <v>9.7000000000000003E-3</v>
      </c>
      <c r="MUC371" s="649">
        <v>9.7000000000000003E-3</v>
      </c>
      <c r="MUD371" s="16"/>
      <c r="MUE371" s="320">
        <v>8.6999999999999994E-3</v>
      </c>
      <c r="MUF371" s="153"/>
      <c r="MUG371" s="153"/>
      <c r="MUH371" s="153"/>
      <c r="MUI371" s="648"/>
      <c r="MUJ371" s="641"/>
      <c r="MUK371" s="631" t="s">
        <v>1842</v>
      </c>
      <c r="MUL371" s="632"/>
      <c r="MUM371" s="16"/>
      <c r="MUN371" s="636">
        <v>1.5299999999999999E-2</v>
      </c>
      <c r="MUO371" s="636">
        <v>1.5299999999999999E-2</v>
      </c>
      <c r="MUP371" s="636">
        <v>1.5299999999999999E-2</v>
      </c>
      <c r="MUQ371" s="636">
        <v>9.7000000000000003E-3</v>
      </c>
      <c r="MUR371" s="636">
        <v>9.7000000000000003E-3</v>
      </c>
      <c r="MUS371" s="649">
        <v>9.7000000000000003E-3</v>
      </c>
      <c r="MUT371" s="16"/>
      <c r="MUU371" s="320">
        <v>8.6999999999999994E-3</v>
      </c>
      <c r="MUV371" s="153"/>
      <c r="MUW371" s="153"/>
      <c r="MUX371" s="153"/>
      <c r="MUY371" s="648"/>
      <c r="MUZ371" s="641"/>
      <c r="MVA371" s="631" t="s">
        <v>1842</v>
      </c>
      <c r="MVB371" s="632"/>
      <c r="MVC371" s="16"/>
      <c r="MVD371" s="636">
        <v>1.5299999999999999E-2</v>
      </c>
      <c r="MVE371" s="636">
        <v>1.5299999999999999E-2</v>
      </c>
      <c r="MVF371" s="636">
        <v>1.5299999999999999E-2</v>
      </c>
      <c r="MVG371" s="636">
        <v>9.7000000000000003E-3</v>
      </c>
      <c r="MVH371" s="636">
        <v>9.7000000000000003E-3</v>
      </c>
      <c r="MVI371" s="649">
        <v>9.7000000000000003E-3</v>
      </c>
      <c r="MVJ371" s="16"/>
      <c r="MVK371" s="320">
        <v>8.6999999999999994E-3</v>
      </c>
      <c r="MVL371" s="153"/>
      <c r="MVM371" s="153"/>
      <c r="MVN371" s="153"/>
      <c r="MVO371" s="648"/>
      <c r="MVP371" s="641"/>
      <c r="MVQ371" s="631" t="s">
        <v>1842</v>
      </c>
      <c r="MVR371" s="632"/>
      <c r="MVS371" s="16"/>
      <c r="MVT371" s="636">
        <v>1.5299999999999999E-2</v>
      </c>
      <c r="MVU371" s="636">
        <v>1.5299999999999999E-2</v>
      </c>
      <c r="MVV371" s="636">
        <v>1.5299999999999999E-2</v>
      </c>
      <c r="MVW371" s="636">
        <v>9.7000000000000003E-3</v>
      </c>
      <c r="MVX371" s="636">
        <v>9.7000000000000003E-3</v>
      </c>
      <c r="MVY371" s="649">
        <v>9.7000000000000003E-3</v>
      </c>
      <c r="MVZ371" s="16"/>
      <c r="MWA371" s="320">
        <v>8.6999999999999994E-3</v>
      </c>
      <c r="MWB371" s="153"/>
      <c r="MWC371" s="153"/>
      <c r="MWD371" s="153"/>
      <c r="MWE371" s="648"/>
      <c r="MWF371" s="641"/>
      <c r="MWG371" s="631" t="s">
        <v>1842</v>
      </c>
      <c r="MWH371" s="632"/>
      <c r="MWI371" s="16"/>
      <c r="MWJ371" s="636">
        <v>1.5299999999999999E-2</v>
      </c>
      <c r="MWK371" s="636">
        <v>1.5299999999999999E-2</v>
      </c>
      <c r="MWL371" s="636">
        <v>1.5299999999999999E-2</v>
      </c>
      <c r="MWM371" s="636">
        <v>9.7000000000000003E-3</v>
      </c>
      <c r="MWN371" s="636">
        <v>9.7000000000000003E-3</v>
      </c>
      <c r="MWO371" s="649">
        <v>9.7000000000000003E-3</v>
      </c>
      <c r="MWP371" s="16"/>
      <c r="MWQ371" s="320">
        <v>8.6999999999999994E-3</v>
      </c>
      <c r="MWR371" s="153"/>
      <c r="MWS371" s="153"/>
      <c r="MWT371" s="153"/>
      <c r="MWU371" s="648"/>
      <c r="MWV371" s="641"/>
      <c r="MWW371" s="631" t="s">
        <v>1842</v>
      </c>
      <c r="MWX371" s="632"/>
      <c r="MWY371" s="16"/>
      <c r="MWZ371" s="636">
        <v>1.5299999999999999E-2</v>
      </c>
      <c r="MXA371" s="636">
        <v>1.5299999999999999E-2</v>
      </c>
      <c r="MXB371" s="636">
        <v>1.5299999999999999E-2</v>
      </c>
      <c r="MXC371" s="636">
        <v>9.7000000000000003E-3</v>
      </c>
      <c r="MXD371" s="636">
        <v>9.7000000000000003E-3</v>
      </c>
      <c r="MXE371" s="649">
        <v>9.7000000000000003E-3</v>
      </c>
      <c r="MXF371" s="16"/>
      <c r="MXG371" s="320">
        <v>8.6999999999999994E-3</v>
      </c>
      <c r="MXH371" s="153"/>
      <c r="MXI371" s="153"/>
      <c r="MXJ371" s="153"/>
      <c r="MXK371" s="648"/>
      <c r="MXL371" s="641"/>
      <c r="MXM371" s="631" t="s">
        <v>1842</v>
      </c>
      <c r="MXN371" s="632"/>
      <c r="MXO371" s="16"/>
      <c r="MXP371" s="636">
        <v>1.5299999999999999E-2</v>
      </c>
      <c r="MXQ371" s="636">
        <v>1.5299999999999999E-2</v>
      </c>
      <c r="MXR371" s="636">
        <v>1.5299999999999999E-2</v>
      </c>
      <c r="MXS371" s="636">
        <v>9.7000000000000003E-3</v>
      </c>
      <c r="MXT371" s="636">
        <v>9.7000000000000003E-3</v>
      </c>
      <c r="MXU371" s="649">
        <v>9.7000000000000003E-3</v>
      </c>
      <c r="MXV371" s="16"/>
      <c r="MXW371" s="320">
        <v>8.6999999999999994E-3</v>
      </c>
      <c r="MXX371" s="153"/>
      <c r="MXY371" s="153"/>
      <c r="MXZ371" s="153"/>
      <c r="MYA371" s="648"/>
      <c r="MYB371" s="641"/>
      <c r="MYC371" s="631" t="s">
        <v>1842</v>
      </c>
      <c r="MYD371" s="632"/>
      <c r="MYE371" s="16"/>
      <c r="MYF371" s="636">
        <v>1.5299999999999999E-2</v>
      </c>
      <c r="MYG371" s="636">
        <v>1.5299999999999999E-2</v>
      </c>
      <c r="MYH371" s="636">
        <v>1.5299999999999999E-2</v>
      </c>
      <c r="MYI371" s="636">
        <v>9.7000000000000003E-3</v>
      </c>
      <c r="MYJ371" s="636">
        <v>9.7000000000000003E-3</v>
      </c>
      <c r="MYK371" s="649">
        <v>9.7000000000000003E-3</v>
      </c>
      <c r="MYL371" s="16"/>
      <c r="MYM371" s="320">
        <v>8.6999999999999994E-3</v>
      </c>
      <c r="MYN371" s="153"/>
      <c r="MYO371" s="153"/>
      <c r="MYP371" s="153"/>
      <c r="MYQ371" s="648"/>
      <c r="MYR371" s="641"/>
      <c r="MYS371" s="631" t="s">
        <v>1842</v>
      </c>
      <c r="MYT371" s="632"/>
      <c r="MYU371" s="16"/>
      <c r="MYV371" s="636">
        <v>1.5299999999999999E-2</v>
      </c>
      <c r="MYW371" s="636">
        <v>1.5299999999999999E-2</v>
      </c>
      <c r="MYX371" s="636">
        <v>1.5299999999999999E-2</v>
      </c>
      <c r="MYY371" s="636">
        <v>9.7000000000000003E-3</v>
      </c>
      <c r="MYZ371" s="636">
        <v>9.7000000000000003E-3</v>
      </c>
      <c r="MZA371" s="649">
        <v>9.7000000000000003E-3</v>
      </c>
      <c r="MZB371" s="16"/>
      <c r="MZC371" s="320">
        <v>8.6999999999999994E-3</v>
      </c>
      <c r="MZD371" s="153"/>
      <c r="MZE371" s="153"/>
      <c r="MZF371" s="153"/>
      <c r="MZG371" s="648"/>
      <c r="MZH371" s="641"/>
      <c r="MZI371" s="631" t="s">
        <v>1842</v>
      </c>
      <c r="MZJ371" s="632"/>
      <c r="MZK371" s="16"/>
      <c r="MZL371" s="636">
        <v>1.5299999999999999E-2</v>
      </c>
      <c r="MZM371" s="636">
        <v>1.5299999999999999E-2</v>
      </c>
      <c r="MZN371" s="636">
        <v>1.5299999999999999E-2</v>
      </c>
      <c r="MZO371" s="636">
        <v>9.7000000000000003E-3</v>
      </c>
      <c r="MZP371" s="636">
        <v>9.7000000000000003E-3</v>
      </c>
      <c r="MZQ371" s="649">
        <v>9.7000000000000003E-3</v>
      </c>
      <c r="MZR371" s="16"/>
      <c r="MZS371" s="320">
        <v>8.6999999999999994E-3</v>
      </c>
      <c r="MZT371" s="153"/>
      <c r="MZU371" s="153"/>
      <c r="MZV371" s="153"/>
      <c r="MZW371" s="648"/>
      <c r="MZX371" s="641"/>
      <c r="MZY371" s="631" t="s">
        <v>1842</v>
      </c>
      <c r="MZZ371" s="632"/>
      <c r="NAA371" s="16"/>
      <c r="NAB371" s="636">
        <v>1.5299999999999999E-2</v>
      </c>
      <c r="NAC371" s="636">
        <v>1.5299999999999999E-2</v>
      </c>
      <c r="NAD371" s="636">
        <v>1.5299999999999999E-2</v>
      </c>
      <c r="NAE371" s="636">
        <v>9.7000000000000003E-3</v>
      </c>
      <c r="NAF371" s="636">
        <v>9.7000000000000003E-3</v>
      </c>
      <c r="NAG371" s="649">
        <v>9.7000000000000003E-3</v>
      </c>
      <c r="NAH371" s="16"/>
      <c r="NAI371" s="320">
        <v>8.6999999999999994E-3</v>
      </c>
      <c r="NAJ371" s="153"/>
      <c r="NAK371" s="153"/>
      <c r="NAL371" s="153"/>
      <c r="NAM371" s="648"/>
      <c r="NAN371" s="641"/>
      <c r="NAO371" s="631" t="s">
        <v>1842</v>
      </c>
      <c r="NAP371" s="632"/>
      <c r="NAQ371" s="16"/>
      <c r="NAR371" s="636">
        <v>1.5299999999999999E-2</v>
      </c>
      <c r="NAS371" s="636">
        <v>1.5299999999999999E-2</v>
      </c>
      <c r="NAT371" s="636">
        <v>1.5299999999999999E-2</v>
      </c>
      <c r="NAU371" s="636">
        <v>9.7000000000000003E-3</v>
      </c>
      <c r="NAV371" s="636">
        <v>9.7000000000000003E-3</v>
      </c>
      <c r="NAW371" s="649">
        <v>9.7000000000000003E-3</v>
      </c>
      <c r="NAX371" s="16"/>
      <c r="NAY371" s="320">
        <v>8.6999999999999994E-3</v>
      </c>
      <c r="NAZ371" s="153"/>
      <c r="NBA371" s="153"/>
      <c r="NBB371" s="153"/>
      <c r="NBC371" s="648"/>
      <c r="NBD371" s="641"/>
      <c r="NBE371" s="631" t="s">
        <v>1842</v>
      </c>
      <c r="NBF371" s="632"/>
      <c r="NBG371" s="16"/>
      <c r="NBH371" s="636">
        <v>1.5299999999999999E-2</v>
      </c>
      <c r="NBI371" s="636">
        <v>1.5299999999999999E-2</v>
      </c>
      <c r="NBJ371" s="636">
        <v>1.5299999999999999E-2</v>
      </c>
      <c r="NBK371" s="636">
        <v>9.7000000000000003E-3</v>
      </c>
      <c r="NBL371" s="636">
        <v>9.7000000000000003E-3</v>
      </c>
      <c r="NBM371" s="649">
        <v>9.7000000000000003E-3</v>
      </c>
      <c r="NBN371" s="16"/>
      <c r="NBO371" s="320">
        <v>8.6999999999999994E-3</v>
      </c>
      <c r="NBP371" s="153"/>
      <c r="NBQ371" s="153"/>
      <c r="NBR371" s="153"/>
      <c r="NBS371" s="648"/>
      <c r="NBT371" s="641"/>
      <c r="NBU371" s="631" t="s">
        <v>1842</v>
      </c>
      <c r="NBV371" s="632"/>
      <c r="NBW371" s="16"/>
      <c r="NBX371" s="636">
        <v>1.5299999999999999E-2</v>
      </c>
      <c r="NBY371" s="636">
        <v>1.5299999999999999E-2</v>
      </c>
      <c r="NBZ371" s="636">
        <v>1.5299999999999999E-2</v>
      </c>
      <c r="NCA371" s="636">
        <v>9.7000000000000003E-3</v>
      </c>
      <c r="NCB371" s="636">
        <v>9.7000000000000003E-3</v>
      </c>
      <c r="NCC371" s="649">
        <v>9.7000000000000003E-3</v>
      </c>
      <c r="NCD371" s="16"/>
      <c r="NCE371" s="320">
        <v>8.6999999999999994E-3</v>
      </c>
      <c r="NCF371" s="153"/>
      <c r="NCG371" s="153"/>
      <c r="NCH371" s="153"/>
      <c r="NCI371" s="648"/>
      <c r="NCJ371" s="641"/>
      <c r="NCK371" s="631" t="s">
        <v>1842</v>
      </c>
      <c r="NCL371" s="632"/>
      <c r="NCM371" s="16"/>
      <c r="NCN371" s="636">
        <v>1.5299999999999999E-2</v>
      </c>
      <c r="NCO371" s="636">
        <v>1.5299999999999999E-2</v>
      </c>
      <c r="NCP371" s="636">
        <v>1.5299999999999999E-2</v>
      </c>
      <c r="NCQ371" s="636">
        <v>9.7000000000000003E-3</v>
      </c>
      <c r="NCR371" s="636">
        <v>9.7000000000000003E-3</v>
      </c>
      <c r="NCS371" s="649">
        <v>9.7000000000000003E-3</v>
      </c>
      <c r="NCT371" s="16"/>
      <c r="NCU371" s="320">
        <v>8.6999999999999994E-3</v>
      </c>
      <c r="NCV371" s="153"/>
      <c r="NCW371" s="153"/>
      <c r="NCX371" s="153"/>
      <c r="NCY371" s="648"/>
      <c r="NCZ371" s="641"/>
      <c r="NDA371" s="631" t="s">
        <v>1842</v>
      </c>
      <c r="NDB371" s="632"/>
      <c r="NDC371" s="16"/>
      <c r="NDD371" s="636">
        <v>1.5299999999999999E-2</v>
      </c>
      <c r="NDE371" s="636">
        <v>1.5299999999999999E-2</v>
      </c>
      <c r="NDF371" s="636">
        <v>1.5299999999999999E-2</v>
      </c>
      <c r="NDG371" s="636">
        <v>9.7000000000000003E-3</v>
      </c>
      <c r="NDH371" s="636">
        <v>9.7000000000000003E-3</v>
      </c>
      <c r="NDI371" s="649">
        <v>9.7000000000000003E-3</v>
      </c>
      <c r="NDJ371" s="16"/>
      <c r="NDK371" s="320">
        <v>8.6999999999999994E-3</v>
      </c>
      <c r="NDL371" s="153"/>
      <c r="NDM371" s="153"/>
      <c r="NDN371" s="153"/>
      <c r="NDO371" s="648"/>
      <c r="NDP371" s="641"/>
      <c r="NDQ371" s="631" t="s">
        <v>1842</v>
      </c>
      <c r="NDR371" s="632"/>
      <c r="NDS371" s="16"/>
      <c r="NDT371" s="636">
        <v>1.5299999999999999E-2</v>
      </c>
      <c r="NDU371" s="636">
        <v>1.5299999999999999E-2</v>
      </c>
      <c r="NDV371" s="636">
        <v>1.5299999999999999E-2</v>
      </c>
      <c r="NDW371" s="636">
        <v>9.7000000000000003E-3</v>
      </c>
      <c r="NDX371" s="636">
        <v>9.7000000000000003E-3</v>
      </c>
      <c r="NDY371" s="649">
        <v>9.7000000000000003E-3</v>
      </c>
      <c r="NDZ371" s="16"/>
      <c r="NEA371" s="320">
        <v>8.6999999999999994E-3</v>
      </c>
      <c r="NEB371" s="153"/>
      <c r="NEC371" s="153"/>
      <c r="NED371" s="153"/>
      <c r="NEE371" s="648"/>
      <c r="NEF371" s="641"/>
      <c r="NEG371" s="631" t="s">
        <v>1842</v>
      </c>
      <c r="NEH371" s="632"/>
      <c r="NEI371" s="16"/>
      <c r="NEJ371" s="636">
        <v>1.5299999999999999E-2</v>
      </c>
      <c r="NEK371" s="636">
        <v>1.5299999999999999E-2</v>
      </c>
      <c r="NEL371" s="636">
        <v>1.5299999999999999E-2</v>
      </c>
      <c r="NEM371" s="636">
        <v>9.7000000000000003E-3</v>
      </c>
      <c r="NEN371" s="636">
        <v>9.7000000000000003E-3</v>
      </c>
      <c r="NEO371" s="649">
        <v>9.7000000000000003E-3</v>
      </c>
      <c r="NEP371" s="16"/>
      <c r="NEQ371" s="320">
        <v>8.6999999999999994E-3</v>
      </c>
      <c r="NER371" s="153"/>
      <c r="NES371" s="153"/>
      <c r="NET371" s="153"/>
      <c r="NEU371" s="648"/>
      <c r="NEV371" s="641"/>
      <c r="NEW371" s="631" t="s">
        <v>1842</v>
      </c>
      <c r="NEX371" s="632"/>
      <c r="NEY371" s="16"/>
      <c r="NEZ371" s="636">
        <v>1.5299999999999999E-2</v>
      </c>
      <c r="NFA371" s="636">
        <v>1.5299999999999999E-2</v>
      </c>
      <c r="NFB371" s="636">
        <v>1.5299999999999999E-2</v>
      </c>
      <c r="NFC371" s="636">
        <v>9.7000000000000003E-3</v>
      </c>
      <c r="NFD371" s="636">
        <v>9.7000000000000003E-3</v>
      </c>
      <c r="NFE371" s="649">
        <v>9.7000000000000003E-3</v>
      </c>
      <c r="NFF371" s="16"/>
      <c r="NFG371" s="320">
        <v>8.6999999999999994E-3</v>
      </c>
      <c r="NFH371" s="153"/>
      <c r="NFI371" s="153"/>
      <c r="NFJ371" s="153"/>
      <c r="NFK371" s="648"/>
      <c r="NFL371" s="641"/>
      <c r="NFM371" s="631" t="s">
        <v>1842</v>
      </c>
      <c r="NFN371" s="632"/>
      <c r="NFO371" s="16"/>
      <c r="NFP371" s="636">
        <v>1.5299999999999999E-2</v>
      </c>
      <c r="NFQ371" s="636">
        <v>1.5299999999999999E-2</v>
      </c>
      <c r="NFR371" s="636">
        <v>1.5299999999999999E-2</v>
      </c>
      <c r="NFS371" s="636">
        <v>9.7000000000000003E-3</v>
      </c>
      <c r="NFT371" s="636">
        <v>9.7000000000000003E-3</v>
      </c>
      <c r="NFU371" s="649">
        <v>9.7000000000000003E-3</v>
      </c>
      <c r="NFV371" s="16"/>
      <c r="NFW371" s="320">
        <v>8.6999999999999994E-3</v>
      </c>
      <c r="NFX371" s="153"/>
      <c r="NFY371" s="153"/>
      <c r="NFZ371" s="153"/>
      <c r="NGA371" s="648"/>
      <c r="NGB371" s="641"/>
      <c r="NGC371" s="631" t="s">
        <v>1842</v>
      </c>
      <c r="NGD371" s="632"/>
      <c r="NGE371" s="16"/>
      <c r="NGF371" s="636">
        <v>1.5299999999999999E-2</v>
      </c>
      <c r="NGG371" s="636">
        <v>1.5299999999999999E-2</v>
      </c>
      <c r="NGH371" s="636">
        <v>1.5299999999999999E-2</v>
      </c>
      <c r="NGI371" s="636">
        <v>9.7000000000000003E-3</v>
      </c>
      <c r="NGJ371" s="636">
        <v>9.7000000000000003E-3</v>
      </c>
      <c r="NGK371" s="649">
        <v>9.7000000000000003E-3</v>
      </c>
      <c r="NGL371" s="16"/>
      <c r="NGM371" s="320">
        <v>8.6999999999999994E-3</v>
      </c>
      <c r="NGN371" s="153"/>
      <c r="NGO371" s="153"/>
      <c r="NGP371" s="153"/>
      <c r="NGQ371" s="648"/>
      <c r="NGR371" s="641"/>
      <c r="NGS371" s="631" t="s">
        <v>1842</v>
      </c>
      <c r="NGT371" s="632"/>
      <c r="NGU371" s="16"/>
      <c r="NGV371" s="636">
        <v>1.5299999999999999E-2</v>
      </c>
      <c r="NGW371" s="636">
        <v>1.5299999999999999E-2</v>
      </c>
      <c r="NGX371" s="636">
        <v>1.5299999999999999E-2</v>
      </c>
      <c r="NGY371" s="636">
        <v>9.7000000000000003E-3</v>
      </c>
      <c r="NGZ371" s="636">
        <v>9.7000000000000003E-3</v>
      </c>
      <c r="NHA371" s="649">
        <v>9.7000000000000003E-3</v>
      </c>
      <c r="NHB371" s="16"/>
      <c r="NHC371" s="320">
        <v>8.6999999999999994E-3</v>
      </c>
      <c r="NHD371" s="153"/>
      <c r="NHE371" s="153"/>
      <c r="NHF371" s="153"/>
      <c r="NHG371" s="648"/>
      <c r="NHH371" s="641"/>
      <c r="NHI371" s="631" t="s">
        <v>1842</v>
      </c>
      <c r="NHJ371" s="632"/>
      <c r="NHK371" s="16"/>
      <c r="NHL371" s="636">
        <v>1.5299999999999999E-2</v>
      </c>
      <c r="NHM371" s="636">
        <v>1.5299999999999999E-2</v>
      </c>
      <c r="NHN371" s="636">
        <v>1.5299999999999999E-2</v>
      </c>
      <c r="NHO371" s="636">
        <v>9.7000000000000003E-3</v>
      </c>
      <c r="NHP371" s="636">
        <v>9.7000000000000003E-3</v>
      </c>
      <c r="NHQ371" s="649">
        <v>9.7000000000000003E-3</v>
      </c>
      <c r="NHR371" s="16"/>
      <c r="NHS371" s="320">
        <v>8.6999999999999994E-3</v>
      </c>
      <c r="NHT371" s="153"/>
      <c r="NHU371" s="153"/>
      <c r="NHV371" s="153"/>
      <c r="NHW371" s="648"/>
      <c r="NHX371" s="641"/>
      <c r="NHY371" s="631" t="s">
        <v>1842</v>
      </c>
      <c r="NHZ371" s="632"/>
      <c r="NIA371" s="16"/>
      <c r="NIB371" s="636">
        <v>1.5299999999999999E-2</v>
      </c>
      <c r="NIC371" s="636">
        <v>1.5299999999999999E-2</v>
      </c>
      <c r="NID371" s="636">
        <v>1.5299999999999999E-2</v>
      </c>
      <c r="NIE371" s="636">
        <v>9.7000000000000003E-3</v>
      </c>
      <c r="NIF371" s="636">
        <v>9.7000000000000003E-3</v>
      </c>
      <c r="NIG371" s="649">
        <v>9.7000000000000003E-3</v>
      </c>
      <c r="NIH371" s="16"/>
      <c r="NII371" s="320">
        <v>8.6999999999999994E-3</v>
      </c>
      <c r="NIJ371" s="153"/>
      <c r="NIK371" s="153"/>
      <c r="NIL371" s="153"/>
      <c r="NIM371" s="648"/>
      <c r="NIN371" s="641"/>
      <c r="NIO371" s="631" t="s">
        <v>1842</v>
      </c>
      <c r="NIP371" s="632"/>
      <c r="NIQ371" s="16"/>
      <c r="NIR371" s="636">
        <v>1.5299999999999999E-2</v>
      </c>
      <c r="NIS371" s="636">
        <v>1.5299999999999999E-2</v>
      </c>
      <c r="NIT371" s="636">
        <v>1.5299999999999999E-2</v>
      </c>
      <c r="NIU371" s="636">
        <v>9.7000000000000003E-3</v>
      </c>
      <c r="NIV371" s="636">
        <v>9.7000000000000003E-3</v>
      </c>
      <c r="NIW371" s="649">
        <v>9.7000000000000003E-3</v>
      </c>
      <c r="NIX371" s="16"/>
      <c r="NIY371" s="320">
        <v>8.6999999999999994E-3</v>
      </c>
      <c r="NIZ371" s="153"/>
      <c r="NJA371" s="153"/>
      <c r="NJB371" s="153"/>
      <c r="NJC371" s="648"/>
      <c r="NJD371" s="641"/>
      <c r="NJE371" s="631" t="s">
        <v>1842</v>
      </c>
      <c r="NJF371" s="632"/>
      <c r="NJG371" s="16"/>
      <c r="NJH371" s="636">
        <v>1.5299999999999999E-2</v>
      </c>
      <c r="NJI371" s="636">
        <v>1.5299999999999999E-2</v>
      </c>
      <c r="NJJ371" s="636">
        <v>1.5299999999999999E-2</v>
      </c>
      <c r="NJK371" s="636">
        <v>9.7000000000000003E-3</v>
      </c>
      <c r="NJL371" s="636">
        <v>9.7000000000000003E-3</v>
      </c>
      <c r="NJM371" s="649">
        <v>9.7000000000000003E-3</v>
      </c>
      <c r="NJN371" s="16"/>
      <c r="NJO371" s="320">
        <v>8.6999999999999994E-3</v>
      </c>
      <c r="NJP371" s="153"/>
      <c r="NJQ371" s="153"/>
      <c r="NJR371" s="153"/>
      <c r="NJS371" s="648"/>
      <c r="NJT371" s="641"/>
      <c r="NJU371" s="631" t="s">
        <v>1842</v>
      </c>
      <c r="NJV371" s="632"/>
      <c r="NJW371" s="16"/>
      <c r="NJX371" s="636">
        <v>1.5299999999999999E-2</v>
      </c>
      <c r="NJY371" s="636">
        <v>1.5299999999999999E-2</v>
      </c>
      <c r="NJZ371" s="636">
        <v>1.5299999999999999E-2</v>
      </c>
      <c r="NKA371" s="636">
        <v>9.7000000000000003E-3</v>
      </c>
      <c r="NKB371" s="636">
        <v>9.7000000000000003E-3</v>
      </c>
      <c r="NKC371" s="649">
        <v>9.7000000000000003E-3</v>
      </c>
      <c r="NKD371" s="16"/>
      <c r="NKE371" s="320">
        <v>8.6999999999999994E-3</v>
      </c>
      <c r="NKF371" s="153"/>
      <c r="NKG371" s="153"/>
      <c r="NKH371" s="153"/>
      <c r="NKI371" s="648"/>
      <c r="NKJ371" s="641"/>
      <c r="NKK371" s="631" t="s">
        <v>1842</v>
      </c>
      <c r="NKL371" s="632"/>
      <c r="NKM371" s="16"/>
      <c r="NKN371" s="636">
        <v>1.5299999999999999E-2</v>
      </c>
      <c r="NKO371" s="636">
        <v>1.5299999999999999E-2</v>
      </c>
      <c r="NKP371" s="636">
        <v>1.5299999999999999E-2</v>
      </c>
      <c r="NKQ371" s="636">
        <v>9.7000000000000003E-3</v>
      </c>
      <c r="NKR371" s="636">
        <v>9.7000000000000003E-3</v>
      </c>
      <c r="NKS371" s="649">
        <v>9.7000000000000003E-3</v>
      </c>
      <c r="NKT371" s="16"/>
      <c r="NKU371" s="320">
        <v>8.6999999999999994E-3</v>
      </c>
      <c r="NKV371" s="153"/>
      <c r="NKW371" s="153"/>
      <c r="NKX371" s="153"/>
      <c r="NKY371" s="648"/>
      <c r="NKZ371" s="641"/>
      <c r="NLA371" s="631" t="s">
        <v>1842</v>
      </c>
      <c r="NLB371" s="632"/>
      <c r="NLC371" s="16"/>
      <c r="NLD371" s="636">
        <v>1.5299999999999999E-2</v>
      </c>
      <c r="NLE371" s="636">
        <v>1.5299999999999999E-2</v>
      </c>
      <c r="NLF371" s="636">
        <v>1.5299999999999999E-2</v>
      </c>
      <c r="NLG371" s="636">
        <v>9.7000000000000003E-3</v>
      </c>
      <c r="NLH371" s="636">
        <v>9.7000000000000003E-3</v>
      </c>
      <c r="NLI371" s="649">
        <v>9.7000000000000003E-3</v>
      </c>
      <c r="NLJ371" s="16"/>
      <c r="NLK371" s="320">
        <v>8.6999999999999994E-3</v>
      </c>
      <c r="NLL371" s="153"/>
      <c r="NLM371" s="153"/>
      <c r="NLN371" s="153"/>
      <c r="NLO371" s="648"/>
      <c r="NLP371" s="641"/>
      <c r="NLQ371" s="631" t="s">
        <v>1842</v>
      </c>
      <c r="NLR371" s="632"/>
      <c r="NLS371" s="16"/>
      <c r="NLT371" s="636">
        <v>1.5299999999999999E-2</v>
      </c>
      <c r="NLU371" s="636">
        <v>1.5299999999999999E-2</v>
      </c>
      <c r="NLV371" s="636">
        <v>1.5299999999999999E-2</v>
      </c>
      <c r="NLW371" s="636">
        <v>9.7000000000000003E-3</v>
      </c>
      <c r="NLX371" s="636">
        <v>9.7000000000000003E-3</v>
      </c>
      <c r="NLY371" s="649">
        <v>9.7000000000000003E-3</v>
      </c>
      <c r="NLZ371" s="16"/>
      <c r="NMA371" s="320">
        <v>8.6999999999999994E-3</v>
      </c>
      <c r="NMB371" s="153"/>
      <c r="NMC371" s="153"/>
      <c r="NMD371" s="153"/>
      <c r="NME371" s="648"/>
      <c r="NMF371" s="641"/>
      <c r="NMG371" s="631" t="s">
        <v>1842</v>
      </c>
      <c r="NMH371" s="632"/>
      <c r="NMI371" s="16"/>
      <c r="NMJ371" s="636">
        <v>1.5299999999999999E-2</v>
      </c>
      <c r="NMK371" s="636">
        <v>1.5299999999999999E-2</v>
      </c>
      <c r="NML371" s="636">
        <v>1.5299999999999999E-2</v>
      </c>
      <c r="NMM371" s="636">
        <v>9.7000000000000003E-3</v>
      </c>
      <c r="NMN371" s="636">
        <v>9.7000000000000003E-3</v>
      </c>
      <c r="NMO371" s="649">
        <v>9.7000000000000003E-3</v>
      </c>
      <c r="NMP371" s="16"/>
      <c r="NMQ371" s="320">
        <v>8.6999999999999994E-3</v>
      </c>
      <c r="NMR371" s="153"/>
      <c r="NMS371" s="153"/>
      <c r="NMT371" s="153"/>
      <c r="NMU371" s="648"/>
      <c r="NMV371" s="641"/>
      <c r="NMW371" s="631" t="s">
        <v>1842</v>
      </c>
      <c r="NMX371" s="632"/>
      <c r="NMY371" s="16"/>
      <c r="NMZ371" s="636">
        <v>1.5299999999999999E-2</v>
      </c>
      <c r="NNA371" s="636">
        <v>1.5299999999999999E-2</v>
      </c>
      <c r="NNB371" s="636">
        <v>1.5299999999999999E-2</v>
      </c>
      <c r="NNC371" s="636">
        <v>9.7000000000000003E-3</v>
      </c>
      <c r="NND371" s="636">
        <v>9.7000000000000003E-3</v>
      </c>
      <c r="NNE371" s="649">
        <v>9.7000000000000003E-3</v>
      </c>
      <c r="NNF371" s="16"/>
      <c r="NNG371" s="320">
        <v>8.6999999999999994E-3</v>
      </c>
      <c r="NNH371" s="153"/>
      <c r="NNI371" s="153"/>
      <c r="NNJ371" s="153"/>
      <c r="NNK371" s="648"/>
      <c r="NNL371" s="641"/>
      <c r="NNM371" s="631" t="s">
        <v>1842</v>
      </c>
      <c r="NNN371" s="632"/>
      <c r="NNO371" s="16"/>
      <c r="NNP371" s="636">
        <v>1.5299999999999999E-2</v>
      </c>
      <c r="NNQ371" s="636">
        <v>1.5299999999999999E-2</v>
      </c>
      <c r="NNR371" s="636">
        <v>1.5299999999999999E-2</v>
      </c>
      <c r="NNS371" s="636">
        <v>9.7000000000000003E-3</v>
      </c>
      <c r="NNT371" s="636">
        <v>9.7000000000000003E-3</v>
      </c>
      <c r="NNU371" s="649">
        <v>9.7000000000000003E-3</v>
      </c>
      <c r="NNV371" s="16"/>
      <c r="NNW371" s="320">
        <v>8.6999999999999994E-3</v>
      </c>
      <c r="NNX371" s="153"/>
      <c r="NNY371" s="153"/>
      <c r="NNZ371" s="153"/>
      <c r="NOA371" s="648"/>
      <c r="NOB371" s="641"/>
      <c r="NOC371" s="631" t="s">
        <v>1842</v>
      </c>
      <c r="NOD371" s="632"/>
      <c r="NOE371" s="16"/>
      <c r="NOF371" s="636">
        <v>1.5299999999999999E-2</v>
      </c>
      <c r="NOG371" s="636">
        <v>1.5299999999999999E-2</v>
      </c>
      <c r="NOH371" s="636">
        <v>1.5299999999999999E-2</v>
      </c>
      <c r="NOI371" s="636">
        <v>9.7000000000000003E-3</v>
      </c>
      <c r="NOJ371" s="636">
        <v>9.7000000000000003E-3</v>
      </c>
      <c r="NOK371" s="649">
        <v>9.7000000000000003E-3</v>
      </c>
      <c r="NOL371" s="16"/>
      <c r="NOM371" s="320">
        <v>8.6999999999999994E-3</v>
      </c>
      <c r="NON371" s="153"/>
      <c r="NOO371" s="153"/>
      <c r="NOP371" s="153"/>
      <c r="NOQ371" s="648"/>
      <c r="NOR371" s="641"/>
      <c r="NOS371" s="631" t="s">
        <v>1842</v>
      </c>
      <c r="NOT371" s="632"/>
      <c r="NOU371" s="16"/>
      <c r="NOV371" s="636">
        <v>1.5299999999999999E-2</v>
      </c>
      <c r="NOW371" s="636">
        <v>1.5299999999999999E-2</v>
      </c>
      <c r="NOX371" s="636">
        <v>1.5299999999999999E-2</v>
      </c>
      <c r="NOY371" s="636">
        <v>9.7000000000000003E-3</v>
      </c>
      <c r="NOZ371" s="636">
        <v>9.7000000000000003E-3</v>
      </c>
      <c r="NPA371" s="649">
        <v>9.7000000000000003E-3</v>
      </c>
      <c r="NPB371" s="16"/>
      <c r="NPC371" s="320">
        <v>8.6999999999999994E-3</v>
      </c>
      <c r="NPD371" s="153"/>
      <c r="NPE371" s="153"/>
      <c r="NPF371" s="153"/>
      <c r="NPG371" s="648"/>
      <c r="NPH371" s="641"/>
      <c r="NPI371" s="631" t="s">
        <v>1842</v>
      </c>
      <c r="NPJ371" s="632"/>
      <c r="NPK371" s="16"/>
      <c r="NPL371" s="636">
        <v>1.5299999999999999E-2</v>
      </c>
      <c r="NPM371" s="636">
        <v>1.5299999999999999E-2</v>
      </c>
      <c r="NPN371" s="636">
        <v>1.5299999999999999E-2</v>
      </c>
      <c r="NPO371" s="636">
        <v>9.7000000000000003E-3</v>
      </c>
      <c r="NPP371" s="636">
        <v>9.7000000000000003E-3</v>
      </c>
      <c r="NPQ371" s="649">
        <v>9.7000000000000003E-3</v>
      </c>
      <c r="NPR371" s="16"/>
      <c r="NPS371" s="320">
        <v>8.6999999999999994E-3</v>
      </c>
      <c r="NPT371" s="153"/>
      <c r="NPU371" s="153"/>
      <c r="NPV371" s="153"/>
      <c r="NPW371" s="648"/>
      <c r="NPX371" s="641"/>
      <c r="NPY371" s="631" t="s">
        <v>1842</v>
      </c>
      <c r="NPZ371" s="632"/>
      <c r="NQA371" s="16"/>
      <c r="NQB371" s="636">
        <v>1.5299999999999999E-2</v>
      </c>
      <c r="NQC371" s="636">
        <v>1.5299999999999999E-2</v>
      </c>
      <c r="NQD371" s="636">
        <v>1.5299999999999999E-2</v>
      </c>
      <c r="NQE371" s="636">
        <v>9.7000000000000003E-3</v>
      </c>
      <c r="NQF371" s="636">
        <v>9.7000000000000003E-3</v>
      </c>
      <c r="NQG371" s="649">
        <v>9.7000000000000003E-3</v>
      </c>
      <c r="NQH371" s="16"/>
      <c r="NQI371" s="320">
        <v>8.6999999999999994E-3</v>
      </c>
      <c r="NQJ371" s="153"/>
      <c r="NQK371" s="153"/>
      <c r="NQL371" s="153"/>
      <c r="NQM371" s="648"/>
      <c r="NQN371" s="641"/>
      <c r="NQO371" s="631" t="s">
        <v>1842</v>
      </c>
      <c r="NQP371" s="632"/>
      <c r="NQQ371" s="16"/>
      <c r="NQR371" s="636">
        <v>1.5299999999999999E-2</v>
      </c>
      <c r="NQS371" s="636">
        <v>1.5299999999999999E-2</v>
      </c>
      <c r="NQT371" s="636">
        <v>1.5299999999999999E-2</v>
      </c>
      <c r="NQU371" s="636">
        <v>9.7000000000000003E-3</v>
      </c>
      <c r="NQV371" s="636">
        <v>9.7000000000000003E-3</v>
      </c>
      <c r="NQW371" s="649">
        <v>9.7000000000000003E-3</v>
      </c>
      <c r="NQX371" s="16"/>
      <c r="NQY371" s="320">
        <v>8.6999999999999994E-3</v>
      </c>
      <c r="NQZ371" s="153"/>
      <c r="NRA371" s="153"/>
      <c r="NRB371" s="153"/>
      <c r="NRC371" s="648"/>
      <c r="NRD371" s="641"/>
      <c r="NRE371" s="631" t="s">
        <v>1842</v>
      </c>
      <c r="NRF371" s="632"/>
      <c r="NRG371" s="16"/>
      <c r="NRH371" s="636">
        <v>1.5299999999999999E-2</v>
      </c>
      <c r="NRI371" s="636">
        <v>1.5299999999999999E-2</v>
      </c>
      <c r="NRJ371" s="636">
        <v>1.5299999999999999E-2</v>
      </c>
      <c r="NRK371" s="636">
        <v>9.7000000000000003E-3</v>
      </c>
      <c r="NRL371" s="636">
        <v>9.7000000000000003E-3</v>
      </c>
      <c r="NRM371" s="649">
        <v>9.7000000000000003E-3</v>
      </c>
      <c r="NRN371" s="16"/>
      <c r="NRO371" s="320">
        <v>8.6999999999999994E-3</v>
      </c>
      <c r="NRP371" s="153"/>
      <c r="NRQ371" s="153"/>
      <c r="NRR371" s="153"/>
      <c r="NRS371" s="648"/>
      <c r="NRT371" s="641"/>
      <c r="NRU371" s="631" t="s">
        <v>1842</v>
      </c>
      <c r="NRV371" s="632"/>
      <c r="NRW371" s="16"/>
      <c r="NRX371" s="636">
        <v>1.5299999999999999E-2</v>
      </c>
      <c r="NRY371" s="636">
        <v>1.5299999999999999E-2</v>
      </c>
      <c r="NRZ371" s="636">
        <v>1.5299999999999999E-2</v>
      </c>
      <c r="NSA371" s="636">
        <v>9.7000000000000003E-3</v>
      </c>
      <c r="NSB371" s="636">
        <v>9.7000000000000003E-3</v>
      </c>
      <c r="NSC371" s="649">
        <v>9.7000000000000003E-3</v>
      </c>
      <c r="NSD371" s="16"/>
      <c r="NSE371" s="320">
        <v>8.6999999999999994E-3</v>
      </c>
      <c r="NSF371" s="153"/>
      <c r="NSG371" s="153"/>
      <c r="NSH371" s="153"/>
      <c r="NSI371" s="648"/>
      <c r="NSJ371" s="641"/>
      <c r="NSK371" s="631" t="s">
        <v>1842</v>
      </c>
      <c r="NSL371" s="632"/>
      <c r="NSM371" s="16"/>
      <c r="NSN371" s="636">
        <v>1.5299999999999999E-2</v>
      </c>
      <c r="NSO371" s="636">
        <v>1.5299999999999999E-2</v>
      </c>
      <c r="NSP371" s="636">
        <v>1.5299999999999999E-2</v>
      </c>
      <c r="NSQ371" s="636">
        <v>9.7000000000000003E-3</v>
      </c>
      <c r="NSR371" s="636">
        <v>9.7000000000000003E-3</v>
      </c>
      <c r="NSS371" s="649">
        <v>9.7000000000000003E-3</v>
      </c>
      <c r="NST371" s="16"/>
      <c r="NSU371" s="320">
        <v>8.6999999999999994E-3</v>
      </c>
      <c r="NSV371" s="153"/>
      <c r="NSW371" s="153"/>
      <c r="NSX371" s="153"/>
      <c r="NSY371" s="648"/>
      <c r="NSZ371" s="641"/>
      <c r="NTA371" s="631" t="s">
        <v>1842</v>
      </c>
      <c r="NTB371" s="632"/>
      <c r="NTC371" s="16"/>
      <c r="NTD371" s="636">
        <v>1.5299999999999999E-2</v>
      </c>
      <c r="NTE371" s="636">
        <v>1.5299999999999999E-2</v>
      </c>
      <c r="NTF371" s="636">
        <v>1.5299999999999999E-2</v>
      </c>
      <c r="NTG371" s="636">
        <v>9.7000000000000003E-3</v>
      </c>
      <c r="NTH371" s="636">
        <v>9.7000000000000003E-3</v>
      </c>
      <c r="NTI371" s="649">
        <v>9.7000000000000003E-3</v>
      </c>
      <c r="NTJ371" s="16"/>
      <c r="NTK371" s="320">
        <v>8.6999999999999994E-3</v>
      </c>
      <c r="NTL371" s="153"/>
      <c r="NTM371" s="153"/>
      <c r="NTN371" s="153"/>
      <c r="NTO371" s="648"/>
      <c r="NTP371" s="641"/>
      <c r="NTQ371" s="631" t="s">
        <v>1842</v>
      </c>
      <c r="NTR371" s="632"/>
      <c r="NTS371" s="16"/>
      <c r="NTT371" s="636">
        <v>1.5299999999999999E-2</v>
      </c>
      <c r="NTU371" s="636">
        <v>1.5299999999999999E-2</v>
      </c>
      <c r="NTV371" s="636">
        <v>1.5299999999999999E-2</v>
      </c>
      <c r="NTW371" s="636">
        <v>9.7000000000000003E-3</v>
      </c>
      <c r="NTX371" s="636">
        <v>9.7000000000000003E-3</v>
      </c>
      <c r="NTY371" s="649">
        <v>9.7000000000000003E-3</v>
      </c>
      <c r="NTZ371" s="16"/>
      <c r="NUA371" s="320">
        <v>8.6999999999999994E-3</v>
      </c>
      <c r="NUB371" s="153"/>
      <c r="NUC371" s="153"/>
      <c r="NUD371" s="153"/>
      <c r="NUE371" s="648"/>
      <c r="NUF371" s="641"/>
      <c r="NUG371" s="631" t="s">
        <v>1842</v>
      </c>
      <c r="NUH371" s="632"/>
      <c r="NUI371" s="16"/>
      <c r="NUJ371" s="636">
        <v>1.5299999999999999E-2</v>
      </c>
      <c r="NUK371" s="636">
        <v>1.5299999999999999E-2</v>
      </c>
      <c r="NUL371" s="636">
        <v>1.5299999999999999E-2</v>
      </c>
      <c r="NUM371" s="636">
        <v>9.7000000000000003E-3</v>
      </c>
      <c r="NUN371" s="636">
        <v>9.7000000000000003E-3</v>
      </c>
      <c r="NUO371" s="649">
        <v>9.7000000000000003E-3</v>
      </c>
      <c r="NUP371" s="16"/>
      <c r="NUQ371" s="320">
        <v>8.6999999999999994E-3</v>
      </c>
      <c r="NUR371" s="153"/>
      <c r="NUS371" s="153"/>
      <c r="NUT371" s="153"/>
      <c r="NUU371" s="648"/>
      <c r="NUV371" s="641"/>
      <c r="NUW371" s="631" t="s">
        <v>1842</v>
      </c>
      <c r="NUX371" s="632"/>
      <c r="NUY371" s="16"/>
      <c r="NUZ371" s="636">
        <v>1.5299999999999999E-2</v>
      </c>
      <c r="NVA371" s="636">
        <v>1.5299999999999999E-2</v>
      </c>
      <c r="NVB371" s="636">
        <v>1.5299999999999999E-2</v>
      </c>
      <c r="NVC371" s="636">
        <v>9.7000000000000003E-3</v>
      </c>
      <c r="NVD371" s="636">
        <v>9.7000000000000003E-3</v>
      </c>
      <c r="NVE371" s="649">
        <v>9.7000000000000003E-3</v>
      </c>
      <c r="NVF371" s="16"/>
      <c r="NVG371" s="320">
        <v>8.6999999999999994E-3</v>
      </c>
      <c r="NVH371" s="153"/>
      <c r="NVI371" s="153"/>
      <c r="NVJ371" s="153"/>
      <c r="NVK371" s="648"/>
      <c r="NVL371" s="641"/>
      <c r="NVM371" s="631" t="s">
        <v>1842</v>
      </c>
      <c r="NVN371" s="632"/>
      <c r="NVO371" s="16"/>
      <c r="NVP371" s="636">
        <v>1.5299999999999999E-2</v>
      </c>
      <c r="NVQ371" s="636">
        <v>1.5299999999999999E-2</v>
      </c>
      <c r="NVR371" s="636">
        <v>1.5299999999999999E-2</v>
      </c>
      <c r="NVS371" s="636">
        <v>9.7000000000000003E-3</v>
      </c>
      <c r="NVT371" s="636">
        <v>9.7000000000000003E-3</v>
      </c>
      <c r="NVU371" s="649">
        <v>9.7000000000000003E-3</v>
      </c>
      <c r="NVV371" s="16"/>
      <c r="NVW371" s="320">
        <v>8.6999999999999994E-3</v>
      </c>
      <c r="NVX371" s="153"/>
      <c r="NVY371" s="153"/>
      <c r="NVZ371" s="153"/>
      <c r="NWA371" s="648"/>
      <c r="NWB371" s="641"/>
      <c r="NWC371" s="631" t="s">
        <v>1842</v>
      </c>
      <c r="NWD371" s="632"/>
      <c r="NWE371" s="16"/>
      <c r="NWF371" s="636">
        <v>1.5299999999999999E-2</v>
      </c>
      <c r="NWG371" s="636">
        <v>1.5299999999999999E-2</v>
      </c>
      <c r="NWH371" s="636">
        <v>1.5299999999999999E-2</v>
      </c>
      <c r="NWI371" s="636">
        <v>9.7000000000000003E-3</v>
      </c>
      <c r="NWJ371" s="636">
        <v>9.7000000000000003E-3</v>
      </c>
      <c r="NWK371" s="649">
        <v>9.7000000000000003E-3</v>
      </c>
      <c r="NWL371" s="16"/>
      <c r="NWM371" s="320">
        <v>8.6999999999999994E-3</v>
      </c>
      <c r="NWN371" s="153"/>
      <c r="NWO371" s="153"/>
      <c r="NWP371" s="153"/>
      <c r="NWQ371" s="648"/>
      <c r="NWR371" s="641"/>
      <c r="NWS371" s="631" t="s">
        <v>1842</v>
      </c>
      <c r="NWT371" s="632"/>
      <c r="NWU371" s="16"/>
      <c r="NWV371" s="636">
        <v>1.5299999999999999E-2</v>
      </c>
      <c r="NWW371" s="636">
        <v>1.5299999999999999E-2</v>
      </c>
      <c r="NWX371" s="636">
        <v>1.5299999999999999E-2</v>
      </c>
      <c r="NWY371" s="636">
        <v>9.7000000000000003E-3</v>
      </c>
      <c r="NWZ371" s="636">
        <v>9.7000000000000003E-3</v>
      </c>
      <c r="NXA371" s="649">
        <v>9.7000000000000003E-3</v>
      </c>
      <c r="NXB371" s="16"/>
      <c r="NXC371" s="320">
        <v>8.6999999999999994E-3</v>
      </c>
      <c r="NXD371" s="153"/>
      <c r="NXE371" s="153"/>
      <c r="NXF371" s="153"/>
      <c r="NXG371" s="648"/>
      <c r="NXH371" s="641"/>
      <c r="NXI371" s="631" t="s">
        <v>1842</v>
      </c>
      <c r="NXJ371" s="632"/>
      <c r="NXK371" s="16"/>
      <c r="NXL371" s="636">
        <v>1.5299999999999999E-2</v>
      </c>
      <c r="NXM371" s="636">
        <v>1.5299999999999999E-2</v>
      </c>
      <c r="NXN371" s="636">
        <v>1.5299999999999999E-2</v>
      </c>
      <c r="NXO371" s="636">
        <v>9.7000000000000003E-3</v>
      </c>
      <c r="NXP371" s="636">
        <v>9.7000000000000003E-3</v>
      </c>
      <c r="NXQ371" s="649">
        <v>9.7000000000000003E-3</v>
      </c>
      <c r="NXR371" s="16"/>
      <c r="NXS371" s="320">
        <v>8.6999999999999994E-3</v>
      </c>
      <c r="NXT371" s="153"/>
      <c r="NXU371" s="153"/>
      <c r="NXV371" s="153"/>
      <c r="NXW371" s="648"/>
      <c r="NXX371" s="641"/>
      <c r="NXY371" s="631" t="s">
        <v>1842</v>
      </c>
      <c r="NXZ371" s="632"/>
      <c r="NYA371" s="16"/>
      <c r="NYB371" s="636">
        <v>1.5299999999999999E-2</v>
      </c>
      <c r="NYC371" s="636">
        <v>1.5299999999999999E-2</v>
      </c>
      <c r="NYD371" s="636">
        <v>1.5299999999999999E-2</v>
      </c>
      <c r="NYE371" s="636">
        <v>9.7000000000000003E-3</v>
      </c>
      <c r="NYF371" s="636">
        <v>9.7000000000000003E-3</v>
      </c>
      <c r="NYG371" s="649">
        <v>9.7000000000000003E-3</v>
      </c>
      <c r="NYH371" s="16"/>
      <c r="NYI371" s="320">
        <v>8.6999999999999994E-3</v>
      </c>
      <c r="NYJ371" s="153"/>
      <c r="NYK371" s="153"/>
      <c r="NYL371" s="153"/>
      <c r="NYM371" s="648"/>
      <c r="NYN371" s="641"/>
      <c r="NYO371" s="631" t="s">
        <v>1842</v>
      </c>
      <c r="NYP371" s="632"/>
      <c r="NYQ371" s="16"/>
      <c r="NYR371" s="636">
        <v>1.5299999999999999E-2</v>
      </c>
      <c r="NYS371" s="636">
        <v>1.5299999999999999E-2</v>
      </c>
      <c r="NYT371" s="636">
        <v>1.5299999999999999E-2</v>
      </c>
      <c r="NYU371" s="636">
        <v>9.7000000000000003E-3</v>
      </c>
      <c r="NYV371" s="636">
        <v>9.7000000000000003E-3</v>
      </c>
      <c r="NYW371" s="649">
        <v>9.7000000000000003E-3</v>
      </c>
      <c r="NYX371" s="16"/>
      <c r="NYY371" s="320">
        <v>8.6999999999999994E-3</v>
      </c>
      <c r="NYZ371" s="153"/>
      <c r="NZA371" s="153"/>
      <c r="NZB371" s="153"/>
      <c r="NZC371" s="648"/>
      <c r="NZD371" s="641"/>
      <c r="NZE371" s="631" t="s">
        <v>1842</v>
      </c>
      <c r="NZF371" s="632"/>
      <c r="NZG371" s="16"/>
      <c r="NZH371" s="636">
        <v>1.5299999999999999E-2</v>
      </c>
      <c r="NZI371" s="636">
        <v>1.5299999999999999E-2</v>
      </c>
      <c r="NZJ371" s="636">
        <v>1.5299999999999999E-2</v>
      </c>
      <c r="NZK371" s="636">
        <v>9.7000000000000003E-3</v>
      </c>
      <c r="NZL371" s="636">
        <v>9.7000000000000003E-3</v>
      </c>
      <c r="NZM371" s="649">
        <v>9.7000000000000003E-3</v>
      </c>
      <c r="NZN371" s="16"/>
      <c r="NZO371" s="320">
        <v>8.6999999999999994E-3</v>
      </c>
      <c r="NZP371" s="153"/>
      <c r="NZQ371" s="153"/>
      <c r="NZR371" s="153"/>
      <c r="NZS371" s="648"/>
      <c r="NZT371" s="641"/>
      <c r="NZU371" s="631" t="s">
        <v>1842</v>
      </c>
      <c r="NZV371" s="632"/>
      <c r="NZW371" s="16"/>
      <c r="NZX371" s="636">
        <v>1.5299999999999999E-2</v>
      </c>
      <c r="NZY371" s="636">
        <v>1.5299999999999999E-2</v>
      </c>
      <c r="NZZ371" s="636">
        <v>1.5299999999999999E-2</v>
      </c>
      <c r="OAA371" s="636">
        <v>9.7000000000000003E-3</v>
      </c>
      <c r="OAB371" s="636">
        <v>9.7000000000000003E-3</v>
      </c>
      <c r="OAC371" s="649">
        <v>9.7000000000000003E-3</v>
      </c>
      <c r="OAD371" s="16"/>
      <c r="OAE371" s="320">
        <v>8.6999999999999994E-3</v>
      </c>
      <c r="OAF371" s="153"/>
      <c r="OAG371" s="153"/>
      <c r="OAH371" s="153"/>
      <c r="OAI371" s="648"/>
      <c r="OAJ371" s="641"/>
      <c r="OAK371" s="631" t="s">
        <v>1842</v>
      </c>
      <c r="OAL371" s="632"/>
      <c r="OAM371" s="16"/>
      <c r="OAN371" s="636">
        <v>1.5299999999999999E-2</v>
      </c>
      <c r="OAO371" s="636">
        <v>1.5299999999999999E-2</v>
      </c>
      <c r="OAP371" s="636">
        <v>1.5299999999999999E-2</v>
      </c>
      <c r="OAQ371" s="636">
        <v>9.7000000000000003E-3</v>
      </c>
      <c r="OAR371" s="636">
        <v>9.7000000000000003E-3</v>
      </c>
      <c r="OAS371" s="649">
        <v>9.7000000000000003E-3</v>
      </c>
      <c r="OAT371" s="16"/>
      <c r="OAU371" s="320">
        <v>8.6999999999999994E-3</v>
      </c>
      <c r="OAV371" s="153"/>
      <c r="OAW371" s="153"/>
      <c r="OAX371" s="153"/>
      <c r="OAY371" s="648"/>
      <c r="OAZ371" s="641"/>
      <c r="OBA371" s="631" t="s">
        <v>1842</v>
      </c>
      <c r="OBB371" s="632"/>
      <c r="OBC371" s="16"/>
      <c r="OBD371" s="636">
        <v>1.5299999999999999E-2</v>
      </c>
      <c r="OBE371" s="636">
        <v>1.5299999999999999E-2</v>
      </c>
      <c r="OBF371" s="636">
        <v>1.5299999999999999E-2</v>
      </c>
      <c r="OBG371" s="636">
        <v>9.7000000000000003E-3</v>
      </c>
      <c r="OBH371" s="636">
        <v>9.7000000000000003E-3</v>
      </c>
      <c r="OBI371" s="649">
        <v>9.7000000000000003E-3</v>
      </c>
      <c r="OBJ371" s="16"/>
      <c r="OBK371" s="320">
        <v>8.6999999999999994E-3</v>
      </c>
      <c r="OBL371" s="153"/>
      <c r="OBM371" s="153"/>
      <c r="OBN371" s="153"/>
      <c r="OBO371" s="648"/>
      <c r="OBP371" s="641"/>
      <c r="OBQ371" s="631" t="s">
        <v>1842</v>
      </c>
      <c r="OBR371" s="632"/>
      <c r="OBS371" s="16"/>
      <c r="OBT371" s="636">
        <v>1.5299999999999999E-2</v>
      </c>
      <c r="OBU371" s="636">
        <v>1.5299999999999999E-2</v>
      </c>
      <c r="OBV371" s="636">
        <v>1.5299999999999999E-2</v>
      </c>
      <c r="OBW371" s="636">
        <v>9.7000000000000003E-3</v>
      </c>
      <c r="OBX371" s="636">
        <v>9.7000000000000003E-3</v>
      </c>
      <c r="OBY371" s="649">
        <v>9.7000000000000003E-3</v>
      </c>
      <c r="OBZ371" s="16"/>
      <c r="OCA371" s="320">
        <v>8.6999999999999994E-3</v>
      </c>
      <c r="OCB371" s="153"/>
      <c r="OCC371" s="153"/>
      <c r="OCD371" s="153"/>
      <c r="OCE371" s="648"/>
      <c r="OCF371" s="641"/>
      <c r="OCG371" s="631" t="s">
        <v>1842</v>
      </c>
      <c r="OCH371" s="632"/>
      <c r="OCI371" s="16"/>
      <c r="OCJ371" s="636">
        <v>1.5299999999999999E-2</v>
      </c>
      <c r="OCK371" s="636">
        <v>1.5299999999999999E-2</v>
      </c>
      <c r="OCL371" s="636">
        <v>1.5299999999999999E-2</v>
      </c>
      <c r="OCM371" s="636">
        <v>9.7000000000000003E-3</v>
      </c>
      <c r="OCN371" s="636">
        <v>9.7000000000000003E-3</v>
      </c>
      <c r="OCO371" s="649">
        <v>9.7000000000000003E-3</v>
      </c>
      <c r="OCP371" s="16"/>
      <c r="OCQ371" s="320">
        <v>8.6999999999999994E-3</v>
      </c>
      <c r="OCR371" s="153"/>
      <c r="OCS371" s="153"/>
      <c r="OCT371" s="153"/>
      <c r="OCU371" s="648"/>
      <c r="OCV371" s="641"/>
      <c r="OCW371" s="631" t="s">
        <v>1842</v>
      </c>
      <c r="OCX371" s="632"/>
      <c r="OCY371" s="16"/>
      <c r="OCZ371" s="636">
        <v>1.5299999999999999E-2</v>
      </c>
      <c r="ODA371" s="636">
        <v>1.5299999999999999E-2</v>
      </c>
      <c r="ODB371" s="636">
        <v>1.5299999999999999E-2</v>
      </c>
      <c r="ODC371" s="636">
        <v>9.7000000000000003E-3</v>
      </c>
      <c r="ODD371" s="636">
        <v>9.7000000000000003E-3</v>
      </c>
      <c r="ODE371" s="649">
        <v>9.7000000000000003E-3</v>
      </c>
      <c r="ODF371" s="16"/>
      <c r="ODG371" s="320">
        <v>8.6999999999999994E-3</v>
      </c>
      <c r="ODH371" s="153"/>
      <c r="ODI371" s="153"/>
      <c r="ODJ371" s="153"/>
      <c r="ODK371" s="648"/>
      <c r="ODL371" s="641"/>
      <c r="ODM371" s="631" t="s">
        <v>1842</v>
      </c>
      <c r="ODN371" s="632"/>
      <c r="ODO371" s="16"/>
      <c r="ODP371" s="636">
        <v>1.5299999999999999E-2</v>
      </c>
      <c r="ODQ371" s="636">
        <v>1.5299999999999999E-2</v>
      </c>
      <c r="ODR371" s="636">
        <v>1.5299999999999999E-2</v>
      </c>
      <c r="ODS371" s="636">
        <v>9.7000000000000003E-3</v>
      </c>
      <c r="ODT371" s="636">
        <v>9.7000000000000003E-3</v>
      </c>
      <c r="ODU371" s="649">
        <v>9.7000000000000003E-3</v>
      </c>
      <c r="ODV371" s="16"/>
      <c r="ODW371" s="320">
        <v>8.6999999999999994E-3</v>
      </c>
      <c r="ODX371" s="153"/>
      <c r="ODY371" s="153"/>
      <c r="ODZ371" s="153"/>
      <c r="OEA371" s="648"/>
      <c r="OEB371" s="641"/>
      <c r="OEC371" s="631" t="s">
        <v>1842</v>
      </c>
      <c r="OED371" s="632"/>
      <c r="OEE371" s="16"/>
      <c r="OEF371" s="636">
        <v>1.5299999999999999E-2</v>
      </c>
      <c r="OEG371" s="636">
        <v>1.5299999999999999E-2</v>
      </c>
      <c r="OEH371" s="636">
        <v>1.5299999999999999E-2</v>
      </c>
      <c r="OEI371" s="636">
        <v>9.7000000000000003E-3</v>
      </c>
      <c r="OEJ371" s="636">
        <v>9.7000000000000003E-3</v>
      </c>
      <c r="OEK371" s="649">
        <v>9.7000000000000003E-3</v>
      </c>
      <c r="OEL371" s="16"/>
      <c r="OEM371" s="320">
        <v>8.6999999999999994E-3</v>
      </c>
      <c r="OEN371" s="153"/>
      <c r="OEO371" s="153"/>
      <c r="OEP371" s="153"/>
      <c r="OEQ371" s="648"/>
      <c r="OER371" s="641"/>
      <c r="OES371" s="631" t="s">
        <v>1842</v>
      </c>
      <c r="OET371" s="632"/>
      <c r="OEU371" s="16"/>
      <c r="OEV371" s="636">
        <v>1.5299999999999999E-2</v>
      </c>
      <c r="OEW371" s="636">
        <v>1.5299999999999999E-2</v>
      </c>
      <c r="OEX371" s="636">
        <v>1.5299999999999999E-2</v>
      </c>
      <c r="OEY371" s="636">
        <v>9.7000000000000003E-3</v>
      </c>
      <c r="OEZ371" s="636">
        <v>9.7000000000000003E-3</v>
      </c>
      <c r="OFA371" s="649">
        <v>9.7000000000000003E-3</v>
      </c>
      <c r="OFB371" s="16"/>
      <c r="OFC371" s="320">
        <v>8.6999999999999994E-3</v>
      </c>
      <c r="OFD371" s="153"/>
      <c r="OFE371" s="153"/>
      <c r="OFF371" s="153"/>
      <c r="OFG371" s="648"/>
      <c r="OFH371" s="641"/>
      <c r="OFI371" s="631" t="s">
        <v>1842</v>
      </c>
      <c r="OFJ371" s="632"/>
      <c r="OFK371" s="16"/>
      <c r="OFL371" s="636">
        <v>1.5299999999999999E-2</v>
      </c>
      <c r="OFM371" s="636">
        <v>1.5299999999999999E-2</v>
      </c>
      <c r="OFN371" s="636">
        <v>1.5299999999999999E-2</v>
      </c>
      <c r="OFO371" s="636">
        <v>9.7000000000000003E-3</v>
      </c>
      <c r="OFP371" s="636">
        <v>9.7000000000000003E-3</v>
      </c>
      <c r="OFQ371" s="649">
        <v>9.7000000000000003E-3</v>
      </c>
      <c r="OFR371" s="16"/>
      <c r="OFS371" s="320">
        <v>8.6999999999999994E-3</v>
      </c>
      <c r="OFT371" s="153"/>
      <c r="OFU371" s="153"/>
      <c r="OFV371" s="153"/>
      <c r="OFW371" s="648"/>
      <c r="OFX371" s="641"/>
      <c r="OFY371" s="631" t="s">
        <v>1842</v>
      </c>
      <c r="OFZ371" s="632"/>
      <c r="OGA371" s="16"/>
      <c r="OGB371" s="636">
        <v>1.5299999999999999E-2</v>
      </c>
      <c r="OGC371" s="636">
        <v>1.5299999999999999E-2</v>
      </c>
      <c r="OGD371" s="636">
        <v>1.5299999999999999E-2</v>
      </c>
      <c r="OGE371" s="636">
        <v>9.7000000000000003E-3</v>
      </c>
      <c r="OGF371" s="636">
        <v>9.7000000000000003E-3</v>
      </c>
      <c r="OGG371" s="649">
        <v>9.7000000000000003E-3</v>
      </c>
      <c r="OGH371" s="16"/>
      <c r="OGI371" s="320">
        <v>8.6999999999999994E-3</v>
      </c>
      <c r="OGJ371" s="153"/>
      <c r="OGK371" s="153"/>
      <c r="OGL371" s="153"/>
      <c r="OGM371" s="648"/>
      <c r="OGN371" s="641"/>
      <c r="OGO371" s="631" t="s">
        <v>1842</v>
      </c>
      <c r="OGP371" s="632"/>
      <c r="OGQ371" s="16"/>
      <c r="OGR371" s="636">
        <v>1.5299999999999999E-2</v>
      </c>
      <c r="OGS371" s="636">
        <v>1.5299999999999999E-2</v>
      </c>
      <c r="OGT371" s="636">
        <v>1.5299999999999999E-2</v>
      </c>
      <c r="OGU371" s="636">
        <v>9.7000000000000003E-3</v>
      </c>
      <c r="OGV371" s="636">
        <v>9.7000000000000003E-3</v>
      </c>
      <c r="OGW371" s="649">
        <v>9.7000000000000003E-3</v>
      </c>
      <c r="OGX371" s="16"/>
      <c r="OGY371" s="320">
        <v>8.6999999999999994E-3</v>
      </c>
      <c r="OGZ371" s="153"/>
      <c r="OHA371" s="153"/>
      <c r="OHB371" s="153"/>
      <c r="OHC371" s="648"/>
      <c r="OHD371" s="641"/>
      <c r="OHE371" s="631" t="s">
        <v>1842</v>
      </c>
      <c r="OHF371" s="632"/>
      <c r="OHG371" s="16"/>
      <c r="OHH371" s="636">
        <v>1.5299999999999999E-2</v>
      </c>
      <c r="OHI371" s="636">
        <v>1.5299999999999999E-2</v>
      </c>
      <c r="OHJ371" s="636">
        <v>1.5299999999999999E-2</v>
      </c>
      <c r="OHK371" s="636">
        <v>9.7000000000000003E-3</v>
      </c>
      <c r="OHL371" s="636">
        <v>9.7000000000000003E-3</v>
      </c>
      <c r="OHM371" s="649">
        <v>9.7000000000000003E-3</v>
      </c>
      <c r="OHN371" s="16"/>
      <c r="OHO371" s="320">
        <v>8.6999999999999994E-3</v>
      </c>
      <c r="OHP371" s="153"/>
      <c r="OHQ371" s="153"/>
      <c r="OHR371" s="153"/>
      <c r="OHS371" s="648"/>
      <c r="OHT371" s="641"/>
      <c r="OHU371" s="631" t="s">
        <v>1842</v>
      </c>
      <c r="OHV371" s="632"/>
      <c r="OHW371" s="16"/>
      <c r="OHX371" s="636">
        <v>1.5299999999999999E-2</v>
      </c>
      <c r="OHY371" s="636">
        <v>1.5299999999999999E-2</v>
      </c>
      <c r="OHZ371" s="636">
        <v>1.5299999999999999E-2</v>
      </c>
      <c r="OIA371" s="636">
        <v>9.7000000000000003E-3</v>
      </c>
      <c r="OIB371" s="636">
        <v>9.7000000000000003E-3</v>
      </c>
      <c r="OIC371" s="649">
        <v>9.7000000000000003E-3</v>
      </c>
      <c r="OID371" s="16"/>
      <c r="OIE371" s="320">
        <v>8.6999999999999994E-3</v>
      </c>
      <c r="OIF371" s="153"/>
      <c r="OIG371" s="153"/>
      <c r="OIH371" s="153"/>
      <c r="OII371" s="648"/>
      <c r="OIJ371" s="641"/>
      <c r="OIK371" s="631" t="s">
        <v>1842</v>
      </c>
      <c r="OIL371" s="632"/>
      <c r="OIM371" s="16"/>
      <c r="OIN371" s="636">
        <v>1.5299999999999999E-2</v>
      </c>
      <c r="OIO371" s="636">
        <v>1.5299999999999999E-2</v>
      </c>
      <c r="OIP371" s="636">
        <v>1.5299999999999999E-2</v>
      </c>
      <c r="OIQ371" s="636">
        <v>9.7000000000000003E-3</v>
      </c>
      <c r="OIR371" s="636">
        <v>9.7000000000000003E-3</v>
      </c>
      <c r="OIS371" s="649">
        <v>9.7000000000000003E-3</v>
      </c>
      <c r="OIT371" s="16"/>
      <c r="OIU371" s="320">
        <v>8.6999999999999994E-3</v>
      </c>
      <c r="OIV371" s="153"/>
      <c r="OIW371" s="153"/>
      <c r="OIX371" s="153"/>
      <c r="OIY371" s="648"/>
      <c r="OIZ371" s="641"/>
      <c r="OJA371" s="631" t="s">
        <v>1842</v>
      </c>
      <c r="OJB371" s="632"/>
      <c r="OJC371" s="16"/>
      <c r="OJD371" s="636">
        <v>1.5299999999999999E-2</v>
      </c>
      <c r="OJE371" s="636">
        <v>1.5299999999999999E-2</v>
      </c>
      <c r="OJF371" s="636">
        <v>1.5299999999999999E-2</v>
      </c>
      <c r="OJG371" s="636">
        <v>9.7000000000000003E-3</v>
      </c>
      <c r="OJH371" s="636">
        <v>9.7000000000000003E-3</v>
      </c>
      <c r="OJI371" s="649">
        <v>9.7000000000000003E-3</v>
      </c>
      <c r="OJJ371" s="16"/>
      <c r="OJK371" s="320">
        <v>8.6999999999999994E-3</v>
      </c>
      <c r="OJL371" s="153"/>
      <c r="OJM371" s="153"/>
      <c r="OJN371" s="153"/>
      <c r="OJO371" s="648"/>
      <c r="OJP371" s="641"/>
      <c r="OJQ371" s="631" t="s">
        <v>1842</v>
      </c>
      <c r="OJR371" s="632"/>
      <c r="OJS371" s="16"/>
      <c r="OJT371" s="636">
        <v>1.5299999999999999E-2</v>
      </c>
      <c r="OJU371" s="636">
        <v>1.5299999999999999E-2</v>
      </c>
      <c r="OJV371" s="636">
        <v>1.5299999999999999E-2</v>
      </c>
      <c r="OJW371" s="636">
        <v>9.7000000000000003E-3</v>
      </c>
      <c r="OJX371" s="636">
        <v>9.7000000000000003E-3</v>
      </c>
      <c r="OJY371" s="649">
        <v>9.7000000000000003E-3</v>
      </c>
      <c r="OJZ371" s="16"/>
      <c r="OKA371" s="320">
        <v>8.6999999999999994E-3</v>
      </c>
      <c r="OKB371" s="153"/>
      <c r="OKC371" s="153"/>
      <c r="OKD371" s="153"/>
      <c r="OKE371" s="648"/>
      <c r="OKF371" s="641"/>
      <c r="OKG371" s="631" t="s">
        <v>1842</v>
      </c>
      <c r="OKH371" s="632"/>
      <c r="OKI371" s="16"/>
      <c r="OKJ371" s="636">
        <v>1.5299999999999999E-2</v>
      </c>
      <c r="OKK371" s="636">
        <v>1.5299999999999999E-2</v>
      </c>
      <c r="OKL371" s="636">
        <v>1.5299999999999999E-2</v>
      </c>
      <c r="OKM371" s="636">
        <v>9.7000000000000003E-3</v>
      </c>
      <c r="OKN371" s="636">
        <v>9.7000000000000003E-3</v>
      </c>
      <c r="OKO371" s="649">
        <v>9.7000000000000003E-3</v>
      </c>
      <c r="OKP371" s="16"/>
      <c r="OKQ371" s="320">
        <v>8.6999999999999994E-3</v>
      </c>
      <c r="OKR371" s="153"/>
      <c r="OKS371" s="153"/>
      <c r="OKT371" s="153"/>
      <c r="OKU371" s="648"/>
      <c r="OKV371" s="641"/>
      <c r="OKW371" s="631" t="s">
        <v>1842</v>
      </c>
      <c r="OKX371" s="632"/>
      <c r="OKY371" s="16"/>
      <c r="OKZ371" s="636">
        <v>1.5299999999999999E-2</v>
      </c>
      <c r="OLA371" s="636">
        <v>1.5299999999999999E-2</v>
      </c>
      <c r="OLB371" s="636">
        <v>1.5299999999999999E-2</v>
      </c>
      <c r="OLC371" s="636">
        <v>9.7000000000000003E-3</v>
      </c>
      <c r="OLD371" s="636">
        <v>9.7000000000000003E-3</v>
      </c>
      <c r="OLE371" s="649">
        <v>9.7000000000000003E-3</v>
      </c>
      <c r="OLF371" s="16"/>
      <c r="OLG371" s="320">
        <v>8.6999999999999994E-3</v>
      </c>
      <c r="OLH371" s="153"/>
      <c r="OLI371" s="153"/>
      <c r="OLJ371" s="153"/>
      <c r="OLK371" s="648"/>
      <c r="OLL371" s="641"/>
      <c r="OLM371" s="631" t="s">
        <v>1842</v>
      </c>
      <c r="OLN371" s="632"/>
      <c r="OLO371" s="16"/>
      <c r="OLP371" s="636">
        <v>1.5299999999999999E-2</v>
      </c>
      <c r="OLQ371" s="636">
        <v>1.5299999999999999E-2</v>
      </c>
      <c r="OLR371" s="636">
        <v>1.5299999999999999E-2</v>
      </c>
      <c r="OLS371" s="636">
        <v>9.7000000000000003E-3</v>
      </c>
      <c r="OLT371" s="636">
        <v>9.7000000000000003E-3</v>
      </c>
      <c r="OLU371" s="649">
        <v>9.7000000000000003E-3</v>
      </c>
      <c r="OLV371" s="16"/>
      <c r="OLW371" s="320">
        <v>8.6999999999999994E-3</v>
      </c>
      <c r="OLX371" s="153"/>
      <c r="OLY371" s="153"/>
      <c r="OLZ371" s="153"/>
      <c r="OMA371" s="648"/>
      <c r="OMB371" s="641"/>
      <c r="OMC371" s="631" t="s">
        <v>1842</v>
      </c>
      <c r="OMD371" s="632"/>
      <c r="OME371" s="16"/>
      <c r="OMF371" s="636">
        <v>1.5299999999999999E-2</v>
      </c>
      <c r="OMG371" s="636">
        <v>1.5299999999999999E-2</v>
      </c>
      <c r="OMH371" s="636">
        <v>1.5299999999999999E-2</v>
      </c>
      <c r="OMI371" s="636">
        <v>9.7000000000000003E-3</v>
      </c>
      <c r="OMJ371" s="636">
        <v>9.7000000000000003E-3</v>
      </c>
      <c r="OMK371" s="649">
        <v>9.7000000000000003E-3</v>
      </c>
      <c r="OML371" s="16"/>
      <c r="OMM371" s="320">
        <v>8.6999999999999994E-3</v>
      </c>
      <c r="OMN371" s="153"/>
      <c r="OMO371" s="153"/>
      <c r="OMP371" s="153"/>
      <c r="OMQ371" s="648"/>
      <c r="OMR371" s="641"/>
      <c r="OMS371" s="631" t="s">
        <v>1842</v>
      </c>
      <c r="OMT371" s="632"/>
      <c r="OMU371" s="16"/>
      <c r="OMV371" s="636">
        <v>1.5299999999999999E-2</v>
      </c>
      <c r="OMW371" s="636">
        <v>1.5299999999999999E-2</v>
      </c>
      <c r="OMX371" s="636">
        <v>1.5299999999999999E-2</v>
      </c>
      <c r="OMY371" s="636">
        <v>9.7000000000000003E-3</v>
      </c>
      <c r="OMZ371" s="636">
        <v>9.7000000000000003E-3</v>
      </c>
      <c r="ONA371" s="649">
        <v>9.7000000000000003E-3</v>
      </c>
      <c r="ONB371" s="16"/>
      <c r="ONC371" s="320">
        <v>8.6999999999999994E-3</v>
      </c>
      <c r="OND371" s="153"/>
      <c r="ONE371" s="153"/>
      <c r="ONF371" s="153"/>
      <c r="ONG371" s="648"/>
      <c r="ONH371" s="641"/>
      <c r="ONI371" s="631" t="s">
        <v>1842</v>
      </c>
      <c r="ONJ371" s="632"/>
      <c r="ONK371" s="16"/>
      <c r="ONL371" s="636">
        <v>1.5299999999999999E-2</v>
      </c>
      <c r="ONM371" s="636">
        <v>1.5299999999999999E-2</v>
      </c>
      <c r="ONN371" s="636">
        <v>1.5299999999999999E-2</v>
      </c>
      <c r="ONO371" s="636">
        <v>9.7000000000000003E-3</v>
      </c>
      <c r="ONP371" s="636">
        <v>9.7000000000000003E-3</v>
      </c>
      <c r="ONQ371" s="649">
        <v>9.7000000000000003E-3</v>
      </c>
      <c r="ONR371" s="16"/>
      <c r="ONS371" s="320">
        <v>8.6999999999999994E-3</v>
      </c>
      <c r="ONT371" s="153"/>
      <c r="ONU371" s="153"/>
      <c r="ONV371" s="153"/>
      <c r="ONW371" s="648"/>
      <c r="ONX371" s="641"/>
      <c r="ONY371" s="631" t="s">
        <v>1842</v>
      </c>
      <c r="ONZ371" s="632"/>
      <c r="OOA371" s="16"/>
      <c r="OOB371" s="636">
        <v>1.5299999999999999E-2</v>
      </c>
      <c r="OOC371" s="636">
        <v>1.5299999999999999E-2</v>
      </c>
      <c r="OOD371" s="636">
        <v>1.5299999999999999E-2</v>
      </c>
      <c r="OOE371" s="636">
        <v>9.7000000000000003E-3</v>
      </c>
      <c r="OOF371" s="636">
        <v>9.7000000000000003E-3</v>
      </c>
      <c r="OOG371" s="649">
        <v>9.7000000000000003E-3</v>
      </c>
      <c r="OOH371" s="16"/>
      <c r="OOI371" s="320">
        <v>8.6999999999999994E-3</v>
      </c>
      <c r="OOJ371" s="153"/>
      <c r="OOK371" s="153"/>
      <c r="OOL371" s="153"/>
      <c r="OOM371" s="648"/>
      <c r="OON371" s="641"/>
      <c r="OOO371" s="631" t="s">
        <v>1842</v>
      </c>
      <c r="OOP371" s="632"/>
      <c r="OOQ371" s="16"/>
      <c r="OOR371" s="636">
        <v>1.5299999999999999E-2</v>
      </c>
      <c r="OOS371" s="636">
        <v>1.5299999999999999E-2</v>
      </c>
      <c r="OOT371" s="636">
        <v>1.5299999999999999E-2</v>
      </c>
      <c r="OOU371" s="636">
        <v>9.7000000000000003E-3</v>
      </c>
      <c r="OOV371" s="636">
        <v>9.7000000000000003E-3</v>
      </c>
      <c r="OOW371" s="649">
        <v>9.7000000000000003E-3</v>
      </c>
      <c r="OOX371" s="16"/>
      <c r="OOY371" s="320">
        <v>8.6999999999999994E-3</v>
      </c>
      <c r="OOZ371" s="153"/>
      <c r="OPA371" s="153"/>
      <c r="OPB371" s="153"/>
      <c r="OPC371" s="648"/>
      <c r="OPD371" s="641"/>
      <c r="OPE371" s="631" t="s">
        <v>1842</v>
      </c>
      <c r="OPF371" s="632"/>
      <c r="OPG371" s="16"/>
      <c r="OPH371" s="636">
        <v>1.5299999999999999E-2</v>
      </c>
      <c r="OPI371" s="636">
        <v>1.5299999999999999E-2</v>
      </c>
      <c r="OPJ371" s="636">
        <v>1.5299999999999999E-2</v>
      </c>
      <c r="OPK371" s="636">
        <v>9.7000000000000003E-3</v>
      </c>
      <c r="OPL371" s="636">
        <v>9.7000000000000003E-3</v>
      </c>
      <c r="OPM371" s="649">
        <v>9.7000000000000003E-3</v>
      </c>
      <c r="OPN371" s="16"/>
      <c r="OPO371" s="320">
        <v>8.6999999999999994E-3</v>
      </c>
      <c r="OPP371" s="153"/>
      <c r="OPQ371" s="153"/>
      <c r="OPR371" s="153"/>
      <c r="OPS371" s="648"/>
      <c r="OPT371" s="641"/>
      <c r="OPU371" s="631" t="s">
        <v>1842</v>
      </c>
      <c r="OPV371" s="632"/>
      <c r="OPW371" s="16"/>
      <c r="OPX371" s="636">
        <v>1.5299999999999999E-2</v>
      </c>
      <c r="OPY371" s="636">
        <v>1.5299999999999999E-2</v>
      </c>
      <c r="OPZ371" s="636">
        <v>1.5299999999999999E-2</v>
      </c>
      <c r="OQA371" s="636">
        <v>9.7000000000000003E-3</v>
      </c>
      <c r="OQB371" s="636">
        <v>9.7000000000000003E-3</v>
      </c>
      <c r="OQC371" s="649">
        <v>9.7000000000000003E-3</v>
      </c>
      <c r="OQD371" s="16"/>
      <c r="OQE371" s="320">
        <v>8.6999999999999994E-3</v>
      </c>
      <c r="OQF371" s="153"/>
      <c r="OQG371" s="153"/>
      <c r="OQH371" s="153"/>
      <c r="OQI371" s="648"/>
      <c r="OQJ371" s="641"/>
      <c r="OQK371" s="631" t="s">
        <v>1842</v>
      </c>
      <c r="OQL371" s="632"/>
      <c r="OQM371" s="16"/>
      <c r="OQN371" s="636">
        <v>1.5299999999999999E-2</v>
      </c>
      <c r="OQO371" s="636">
        <v>1.5299999999999999E-2</v>
      </c>
      <c r="OQP371" s="636">
        <v>1.5299999999999999E-2</v>
      </c>
      <c r="OQQ371" s="636">
        <v>9.7000000000000003E-3</v>
      </c>
      <c r="OQR371" s="636">
        <v>9.7000000000000003E-3</v>
      </c>
      <c r="OQS371" s="649">
        <v>9.7000000000000003E-3</v>
      </c>
      <c r="OQT371" s="16"/>
      <c r="OQU371" s="320">
        <v>8.6999999999999994E-3</v>
      </c>
      <c r="OQV371" s="153"/>
      <c r="OQW371" s="153"/>
      <c r="OQX371" s="153"/>
      <c r="OQY371" s="648"/>
      <c r="OQZ371" s="641"/>
      <c r="ORA371" s="631" t="s">
        <v>1842</v>
      </c>
      <c r="ORB371" s="632"/>
      <c r="ORC371" s="16"/>
      <c r="ORD371" s="636">
        <v>1.5299999999999999E-2</v>
      </c>
      <c r="ORE371" s="636">
        <v>1.5299999999999999E-2</v>
      </c>
      <c r="ORF371" s="636">
        <v>1.5299999999999999E-2</v>
      </c>
      <c r="ORG371" s="636">
        <v>9.7000000000000003E-3</v>
      </c>
      <c r="ORH371" s="636">
        <v>9.7000000000000003E-3</v>
      </c>
      <c r="ORI371" s="649">
        <v>9.7000000000000003E-3</v>
      </c>
      <c r="ORJ371" s="16"/>
      <c r="ORK371" s="320">
        <v>8.6999999999999994E-3</v>
      </c>
      <c r="ORL371" s="153"/>
      <c r="ORM371" s="153"/>
      <c r="ORN371" s="153"/>
      <c r="ORO371" s="648"/>
      <c r="ORP371" s="641"/>
      <c r="ORQ371" s="631" t="s">
        <v>1842</v>
      </c>
      <c r="ORR371" s="632"/>
      <c r="ORS371" s="16"/>
      <c r="ORT371" s="636">
        <v>1.5299999999999999E-2</v>
      </c>
      <c r="ORU371" s="636">
        <v>1.5299999999999999E-2</v>
      </c>
      <c r="ORV371" s="636">
        <v>1.5299999999999999E-2</v>
      </c>
      <c r="ORW371" s="636">
        <v>9.7000000000000003E-3</v>
      </c>
      <c r="ORX371" s="636">
        <v>9.7000000000000003E-3</v>
      </c>
      <c r="ORY371" s="649">
        <v>9.7000000000000003E-3</v>
      </c>
      <c r="ORZ371" s="16"/>
      <c r="OSA371" s="320">
        <v>8.6999999999999994E-3</v>
      </c>
      <c r="OSB371" s="153"/>
      <c r="OSC371" s="153"/>
      <c r="OSD371" s="153"/>
      <c r="OSE371" s="648"/>
      <c r="OSF371" s="641"/>
      <c r="OSG371" s="631" t="s">
        <v>1842</v>
      </c>
      <c r="OSH371" s="632"/>
      <c r="OSI371" s="16"/>
      <c r="OSJ371" s="636">
        <v>1.5299999999999999E-2</v>
      </c>
      <c r="OSK371" s="636">
        <v>1.5299999999999999E-2</v>
      </c>
      <c r="OSL371" s="636">
        <v>1.5299999999999999E-2</v>
      </c>
      <c r="OSM371" s="636">
        <v>9.7000000000000003E-3</v>
      </c>
      <c r="OSN371" s="636">
        <v>9.7000000000000003E-3</v>
      </c>
      <c r="OSO371" s="649">
        <v>9.7000000000000003E-3</v>
      </c>
      <c r="OSP371" s="16"/>
      <c r="OSQ371" s="320">
        <v>8.6999999999999994E-3</v>
      </c>
      <c r="OSR371" s="153"/>
      <c r="OSS371" s="153"/>
      <c r="OST371" s="153"/>
      <c r="OSU371" s="648"/>
      <c r="OSV371" s="641"/>
      <c r="OSW371" s="631" t="s">
        <v>1842</v>
      </c>
      <c r="OSX371" s="632"/>
      <c r="OSY371" s="16"/>
      <c r="OSZ371" s="636">
        <v>1.5299999999999999E-2</v>
      </c>
      <c r="OTA371" s="636">
        <v>1.5299999999999999E-2</v>
      </c>
      <c r="OTB371" s="636">
        <v>1.5299999999999999E-2</v>
      </c>
      <c r="OTC371" s="636">
        <v>9.7000000000000003E-3</v>
      </c>
      <c r="OTD371" s="636">
        <v>9.7000000000000003E-3</v>
      </c>
      <c r="OTE371" s="649">
        <v>9.7000000000000003E-3</v>
      </c>
      <c r="OTF371" s="16"/>
      <c r="OTG371" s="320">
        <v>8.6999999999999994E-3</v>
      </c>
      <c r="OTH371" s="153"/>
      <c r="OTI371" s="153"/>
      <c r="OTJ371" s="153"/>
      <c r="OTK371" s="648"/>
      <c r="OTL371" s="641"/>
      <c r="OTM371" s="631" t="s">
        <v>1842</v>
      </c>
      <c r="OTN371" s="632"/>
      <c r="OTO371" s="16"/>
      <c r="OTP371" s="636">
        <v>1.5299999999999999E-2</v>
      </c>
      <c r="OTQ371" s="636">
        <v>1.5299999999999999E-2</v>
      </c>
      <c r="OTR371" s="636">
        <v>1.5299999999999999E-2</v>
      </c>
      <c r="OTS371" s="636">
        <v>9.7000000000000003E-3</v>
      </c>
      <c r="OTT371" s="636">
        <v>9.7000000000000003E-3</v>
      </c>
      <c r="OTU371" s="649">
        <v>9.7000000000000003E-3</v>
      </c>
      <c r="OTV371" s="16"/>
      <c r="OTW371" s="320">
        <v>8.6999999999999994E-3</v>
      </c>
      <c r="OTX371" s="153"/>
      <c r="OTY371" s="153"/>
      <c r="OTZ371" s="153"/>
      <c r="OUA371" s="648"/>
      <c r="OUB371" s="641"/>
      <c r="OUC371" s="631" t="s">
        <v>1842</v>
      </c>
      <c r="OUD371" s="632"/>
      <c r="OUE371" s="16"/>
      <c r="OUF371" s="636">
        <v>1.5299999999999999E-2</v>
      </c>
      <c r="OUG371" s="636">
        <v>1.5299999999999999E-2</v>
      </c>
      <c r="OUH371" s="636">
        <v>1.5299999999999999E-2</v>
      </c>
      <c r="OUI371" s="636">
        <v>9.7000000000000003E-3</v>
      </c>
      <c r="OUJ371" s="636">
        <v>9.7000000000000003E-3</v>
      </c>
      <c r="OUK371" s="649">
        <v>9.7000000000000003E-3</v>
      </c>
      <c r="OUL371" s="16"/>
      <c r="OUM371" s="320">
        <v>8.6999999999999994E-3</v>
      </c>
      <c r="OUN371" s="153"/>
      <c r="OUO371" s="153"/>
      <c r="OUP371" s="153"/>
      <c r="OUQ371" s="648"/>
      <c r="OUR371" s="641"/>
      <c r="OUS371" s="631" t="s">
        <v>1842</v>
      </c>
      <c r="OUT371" s="632"/>
      <c r="OUU371" s="16"/>
      <c r="OUV371" s="636">
        <v>1.5299999999999999E-2</v>
      </c>
      <c r="OUW371" s="636">
        <v>1.5299999999999999E-2</v>
      </c>
      <c r="OUX371" s="636">
        <v>1.5299999999999999E-2</v>
      </c>
      <c r="OUY371" s="636">
        <v>9.7000000000000003E-3</v>
      </c>
      <c r="OUZ371" s="636">
        <v>9.7000000000000003E-3</v>
      </c>
      <c r="OVA371" s="649">
        <v>9.7000000000000003E-3</v>
      </c>
      <c r="OVB371" s="16"/>
      <c r="OVC371" s="320">
        <v>8.6999999999999994E-3</v>
      </c>
      <c r="OVD371" s="153"/>
      <c r="OVE371" s="153"/>
      <c r="OVF371" s="153"/>
      <c r="OVG371" s="648"/>
      <c r="OVH371" s="641"/>
      <c r="OVI371" s="631" t="s">
        <v>1842</v>
      </c>
      <c r="OVJ371" s="632"/>
      <c r="OVK371" s="16"/>
      <c r="OVL371" s="636">
        <v>1.5299999999999999E-2</v>
      </c>
      <c r="OVM371" s="636">
        <v>1.5299999999999999E-2</v>
      </c>
      <c r="OVN371" s="636">
        <v>1.5299999999999999E-2</v>
      </c>
      <c r="OVO371" s="636">
        <v>9.7000000000000003E-3</v>
      </c>
      <c r="OVP371" s="636">
        <v>9.7000000000000003E-3</v>
      </c>
      <c r="OVQ371" s="649">
        <v>9.7000000000000003E-3</v>
      </c>
      <c r="OVR371" s="16"/>
      <c r="OVS371" s="320">
        <v>8.6999999999999994E-3</v>
      </c>
      <c r="OVT371" s="153"/>
      <c r="OVU371" s="153"/>
      <c r="OVV371" s="153"/>
      <c r="OVW371" s="648"/>
      <c r="OVX371" s="641"/>
      <c r="OVY371" s="631" t="s">
        <v>1842</v>
      </c>
      <c r="OVZ371" s="632"/>
      <c r="OWA371" s="16"/>
      <c r="OWB371" s="636">
        <v>1.5299999999999999E-2</v>
      </c>
      <c r="OWC371" s="636">
        <v>1.5299999999999999E-2</v>
      </c>
      <c r="OWD371" s="636">
        <v>1.5299999999999999E-2</v>
      </c>
      <c r="OWE371" s="636">
        <v>9.7000000000000003E-3</v>
      </c>
      <c r="OWF371" s="636">
        <v>9.7000000000000003E-3</v>
      </c>
      <c r="OWG371" s="649">
        <v>9.7000000000000003E-3</v>
      </c>
      <c r="OWH371" s="16"/>
      <c r="OWI371" s="320">
        <v>8.6999999999999994E-3</v>
      </c>
      <c r="OWJ371" s="153"/>
      <c r="OWK371" s="153"/>
      <c r="OWL371" s="153"/>
      <c r="OWM371" s="648"/>
      <c r="OWN371" s="641"/>
      <c r="OWO371" s="631" t="s">
        <v>1842</v>
      </c>
      <c r="OWP371" s="632"/>
      <c r="OWQ371" s="16"/>
      <c r="OWR371" s="636">
        <v>1.5299999999999999E-2</v>
      </c>
      <c r="OWS371" s="636">
        <v>1.5299999999999999E-2</v>
      </c>
      <c r="OWT371" s="636">
        <v>1.5299999999999999E-2</v>
      </c>
      <c r="OWU371" s="636">
        <v>9.7000000000000003E-3</v>
      </c>
      <c r="OWV371" s="636">
        <v>9.7000000000000003E-3</v>
      </c>
      <c r="OWW371" s="649">
        <v>9.7000000000000003E-3</v>
      </c>
      <c r="OWX371" s="16"/>
      <c r="OWY371" s="320">
        <v>8.6999999999999994E-3</v>
      </c>
      <c r="OWZ371" s="153"/>
      <c r="OXA371" s="153"/>
      <c r="OXB371" s="153"/>
      <c r="OXC371" s="648"/>
      <c r="OXD371" s="641"/>
      <c r="OXE371" s="631" t="s">
        <v>1842</v>
      </c>
      <c r="OXF371" s="632"/>
      <c r="OXG371" s="16"/>
      <c r="OXH371" s="636">
        <v>1.5299999999999999E-2</v>
      </c>
      <c r="OXI371" s="636">
        <v>1.5299999999999999E-2</v>
      </c>
      <c r="OXJ371" s="636">
        <v>1.5299999999999999E-2</v>
      </c>
      <c r="OXK371" s="636">
        <v>9.7000000000000003E-3</v>
      </c>
      <c r="OXL371" s="636">
        <v>9.7000000000000003E-3</v>
      </c>
      <c r="OXM371" s="649">
        <v>9.7000000000000003E-3</v>
      </c>
      <c r="OXN371" s="16"/>
      <c r="OXO371" s="320">
        <v>8.6999999999999994E-3</v>
      </c>
      <c r="OXP371" s="153"/>
      <c r="OXQ371" s="153"/>
      <c r="OXR371" s="153"/>
      <c r="OXS371" s="648"/>
      <c r="OXT371" s="641"/>
      <c r="OXU371" s="631" t="s">
        <v>1842</v>
      </c>
      <c r="OXV371" s="632"/>
      <c r="OXW371" s="16"/>
      <c r="OXX371" s="636">
        <v>1.5299999999999999E-2</v>
      </c>
      <c r="OXY371" s="636">
        <v>1.5299999999999999E-2</v>
      </c>
      <c r="OXZ371" s="636">
        <v>1.5299999999999999E-2</v>
      </c>
      <c r="OYA371" s="636">
        <v>9.7000000000000003E-3</v>
      </c>
      <c r="OYB371" s="636">
        <v>9.7000000000000003E-3</v>
      </c>
      <c r="OYC371" s="649">
        <v>9.7000000000000003E-3</v>
      </c>
      <c r="OYD371" s="16"/>
      <c r="OYE371" s="320">
        <v>8.6999999999999994E-3</v>
      </c>
      <c r="OYF371" s="153"/>
      <c r="OYG371" s="153"/>
      <c r="OYH371" s="153"/>
      <c r="OYI371" s="648"/>
      <c r="OYJ371" s="641"/>
      <c r="OYK371" s="631" t="s">
        <v>1842</v>
      </c>
      <c r="OYL371" s="632"/>
      <c r="OYM371" s="16"/>
      <c r="OYN371" s="636">
        <v>1.5299999999999999E-2</v>
      </c>
      <c r="OYO371" s="636">
        <v>1.5299999999999999E-2</v>
      </c>
      <c r="OYP371" s="636">
        <v>1.5299999999999999E-2</v>
      </c>
      <c r="OYQ371" s="636">
        <v>9.7000000000000003E-3</v>
      </c>
      <c r="OYR371" s="636">
        <v>9.7000000000000003E-3</v>
      </c>
      <c r="OYS371" s="649">
        <v>9.7000000000000003E-3</v>
      </c>
      <c r="OYT371" s="16"/>
      <c r="OYU371" s="320">
        <v>8.6999999999999994E-3</v>
      </c>
      <c r="OYV371" s="153"/>
      <c r="OYW371" s="153"/>
      <c r="OYX371" s="153"/>
      <c r="OYY371" s="648"/>
      <c r="OYZ371" s="641"/>
      <c r="OZA371" s="631" t="s">
        <v>1842</v>
      </c>
      <c r="OZB371" s="632"/>
      <c r="OZC371" s="16"/>
      <c r="OZD371" s="636">
        <v>1.5299999999999999E-2</v>
      </c>
      <c r="OZE371" s="636">
        <v>1.5299999999999999E-2</v>
      </c>
      <c r="OZF371" s="636">
        <v>1.5299999999999999E-2</v>
      </c>
      <c r="OZG371" s="636">
        <v>9.7000000000000003E-3</v>
      </c>
      <c r="OZH371" s="636">
        <v>9.7000000000000003E-3</v>
      </c>
      <c r="OZI371" s="649">
        <v>9.7000000000000003E-3</v>
      </c>
      <c r="OZJ371" s="16"/>
      <c r="OZK371" s="320">
        <v>8.6999999999999994E-3</v>
      </c>
      <c r="OZL371" s="153"/>
      <c r="OZM371" s="153"/>
      <c r="OZN371" s="153"/>
      <c r="OZO371" s="648"/>
      <c r="OZP371" s="641"/>
      <c r="OZQ371" s="631" t="s">
        <v>1842</v>
      </c>
      <c r="OZR371" s="632"/>
      <c r="OZS371" s="16"/>
      <c r="OZT371" s="636">
        <v>1.5299999999999999E-2</v>
      </c>
      <c r="OZU371" s="636">
        <v>1.5299999999999999E-2</v>
      </c>
      <c r="OZV371" s="636">
        <v>1.5299999999999999E-2</v>
      </c>
      <c r="OZW371" s="636">
        <v>9.7000000000000003E-3</v>
      </c>
      <c r="OZX371" s="636">
        <v>9.7000000000000003E-3</v>
      </c>
      <c r="OZY371" s="649">
        <v>9.7000000000000003E-3</v>
      </c>
      <c r="OZZ371" s="16"/>
      <c r="PAA371" s="320">
        <v>8.6999999999999994E-3</v>
      </c>
      <c r="PAB371" s="153"/>
      <c r="PAC371" s="153"/>
      <c r="PAD371" s="153"/>
      <c r="PAE371" s="648"/>
      <c r="PAF371" s="641"/>
      <c r="PAG371" s="631" t="s">
        <v>1842</v>
      </c>
      <c r="PAH371" s="632"/>
      <c r="PAI371" s="16"/>
      <c r="PAJ371" s="636">
        <v>1.5299999999999999E-2</v>
      </c>
      <c r="PAK371" s="636">
        <v>1.5299999999999999E-2</v>
      </c>
      <c r="PAL371" s="636">
        <v>1.5299999999999999E-2</v>
      </c>
      <c r="PAM371" s="636">
        <v>9.7000000000000003E-3</v>
      </c>
      <c r="PAN371" s="636">
        <v>9.7000000000000003E-3</v>
      </c>
      <c r="PAO371" s="649">
        <v>9.7000000000000003E-3</v>
      </c>
      <c r="PAP371" s="16"/>
      <c r="PAQ371" s="320">
        <v>8.6999999999999994E-3</v>
      </c>
      <c r="PAR371" s="153"/>
      <c r="PAS371" s="153"/>
      <c r="PAT371" s="153"/>
      <c r="PAU371" s="648"/>
      <c r="PAV371" s="641"/>
      <c r="PAW371" s="631" t="s">
        <v>1842</v>
      </c>
      <c r="PAX371" s="632"/>
      <c r="PAY371" s="16"/>
      <c r="PAZ371" s="636">
        <v>1.5299999999999999E-2</v>
      </c>
      <c r="PBA371" s="636">
        <v>1.5299999999999999E-2</v>
      </c>
      <c r="PBB371" s="636">
        <v>1.5299999999999999E-2</v>
      </c>
      <c r="PBC371" s="636">
        <v>9.7000000000000003E-3</v>
      </c>
      <c r="PBD371" s="636">
        <v>9.7000000000000003E-3</v>
      </c>
      <c r="PBE371" s="649">
        <v>9.7000000000000003E-3</v>
      </c>
      <c r="PBF371" s="16"/>
      <c r="PBG371" s="320">
        <v>8.6999999999999994E-3</v>
      </c>
      <c r="PBH371" s="153"/>
      <c r="PBI371" s="153"/>
      <c r="PBJ371" s="153"/>
      <c r="PBK371" s="648"/>
      <c r="PBL371" s="641"/>
      <c r="PBM371" s="631" t="s">
        <v>1842</v>
      </c>
      <c r="PBN371" s="632"/>
      <c r="PBO371" s="16"/>
      <c r="PBP371" s="636">
        <v>1.5299999999999999E-2</v>
      </c>
      <c r="PBQ371" s="636">
        <v>1.5299999999999999E-2</v>
      </c>
      <c r="PBR371" s="636">
        <v>1.5299999999999999E-2</v>
      </c>
      <c r="PBS371" s="636">
        <v>9.7000000000000003E-3</v>
      </c>
      <c r="PBT371" s="636">
        <v>9.7000000000000003E-3</v>
      </c>
      <c r="PBU371" s="649">
        <v>9.7000000000000003E-3</v>
      </c>
      <c r="PBV371" s="16"/>
      <c r="PBW371" s="320">
        <v>8.6999999999999994E-3</v>
      </c>
      <c r="PBX371" s="153"/>
      <c r="PBY371" s="153"/>
      <c r="PBZ371" s="153"/>
      <c r="PCA371" s="648"/>
      <c r="PCB371" s="641"/>
      <c r="PCC371" s="631" t="s">
        <v>1842</v>
      </c>
      <c r="PCD371" s="632"/>
      <c r="PCE371" s="16"/>
      <c r="PCF371" s="636">
        <v>1.5299999999999999E-2</v>
      </c>
      <c r="PCG371" s="636">
        <v>1.5299999999999999E-2</v>
      </c>
      <c r="PCH371" s="636">
        <v>1.5299999999999999E-2</v>
      </c>
      <c r="PCI371" s="636">
        <v>9.7000000000000003E-3</v>
      </c>
      <c r="PCJ371" s="636">
        <v>9.7000000000000003E-3</v>
      </c>
      <c r="PCK371" s="649">
        <v>9.7000000000000003E-3</v>
      </c>
      <c r="PCL371" s="16"/>
      <c r="PCM371" s="320">
        <v>8.6999999999999994E-3</v>
      </c>
      <c r="PCN371" s="153"/>
      <c r="PCO371" s="153"/>
      <c r="PCP371" s="153"/>
      <c r="PCQ371" s="648"/>
      <c r="PCR371" s="641"/>
      <c r="PCS371" s="631" t="s">
        <v>1842</v>
      </c>
      <c r="PCT371" s="632"/>
      <c r="PCU371" s="16"/>
      <c r="PCV371" s="636">
        <v>1.5299999999999999E-2</v>
      </c>
      <c r="PCW371" s="636">
        <v>1.5299999999999999E-2</v>
      </c>
      <c r="PCX371" s="636">
        <v>1.5299999999999999E-2</v>
      </c>
      <c r="PCY371" s="636">
        <v>9.7000000000000003E-3</v>
      </c>
      <c r="PCZ371" s="636">
        <v>9.7000000000000003E-3</v>
      </c>
      <c r="PDA371" s="649">
        <v>9.7000000000000003E-3</v>
      </c>
      <c r="PDB371" s="16"/>
      <c r="PDC371" s="320">
        <v>8.6999999999999994E-3</v>
      </c>
      <c r="PDD371" s="153"/>
      <c r="PDE371" s="153"/>
      <c r="PDF371" s="153"/>
      <c r="PDG371" s="648"/>
      <c r="PDH371" s="641"/>
      <c r="PDI371" s="631" t="s">
        <v>1842</v>
      </c>
      <c r="PDJ371" s="632"/>
      <c r="PDK371" s="16"/>
      <c r="PDL371" s="636">
        <v>1.5299999999999999E-2</v>
      </c>
      <c r="PDM371" s="636">
        <v>1.5299999999999999E-2</v>
      </c>
      <c r="PDN371" s="636">
        <v>1.5299999999999999E-2</v>
      </c>
      <c r="PDO371" s="636">
        <v>9.7000000000000003E-3</v>
      </c>
      <c r="PDP371" s="636">
        <v>9.7000000000000003E-3</v>
      </c>
      <c r="PDQ371" s="649">
        <v>9.7000000000000003E-3</v>
      </c>
      <c r="PDR371" s="16"/>
      <c r="PDS371" s="320">
        <v>8.6999999999999994E-3</v>
      </c>
      <c r="PDT371" s="153"/>
      <c r="PDU371" s="153"/>
      <c r="PDV371" s="153"/>
      <c r="PDW371" s="648"/>
      <c r="PDX371" s="641"/>
      <c r="PDY371" s="631" t="s">
        <v>1842</v>
      </c>
      <c r="PDZ371" s="632"/>
      <c r="PEA371" s="16"/>
      <c r="PEB371" s="636">
        <v>1.5299999999999999E-2</v>
      </c>
      <c r="PEC371" s="636">
        <v>1.5299999999999999E-2</v>
      </c>
      <c r="PED371" s="636">
        <v>1.5299999999999999E-2</v>
      </c>
      <c r="PEE371" s="636">
        <v>9.7000000000000003E-3</v>
      </c>
      <c r="PEF371" s="636">
        <v>9.7000000000000003E-3</v>
      </c>
      <c r="PEG371" s="649">
        <v>9.7000000000000003E-3</v>
      </c>
      <c r="PEH371" s="16"/>
      <c r="PEI371" s="320">
        <v>8.6999999999999994E-3</v>
      </c>
      <c r="PEJ371" s="153"/>
      <c r="PEK371" s="153"/>
      <c r="PEL371" s="153"/>
      <c r="PEM371" s="648"/>
      <c r="PEN371" s="641"/>
      <c r="PEO371" s="631" t="s">
        <v>1842</v>
      </c>
      <c r="PEP371" s="632"/>
      <c r="PEQ371" s="16"/>
      <c r="PER371" s="636">
        <v>1.5299999999999999E-2</v>
      </c>
      <c r="PES371" s="636">
        <v>1.5299999999999999E-2</v>
      </c>
      <c r="PET371" s="636">
        <v>1.5299999999999999E-2</v>
      </c>
      <c r="PEU371" s="636">
        <v>9.7000000000000003E-3</v>
      </c>
      <c r="PEV371" s="636">
        <v>9.7000000000000003E-3</v>
      </c>
      <c r="PEW371" s="649">
        <v>9.7000000000000003E-3</v>
      </c>
      <c r="PEX371" s="16"/>
      <c r="PEY371" s="320">
        <v>8.6999999999999994E-3</v>
      </c>
      <c r="PEZ371" s="153"/>
      <c r="PFA371" s="153"/>
      <c r="PFB371" s="153"/>
      <c r="PFC371" s="648"/>
      <c r="PFD371" s="641"/>
      <c r="PFE371" s="631" t="s">
        <v>1842</v>
      </c>
      <c r="PFF371" s="632"/>
      <c r="PFG371" s="16"/>
      <c r="PFH371" s="636">
        <v>1.5299999999999999E-2</v>
      </c>
      <c r="PFI371" s="636">
        <v>1.5299999999999999E-2</v>
      </c>
      <c r="PFJ371" s="636">
        <v>1.5299999999999999E-2</v>
      </c>
      <c r="PFK371" s="636">
        <v>9.7000000000000003E-3</v>
      </c>
      <c r="PFL371" s="636">
        <v>9.7000000000000003E-3</v>
      </c>
      <c r="PFM371" s="649">
        <v>9.7000000000000003E-3</v>
      </c>
      <c r="PFN371" s="16"/>
      <c r="PFO371" s="320">
        <v>8.6999999999999994E-3</v>
      </c>
      <c r="PFP371" s="153"/>
      <c r="PFQ371" s="153"/>
      <c r="PFR371" s="153"/>
      <c r="PFS371" s="648"/>
      <c r="PFT371" s="641"/>
      <c r="PFU371" s="631" t="s">
        <v>1842</v>
      </c>
      <c r="PFV371" s="632"/>
      <c r="PFW371" s="16"/>
      <c r="PFX371" s="636">
        <v>1.5299999999999999E-2</v>
      </c>
      <c r="PFY371" s="636">
        <v>1.5299999999999999E-2</v>
      </c>
      <c r="PFZ371" s="636">
        <v>1.5299999999999999E-2</v>
      </c>
      <c r="PGA371" s="636">
        <v>9.7000000000000003E-3</v>
      </c>
      <c r="PGB371" s="636">
        <v>9.7000000000000003E-3</v>
      </c>
      <c r="PGC371" s="649">
        <v>9.7000000000000003E-3</v>
      </c>
      <c r="PGD371" s="16"/>
      <c r="PGE371" s="320">
        <v>8.6999999999999994E-3</v>
      </c>
      <c r="PGF371" s="153"/>
      <c r="PGG371" s="153"/>
      <c r="PGH371" s="153"/>
      <c r="PGI371" s="648"/>
      <c r="PGJ371" s="641"/>
      <c r="PGK371" s="631" t="s">
        <v>1842</v>
      </c>
      <c r="PGL371" s="632"/>
      <c r="PGM371" s="16"/>
      <c r="PGN371" s="636">
        <v>1.5299999999999999E-2</v>
      </c>
      <c r="PGO371" s="636">
        <v>1.5299999999999999E-2</v>
      </c>
      <c r="PGP371" s="636">
        <v>1.5299999999999999E-2</v>
      </c>
      <c r="PGQ371" s="636">
        <v>9.7000000000000003E-3</v>
      </c>
      <c r="PGR371" s="636">
        <v>9.7000000000000003E-3</v>
      </c>
      <c r="PGS371" s="649">
        <v>9.7000000000000003E-3</v>
      </c>
      <c r="PGT371" s="16"/>
      <c r="PGU371" s="320">
        <v>8.6999999999999994E-3</v>
      </c>
      <c r="PGV371" s="153"/>
      <c r="PGW371" s="153"/>
      <c r="PGX371" s="153"/>
      <c r="PGY371" s="648"/>
      <c r="PGZ371" s="641"/>
      <c r="PHA371" s="631" t="s">
        <v>1842</v>
      </c>
      <c r="PHB371" s="632"/>
      <c r="PHC371" s="16"/>
      <c r="PHD371" s="636">
        <v>1.5299999999999999E-2</v>
      </c>
      <c r="PHE371" s="636">
        <v>1.5299999999999999E-2</v>
      </c>
      <c r="PHF371" s="636">
        <v>1.5299999999999999E-2</v>
      </c>
      <c r="PHG371" s="636">
        <v>9.7000000000000003E-3</v>
      </c>
      <c r="PHH371" s="636">
        <v>9.7000000000000003E-3</v>
      </c>
      <c r="PHI371" s="649">
        <v>9.7000000000000003E-3</v>
      </c>
      <c r="PHJ371" s="16"/>
      <c r="PHK371" s="320">
        <v>8.6999999999999994E-3</v>
      </c>
      <c r="PHL371" s="153"/>
      <c r="PHM371" s="153"/>
      <c r="PHN371" s="153"/>
      <c r="PHO371" s="648"/>
      <c r="PHP371" s="641"/>
      <c r="PHQ371" s="631" t="s">
        <v>1842</v>
      </c>
      <c r="PHR371" s="632"/>
      <c r="PHS371" s="16"/>
      <c r="PHT371" s="636">
        <v>1.5299999999999999E-2</v>
      </c>
      <c r="PHU371" s="636">
        <v>1.5299999999999999E-2</v>
      </c>
      <c r="PHV371" s="636">
        <v>1.5299999999999999E-2</v>
      </c>
      <c r="PHW371" s="636">
        <v>9.7000000000000003E-3</v>
      </c>
      <c r="PHX371" s="636">
        <v>9.7000000000000003E-3</v>
      </c>
      <c r="PHY371" s="649">
        <v>9.7000000000000003E-3</v>
      </c>
      <c r="PHZ371" s="16"/>
      <c r="PIA371" s="320">
        <v>8.6999999999999994E-3</v>
      </c>
      <c r="PIB371" s="153"/>
      <c r="PIC371" s="153"/>
      <c r="PID371" s="153"/>
      <c r="PIE371" s="648"/>
      <c r="PIF371" s="641"/>
      <c r="PIG371" s="631" t="s">
        <v>1842</v>
      </c>
      <c r="PIH371" s="632"/>
      <c r="PII371" s="16"/>
      <c r="PIJ371" s="636">
        <v>1.5299999999999999E-2</v>
      </c>
      <c r="PIK371" s="636">
        <v>1.5299999999999999E-2</v>
      </c>
      <c r="PIL371" s="636">
        <v>1.5299999999999999E-2</v>
      </c>
      <c r="PIM371" s="636">
        <v>9.7000000000000003E-3</v>
      </c>
      <c r="PIN371" s="636">
        <v>9.7000000000000003E-3</v>
      </c>
      <c r="PIO371" s="649">
        <v>9.7000000000000003E-3</v>
      </c>
      <c r="PIP371" s="16"/>
      <c r="PIQ371" s="320">
        <v>8.6999999999999994E-3</v>
      </c>
      <c r="PIR371" s="153"/>
      <c r="PIS371" s="153"/>
      <c r="PIT371" s="153"/>
      <c r="PIU371" s="648"/>
      <c r="PIV371" s="641"/>
      <c r="PIW371" s="631" t="s">
        <v>1842</v>
      </c>
      <c r="PIX371" s="632"/>
      <c r="PIY371" s="16"/>
      <c r="PIZ371" s="636">
        <v>1.5299999999999999E-2</v>
      </c>
      <c r="PJA371" s="636">
        <v>1.5299999999999999E-2</v>
      </c>
      <c r="PJB371" s="636">
        <v>1.5299999999999999E-2</v>
      </c>
      <c r="PJC371" s="636">
        <v>9.7000000000000003E-3</v>
      </c>
      <c r="PJD371" s="636">
        <v>9.7000000000000003E-3</v>
      </c>
      <c r="PJE371" s="649">
        <v>9.7000000000000003E-3</v>
      </c>
      <c r="PJF371" s="16"/>
      <c r="PJG371" s="320">
        <v>8.6999999999999994E-3</v>
      </c>
      <c r="PJH371" s="153"/>
      <c r="PJI371" s="153"/>
      <c r="PJJ371" s="153"/>
      <c r="PJK371" s="648"/>
      <c r="PJL371" s="641"/>
      <c r="PJM371" s="631" t="s">
        <v>1842</v>
      </c>
      <c r="PJN371" s="632"/>
      <c r="PJO371" s="16"/>
      <c r="PJP371" s="636">
        <v>1.5299999999999999E-2</v>
      </c>
      <c r="PJQ371" s="636">
        <v>1.5299999999999999E-2</v>
      </c>
      <c r="PJR371" s="636">
        <v>1.5299999999999999E-2</v>
      </c>
      <c r="PJS371" s="636">
        <v>9.7000000000000003E-3</v>
      </c>
      <c r="PJT371" s="636">
        <v>9.7000000000000003E-3</v>
      </c>
      <c r="PJU371" s="649">
        <v>9.7000000000000003E-3</v>
      </c>
      <c r="PJV371" s="16"/>
      <c r="PJW371" s="320">
        <v>8.6999999999999994E-3</v>
      </c>
      <c r="PJX371" s="153"/>
      <c r="PJY371" s="153"/>
      <c r="PJZ371" s="153"/>
      <c r="PKA371" s="648"/>
      <c r="PKB371" s="641"/>
      <c r="PKC371" s="631" t="s">
        <v>1842</v>
      </c>
      <c r="PKD371" s="632"/>
      <c r="PKE371" s="16"/>
      <c r="PKF371" s="636">
        <v>1.5299999999999999E-2</v>
      </c>
      <c r="PKG371" s="636">
        <v>1.5299999999999999E-2</v>
      </c>
      <c r="PKH371" s="636">
        <v>1.5299999999999999E-2</v>
      </c>
      <c r="PKI371" s="636">
        <v>9.7000000000000003E-3</v>
      </c>
      <c r="PKJ371" s="636">
        <v>9.7000000000000003E-3</v>
      </c>
      <c r="PKK371" s="649">
        <v>9.7000000000000003E-3</v>
      </c>
      <c r="PKL371" s="16"/>
      <c r="PKM371" s="320">
        <v>8.6999999999999994E-3</v>
      </c>
      <c r="PKN371" s="153"/>
      <c r="PKO371" s="153"/>
      <c r="PKP371" s="153"/>
      <c r="PKQ371" s="648"/>
      <c r="PKR371" s="641"/>
      <c r="PKS371" s="631" t="s">
        <v>1842</v>
      </c>
      <c r="PKT371" s="632"/>
      <c r="PKU371" s="16"/>
      <c r="PKV371" s="636">
        <v>1.5299999999999999E-2</v>
      </c>
      <c r="PKW371" s="636">
        <v>1.5299999999999999E-2</v>
      </c>
      <c r="PKX371" s="636">
        <v>1.5299999999999999E-2</v>
      </c>
      <c r="PKY371" s="636">
        <v>9.7000000000000003E-3</v>
      </c>
      <c r="PKZ371" s="636">
        <v>9.7000000000000003E-3</v>
      </c>
      <c r="PLA371" s="649">
        <v>9.7000000000000003E-3</v>
      </c>
      <c r="PLB371" s="16"/>
      <c r="PLC371" s="320">
        <v>8.6999999999999994E-3</v>
      </c>
      <c r="PLD371" s="153"/>
      <c r="PLE371" s="153"/>
      <c r="PLF371" s="153"/>
      <c r="PLG371" s="648"/>
      <c r="PLH371" s="641"/>
      <c r="PLI371" s="631" t="s">
        <v>1842</v>
      </c>
      <c r="PLJ371" s="632"/>
      <c r="PLK371" s="16"/>
      <c r="PLL371" s="636">
        <v>1.5299999999999999E-2</v>
      </c>
      <c r="PLM371" s="636">
        <v>1.5299999999999999E-2</v>
      </c>
      <c r="PLN371" s="636">
        <v>1.5299999999999999E-2</v>
      </c>
      <c r="PLO371" s="636">
        <v>9.7000000000000003E-3</v>
      </c>
      <c r="PLP371" s="636">
        <v>9.7000000000000003E-3</v>
      </c>
      <c r="PLQ371" s="649">
        <v>9.7000000000000003E-3</v>
      </c>
      <c r="PLR371" s="16"/>
      <c r="PLS371" s="320">
        <v>8.6999999999999994E-3</v>
      </c>
      <c r="PLT371" s="153"/>
      <c r="PLU371" s="153"/>
      <c r="PLV371" s="153"/>
      <c r="PLW371" s="648"/>
      <c r="PLX371" s="641"/>
      <c r="PLY371" s="631" t="s">
        <v>1842</v>
      </c>
      <c r="PLZ371" s="632"/>
      <c r="PMA371" s="16"/>
      <c r="PMB371" s="636">
        <v>1.5299999999999999E-2</v>
      </c>
      <c r="PMC371" s="636">
        <v>1.5299999999999999E-2</v>
      </c>
      <c r="PMD371" s="636">
        <v>1.5299999999999999E-2</v>
      </c>
      <c r="PME371" s="636">
        <v>9.7000000000000003E-3</v>
      </c>
      <c r="PMF371" s="636">
        <v>9.7000000000000003E-3</v>
      </c>
      <c r="PMG371" s="649">
        <v>9.7000000000000003E-3</v>
      </c>
      <c r="PMH371" s="16"/>
      <c r="PMI371" s="320">
        <v>8.6999999999999994E-3</v>
      </c>
      <c r="PMJ371" s="153"/>
      <c r="PMK371" s="153"/>
      <c r="PML371" s="153"/>
      <c r="PMM371" s="648"/>
      <c r="PMN371" s="641"/>
      <c r="PMO371" s="631" t="s">
        <v>1842</v>
      </c>
      <c r="PMP371" s="632"/>
      <c r="PMQ371" s="16"/>
      <c r="PMR371" s="636">
        <v>1.5299999999999999E-2</v>
      </c>
      <c r="PMS371" s="636">
        <v>1.5299999999999999E-2</v>
      </c>
      <c r="PMT371" s="636">
        <v>1.5299999999999999E-2</v>
      </c>
      <c r="PMU371" s="636">
        <v>9.7000000000000003E-3</v>
      </c>
      <c r="PMV371" s="636">
        <v>9.7000000000000003E-3</v>
      </c>
      <c r="PMW371" s="649">
        <v>9.7000000000000003E-3</v>
      </c>
      <c r="PMX371" s="16"/>
      <c r="PMY371" s="320">
        <v>8.6999999999999994E-3</v>
      </c>
      <c r="PMZ371" s="153"/>
      <c r="PNA371" s="153"/>
      <c r="PNB371" s="153"/>
      <c r="PNC371" s="648"/>
      <c r="PND371" s="641"/>
      <c r="PNE371" s="631" t="s">
        <v>1842</v>
      </c>
      <c r="PNF371" s="632"/>
      <c r="PNG371" s="16"/>
      <c r="PNH371" s="636">
        <v>1.5299999999999999E-2</v>
      </c>
      <c r="PNI371" s="636">
        <v>1.5299999999999999E-2</v>
      </c>
      <c r="PNJ371" s="636">
        <v>1.5299999999999999E-2</v>
      </c>
      <c r="PNK371" s="636">
        <v>9.7000000000000003E-3</v>
      </c>
      <c r="PNL371" s="636">
        <v>9.7000000000000003E-3</v>
      </c>
      <c r="PNM371" s="649">
        <v>9.7000000000000003E-3</v>
      </c>
      <c r="PNN371" s="16"/>
      <c r="PNO371" s="320">
        <v>8.6999999999999994E-3</v>
      </c>
      <c r="PNP371" s="153"/>
      <c r="PNQ371" s="153"/>
      <c r="PNR371" s="153"/>
      <c r="PNS371" s="648"/>
      <c r="PNT371" s="641"/>
      <c r="PNU371" s="631" t="s">
        <v>1842</v>
      </c>
      <c r="PNV371" s="632"/>
      <c r="PNW371" s="16"/>
      <c r="PNX371" s="636">
        <v>1.5299999999999999E-2</v>
      </c>
      <c r="PNY371" s="636">
        <v>1.5299999999999999E-2</v>
      </c>
      <c r="PNZ371" s="636">
        <v>1.5299999999999999E-2</v>
      </c>
      <c r="POA371" s="636">
        <v>9.7000000000000003E-3</v>
      </c>
      <c r="POB371" s="636">
        <v>9.7000000000000003E-3</v>
      </c>
      <c r="POC371" s="649">
        <v>9.7000000000000003E-3</v>
      </c>
      <c r="POD371" s="16"/>
      <c r="POE371" s="320">
        <v>8.6999999999999994E-3</v>
      </c>
      <c r="POF371" s="153"/>
      <c r="POG371" s="153"/>
      <c r="POH371" s="153"/>
      <c r="POI371" s="648"/>
      <c r="POJ371" s="641"/>
      <c r="POK371" s="631" t="s">
        <v>1842</v>
      </c>
      <c r="POL371" s="632"/>
      <c r="POM371" s="16"/>
      <c r="PON371" s="636">
        <v>1.5299999999999999E-2</v>
      </c>
      <c r="POO371" s="636">
        <v>1.5299999999999999E-2</v>
      </c>
      <c r="POP371" s="636">
        <v>1.5299999999999999E-2</v>
      </c>
      <c r="POQ371" s="636">
        <v>9.7000000000000003E-3</v>
      </c>
      <c r="POR371" s="636">
        <v>9.7000000000000003E-3</v>
      </c>
      <c r="POS371" s="649">
        <v>9.7000000000000003E-3</v>
      </c>
      <c r="POT371" s="16"/>
      <c r="POU371" s="320">
        <v>8.6999999999999994E-3</v>
      </c>
      <c r="POV371" s="153"/>
      <c r="POW371" s="153"/>
      <c r="POX371" s="153"/>
      <c r="POY371" s="648"/>
      <c r="POZ371" s="641"/>
      <c r="PPA371" s="631" t="s">
        <v>1842</v>
      </c>
      <c r="PPB371" s="632"/>
      <c r="PPC371" s="16"/>
      <c r="PPD371" s="636">
        <v>1.5299999999999999E-2</v>
      </c>
      <c r="PPE371" s="636">
        <v>1.5299999999999999E-2</v>
      </c>
      <c r="PPF371" s="636">
        <v>1.5299999999999999E-2</v>
      </c>
      <c r="PPG371" s="636">
        <v>9.7000000000000003E-3</v>
      </c>
      <c r="PPH371" s="636">
        <v>9.7000000000000003E-3</v>
      </c>
      <c r="PPI371" s="649">
        <v>9.7000000000000003E-3</v>
      </c>
      <c r="PPJ371" s="16"/>
      <c r="PPK371" s="320">
        <v>8.6999999999999994E-3</v>
      </c>
      <c r="PPL371" s="153"/>
      <c r="PPM371" s="153"/>
      <c r="PPN371" s="153"/>
      <c r="PPO371" s="648"/>
      <c r="PPP371" s="641"/>
      <c r="PPQ371" s="631" t="s">
        <v>1842</v>
      </c>
      <c r="PPR371" s="632"/>
      <c r="PPS371" s="16"/>
      <c r="PPT371" s="636">
        <v>1.5299999999999999E-2</v>
      </c>
      <c r="PPU371" s="636">
        <v>1.5299999999999999E-2</v>
      </c>
      <c r="PPV371" s="636">
        <v>1.5299999999999999E-2</v>
      </c>
      <c r="PPW371" s="636">
        <v>9.7000000000000003E-3</v>
      </c>
      <c r="PPX371" s="636">
        <v>9.7000000000000003E-3</v>
      </c>
      <c r="PPY371" s="649">
        <v>9.7000000000000003E-3</v>
      </c>
      <c r="PPZ371" s="16"/>
      <c r="PQA371" s="320">
        <v>8.6999999999999994E-3</v>
      </c>
      <c r="PQB371" s="153"/>
      <c r="PQC371" s="153"/>
      <c r="PQD371" s="153"/>
      <c r="PQE371" s="648"/>
      <c r="PQF371" s="641"/>
      <c r="PQG371" s="631" t="s">
        <v>1842</v>
      </c>
      <c r="PQH371" s="632"/>
      <c r="PQI371" s="16"/>
      <c r="PQJ371" s="636">
        <v>1.5299999999999999E-2</v>
      </c>
      <c r="PQK371" s="636">
        <v>1.5299999999999999E-2</v>
      </c>
      <c r="PQL371" s="636">
        <v>1.5299999999999999E-2</v>
      </c>
      <c r="PQM371" s="636">
        <v>9.7000000000000003E-3</v>
      </c>
      <c r="PQN371" s="636">
        <v>9.7000000000000003E-3</v>
      </c>
      <c r="PQO371" s="649">
        <v>9.7000000000000003E-3</v>
      </c>
      <c r="PQP371" s="16"/>
      <c r="PQQ371" s="320">
        <v>8.6999999999999994E-3</v>
      </c>
      <c r="PQR371" s="153"/>
      <c r="PQS371" s="153"/>
      <c r="PQT371" s="153"/>
      <c r="PQU371" s="648"/>
      <c r="PQV371" s="641"/>
      <c r="PQW371" s="631" t="s">
        <v>1842</v>
      </c>
      <c r="PQX371" s="632"/>
      <c r="PQY371" s="16"/>
      <c r="PQZ371" s="636">
        <v>1.5299999999999999E-2</v>
      </c>
      <c r="PRA371" s="636">
        <v>1.5299999999999999E-2</v>
      </c>
      <c r="PRB371" s="636">
        <v>1.5299999999999999E-2</v>
      </c>
      <c r="PRC371" s="636">
        <v>9.7000000000000003E-3</v>
      </c>
      <c r="PRD371" s="636">
        <v>9.7000000000000003E-3</v>
      </c>
      <c r="PRE371" s="649">
        <v>9.7000000000000003E-3</v>
      </c>
      <c r="PRF371" s="16"/>
      <c r="PRG371" s="320">
        <v>8.6999999999999994E-3</v>
      </c>
      <c r="PRH371" s="153"/>
      <c r="PRI371" s="153"/>
      <c r="PRJ371" s="153"/>
      <c r="PRK371" s="648"/>
      <c r="PRL371" s="641"/>
      <c r="PRM371" s="631" t="s">
        <v>1842</v>
      </c>
      <c r="PRN371" s="632"/>
      <c r="PRO371" s="16"/>
      <c r="PRP371" s="636">
        <v>1.5299999999999999E-2</v>
      </c>
      <c r="PRQ371" s="636">
        <v>1.5299999999999999E-2</v>
      </c>
      <c r="PRR371" s="636">
        <v>1.5299999999999999E-2</v>
      </c>
      <c r="PRS371" s="636">
        <v>9.7000000000000003E-3</v>
      </c>
      <c r="PRT371" s="636">
        <v>9.7000000000000003E-3</v>
      </c>
      <c r="PRU371" s="649">
        <v>9.7000000000000003E-3</v>
      </c>
      <c r="PRV371" s="16"/>
      <c r="PRW371" s="320">
        <v>8.6999999999999994E-3</v>
      </c>
      <c r="PRX371" s="153"/>
      <c r="PRY371" s="153"/>
      <c r="PRZ371" s="153"/>
      <c r="PSA371" s="648"/>
      <c r="PSB371" s="641"/>
      <c r="PSC371" s="631" t="s">
        <v>1842</v>
      </c>
      <c r="PSD371" s="632"/>
      <c r="PSE371" s="16"/>
      <c r="PSF371" s="636">
        <v>1.5299999999999999E-2</v>
      </c>
      <c r="PSG371" s="636">
        <v>1.5299999999999999E-2</v>
      </c>
      <c r="PSH371" s="636">
        <v>1.5299999999999999E-2</v>
      </c>
      <c r="PSI371" s="636">
        <v>9.7000000000000003E-3</v>
      </c>
      <c r="PSJ371" s="636">
        <v>9.7000000000000003E-3</v>
      </c>
      <c r="PSK371" s="649">
        <v>9.7000000000000003E-3</v>
      </c>
      <c r="PSL371" s="16"/>
      <c r="PSM371" s="320">
        <v>8.6999999999999994E-3</v>
      </c>
      <c r="PSN371" s="153"/>
      <c r="PSO371" s="153"/>
      <c r="PSP371" s="153"/>
      <c r="PSQ371" s="648"/>
      <c r="PSR371" s="641"/>
      <c r="PSS371" s="631" t="s">
        <v>1842</v>
      </c>
      <c r="PST371" s="632"/>
      <c r="PSU371" s="16"/>
      <c r="PSV371" s="636">
        <v>1.5299999999999999E-2</v>
      </c>
      <c r="PSW371" s="636">
        <v>1.5299999999999999E-2</v>
      </c>
      <c r="PSX371" s="636">
        <v>1.5299999999999999E-2</v>
      </c>
      <c r="PSY371" s="636">
        <v>9.7000000000000003E-3</v>
      </c>
      <c r="PSZ371" s="636">
        <v>9.7000000000000003E-3</v>
      </c>
      <c r="PTA371" s="649">
        <v>9.7000000000000003E-3</v>
      </c>
      <c r="PTB371" s="16"/>
      <c r="PTC371" s="320">
        <v>8.6999999999999994E-3</v>
      </c>
      <c r="PTD371" s="153"/>
      <c r="PTE371" s="153"/>
      <c r="PTF371" s="153"/>
      <c r="PTG371" s="648"/>
      <c r="PTH371" s="641"/>
      <c r="PTI371" s="631" t="s">
        <v>1842</v>
      </c>
      <c r="PTJ371" s="632"/>
      <c r="PTK371" s="16"/>
      <c r="PTL371" s="636">
        <v>1.5299999999999999E-2</v>
      </c>
      <c r="PTM371" s="636">
        <v>1.5299999999999999E-2</v>
      </c>
      <c r="PTN371" s="636">
        <v>1.5299999999999999E-2</v>
      </c>
      <c r="PTO371" s="636">
        <v>9.7000000000000003E-3</v>
      </c>
      <c r="PTP371" s="636">
        <v>9.7000000000000003E-3</v>
      </c>
      <c r="PTQ371" s="649">
        <v>9.7000000000000003E-3</v>
      </c>
      <c r="PTR371" s="16"/>
      <c r="PTS371" s="320">
        <v>8.6999999999999994E-3</v>
      </c>
      <c r="PTT371" s="153"/>
      <c r="PTU371" s="153"/>
      <c r="PTV371" s="153"/>
      <c r="PTW371" s="648"/>
      <c r="PTX371" s="641"/>
      <c r="PTY371" s="631" t="s">
        <v>1842</v>
      </c>
      <c r="PTZ371" s="632"/>
      <c r="PUA371" s="16"/>
      <c r="PUB371" s="636">
        <v>1.5299999999999999E-2</v>
      </c>
      <c r="PUC371" s="636">
        <v>1.5299999999999999E-2</v>
      </c>
      <c r="PUD371" s="636">
        <v>1.5299999999999999E-2</v>
      </c>
      <c r="PUE371" s="636">
        <v>9.7000000000000003E-3</v>
      </c>
      <c r="PUF371" s="636">
        <v>9.7000000000000003E-3</v>
      </c>
      <c r="PUG371" s="649">
        <v>9.7000000000000003E-3</v>
      </c>
      <c r="PUH371" s="16"/>
      <c r="PUI371" s="320">
        <v>8.6999999999999994E-3</v>
      </c>
      <c r="PUJ371" s="153"/>
      <c r="PUK371" s="153"/>
      <c r="PUL371" s="153"/>
      <c r="PUM371" s="648"/>
      <c r="PUN371" s="641"/>
      <c r="PUO371" s="631" t="s">
        <v>1842</v>
      </c>
      <c r="PUP371" s="632"/>
      <c r="PUQ371" s="16"/>
      <c r="PUR371" s="636">
        <v>1.5299999999999999E-2</v>
      </c>
      <c r="PUS371" s="636">
        <v>1.5299999999999999E-2</v>
      </c>
      <c r="PUT371" s="636">
        <v>1.5299999999999999E-2</v>
      </c>
      <c r="PUU371" s="636">
        <v>9.7000000000000003E-3</v>
      </c>
      <c r="PUV371" s="636">
        <v>9.7000000000000003E-3</v>
      </c>
      <c r="PUW371" s="649">
        <v>9.7000000000000003E-3</v>
      </c>
      <c r="PUX371" s="16"/>
      <c r="PUY371" s="320">
        <v>8.6999999999999994E-3</v>
      </c>
      <c r="PUZ371" s="153"/>
      <c r="PVA371" s="153"/>
      <c r="PVB371" s="153"/>
      <c r="PVC371" s="648"/>
      <c r="PVD371" s="641"/>
      <c r="PVE371" s="631" t="s">
        <v>1842</v>
      </c>
      <c r="PVF371" s="632"/>
      <c r="PVG371" s="16"/>
      <c r="PVH371" s="636">
        <v>1.5299999999999999E-2</v>
      </c>
      <c r="PVI371" s="636">
        <v>1.5299999999999999E-2</v>
      </c>
      <c r="PVJ371" s="636">
        <v>1.5299999999999999E-2</v>
      </c>
      <c r="PVK371" s="636">
        <v>9.7000000000000003E-3</v>
      </c>
      <c r="PVL371" s="636">
        <v>9.7000000000000003E-3</v>
      </c>
      <c r="PVM371" s="649">
        <v>9.7000000000000003E-3</v>
      </c>
      <c r="PVN371" s="16"/>
      <c r="PVO371" s="320">
        <v>8.6999999999999994E-3</v>
      </c>
      <c r="PVP371" s="153"/>
      <c r="PVQ371" s="153"/>
      <c r="PVR371" s="153"/>
      <c r="PVS371" s="648"/>
      <c r="PVT371" s="641"/>
      <c r="PVU371" s="631" t="s">
        <v>1842</v>
      </c>
      <c r="PVV371" s="632"/>
      <c r="PVW371" s="16"/>
      <c r="PVX371" s="636">
        <v>1.5299999999999999E-2</v>
      </c>
      <c r="PVY371" s="636">
        <v>1.5299999999999999E-2</v>
      </c>
      <c r="PVZ371" s="636">
        <v>1.5299999999999999E-2</v>
      </c>
      <c r="PWA371" s="636">
        <v>9.7000000000000003E-3</v>
      </c>
      <c r="PWB371" s="636">
        <v>9.7000000000000003E-3</v>
      </c>
      <c r="PWC371" s="649">
        <v>9.7000000000000003E-3</v>
      </c>
      <c r="PWD371" s="16"/>
      <c r="PWE371" s="320">
        <v>8.6999999999999994E-3</v>
      </c>
      <c r="PWF371" s="153"/>
      <c r="PWG371" s="153"/>
      <c r="PWH371" s="153"/>
      <c r="PWI371" s="648"/>
      <c r="PWJ371" s="641"/>
      <c r="PWK371" s="631" t="s">
        <v>1842</v>
      </c>
      <c r="PWL371" s="632"/>
      <c r="PWM371" s="16"/>
      <c r="PWN371" s="636">
        <v>1.5299999999999999E-2</v>
      </c>
      <c r="PWO371" s="636">
        <v>1.5299999999999999E-2</v>
      </c>
      <c r="PWP371" s="636">
        <v>1.5299999999999999E-2</v>
      </c>
      <c r="PWQ371" s="636">
        <v>9.7000000000000003E-3</v>
      </c>
      <c r="PWR371" s="636">
        <v>9.7000000000000003E-3</v>
      </c>
      <c r="PWS371" s="649">
        <v>9.7000000000000003E-3</v>
      </c>
      <c r="PWT371" s="16"/>
      <c r="PWU371" s="320">
        <v>8.6999999999999994E-3</v>
      </c>
      <c r="PWV371" s="153"/>
      <c r="PWW371" s="153"/>
      <c r="PWX371" s="153"/>
      <c r="PWY371" s="648"/>
      <c r="PWZ371" s="641"/>
      <c r="PXA371" s="631" t="s">
        <v>1842</v>
      </c>
      <c r="PXB371" s="632"/>
      <c r="PXC371" s="16"/>
      <c r="PXD371" s="636">
        <v>1.5299999999999999E-2</v>
      </c>
      <c r="PXE371" s="636">
        <v>1.5299999999999999E-2</v>
      </c>
      <c r="PXF371" s="636">
        <v>1.5299999999999999E-2</v>
      </c>
      <c r="PXG371" s="636">
        <v>9.7000000000000003E-3</v>
      </c>
      <c r="PXH371" s="636">
        <v>9.7000000000000003E-3</v>
      </c>
      <c r="PXI371" s="649">
        <v>9.7000000000000003E-3</v>
      </c>
      <c r="PXJ371" s="16"/>
      <c r="PXK371" s="320">
        <v>8.6999999999999994E-3</v>
      </c>
      <c r="PXL371" s="153"/>
      <c r="PXM371" s="153"/>
      <c r="PXN371" s="153"/>
      <c r="PXO371" s="648"/>
      <c r="PXP371" s="641"/>
      <c r="PXQ371" s="631" t="s">
        <v>1842</v>
      </c>
      <c r="PXR371" s="632"/>
      <c r="PXS371" s="16"/>
      <c r="PXT371" s="636">
        <v>1.5299999999999999E-2</v>
      </c>
      <c r="PXU371" s="636">
        <v>1.5299999999999999E-2</v>
      </c>
      <c r="PXV371" s="636">
        <v>1.5299999999999999E-2</v>
      </c>
      <c r="PXW371" s="636">
        <v>9.7000000000000003E-3</v>
      </c>
      <c r="PXX371" s="636">
        <v>9.7000000000000003E-3</v>
      </c>
      <c r="PXY371" s="649">
        <v>9.7000000000000003E-3</v>
      </c>
      <c r="PXZ371" s="16"/>
      <c r="PYA371" s="320">
        <v>8.6999999999999994E-3</v>
      </c>
      <c r="PYB371" s="153"/>
      <c r="PYC371" s="153"/>
      <c r="PYD371" s="153"/>
      <c r="PYE371" s="648"/>
      <c r="PYF371" s="641"/>
      <c r="PYG371" s="631" t="s">
        <v>1842</v>
      </c>
      <c r="PYH371" s="632"/>
      <c r="PYI371" s="16"/>
      <c r="PYJ371" s="636">
        <v>1.5299999999999999E-2</v>
      </c>
      <c r="PYK371" s="636">
        <v>1.5299999999999999E-2</v>
      </c>
      <c r="PYL371" s="636">
        <v>1.5299999999999999E-2</v>
      </c>
      <c r="PYM371" s="636">
        <v>9.7000000000000003E-3</v>
      </c>
      <c r="PYN371" s="636">
        <v>9.7000000000000003E-3</v>
      </c>
      <c r="PYO371" s="649">
        <v>9.7000000000000003E-3</v>
      </c>
      <c r="PYP371" s="16"/>
      <c r="PYQ371" s="320">
        <v>8.6999999999999994E-3</v>
      </c>
      <c r="PYR371" s="153"/>
      <c r="PYS371" s="153"/>
      <c r="PYT371" s="153"/>
      <c r="PYU371" s="648"/>
      <c r="PYV371" s="641"/>
      <c r="PYW371" s="631" t="s">
        <v>1842</v>
      </c>
      <c r="PYX371" s="632"/>
      <c r="PYY371" s="16"/>
      <c r="PYZ371" s="636">
        <v>1.5299999999999999E-2</v>
      </c>
      <c r="PZA371" s="636">
        <v>1.5299999999999999E-2</v>
      </c>
      <c r="PZB371" s="636">
        <v>1.5299999999999999E-2</v>
      </c>
      <c r="PZC371" s="636">
        <v>9.7000000000000003E-3</v>
      </c>
      <c r="PZD371" s="636">
        <v>9.7000000000000003E-3</v>
      </c>
      <c r="PZE371" s="649">
        <v>9.7000000000000003E-3</v>
      </c>
      <c r="PZF371" s="16"/>
      <c r="PZG371" s="320">
        <v>8.6999999999999994E-3</v>
      </c>
      <c r="PZH371" s="153"/>
      <c r="PZI371" s="153"/>
      <c r="PZJ371" s="153"/>
      <c r="PZK371" s="648"/>
      <c r="PZL371" s="641"/>
      <c r="PZM371" s="631" t="s">
        <v>1842</v>
      </c>
      <c r="PZN371" s="632"/>
      <c r="PZO371" s="16"/>
      <c r="PZP371" s="636">
        <v>1.5299999999999999E-2</v>
      </c>
      <c r="PZQ371" s="636">
        <v>1.5299999999999999E-2</v>
      </c>
      <c r="PZR371" s="636">
        <v>1.5299999999999999E-2</v>
      </c>
      <c r="PZS371" s="636">
        <v>9.7000000000000003E-3</v>
      </c>
      <c r="PZT371" s="636">
        <v>9.7000000000000003E-3</v>
      </c>
      <c r="PZU371" s="649">
        <v>9.7000000000000003E-3</v>
      </c>
      <c r="PZV371" s="16"/>
      <c r="PZW371" s="320">
        <v>8.6999999999999994E-3</v>
      </c>
      <c r="PZX371" s="153"/>
      <c r="PZY371" s="153"/>
      <c r="PZZ371" s="153"/>
      <c r="QAA371" s="648"/>
      <c r="QAB371" s="641"/>
      <c r="QAC371" s="631" t="s">
        <v>1842</v>
      </c>
      <c r="QAD371" s="632"/>
      <c r="QAE371" s="16"/>
      <c r="QAF371" s="636">
        <v>1.5299999999999999E-2</v>
      </c>
      <c r="QAG371" s="636">
        <v>1.5299999999999999E-2</v>
      </c>
      <c r="QAH371" s="636">
        <v>1.5299999999999999E-2</v>
      </c>
      <c r="QAI371" s="636">
        <v>9.7000000000000003E-3</v>
      </c>
      <c r="QAJ371" s="636">
        <v>9.7000000000000003E-3</v>
      </c>
      <c r="QAK371" s="649">
        <v>9.7000000000000003E-3</v>
      </c>
      <c r="QAL371" s="16"/>
      <c r="QAM371" s="320">
        <v>8.6999999999999994E-3</v>
      </c>
      <c r="QAN371" s="153"/>
      <c r="QAO371" s="153"/>
      <c r="QAP371" s="153"/>
      <c r="QAQ371" s="648"/>
      <c r="QAR371" s="641"/>
      <c r="QAS371" s="631" t="s">
        <v>1842</v>
      </c>
      <c r="QAT371" s="632"/>
      <c r="QAU371" s="16"/>
      <c r="QAV371" s="636">
        <v>1.5299999999999999E-2</v>
      </c>
      <c r="QAW371" s="636">
        <v>1.5299999999999999E-2</v>
      </c>
      <c r="QAX371" s="636">
        <v>1.5299999999999999E-2</v>
      </c>
      <c r="QAY371" s="636">
        <v>9.7000000000000003E-3</v>
      </c>
      <c r="QAZ371" s="636">
        <v>9.7000000000000003E-3</v>
      </c>
      <c r="QBA371" s="649">
        <v>9.7000000000000003E-3</v>
      </c>
      <c r="QBB371" s="16"/>
      <c r="QBC371" s="320">
        <v>8.6999999999999994E-3</v>
      </c>
      <c r="QBD371" s="153"/>
      <c r="QBE371" s="153"/>
      <c r="QBF371" s="153"/>
      <c r="QBG371" s="648"/>
      <c r="QBH371" s="641"/>
      <c r="QBI371" s="631" t="s">
        <v>1842</v>
      </c>
      <c r="QBJ371" s="632"/>
      <c r="QBK371" s="16"/>
      <c r="QBL371" s="636">
        <v>1.5299999999999999E-2</v>
      </c>
      <c r="QBM371" s="636">
        <v>1.5299999999999999E-2</v>
      </c>
      <c r="QBN371" s="636">
        <v>1.5299999999999999E-2</v>
      </c>
      <c r="QBO371" s="636">
        <v>9.7000000000000003E-3</v>
      </c>
      <c r="QBP371" s="636">
        <v>9.7000000000000003E-3</v>
      </c>
      <c r="QBQ371" s="649">
        <v>9.7000000000000003E-3</v>
      </c>
      <c r="QBR371" s="16"/>
      <c r="QBS371" s="320">
        <v>8.6999999999999994E-3</v>
      </c>
      <c r="QBT371" s="153"/>
      <c r="QBU371" s="153"/>
      <c r="QBV371" s="153"/>
      <c r="QBW371" s="648"/>
      <c r="QBX371" s="641"/>
      <c r="QBY371" s="631" t="s">
        <v>1842</v>
      </c>
      <c r="QBZ371" s="632"/>
      <c r="QCA371" s="16"/>
      <c r="QCB371" s="636">
        <v>1.5299999999999999E-2</v>
      </c>
      <c r="QCC371" s="636">
        <v>1.5299999999999999E-2</v>
      </c>
      <c r="QCD371" s="636">
        <v>1.5299999999999999E-2</v>
      </c>
      <c r="QCE371" s="636">
        <v>9.7000000000000003E-3</v>
      </c>
      <c r="QCF371" s="636">
        <v>9.7000000000000003E-3</v>
      </c>
      <c r="QCG371" s="649">
        <v>9.7000000000000003E-3</v>
      </c>
      <c r="QCH371" s="16"/>
      <c r="QCI371" s="320">
        <v>8.6999999999999994E-3</v>
      </c>
      <c r="QCJ371" s="153"/>
      <c r="QCK371" s="153"/>
      <c r="QCL371" s="153"/>
      <c r="QCM371" s="648"/>
      <c r="QCN371" s="641"/>
      <c r="QCO371" s="631" t="s">
        <v>1842</v>
      </c>
      <c r="QCP371" s="632"/>
      <c r="QCQ371" s="16"/>
      <c r="QCR371" s="636">
        <v>1.5299999999999999E-2</v>
      </c>
      <c r="QCS371" s="636">
        <v>1.5299999999999999E-2</v>
      </c>
      <c r="QCT371" s="636">
        <v>1.5299999999999999E-2</v>
      </c>
      <c r="QCU371" s="636">
        <v>9.7000000000000003E-3</v>
      </c>
      <c r="QCV371" s="636">
        <v>9.7000000000000003E-3</v>
      </c>
      <c r="QCW371" s="649">
        <v>9.7000000000000003E-3</v>
      </c>
      <c r="QCX371" s="16"/>
      <c r="QCY371" s="320">
        <v>8.6999999999999994E-3</v>
      </c>
      <c r="QCZ371" s="153"/>
      <c r="QDA371" s="153"/>
      <c r="QDB371" s="153"/>
      <c r="QDC371" s="648"/>
      <c r="QDD371" s="641"/>
      <c r="QDE371" s="631" t="s">
        <v>1842</v>
      </c>
      <c r="QDF371" s="632"/>
      <c r="QDG371" s="16"/>
      <c r="QDH371" s="636">
        <v>1.5299999999999999E-2</v>
      </c>
      <c r="QDI371" s="636">
        <v>1.5299999999999999E-2</v>
      </c>
      <c r="QDJ371" s="636">
        <v>1.5299999999999999E-2</v>
      </c>
      <c r="QDK371" s="636">
        <v>9.7000000000000003E-3</v>
      </c>
      <c r="QDL371" s="636">
        <v>9.7000000000000003E-3</v>
      </c>
      <c r="QDM371" s="649">
        <v>9.7000000000000003E-3</v>
      </c>
      <c r="QDN371" s="16"/>
      <c r="QDO371" s="320">
        <v>8.6999999999999994E-3</v>
      </c>
      <c r="QDP371" s="153"/>
      <c r="QDQ371" s="153"/>
      <c r="QDR371" s="153"/>
      <c r="QDS371" s="648"/>
      <c r="QDT371" s="641"/>
      <c r="QDU371" s="631" t="s">
        <v>1842</v>
      </c>
      <c r="QDV371" s="632"/>
      <c r="QDW371" s="16"/>
      <c r="QDX371" s="636">
        <v>1.5299999999999999E-2</v>
      </c>
      <c r="QDY371" s="636">
        <v>1.5299999999999999E-2</v>
      </c>
      <c r="QDZ371" s="636">
        <v>1.5299999999999999E-2</v>
      </c>
      <c r="QEA371" s="636">
        <v>9.7000000000000003E-3</v>
      </c>
      <c r="QEB371" s="636">
        <v>9.7000000000000003E-3</v>
      </c>
      <c r="QEC371" s="649">
        <v>9.7000000000000003E-3</v>
      </c>
      <c r="QED371" s="16"/>
      <c r="QEE371" s="320">
        <v>8.6999999999999994E-3</v>
      </c>
      <c r="QEF371" s="153"/>
      <c r="QEG371" s="153"/>
      <c r="QEH371" s="153"/>
      <c r="QEI371" s="648"/>
      <c r="QEJ371" s="641"/>
      <c r="QEK371" s="631" t="s">
        <v>1842</v>
      </c>
      <c r="QEL371" s="632"/>
      <c r="QEM371" s="16"/>
      <c r="QEN371" s="636">
        <v>1.5299999999999999E-2</v>
      </c>
      <c r="QEO371" s="636">
        <v>1.5299999999999999E-2</v>
      </c>
      <c r="QEP371" s="636">
        <v>1.5299999999999999E-2</v>
      </c>
      <c r="QEQ371" s="636">
        <v>9.7000000000000003E-3</v>
      </c>
      <c r="QER371" s="636">
        <v>9.7000000000000003E-3</v>
      </c>
      <c r="QES371" s="649">
        <v>9.7000000000000003E-3</v>
      </c>
      <c r="QET371" s="16"/>
      <c r="QEU371" s="320">
        <v>8.6999999999999994E-3</v>
      </c>
      <c r="QEV371" s="153"/>
      <c r="QEW371" s="153"/>
      <c r="QEX371" s="153"/>
      <c r="QEY371" s="648"/>
      <c r="QEZ371" s="641"/>
      <c r="QFA371" s="631" t="s">
        <v>1842</v>
      </c>
      <c r="QFB371" s="632"/>
      <c r="QFC371" s="16"/>
      <c r="QFD371" s="636">
        <v>1.5299999999999999E-2</v>
      </c>
      <c r="QFE371" s="636">
        <v>1.5299999999999999E-2</v>
      </c>
      <c r="QFF371" s="636">
        <v>1.5299999999999999E-2</v>
      </c>
      <c r="QFG371" s="636">
        <v>9.7000000000000003E-3</v>
      </c>
      <c r="QFH371" s="636">
        <v>9.7000000000000003E-3</v>
      </c>
      <c r="QFI371" s="649">
        <v>9.7000000000000003E-3</v>
      </c>
      <c r="QFJ371" s="16"/>
      <c r="QFK371" s="320">
        <v>8.6999999999999994E-3</v>
      </c>
      <c r="QFL371" s="153"/>
      <c r="QFM371" s="153"/>
      <c r="QFN371" s="153"/>
      <c r="QFO371" s="648"/>
      <c r="QFP371" s="641"/>
      <c r="QFQ371" s="631" t="s">
        <v>1842</v>
      </c>
      <c r="QFR371" s="632"/>
      <c r="QFS371" s="16"/>
      <c r="QFT371" s="636">
        <v>1.5299999999999999E-2</v>
      </c>
      <c r="QFU371" s="636">
        <v>1.5299999999999999E-2</v>
      </c>
      <c r="QFV371" s="636">
        <v>1.5299999999999999E-2</v>
      </c>
      <c r="QFW371" s="636">
        <v>9.7000000000000003E-3</v>
      </c>
      <c r="QFX371" s="636">
        <v>9.7000000000000003E-3</v>
      </c>
      <c r="QFY371" s="649">
        <v>9.7000000000000003E-3</v>
      </c>
      <c r="QFZ371" s="16"/>
      <c r="QGA371" s="320">
        <v>8.6999999999999994E-3</v>
      </c>
      <c r="QGB371" s="153"/>
      <c r="QGC371" s="153"/>
      <c r="QGD371" s="153"/>
      <c r="QGE371" s="648"/>
      <c r="QGF371" s="641"/>
      <c r="QGG371" s="631" t="s">
        <v>1842</v>
      </c>
      <c r="QGH371" s="632"/>
      <c r="QGI371" s="16"/>
      <c r="QGJ371" s="636">
        <v>1.5299999999999999E-2</v>
      </c>
      <c r="QGK371" s="636">
        <v>1.5299999999999999E-2</v>
      </c>
      <c r="QGL371" s="636">
        <v>1.5299999999999999E-2</v>
      </c>
      <c r="QGM371" s="636">
        <v>9.7000000000000003E-3</v>
      </c>
      <c r="QGN371" s="636">
        <v>9.7000000000000003E-3</v>
      </c>
      <c r="QGO371" s="649">
        <v>9.7000000000000003E-3</v>
      </c>
      <c r="QGP371" s="16"/>
      <c r="QGQ371" s="320">
        <v>8.6999999999999994E-3</v>
      </c>
      <c r="QGR371" s="153"/>
      <c r="QGS371" s="153"/>
      <c r="QGT371" s="153"/>
      <c r="QGU371" s="648"/>
      <c r="QGV371" s="641"/>
      <c r="QGW371" s="631" t="s">
        <v>1842</v>
      </c>
      <c r="QGX371" s="632"/>
      <c r="QGY371" s="16"/>
      <c r="QGZ371" s="636">
        <v>1.5299999999999999E-2</v>
      </c>
      <c r="QHA371" s="636">
        <v>1.5299999999999999E-2</v>
      </c>
      <c r="QHB371" s="636">
        <v>1.5299999999999999E-2</v>
      </c>
      <c r="QHC371" s="636">
        <v>9.7000000000000003E-3</v>
      </c>
      <c r="QHD371" s="636">
        <v>9.7000000000000003E-3</v>
      </c>
      <c r="QHE371" s="649">
        <v>9.7000000000000003E-3</v>
      </c>
      <c r="QHF371" s="16"/>
      <c r="QHG371" s="320">
        <v>8.6999999999999994E-3</v>
      </c>
      <c r="QHH371" s="153"/>
      <c r="QHI371" s="153"/>
      <c r="QHJ371" s="153"/>
      <c r="QHK371" s="648"/>
      <c r="QHL371" s="641"/>
      <c r="QHM371" s="631" t="s">
        <v>1842</v>
      </c>
      <c r="QHN371" s="632"/>
      <c r="QHO371" s="16"/>
      <c r="QHP371" s="636">
        <v>1.5299999999999999E-2</v>
      </c>
      <c r="QHQ371" s="636">
        <v>1.5299999999999999E-2</v>
      </c>
      <c r="QHR371" s="636">
        <v>1.5299999999999999E-2</v>
      </c>
      <c r="QHS371" s="636">
        <v>9.7000000000000003E-3</v>
      </c>
      <c r="QHT371" s="636">
        <v>9.7000000000000003E-3</v>
      </c>
      <c r="QHU371" s="649">
        <v>9.7000000000000003E-3</v>
      </c>
      <c r="QHV371" s="16"/>
      <c r="QHW371" s="320">
        <v>8.6999999999999994E-3</v>
      </c>
      <c r="QHX371" s="153"/>
      <c r="QHY371" s="153"/>
      <c r="QHZ371" s="153"/>
      <c r="QIA371" s="648"/>
      <c r="QIB371" s="641"/>
      <c r="QIC371" s="631" t="s">
        <v>1842</v>
      </c>
      <c r="QID371" s="632"/>
      <c r="QIE371" s="16"/>
      <c r="QIF371" s="636">
        <v>1.5299999999999999E-2</v>
      </c>
      <c r="QIG371" s="636">
        <v>1.5299999999999999E-2</v>
      </c>
      <c r="QIH371" s="636">
        <v>1.5299999999999999E-2</v>
      </c>
      <c r="QII371" s="636">
        <v>9.7000000000000003E-3</v>
      </c>
      <c r="QIJ371" s="636">
        <v>9.7000000000000003E-3</v>
      </c>
      <c r="QIK371" s="649">
        <v>9.7000000000000003E-3</v>
      </c>
      <c r="QIL371" s="16"/>
      <c r="QIM371" s="320">
        <v>8.6999999999999994E-3</v>
      </c>
      <c r="QIN371" s="153"/>
      <c r="QIO371" s="153"/>
      <c r="QIP371" s="153"/>
      <c r="QIQ371" s="648"/>
      <c r="QIR371" s="641"/>
      <c r="QIS371" s="631" t="s">
        <v>1842</v>
      </c>
      <c r="QIT371" s="632"/>
      <c r="QIU371" s="16"/>
      <c r="QIV371" s="636">
        <v>1.5299999999999999E-2</v>
      </c>
      <c r="QIW371" s="636">
        <v>1.5299999999999999E-2</v>
      </c>
      <c r="QIX371" s="636">
        <v>1.5299999999999999E-2</v>
      </c>
      <c r="QIY371" s="636">
        <v>9.7000000000000003E-3</v>
      </c>
      <c r="QIZ371" s="636">
        <v>9.7000000000000003E-3</v>
      </c>
      <c r="QJA371" s="649">
        <v>9.7000000000000003E-3</v>
      </c>
      <c r="QJB371" s="16"/>
      <c r="QJC371" s="320">
        <v>8.6999999999999994E-3</v>
      </c>
      <c r="QJD371" s="153"/>
      <c r="QJE371" s="153"/>
      <c r="QJF371" s="153"/>
      <c r="QJG371" s="648"/>
      <c r="QJH371" s="641"/>
      <c r="QJI371" s="631" t="s">
        <v>1842</v>
      </c>
      <c r="QJJ371" s="632"/>
      <c r="QJK371" s="16"/>
      <c r="QJL371" s="636">
        <v>1.5299999999999999E-2</v>
      </c>
      <c r="QJM371" s="636">
        <v>1.5299999999999999E-2</v>
      </c>
      <c r="QJN371" s="636">
        <v>1.5299999999999999E-2</v>
      </c>
      <c r="QJO371" s="636">
        <v>9.7000000000000003E-3</v>
      </c>
      <c r="QJP371" s="636">
        <v>9.7000000000000003E-3</v>
      </c>
      <c r="QJQ371" s="649">
        <v>9.7000000000000003E-3</v>
      </c>
      <c r="QJR371" s="16"/>
      <c r="QJS371" s="320">
        <v>8.6999999999999994E-3</v>
      </c>
      <c r="QJT371" s="153"/>
      <c r="QJU371" s="153"/>
      <c r="QJV371" s="153"/>
      <c r="QJW371" s="648"/>
      <c r="QJX371" s="641"/>
      <c r="QJY371" s="631" t="s">
        <v>1842</v>
      </c>
      <c r="QJZ371" s="632"/>
      <c r="QKA371" s="16"/>
      <c r="QKB371" s="636">
        <v>1.5299999999999999E-2</v>
      </c>
      <c r="QKC371" s="636">
        <v>1.5299999999999999E-2</v>
      </c>
      <c r="QKD371" s="636">
        <v>1.5299999999999999E-2</v>
      </c>
      <c r="QKE371" s="636">
        <v>9.7000000000000003E-3</v>
      </c>
      <c r="QKF371" s="636">
        <v>9.7000000000000003E-3</v>
      </c>
      <c r="QKG371" s="649">
        <v>9.7000000000000003E-3</v>
      </c>
      <c r="QKH371" s="16"/>
      <c r="QKI371" s="320">
        <v>8.6999999999999994E-3</v>
      </c>
      <c r="QKJ371" s="153"/>
      <c r="QKK371" s="153"/>
      <c r="QKL371" s="153"/>
      <c r="QKM371" s="648"/>
      <c r="QKN371" s="641"/>
      <c r="QKO371" s="631" t="s">
        <v>1842</v>
      </c>
      <c r="QKP371" s="632"/>
      <c r="QKQ371" s="16"/>
      <c r="QKR371" s="636">
        <v>1.5299999999999999E-2</v>
      </c>
      <c r="QKS371" s="636">
        <v>1.5299999999999999E-2</v>
      </c>
      <c r="QKT371" s="636">
        <v>1.5299999999999999E-2</v>
      </c>
      <c r="QKU371" s="636">
        <v>9.7000000000000003E-3</v>
      </c>
      <c r="QKV371" s="636">
        <v>9.7000000000000003E-3</v>
      </c>
      <c r="QKW371" s="649">
        <v>9.7000000000000003E-3</v>
      </c>
      <c r="QKX371" s="16"/>
      <c r="QKY371" s="320">
        <v>8.6999999999999994E-3</v>
      </c>
      <c r="QKZ371" s="153"/>
      <c r="QLA371" s="153"/>
      <c r="QLB371" s="153"/>
      <c r="QLC371" s="648"/>
      <c r="QLD371" s="641"/>
      <c r="QLE371" s="631" t="s">
        <v>1842</v>
      </c>
      <c r="QLF371" s="632"/>
      <c r="QLG371" s="16"/>
      <c r="QLH371" s="636">
        <v>1.5299999999999999E-2</v>
      </c>
      <c r="QLI371" s="636">
        <v>1.5299999999999999E-2</v>
      </c>
      <c r="QLJ371" s="636">
        <v>1.5299999999999999E-2</v>
      </c>
      <c r="QLK371" s="636">
        <v>9.7000000000000003E-3</v>
      </c>
      <c r="QLL371" s="636">
        <v>9.7000000000000003E-3</v>
      </c>
      <c r="QLM371" s="649">
        <v>9.7000000000000003E-3</v>
      </c>
      <c r="QLN371" s="16"/>
      <c r="QLO371" s="320">
        <v>8.6999999999999994E-3</v>
      </c>
      <c r="QLP371" s="153"/>
      <c r="QLQ371" s="153"/>
      <c r="QLR371" s="153"/>
      <c r="QLS371" s="648"/>
      <c r="QLT371" s="641"/>
      <c r="QLU371" s="631" t="s">
        <v>1842</v>
      </c>
      <c r="QLV371" s="632"/>
      <c r="QLW371" s="16"/>
      <c r="QLX371" s="636">
        <v>1.5299999999999999E-2</v>
      </c>
      <c r="QLY371" s="636">
        <v>1.5299999999999999E-2</v>
      </c>
      <c r="QLZ371" s="636">
        <v>1.5299999999999999E-2</v>
      </c>
      <c r="QMA371" s="636">
        <v>9.7000000000000003E-3</v>
      </c>
      <c r="QMB371" s="636">
        <v>9.7000000000000003E-3</v>
      </c>
      <c r="QMC371" s="649">
        <v>9.7000000000000003E-3</v>
      </c>
      <c r="QMD371" s="16"/>
      <c r="QME371" s="320">
        <v>8.6999999999999994E-3</v>
      </c>
      <c r="QMF371" s="153"/>
      <c r="QMG371" s="153"/>
      <c r="QMH371" s="153"/>
      <c r="QMI371" s="648"/>
      <c r="QMJ371" s="641"/>
      <c r="QMK371" s="631" t="s">
        <v>1842</v>
      </c>
      <c r="QML371" s="632"/>
      <c r="QMM371" s="16"/>
      <c r="QMN371" s="636">
        <v>1.5299999999999999E-2</v>
      </c>
      <c r="QMO371" s="636">
        <v>1.5299999999999999E-2</v>
      </c>
      <c r="QMP371" s="636">
        <v>1.5299999999999999E-2</v>
      </c>
      <c r="QMQ371" s="636">
        <v>9.7000000000000003E-3</v>
      </c>
      <c r="QMR371" s="636">
        <v>9.7000000000000003E-3</v>
      </c>
      <c r="QMS371" s="649">
        <v>9.7000000000000003E-3</v>
      </c>
      <c r="QMT371" s="16"/>
      <c r="QMU371" s="320">
        <v>8.6999999999999994E-3</v>
      </c>
      <c r="QMV371" s="153"/>
      <c r="QMW371" s="153"/>
      <c r="QMX371" s="153"/>
      <c r="QMY371" s="648"/>
      <c r="QMZ371" s="641"/>
      <c r="QNA371" s="631" t="s">
        <v>1842</v>
      </c>
      <c r="QNB371" s="632"/>
      <c r="QNC371" s="16"/>
      <c r="QND371" s="636">
        <v>1.5299999999999999E-2</v>
      </c>
      <c r="QNE371" s="636">
        <v>1.5299999999999999E-2</v>
      </c>
      <c r="QNF371" s="636">
        <v>1.5299999999999999E-2</v>
      </c>
      <c r="QNG371" s="636">
        <v>9.7000000000000003E-3</v>
      </c>
      <c r="QNH371" s="636">
        <v>9.7000000000000003E-3</v>
      </c>
      <c r="QNI371" s="649">
        <v>9.7000000000000003E-3</v>
      </c>
      <c r="QNJ371" s="16"/>
      <c r="QNK371" s="320">
        <v>8.6999999999999994E-3</v>
      </c>
      <c r="QNL371" s="153"/>
      <c r="QNM371" s="153"/>
      <c r="QNN371" s="153"/>
      <c r="QNO371" s="648"/>
      <c r="QNP371" s="641"/>
      <c r="QNQ371" s="631" t="s">
        <v>1842</v>
      </c>
      <c r="QNR371" s="632"/>
      <c r="QNS371" s="16"/>
      <c r="QNT371" s="636">
        <v>1.5299999999999999E-2</v>
      </c>
      <c r="QNU371" s="636">
        <v>1.5299999999999999E-2</v>
      </c>
      <c r="QNV371" s="636">
        <v>1.5299999999999999E-2</v>
      </c>
      <c r="QNW371" s="636">
        <v>9.7000000000000003E-3</v>
      </c>
      <c r="QNX371" s="636">
        <v>9.7000000000000003E-3</v>
      </c>
      <c r="QNY371" s="649">
        <v>9.7000000000000003E-3</v>
      </c>
      <c r="QNZ371" s="16"/>
      <c r="QOA371" s="320">
        <v>8.6999999999999994E-3</v>
      </c>
      <c r="QOB371" s="153"/>
      <c r="QOC371" s="153"/>
      <c r="QOD371" s="153"/>
      <c r="QOE371" s="648"/>
      <c r="QOF371" s="641"/>
      <c r="QOG371" s="631" t="s">
        <v>1842</v>
      </c>
      <c r="QOH371" s="632"/>
      <c r="QOI371" s="16"/>
      <c r="QOJ371" s="636">
        <v>1.5299999999999999E-2</v>
      </c>
      <c r="QOK371" s="636">
        <v>1.5299999999999999E-2</v>
      </c>
      <c r="QOL371" s="636">
        <v>1.5299999999999999E-2</v>
      </c>
      <c r="QOM371" s="636">
        <v>9.7000000000000003E-3</v>
      </c>
      <c r="QON371" s="636">
        <v>9.7000000000000003E-3</v>
      </c>
      <c r="QOO371" s="649">
        <v>9.7000000000000003E-3</v>
      </c>
      <c r="QOP371" s="16"/>
      <c r="QOQ371" s="320">
        <v>8.6999999999999994E-3</v>
      </c>
      <c r="QOR371" s="153"/>
      <c r="QOS371" s="153"/>
      <c r="QOT371" s="153"/>
      <c r="QOU371" s="648"/>
      <c r="QOV371" s="641"/>
      <c r="QOW371" s="631" t="s">
        <v>1842</v>
      </c>
      <c r="QOX371" s="632"/>
      <c r="QOY371" s="16"/>
      <c r="QOZ371" s="636">
        <v>1.5299999999999999E-2</v>
      </c>
      <c r="QPA371" s="636">
        <v>1.5299999999999999E-2</v>
      </c>
      <c r="QPB371" s="636">
        <v>1.5299999999999999E-2</v>
      </c>
      <c r="QPC371" s="636">
        <v>9.7000000000000003E-3</v>
      </c>
      <c r="QPD371" s="636">
        <v>9.7000000000000003E-3</v>
      </c>
      <c r="QPE371" s="649">
        <v>9.7000000000000003E-3</v>
      </c>
      <c r="QPF371" s="16"/>
      <c r="QPG371" s="320">
        <v>8.6999999999999994E-3</v>
      </c>
      <c r="QPH371" s="153"/>
      <c r="QPI371" s="153"/>
      <c r="QPJ371" s="153"/>
      <c r="QPK371" s="648"/>
      <c r="QPL371" s="641"/>
      <c r="QPM371" s="631" t="s">
        <v>1842</v>
      </c>
      <c r="QPN371" s="632"/>
      <c r="QPO371" s="16"/>
      <c r="QPP371" s="636">
        <v>1.5299999999999999E-2</v>
      </c>
      <c r="QPQ371" s="636">
        <v>1.5299999999999999E-2</v>
      </c>
      <c r="QPR371" s="636">
        <v>1.5299999999999999E-2</v>
      </c>
      <c r="QPS371" s="636">
        <v>9.7000000000000003E-3</v>
      </c>
      <c r="QPT371" s="636">
        <v>9.7000000000000003E-3</v>
      </c>
      <c r="QPU371" s="649">
        <v>9.7000000000000003E-3</v>
      </c>
      <c r="QPV371" s="16"/>
      <c r="QPW371" s="320">
        <v>8.6999999999999994E-3</v>
      </c>
      <c r="QPX371" s="153"/>
      <c r="QPY371" s="153"/>
      <c r="QPZ371" s="153"/>
      <c r="QQA371" s="648"/>
      <c r="QQB371" s="641"/>
      <c r="QQC371" s="631" t="s">
        <v>1842</v>
      </c>
      <c r="QQD371" s="632"/>
      <c r="QQE371" s="16"/>
      <c r="QQF371" s="636">
        <v>1.5299999999999999E-2</v>
      </c>
      <c r="QQG371" s="636">
        <v>1.5299999999999999E-2</v>
      </c>
      <c r="QQH371" s="636">
        <v>1.5299999999999999E-2</v>
      </c>
      <c r="QQI371" s="636">
        <v>9.7000000000000003E-3</v>
      </c>
      <c r="QQJ371" s="636">
        <v>9.7000000000000003E-3</v>
      </c>
      <c r="QQK371" s="649">
        <v>9.7000000000000003E-3</v>
      </c>
      <c r="QQL371" s="16"/>
      <c r="QQM371" s="320">
        <v>8.6999999999999994E-3</v>
      </c>
      <c r="QQN371" s="153"/>
      <c r="QQO371" s="153"/>
      <c r="QQP371" s="153"/>
      <c r="QQQ371" s="648"/>
      <c r="QQR371" s="641"/>
      <c r="QQS371" s="631" t="s">
        <v>1842</v>
      </c>
      <c r="QQT371" s="632"/>
      <c r="QQU371" s="16"/>
      <c r="QQV371" s="636">
        <v>1.5299999999999999E-2</v>
      </c>
      <c r="QQW371" s="636">
        <v>1.5299999999999999E-2</v>
      </c>
      <c r="QQX371" s="636">
        <v>1.5299999999999999E-2</v>
      </c>
      <c r="QQY371" s="636">
        <v>9.7000000000000003E-3</v>
      </c>
      <c r="QQZ371" s="636">
        <v>9.7000000000000003E-3</v>
      </c>
      <c r="QRA371" s="649">
        <v>9.7000000000000003E-3</v>
      </c>
      <c r="QRB371" s="16"/>
      <c r="QRC371" s="320">
        <v>8.6999999999999994E-3</v>
      </c>
      <c r="QRD371" s="153"/>
      <c r="QRE371" s="153"/>
      <c r="QRF371" s="153"/>
      <c r="QRG371" s="648"/>
      <c r="QRH371" s="641"/>
      <c r="QRI371" s="631" t="s">
        <v>1842</v>
      </c>
      <c r="QRJ371" s="632"/>
      <c r="QRK371" s="16"/>
      <c r="QRL371" s="636">
        <v>1.5299999999999999E-2</v>
      </c>
      <c r="QRM371" s="636">
        <v>1.5299999999999999E-2</v>
      </c>
      <c r="QRN371" s="636">
        <v>1.5299999999999999E-2</v>
      </c>
      <c r="QRO371" s="636">
        <v>9.7000000000000003E-3</v>
      </c>
      <c r="QRP371" s="636">
        <v>9.7000000000000003E-3</v>
      </c>
      <c r="QRQ371" s="649">
        <v>9.7000000000000003E-3</v>
      </c>
      <c r="QRR371" s="16"/>
      <c r="QRS371" s="320">
        <v>8.6999999999999994E-3</v>
      </c>
      <c r="QRT371" s="153"/>
      <c r="QRU371" s="153"/>
      <c r="QRV371" s="153"/>
      <c r="QRW371" s="648"/>
      <c r="QRX371" s="641"/>
      <c r="QRY371" s="631" t="s">
        <v>1842</v>
      </c>
      <c r="QRZ371" s="632"/>
      <c r="QSA371" s="16"/>
      <c r="QSB371" s="636">
        <v>1.5299999999999999E-2</v>
      </c>
      <c r="QSC371" s="636">
        <v>1.5299999999999999E-2</v>
      </c>
      <c r="QSD371" s="636">
        <v>1.5299999999999999E-2</v>
      </c>
      <c r="QSE371" s="636">
        <v>9.7000000000000003E-3</v>
      </c>
      <c r="QSF371" s="636">
        <v>9.7000000000000003E-3</v>
      </c>
      <c r="QSG371" s="649">
        <v>9.7000000000000003E-3</v>
      </c>
      <c r="QSH371" s="16"/>
      <c r="QSI371" s="320">
        <v>8.6999999999999994E-3</v>
      </c>
      <c r="QSJ371" s="153"/>
      <c r="QSK371" s="153"/>
      <c r="QSL371" s="153"/>
      <c r="QSM371" s="648"/>
      <c r="QSN371" s="641"/>
      <c r="QSO371" s="631" t="s">
        <v>1842</v>
      </c>
      <c r="QSP371" s="632"/>
      <c r="QSQ371" s="16"/>
      <c r="QSR371" s="636">
        <v>1.5299999999999999E-2</v>
      </c>
      <c r="QSS371" s="636">
        <v>1.5299999999999999E-2</v>
      </c>
      <c r="QST371" s="636">
        <v>1.5299999999999999E-2</v>
      </c>
      <c r="QSU371" s="636">
        <v>9.7000000000000003E-3</v>
      </c>
      <c r="QSV371" s="636">
        <v>9.7000000000000003E-3</v>
      </c>
      <c r="QSW371" s="649">
        <v>9.7000000000000003E-3</v>
      </c>
      <c r="QSX371" s="16"/>
      <c r="QSY371" s="320">
        <v>8.6999999999999994E-3</v>
      </c>
      <c r="QSZ371" s="153"/>
      <c r="QTA371" s="153"/>
      <c r="QTB371" s="153"/>
      <c r="QTC371" s="648"/>
      <c r="QTD371" s="641"/>
      <c r="QTE371" s="631" t="s">
        <v>1842</v>
      </c>
      <c r="QTF371" s="632"/>
      <c r="QTG371" s="16"/>
      <c r="QTH371" s="636">
        <v>1.5299999999999999E-2</v>
      </c>
      <c r="QTI371" s="636">
        <v>1.5299999999999999E-2</v>
      </c>
      <c r="QTJ371" s="636">
        <v>1.5299999999999999E-2</v>
      </c>
      <c r="QTK371" s="636">
        <v>9.7000000000000003E-3</v>
      </c>
      <c r="QTL371" s="636">
        <v>9.7000000000000003E-3</v>
      </c>
      <c r="QTM371" s="649">
        <v>9.7000000000000003E-3</v>
      </c>
      <c r="QTN371" s="16"/>
      <c r="QTO371" s="320">
        <v>8.6999999999999994E-3</v>
      </c>
      <c r="QTP371" s="153"/>
      <c r="QTQ371" s="153"/>
      <c r="QTR371" s="153"/>
      <c r="QTS371" s="648"/>
      <c r="QTT371" s="641"/>
      <c r="QTU371" s="631" t="s">
        <v>1842</v>
      </c>
      <c r="QTV371" s="632"/>
      <c r="QTW371" s="16"/>
      <c r="QTX371" s="636">
        <v>1.5299999999999999E-2</v>
      </c>
      <c r="QTY371" s="636">
        <v>1.5299999999999999E-2</v>
      </c>
      <c r="QTZ371" s="636">
        <v>1.5299999999999999E-2</v>
      </c>
      <c r="QUA371" s="636">
        <v>9.7000000000000003E-3</v>
      </c>
      <c r="QUB371" s="636">
        <v>9.7000000000000003E-3</v>
      </c>
      <c r="QUC371" s="649">
        <v>9.7000000000000003E-3</v>
      </c>
      <c r="QUD371" s="16"/>
      <c r="QUE371" s="320">
        <v>8.6999999999999994E-3</v>
      </c>
      <c r="QUF371" s="153"/>
      <c r="QUG371" s="153"/>
      <c r="QUH371" s="153"/>
      <c r="QUI371" s="648"/>
      <c r="QUJ371" s="641"/>
      <c r="QUK371" s="631" t="s">
        <v>1842</v>
      </c>
      <c r="QUL371" s="632"/>
      <c r="QUM371" s="16"/>
      <c r="QUN371" s="636">
        <v>1.5299999999999999E-2</v>
      </c>
      <c r="QUO371" s="636">
        <v>1.5299999999999999E-2</v>
      </c>
      <c r="QUP371" s="636">
        <v>1.5299999999999999E-2</v>
      </c>
      <c r="QUQ371" s="636">
        <v>9.7000000000000003E-3</v>
      </c>
      <c r="QUR371" s="636">
        <v>9.7000000000000003E-3</v>
      </c>
      <c r="QUS371" s="649">
        <v>9.7000000000000003E-3</v>
      </c>
      <c r="QUT371" s="16"/>
      <c r="QUU371" s="320">
        <v>8.6999999999999994E-3</v>
      </c>
      <c r="QUV371" s="153"/>
      <c r="QUW371" s="153"/>
      <c r="QUX371" s="153"/>
      <c r="QUY371" s="648"/>
      <c r="QUZ371" s="641"/>
      <c r="QVA371" s="631" t="s">
        <v>1842</v>
      </c>
      <c r="QVB371" s="632"/>
      <c r="QVC371" s="16"/>
      <c r="QVD371" s="636">
        <v>1.5299999999999999E-2</v>
      </c>
      <c r="QVE371" s="636">
        <v>1.5299999999999999E-2</v>
      </c>
      <c r="QVF371" s="636">
        <v>1.5299999999999999E-2</v>
      </c>
      <c r="QVG371" s="636">
        <v>9.7000000000000003E-3</v>
      </c>
      <c r="QVH371" s="636">
        <v>9.7000000000000003E-3</v>
      </c>
      <c r="QVI371" s="649">
        <v>9.7000000000000003E-3</v>
      </c>
      <c r="QVJ371" s="16"/>
      <c r="QVK371" s="320">
        <v>8.6999999999999994E-3</v>
      </c>
      <c r="QVL371" s="153"/>
      <c r="QVM371" s="153"/>
      <c r="QVN371" s="153"/>
      <c r="QVO371" s="648"/>
      <c r="QVP371" s="641"/>
      <c r="QVQ371" s="631" t="s">
        <v>1842</v>
      </c>
      <c r="QVR371" s="632"/>
      <c r="QVS371" s="16"/>
      <c r="QVT371" s="636">
        <v>1.5299999999999999E-2</v>
      </c>
      <c r="QVU371" s="636">
        <v>1.5299999999999999E-2</v>
      </c>
      <c r="QVV371" s="636">
        <v>1.5299999999999999E-2</v>
      </c>
      <c r="QVW371" s="636">
        <v>9.7000000000000003E-3</v>
      </c>
      <c r="QVX371" s="636">
        <v>9.7000000000000003E-3</v>
      </c>
      <c r="QVY371" s="649">
        <v>9.7000000000000003E-3</v>
      </c>
      <c r="QVZ371" s="16"/>
      <c r="QWA371" s="320">
        <v>8.6999999999999994E-3</v>
      </c>
      <c r="QWB371" s="153"/>
      <c r="QWC371" s="153"/>
      <c r="QWD371" s="153"/>
      <c r="QWE371" s="648"/>
      <c r="QWF371" s="641"/>
      <c r="QWG371" s="631" t="s">
        <v>1842</v>
      </c>
      <c r="QWH371" s="632"/>
      <c r="QWI371" s="16"/>
      <c r="QWJ371" s="636">
        <v>1.5299999999999999E-2</v>
      </c>
      <c r="QWK371" s="636">
        <v>1.5299999999999999E-2</v>
      </c>
      <c r="QWL371" s="636">
        <v>1.5299999999999999E-2</v>
      </c>
      <c r="QWM371" s="636">
        <v>9.7000000000000003E-3</v>
      </c>
      <c r="QWN371" s="636">
        <v>9.7000000000000003E-3</v>
      </c>
      <c r="QWO371" s="649">
        <v>9.7000000000000003E-3</v>
      </c>
      <c r="QWP371" s="16"/>
      <c r="QWQ371" s="320">
        <v>8.6999999999999994E-3</v>
      </c>
      <c r="QWR371" s="153"/>
      <c r="QWS371" s="153"/>
      <c r="QWT371" s="153"/>
      <c r="QWU371" s="648"/>
      <c r="QWV371" s="641"/>
      <c r="QWW371" s="631" t="s">
        <v>1842</v>
      </c>
      <c r="QWX371" s="632"/>
      <c r="QWY371" s="16"/>
      <c r="QWZ371" s="636">
        <v>1.5299999999999999E-2</v>
      </c>
      <c r="QXA371" s="636">
        <v>1.5299999999999999E-2</v>
      </c>
      <c r="QXB371" s="636">
        <v>1.5299999999999999E-2</v>
      </c>
      <c r="QXC371" s="636">
        <v>9.7000000000000003E-3</v>
      </c>
      <c r="QXD371" s="636">
        <v>9.7000000000000003E-3</v>
      </c>
      <c r="QXE371" s="649">
        <v>9.7000000000000003E-3</v>
      </c>
      <c r="QXF371" s="16"/>
      <c r="QXG371" s="320">
        <v>8.6999999999999994E-3</v>
      </c>
      <c r="QXH371" s="153"/>
      <c r="QXI371" s="153"/>
      <c r="QXJ371" s="153"/>
      <c r="QXK371" s="648"/>
      <c r="QXL371" s="641"/>
      <c r="QXM371" s="631" t="s">
        <v>1842</v>
      </c>
      <c r="QXN371" s="632"/>
      <c r="QXO371" s="16"/>
      <c r="QXP371" s="636">
        <v>1.5299999999999999E-2</v>
      </c>
      <c r="QXQ371" s="636">
        <v>1.5299999999999999E-2</v>
      </c>
      <c r="QXR371" s="636">
        <v>1.5299999999999999E-2</v>
      </c>
      <c r="QXS371" s="636">
        <v>9.7000000000000003E-3</v>
      </c>
      <c r="QXT371" s="636">
        <v>9.7000000000000003E-3</v>
      </c>
      <c r="QXU371" s="649">
        <v>9.7000000000000003E-3</v>
      </c>
      <c r="QXV371" s="16"/>
      <c r="QXW371" s="320">
        <v>8.6999999999999994E-3</v>
      </c>
      <c r="QXX371" s="153"/>
      <c r="QXY371" s="153"/>
      <c r="QXZ371" s="153"/>
      <c r="QYA371" s="648"/>
      <c r="QYB371" s="641"/>
      <c r="QYC371" s="631" t="s">
        <v>1842</v>
      </c>
      <c r="QYD371" s="632"/>
      <c r="QYE371" s="16"/>
      <c r="QYF371" s="636">
        <v>1.5299999999999999E-2</v>
      </c>
      <c r="QYG371" s="636">
        <v>1.5299999999999999E-2</v>
      </c>
      <c r="QYH371" s="636">
        <v>1.5299999999999999E-2</v>
      </c>
      <c r="QYI371" s="636">
        <v>9.7000000000000003E-3</v>
      </c>
      <c r="QYJ371" s="636">
        <v>9.7000000000000003E-3</v>
      </c>
      <c r="QYK371" s="649">
        <v>9.7000000000000003E-3</v>
      </c>
      <c r="QYL371" s="16"/>
      <c r="QYM371" s="320">
        <v>8.6999999999999994E-3</v>
      </c>
      <c r="QYN371" s="153"/>
      <c r="QYO371" s="153"/>
      <c r="QYP371" s="153"/>
      <c r="QYQ371" s="648"/>
      <c r="QYR371" s="641"/>
      <c r="QYS371" s="631" t="s">
        <v>1842</v>
      </c>
      <c r="QYT371" s="632"/>
      <c r="QYU371" s="16"/>
      <c r="QYV371" s="636">
        <v>1.5299999999999999E-2</v>
      </c>
      <c r="QYW371" s="636">
        <v>1.5299999999999999E-2</v>
      </c>
      <c r="QYX371" s="636">
        <v>1.5299999999999999E-2</v>
      </c>
      <c r="QYY371" s="636">
        <v>9.7000000000000003E-3</v>
      </c>
      <c r="QYZ371" s="636">
        <v>9.7000000000000003E-3</v>
      </c>
      <c r="QZA371" s="649">
        <v>9.7000000000000003E-3</v>
      </c>
      <c r="QZB371" s="16"/>
      <c r="QZC371" s="320">
        <v>8.6999999999999994E-3</v>
      </c>
      <c r="QZD371" s="153"/>
      <c r="QZE371" s="153"/>
      <c r="QZF371" s="153"/>
      <c r="QZG371" s="648"/>
      <c r="QZH371" s="641"/>
      <c r="QZI371" s="631" t="s">
        <v>1842</v>
      </c>
      <c r="QZJ371" s="632"/>
      <c r="QZK371" s="16"/>
      <c r="QZL371" s="636">
        <v>1.5299999999999999E-2</v>
      </c>
      <c r="QZM371" s="636">
        <v>1.5299999999999999E-2</v>
      </c>
      <c r="QZN371" s="636">
        <v>1.5299999999999999E-2</v>
      </c>
      <c r="QZO371" s="636">
        <v>9.7000000000000003E-3</v>
      </c>
      <c r="QZP371" s="636">
        <v>9.7000000000000003E-3</v>
      </c>
      <c r="QZQ371" s="649">
        <v>9.7000000000000003E-3</v>
      </c>
      <c r="QZR371" s="16"/>
      <c r="QZS371" s="320">
        <v>8.6999999999999994E-3</v>
      </c>
      <c r="QZT371" s="153"/>
      <c r="QZU371" s="153"/>
      <c r="QZV371" s="153"/>
      <c r="QZW371" s="648"/>
      <c r="QZX371" s="641"/>
      <c r="QZY371" s="631" t="s">
        <v>1842</v>
      </c>
      <c r="QZZ371" s="632"/>
      <c r="RAA371" s="16"/>
      <c r="RAB371" s="636">
        <v>1.5299999999999999E-2</v>
      </c>
      <c r="RAC371" s="636">
        <v>1.5299999999999999E-2</v>
      </c>
      <c r="RAD371" s="636">
        <v>1.5299999999999999E-2</v>
      </c>
      <c r="RAE371" s="636">
        <v>9.7000000000000003E-3</v>
      </c>
      <c r="RAF371" s="636">
        <v>9.7000000000000003E-3</v>
      </c>
      <c r="RAG371" s="649">
        <v>9.7000000000000003E-3</v>
      </c>
      <c r="RAH371" s="16"/>
      <c r="RAI371" s="320">
        <v>8.6999999999999994E-3</v>
      </c>
      <c r="RAJ371" s="153"/>
      <c r="RAK371" s="153"/>
      <c r="RAL371" s="153"/>
      <c r="RAM371" s="648"/>
      <c r="RAN371" s="641"/>
      <c r="RAO371" s="631" t="s">
        <v>1842</v>
      </c>
      <c r="RAP371" s="632"/>
      <c r="RAQ371" s="16"/>
      <c r="RAR371" s="636">
        <v>1.5299999999999999E-2</v>
      </c>
      <c r="RAS371" s="636">
        <v>1.5299999999999999E-2</v>
      </c>
      <c r="RAT371" s="636">
        <v>1.5299999999999999E-2</v>
      </c>
      <c r="RAU371" s="636">
        <v>9.7000000000000003E-3</v>
      </c>
      <c r="RAV371" s="636">
        <v>9.7000000000000003E-3</v>
      </c>
      <c r="RAW371" s="649">
        <v>9.7000000000000003E-3</v>
      </c>
      <c r="RAX371" s="16"/>
      <c r="RAY371" s="320">
        <v>8.6999999999999994E-3</v>
      </c>
      <c r="RAZ371" s="153"/>
      <c r="RBA371" s="153"/>
      <c r="RBB371" s="153"/>
      <c r="RBC371" s="648"/>
      <c r="RBD371" s="641"/>
      <c r="RBE371" s="631" t="s">
        <v>1842</v>
      </c>
      <c r="RBF371" s="632"/>
      <c r="RBG371" s="16"/>
      <c r="RBH371" s="636">
        <v>1.5299999999999999E-2</v>
      </c>
      <c r="RBI371" s="636">
        <v>1.5299999999999999E-2</v>
      </c>
      <c r="RBJ371" s="636">
        <v>1.5299999999999999E-2</v>
      </c>
      <c r="RBK371" s="636">
        <v>9.7000000000000003E-3</v>
      </c>
      <c r="RBL371" s="636">
        <v>9.7000000000000003E-3</v>
      </c>
      <c r="RBM371" s="649">
        <v>9.7000000000000003E-3</v>
      </c>
      <c r="RBN371" s="16"/>
      <c r="RBO371" s="320">
        <v>8.6999999999999994E-3</v>
      </c>
      <c r="RBP371" s="153"/>
      <c r="RBQ371" s="153"/>
      <c r="RBR371" s="153"/>
      <c r="RBS371" s="648"/>
      <c r="RBT371" s="641"/>
      <c r="RBU371" s="631" t="s">
        <v>1842</v>
      </c>
      <c r="RBV371" s="632"/>
      <c r="RBW371" s="16"/>
      <c r="RBX371" s="636">
        <v>1.5299999999999999E-2</v>
      </c>
      <c r="RBY371" s="636">
        <v>1.5299999999999999E-2</v>
      </c>
      <c r="RBZ371" s="636">
        <v>1.5299999999999999E-2</v>
      </c>
      <c r="RCA371" s="636">
        <v>9.7000000000000003E-3</v>
      </c>
      <c r="RCB371" s="636">
        <v>9.7000000000000003E-3</v>
      </c>
      <c r="RCC371" s="649">
        <v>9.7000000000000003E-3</v>
      </c>
      <c r="RCD371" s="16"/>
      <c r="RCE371" s="320">
        <v>8.6999999999999994E-3</v>
      </c>
      <c r="RCF371" s="153"/>
      <c r="RCG371" s="153"/>
      <c r="RCH371" s="153"/>
      <c r="RCI371" s="648"/>
      <c r="RCJ371" s="641"/>
      <c r="RCK371" s="631" t="s">
        <v>1842</v>
      </c>
      <c r="RCL371" s="632"/>
      <c r="RCM371" s="16"/>
      <c r="RCN371" s="636">
        <v>1.5299999999999999E-2</v>
      </c>
      <c r="RCO371" s="636">
        <v>1.5299999999999999E-2</v>
      </c>
      <c r="RCP371" s="636">
        <v>1.5299999999999999E-2</v>
      </c>
      <c r="RCQ371" s="636">
        <v>9.7000000000000003E-3</v>
      </c>
      <c r="RCR371" s="636">
        <v>9.7000000000000003E-3</v>
      </c>
      <c r="RCS371" s="649">
        <v>9.7000000000000003E-3</v>
      </c>
      <c r="RCT371" s="16"/>
      <c r="RCU371" s="320">
        <v>8.6999999999999994E-3</v>
      </c>
      <c r="RCV371" s="153"/>
      <c r="RCW371" s="153"/>
      <c r="RCX371" s="153"/>
      <c r="RCY371" s="648"/>
      <c r="RCZ371" s="641"/>
      <c r="RDA371" s="631" t="s">
        <v>1842</v>
      </c>
      <c r="RDB371" s="632"/>
      <c r="RDC371" s="16"/>
      <c r="RDD371" s="636">
        <v>1.5299999999999999E-2</v>
      </c>
      <c r="RDE371" s="636">
        <v>1.5299999999999999E-2</v>
      </c>
      <c r="RDF371" s="636">
        <v>1.5299999999999999E-2</v>
      </c>
      <c r="RDG371" s="636">
        <v>9.7000000000000003E-3</v>
      </c>
      <c r="RDH371" s="636">
        <v>9.7000000000000003E-3</v>
      </c>
      <c r="RDI371" s="649">
        <v>9.7000000000000003E-3</v>
      </c>
      <c r="RDJ371" s="16"/>
      <c r="RDK371" s="320">
        <v>8.6999999999999994E-3</v>
      </c>
      <c r="RDL371" s="153"/>
      <c r="RDM371" s="153"/>
      <c r="RDN371" s="153"/>
      <c r="RDO371" s="648"/>
      <c r="RDP371" s="641"/>
      <c r="RDQ371" s="631" t="s">
        <v>1842</v>
      </c>
      <c r="RDR371" s="632"/>
      <c r="RDS371" s="16"/>
      <c r="RDT371" s="636">
        <v>1.5299999999999999E-2</v>
      </c>
      <c r="RDU371" s="636">
        <v>1.5299999999999999E-2</v>
      </c>
      <c r="RDV371" s="636">
        <v>1.5299999999999999E-2</v>
      </c>
      <c r="RDW371" s="636">
        <v>9.7000000000000003E-3</v>
      </c>
      <c r="RDX371" s="636">
        <v>9.7000000000000003E-3</v>
      </c>
      <c r="RDY371" s="649">
        <v>9.7000000000000003E-3</v>
      </c>
      <c r="RDZ371" s="16"/>
      <c r="REA371" s="320">
        <v>8.6999999999999994E-3</v>
      </c>
      <c r="REB371" s="153"/>
      <c r="REC371" s="153"/>
      <c r="RED371" s="153"/>
      <c r="REE371" s="648"/>
      <c r="REF371" s="641"/>
      <c r="REG371" s="631" t="s">
        <v>1842</v>
      </c>
      <c r="REH371" s="632"/>
      <c r="REI371" s="16"/>
      <c r="REJ371" s="636">
        <v>1.5299999999999999E-2</v>
      </c>
      <c r="REK371" s="636">
        <v>1.5299999999999999E-2</v>
      </c>
      <c r="REL371" s="636">
        <v>1.5299999999999999E-2</v>
      </c>
      <c r="REM371" s="636">
        <v>9.7000000000000003E-3</v>
      </c>
      <c r="REN371" s="636">
        <v>9.7000000000000003E-3</v>
      </c>
      <c r="REO371" s="649">
        <v>9.7000000000000003E-3</v>
      </c>
      <c r="REP371" s="16"/>
      <c r="REQ371" s="320">
        <v>8.6999999999999994E-3</v>
      </c>
      <c r="RER371" s="153"/>
      <c r="RES371" s="153"/>
      <c r="RET371" s="153"/>
      <c r="REU371" s="648"/>
      <c r="REV371" s="641"/>
      <c r="REW371" s="631" t="s">
        <v>1842</v>
      </c>
      <c r="REX371" s="632"/>
      <c r="REY371" s="16"/>
      <c r="REZ371" s="636">
        <v>1.5299999999999999E-2</v>
      </c>
      <c r="RFA371" s="636">
        <v>1.5299999999999999E-2</v>
      </c>
      <c r="RFB371" s="636">
        <v>1.5299999999999999E-2</v>
      </c>
      <c r="RFC371" s="636">
        <v>9.7000000000000003E-3</v>
      </c>
      <c r="RFD371" s="636">
        <v>9.7000000000000003E-3</v>
      </c>
      <c r="RFE371" s="649">
        <v>9.7000000000000003E-3</v>
      </c>
      <c r="RFF371" s="16"/>
      <c r="RFG371" s="320">
        <v>8.6999999999999994E-3</v>
      </c>
      <c r="RFH371" s="153"/>
      <c r="RFI371" s="153"/>
      <c r="RFJ371" s="153"/>
      <c r="RFK371" s="648"/>
      <c r="RFL371" s="641"/>
      <c r="RFM371" s="631" t="s">
        <v>1842</v>
      </c>
      <c r="RFN371" s="632"/>
      <c r="RFO371" s="16"/>
      <c r="RFP371" s="636">
        <v>1.5299999999999999E-2</v>
      </c>
      <c r="RFQ371" s="636">
        <v>1.5299999999999999E-2</v>
      </c>
      <c r="RFR371" s="636">
        <v>1.5299999999999999E-2</v>
      </c>
      <c r="RFS371" s="636">
        <v>9.7000000000000003E-3</v>
      </c>
      <c r="RFT371" s="636">
        <v>9.7000000000000003E-3</v>
      </c>
      <c r="RFU371" s="649">
        <v>9.7000000000000003E-3</v>
      </c>
      <c r="RFV371" s="16"/>
      <c r="RFW371" s="320">
        <v>8.6999999999999994E-3</v>
      </c>
      <c r="RFX371" s="153"/>
      <c r="RFY371" s="153"/>
      <c r="RFZ371" s="153"/>
      <c r="RGA371" s="648"/>
      <c r="RGB371" s="641"/>
      <c r="RGC371" s="631" t="s">
        <v>1842</v>
      </c>
      <c r="RGD371" s="632"/>
      <c r="RGE371" s="16"/>
      <c r="RGF371" s="636">
        <v>1.5299999999999999E-2</v>
      </c>
      <c r="RGG371" s="636">
        <v>1.5299999999999999E-2</v>
      </c>
      <c r="RGH371" s="636">
        <v>1.5299999999999999E-2</v>
      </c>
      <c r="RGI371" s="636">
        <v>9.7000000000000003E-3</v>
      </c>
      <c r="RGJ371" s="636">
        <v>9.7000000000000003E-3</v>
      </c>
      <c r="RGK371" s="649">
        <v>9.7000000000000003E-3</v>
      </c>
      <c r="RGL371" s="16"/>
      <c r="RGM371" s="320">
        <v>8.6999999999999994E-3</v>
      </c>
      <c r="RGN371" s="153"/>
      <c r="RGO371" s="153"/>
      <c r="RGP371" s="153"/>
      <c r="RGQ371" s="648"/>
      <c r="RGR371" s="641"/>
      <c r="RGS371" s="631" t="s">
        <v>1842</v>
      </c>
      <c r="RGT371" s="632"/>
      <c r="RGU371" s="16"/>
      <c r="RGV371" s="636">
        <v>1.5299999999999999E-2</v>
      </c>
      <c r="RGW371" s="636">
        <v>1.5299999999999999E-2</v>
      </c>
      <c r="RGX371" s="636">
        <v>1.5299999999999999E-2</v>
      </c>
      <c r="RGY371" s="636">
        <v>9.7000000000000003E-3</v>
      </c>
      <c r="RGZ371" s="636">
        <v>9.7000000000000003E-3</v>
      </c>
      <c r="RHA371" s="649">
        <v>9.7000000000000003E-3</v>
      </c>
      <c r="RHB371" s="16"/>
      <c r="RHC371" s="320">
        <v>8.6999999999999994E-3</v>
      </c>
      <c r="RHD371" s="153"/>
      <c r="RHE371" s="153"/>
      <c r="RHF371" s="153"/>
      <c r="RHG371" s="648"/>
      <c r="RHH371" s="641"/>
      <c r="RHI371" s="631" t="s">
        <v>1842</v>
      </c>
      <c r="RHJ371" s="632"/>
      <c r="RHK371" s="16"/>
      <c r="RHL371" s="636">
        <v>1.5299999999999999E-2</v>
      </c>
      <c r="RHM371" s="636">
        <v>1.5299999999999999E-2</v>
      </c>
      <c r="RHN371" s="636">
        <v>1.5299999999999999E-2</v>
      </c>
      <c r="RHO371" s="636">
        <v>9.7000000000000003E-3</v>
      </c>
      <c r="RHP371" s="636">
        <v>9.7000000000000003E-3</v>
      </c>
      <c r="RHQ371" s="649">
        <v>9.7000000000000003E-3</v>
      </c>
      <c r="RHR371" s="16"/>
      <c r="RHS371" s="320">
        <v>8.6999999999999994E-3</v>
      </c>
      <c r="RHT371" s="153"/>
      <c r="RHU371" s="153"/>
      <c r="RHV371" s="153"/>
      <c r="RHW371" s="648"/>
      <c r="RHX371" s="641"/>
      <c r="RHY371" s="631" t="s">
        <v>1842</v>
      </c>
      <c r="RHZ371" s="632"/>
      <c r="RIA371" s="16"/>
      <c r="RIB371" s="636">
        <v>1.5299999999999999E-2</v>
      </c>
      <c r="RIC371" s="636">
        <v>1.5299999999999999E-2</v>
      </c>
      <c r="RID371" s="636">
        <v>1.5299999999999999E-2</v>
      </c>
      <c r="RIE371" s="636">
        <v>9.7000000000000003E-3</v>
      </c>
      <c r="RIF371" s="636">
        <v>9.7000000000000003E-3</v>
      </c>
      <c r="RIG371" s="649">
        <v>9.7000000000000003E-3</v>
      </c>
      <c r="RIH371" s="16"/>
      <c r="RII371" s="320">
        <v>8.6999999999999994E-3</v>
      </c>
      <c r="RIJ371" s="153"/>
      <c r="RIK371" s="153"/>
      <c r="RIL371" s="153"/>
      <c r="RIM371" s="648"/>
      <c r="RIN371" s="641"/>
      <c r="RIO371" s="631" t="s">
        <v>1842</v>
      </c>
      <c r="RIP371" s="632"/>
      <c r="RIQ371" s="16"/>
      <c r="RIR371" s="636">
        <v>1.5299999999999999E-2</v>
      </c>
      <c r="RIS371" s="636">
        <v>1.5299999999999999E-2</v>
      </c>
      <c r="RIT371" s="636">
        <v>1.5299999999999999E-2</v>
      </c>
      <c r="RIU371" s="636">
        <v>9.7000000000000003E-3</v>
      </c>
      <c r="RIV371" s="636">
        <v>9.7000000000000003E-3</v>
      </c>
      <c r="RIW371" s="649">
        <v>9.7000000000000003E-3</v>
      </c>
      <c r="RIX371" s="16"/>
      <c r="RIY371" s="320">
        <v>8.6999999999999994E-3</v>
      </c>
      <c r="RIZ371" s="153"/>
      <c r="RJA371" s="153"/>
      <c r="RJB371" s="153"/>
      <c r="RJC371" s="648"/>
      <c r="RJD371" s="641"/>
      <c r="RJE371" s="631" t="s">
        <v>1842</v>
      </c>
      <c r="RJF371" s="632"/>
      <c r="RJG371" s="16"/>
      <c r="RJH371" s="636">
        <v>1.5299999999999999E-2</v>
      </c>
      <c r="RJI371" s="636">
        <v>1.5299999999999999E-2</v>
      </c>
      <c r="RJJ371" s="636">
        <v>1.5299999999999999E-2</v>
      </c>
      <c r="RJK371" s="636">
        <v>9.7000000000000003E-3</v>
      </c>
      <c r="RJL371" s="636">
        <v>9.7000000000000003E-3</v>
      </c>
      <c r="RJM371" s="649">
        <v>9.7000000000000003E-3</v>
      </c>
      <c r="RJN371" s="16"/>
      <c r="RJO371" s="320">
        <v>8.6999999999999994E-3</v>
      </c>
      <c r="RJP371" s="153"/>
      <c r="RJQ371" s="153"/>
      <c r="RJR371" s="153"/>
      <c r="RJS371" s="648"/>
      <c r="RJT371" s="641"/>
      <c r="RJU371" s="631" t="s">
        <v>1842</v>
      </c>
      <c r="RJV371" s="632"/>
      <c r="RJW371" s="16"/>
      <c r="RJX371" s="636">
        <v>1.5299999999999999E-2</v>
      </c>
      <c r="RJY371" s="636">
        <v>1.5299999999999999E-2</v>
      </c>
      <c r="RJZ371" s="636">
        <v>1.5299999999999999E-2</v>
      </c>
      <c r="RKA371" s="636">
        <v>9.7000000000000003E-3</v>
      </c>
      <c r="RKB371" s="636">
        <v>9.7000000000000003E-3</v>
      </c>
      <c r="RKC371" s="649">
        <v>9.7000000000000003E-3</v>
      </c>
      <c r="RKD371" s="16"/>
      <c r="RKE371" s="320">
        <v>8.6999999999999994E-3</v>
      </c>
      <c r="RKF371" s="153"/>
      <c r="RKG371" s="153"/>
      <c r="RKH371" s="153"/>
      <c r="RKI371" s="648"/>
      <c r="RKJ371" s="641"/>
      <c r="RKK371" s="631" t="s">
        <v>1842</v>
      </c>
      <c r="RKL371" s="632"/>
      <c r="RKM371" s="16"/>
      <c r="RKN371" s="636">
        <v>1.5299999999999999E-2</v>
      </c>
      <c r="RKO371" s="636">
        <v>1.5299999999999999E-2</v>
      </c>
      <c r="RKP371" s="636">
        <v>1.5299999999999999E-2</v>
      </c>
      <c r="RKQ371" s="636">
        <v>9.7000000000000003E-3</v>
      </c>
      <c r="RKR371" s="636">
        <v>9.7000000000000003E-3</v>
      </c>
      <c r="RKS371" s="649">
        <v>9.7000000000000003E-3</v>
      </c>
      <c r="RKT371" s="16"/>
      <c r="RKU371" s="320">
        <v>8.6999999999999994E-3</v>
      </c>
      <c r="RKV371" s="153"/>
      <c r="RKW371" s="153"/>
      <c r="RKX371" s="153"/>
      <c r="RKY371" s="648"/>
      <c r="RKZ371" s="641"/>
      <c r="RLA371" s="631" t="s">
        <v>1842</v>
      </c>
      <c r="RLB371" s="632"/>
      <c r="RLC371" s="16"/>
      <c r="RLD371" s="636">
        <v>1.5299999999999999E-2</v>
      </c>
      <c r="RLE371" s="636">
        <v>1.5299999999999999E-2</v>
      </c>
      <c r="RLF371" s="636">
        <v>1.5299999999999999E-2</v>
      </c>
      <c r="RLG371" s="636">
        <v>9.7000000000000003E-3</v>
      </c>
      <c r="RLH371" s="636">
        <v>9.7000000000000003E-3</v>
      </c>
      <c r="RLI371" s="649">
        <v>9.7000000000000003E-3</v>
      </c>
      <c r="RLJ371" s="16"/>
      <c r="RLK371" s="320">
        <v>8.6999999999999994E-3</v>
      </c>
      <c r="RLL371" s="153"/>
      <c r="RLM371" s="153"/>
      <c r="RLN371" s="153"/>
      <c r="RLO371" s="648"/>
      <c r="RLP371" s="641"/>
      <c r="RLQ371" s="631" t="s">
        <v>1842</v>
      </c>
      <c r="RLR371" s="632"/>
      <c r="RLS371" s="16"/>
      <c r="RLT371" s="636">
        <v>1.5299999999999999E-2</v>
      </c>
      <c r="RLU371" s="636">
        <v>1.5299999999999999E-2</v>
      </c>
      <c r="RLV371" s="636">
        <v>1.5299999999999999E-2</v>
      </c>
      <c r="RLW371" s="636">
        <v>9.7000000000000003E-3</v>
      </c>
      <c r="RLX371" s="636">
        <v>9.7000000000000003E-3</v>
      </c>
      <c r="RLY371" s="649">
        <v>9.7000000000000003E-3</v>
      </c>
      <c r="RLZ371" s="16"/>
      <c r="RMA371" s="320">
        <v>8.6999999999999994E-3</v>
      </c>
      <c r="RMB371" s="153"/>
      <c r="RMC371" s="153"/>
      <c r="RMD371" s="153"/>
      <c r="RME371" s="648"/>
      <c r="RMF371" s="641"/>
      <c r="RMG371" s="631" t="s">
        <v>1842</v>
      </c>
      <c r="RMH371" s="632"/>
      <c r="RMI371" s="16"/>
      <c r="RMJ371" s="636">
        <v>1.5299999999999999E-2</v>
      </c>
      <c r="RMK371" s="636">
        <v>1.5299999999999999E-2</v>
      </c>
      <c r="RML371" s="636">
        <v>1.5299999999999999E-2</v>
      </c>
      <c r="RMM371" s="636">
        <v>9.7000000000000003E-3</v>
      </c>
      <c r="RMN371" s="636">
        <v>9.7000000000000003E-3</v>
      </c>
      <c r="RMO371" s="649">
        <v>9.7000000000000003E-3</v>
      </c>
      <c r="RMP371" s="16"/>
      <c r="RMQ371" s="320">
        <v>8.6999999999999994E-3</v>
      </c>
      <c r="RMR371" s="153"/>
      <c r="RMS371" s="153"/>
      <c r="RMT371" s="153"/>
      <c r="RMU371" s="648"/>
      <c r="RMV371" s="641"/>
      <c r="RMW371" s="631" t="s">
        <v>1842</v>
      </c>
      <c r="RMX371" s="632"/>
      <c r="RMY371" s="16"/>
      <c r="RMZ371" s="636">
        <v>1.5299999999999999E-2</v>
      </c>
      <c r="RNA371" s="636">
        <v>1.5299999999999999E-2</v>
      </c>
      <c r="RNB371" s="636">
        <v>1.5299999999999999E-2</v>
      </c>
      <c r="RNC371" s="636">
        <v>9.7000000000000003E-3</v>
      </c>
      <c r="RND371" s="636">
        <v>9.7000000000000003E-3</v>
      </c>
      <c r="RNE371" s="649">
        <v>9.7000000000000003E-3</v>
      </c>
      <c r="RNF371" s="16"/>
      <c r="RNG371" s="320">
        <v>8.6999999999999994E-3</v>
      </c>
      <c r="RNH371" s="153"/>
      <c r="RNI371" s="153"/>
      <c r="RNJ371" s="153"/>
      <c r="RNK371" s="648"/>
      <c r="RNL371" s="641"/>
      <c r="RNM371" s="631" t="s">
        <v>1842</v>
      </c>
      <c r="RNN371" s="632"/>
      <c r="RNO371" s="16"/>
      <c r="RNP371" s="636">
        <v>1.5299999999999999E-2</v>
      </c>
      <c r="RNQ371" s="636">
        <v>1.5299999999999999E-2</v>
      </c>
      <c r="RNR371" s="636">
        <v>1.5299999999999999E-2</v>
      </c>
      <c r="RNS371" s="636">
        <v>9.7000000000000003E-3</v>
      </c>
      <c r="RNT371" s="636">
        <v>9.7000000000000003E-3</v>
      </c>
      <c r="RNU371" s="649">
        <v>9.7000000000000003E-3</v>
      </c>
      <c r="RNV371" s="16"/>
      <c r="RNW371" s="320">
        <v>8.6999999999999994E-3</v>
      </c>
      <c r="RNX371" s="153"/>
      <c r="RNY371" s="153"/>
      <c r="RNZ371" s="153"/>
      <c r="ROA371" s="648"/>
      <c r="ROB371" s="641"/>
      <c r="ROC371" s="631" t="s">
        <v>1842</v>
      </c>
      <c r="ROD371" s="632"/>
      <c r="ROE371" s="16"/>
      <c r="ROF371" s="636">
        <v>1.5299999999999999E-2</v>
      </c>
      <c r="ROG371" s="636">
        <v>1.5299999999999999E-2</v>
      </c>
      <c r="ROH371" s="636">
        <v>1.5299999999999999E-2</v>
      </c>
      <c r="ROI371" s="636">
        <v>9.7000000000000003E-3</v>
      </c>
      <c r="ROJ371" s="636">
        <v>9.7000000000000003E-3</v>
      </c>
      <c r="ROK371" s="649">
        <v>9.7000000000000003E-3</v>
      </c>
      <c r="ROL371" s="16"/>
      <c r="ROM371" s="320">
        <v>8.6999999999999994E-3</v>
      </c>
      <c r="RON371" s="153"/>
      <c r="ROO371" s="153"/>
      <c r="ROP371" s="153"/>
      <c r="ROQ371" s="648"/>
      <c r="ROR371" s="641"/>
      <c r="ROS371" s="631" t="s">
        <v>1842</v>
      </c>
      <c r="ROT371" s="632"/>
      <c r="ROU371" s="16"/>
      <c r="ROV371" s="636">
        <v>1.5299999999999999E-2</v>
      </c>
      <c r="ROW371" s="636">
        <v>1.5299999999999999E-2</v>
      </c>
      <c r="ROX371" s="636">
        <v>1.5299999999999999E-2</v>
      </c>
      <c r="ROY371" s="636">
        <v>9.7000000000000003E-3</v>
      </c>
      <c r="ROZ371" s="636">
        <v>9.7000000000000003E-3</v>
      </c>
      <c r="RPA371" s="649">
        <v>9.7000000000000003E-3</v>
      </c>
      <c r="RPB371" s="16"/>
      <c r="RPC371" s="320">
        <v>8.6999999999999994E-3</v>
      </c>
      <c r="RPD371" s="153"/>
      <c r="RPE371" s="153"/>
      <c r="RPF371" s="153"/>
      <c r="RPG371" s="648"/>
      <c r="RPH371" s="641"/>
      <c r="RPI371" s="631" t="s">
        <v>1842</v>
      </c>
      <c r="RPJ371" s="632"/>
      <c r="RPK371" s="16"/>
      <c r="RPL371" s="636">
        <v>1.5299999999999999E-2</v>
      </c>
      <c r="RPM371" s="636">
        <v>1.5299999999999999E-2</v>
      </c>
      <c r="RPN371" s="636">
        <v>1.5299999999999999E-2</v>
      </c>
      <c r="RPO371" s="636">
        <v>9.7000000000000003E-3</v>
      </c>
      <c r="RPP371" s="636">
        <v>9.7000000000000003E-3</v>
      </c>
      <c r="RPQ371" s="649">
        <v>9.7000000000000003E-3</v>
      </c>
      <c r="RPR371" s="16"/>
      <c r="RPS371" s="320">
        <v>8.6999999999999994E-3</v>
      </c>
      <c r="RPT371" s="153"/>
      <c r="RPU371" s="153"/>
      <c r="RPV371" s="153"/>
      <c r="RPW371" s="648"/>
      <c r="RPX371" s="641"/>
      <c r="RPY371" s="631" t="s">
        <v>1842</v>
      </c>
      <c r="RPZ371" s="632"/>
      <c r="RQA371" s="16"/>
      <c r="RQB371" s="636">
        <v>1.5299999999999999E-2</v>
      </c>
      <c r="RQC371" s="636">
        <v>1.5299999999999999E-2</v>
      </c>
      <c r="RQD371" s="636">
        <v>1.5299999999999999E-2</v>
      </c>
      <c r="RQE371" s="636">
        <v>9.7000000000000003E-3</v>
      </c>
      <c r="RQF371" s="636">
        <v>9.7000000000000003E-3</v>
      </c>
      <c r="RQG371" s="649">
        <v>9.7000000000000003E-3</v>
      </c>
      <c r="RQH371" s="16"/>
      <c r="RQI371" s="320">
        <v>8.6999999999999994E-3</v>
      </c>
      <c r="RQJ371" s="153"/>
      <c r="RQK371" s="153"/>
      <c r="RQL371" s="153"/>
      <c r="RQM371" s="648"/>
      <c r="RQN371" s="641"/>
      <c r="RQO371" s="631" t="s">
        <v>1842</v>
      </c>
      <c r="RQP371" s="632"/>
      <c r="RQQ371" s="16"/>
      <c r="RQR371" s="636">
        <v>1.5299999999999999E-2</v>
      </c>
      <c r="RQS371" s="636">
        <v>1.5299999999999999E-2</v>
      </c>
      <c r="RQT371" s="636">
        <v>1.5299999999999999E-2</v>
      </c>
      <c r="RQU371" s="636">
        <v>9.7000000000000003E-3</v>
      </c>
      <c r="RQV371" s="636">
        <v>9.7000000000000003E-3</v>
      </c>
      <c r="RQW371" s="649">
        <v>9.7000000000000003E-3</v>
      </c>
      <c r="RQX371" s="16"/>
      <c r="RQY371" s="320">
        <v>8.6999999999999994E-3</v>
      </c>
      <c r="RQZ371" s="153"/>
      <c r="RRA371" s="153"/>
      <c r="RRB371" s="153"/>
      <c r="RRC371" s="648"/>
      <c r="RRD371" s="641"/>
      <c r="RRE371" s="631" t="s">
        <v>1842</v>
      </c>
      <c r="RRF371" s="632"/>
      <c r="RRG371" s="16"/>
      <c r="RRH371" s="636">
        <v>1.5299999999999999E-2</v>
      </c>
      <c r="RRI371" s="636">
        <v>1.5299999999999999E-2</v>
      </c>
      <c r="RRJ371" s="636">
        <v>1.5299999999999999E-2</v>
      </c>
      <c r="RRK371" s="636">
        <v>9.7000000000000003E-3</v>
      </c>
      <c r="RRL371" s="636">
        <v>9.7000000000000003E-3</v>
      </c>
      <c r="RRM371" s="649">
        <v>9.7000000000000003E-3</v>
      </c>
      <c r="RRN371" s="16"/>
      <c r="RRO371" s="320">
        <v>8.6999999999999994E-3</v>
      </c>
      <c r="RRP371" s="153"/>
      <c r="RRQ371" s="153"/>
      <c r="RRR371" s="153"/>
      <c r="RRS371" s="648"/>
      <c r="RRT371" s="641"/>
      <c r="RRU371" s="631" t="s">
        <v>1842</v>
      </c>
      <c r="RRV371" s="632"/>
      <c r="RRW371" s="16"/>
      <c r="RRX371" s="636">
        <v>1.5299999999999999E-2</v>
      </c>
      <c r="RRY371" s="636">
        <v>1.5299999999999999E-2</v>
      </c>
      <c r="RRZ371" s="636">
        <v>1.5299999999999999E-2</v>
      </c>
      <c r="RSA371" s="636">
        <v>9.7000000000000003E-3</v>
      </c>
      <c r="RSB371" s="636">
        <v>9.7000000000000003E-3</v>
      </c>
      <c r="RSC371" s="649">
        <v>9.7000000000000003E-3</v>
      </c>
      <c r="RSD371" s="16"/>
      <c r="RSE371" s="320">
        <v>8.6999999999999994E-3</v>
      </c>
      <c r="RSF371" s="153"/>
      <c r="RSG371" s="153"/>
      <c r="RSH371" s="153"/>
      <c r="RSI371" s="648"/>
      <c r="RSJ371" s="641"/>
      <c r="RSK371" s="631" t="s">
        <v>1842</v>
      </c>
      <c r="RSL371" s="632"/>
      <c r="RSM371" s="16"/>
      <c r="RSN371" s="636">
        <v>1.5299999999999999E-2</v>
      </c>
      <c r="RSO371" s="636">
        <v>1.5299999999999999E-2</v>
      </c>
      <c r="RSP371" s="636">
        <v>1.5299999999999999E-2</v>
      </c>
      <c r="RSQ371" s="636">
        <v>9.7000000000000003E-3</v>
      </c>
      <c r="RSR371" s="636">
        <v>9.7000000000000003E-3</v>
      </c>
      <c r="RSS371" s="649">
        <v>9.7000000000000003E-3</v>
      </c>
      <c r="RST371" s="16"/>
      <c r="RSU371" s="320">
        <v>8.6999999999999994E-3</v>
      </c>
      <c r="RSV371" s="153"/>
      <c r="RSW371" s="153"/>
      <c r="RSX371" s="153"/>
      <c r="RSY371" s="648"/>
      <c r="RSZ371" s="641"/>
      <c r="RTA371" s="631" t="s">
        <v>1842</v>
      </c>
      <c r="RTB371" s="632"/>
      <c r="RTC371" s="16"/>
      <c r="RTD371" s="636">
        <v>1.5299999999999999E-2</v>
      </c>
      <c r="RTE371" s="636">
        <v>1.5299999999999999E-2</v>
      </c>
      <c r="RTF371" s="636">
        <v>1.5299999999999999E-2</v>
      </c>
      <c r="RTG371" s="636">
        <v>9.7000000000000003E-3</v>
      </c>
      <c r="RTH371" s="636">
        <v>9.7000000000000003E-3</v>
      </c>
      <c r="RTI371" s="649">
        <v>9.7000000000000003E-3</v>
      </c>
      <c r="RTJ371" s="16"/>
      <c r="RTK371" s="320">
        <v>8.6999999999999994E-3</v>
      </c>
      <c r="RTL371" s="153"/>
      <c r="RTM371" s="153"/>
      <c r="RTN371" s="153"/>
      <c r="RTO371" s="648"/>
      <c r="RTP371" s="641"/>
      <c r="RTQ371" s="631" t="s">
        <v>1842</v>
      </c>
      <c r="RTR371" s="632"/>
      <c r="RTS371" s="16"/>
      <c r="RTT371" s="636">
        <v>1.5299999999999999E-2</v>
      </c>
      <c r="RTU371" s="636">
        <v>1.5299999999999999E-2</v>
      </c>
      <c r="RTV371" s="636">
        <v>1.5299999999999999E-2</v>
      </c>
      <c r="RTW371" s="636">
        <v>9.7000000000000003E-3</v>
      </c>
      <c r="RTX371" s="636">
        <v>9.7000000000000003E-3</v>
      </c>
      <c r="RTY371" s="649">
        <v>9.7000000000000003E-3</v>
      </c>
      <c r="RTZ371" s="16"/>
      <c r="RUA371" s="320">
        <v>8.6999999999999994E-3</v>
      </c>
      <c r="RUB371" s="153"/>
      <c r="RUC371" s="153"/>
      <c r="RUD371" s="153"/>
      <c r="RUE371" s="648"/>
      <c r="RUF371" s="641"/>
      <c r="RUG371" s="631" t="s">
        <v>1842</v>
      </c>
      <c r="RUH371" s="632"/>
      <c r="RUI371" s="16"/>
      <c r="RUJ371" s="636">
        <v>1.5299999999999999E-2</v>
      </c>
      <c r="RUK371" s="636">
        <v>1.5299999999999999E-2</v>
      </c>
      <c r="RUL371" s="636">
        <v>1.5299999999999999E-2</v>
      </c>
      <c r="RUM371" s="636">
        <v>9.7000000000000003E-3</v>
      </c>
      <c r="RUN371" s="636">
        <v>9.7000000000000003E-3</v>
      </c>
      <c r="RUO371" s="649">
        <v>9.7000000000000003E-3</v>
      </c>
      <c r="RUP371" s="16"/>
      <c r="RUQ371" s="320">
        <v>8.6999999999999994E-3</v>
      </c>
      <c r="RUR371" s="153"/>
      <c r="RUS371" s="153"/>
      <c r="RUT371" s="153"/>
      <c r="RUU371" s="648"/>
      <c r="RUV371" s="641"/>
      <c r="RUW371" s="631" t="s">
        <v>1842</v>
      </c>
      <c r="RUX371" s="632"/>
      <c r="RUY371" s="16"/>
      <c r="RUZ371" s="636">
        <v>1.5299999999999999E-2</v>
      </c>
      <c r="RVA371" s="636">
        <v>1.5299999999999999E-2</v>
      </c>
      <c r="RVB371" s="636">
        <v>1.5299999999999999E-2</v>
      </c>
      <c r="RVC371" s="636">
        <v>9.7000000000000003E-3</v>
      </c>
      <c r="RVD371" s="636">
        <v>9.7000000000000003E-3</v>
      </c>
      <c r="RVE371" s="649">
        <v>9.7000000000000003E-3</v>
      </c>
      <c r="RVF371" s="16"/>
      <c r="RVG371" s="320">
        <v>8.6999999999999994E-3</v>
      </c>
      <c r="RVH371" s="153"/>
      <c r="RVI371" s="153"/>
      <c r="RVJ371" s="153"/>
      <c r="RVK371" s="648"/>
      <c r="RVL371" s="641"/>
      <c r="RVM371" s="631" t="s">
        <v>1842</v>
      </c>
      <c r="RVN371" s="632"/>
      <c r="RVO371" s="16"/>
      <c r="RVP371" s="636">
        <v>1.5299999999999999E-2</v>
      </c>
      <c r="RVQ371" s="636">
        <v>1.5299999999999999E-2</v>
      </c>
      <c r="RVR371" s="636">
        <v>1.5299999999999999E-2</v>
      </c>
      <c r="RVS371" s="636">
        <v>9.7000000000000003E-3</v>
      </c>
      <c r="RVT371" s="636">
        <v>9.7000000000000003E-3</v>
      </c>
      <c r="RVU371" s="649">
        <v>9.7000000000000003E-3</v>
      </c>
      <c r="RVV371" s="16"/>
      <c r="RVW371" s="320">
        <v>8.6999999999999994E-3</v>
      </c>
      <c r="RVX371" s="153"/>
      <c r="RVY371" s="153"/>
      <c r="RVZ371" s="153"/>
      <c r="RWA371" s="648"/>
      <c r="RWB371" s="641"/>
      <c r="RWC371" s="631" t="s">
        <v>1842</v>
      </c>
      <c r="RWD371" s="632"/>
      <c r="RWE371" s="16"/>
      <c r="RWF371" s="636">
        <v>1.5299999999999999E-2</v>
      </c>
      <c r="RWG371" s="636">
        <v>1.5299999999999999E-2</v>
      </c>
      <c r="RWH371" s="636">
        <v>1.5299999999999999E-2</v>
      </c>
      <c r="RWI371" s="636">
        <v>9.7000000000000003E-3</v>
      </c>
      <c r="RWJ371" s="636">
        <v>9.7000000000000003E-3</v>
      </c>
      <c r="RWK371" s="649">
        <v>9.7000000000000003E-3</v>
      </c>
      <c r="RWL371" s="16"/>
      <c r="RWM371" s="320">
        <v>8.6999999999999994E-3</v>
      </c>
      <c r="RWN371" s="153"/>
      <c r="RWO371" s="153"/>
      <c r="RWP371" s="153"/>
      <c r="RWQ371" s="648"/>
      <c r="RWR371" s="641"/>
      <c r="RWS371" s="631" t="s">
        <v>1842</v>
      </c>
      <c r="RWT371" s="632"/>
      <c r="RWU371" s="16"/>
      <c r="RWV371" s="636">
        <v>1.5299999999999999E-2</v>
      </c>
      <c r="RWW371" s="636">
        <v>1.5299999999999999E-2</v>
      </c>
      <c r="RWX371" s="636">
        <v>1.5299999999999999E-2</v>
      </c>
      <c r="RWY371" s="636">
        <v>9.7000000000000003E-3</v>
      </c>
      <c r="RWZ371" s="636">
        <v>9.7000000000000003E-3</v>
      </c>
      <c r="RXA371" s="649">
        <v>9.7000000000000003E-3</v>
      </c>
      <c r="RXB371" s="16"/>
      <c r="RXC371" s="320">
        <v>8.6999999999999994E-3</v>
      </c>
      <c r="RXD371" s="153"/>
      <c r="RXE371" s="153"/>
      <c r="RXF371" s="153"/>
      <c r="RXG371" s="648"/>
      <c r="RXH371" s="641"/>
      <c r="RXI371" s="631" t="s">
        <v>1842</v>
      </c>
      <c r="RXJ371" s="632"/>
      <c r="RXK371" s="16"/>
      <c r="RXL371" s="636">
        <v>1.5299999999999999E-2</v>
      </c>
      <c r="RXM371" s="636">
        <v>1.5299999999999999E-2</v>
      </c>
      <c r="RXN371" s="636">
        <v>1.5299999999999999E-2</v>
      </c>
      <c r="RXO371" s="636">
        <v>9.7000000000000003E-3</v>
      </c>
      <c r="RXP371" s="636">
        <v>9.7000000000000003E-3</v>
      </c>
      <c r="RXQ371" s="649">
        <v>9.7000000000000003E-3</v>
      </c>
      <c r="RXR371" s="16"/>
      <c r="RXS371" s="320">
        <v>8.6999999999999994E-3</v>
      </c>
      <c r="RXT371" s="153"/>
      <c r="RXU371" s="153"/>
      <c r="RXV371" s="153"/>
      <c r="RXW371" s="648"/>
      <c r="RXX371" s="641"/>
      <c r="RXY371" s="631" t="s">
        <v>1842</v>
      </c>
      <c r="RXZ371" s="632"/>
      <c r="RYA371" s="16"/>
      <c r="RYB371" s="636">
        <v>1.5299999999999999E-2</v>
      </c>
      <c r="RYC371" s="636">
        <v>1.5299999999999999E-2</v>
      </c>
      <c r="RYD371" s="636">
        <v>1.5299999999999999E-2</v>
      </c>
      <c r="RYE371" s="636">
        <v>9.7000000000000003E-3</v>
      </c>
      <c r="RYF371" s="636">
        <v>9.7000000000000003E-3</v>
      </c>
      <c r="RYG371" s="649">
        <v>9.7000000000000003E-3</v>
      </c>
      <c r="RYH371" s="16"/>
      <c r="RYI371" s="320">
        <v>8.6999999999999994E-3</v>
      </c>
      <c r="RYJ371" s="153"/>
      <c r="RYK371" s="153"/>
      <c r="RYL371" s="153"/>
      <c r="RYM371" s="648"/>
      <c r="RYN371" s="641"/>
      <c r="RYO371" s="631" t="s">
        <v>1842</v>
      </c>
      <c r="RYP371" s="632"/>
      <c r="RYQ371" s="16"/>
      <c r="RYR371" s="636">
        <v>1.5299999999999999E-2</v>
      </c>
      <c r="RYS371" s="636">
        <v>1.5299999999999999E-2</v>
      </c>
      <c r="RYT371" s="636">
        <v>1.5299999999999999E-2</v>
      </c>
      <c r="RYU371" s="636">
        <v>9.7000000000000003E-3</v>
      </c>
      <c r="RYV371" s="636">
        <v>9.7000000000000003E-3</v>
      </c>
      <c r="RYW371" s="649">
        <v>9.7000000000000003E-3</v>
      </c>
      <c r="RYX371" s="16"/>
      <c r="RYY371" s="320">
        <v>8.6999999999999994E-3</v>
      </c>
      <c r="RYZ371" s="153"/>
      <c r="RZA371" s="153"/>
      <c r="RZB371" s="153"/>
      <c r="RZC371" s="648"/>
      <c r="RZD371" s="641"/>
      <c r="RZE371" s="631" t="s">
        <v>1842</v>
      </c>
      <c r="RZF371" s="632"/>
      <c r="RZG371" s="16"/>
      <c r="RZH371" s="636">
        <v>1.5299999999999999E-2</v>
      </c>
      <c r="RZI371" s="636">
        <v>1.5299999999999999E-2</v>
      </c>
      <c r="RZJ371" s="636">
        <v>1.5299999999999999E-2</v>
      </c>
      <c r="RZK371" s="636">
        <v>9.7000000000000003E-3</v>
      </c>
      <c r="RZL371" s="636">
        <v>9.7000000000000003E-3</v>
      </c>
      <c r="RZM371" s="649">
        <v>9.7000000000000003E-3</v>
      </c>
      <c r="RZN371" s="16"/>
      <c r="RZO371" s="320">
        <v>8.6999999999999994E-3</v>
      </c>
      <c r="RZP371" s="153"/>
      <c r="RZQ371" s="153"/>
      <c r="RZR371" s="153"/>
      <c r="RZS371" s="648"/>
      <c r="RZT371" s="641"/>
      <c r="RZU371" s="631" t="s">
        <v>1842</v>
      </c>
      <c r="RZV371" s="632"/>
      <c r="RZW371" s="16"/>
      <c r="RZX371" s="636">
        <v>1.5299999999999999E-2</v>
      </c>
      <c r="RZY371" s="636">
        <v>1.5299999999999999E-2</v>
      </c>
      <c r="RZZ371" s="636">
        <v>1.5299999999999999E-2</v>
      </c>
      <c r="SAA371" s="636">
        <v>9.7000000000000003E-3</v>
      </c>
      <c r="SAB371" s="636">
        <v>9.7000000000000003E-3</v>
      </c>
      <c r="SAC371" s="649">
        <v>9.7000000000000003E-3</v>
      </c>
      <c r="SAD371" s="16"/>
      <c r="SAE371" s="320">
        <v>8.6999999999999994E-3</v>
      </c>
      <c r="SAF371" s="153"/>
      <c r="SAG371" s="153"/>
      <c r="SAH371" s="153"/>
      <c r="SAI371" s="648"/>
      <c r="SAJ371" s="641"/>
      <c r="SAK371" s="631" t="s">
        <v>1842</v>
      </c>
      <c r="SAL371" s="632"/>
      <c r="SAM371" s="16"/>
      <c r="SAN371" s="636">
        <v>1.5299999999999999E-2</v>
      </c>
      <c r="SAO371" s="636">
        <v>1.5299999999999999E-2</v>
      </c>
      <c r="SAP371" s="636">
        <v>1.5299999999999999E-2</v>
      </c>
      <c r="SAQ371" s="636">
        <v>9.7000000000000003E-3</v>
      </c>
      <c r="SAR371" s="636">
        <v>9.7000000000000003E-3</v>
      </c>
      <c r="SAS371" s="649">
        <v>9.7000000000000003E-3</v>
      </c>
      <c r="SAT371" s="16"/>
      <c r="SAU371" s="320">
        <v>8.6999999999999994E-3</v>
      </c>
      <c r="SAV371" s="153"/>
      <c r="SAW371" s="153"/>
      <c r="SAX371" s="153"/>
      <c r="SAY371" s="648"/>
      <c r="SAZ371" s="641"/>
      <c r="SBA371" s="631" t="s">
        <v>1842</v>
      </c>
      <c r="SBB371" s="632"/>
      <c r="SBC371" s="16"/>
      <c r="SBD371" s="636">
        <v>1.5299999999999999E-2</v>
      </c>
      <c r="SBE371" s="636">
        <v>1.5299999999999999E-2</v>
      </c>
      <c r="SBF371" s="636">
        <v>1.5299999999999999E-2</v>
      </c>
      <c r="SBG371" s="636">
        <v>9.7000000000000003E-3</v>
      </c>
      <c r="SBH371" s="636">
        <v>9.7000000000000003E-3</v>
      </c>
      <c r="SBI371" s="649">
        <v>9.7000000000000003E-3</v>
      </c>
      <c r="SBJ371" s="16"/>
      <c r="SBK371" s="320">
        <v>8.6999999999999994E-3</v>
      </c>
      <c r="SBL371" s="153"/>
      <c r="SBM371" s="153"/>
      <c r="SBN371" s="153"/>
      <c r="SBO371" s="648"/>
      <c r="SBP371" s="641"/>
      <c r="SBQ371" s="631" t="s">
        <v>1842</v>
      </c>
      <c r="SBR371" s="632"/>
      <c r="SBS371" s="16"/>
      <c r="SBT371" s="636">
        <v>1.5299999999999999E-2</v>
      </c>
      <c r="SBU371" s="636">
        <v>1.5299999999999999E-2</v>
      </c>
      <c r="SBV371" s="636">
        <v>1.5299999999999999E-2</v>
      </c>
      <c r="SBW371" s="636">
        <v>9.7000000000000003E-3</v>
      </c>
      <c r="SBX371" s="636">
        <v>9.7000000000000003E-3</v>
      </c>
      <c r="SBY371" s="649">
        <v>9.7000000000000003E-3</v>
      </c>
      <c r="SBZ371" s="16"/>
      <c r="SCA371" s="320">
        <v>8.6999999999999994E-3</v>
      </c>
      <c r="SCB371" s="153"/>
      <c r="SCC371" s="153"/>
      <c r="SCD371" s="153"/>
      <c r="SCE371" s="648"/>
      <c r="SCF371" s="641"/>
      <c r="SCG371" s="631" t="s">
        <v>1842</v>
      </c>
      <c r="SCH371" s="632"/>
      <c r="SCI371" s="16"/>
      <c r="SCJ371" s="636">
        <v>1.5299999999999999E-2</v>
      </c>
      <c r="SCK371" s="636">
        <v>1.5299999999999999E-2</v>
      </c>
      <c r="SCL371" s="636">
        <v>1.5299999999999999E-2</v>
      </c>
      <c r="SCM371" s="636">
        <v>9.7000000000000003E-3</v>
      </c>
      <c r="SCN371" s="636">
        <v>9.7000000000000003E-3</v>
      </c>
      <c r="SCO371" s="649">
        <v>9.7000000000000003E-3</v>
      </c>
      <c r="SCP371" s="16"/>
      <c r="SCQ371" s="320">
        <v>8.6999999999999994E-3</v>
      </c>
      <c r="SCR371" s="153"/>
      <c r="SCS371" s="153"/>
      <c r="SCT371" s="153"/>
      <c r="SCU371" s="648"/>
      <c r="SCV371" s="641"/>
      <c r="SCW371" s="631" t="s">
        <v>1842</v>
      </c>
      <c r="SCX371" s="632"/>
      <c r="SCY371" s="16"/>
      <c r="SCZ371" s="636">
        <v>1.5299999999999999E-2</v>
      </c>
      <c r="SDA371" s="636">
        <v>1.5299999999999999E-2</v>
      </c>
      <c r="SDB371" s="636">
        <v>1.5299999999999999E-2</v>
      </c>
      <c r="SDC371" s="636">
        <v>9.7000000000000003E-3</v>
      </c>
      <c r="SDD371" s="636">
        <v>9.7000000000000003E-3</v>
      </c>
      <c r="SDE371" s="649">
        <v>9.7000000000000003E-3</v>
      </c>
      <c r="SDF371" s="16"/>
      <c r="SDG371" s="320">
        <v>8.6999999999999994E-3</v>
      </c>
      <c r="SDH371" s="153"/>
      <c r="SDI371" s="153"/>
      <c r="SDJ371" s="153"/>
      <c r="SDK371" s="648"/>
      <c r="SDL371" s="641"/>
      <c r="SDM371" s="631" t="s">
        <v>1842</v>
      </c>
      <c r="SDN371" s="632"/>
      <c r="SDO371" s="16"/>
      <c r="SDP371" s="636">
        <v>1.5299999999999999E-2</v>
      </c>
      <c r="SDQ371" s="636">
        <v>1.5299999999999999E-2</v>
      </c>
      <c r="SDR371" s="636">
        <v>1.5299999999999999E-2</v>
      </c>
      <c r="SDS371" s="636">
        <v>9.7000000000000003E-3</v>
      </c>
      <c r="SDT371" s="636">
        <v>9.7000000000000003E-3</v>
      </c>
      <c r="SDU371" s="649">
        <v>9.7000000000000003E-3</v>
      </c>
      <c r="SDV371" s="16"/>
      <c r="SDW371" s="320">
        <v>8.6999999999999994E-3</v>
      </c>
      <c r="SDX371" s="153"/>
      <c r="SDY371" s="153"/>
      <c r="SDZ371" s="153"/>
      <c r="SEA371" s="648"/>
      <c r="SEB371" s="641"/>
      <c r="SEC371" s="631" t="s">
        <v>1842</v>
      </c>
      <c r="SED371" s="632"/>
      <c r="SEE371" s="16"/>
      <c r="SEF371" s="636">
        <v>1.5299999999999999E-2</v>
      </c>
      <c r="SEG371" s="636">
        <v>1.5299999999999999E-2</v>
      </c>
      <c r="SEH371" s="636">
        <v>1.5299999999999999E-2</v>
      </c>
      <c r="SEI371" s="636">
        <v>9.7000000000000003E-3</v>
      </c>
      <c r="SEJ371" s="636">
        <v>9.7000000000000003E-3</v>
      </c>
      <c r="SEK371" s="649">
        <v>9.7000000000000003E-3</v>
      </c>
      <c r="SEL371" s="16"/>
      <c r="SEM371" s="320">
        <v>8.6999999999999994E-3</v>
      </c>
      <c r="SEN371" s="153"/>
      <c r="SEO371" s="153"/>
      <c r="SEP371" s="153"/>
      <c r="SEQ371" s="648"/>
      <c r="SER371" s="641"/>
      <c r="SES371" s="631" t="s">
        <v>1842</v>
      </c>
      <c r="SET371" s="632"/>
      <c r="SEU371" s="16"/>
      <c r="SEV371" s="636">
        <v>1.5299999999999999E-2</v>
      </c>
      <c r="SEW371" s="636">
        <v>1.5299999999999999E-2</v>
      </c>
      <c r="SEX371" s="636">
        <v>1.5299999999999999E-2</v>
      </c>
      <c r="SEY371" s="636">
        <v>9.7000000000000003E-3</v>
      </c>
      <c r="SEZ371" s="636">
        <v>9.7000000000000003E-3</v>
      </c>
      <c r="SFA371" s="649">
        <v>9.7000000000000003E-3</v>
      </c>
      <c r="SFB371" s="16"/>
      <c r="SFC371" s="320">
        <v>8.6999999999999994E-3</v>
      </c>
      <c r="SFD371" s="153"/>
      <c r="SFE371" s="153"/>
      <c r="SFF371" s="153"/>
      <c r="SFG371" s="648"/>
      <c r="SFH371" s="641"/>
      <c r="SFI371" s="631" t="s">
        <v>1842</v>
      </c>
      <c r="SFJ371" s="632"/>
      <c r="SFK371" s="16"/>
      <c r="SFL371" s="636">
        <v>1.5299999999999999E-2</v>
      </c>
      <c r="SFM371" s="636">
        <v>1.5299999999999999E-2</v>
      </c>
      <c r="SFN371" s="636">
        <v>1.5299999999999999E-2</v>
      </c>
      <c r="SFO371" s="636">
        <v>9.7000000000000003E-3</v>
      </c>
      <c r="SFP371" s="636">
        <v>9.7000000000000003E-3</v>
      </c>
      <c r="SFQ371" s="649">
        <v>9.7000000000000003E-3</v>
      </c>
      <c r="SFR371" s="16"/>
      <c r="SFS371" s="320">
        <v>8.6999999999999994E-3</v>
      </c>
      <c r="SFT371" s="153"/>
      <c r="SFU371" s="153"/>
      <c r="SFV371" s="153"/>
      <c r="SFW371" s="648"/>
      <c r="SFX371" s="641"/>
      <c r="SFY371" s="631" t="s">
        <v>1842</v>
      </c>
      <c r="SFZ371" s="632"/>
      <c r="SGA371" s="16"/>
      <c r="SGB371" s="636">
        <v>1.5299999999999999E-2</v>
      </c>
      <c r="SGC371" s="636">
        <v>1.5299999999999999E-2</v>
      </c>
      <c r="SGD371" s="636">
        <v>1.5299999999999999E-2</v>
      </c>
      <c r="SGE371" s="636">
        <v>9.7000000000000003E-3</v>
      </c>
      <c r="SGF371" s="636">
        <v>9.7000000000000003E-3</v>
      </c>
      <c r="SGG371" s="649">
        <v>9.7000000000000003E-3</v>
      </c>
      <c r="SGH371" s="16"/>
      <c r="SGI371" s="320">
        <v>8.6999999999999994E-3</v>
      </c>
      <c r="SGJ371" s="153"/>
      <c r="SGK371" s="153"/>
      <c r="SGL371" s="153"/>
      <c r="SGM371" s="648"/>
      <c r="SGN371" s="641"/>
      <c r="SGO371" s="631" t="s">
        <v>1842</v>
      </c>
      <c r="SGP371" s="632"/>
      <c r="SGQ371" s="16"/>
      <c r="SGR371" s="636">
        <v>1.5299999999999999E-2</v>
      </c>
      <c r="SGS371" s="636">
        <v>1.5299999999999999E-2</v>
      </c>
      <c r="SGT371" s="636">
        <v>1.5299999999999999E-2</v>
      </c>
      <c r="SGU371" s="636">
        <v>9.7000000000000003E-3</v>
      </c>
      <c r="SGV371" s="636">
        <v>9.7000000000000003E-3</v>
      </c>
      <c r="SGW371" s="649">
        <v>9.7000000000000003E-3</v>
      </c>
      <c r="SGX371" s="16"/>
      <c r="SGY371" s="320">
        <v>8.6999999999999994E-3</v>
      </c>
      <c r="SGZ371" s="153"/>
      <c r="SHA371" s="153"/>
      <c r="SHB371" s="153"/>
      <c r="SHC371" s="648"/>
      <c r="SHD371" s="641"/>
      <c r="SHE371" s="631" t="s">
        <v>1842</v>
      </c>
      <c r="SHF371" s="632"/>
      <c r="SHG371" s="16"/>
      <c r="SHH371" s="636">
        <v>1.5299999999999999E-2</v>
      </c>
      <c r="SHI371" s="636">
        <v>1.5299999999999999E-2</v>
      </c>
      <c r="SHJ371" s="636">
        <v>1.5299999999999999E-2</v>
      </c>
      <c r="SHK371" s="636">
        <v>9.7000000000000003E-3</v>
      </c>
      <c r="SHL371" s="636">
        <v>9.7000000000000003E-3</v>
      </c>
      <c r="SHM371" s="649">
        <v>9.7000000000000003E-3</v>
      </c>
      <c r="SHN371" s="16"/>
      <c r="SHO371" s="320">
        <v>8.6999999999999994E-3</v>
      </c>
      <c r="SHP371" s="153"/>
      <c r="SHQ371" s="153"/>
      <c r="SHR371" s="153"/>
      <c r="SHS371" s="648"/>
      <c r="SHT371" s="641"/>
      <c r="SHU371" s="631" t="s">
        <v>1842</v>
      </c>
      <c r="SHV371" s="632"/>
      <c r="SHW371" s="16"/>
      <c r="SHX371" s="636">
        <v>1.5299999999999999E-2</v>
      </c>
      <c r="SHY371" s="636">
        <v>1.5299999999999999E-2</v>
      </c>
      <c r="SHZ371" s="636">
        <v>1.5299999999999999E-2</v>
      </c>
      <c r="SIA371" s="636">
        <v>9.7000000000000003E-3</v>
      </c>
      <c r="SIB371" s="636">
        <v>9.7000000000000003E-3</v>
      </c>
      <c r="SIC371" s="649">
        <v>9.7000000000000003E-3</v>
      </c>
      <c r="SID371" s="16"/>
      <c r="SIE371" s="320">
        <v>8.6999999999999994E-3</v>
      </c>
      <c r="SIF371" s="153"/>
      <c r="SIG371" s="153"/>
      <c r="SIH371" s="153"/>
      <c r="SII371" s="648"/>
      <c r="SIJ371" s="641"/>
      <c r="SIK371" s="631" t="s">
        <v>1842</v>
      </c>
      <c r="SIL371" s="632"/>
      <c r="SIM371" s="16"/>
      <c r="SIN371" s="636">
        <v>1.5299999999999999E-2</v>
      </c>
      <c r="SIO371" s="636">
        <v>1.5299999999999999E-2</v>
      </c>
      <c r="SIP371" s="636">
        <v>1.5299999999999999E-2</v>
      </c>
      <c r="SIQ371" s="636">
        <v>9.7000000000000003E-3</v>
      </c>
      <c r="SIR371" s="636">
        <v>9.7000000000000003E-3</v>
      </c>
      <c r="SIS371" s="649">
        <v>9.7000000000000003E-3</v>
      </c>
      <c r="SIT371" s="16"/>
      <c r="SIU371" s="320">
        <v>8.6999999999999994E-3</v>
      </c>
      <c r="SIV371" s="153"/>
      <c r="SIW371" s="153"/>
      <c r="SIX371" s="153"/>
      <c r="SIY371" s="648"/>
      <c r="SIZ371" s="641"/>
      <c r="SJA371" s="631" t="s">
        <v>1842</v>
      </c>
      <c r="SJB371" s="632"/>
      <c r="SJC371" s="16"/>
      <c r="SJD371" s="636">
        <v>1.5299999999999999E-2</v>
      </c>
      <c r="SJE371" s="636">
        <v>1.5299999999999999E-2</v>
      </c>
      <c r="SJF371" s="636">
        <v>1.5299999999999999E-2</v>
      </c>
      <c r="SJG371" s="636">
        <v>9.7000000000000003E-3</v>
      </c>
      <c r="SJH371" s="636">
        <v>9.7000000000000003E-3</v>
      </c>
      <c r="SJI371" s="649">
        <v>9.7000000000000003E-3</v>
      </c>
      <c r="SJJ371" s="16"/>
      <c r="SJK371" s="320">
        <v>8.6999999999999994E-3</v>
      </c>
      <c r="SJL371" s="153"/>
      <c r="SJM371" s="153"/>
      <c r="SJN371" s="153"/>
      <c r="SJO371" s="648"/>
      <c r="SJP371" s="641"/>
      <c r="SJQ371" s="631" t="s">
        <v>1842</v>
      </c>
      <c r="SJR371" s="632"/>
      <c r="SJS371" s="16"/>
      <c r="SJT371" s="636">
        <v>1.5299999999999999E-2</v>
      </c>
      <c r="SJU371" s="636">
        <v>1.5299999999999999E-2</v>
      </c>
      <c r="SJV371" s="636">
        <v>1.5299999999999999E-2</v>
      </c>
      <c r="SJW371" s="636">
        <v>9.7000000000000003E-3</v>
      </c>
      <c r="SJX371" s="636">
        <v>9.7000000000000003E-3</v>
      </c>
      <c r="SJY371" s="649">
        <v>9.7000000000000003E-3</v>
      </c>
      <c r="SJZ371" s="16"/>
      <c r="SKA371" s="320">
        <v>8.6999999999999994E-3</v>
      </c>
      <c r="SKB371" s="153"/>
      <c r="SKC371" s="153"/>
      <c r="SKD371" s="153"/>
      <c r="SKE371" s="648"/>
      <c r="SKF371" s="641"/>
      <c r="SKG371" s="631" t="s">
        <v>1842</v>
      </c>
      <c r="SKH371" s="632"/>
      <c r="SKI371" s="16"/>
      <c r="SKJ371" s="636">
        <v>1.5299999999999999E-2</v>
      </c>
      <c r="SKK371" s="636">
        <v>1.5299999999999999E-2</v>
      </c>
      <c r="SKL371" s="636">
        <v>1.5299999999999999E-2</v>
      </c>
      <c r="SKM371" s="636">
        <v>9.7000000000000003E-3</v>
      </c>
      <c r="SKN371" s="636">
        <v>9.7000000000000003E-3</v>
      </c>
      <c r="SKO371" s="649">
        <v>9.7000000000000003E-3</v>
      </c>
      <c r="SKP371" s="16"/>
      <c r="SKQ371" s="320">
        <v>8.6999999999999994E-3</v>
      </c>
      <c r="SKR371" s="153"/>
      <c r="SKS371" s="153"/>
      <c r="SKT371" s="153"/>
      <c r="SKU371" s="648"/>
      <c r="SKV371" s="641"/>
      <c r="SKW371" s="631" t="s">
        <v>1842</v>
      </c>
      <c r="SKX371" s="632"/>
      <c r="SKY371" s="16"/>
      <c r="SKZ371" s="636">
        <v>1.5299999999999999E-2</v>
      </c>
      <c r="SLA371" s="636">
        <v>1.5299999999999999E-2</v>
      </c>
      <c r="SLB371" s="636">
        <v>1.5299999999999999E-2</v>
      </c>
      <c r="SLC371" s="636">
        <v>9.7000000000000003E-3</v>
      </c>
      <c r="SLD371" s="636">
        <v>9.7000000000000003E-3</v>
      </c>
      <c r="SLE371" s="649">
        <v>9.7000000000000003E-3</v>
      </c>
      <c r="SLF371" s="16"/>
      <c r="SLG371" s="320">
        <v>8.6999999999999994E-3</v>
      </c>
      <c r="SLH371" s="153"/>
      <c r="SLI371" s="153"/>
      <c r="SLJ371" s="153"/>
      <c r="SLK371" s="648"/>
      <c r="SLL371" s="641"/>
      <c r="SLM371" s="631" t="s">
        <v>1842</v>
      </c>
      <c r="SLN371" s="632"/>
      <c r="SLO371" s="16"/>
      <c r="SLP371" s="636">
        <v>1.5299999999999999E-2</v>
      </c>
      <c r="SLQ371" s="636">
        <v>1.5299999999999999E-2</v>
      </c>
      <c r="SLR371" s="636">
        <v>1.5299999999999999E-2</v>
      </c>
      <c r="SLS371" s="636">
        <v>9.7000000000000003E-3</v>
      </c>
      <c r="SLT371" s="636">
        <v>9.7000000000000003E-3</v>
      </c>
      <c r="SLU371" s="649">
        <v>9.7000000000000003E-3</v>
      </c>
      <c r="SLV371" s="16"/>
      <c r="SLW371" s="320">
        <v>8.6999999999999994E-3</v>
      </c>
      <c r="SLX371" s="153"/>
      <c r="SLY371" s="153"/>
      <c r="SLZ371" s="153"/>
      <c r="SMA371" s="648"/>
      <c r="SMB371" s="641"/>
      <c r="SMC371" s="631" t="s">
        <v>1842</v>
      </c>
      <c r="SMD371" s="632"/>
      <c r="SME371" s="16"/>
      <c r="SMF371" s="636">
        <v>1.5299999999999999E-2</v>
      </c>
      <c r="SMG371" s="636">
        <v>1.5299999999999999E-2</v>
      </c>
      <c r="SMH371" s="636">
        <v>1.5299999999999999E-2</v>
      </c>
      <c r="SMI371" s="636">
        <v>9.7000000000000003E-3</v>
      </c>
      <c r="SMJ371" s="636">
        <v>9.7000000000000003E-3</v>
      </c>
      <c r="SMK371" s="649">
        <v>9.7000000000000003E-3</v>
      </c>
      <c r="SML371" s="16"/>
      <c r="SMM371" s="320">
        <v>8.6999999999999994E-3</v>
      </c>
      <c r="SMN371" s="153"/>
      <c r="SMO371" s="153"/>
      <c r="SMP371" s="153"/>
      <c r="SMQ371" s="648"/>
      <c r="SMR371" s="641"/>
      <c r="SMS371" s="631" t="s">
        <v>1842</v>
      </c>
      <c r="SMT371" s="632"/>
      <c r="SMU371" s="16"/>
      <c r="SMV371" s="636">
        <v>1.5299999999999999E-2</v>
      </c>
      <c r="SMW371" s="636">
        <v>1.5299999999999999E-2</v>
      </c>
      <c r="SMX371" s="636">
        <v>1.5299999999999999E-2</v>
      </c>
      <c r="SMY371" s="636">
        <v>9.7000000000000003E-3</v>
      </c>
      <c r="SMZ371" s="636">
        <v>9.7000000000000003E-3</v>
      </c>
      <c r="SNA371" s="649">
        <v>9.7000000000000003E-3</v>
      </c>
      <c r="SNB371" s="16"/>
      <c r="SNC371" s="320">
        <v>8.6999999999999994E-3</v>
      </c>
      <c r="SND371" s="153"/>
      <c r="SNE371" s="153"/>
      <c r="SNF371" s="153"/>
      <c r="SNG371" s="648"/>
      <c r="SNH371" s="641"/>
      <c r="SNI371" s="631" t="s">
        <v>1842</v>
      </c>
      <c r="SNJ371" s="632"/>
      <c r="SNK371" s="16"/>
      <c r="SNL371" s="636">
        <v>1.5299999999999999E-2</v>
      </c>
      <c r="SNM371" s="636">
        <v>1.5299999999999999E-2</v>
      </c>
      <c r="SNN371" s="636">
        <v>1.5299999999999999E-2</v>
      </c>
      <c r="SNO371" s="636">
        <v>9.7000000000000003E-3</v>
      </c>
      <c r="SNP371" s="636">
        <v>9.7000000000000003E-3</v>
      </c>
      <c r="SNQ371" s="649">
        <v>9.7000000000000003E-3</v>
      </c>
      <c r="SNR371" s="16"/>
      <c r="SNS371" s="320">
        <v>8.6999999999999994E-3</v>
      </c>
      <c r="SNT371" s="153"/>
      <c r="SNU371" s="153"/>
      <c r="SNV371" s="153"/>
      <c r="SNW371" s="648"/>
      <c r="SNX371" s="641"/>
      <c r="SNY371" s="631" t="s">
        <v>1842</v>
      </c>
      <c r="SNZ371" s="632"/>
      <c r="SOA371" s="16"/>
      <c r="SOB371" s="636">
        <v>1.5299999999999999E-2</v>
      </c>
      <c r="SOC371" s="636">
        <v>1.5299999999999999E-2</v>
      </c>
      <c r="SOD371" s="636">
        <v>1.5299999999999999E-2</v>
      </c>
      <c r="SOE371" s="636">
        <v>9.7000000000000003E-3</v>
      </c>
      <c r="SOF371" s="636">
        <v>9.7000000000000003E-3</v>
      </c>
      <c r="SOG371" s="649">
        <v>9.7000000000000003E-3</v>
      </c>
      <c r="SOH371" s="16"/>
      <c r="SOI371" s="320">
        <v>8.6999999999999994E-3</v>
      </c>
      <c r="SOJ371" s="153"/>
      <c r="SOK371" s="153"/>
      <c r="SOL371" s="153"/>
      <c r="SOM371" s="648"/>
      <c r="SON371" s="641"/>
      <c r="SOO371" s="631" t="s">
        <v>1842</v>
      </c>
      <c r="SOP371" s="632"/>
      <c r="SOQ371" s="16"/>
      <c r="SOR371" s="636">
        <v>1.5299999999999999E-2</v>
      </c>
      <c r="SOS371" s="636">
        <v>1.5299999999999999E-2</v>
      </c>
      <c r="SOT371" s="636">
        <v>1.5299999999999999E-2</v>
      </c>
      <c r="SOU371" s="636">
        <v>9.7000000000000003E-3</v>
      </c>
      <c r="SOV371" s="636">
        <v>9.7000000000000003E-3</v>
      </c>
      <c r="SOW371" s="649">
        <v>9.7000000000000003E-3</v>
      </c>
      <c r="SOX371" s="16"/>
      <c r="SOY371" s="320">
        <v>8.6999999999999994E-3</v>
      </c>
      <c r="SOZ371" s="153"/>
      <c r="SPA371" s="153"/>
      <c r="SPB371" s="153"/>
      <c r="SPC371" s="648"/>
      <c r="SPD371" s="641"/>
      <c r="SPE371" s="631" t="s">
        <v>1842</v>
      </c>
      <c r="SPF371" s="632"/>
      <c r="SPG371" s="16"/>
      <c r="SPH371" s="636">
        <v>1.5299999999999999E-2</v>
      </c>
      <c r="SPI371" s="636">
        <v>1.5299999999999999E-2</v>
      </c>
      <c r="SPJ371" s="636">
        <v>1.5299999999999999E-2</v>
      </c>
      <c r="SPK371" s="636">
        <v>9.7000000000000003E-3</v>
      </c>
      <c r="SPL371" s="636">
        <v>9.7000000000000003E-3</v>
      </c>
      <c r="SPM371" s="649">
        <v>9.7000000000000003E-3</v>
      </c>
      <c r="SPN371" s="16"/>
      <c r="SPO371" s="320">
        <v>8.6999999999999994E-3</v>
      </c>
      <c r="SPP371" s="153"/>
      <c r="SPQ371" s="153"/>
      <c r="SPR371" s="153"/>
      <c r="SPS371" s="648"/>
      <c r="SPT371" s="641"/>
      <c r="SPU371" s="631" t="s">
        <v>1842</v>
      </c>
      <c r="SPV371" s="632"/>
      <c r="SPW371" s="16"/>
      <c r="SPX371" s="636">
        <v>1.5299999999999999E-2</v>
      </c>
      <c r="SPY371" s="636">
        <v>1.5299999999999999E-2</v>
      </c>
      <c r="SPZ371" s="636">
        <v>1.5299999999999999E-2</v>
      </c>
      <c r="SQA371" s="636">
        <v>9.7000000000000003E-3</v>
      </c>
      <c r="SQB371" s="636">
        <v>9.7000000000000003E-3</v>
      </c>
      <c r="SQC371" s="649">
        <v>9.7000000000000003E-3</v>
      </c>
      <c r="SQD371" s="16"/>
      <c r="SQE371" s="320">
        <v>8.6999999999999994E-3</v>
      </c>
      <c r="SQF371" s="153"/>
      <c r="SQG371" s="153"/>
      <c r="SQH371" s="153"/>
      <c r="SQI371" s="648"/>
      <c r="SQJ371" s="641"/>
      <c r="SQK371" s="631" t="s">
        <v>1842</v>
      </c>
      <c r="SQL371" s="632"/>
      <c r="SQM371" s="16"/>
      <c r="SQN371" s="636">
        <v>1.5299999999999999E-2</v>
      </c>
      <c r="SQO371" s="636">
        <v>1.5299999999999999E-2</v>
      </c>
      <c r="SQP371" s="636">
        <v>1.5299999999999999E-2</v>
      </c>
      <c r="SQQ371" s="636">
        <v>9.7000000000000003E-3</v>
      </c>
      <c r="SQR371" s="636">
        <v>9.7000000000000003E-3</v>
      </c>
      <c r="SQS371" s="649">
        <v>9.7000000000000003E-3</v>
      </c>
      <c r="SQT371" s="16"/>
      <c r="SQU371" s="320">
        <v>8.6999999999999994E-3</v>
      </c>
      <c r="SQV371" s="153"/>
      <c r="SQW371" s="153"/>
      <c r="SQX371" s="153"/>
      <c r="SQY371" s="648"/>
      <c r="SQZ371" s="641"/>
      <c r="SRA371" s="631" t="s">
        <v>1842</v>
      </c>
      <c r="SRB371" s="632"/>
      <c r="SRC371" s="16"/>
      <c r="SRD371" s="636">
        <v>1.5299999999999999E-2</v>
      </c>
      <c r="SRE371" s="636">
        <v>1.5299999999999999E-2</v>
      </c>
      <c r="SRF371" s="636">
        <v>1.5299999999999999E-2</v>
      </c>
      <c r="SRG371" s="636">
        <v>9.7000000000000003E-3</v>
      </c>
      <c r="SRH371" s="636">
        <v>9.7000000000000003E-3</v>
      </c>
      <c r="SRI371" s="649">
        <v>9.7000000000000003E-3</v>
      </c>
      <c r="SRJ371" s="16"/>
      <c r="SRK371" s="320">
        <v>8.6999999999999994E-3</v>
      </c>
      <c r="SRL371" s="153"/>
      <c r="SRM371" s="153"/>
      <c r="SRN371" s="153"/>
      <c r="SRO371" s="648"/>
      <c r="SRP371" s="641"/>
      <c r="SRQ371" s="631" t="s">
        <v>1842</v>
      </c>
      <c r="SRR371" s="632"/>
      <c r="SRS371" s="16"/>
      <c r="SRT371" s="636">
        <v>1.5299999999999999E-2</v>
      </c>
      <c r="SRU371" s="636">
        <v>1.5299999999999999E-2</v>
      </c>
      <c r="SRV371" s="636">
        <v>1.5299999999999999E-2</v>
      </c>
      <c r="SRW371" s="636">
        <v>9.7000000000000003E-3</v>
      </c>
      <c r="SRX371" s="636">
        <v>9.7000000000000003E-3</v>
      </c>
      <c r="SRY371" s="649">
        <v>9.7000000000000003E-3</v>
      </c>
      <c r="SRZ371" s="16"/>
      <c r="SSA371" s="320">
        <v>8.6999999999999994E-3</v>
      </c>
      <c r="SSB371" s="153"/>
      <c r="SSC371" s="153"/>
      <c r="SSD371" s="153"/>
      <c r="SSE371" s="648"/>
      <c r="SSF371" s="641"/>
      <c r="SSG371" s="631" t="s">
        <v>1842</v>
      </c>
      <c r="SSH371" s="632"/>
      <c r="SSI371" s="16"/>
      <c r="SSJ371" s="636">
        <v>1.5299999999999999E-2</v>
      </c>
      <c r="SSK371" s="636">
        <v>1.5299999999999999E-2</v>
      </c>
      <c r="SSL371" s="636">
        <v>1.5299999999999999E-2</v>
      </c>
      <c r="SSM371" s="636">
        <v>9.7000000000000003E-3</v>
      </c>
      <c r="SSN371" s="636">
        <v>9.7000000000000003E-3</v>
      </c>
      <c r="SSO371" s="649">
        <v>9.7000000000000003E-3</v>
      </c>
      <c r="SSP371" s="16"/>
      <c r="SSQ371" s="320">
        <v>8.6999999999999994E-3</v>
      </c>
      <c r="SSR371" s="153"/>
      <c r="SSS371" s="153"/>
      <c r="SST371" s="153"/>
      <c r="SSU371" s="648"/>
      <c r="SSV371" s="641"/>
      <c r="SSW371" s="631" t="s">
        <v>1842</v>
      </c>
      <c r="SSX371" s="632"/>
      <c r="SSY371" s="16"/>
      <c r="SSZ371" s="636">
        <v>1.5299999999999999E-2</v>
      </c>
      <c r="STA371" s="636">
        <v>1.5299999999999999E-2</v>
      </c>
      <c r="STB371" s="636">
        <v>1.5299999999999999E-2</v>
      </c>
      <c r="STC371" s="636">
        <v>9.7000000000000003E-3</v>
      </c>
      <c r="STD371" s="636">
        <v>9.7000000000000003E-3</v>
      </c>
      <c r="STE371" s="649">
        <v>9.7000000000000003E-3</v>
      </c>
      <c r="STF371" s="16"/>
      <c r="STG371" s="320">
        <v>8.6999999999999994E-3</v>
      </c>
      <c r="STH371" s="153"/>
      <c r="STI371" s="153"/>
      <c r="STJ371" s="153"/>
      <c r="STK371" s="648"/>
      <c r="STL371" s="641"/>
      <c r="STM371" s="631" t="s">
        <v>1842</v>
      </c>
      <c r="STN371" s="632"/>
      <c r="STO371" s="16"/>
      <c r="STP371" s="636">
        <v>1.5299999999999999E-2</v>
      </c>
      <c r="STQ371" s="636">
        <v>1.5299999999999999E-2</v>
      </c>
      <c r="STR371" s="636">
        <v>1.5299999999999999E-2</v>
      </c>
      <c r="STS371" s="636">
        <v>9.7000000000000003E-3</v>
      </c>
      <c r="STT371" s="636">
        <v>9.7000000000000003E-3</v>
      </c>
      <c r="STU371" s="649">
        <v>9.7000000000000003E-3</v>
      </c>
      <c r="STV371" s="16"/>
      <c r="STW371" s="320">
        <v>8.6999999999999994E-3</v>
      </c>
      <c r="STX371" s="153"/>
      <c r="STY371" s="153"/>
      <c r="STZ371" s="153"/>
      <c r="SUA371" s="648"/>
      <c r="SUB371" s="641"/>
    </row>
    <row r="372" spans="1:13392" s="57" customFormat="1" ht="18" customHeight="1" thickBot="1">
      <c r="A372" s="638"/>
      <c r="B372" s="639"/>
      <c r="C372" s="153"/>
      <c r="D372" s="153"/>
      <c r="E372" s="153"/>
      <c r="F372" s="153"/>
      <c r="G372" s="153"/>
      <c r="H372" s="153"/>
      <c r="I372" s="153"/>
      <c r="J372" s="153"/>
      <c r="K372" s="153"/>
      <c r="L372" s="153"/>
      <c r="M372" s="153"/>
      <c r="N372" s="153"/>
      <c r="O372" s="650"/>
      <c r="P372" s="641"/>
      <c r="Q372" s="693"/>
      <c r="R372" s="694"/>
      <c r="S372" s="687"/>
      <c r="T372" s="687"/>
      <c r="U372" s="687"/>
      <c r="V372" s="687"/>
      <c r="W372" s="687"/>
      <c r="X372" s="687"/>
      <c r="Y372" s="687"/>
      <c r="Z372" s="687"/>
      <c r="AA372" s="687"/>
      <c r="AB372" s="687"/>
      <c r="AC372" s="687"/>
      <c r="AD372" s="687"/>
      <c r="AE372" s="705"/>
      <c r="AF372" s="692"/>
      <c r="AG372" s="638"/>
      <c r="AH372" s="639"/>
      <c r="AI372" s="153"/>
      <c r="AJ372" s="153"/>
      <c r="AK372" s="153"/>
      <c r="AL372" s="153"/>
      <c r="AM372" s="153"/>
      <c r="AN372" s="153"/>
      <c r="AO372" s="153"/>
      <c r="AP372" s="153"/>
      <c r="AQ372" s="153"/>
      <c r="AR372" s="153"/>
      <c r="AS372" s="153"/>
      <c r="AT372" s="153"/>
      <c r="AU372" s="650"/>
      <c r="AV372" s="641"/>
      <c r="AW372" s="638"/>
      <c r="AX372" s="639"/>
      <c r="AY372" s="153"/>
      <c r="AZ372" s="153"/>
      <c r="BA372" s="153"/>
      <c r="BB372" s="153"/>
      <c r="BC372" s="153"/>
      <c r="BD372" s="153"/>
      <c r="BE372" s="153"/>
      <c r="BF372" s="153"/>
      <c r="BG372" s="153"/>
      <c r="BH372" s="153"/>
      <c r="BI372" s="153"/>
      <c r="BJ372" s="153"/>
      <c r="BK372" s="650"/>
      <c r="BL372" s="641"/>
      <c r="BM372" s="638"/>
      <c r="BN372" s="639"/>
      <c r="BO372" s="153"/>
      <c r="BP372" s="153"/>
      <c r="BQ372" s="153"/>
      <c r="BR372" s="153"/>
      <c r="BS372" s="153"/>
      <c r="BT372" s="153"/>
      <c r="BU372" s="153"/>
      <c r="BV372" s="153"/>
      <c r="BW372" s="153"/>
      <c r="BX372" s="153"/>
      <c r="BY372" s="153"/>
      <c r="BZ372" s="153"/>
      <c r="CA372" s="650"/>
      <c r="CB372" s="641"/>
      <c r="CC372" s="638"/>
      <c r="CD372" s="639"/>
      <c r="CE372" s="153"/>
      <c r="CF372" s="153"/>
      <c r="CG372" s="153"/>
      <c r="CH372" s="153"/>
      <c r="CI372" s="153"/>
      <c r="CJ372" s="153"/>
      <c r="CK372" s="153"/>
      <c r="CL372" s="153"/>
      <c r="CM372" s="153"/>
      <c r="CN372" s="153"/>
      <c r="CO372" s="153"/>
      <c r="CP372" s="153"/>
      <c r="CQ372" s="650"/>
      <c r="CR372" s="641"/>
      <c r="CS372" s="638"/>
      <c r="CT372" s="639"/>
      <c r="CU372" s="153"/>
      <c r="CV372" s="153"/>
      <c r="CW372" s="153"/>
      <c r="CX372" s="153"/>
      <c r="CY372" s="153"/>
      <c r="CZ372" s="153"/>
      <c r="DA372" s="153"/>
      <c r="DB372" s="153"/>
      <c r="DC372" s="153"/>
      <c r="DD372" s="153"/>
      <c r="DE372" s="153"/>
      <c r="DF372" s="153"/>
      <c r="DG372" s="650"/>
      <c r="DH372" s="641"/>
      <c r="DI372" s="638"/>
      <c r="DJ372" s="639"/>
      <c r="DK372" s="153"/>
      <c r="DL372" s="153"/>
      <c r="DM372" s="153"/>
      <c r="DN372" s="153"/>
      <c r="DO372" s="153"/>
      <c r="DP372" s="153"/>
      <c r="DQ372" s="153"/>
      <c r="DR372" s="153"/>
      <c r="DS372" s="153"/>
      <c r="DT372" s="153"/>
      <c r="DU372" s="153"/>
      <c r="DV372" s="153"/>
      <c r="DW372" s="650"/>
      <c r="DX372" s="641"/>
      <c r="DY372" s="638"/>
      <c r="DZ372" s="639"/>
      <c r="EA372" s="153"/>
      <c r="EB372" s="153"/>
      <c r="EC372" s="153"/>
      <c r="ED372" s="153"/>
      <c r="EE372" s="153"/>
      <c r="EF372" s="153"/>
      <c r="EG372" s="153"/>
      <c r="EH372" s="153"/>
      <c r="EI372" s="153"/>
      <c r="EJ372" s="153"/>
      <c r="EK372" s="153"/>
      <c r="EL372" s="153"/>
      <c r="EM372" s="650"/>
      <c r="EN372" s="641"/>
      <c r="EO372" s="638"/>
      <c r="EP372" s="639"/>
      <c r="EQ372" s="153"/>
      <c r="ER372" s="153"/>
      <c r="ES372" s="153"/>
      <c r="ET372" s="153"/>
      <c r="EU372" s="153"/>
      <c r="EV372" s="153"/>
      <c r="EW372" s="153"/>
      <c r="EX372" s="153"/>
      <c r="EY372" s="153"/>
      <c r="EZ372" s="153"/>
      <c r="FA372" s="153"/>
      <c r="FB372" s="153"/>
      <c r="FC372" s="650"/>
      <c r="FD372" s="641"/>
      <c r="FE372" s="638"/>
      <c r="FF372" s="639"/>
      <c r="FG372" s="153"/>
      <c r="FH372" s="153"/>
      <c r="FI372" s="153"/>
      <c r="FJ372" s="153"/>
      <c r="FK372" s="153"/>
      <c r="FL372" s="153"/>
      <c r="FM372" s="153"/>
      <c r="FN372" s="153"/>
      <c r="FO372" s="153"/>
      <c r="FP372" s="153"/>
      <c r="FQ372" s="153"/>
      <c r="FR372" s="153"/>
      <c r="FS372" s="650"/>
      <c r="FT372" s="641"/>
      <c r="FU372" s="638"/>
      <c r="FV372" s="639"/>
      <c r="FW372" s="153"/>
      <c r="FX372" s="153"/>
      <c r="FY372" s="153"/>
      <c r="FZ372" s="153"/>
      <c r="GA372" s="153"/>
      <c r="GB372" s="153"/>
      <c r="GC372" s="153"/>
      <c r="GD372" s="153"/>
      <c r="GE372" s="153"/>
      <c r="GF372" s="153"/>
      <c r="GG372" s="153"/>
      <c r="GH372" s="153"/>
      <c r="GI372" s="650"/>
      <c r="GJ372" s="641"/>
      <c r="GK372" s="638"/>
      <c r="GL372" s="639"/>
      <c r="GM372" s="153"/>
      <c r="GN372" s="153"/>
      <c r="GO372" s="153"/>
      <c r="GP372" s="153"/>
      <c r="GQ372" s="153"/>
      <c r="GR372" s="153"/>
      <c r="GS372" s="153"/>
      <c r="GT372" s="153"/>
      <c r="GU372" s="153"/>
      <c r="GV372" s="153"/>
      <c r="GW372" s="153"/>
      <c r="GX372" s="153"/>
      <c r="GY372" s="650"/>
      <c r="GZ372" s="641"/>
      <c r="HA372" s="638"/>
      <c r="HB372" s="639"/>
      <c r="HC372" s="153"/>
      <c r="HD372" s="153"/>
      <c r="HE372" s="153"/>
      <c r="HF372" s="153"/>
      <c r="HG372" s="153"/>
      <c r="HH372" s="153"/>
      <c r="HI372" s="153"/>
      <c r="HJ372" s="153"/>
      <c r="HK372" s="153"/>
      <c r="HL372" s="153"/>
      <c r="HM372" s="153"/>
      <c r="HN372" s="153"/>
      <c r="HO372" s="650"/>
      <c r="HP372" s="641"/>
      <c r="HQ372" s="638"/>
      <c r="HR372" s="639"/>
      <c r="HS372" s="153"/>
      <c r="HT372" s="153"/>
      <c r="HU372" s="153"/>
      <c r="HV372" s="153"/>
      <c r="HW372" s="153"/>
      <c r="HX372" s="153"/>
      <c r="HY372" s="153"/>
      <c r="HZ372" s="153"/>
      <c r="IA372" s="153"/>
      <c r="IB372" s="153"/>
      <c r="IC372" s="153"/>
      <c r="ID372" s="153"/>
      <c r="IE372" s="650"/>
      <c r="IF372" s="641"/>
      <c r="IG372" s="638"/>
      <c r="IH372" s="639"/>
      <c r="II372" s="153"/>
      <c r="IJ372" s="153"/>
      <c r="IK372" s="153"/>
      <c r="IL372" s="153"/>
      <c r="IM372" s="153"/>
      <c r="IN372" s="153"/>
      <c r="IO372" s="153"/>
      <c r="IP372" s="153"/>
      <c r="IQ372" s="153"/>
      <c r="IR372" s="153"/>
      <c r="IS372" s="153"/>
      <c r="IT372" s="153"/>
      <c r="IU372" s="650"/>
      <c r="IV372" s="641"/>
      <c r="IW372" s="638"/>
      <c r="IX372" s="639"/>
      <c r="IY372" s="153"/>
      <c r="IZ372" s="153"/>
      <c r="JA372" s="153"/>
      <c r="JB372" s="153"/>
      <c r="JC372" s="153"/>
      <c r="JD372" s="153"/>
      <c r="JE372" s="153"/>
      <c r="JF372" s="153"/>
      <c r="JG372" s="153"/>
      <c r="JH372" s="153"/>
      <c r="JI372" s="153"/>
      <c r="JJ372" s="153"/>
      <c r="JK372" s="650"/>
      <c r="JL372" s="641"/>
      <c r="JM372" s="638"/>
      <c r="JN372" s="639"/>
      <c r="JO372" s="153"/>
      <c r="JP372" s="153"/>
      <c r="JQ372" s="153"/>
      <c r="JR372" s="153"/>
      <c r="JS372" s="153"/>
      <c r="JT372" s="153"/>
      <c r="JU372" s="153"/>
      <c r="JV372" s="153"/>
      <c r="JW372" s="153"/>
      <c r="JX372" s="153"/>
      <c r="JY372" s="153"/>
      <c r="JZ372" s="153"/>
      <c r="KA372" s="650"/>
      <c r="KB372" s="641"/>
      <c r="KC372" s="638"/>
      <c r="KD372" s="639"/>
      <c r="KE372" s="153"/>
      <c r="KF372" s="153"/>
      <c r="KG372" s="153"/>
      <c r="KH372" s="153"/>
      <c r="KI372" s="153"/>
      <c r="KJ372" s="153"/>
      <c r="KK372" s="153"/>
      <c r="KL372" s="153"/>
      <c r="KM372" s="153"/>
      <c r="KN372" s="153"/>
      <c r="KO372" s="153"/>
      <c r="KP372" s="153"/>
      <c r="KQ372" s="650"/>
      <c r="KR372" s="641"/>
      <c r="KS372" s="638"/>
      <c r="KT372" s="639"/>
      <c r="KU372" s="153"/>
      <c r="KV372" s="153"/>
      <c r="KW372" s="153"/>
      <c r="KX372" s="153"/>
      <c r="KY372" s="153"/>
      <c r="KZ372" s="153"/>
      <c r="LA372" s="153"/>
      <c r="LB372" s="153"/>
      <c r="LC372" s="153"/>
      <c r="LD372" s="153"/>
      <c r="LE372" s="153"/>
      <c r="LF372" s="153"/>
      <c r="LG372" s="650"/>
      <c r="LH372" s="641"/>
      <c r="LI372" s="638"/>
      <c r="LJ372" s="639"/>
      <c r="LK372" s="153"/>
      <c r="LL372" s="153"/>
      <c r="LM372" s="153"/>
      <c r="LN372" s="153"/>
      <c r="LO372" s="153"/>
      <c r="LP372" s="153"/>
      <c r="LQ372" s="153"/>
      <c r="LR372" s="153"/>
      <c r="LS372" s="153"/>
      <c r="LT372" s="153"/>
      <c r="LU372" s="153"/>
      <c r="LV372" s="153"/>
      <c r="LW372" s="650"/>
      <c r="LX372" s="641"/>
      <c r="LY372" s="638"/>
      <c r="LZ372" s="639"/>
      <c r="MA372" s="153"/>
      <c r="MB372" s="153"/>
      <c r="MC372" s="153"/>
      <c r="MD372" s="153"/>
      <c r="ME372" s="153"/>
      <c r="MF372" s="153"/>
      <c r="MG372" s="153"/>
      <c r="MH372" s="153"/>
      <c r="MI372" s="153"/>
      <c r="MJ372" s="153"/>
      <c r="MK372" s="153"/>
      <c r="ML372" s="153"/>
      <c r="MM372" s="650"/>
      <c r="MN372" s="641"/>
      <c r="MO372" s="638"/>
      <c r="MP372" s="639"/>
      <c r="MQ372" s="153"/>
      <c r="MR372" s="153"/>
      <c r="MS372" s="153"/>
      <c r="MT372" s="153"/>
      <c r="MU372" s="153"/>
      <c r="MV372" s="153"/>
      <c r="MW372" s="153"/>
      <c r="MX372" s="153"/>
      <c r="MY372" s="153"/>
      <c r="MZ372" s="153"/>
      <c r="NA372" s="153"/>
      <c r="NB372" s="153"/>
      <c r="NC372" s="650"/>
      <c r="ND372" s="641"/>
      <c r="NE372" s="638"/>
      <c r="NF372" s="639"/>
      <c r="NG372" s="153"/>
      <c r="NH372" s="153"/>
      <c r="NI372" s="153"/>
      <c r="NJ372" s="153"/>
      <c r="NK372" s="153"/>
      <c r="NL372" s="153"/>
      <c r="NM372" s="153"/>
      <c r="NN372" s="153"/>
      <c r="NO372" s="153"/>
      <c r="NP372" s="153"/>
      <c r="NQ372" s="153"/>
      <c r="NR372" s="153"/>
      <c r="NS372" s="650"/>
      <c r="NT372" s="641"/>
      <c r="NU372" s="638"/>
      <c r="NV372" s="639"/>
      <c r="NW372" s="153"/>
      <c r="NX372" s="153"/>
      <c r="NY372" s="153"/>
      <c r="NZ372" s="153"/>
      <c r="OA372" s="153"/>
      <c r="OB372" s="153"/>
      <c r="OC372" s="153"/>
      <c r="OD372" s="153"/>
      <c r="OE372" s="153"/>
      <c r="OF372" s="153"/>
      <c r="OG372" s="153"/>
      <c r="OH372" s="153"/>
      <c r="OI372" s="650"/>
      <c r="OJ372" s="641"/>
      <c r="OK372" s="638"/>
      <c r="OL372" s="639"/>
      <c r="OM372" s="153"/>
      <c r="ON372" s="153"/>
      <c r="OO372" s="153"/>
      <c r="OP372" s="153"/>
      <c r="OQ372" s="153"/>
      <c r="OR372" s="153"/>
      <c r="OS372" s="153"/>
      <c r="OT372" s="153"/>
      <c r="OU372" s="153"/>
      <c r="OV372" s="153"/>
      <c r="OW372" s="153"/>
      <c r="OX372" s="153"/>
      <c r="OY372" s="650"/>
      <c r="OZ372" s="641"/>
      <c r="PA372" s="638"/>
      <c r="PB372" s="639"/>
      <c r="PC372" s="153"/>
      <c r="PD372" s="153"/>
      <c r="PE372" s="153"/>
      <c r="PF372" s="153"/>
      <c r="PG372" s="153"/>
      <c r="PH372" s="153"/>
      <c r="PI372" s="153"/>
      <c r="PJ372" s="153"/>
      <c r="PK372" s="153"/>
      <c r="PL372" s="153"/>
      <c r="PM372" s="153"/>
      <c r="PN372" s="153"/>
      <c r="PO372" s="650"/>
      <c r="PP372" s="641"/>
      <c r="PQ372" s="638"/>
      <c r="PR372" s="639"/>
      <c r="PS372" s="153"/>
      <c r="PT372" s="153"/>
      <c r="PU372" s="153"/>
      <c r="PV372" s="153"/>
      <c r="PW372" s="153"/>
      <c r="PX372" s="153"/>
      <c r="PY372" s="153"/>
      <c r="PZ372" s="153"/>
      <c r="QA372" s="153"/>
      <c r="QB372" s="153"/>
      <c r="QC372" s="153"/>
      <c r="QD372" s="153"/>
      <c r="QE372" s="650"/>
      <c r="QF372" s="641"/>
      <c r="QG372" s="638"/>
      <c r="QH372" s="639"/>
      <c r="QI372" s="153"/>
      <c r="QJ372" s="153"/>
      <c r="QK372" s="153"/>
      <c r="QL372" s="153"/>
      <c r="QM372" s="153"/>
      <c r="QN372" s="153"/>
      <c r="QO372" s="153"/>
      <c r="QP372" s="153"/>
      <c r="QQ372" s="153"/>
      <c r="QR372" s="153"/>
      <c r="QS372" s="153"/>
      <c r="QT372" s="153"/>
      <c r="QU372" s="650"/>
      <c r="QV372" s="641"/>
      <c r="QW372" s="638"/>
      <c r="QX372" s="639"/>
      <c r="QY372" s="153"/>
      <c r="QZ372" s="153"/>
      <c r="RA372" s="153"/>
      <c r="RB372" s="153"/>
      <c r="RC372" s="153"/>
      <c r="RD372" s="153"/>
      <c r="RE372" s="153"/>
      <c r="RF372" s="153"/>
      <c r="RG372" s="153"/>
      <c r="RH372" s="153"/>
      <c r="RI372" s="153"/>
      <c r="RJ372" s="153"/>
      <c r="RK372" s="650"/>
      <c r="RL372" s="641"/>
      <c r="RM372" s="638"/>
      <c r="RN372" s="639"/>
      <c r="RO372" s="153"/>
      <c r="RP372" s="153"/>
      <c r="RQ372" s="153"/>
      <c r="RR372" s="153"/>
      <c r="RS372" s="153"/>
      <c r="RT372" s="153"/>
      <c r="RU372" s="153"/>
      <c r="RV372" s="153"/>
      <c r="RW372" s="153"/>
      <c r="RX372" s="153"/>
      <c r="RY372" s="153"/>
      <c r="RZ372" s="153"/>
      <c r="SA372" s="650"/>
      <c r="SB372" s="641"/>
      <c r="SC372" s="638"/>
      <c r="SD372" s="639"/>
      <c r="SE372" s="153"/>
      <c r="SF372" s="153"/>
      <c r="SG372" s="153"/>
      <c r="SH372" s="153"/>
      <c r="SI372" s="153"/>
      <c r="SJ372" s="153"/>
      <c r="SK372" s="153"/>
      <c r="SL372" s="153"/>
      <c r="SM372" s="153"/>
      <c r="SN372" s="153"/>
      <c r="SO372" s="153"/>
      <c r="SP372" s="153"/>
      <c r="SQ372" s="650"/>
      <c r="SR372" s="641"/>
      <c r="SS372" s="638"/>
      <c r="ST372" s="639"/>
      <c r="SU372" s="153"/>
      <c r="SV372" s="153"/>
      <c r="SW372" s="153"/>
      <c r="SX372" s="153"/>
      <c r="SY372" s="153"/>
      <c r="SZ372" s="153"/>
      <c r="TA372" s="153"/>
      <c r="TB372" s="153"/>
      <c r="TC372" s="153"/>
      <c r="TD372" s="153"/>
      <c r="TE372" s="153"/>
      <c r="TF372" s="153"/>
      <c r="TG372" s="650"/>
      <c r="TH372" s="641"/>
      <c r="TI372" s="638"/>
      <c r="TJ372" s="639"/>
      <c r="TK372" s="153"/>
      <c r="TL372" s="153"/>
      <c r="TM372" s="153"/>
      <c r="TN372" s="153"/>
      <c r="TO372" s="153"/>
      <c r="TP372" s="153"/>
      <c r="TQ372" s="153"/>
      <c r="TR372" s="153"/>
      <c r="TS372" s="153"/>
      <c r="TT372" s="153"/>
      <c r="TU372" s="153"/>
      <c r="TV372" s="153"/>
      <c r="TW372" s="650"/>
      <c r="TX372" s="641"/>
      <c r="TY372" s="638"/>
      <c r="TZ372" s="639"/>
      <c r="UA372" s="153"/>
      <c r="UB372" s="153"/>
      <c r="UC372" s="153"/>
      <c r="UD372" s="153"/>
      <c r="UE372" s="153"/>
      <c r="UF372" s="153"/>
      <c r="UG372" s="153"/>
      <c r="UH372" s="153"/>
      <c r="UI372" s="153"/>
      <c r="UJ372" s="153"/>
      <c r="UK372" s="153"/>
      <c r="UL372" s="153"/>
      <c r="UM372" s="650"/>
      <c r="UN372" s="641"/>
      <c r="UO372" s="638"/>
      <c r="UP372" s="639"/>
      <c r="UQ372" s="153"/>
      <c r="UR372" s="153"/>
      <c r="US372" s="153"/>
      <c r="UT372" s="153"/>
      <c r="UU372" s="153"/>
      <c r="UV372" s="153"/>
      <c r="UW372" s="153"/>
      <c r="UX372" s="153"/>
      <c r="UY372" s="153"/>
      <c r="UZ372" s="153"/>
      <c r="VA372" s="153"/>
      <c r="VB372" s="153"/>
      <c r="VC372" s="650"/>
      <c r="VD372" s="641"/>
      <c r="VE372" s="638"/>
      <c r="VF372" s="639"/>
      <c r="VG372" s="153"/>
      <c r="VH372" s="153"/>
      <c r="VI372" s="153"/>
      <c r="VJ372" s="153"/>
      <c r="VK372" s="153"/>
      <c r="VL372" s="153"/>
      <c r="VM372" s="153"/>
      <c r="VN372" s="153"/>
      <c r="VO372" s="153"/>
      <c r="VP372" s="153"/>
      <c r="VQ372" s="153"/>
      <c r="VR372" s="153"/>
      <c r="VS372" s="650"/>
      <c r="VT372" s="641"/>
      <c r="VU372" s="638"/>
      <c r="VV372" s="639"/>
      <c r="VW372" s="153"/>
      <c r="VX372" s="153"/>
      <c r="VY372" s="153"/>
      <c r="VZ372" s="153"/>
      <c r="WA372" s="153"/>
      <c r="WB372" s="153"/>
      <c r="WC372" s="153"/>
      <c r="WD372" s="153"/>
      <c r="WE372" s="153"/>
      <c r="WF372" s="153"/>
      <c r="WG372" s="153"/>
      <c r="WH372" s="153"/>
      <c r="WI372" s="650"/>
      <c r="WJ372" s="641"/>
      <c r="WK372" s="638"/>
      <c r="WL372" s="639"/>
      <c r="WM372" s="153"/>
      <c r="WN372" s="153"/>
      <c r="WO372" s="153"/>
      <c r="WP372" s="153"/>
      <c r="WQ372" s="153"/>
      <c r="WR372" s="153"/>
      <c r="WS372" s="153"/>
      <c r="WT372" s="153"/>
      <c r="WU372" s="153"/>
      <c r="WV372" s="153"/>
      <c r="WW372" s="153"/>
      <c r="WX372" s="153"/>
      <c r="WY372" s="650"/>
      <c r="WZ372" s="641"/>
      <c r="XA372" s="638"/>
      <c r="XB372" s="639"/>
      <c r="XC372" s="153"/>
      <c r="XD372" s="153"/>
      <c r="XE372" s="153"/>
      <c r="XF372" s="153"/>
      <c r="XG372" s="153"/>
      <c r="XH372" s="153"/>
      <c r="XI372" s="153"/>
      <c r="XJ372" s="153"/>
      <c r="XK372" s="153"/>
      <c r="XL372" s="153"/>
      <c r="XM372" s="153"/>
      <c r="XN372" s="153"/>
      <c r="XO372" s="650"/>
      <c r="XP372" s="641"/>
      <c r="XQ372" s="638"/>
      <c r="XR372" s="639"/>
      <c r="XS372" s="153"/>
      <c r="XT372" s="153"/>
      <c r="XU372" s="153"/>
      <c r="XV372" s="153"/>
      <c r="XW372" s="153"/>
      <c r="XX372" s="153"/>
      <c r="XY372" s="153"/>
      <c r="XZ372" s="153"/>
      <c r="YA372" s="153"/>
      <c r="YB372" s="153"/>
      <c r="YC372" s="153"/>
      <c r="YD372" s="153"/>
      <c r="YE372" s="650"/>
      <c r="YF372" s="641"/>
      <c r="YG372" s="638"/>
      <c r="YH372" s="639"/>
      <c r="YI372" s="153"/>
      <c r="YJ372" s="153"/>
      <c r="YK372" s="153"/>
      <c r="YL372" s="153"/>
      <c r="YM372" s="153"/>
      <c r="YN372" s="153"/>
      <c r="YO372" s="153"/>
      <c r="YP372" s="153"/>
      <c r="YQ372" s="153"/>
      <c r="YR372" s="153"/>
      <c r="YS372" s="153"/>
      <c r="YT372" s="153"/>
      <c r="YU372" s="650"/>
      <c r="YV372" s="641"/>
      <c r="YW372" s="638"/>
      <c r="YX372" s="639"/>
      <c r="YY372" s="153"/>
      <c r="YZ372" s="153"/>
      <c r="ZA372" s="153"/>
      <c r="ZB372" s="153"/>
      <c r="ZC372" s="153"/>
      <c r="ZD372" s="153"/>
      <c r="ZE372" s="153"/>
      <c r="ZF372" s="153"/>
      <c r="ZG372" s="153"/>
      <c r="ZH372" s="153"/>
      <c r="ZI372" s="153"/>
      <c r="ZJ372" s="153"/>
      <c r="ZK372" s="650"/>
      <c r="ZL372" s="641"/>
      <c r="ZM372" s="638"/>
      <c r="ZN372" s="639"/>
      <c r="ZO372" s="153"/>
      <c r="ZP372" s="153"/>
      <c r="ZQ372" s="153"/>
      <c r="ZR372" s="153"/>
      <c r="ZS372" s="153"/>
      <c r="ZT372" s="153"/>
      <c r="ZU372" s="153"/>
      <c r="ZV372" s="153"/>
      <c r="ZW372" s="153"/>
      <c r="ZX372" s="153"/>
      <c r="ZY372" s="153"/>
      <c r="ZZ372" s="153"/>
      <c r="AAA372" s="650"/>
      <c r="AAB372" s="641"/>
      <c r="AAC372" s="638"/>
      <c r="AAD372" s="639"/>
      <c r="AAE372" s="153"/>
      <c r="AAF372" s="153"/>
      <c r="AAG372" s="153"/>
      <c r="AAH372" s="153"/>
      <c r="AAI372" s="153"/>
      <c r="AAJ372" s="153"/>
      <c r="AAK372" s="153"/>
      <c r="AAL372" s="153"/>
      <c r="AAM372" s="153"/>
      <c r="AAN372" s="153"/>
      <c r="AAO372" s="153"/>
      <c r="AAP372" s="153"/>
      <c r="AAQ372" s="650"/>
      <c r="AAR372" s="641"/>
      <c r="AAS372" s="638"/>
      <c r="AAT372" s="639"/>
      <c r="AAU372" s="153"/>
      <c r="AAV372" s="153"/>
      <c r="AAW372" s="153"/>
      <c r="AAX372" s="153"/>
      <c r="AAY372" s="153"/>
      <c r="AAZ372" s="153"/>
      <c r="ABA372" s="153"/>
      <c r="ABB372" s="153"/>
      <c r="ABC372" s="153"/>
      <c r="ABD372" s="153"/>
      <c r="ABE372" s="153"/>
      <c r="ABF372" s="153"/>
      <c r="ABG372" s="650"/>
      <c r="ABH372" s="641"/>
      <c r="ABI372" s="638"/>
      <c r="ABJ372" s="639"/>
      <c r="ABK372" s="153"/>
      <c r="ABL372" s="153"/>
      <c r="ABM372" s="153"/>
      <c r="ABN372" s="153"/>
      <c r="ABO372" s="153"/>
      <c r="ABP372" s="153"/>
      <c r="ABQ372" s="153"/>
      <c r="ABR372" s="153"/>
      <c r="ABS372" s="153"/>
      <c r="ABT372" s="153"/>
      <c r="ABU372" s="153"/>
      <c r="ABV372" s="153"/>
      <c r="ABW372" s="650"/>
      <c r="ABX372" s="641"/>
      <c r="ABY372" s="638"/>
      <c r="ABZ372" s="639"/>
      <c r="ACA372" s="153"/>
      <c r="ACB372" s="153"/>
      <c r="ACC372" s="153"/>
      <c r="ACD372" s="153"/>
      <c r="ACE372" s="153"/>
      <c r="ACF372" s="153"/>
      <c r="ACG372" s="153"/>
      <c r="ACH372" s="153"/>
      <c r="ACI372" s="153"/>
      <c r="ACJ372" s="153"/>
      <c r="ACK372" s="153"/>
      <c r="ACL372" s="153"/>
      <c r="ACM372" s="650"/>
      <c r="ACN372" s="641"/>
      <c r="ACO372" s="638"/>
      <c r="ACP372" s="639"/>
      <c r="ACQ372" s="153"/>
      <c r="ACR372" s="153"/>
      <c r="ACS372" s="153"/>
      <c r="ACT372" s="153"/>
      <c r="ACU372" s="153"/>
      <c r="ACV372" s="153"/>
      <c r="ACW372" s="153"/>
      <c r="ACX372" s="153"/>
      <c r="ACY372" s="153"/>
      <c r="ACZ372" s="153"/>
      <c r="ADA372" s="153"/>
      <c r="ADB372" s="153"/>
      <c r="ADC372" s="650"/>
      <c r="ADD372" s="641"/>
      <c r="ADE372" s="638"/>
      <c r="ADF372" s="639"/>
      <c r="ADG372" s="153"/>
      <c r="ADH372" s="153"/>
      <c r="ADI372" s="153"/>
      <c r="ADJ372" s="153"/>
      <c r="ADK372" s="153"/>
      <c r="ADL372" s="153"/>
      <c r="ADM372" s="153"/>
      <c r="ADN372" s="153"/>
      <c r="ADO372" s="153"/>
      <c r="ADP372" s="153"/>
      <c r="ADQ372" s="153"/>
      <c r="ADR372" s="153"/>
      <c r="ADS372" s="650"/>
      <c r="ADT372" s="641"/>
      <c r="ADU372" s="638"/>
      <c r="ADV372" s="639"/>
      <c r="ADW372" s="153"/>
      <c r="ADX372" s="153"/>
      <c r="ADY372" s="153"/>
      <c r="ADZ372" s="153"/>
      <c r="AEA372" s="153"/>
      <c r="AEB372" s="153"/>
      <c r="AEC372" s="153"/>
      <c r="AED372" s="153"/>
      <c r="AEE372" s="153"/>
      <c r="AEF372" s="153"/>
      <c r="AEG372" s="153"/>
      <c r="AEH372" s="153"/>
      <c r="AEI372" s="650"/>
      <c r="AEJ372" s="641"/>
      <c r="AEK372" s="638"/>
      <c r="AEL372" s="639"/>
      <c r="AEM372" s="153"/>
      <c r="AEN372" s="153"/>
      <c r="AEO372" s="153"/>
      <c r="AEP372" s="153"/>
      <c r="AEQ372" s="153"/>
      <c r="AER372" s="153"/>
      <c r="AES372" s="153"/>
      <c r="AET372" s="153"/>
      <c r="AEU372" s="153"/>
      <c r="AEV372" s="153"/>
      <c r="AEW372" s="153"/>
      <c r="AEX372" s="153"/>
      <c r="AEY372" s="650"/>
      <c r="AEZ372" s="641"/>
      <c r="AFA372" s="638"/>
      <c r="AFB372" s="639"/>
      <c r="AFC372" s="153"/>
      <c r="AFD372" s="153"/>
      <c r="AFE372" s="153"/>
      <c r="AFF372" s="153"/>
      <c r="AFG372" s="153"/>
      <c r="AFH372" s="153"/>
      <c r="AFI372" s="153"/>
      <c r="AFJ372" s="153"/>
      <c r="AFK372" s="153"/>
      <c r="AFL372" s="153"/>
      <c r="AFM372" s="153"/>
      <c r="AFN372" s="153"/>
      <c r="AFO372" s="650"/>
      <c r="AFP372" s="641"/>
      <c r="AFQ372" s="638"/>
      <c r="AFR372" s="639"/>
      <c r="AFS372" s="153"/>
      <c r="AFT372" s="153"/>
      <c r="AFU372" s="153"/>
      <c r="AFV372" s="153"/>
      <c r="AFW372" s="153"/>
      <c r="AFX372" s="153"/>
      <c r="AFY372" s="153"/>
      <c r="AFZ372" s="153"/>
      <c r="AGA372" s="153"/>
      <c r="AGB372" s="153"/>
      <c r="AGC372" s="153"/>
      <c r="AGD372" s="153"/>
      <c r="AGE372" s="650"/>
      <c r="AGF372" s="641"/>
      <c r="AGG372" s="638"/>
      <c r="AGH372" s="639"/>
      <c r="AGI372" s="153"/>
      <c r="AGJ372" s="153"/>
      <c r="AGK372" s="153"/>
      <c r="AGL372" s="153"/>
      <c r="AGM372" s="153"/>
      <c r="AGN372" s="153"/>
      <c r="AGO372" s="153"/>
      <c r="AGP372" s="153"/>
      <c r="AGQ372" s="153"/>
      <c r="AGR372" s="153"/>
      <c r="AGS372" s="153"/>
      <c r="AGT372" s="153"/>
      <c r="AGU372" s="650"/>
      <c r="AGV372" s="641"/>
      <c r="AGW372" s="638"/>
      <c r="AGX372" s="639"/>
      <c r="AGY372" s="153"/>
      <c r="AGZ372" s="153"/>
      <c r="AHA372" s="153"/>
      <c r="AHB372" s="153"/>
      <c r="AHC372" s="153"/>
      <c r="AHD372" s="153"/>
      <c r="AHE372" s="153"/>
      <c r="AHF372" s="153"/>
      <c r="AHG372" s="153"/>
      <c r="AHH372" s="153"/>
      <c r="AHI372" s="153"/>
      <c r="AHJ372" s="153"/>
      <c r="AHK372" s="650"/>
      <c r="AHL372" s="641"/>
      <c r="AHM372" s="638"/>
      <c r="AHN372" s="639"/>
      <c r="AHO372" s="153"/>
      <c r="AHP372" s="153"/>
      <c r="AHQ372" s="153"/>
      <c r="AHR372" s="153"/>
      <c r="AHS372" s="153"/>
      <c r="AHT372" s="153"/>
      <c r="AHU372" s="153"/>
      <c r="AHV372" s="153"/>
      <c r="AHW372" s="153"/>
      <c r="AHX372" s="153"/>
      <c r="AHY372" s="153"/>
      <c r="AHZ372" s="153"/>
      <c r="AIA372" s="650"/>
      <c r="AIB372" s="641"/>
      <c r="AIC372" s="638"/>
      <c r="AID372" s="639"/>
      <c r="AIE372" s="153"/>
      <c r="AIF372" s="153"/>
      <c r="AIG372" s="153"/>
      <c r="AIH372" s="153"/>
      <c r="AII372" s="153"/>
      <c r="AIJ372" s="153"/>
      <c r="AIK372" s="153"/>
      <c r="AIL372" s="153"/>
      <c r="AIM372" s="153"/>
      <c r="AIN372" s="153"/>
      <c r="AIO372" s="153"/>
      <c r="AIP372" s="153"/>
      <c r="AIQ372" s="650"/>
      <c r="AIR372" s="641"/>
      <c r="AIS372" s="638"/>
      <c r="AIT372" s="639"/>
      <c r="AIU372" s="153"/>
      <c r="AIV372" s="153"/>
      <c r="AIW372" s="153"/>
      <c r="AIX372" s="153"/>
      <c r="AIY372" s="153"/>
      <c r="AIZ372" s="153"/>
      <c r="AJA372" s="153"/>
      <c r="AJB372" s="153"/>
      <c r="AJC372" s="153"/>
      <c r="AJD372" s="153"/>
      <c r="AJE372" s="153"/>
      <c r="AJF372" s="153"/>
      <c r="AJG372" s="650"/>
      <c r="AJH372" s="641"/>
      <c r="AJI372" s="638"/>
      <c r="AJJ372" s="639"/>
      <c r="AJK372" s="153"/>
      <c r="AJL372" s="153"/>
      <c r="AJM372" s="153"/>
      <c r="AJN372" s="153"/>
      <c r="AJO372" s="153"/>
      <c r="AJP372" s="153"/>
      <c r="AJQ372" s="153"/>
      <c r="AJR372" s="153"/>
      <c r="AJS372" s="153"/>
      <c r="AJT372" s="153"/>
      <c r="AJU372" s="153"/>
      <c r="AJV372" s="153"/>
      <c r="AJW372" s="650"/>
      <c r="AJX372" s="641"/>
      <c r="AJY372" s="638"/>
      <c r="AJZ372" s="639"/>
      <c r="AKA372" s="153"/>
      <c r="AKB372" s="153"/>
      <c r="AKC372" s="153"/>
      <c r="AKD372" s="153"/>
      <c r="AKE372" s="153"/>
      <c r="AKF372" s="153"/>
      <c r="AKG372" s="153"/>
      <c r="AKH372" s="153"/>
      <c r="AKI372" s="153"/>
      <c r="AKJ372" s="153"/>
      <c r="AKK372" s="153"/>
      <c r="AKL372" s="153"/>
      <c r="AKM372" s="650"/>
      <c r="AKN372" s="641"/>
      <c r="AKO372" s="638"/>
      <c r="AKP372" s="639"/>
      <c r="AKQ372" s="153"/>
      <c r="AKR372" s="153"/>
      <c r="AKS372" s="153"/>
      <c r="AKT372" s="153"/>
      <c r="AKU372" s="153"/>
      <c r="AKV372" s="153"/>
      <c r="AKW372" s="153"/>
      <c r="AKX372" s="153"/>
      <c r="AKY372" s="153"/>
      <c r="AKZ372" s="153"/>
      <c r="ALA372" s="153"/>
      <c r="ALB372" s="153"/>
      <c r="ALC372" s="650"/>
      <c r="ALD372" s="641"/>
      <c r="ALE372" s="638"/>
      <c r="ALF372" s="639"/>
      <c r="ALG372" s="153"/>
      <c r="ALH372" s="153"/>
      <c r="ALI372" s="153"/>
      <c r="ALJ372" s="153"/>
      <c r="ALK372" s="153"/>
      <c r="ALL372" s="153"/>
      <c r="ALM372" s="153"/>
      <c r="ALN372" s="153"/>
      <c r="ALO372" s="153"/>
      <c r="ALP372" s="153"/>
      <c r="ALQ372" s="153"/>
      <c r="ALR372" s="153"/>
      <c r="ALS372" s="650"/>
      <c r="ALT372" s="641"/>
      <c r="ALU372" s="638"/>
      <c r="ALV372" s="639"/>
      <c r="ALW372" s="153"/>
      <c r="ALX372" s="153"/>
      <c r="ALY372" s="153"/>
      <c r="ALZ372" s="153"/>
      <c r="AMA372" s="153"/>
      <c r="AMB372" s="153"/>
      <c r="AMC372" s="153"/>
      <c r="AMD372" s="153"/>
      <c r="AME372" s="153"/>
      <c r="AMF372" s="153"/>
      <c r="AMG372" s="153"/>
      <c r="AMH372" s="153"/>
      <c r="AMI372" s="650"/>
      <c r="AMJ372" s="641"/>
      <c r="AMK372" s="638"/>
      <c r="AML372" s="639"/>
      <c r="AMM372" s="153"/>
      <c r="AMN372" s="153"/>
      <c r="AMO372" s="153"/>
      <c r="AMP372" s="153"/>
      <c r="AMQ372" s="153"/>
      <c r="AMR372" s="153"/>
      <c r="AMS372" s="153"/>
      <c r="AMT372" s="153"/>
      <c r="AMU372" s="153"/>
      <c r="AMV372" s="153"/>
      <c r="AMW372" s="153"/>
      <c r="AMX372" s="153"/>
      <c r="AMY372" s="650"/>
      <c r="AMZ372" s="641"/>
      <c r="ANA372" s="638"/>
      <c r="ANB372" s="639"/>
      <c r="ANC372" s="153"/>
      <c r="AND372" s="153"/>
      <c r="ANE372" s="153"/>
      <c r="ANF372" s="153"/>
      <c r="ANG372" s="153"/>
      <c r="ANH372" s="153"/>
      <c r="ANI372" s="153"/>
      <c r="ANJ372" s="153"/>
      <c r="ANK372" s="153"/>
      <c r="ANL372" s="153"/>
      <c r="ANM372" s="153"/>
      <c r="ANN372" s="153"/>
      <c r="ANO372" s="650"/>
      <c r="ANP372" s="641"/>
      <c r="ANQ372" s="638"/>
      <c r="ANR372" s="639"/>
      <c r="ANS372" s="153"/>
      <c r="ANT372" s="153"/>
      <c r="ANU372" s="153"/>
      <c r="ANV372" s="153"/>
      <c r="ANW372" s="153"/>
      <c r="ANX372" s="153"/>
      <c r="ANY372" s="153"/>
      <c r="ANZ372" s="153"/>
      <c r="AOA372" s="153"/>
      <c r="AOB372" s="153"/>
      <c r="AOC372" s="153"/>
      <c r="AOD372" s="153"/>
      <c r="AOE372" s="650"/>
      <c r="AOF372" s="641"/>
      <c r="AOG372" s="638"/>
      <c r="AOH372" s="639"/>
      <c r="AOI372" s="153"/>
      <c r="AOJ372" s="153"/>
      <c r="AOK372" s="153"/>
      <c r="AOL372" s="153"/>
      <c r="AOM372" s="153"/>
      <c r="AON372" s="153"/>
      <c r="AOO372" s="153"/>
      <c r="AOP372" s="153"/>
      <c r="AOQ372" s="153"/>
      <c r="AOR372" s="153"/>
      <c r="AOS372" s="153"/>
      <c r="AOT372" s="153"/>
      <c r="AOU372" s="650"/>
      <c r="AOV372" s="641"/>
      <c r="AOW372" s="638"/>
      <c r="AOX372" s="639"/>
      <c r="AOY372" s="153"/>
      <c r="AOZ372" s="153"/>
      <c r="APA372" s="153"/>
      <c r="APB372" s="153"/>
      <c r="APC372" s="153"/>
      <c r="APD372" s="153"/>
      <c r="APE372" s="153"/>
      <c r="APF372" s="153"/>
      <c r="APG372" s="153"/>
      <c r="APH372" s="153"/>
      <c r="API372" s="153"/>
      <c r="APJ372" s="153"/>
      <c r="APK372" s="650"/>
      <c r="APL372" s="641"/>
      <c r="APM372" s="638"/>
      <c r="APN372" s="639"/>
      <c r="APO372" s="153"/>
      <c r="APP372" s="153"/>
      <c r="APQ372" s="153"/>
      <c r="APR372" s="153"/>
      <c r="APS372" s="153"/>
      <c r="APT372" s="153"/>
      <c r="APU372" s="153"/>
      <c r="APV372" s="153"/>
      <c r="APW372" s="153"/>
      <c r="APX372" s="153"/>
      <c r="APY372" s="153"/>
      <c r="APZ372" s="153"/>
      <c r="AQA372" s="650"/>
      <c r="AQB372" s="641"/>
      <c r="AQC372" s="638"/>
      <c r="AQD372" s="639"/>
      <c r="AQE372" s="153"/>
      <c r="AQF372" s="153"/>
      <c r="AQG372" s="153"/>
      <c r="AQH372" s="153"/>
      <c r="AQI372" s="153"/>
      <c r="AQJ372" s="153"/>
      <c r="AQK372" s="153"/>
      <c r="AQL372" s="153"/>
      <c r="AQM372" s="153"/>
      <c r="AQN372" s="153"/>
      <c r="AQO372" s="153"/>
      <c r="AQP372" s="153"/>
      <c r="AQQ372" s="650"/>
      <c r="AQR372" s="641"/>
      <c r="AQS372" s="638"/>
      <c r="AQT372" s="639"/>
      <c r="AQU372" s="153"/>
      <c r="AQV372" s="153"/>
      <c r="AQW372" s="153"/>
      <c r="AQX372" s="153"/>
      <c r="AQY372" s="153"/>
      <c r="AQZ372" s="153"/>
      <c r="ARA372" s="153"/>
      <c r="ARB372" s="153"/>
      <c r="ARC372" s="153"/>
      <c r="ARD372" s="153"/>
      <c r="ARE372" s="153"/>
      <c r="ARF372" s="153"/>
      <c r="ARG372" s="650"/>
      <c r="ARH372" s="641"/>
      <c r="ARI372" s="638"/>
      <c r="ARJ372" s="639"/>
      <c r="ARK372" s="153"/>
      <c r="ARL372" s="153"/>
      <c r="ARM372" s="153"/>
      <c r="ARN372" s="153"/>
      <c r="ARO372" s="153"/>
      <c r="ARP372" s="153"/>
      <c r="ARQ372" s="153"/>
      <c r="ARR372" s="153"/>
      <c r="ARS372" s="153"/>
      <c r="ART372" s="153"/>
      <c r="ARU372" s="153"/>
      <c r="ARV372" s="153"/>
      <c r="ARW372" s="650"/>
      <c r="ARX372" s="641"/>
      <c r="ARY372" s="638"/>
      <c r="ARZ372" s="639"/>
      <c r="ASA372" s="153"/>
      <c r="ASB372" s="153"/>
      <c r="ASC372" s="153"/>
      <c r="ASD372" s="153"/>
      <c r="ASE372" s="153"/>
      <c r="ASF372" s="153"/>
      <c r="ASG372" s="153"/>
      <c r="ASH372" s="153"/>
      <c r="ASI372" s="153"/>
      <c r="ASJ372" s="153"/>
      <c r="ASK372" s="153"/>
      <c r="ASL372" s="153"/>
      <c r="ASM372" s="650"/>
      <c r="ASN372" s="641"/>
      <c r="ASO372" s="638"/>
      <c r="ASP372" s="639"/>
      <c r="ASQ372" s="153"/>
      <c r="ASR372" s="153"/>
      <c r="ASS372" s="153"/>
      <c r="AST372" s="153"/>
      <c r="ASU372" s="153"/>
      <c r="ASV372" s="153"/>
      <c r="ASW372" s="153"/>
      <c r="ASX372" s="153"/>
      <c r="ASY372" s="153"/>
      <c r="ASZ372" s="153"/>
      <c r="ATA372" s="153"/>
      <c r="ATB372" s="153"/>
      <c r="ATC372" s="650"/>
      <c r="ATD372" s="641"/>
      <c r="ATE372" s="638"/>
      <c r="ATF372" s="639"/>
      <c r="ATG372" s="153"/>
      <c r="ATH372" s="153"/>
      <c r="ATI372" s="153"/>
      <c r="ATJ372" s="153"/>
      <c r="ATK372" s="153"/>
      <c r="ATL372" s="153"/>
      <c r="ATM372" s="153"/>
      <c r="ATN372" s="153"/>
      <c r="ATO372" s="153"/>
      <c r="ATP372" s="153"/>
      <c r="ATQ372" s="153"/>
      <c r="ATR372" s="153"/>
      <c r="ATS372" s="650"/>
      <c r="ATT372" s="641"/>
      <c r="ATU372" s="638"/>
      <c r="ATV372" s="639"/>
      <c r="ATW372" s="153"/>
      <c r="ATX372" s="153"/>
      <c r="ATY372" s="153"/>
      <c r="ATZ372" s="153"/>
      <c r="AUA372" s="153"/>
      <c r="AUB372" s="153"/>
      <c r="AUC372" s="153"/>
      <c r="AUD372" s="153"/>
      <c r="AUE372" s="153"/>
      <c r="AUF372" s="153"/>
      <c r="AUG372" s="153"/>
      <c r="AUH372" s="153"/>
      <c r="AUI372" s="650"/>
      <c r="AUJ372" s="641"/>
      <c r="AUK372" s="638"/>
      <c r="AUL372" s="639"/>
      <c r="AUM372" s="153"/>
      <c r="AUN372" s="153"/>
      <c r="AUO372" s="153"/>
      <c r="AUP372" s="153"/>
      <c r="AUQ372" s="153"/>
      <c r="AUR372" s="153"/>
      <c r="AUS372" s="153"/>
      <c r="AUT372" s="153"/>
      <c r="AUU372" s="153"/>
      <c r="AUV372" s="153"/>
      <c r="AUW372" s="153"/>
      <c r="AUX372" s="153"/>
      <c r="AUY372" s="650"/>
      <c r="AUZ372" s="641"/>
      <c r="AVA372" s="638"/>
      <c r="AVB372" s="639"/>
      <c r="AVC372" s="153"/>
      <c r="AVD372" s="153"/>
      <c r="AVE372" s="153"/>
      <c r="AVF372" s="153"/>
      <c r="AVG372" s="153"/>
      <c r="AVH372" s="153"/>
      <c r="AVI372" s="153"/>
      <c r="AVJ372" s="153"/>
      <c r="AVK372" s="153"/>
      <c r="AVL372" s="153"/>
      <c r="AVM372" s="153"/>
      <c r="AVN372" s="153"/>
      <c r="AVO372" s="650"/>
      <c r="AVP372" s="641"/>
      <c r="AVQ372" s="638"/>
      <c r="AVR372" s="639"/>
      <c r="AVS372" s="153"/>
      <c r="AVT372" s="153"/>
      <c r="AVU372" s="153"/>
      <c r="AVV372" s="153"/>
      <c r="AVW372" s="153"/>
      <c r="AVX372" s="153"/>
      <c r="AVY372" s="153"/>
      <c r="AVZ372" s="153"/>
      <c r="AWA372" s="153"/>
      <c r="AWB372" s="153"/>
      <c r="AWC372" s="153"/>
      <c r="AWD372" s="153"/>
      <c r="AWE372" s="650"/>
      <c r="AWF372" s="641"/>
      <c r="AWG372" s="638"/>
      <c r="AWH372" s="639"/>
      <c r="AWI372" s="153"/>
      <c r="AWJ372" s="153"/>
      <c r="AWK372" s="153"/>
      <c r="AWL372" s="153"/>
      <c r="AWM372" s="153"/>
      <c r="AWN372" s="153"/>
      <c r="AWO372" s="153"/>
      <c r="AWP372" s="153"/>
      <c r="AWQ372" s="153"/>
      <c r="AWR372" s="153"/>
      <c r="AWS372" s="153"/>
      <c r="AWT372" s="153"/>
      <c r="AWU372" s="650"/>
      <c r="AWV372" s="641"/>
      <c r="AWW372" s="638"/>
      <c r="AWX372" s="639"/>
      <c r="AWY372" s="153"/>
      <c r="AWZ372" s="153"/>
      <c r="AXA372" s="153"/>
      <c r="AXB372" s="153"/>
      <c r="AXC372" s="153"/>
      <c r="AXD372" s="153"/>
      <c r="AXE372" s="153"/>
      <c r="AXF372" s="153"/>
      <c r="AXG372" s="153"/>
      <c r="AXH372" s="153"/>
      <c r="AXI372" s="153"/>
      <c r="AXJ372" s="153"/>
      <c r="AXK372" s="650"/>
      <c r="AXL372" s="641"/>
      <c r="AXM372" s="638"/>
      <c r="AXN372" s="639"/>
      <c r="AXO372" s="153"/>
      <c r="AXP372" s="153"/>
      <c r="AXQ372" s="153"/>
      <c r="AXR372" s="153"/>
      <c r="AXS372" s="153"/>
      <c r="AXT372" s="153"/>
      <c r="AXU372" s="153"/>
      <c r="AXV372" s="153"/>
      <c r="AXW372" s="153"/>
      <c r="AXX372" s="153"/>
      <c r="AXY372" s="153"/>
      <c r="AXZ372" s="153"/>
      <c r="AYA372" s="650"/>
      <c r="AYB372" s="641"/>
      <c r="AYC372" s="638"/>
      <c r="AYD372" s="639"/>
      <c r="AYE372" s="153"/>
      <c r="AYF372" s="153"/>
      <c r="AYG372" s="153"/>
      <c r="AYH372" s="153"/>
      <c r="AYI372" s="153"/>
      <c r="AYJ372" s="153"/>
      <c r="AYK372" s="153"/>
      <c r="AYL372" s="153"/>
      <c r="AYM372" s="153"/>
      <c r="AYN372" s="153"/>
      <c r="AYO372" s="153"/>
      <c r="AYP372" s="153"/>
      <c r="AYQ372" s="650"/>
      <c r="AYR372" s="641"/>
      <c r="AYS372" s="638"/>
      <c r="AYT372" s="639"/>
      <c r="AYU372" s="153"/>
      <c r="AYV372" s="153"/>
      <c r="AYW372" s="153"/>
      <c r="AYX372" s="153"/>
      <c r="AYY372" s="153"/>
      <c r="AYZ372" s="153"/>
      <c r="AZA372" s="153"/>
      <c r="AZB372" s="153"/>
      <c r="AZC372" s="153"/>
      <c r="AZD372" s="153"/>
      <c r="AZE372" s="153"/>
      <c r="AZF372" s="153"/>
      <c r="AZG372" s="650"/>
      <c r="AZH372" s="641"/>
      <c r="AZI372" s="638"/>
      <c r="AZJ372" s="639"/>
      <c r="AZK372" s="153"/>
      <c r="AZL372" s="153"/>
      <c r="AZM372" s="153"/>
      <c r="AZN372" s="153"/>
      <c r="AZO372" s="153"/>
      <c r="AZP372" s="153"/>
      <c r="AZQ372" s="153"/>
      <c r="AZR372" s="153"/>
      <c r="AZS372" s="153"/>
      <c r="AZT372" s="153"/>
      <c r="AZU372" s="153"/>
      <c r="AZV372" s="153"/>
      <c r="AZW372" s="650"/>
      <c r="AZX372" s="641"/>
      <c r="AZY372" s="638"/>
      <c r="AZZ372" s="639"/>
      <c r="BAA372" s="153"/>
      <c r="BAB372" s="153"/>
      <c r="BAC372" s="153"/>
      <c r="BAD372" s="153"/>
      <c r="BAE372" s="153"/>
      <c r="BAF372" s="153"/>
      <c r="BAG372" s="153"/>
      <c r="BAH372" s="153"/>
      <c r="BAI372" s="153"/>
      <c r="BAJ372" s="153"/>
      <c r="BAK372" s="153"/>
      <c r="BAL372" s="153"/>
      <c r="BAM372" s="650"/>
      <c r="BAN372" s="641"/>
      <c r="BAO372" s="638"/>
      <c r="BAP372" s="639"/>
      <c r="BAQ372" s="153"/>
      <c r="BAR372" s="153"/>
      <c r="BAS372" s="153"/>
      <c r="BAT372" s="153"/>
      <c r="BAU372" s="153"/>
      <c r="BAV372" s="153"/>
      <c r="BAW372" s="153"/>
      <c r="BAX372" s="153"/>
      <c r="BAY372" s="153"/>
      <c r="BAZ372" s="153"/>
      <c r="BBA372" s="153"/>
      <c r="BBB372" s="153"/>
      <c r="BBC372" s="650"/>
      <c r="BBD372" s="641"/>
      <c r="BBE372" s="638"/>
      <c r="BBF372" s="639"/>
      <c r="BBG372" s="153"/>
      <c r="BBH372" s="153"/>
      <c r="BBI372" s="153"/>
      <c r="BBJ372" s="153"/>
      <c r="BBK372" s="153"/>
      <c r="BBL372" s="153"/>
      <c r="BBM372" s="153"/>
      <c r="BBN372" s="153"/>
      <c r="BBO372" s="153"/>
      <c r="BBP372" s="153"/>
      <c r="BBQ372" s="153"/>
      <c r="BBR372" s="153"/>
      <c r="BBS372" s="650"/>
      <c r="BBT372" s="641"/>
      <c r="BBU372" s="638"/>
      <c r="BBV372" s="639"/>
      <c r="BBW372" s="153"/>
      <c r="BBX372" s="153"/>
      <c r="BBY372" s="153"/>
      <c r="BBZ372" s="153"/>
      <c r="BCA372" s="153"/>
      <c r="BCB372" s="153"/>
      <c r="BCC372" s="153"/>
      <c r="BCD372" s="153"/>
      <c r="BCE372" s="153"/>
      <c r="BCF372" s="153"/>
      <c r="BCG372" s="153"/>
      <c r="BCH372" s="153"/>
      <c r="BCI372" s="650"/>
      <c r="BCJ372" s="641"/>
      <c r="BCK372" s="638"/>
      <c r="BCL372" s="639"/>
      <c r="BCM372" s="153"/>
      <c r="BCN372" s="153"/>
      <c r="BCO372" s="153"/>
      <c r="BCP372" s="153"/>
      <c r="BCQ372" s="153"/>
      <c r="BCR372" s="153"/>
      <c r="BCS372" s="153"/>
      <c r="BCT372" s="153"/>
      <c r="BCU372" s="153"/>
      <c r="BCV372" s="153"/>
      <c r="BCW372" s="153"/>
      <c r="BCX372" s="153"/>
      <c r="BCY372" s="650"/>
      <c r="BCZ372" s="641"/>
      <c r="BDA372" s="638"/>
      <c r="BDB372" s="639"/>
      <c r="BDC372" s="153"/>
      <c r="BDD372" s="153"/>
      <c r="BDE372" s="153"/>
      <c r="BDF372" s="153"/>
      <c r="BDG372" s="153"/>
      <c r="BDH372" s="153"/>
      <c r="BDI372" s="153"/>
      <c r="BDJ372" s="153"/>
      <c r="BDK372" s="153"/>
      <c r="BDL372" s="153"/>
      <c r="BDM372" s="153"/>
      <c r="BDN372" s="153"/>
      <c r="BDO372" s="650"/>
      <c r="BDP372" s="641"/>
      <c r="BDQ372" s="638"/>
      <c r="BDR372" s="639"/>
      <c r="BDS372" s="153"/>
      <c r="BDT372" s="153"/>
      <c r="BDU372" s="153"/>
      <c r="BDV372" s="153"/>
      <c r="BDW372" s="153"/>
      <c r="BDX372" s="153"/>
      <c r="BDY372" s="153"/>
      <c r="BDZ372" s="153"/>
      <c r="BEA372" s="153"/>
      <c r="BEB372" s="153"/>
      <c r="BEC372" s="153"/>
      <c r="BED372" s="153"/>
      <c r="BEE372" s="650"/>
      <c r="BEF372" s="641"/>
      <c r="BEG372" s="638"/>
      <c r="BEH372" s="639"/>
      <c r="BEI372" s="153"/>
      <c r="BEJ372" s="153"/>
      <c r="BEK372" s="153"/>
      <c r="BEL372" s="153"/>
      <c r="BEM372" s="153"/>
      <c r="BEN372" s="153"/>
      <c r="BEO372" s="153"/>
      <c r="BEP372" s="153"/>
      <c r="BEQ372" s="153"/>
      <c r="BER372" s="153"/>
      <c r="BES372" s="153"/>
      <c r="BET372" s="153"/>
      <c r="BEU372" s="650"/>
      <c r="BEV372" s="641"/>
      <c r="BEW372" s="638"/>
      <c r="BEX372" s="639"/>
      <c r="BEY372" s="153"/>
      <c r="BEZ372" s="153"/>
      <c r="BFA372" s="153"/>
      <c r="BFB372" s="153"/>
      <c r="BFC372" s="153"/>
      <c r="BFD372" s="153"/>
      <c r="BFE372" s="153"/>
      <c r="BFF372" s="153"/>
      <c r="BFG372" s="153"/>
      <c r="BFH372" s="153"/>
      <c r="BFI372" s="153"/>
      <c r="BFJ372" s="153"/>
      <c r="BFK372" s="650"/>
      <c r="BFL372" s="641"/>
      <c r="BFM372" s="638"/>
      <c r="BFN372" s="639"/>
      <c r="BFO372" s="153"/>
      <c r="BFP372" s="153"/>
      <c r="BFQ372" s="153"/>
      <c r="BFR372" s="153"/>
      <c r="BFS372" s="153"/>
      <c r="BFT372" s="153"/>
      <c r="BFU372" s="153"/>
      <c r="BFV372" s="153"/>
      <c r="BFW372" s="153"/>
      <c r="BFX372" s="153"/>
      <c r="BFY372" s="153"/>
      <c r="BFZ372" s="153"/>
      <c r="BGA372" s="650"/>
      <c r="BGB372" s="641"/>
      <c r="BGC372" s="638"/>
      <c r="BGD372" s="639"/>
      <c r="BGE372" s="153"/>
      <c r="BGF372" s="153"/>
      <c r="BGG372" s="153"/>
      <c r="BGH372" s="153"/>
      <c r="BGI372" s="153"/>
      <c r="BGJ372" s="153"/>
      <c r="BGK372" s="153"/>
      <c r="BGL372" s="153"/>
      <c r="BGM372" s="153"/>
      <c r="BGN372" s="153"/>
      <c r="BGO372" s="153"/>
      <c r="BGP372" s="153"/>
      <c r="BGQ372" s="650"/>
      <c r="BGR372" s="641"/>
      <c r="BGS372" s="638"/>
      <c r="BGT372" s="639"/>
      <c r="BGU372" s="153"/>
      <c r="BGV372" s="153"/>
      <c r="BGW372" s="153"/>
      <c r="BGX372" s="153"/>
      <c r="BGY372" s="153"/>
      <c r="BGZ372" s="153"/>
      <c r="BHA372" s="153"/>
      <c r="BHB372" s="153"/>
      <c r="BHC372" s="153"/>
      <c r="BHD372" s="153"/>
      <c r="BHE372" s="153"/>
      <c r="BHF372" s="153"/>
      <c r="BHG372" s="650"/>
      <c r="BHH372" s="641"/>
      <c r="BHI372" s="638"/>
      <c r="BHJ372" s="639"/>
      <c r="BHK372" s="153"/>
      <c r="BHL372" s="153"/>
      <c r="BHM372" s="153"/>
      <c r="BHN372" s="153"/>
      <c r="BHO372" s="153"/>
      <c r="BHP372" s="153"/>
      <c r="BHQ372" s="153"/>
      <c r="BHR372" s="153"/>
      <c r="BHS372" s="153"/>
      <c r="BHT372" s="153"/>
      <c r="BHU372" s="153"/>
      <c r="BHV372" s="153"/>
      <c r="BHW372" s="650"/>
      <c r="BHX372" s="641"/>
      <c r="BHY372" s="638"/>
      <c r="BHZ372" s="639"/>
      <c r="BIA372" s="153"/>
      <c r="BIB372" s="153"/>
      <c r="BIC372" s="153"/>
      <c r="BID372" s="153"/>
      <c r="BIE372" s="153"/>
      <c r="BIF372" s="153"/>
      <c r="BIG372" s="153"/>
      <c r="BIH372" s="153"/>
      <c r="BII372" s="153"/>
      <c r="BIJ372" s="153"/>
      <c r="BIK372" s="153"/>
      <c r="BIL372" s="153"/>
      <c r="BIM372" s="650"/>
      <c r="BIN372" s="641"/>
      <c r="BIO372" s="638"/>
      <c r="BIP372" s="639"/>
      <c r="BIQ372" s="153"/>
      <c r="BIR372" s="153"/>
      <c r="BIS372" s="153"/>
      <c r="BIT372" s="153"/>
      <c r="BIU372" s="153"/>
      <c r="BIV372" s="153"/>
      <c r="BIW372" s="153"/>
      <c r="BIX372" s="153"/>
      <c r="BIY372" s="153"/>
      <c r="BIZ372" s="153"/>
      <c r="BJA372" s="153"/>
      <c r="BJB372" s="153"/>
      <c r="BJC372" s="650"/>
      <c r="BJD372" s="641"/>
      <c r="BJE372" s="638"/>
      <c r="BJF372" s="639"/>
      <c r="BJG372" s="153"/>
      <c r="BJH372" s="153"/>
      <c r="BJI372" s="153"/>
      <c r="BJJ372" s="153"/>
      <c r="BJK372" s="153"/>
      <c r="BJL372" s="153"/>
      <c r="BJM372" s="153"/>
      <c r="BJN372" s="153"/>
      <c r="BJO372" s="153"/>
      <c r="BJP372" s="153"/>
      <c r="BJQ372" s="153"/>
      <c r="BJR372" s="153"/>
      <c r="BJS372" s="650"/>
      <c r="BJT372" s="641"/>
      <c r="BJU372" s="638"/>
      <c r="BJV372" s="639"/>
      <c r="BJW372" s="153"/>
      <c r="BJX372" s="153"/>
      <c r="BJY372" s="153"/>
      <c r="BJZ372" s="153"/>
      <c r="BKA372" s="153"/>
      <c r="BKB372" s="153"/>
      <c r="BKC372" s="153"/>
      <c r="BKD372" s="153"/>
      <c r="BKE372" s="153"/>
      <c r="BKF372" s="153"/>
      <c r="BKG372" s="153"/>
      <c r="BKH372" s="153"/>
      <c r="BKI372" s="650"/>
      <c r="BKJ372" s="641"/>
      <c r="BKK372" s="638"/>
      <c r="BKL372" s="639"/>
      <c r="BKM372" s="153"/>
      <c r="BKN372" s="153"/>
      <c r="BKO372" s="153"/>
      <c r="BKP372" s="153"/>
      <c r="BKQ372" s="153"/>
      <c r="BKR372" s="153"/>
      <c r="BKS372" s="153"/>
      <c r="BKT372" s="153"/>
      <c r="BKU372" s="153"/>
      <c r="BKV372" s="153"/>
      <c r="BKW372" s="153"/>
      <c r="BKX372" s="153"/>
      <c r="BKY372" s="650"/>
      <c r="BKZ372" s="641"/>
      <c r="BLA372" s="638"/>
      <c r="BLB372" s="639"/>
      <c r="BLC372" s="153"/>
      <c r="BLD372" s="153"/>
      <c r="BLE372" s="153"/>
      <c r="BLF372" s="153"/>
      <c r="BLG372" s="153"/>
      <c r="BLH372" s="153"/>
      <c r="BLI372" s="153"/>
      <c r="BLJ372" s="153"/>
      <c r="BLK372" s="153"/>
      <c r="BLL372" s="153"/>
      <c r="BLM372" s="153"/>
      <c r="BLN372" s="153"/>
      <c r="BLO372" s="650"/>
      <c r="BLP372" s="641"/>
      <c r="BLQ372" s="638"/>
      <c r="BLR372" s="639"/>
      <c r="BLS372" s="153"/>
      <c r="BLT372" s="153"/>
      <c r="BLU372" s="153"/>
      <c r="BLV372" s="153"/>
      <c r="BLW372" s="153"/>
      <c r="BLX372" s="153"/>
      <c r="BLY372" s="153"/>
      <c r="BLZ372" s="153"/>
      <c r="BMA372" s="153"/>
      <c r="BMB372" s="153"/>
      <c r="BMC372" s="153"/>
      <c r="BMD372" s="153"/>
      <c r="BME372" s="650"/>
      <c r="BMF372" s="641"/>
      <c r="BMG372" s="638"/>
      <c r="BMH372" s="639"/>
      <c r="BMI372" s="153"/>
      <c r="BMJ372" s="153"/>
      <c r="BMK372" s="153"/>
      <c r="BML372" s="153"/>
      <c r="BMM372" s="153"/>
      <c r="BMN372" s="153"/>
      <c r="BMO372" s="153"/>
      <c r="BMP372" s="153"/>
      <c r="BMQ372" s="153"/>
      <c r="BMR372" s="153"/>
      <c r="BMS372" s="153"/>
      <c r="BMT372" s="153"/>
      <c r="BMU372" s="650"/>
      <c r="BMV372" s="641"/>
      <c r="BMW372" s="638"/>
      <c r="BMX372" s="639"/>
      <c r="BMY372" s="153"/>
      <c r="BMZ372" s="153"/>
      <c r="BNA372" s="153"/>
      <c r="BNB372" s="153"/>
      <c r="BNC372" s="153"/>
      <c r="BND372" s="153"/>
      <c r="BNE372" s="153"/>
      <c r="BNF372" s="153"/>
      <c r="BNG372" s="153"/>
      <c r="BNH372" s="153"/>
      <c r="BNI372" s="153"/>
      <c r="BNJ372" s="153"/>
      <c r="BNK372" s="650"/>
      <c r="BNL372" s="641"/>
      <c r="BNM372" s="638"/>
      <c r="BNN372" s="639"/>
      <c r="BNO372" s="153"/>
      <c r="BNP372" s="153"/>
      <c r="BNQ372" s="153"/>
      <c r="BNR372" s="153"/>
      <c r="BNS372" s="153"/>
      <c r="BNT372" s="153"/>
      <c r="BNU372" s="153"/>
      <c r="BNV372" s="153"/>
      <c r="BNW372" s="153"/>
      <c r="BNX372" s="153"/>
      <c r="BNY372" s="153"/>
      <c r="BNZ372" s="153"/>
      <c r="BOA372" s="650"/>
      <c r="BOB372" s="641"/>
      <c r="BOC372" s="638"/>
      <c r="BOD372" s="639"/>
      <c r="BOE372" s="153"/>
      <c r="BOF372" s="153"/>
      <c r="BOG372" s="153"/>
      <c r="BOH372" s="153"/>
      <c r="BOI372" s="153"/>
      <c r="BOJ372" s="153"/>
      <c r="BOK372" s="153"/>
      <c r="BOL372" s="153"/>
      <c r="BOM372" s="153"/>
      <c r="BON372" s="153"/>
      <c r="BOO372" s="153"/>
      <c r="BOP372" s="153"/>
      <c r="BOQ372" s="650"/>
      <c r="BOR372" s="641"/>
      <c r="BOS372" s="638"/>
      <c r="BOT372" s="639"/>
      <c r="BOU372" s="153"/>
      <c r="BOV372" s="153"/>
      <c r="BOW372" s="153"/>
      <c r="BOX372" s="153"/>
      <c r="BOY372" s="153"/>
      <c r="BOZ372" s="153"/>
      <c r="BPA372" s="153"/>
      <c r="BPB372" s="153"/>
      <c r="BPC372" s="153"/>
      <c r="BPD372" s="153"/>
      <c r="BPE372" s="153"/>
      <c r="BPF372" s="153"/>
      <c r="BPG372" s="650"/>
      <c r="BPH372" s="641"/>
      <c r="BPI372" s="638"/>
      <c r="BPJ372" s="639"/>
      <c r="BPK372" s="153"/>
      <c r="BPL372" s="153"/>
      <c r="BPM372" s="153"/>
      <c r="BPN372" s="153"/>
      <c r="BPO372" s="153"/>
      <c r="BPP372" s="153"/>
      <c r="BPQ372" s="153"/>
      <c r="BPR372" s="153"/>
      <c r="BPS372" s="153"/>
      <c r="BPT372" s="153"/>
      <c r="BPU372" s="153"/>
      <c r="BPV372" s="153"/>
      <c r="BPW372" s="650"/>
      <c r="BPX372" s="641"/>
      <c r="BPY372" s="638"/>
      <c r="BPZ372" s="639"/>
      <c r="BQA372" s="153"/>
      <c r="BQB372" s="153"/>
      <c r="BQC372" s="153"/>
      <c r="BQD372" s="153"/>
      <c r="BQE372" s="153"/>
      <c r="BQF372" s="153"/>
      <c r="BQG372" s="153"/>
      <c r="BQH372" s="153"/>
      <c r="BQI372" s="153"/>
      <c r="BQJ372" s="153"/>
      <c r="BQK372" s="153"/>
      <c r="BQL372" s="153"/>
      <c r="BQM372" s="650"/>
      <c r="BQN372" s="641"/>
      <c r="BQO372" s="638"/>
      <c r="BQP372" s="639"/>
      <c r="BQQ372" s="153"/>
      <c r="BQR372" s="153"/>
      <c r="BQS372" s="153"/>
      <c r="BQT372" s="153"/>
      <c r="BQU372" s="153"/>
      <c r="BQV372" s="153"/>
      <c r="BQW372" s="153"/>
      <c r="BQX372" s="153"/>
      <c r="BQY372" s="153"/>
      <c r="BQZ372" s="153"/>
      <c r="BRA372" s="153"/>
      <c r="BRB372" s="153"/>
      <c r="BRC372" s="650"/>
      <c r="BRD372" s="641"/>
      <c r="BRE372" s="638"/>
      <c r="BRF372" s="639"/>
      <c r="BRG372" s="153"/>
      <c r="BRH372" s="153"/>
      <c r="BRI372" s="153"/>
      <c r="BRJ372" s="153"/>
      <c r="BRK372" s="153"/>
      <c r="BRL372" s="153"/>
      <c r="BRM372" s="153"/>
      <c r="BRN372" s="153"/>
      <c r="BRO372" s="153"/>
      <c r="BRP372" s="153"/>
      <c r="BRQ372" s="153"/>
      <c r="BRR372" s="153"/>
      <c r="BRS372" s="650"/>
      <c r="BRT372" s="641"/>
      <c r="BRU372" s="638"/>
      <c r="BRV372" s="639"/>
      <c r="BRW372" s="153"/>
      <c r="BRX372" s="153"/>
      <c r="BRY372" s="153"/>
      <c r="BRZ372" s="153"/>
      <c r="BSA372" s="153"/>
      <c r="BSB372" s="153"/>
      <c r="BSC372" s="153"/>
      <c r="BSD372" s="153"/>
      <c r="BSE372" s="153"/>
      <c r="BSF372" s="153"/>
      <c r="BSG372" s="153"/>
      <c r="BSH372" s="153"/>
      <c r="BSI372" s="650"/>
      <c r="BSJ372" s="641"/>
      <c r="BSK372" s="638"/>
      <c r="BSL372" s="639"/>
      <c r="BSM372" s="153"/>
      <c r="BSN372" s="153"/>
      <c r="BSO372" s="153"/>
      <c r="BSP372" s="153"/>
      <c r="BSQ372" s="153"/>
      <c r="BSR372" s="153"/>
      <c r="BSS372" s="153"/>
      <c r="BST372" s="153"/>
      <c r="BSU372" s="153"/>
      <c r="BSV372" s="153"/>
      <c r="BSW372" s="153"/>
      <c r="BSX372" s="153"/>
      <c r="BSY372" s="650"/>
      <c r="BSZ372" s="641"/>
      <c r="BTA372" s="638"/>
      <c r="BTB372" s="639"/>
      <c r="BTC372" s="153"/>
      <c r="BTD372" s="153"/>
      <c r="BTE372" s="153"/>
      <c r="BTF372" s="153"/>
      <c r="BTG372" s="153"/>
      <c r="BTH372" s="153"/>
      <c r="BTI372" s="153"/>
      <c r="BTJ372" s="153"/>
      <c r="BTK372" s="153"/>
      <c r="BTL372" s="153"/>
      <c r="BTM372" s="153"/>
      <c r="BTN372" s="153"/>
      <c r="BTO372" s="650"/>
      <c r="BTP372" s="641"/>
      <c r="BTQ372" s="638"/>
      <c r="BTR372" s="639"/>
      <c r="BTS372" s="153"/>
      <c r="BTT372" s="153"/>
      <c r="BTU372" s="153"/>
      <c r="BTV372" s="153"/>
      <c r="BTW372" s="153"/>
      <c r="BTX372" s="153"/>
      <c r="BTY372" s="153"/>
      <c r="BTZ372" s="153"/>
      <c r="BUA372" s="153"/>
      <c r="BUB372" s="153"/>
      <c r="BUC372" s="153"/>
      <c r="BUD372" s="153"/>
      <c r="BUE372" s="650"/>
      <c r="BUF372" s="641"/>
      <c r="BUG372" s="638"/>
      <c r="BUH372" s="639"/>
      <c r="BUI372" s="153"/>
      <c r="BUJ372" s="153"/>
      <c r="BUK372" s="153"/>
      <c r="BUL372" s="153"/>
      <c r="BUM372" s="153"/>
      <c r="BUN372" s="153"/>
      <c r="BUO372" s="153"/>
      <c r="BUP372" s="153"/>
      <c r="BUQ372" s="153"/>
      <c r="BUR372" s="153"/>
      <c r="BUS372" s="153"/>
      <c r="BUT372" s="153"/>
      <c r="BUU372" s="650"/>
      <c r="BUV372" s="641"/>
      <c r="BUW372" s="638"/>
      <c r="BUX372" s="639"/>
      <c r="BUY372" s="153"/>
      <c r="BUZ372" s="153"/>
      <c r="BVA372" s="153"/>
      <c r="BVB372" s="153"/>
      <c r="BVC372" s="153"/>
      <c r="BVD372" s="153"/>
      <c r="BVE372" s="153"/>
      <c r="BVF372" s="153"/>
      <c r="BVG372" s="153"/>
      <c r="BVH372" s="153"/>
      <c r="BVI372" s="153"/>
      <c r="BVJ372" s="153"/>
      <c r="BVK372" s="650"/>
      <c r="BVL372" s="641"/>
      <c r="BVM372" s="638"/>
      <c r="BVN372" s="639"/>
      <c r="BVO372" s="153"/>
      <c r="BVP372" s="153"/>
      <c r="BVQ372" s="153"/>
      <c r="BVR372" s="153"/>
      <c r="BVS372" s="153"/>
      <c r="BVT372" s="153"/>
      <c r="BVU372" s="153"/>
      <c r="BVV372" s="153"/>
      <c r="BVW372" s="153"/>
      <c r="BVX372" s="153"/>
      <c r="BVY372" s="153"/>
      <c r="BVZ372" s="153"/>
      <c r="BWA372" s="650"/>
      <c r="BWB372" s="641"/>
      <c r="BWC372" s="638"/>
      <c r="BWD372" s="639"/>
      <c r="BWE372" s="153"/>
      <c r="BWF372" s="153"/>
      <c r="BWG372" s="153"/>
      <c r="BWH372" s="153"/>
      <c r="BWI372" s="153"/>
      <c r="BWJ372" s="153"/>
      <c r="BWK372" s="153"/>
      <c r="BWL372" s="153"/>
      <c r="BWM372" s="153"/>
      <c r="BWN372" s="153"/>
      <c r="BWO372" s="153"/>
      <c r="BWP372" s="153"/>
      <c r="BWQ372" s="650"/>
      <c r="BWR372" s="641"/>
      <c r="BWS372" s="638"/>
      <c r="BWT372" s="639"/>
      <c r="BWU372" s="153"/>
      <c r="BWV372" s="153"/>
      <c r="BWW372" s="153"/>
      <c r="BWX372" s="153"/>
      <c r="BWY372" s="153"/>
      <c r="BWZ372" s="153"/>
      <c r="BXA372" s="153"/>
      <c r="BXB372" s="153"/>
      <c r="BXC372" s="153"/>
      <c r="BXD372" s="153"/>
      <c r="BXE372" s="153"/>
      <c r="BXF372" s="153"/>
      <c r="BXG372" s="650"/>
      <c r="BXH372" s="641"/>
      <c r="BXI372" s="638"/>
      <c r="BXJ372" s="639"/>
      <c r="BXK372" s="153"/>
      <c r="BXL372" s="153"/>
      <c r="BXM372" s="153"/>
      <c r="BXN372" s="153"/>
      <c r="BXO372" s="153"/>
      <c r="BXP372" s="153"/>
      <c r="BXQ372" s="153"/>
      <c r="BXR372" s="153"/>
      <c r="BXS372" s="153"/>
      <c r="BXT372" s="153"/>
      <c r="BXU372" s="153"/>
      <c r="BXV372" s="153"/>
      <c r="BXW372" s="650"/>
      <c r="BXX372" s="641"/>
      <c r="BXY372" s="638"/>
      <c r="BXZ372" s="639"/>
      <c r="BYA372" s="153"/>
      <c r="BYB372" s="153"/>
      <c r="BYC372" s="153"/>
      <c r="BYD372" s="153"/>
      <c r="BYE372" s="153"/>
      <c r="BYF372" s="153"/>
      <c r="BYG372" s="153"/>
      <c r="BYH372" s="153"/>
      <c r="BYI372" s="153"/>
      <c r="BYJ372" s="153"/>
      <c r="BYK372" s="153"/>
      <c r="BYL372" s="153"/>
      <c r="BYM372" s="650"/>
      <c r="BYN372" s="641"/>
      <c r="BYO372" s="638"/>
      <c r="BYP372" s="639"/>
      <c r="BYQ372" s="153"/>
      <c r="BYR372" s="153"/>
      <c r="BYS372" s="153"/>
      <c r="BYT372" s="153"/>
      <c r="BYU372" s="153"/>
      <c r="BYV372" s="153"/>
      <c r="BYW372" s="153"/>
      <c r="BYX372" s="153"/>
      <c r="BYY372" s="153"/>
      <c r="BYZ372" s="153"/>
      <c r="BZA372" s="153"/>
      <c r="BZB372" s="153"/>
      <c r="BZC372" s="650"/>
      <c r="BZD372" s="641"/>
      <c r="BZE372" s="638"/>
      <c r="BZF372" s="639"/>
      <c r="BZG372" s="153"/>
      <c r="BZH372" s="153"/>
      <c r="BZI372" s="153"/>
      <c r="BZJ372" s="153"/>
      <c r="BZK372" s="153"/>
      <c r="BZL372" s="153"/>
      <c r="BZM372" s="153"/>
      <c r="BZN372" s="153"/>
      <c r="BZO372" s="153"/>
      <c r="BZP372" s="153"/>
      <c r="BZQ372" s="153"/>
      <c r="BZR372" s="153"/>
      <c r="BZS372" s="650"/>
      <c r="BZT372" s="641"/>
      <c r="BZU372" s="638"/>
      <c r="BZV372" s="639"/>
      <c r="BZW372" s="153"/>
      <c r="BZX372" s="153"/>
      <c r="BZY372" s="153"/>
      <c r="BZZ372" s="153"/>
      <c r="CAA372" s="153"/>
      <c r="CAB372" s="153"/>
      <c r="CAC372" s="153"/>
      <c r="CAD372" s="153"/>
      <c r="CAE372" s="153"/>
      <c r="CAF372" s="153"/>
      <c r="CAG372" s="153"/>
      <c r="CAH372" s="153"/>
      <c r="CAI372" s="650"/>
      <c r="CAJ372" s="641"/>
      <c r="CAK372" s="638"/>
      <c r="CAL372" s="639"/>
      <c r="CAM372" s="153"/>
      <c r="CAN372" s="153"/>
      <c r="CAO372" s="153"/>
      <c r="CAP372" s="153"/>
      <c r="CAQ372" s="153"/>
      <c r="CAR372" s="153"/>
      <c r="CAS372" s="153"/>
      <c r="CAT372" s="153"/>
      <c r="CAU372" s="153"/>
      <c r="CAV372" s="153"/>
      <c r="CAW372" s="153"/>
      <c r="CAX372" s="153"/>
      <c r="CAY372" s="650"/>
      <c r="CAZ372" s="641"/>
      <c r="CBA372" s="638"/>
      <c r="CBB372" s="639"/>
      <c r="CBC372" s="153"/>
      <c r="CBD372" s="153"/>
      <c r="CBE372" s="153"/>
      <c r="CBF372" s="153"/>
      <c r="CBG372" s="153"/>
      <c r="CBH372" s="153"/>
      <c r="CBI372" s="153"/>
      <c r="CBJ372" s="153"/>
      <c r="CBK372" s="153"/>
      <c r="CBL372" s="153"/>
      <c r="CBM372" s="153"/>
      <c r="CBN372" s="153"/>
      <c r="CBO372" s="650"/>
      <c r="CBP372" s="641"/>
      <c r="CBQ372" s="638"/>
      <c r="CBR372" s="639"/>
      <c r="CBS372" s="153"/>
      <c r="CBT372" s="153"/>
      <c r="CBU372" s="153"/>
      <c r="CBV372" s="153"/>
      <c r="CBW372" s="153"/>
      <c r="CBX372" s="153"/>
      <c r="CBY372" s="153"/>
      <c r="CBZ372" s="153"/>
      <c r="CCA372" s="153"/>
      <c r="CCB372" s="153"/>
      <c r="CCC372" s="153"/>
      <c r="CCD372" s="153"/>
      <c r="CCE372" s="650"/>
      <c r="CCF372" s="641"/>
      <c r="CCG372" s="638"/>
      <c r="CCH372" s="639"/>
      <c r="CCI372" s="153"/>
      <c r="CCJ372" s="153"/>
      <c r="CCK372" s="153"/>
      <c r="CCL372" s="153"/>
      <c r="CCM372" s="153"/>
      <c r="CCN372" s="153"/>
      <c r="CCO372" s="153"/>
      <c r="CCP372" s="153"/>
      <c r="CCQ372" s="153"/>
      <c r="CCR372" s="153"/>
      <c r="CCS372" s="153"/>
      <c r="CCT372" s="153"/>
      <c r="CCU372" s="650"/>
      <c r="CCV372" s="641"/>
      <c r="CCW372" s="638"/>
      <c r="CCX372" s="639"/>
      <c r="CCY372" s="153"/>
      <c r="CCZ372" s="153"/>
      <c r="CDA372" s="153"/>
      <c r="CDB372" s="153"/>
      <c r="CDC372" s="153"/>
      <c r="CDD372" s="153"/>
      <c r="CDE372" s="153"/>
      <c r="CDF372" s="153"/>
      <c r="CDG372" s="153"/>
      <c r="CDH372" s="153"/>
      <c r="CDI372" s="153"/>
      <c r="CDJ372" s="153"/>
      <c r="CDK372" s="650"/>
      <c r="CDL372" s="641"/>
      <c r="CDM372" s="638"/>
      <c r="CDN372" s="639"/>
      <c r="CDO372" s="153"/>
      <c r="CDP372" s="153"/>
      <c r="CDQ372" s="153"/>
      <c r="CDR372" s="153"/>
      <c r="CDS372" s="153"/>
      <c r="CDT372" s="153"/>
      <c r="CDU372" s="153"/>
      <c r="CDV372" s="153"/>
      <c r="CDW372" s="153"/>
      <c r="CDX372" s="153"/>
      <c r="CDY372" s="153"/>
      <c r="CDZ372" s="153"/>
      <c r="CEA372" s="650"/>
      <c r="CEB372" s="641"/>
      <c r="CEC372" s="638"/>
      <c r="CED372" s="639"/>
      <c r="CEE372" s="153"/>
      <c r="CEF372" s="153"/>
      <c r="CEG372" s="153"/>
      <c r="CEH372" s="153"/>
      <c r="CEI372" s="153"/>
      <c r="CEJ372" s="153"/>
      <c r="CEK372" s="153"/>
      <c r="CEL372" s="153"/>
      <c r="CEM372" s="153"/>
      <c r="CEN372" s="153"/>
      <c r="CEO372" s="153"/>
      <c r="CEP372" s="153"/>
      <c r="CEQ372" s="650"/>
      <c r="CER372" s="641"/>
      <c r="CES372" s="638"/>
      <c r="CET372" s="639"/>
      <c r="CEU372" s="153"/>
      <c r="CEV372" s="153"/>
      <c r="CEW372" s="153"/>
      <c r="CEX372" s="153"/>
      <c r="CEY372" s="153"/>
      <c r="CEZ372" s="153"/>
      <c r="CFA372" s="153"/>
      <c r="CFB372" s="153"/>
      <c r="CFC372" s="153"/>
      <c r="CFD372" s="153"/>
      <c r="CFE372" s="153"/>
      <c r="CFF372" s="153"/>
      <c r="CFG372" s="650"/>
      <c r="CFH372" s="641"/>
      <c r="CFI372" s="638"/>
      <c r="CFJ372" s="639"/>
      <c r="CFK372" s="153"/>
      <c r="CFL372" s="153"/>
      <c r="CFM372" s="153"/>
      <c r="CFN372" s="153"/>
      <c r="CFO372" s="153"/>
      <c r="CFP372" s="153"/>
      <c r="CFQ372" s="153"/>
      <c r="CFR372" s="153"/>
      <c r="CFS372" s="153"/>
      <c r="CFT372" s="153"/>
      <c r="CFU372" s="153"/>
      <c r="CFV372" s="153"/>
      <c r="CFW372" s="650"/>
      <c r="CFX372" s="641"/>
      <c r="CFY372" s="638"/>
      <c r="CFZ372" s="639"/>
      <c r="CGA372" s="153"/>
      <c r="CGB372" s="153"/>
      <c r="CGC372" s="153"/>
      <c r="CGD372" s="153"/>
      <c r="CGE372" s="153"/>
      <c r="CGF372" s="153"/>
      <c r="CGG372" s="153"/>
      <c r="CGH372" s="153"/>
      <c r="CGI372" s="153"/>
      <c r="CGJ372" s="153"/>
      <c r="CGK372" s="153"/>
      <c r="CGL372" s="153"/>
      <c r="CGM372" s="650"/>
      <c r="CGN372" s="641"/>
      <c r="CGO372" s="638"/>
      <c r="CGP372" s="639"/>
      <c r="CGQ372" s="153"/>
      <c r="CGR372" s="153"/>
      <c r="CGS372" s="153"/>
      <c r="CGT372" s="153"/>
      <c r="CGU372" s="153"/>
      <c r="CGV372" s="153"/>
      <c r="CGW372" s="153"/>
      <c r="CGX372" s="153"/>
      <c r="CGY372" s="153"/>
      <c r="CGZ372" s="153"/>
      <c r="CHA372" s="153"/>
      <c r="CHB372" s="153"/>
      <c r="CHC372" s="650"/>
      <c r="CHD372" s="641"/>
      <c r="CHE372" s="638"/>
      <c r="CHF372" s="639"/>
      <c r="CHG372" s="153"/>
      <c r="CHH372" s="153"/>
      <c r="CHI372" s="153"/>
      <c r="CHJ372" s="153"/>
      <c r="CHK372" s="153"/>
      <c r="CHL372" s="153"/>
      <c r="CHM372" s="153"/>
      <c r="CHN372" s="153"/>
      <c r="CHO372" s="153"/>
      <c r="CHP372" s="153"/>
      <c r="CHQ372" s="153"/>
      <c r="CHR372" s="153"/>
      <c r="CHS372" s="650"/>
      <c r="CHT372" s="641"/>
      <c r="CHU372" s="638"/>
      <c r="CHV372" s="639"/>
      <c r="CHW372" s="153"/>
      <c r="CHX372" s="153"/>
      <c r="CHY372" s="153"/>
      <c r="CHZ372" s="153"/>
      <c r="CIA372" s="153"/>
      <c r="CIB372" s="153"/>
      <c r="CIC372" s="153"/>
      <c r="CID372" s="153"/>
      <c r="CIE372" s="153"/>
      <c r="CIF372" s="153"/>
      <c r="CIG372" s="153"/>
      <c r="CIH372" s="153"/>
      <c r="CII372" s="650"/>
      <c r="CIJ372" s="641"/>
      <c r="CIK372" s="638"/>
      <c r="CIL372" s="639"/>
      <c r="CIM372" s="153"/>
      <c r="CIN372" s="153"/>
      <c r="CIO372" s="153"/>
      <c r="CIP372" s="153"/>
      <c r="CIQ372" s="153"/>
      <c r="CIR372" s="153"/>
      <c r="CIS372" s="153"/>
      <c r="CIT372" s="153"/>
      <c r="CIU372" s="153"/>
      <c r="CIV372" s="153"/>
      <c r="CIW372" s="153"/>
      <c r="CIX372" s="153"/>
      <c r="CIY372" s="650"/>
      <c r="CIZ372" s="641"/>
      <c r="CJA372" s="638"/>
      <c r="CJB372" s="639"/>
      <c r="CJC372" s="153"/>
      <c r="CJD372" s="153"/>
      <c r="CJE372" s="153"/>
      <c r="CJF372" s="153"/>
      <c r="CJG372" s="153"/>
      <c r="CJH372" s="153"/>
      <c r="CJI372" s="153"/>
      <c r="CJJ372" s="153"/>
      <c r="CJK372" s="153"/>
      <c r="CJL372" s="153"/>
      <c r="CJM372" s="153"/>
      <c r="CJN372" s="153"/>
      <c r="CJO372" s="650"/>
      <c r="CJP372" s="641"/>
      <c r="CJQ372" s="638"/>
      <c r="CJR372" s="639"/>
      <c r="CJS372" s="153"/>
      <c r="CJT372" s="153"/>
      <c r="CJU372" s="153"/>
      <c r="CJV372" s="153"/>
      <c r="CJW372" s="153"/>
      <c r="CJX372" s="153"/>
      <c r="CJY372" s="153"/>
      <c r="CJZ372" s="153"/>
      <c r="CKA372" s="153"/>
      <c r="CKB372" s="153"/>
      <c r="CKC372" s="153"/>
      <c r="CKD372" s="153"/>
      <c r="CKE372" s="650"/>
      <c r="CKF372" s="641"/>
      <c r="CKG372" s="638"/>
      <c r="CKH372" s="639"/>
      <c r="CKI372" s="153"/>
      <c r="CKJ372" s="153"/>
      <c r="CKK372" s="153"/>
      <c r="CKL372" s="153"/>
      <c r="CKM372" s="153"/>
      <c r="CKN372" s="153"/>
      <c r="CKO372" s="153"/>
      <c r="CKP372" s="153"/>
      <c r="CKQ372" s="153"/>
      <c r="CKR372" s="153"/>
      <c r="CKS372" s="153"/>
      <c r="CKT372" s="153"/>
      <c r="CKU372" s="650"/>
      <c r="CKV372" s="641"/>
      <c r="CKW372" s="638"/>
      <c r="CKX372" s="639"/>
      <c r="CKY372" s="153"/>
      <c r="CKZ372" s="153"/>
      <c r="CLA372" s="153"/>
      <c r="CLB372" s="153"/>
      <c r="CLC372" s="153"/>
      <c r="CLD372" s="153"/>
      <c r="CLE372" s="153"/>
      <c r="CLF372" s="153"/>
      <c r="CLG372" s="153"/>
      <c r="CLH372" s="153"/>
      <c r="CLI372" s="153"/>
      <c r="CLJ372" s="153"/>
      <c r="CLK372" s="650"/>
      <c r="CLL372" s="641"/>
      <c r="CLM372" s="638"/>
      <c r="CLN372" s="639"/>
      <c r="CLO372" s="153"/>
      <c r="CLP372" s="153"/>
      <c r="CLQ372" s="153"/>
      <c r="CLR372" s="153"/>
      <c r="CLS372" s="153"/>
      <c r="CLT372" s="153"/>
      <c r="CLU372" s="153"/>
      <c r="CLV372" s="153"/>
      <c r="CLW372" s="153"/>
      <c r="CLX372" s="153"/>
      <c r="CLY372" s="153"/>
      <c r="CLZ372" s="153"/>
      <c r="CMA372" s="650"/>
      <c r="CMB372" s="641"/>
      <c r="CMC372" s="638"/>
      <c r="CMD372" s="639"/>
      <c r="CME372" s="153"/>
      <c r="CMF372" s="153"/>
      <c r="CMG372" s="153"/>
      <c r="CMH372" s="153"/>
      <c r="CMI372" s="153"/>
      <c r="CMJ372" s="153"/>
      <c r="CMK372" s="153"/>
      <c r="CML372" s="153"/>
      <c r="CMM372" s="153"/>
      <c r="CMN372" s="153"/>
      <c r="CMO372" s="153"/>
      <c r="CMP372" s="153"/>
      <c r="CMQ372" s="650"/>
      <c r="CMR372" s="641"/>
      <c r="CMS372" s="638"/>
      <c r="CMT372" s="639"/>
      <c r="CMU372" s="153"/>
      <c r="CMV372" s="153"/>
      <c r="CMW372" s="153"/>
      <c r="CMX372" s="153"/>
      <c r="CMY372" s="153"/>
      <c r="CMZ372" s="153"/>
      <c r="CNA372" s="153"/>
      <c r="CNB372" s="153"/>
      <c r="CNC372" s="153"/>
      <c r="CND372" s="153"/>
      <c r="CNE372" s="153"/>
      <c r="CNF372" s="153"/>
      <c r="CNG372" s="650"/>
      <c r="CNH372" s="641"/>
      <c r="CNI372" s="638"/>
      <c r="CNJ372" s="639"/>
      <c r="CNK372" s="153"/>
      <c r="CNL372" s="153"/>
      <c r="CNM372" s="153"/>
      <c r="CNN372" s="153"/>
      <c r="CNO372" s="153"/>
      <c r="CNP372" s="153"/>
      <c r="CNQ372" s="153"/>
      <c r="CNR372" s="153"/>
      <c r="CNS372" s="153"/>
      <c r="CNT372" s="153"/>
      <c r="CNU372" s="153"/>
      <c r="CNV372" s="153"/>
      <c r="CNW372" s="650"/>
      <c r="CNX372" s="641"/>
      <c r="CNY372" s="638"/>
      <c r="CNZ372" s="639"/>
      <c r="COA372" s="153"/>
      <c r="COB372" s="153"/>
      <c r="COC372" s="153"/>
      <c r="COD372" s="153"/>
      <c r="COE372" s="153"/>
      <c r="COF372" s="153"/>
      <c r="COG372" s="153"/>
      <c r="COH372" s="153"/>
      <c r="COI372" s="153"/>
      <c r="COJ372" s="153"/>
      <c r="COK372" s="153"/>
      <c r="COL372" s="153"/>
      <c r="COM372" s="650"/>
      <c r="CON372" s="641"/>
      <c r="COO372" s="638"/>
      <c r="COP372" s="639"/>
      <c r="COQ372" s="153"/>
      <c r="COR372" s="153"/>
      <c r="COS372" s="153"/>
      <c r="COT372" s="153"/>
      <c r="COU372" s="153"/>
      <c r="COV372" s="153"/>
      <c r="COW372" s="153"/>
      <c r="COX372" s="153"/>
      <c r="COY372" s="153"/>
      <c r="COZ372" s="153"/>
      <c r="CPA372" s="153"/>
      <c r="CPB372" s="153"/>
      <c r="CPC372" s="650"/>
      <c r="CPD372" s="641"/>
      <c r="CPE372" s="638"/>
      <c r="CPF372" s="639"/>
      <c r="CPG372" s="153"/>
      <c r="CPH372" s="153"/>
      <c r="CPI372" s="153"/>
      <c r="CPJ372" s="153"/>
      <c r="CPK372" s="153"/>
      <c r="CPL372" s="153"/>
      <c r="CPM372" s="153"/>
      <c r="CPN372" s="153"/>
      <c r="CPO372" s="153"/>
      <c r="CPP372" s="153"/>
      <c r="CPQ372" s="153"/>
      <c r="CPR372" s="153"/>
      <c r="CPS372" s="650"/>
      <c r="CPT372" s="641"/>
      <c r="CPU372" s="638"/>
      <c r="CPV372" s="639"/>
      <c r="CPW372" s="153"/>
      <c r="CPX372" s="153"/>
      <c r="CPY372" s="153"/>
      <c r="CPZ372" s="153"/>
      <c r="CQA372" s="153"/>
      <c r="CQB372" s="153"/>
      <c r="CQC372" s="153"/>
      <c r="CQD372" s="153"/>
      <c r="CQE372" s="153"/>
      <c r="CQF372" s="153"/>
      <c r="CQG372" s="153"/>
      <c r="CQH372" s="153"/>
      <c r="CQI372" s="650"/>
      <c r="CQJ372" s="641"/>
      <c r="CQK372" s="638"/>
      <c r="CQL372" s="639"/>
      <c r="CQM372" s="153"/>
      <c r="CQN372" s="153"/>
      <c r="CQO372" s="153"/>
      <c r="CQP372" s="153"/>
      <c r="CQQ372" s="153"/>
      <c r="CQR372" s="153"/>
      <c r="CQS372" s="153"/>
      <c r="CQT372" s="153"/>
      <c r="CQU372" s="153"/>
      <c r="CQV372" s="153"/>
      <c r="CQW372" s="153"/>
      <c r="CQX372" s="153"/>
      <c r="CQY372" s="650"/>
      <c r="CQZ372" s="641"/>
      <c r="CRA372" s="638"/>
      <c r="CRB372" s="639"/>
      <c r="CRC372" s="153"/>
      <c r="CRD372" s="153"/>
      <c r="CRE372" s="153"/>
      <c r="CRF372" s="153"/>
      <c r="CRG372" s="153"/>
      <c r="CRH372" s="153"/>
      <c r="CRI372" s="153"/>
      <c r="CRJ372" s="153"/>
      <c r="CRK372" s="153"/>
      <c r="CRL372" s="153"/>
      <c r="CRM372" s="153"/>
      <c r="CRN372" s="153"/>
      <c r="CRO372" s="650"/>
      <c r="CRP372" s="641"/>
      <c r="CRQ372" s="638"/>
      <c r="CRR372" s="639"/>
      <c r="CRS372" s="153"/>
      <c r="CRT372" s="153"/>
      <c r="CRU372" s="153"/>
      <c r="CRV372" s="153"/>
      <c r="CRW372" s="153"/>
      <c r="CRX372" s="153"/>
      <c r="CRY372" s="153"/>
      <c r="CRZ372" s="153"/>
      <c r="CSA372" s="153"/>
      <c r="CSB372" s="153"/>
      <c r="CSC372" s="153"/>
      <c r="CSD372" s="153"/>
      <c r="CSE372" s="650"/>
      <c r="CSF372" s="641"/>
      <c r="CSG372" s="638"/>
      <c r="CSH372" s="639"/>
      <c r="CSI372" s="153"/>
      <c r="CSJ372" s="153"/>
      <c r="CSK372" s="153"/>
      <c r="CSL372" s="153"/>
      <c r="CSM372" s="153"/>
      <c r="CSN372" s="153"/>
      <c r="CSO372" s="153"/>
      <c r="CSP372" s="153"/>
      <c r="CSQ372" s="153"/>
      <c r="CSR372" s="153"/>
      <c r="CSS372" s="153"/>
      <c r="CST372" s="153"/>
      <c r="CSU372" s="650"/>
      <c r="CSV372" s="641"/>
      <c r="CSW372" s="638"/>
      <c r="CSX372" s="639"/>
      <c r="CSY372" s="153"/>
      <c r="CSZ372" s="153"/>
      <c r="CTA372" s="153"/>
      <c r="CTB372" s="153"/>
      <c r="CTC372" s="153"/>
      <c r="CTD372" s="153"/>
      <c r="CTE372" s="153"/>
      <c r="CTF372" s="153"/>
      <c r="CTG372" s="153"/>
      <c r="CTH372" s="153"/>
      <c r="CTI372" s="153"/>
      <c r="CTJ372" s="153"/>
      <c r="CTK372" s="650"/>
      <c r="CTL372" s="641"/>
      <c r="CTM372" s="638"/>
      <c r="CTN372" s="639"/>
      <c r="CTO372" s="153"/>
      <c r="CTP372" s="153"/>
      <c r="CTQ372" s="153"/>
      <c r="CTR372" s="153"/>
      <c r="CTS372" s="153"/>
      <c r="CTT372" s="153"/>
      <c r="CTU372" s="153"/>
      <c r="CTV372" s="153"/>
      <c r="CTW372" s="153"/>
      <c r="CTX372" s="153"/>
      <c r="CTY372" s="153"/>
      <c r="CTZ372" s="153"/>
      <c r="CUA372" s="650"/>
      <c r="CUB372" s="641"/>
      <c r="CUC372" s="638"/>
      <c r="CUD372" s="639"/>
      <c r="CUE372" s="153"/>
      <c r="CUF372" s="153"/>
      <c r="CUG372" s="153"/>
      <c r="CUH372" s="153"/>
      <c r="CUI372" s="153"/>
      <c r="CUJ372" s="153"/>
      <c r="CUK372" s="153"/>
      <c r="CUL372" s="153"/>
      <c r="CUM372" s="153"/>
      <c r="CUN372" s="153"/>
      <c r="CUO372" s="153"/>
      <c r="CUP372" s="153"/>
      <c r="CUQ372" s="650"/>
      <c r="CUR372" s="641"/>
      <c r="CUS372" s="638"/>
      <c r="CUT372" s="639"/>
      <c r="CUU372" s="153"/>
      <c r="CUV372" s="153"/>
      <c r="CUW372" s="153"/>
      <c r="CUX372" s="153"/>
      <c r="CUY372" s="153"/>
      <c r="CUZ372" s="153"/>
      <c r="CVA372" s="153"/>
      <c r="CVB372" s="153"/>
      <c r="CVC372" s="153"/>
      <c r="CVD372" s="153"/>
      <c r="CVE372" s="153"/>
      <c r="CVF372" s="153"/>
      <c r="CVG372" s="650"/>
      <c r="CVH372" s="641"/>
      <c r="CVI372" s="638"/>
      <c r="CVJ372" s="639"/>
      <c r="CVK372" s="153"/>
      <c r="CVL372" s="153"/>
      <c r="CVM372" s="153"/>
      <c r="CVN372" s="153"/>
      <c r="CVO372" s="153"/>
      <c r="CVP372" s="153"/>
      <c r="CVQ372" s="153"/>
      <c r="CVR372" s="153"/>
      <c r="CVS372" s="153"/>
      <c r="CVT372" s="153"/>
      <c r="CVU372" s="153"/>
      <c r="CVV372" s="153"/>
      <c r="CVW372" s="650"/>
      <c r="CVX372" s="641"/>
      <c r="CVY372" s="638"/>
      <c r="CVZ372" s="639"/>
      <c r="CWA372" s="153"/>
      <c r="CWB372" s="153"/>
      <c r="CWC372" s="153"/>
      <c r="CWD372" s="153"/>
      <c r="CWE372" s="153"/>
      <c r="CWF372" s="153"/>
      <c r="CWG372" s="153"/>
      <c r="CWH372" s="153"/>
      <c r="CWI372" s="153"/>
      <c r="CWJ372" s="153"/>
      <c r="CWK372" s="153"/>
      <c r="CWL372" s="153"/>
      <c r="CWM372" s="650"/>
      <c r="CWN372" s="641"/>
      <c r="CWO372" s="638"/>
      <c r="CWP372" s="639"/>
      <c r="CWQ372" s="153"/>
      <c r="CWR372" s="153"/>
      <c r="CWS372" s="153"/>
      <c r="CWT372" s="153"/>
      <c r="CWU372" s="153"/>
      <c r="CWV372" s="153"/>
      <c r="CWW372" s="153"/>
      <c r="CWX372" s="153"/>
      <c r="CWY372" s="153"/>
      <c r="CWZ372" s="153"/>
      <c r="CXA372" s="153"/>
      <c r="CXB372" s="153"/>
      <c r="CXC372" s="650"/>
      <c r="CXD372" s="641"/>
      <c r="CXE372" s="638"/>
      <c r="CXF372" s="639"/>
      <c r="CXG372" s="153"/>
      <c r="CXH372" s="153"/>
      <c r="CXI372" s="153"/>
      <c r="CXJ372" s="153"/>
      <c r="CXK372" s="153"/>
      <c r="CXL372" s="153"/>
      <c r="CXM372" s="153"/>
      <c r="CXN372" s="153"/>
      <c r="CXO372" s="153"/>
      <c r="CXP372" s="153"/>
      <c r="CXQ372" s="153"/>
      <c r="CXR372" s="153"/>
      <c r="CXS372" s="650"/>
      <c r="CXT372" s="641"/>
      <c r="CXU372" s="638"/>
      <c r="CXV372" s="639"/>
      <c r="CXW372" s="153"/>
      <c r="CXX372" s="153"/>
      <c r="CXY372" s="153"/>
      <c r="CXZ372" s="153"/>
      <c r="CYA372" s="153"/>
      <c r="CYB372" s="153"/>
      <c r="CYC372" s="153"/>
      <c r="CYD372" s="153"/>
      <c r="CYE372" s="153"/>
      <c r="CYF372" s="153"/>
      <c r="CYG372" s="153"/>
      <c r="CYH372" s="153"/>
      <c r="CYI372" s="650"/>
      <c r="CYJ372" s="641"/>
      <c r="CYK372" s="638"/>
      <c r="CYL372" s="639"/>
      <c r="CYM372" s="153"/>
      <c r="CYN372" s="153"/>
      <c r="CYO372" s="153"/>
      <c r="CYP372" s="153"/>
      <c r="CYQ372" s="153"/>
      <c r="CYR372" s="153"/>
      <c r="CYS372" s="153"/>
      <c r="CYT372" s="153"/>
      <c r="CYU372" s="153"/>
      <c r="CYV372" s="153"/>
      <c r="CYW372" s="153"/>
      <c r="CYX372" s="153"/>
      <c r="CYY372" s="650"/>
      <c r="CYZ372" s="641"/>
      <c r="CZA372" s="638"/>
      <c r="CZB372" s="639"/>
      <c r="CZC372" s="153"/>
      <c r="CZD372" s="153"/>
      <c r="CZE372" s="153"/>
      <c r="CZF372" s="153"/>
      <c r="CZG372" s="153"/>
      <c r="CZH372" s="153"/>
      <c r="CZI372" s="153"/>
      <c r="CZJ372" s="153"/>
      <c r="CZK372" s="153"/>
      <c r="CZL372" s="153"/>
      <c r="CZM372" s="153"/>
      <c r="CZN372" s="153"/>
      <c r="CZO372" s="650"/>
      <c r="CZP372" s="641"/>
      <c r="CZQ372" s="638"/>
      <c r="CZR372" s="639"/>
      <c r="CZS372" s="153"/>
      <c r="CZT372" s="153"/>
      <c r="CZU372" s="153"/>
      <c r="CZV372" s="153"/>
      <c r="CZW372" s="153"/>
      <c r="CZX372" s="153"/>
      <c r="CZY372" s="153"/>
      <c r="CZZ372" s="153"/>
      <c r="DAA372" s="153"/>
      <c r="DAB372" s="153"/>
      <c r="DAC372" s="153"/>
      <c r="DAD372" s="153"/>
      <c r="DAE372" s="650"/>
      <c r="DAF372" s="641"/>
      <c r="DAG372" s="638"/>
      <c r="DAH372" s="639"/>
      <c r="DAI372" s="153"/>
      <c r="DAJ372" s="153"/>
      <c r="DAK372" s="153"/>
      <c r="DAL372" s="153"/>
      <c r="DAM372" s="153"/>
      <c r="DAN372" s="153"/>
      <c r="DAO372" s="153"/>
      <c r="DAP372" s="153"/>
      <c r="DAQ372" s="153"/>
      <c r="DAR372" s="153"/>
      <c r="DAS372" s="153"/>
      <c r="DAT372" s="153"/>
      <c r="DAU372" s="650"/>
      <c r="DAV372" s="641"/>
      <c r="DAW372" s="638"/>
      <c r="DAX372" s="639"/>
      <c r="DAY372" s="153"/>
      <c r="DAZ372" s="153"/>
      <c r="DBA372" s="153"/>
      <c r="DBB372" s="153"/>
      <c r="DBC372" s="153"/>
      <c r="DBD372" s="153"/>
      <c r="DBE372" s="153"/>
      <c r="DBF372" s="153"/>
      <c r="DBG372" s="153"/>
      <c r="DBH372" s="153"/>
      <c r="DBI372" s="153"/>
      <c r="DBJ372" s="153"/>
      <c r="DBK372" s="650"/>
      <c r="DBL372" s="641"/>
      <c r="DBM372" s="638"/>
      <c r="DBN372" s="639"/>
      <c r="DBO372" s="153"/>
      <c r="DBP372" s="153"/>
      <c r="DBQ372" s="153"/>
      <c r="DBR372" s="153"/>
      <c r="DBS372" s="153"/>
      <c r="DBT372" s="153"/>
      <c r="DBU372" s="153"/>
      <c r="DBV372" s="153"/>
      <c r="DBW372" s="153"/>
      <c r="DBX372" s="153"/>
      <c r="DBY372" s="153"/>
      <c r="DBZ372" s="153"/>
      <c r="DCA372" s="650"/>
      <c r="DCB372" s="641"/>
      <c r="DCC372" s="638"/>
      <c r="DCD372" s="639"/>
      <c r="DCE372" s="153"/>
      <c r="DCF372" s="153"/>
      <c r="DCG372" s="153"/>
      <c r="DCH372" s="153"/>
      <c r="DCI372" s="153"/>
      <c r="DCJ372" s="153"/>
      <c r="DCK372" s="153"/>
      <c r="DCL372" s="153"/>
      <c r="DCM372" s="153"/>
      <c r="DCN372" s="153"/>
      <c r="DCO372" s="153"/>
      <c r="DCP372" s="153"/>
      <c r="DCQ372" s="650"/>
      <c r="DCR372" s="641"/>
      <c r="DCS372" s="638"/>
      <c r="DCT372" s="639"/>
      <c r="DCU372" s="153"/>
      <c r="DCV372" s="153"/>
      <c r="DCW372" s="153"/>
      <c r="DCX372" s="153"/>
      <c r="DCY372" s="153"/>
      <c r="DCZ372" s="153"/>
      <c r="DDA372" s="153"/>
      <c r="DDB372" s="153"/>
      <c r="DDC372" s="153"/>
      <c r="DDD372" s="153"/>
      <c r="DDE372" s="153"/>
      <c r="DDF372" s="153"/>
      <c r="DDG372" s="650"/>
      <c r="DDH372" s="641"/>
      <c r="DDI372" s="638"/>
      <c r="DDJ372" s="639"/>
      <c r="DDK372" s="153"/>
      <c r="DDL372" s="153"/>
      <c r="DDM372" s="153"/>
      <c r="DDN372" s="153"/>
      <c r="DDO372" s="153"/>
      <c r="DDP372" s="153"/>
      <c r="DDQ372" s="153"/>
      <c r="DDR372" s="153"/>
      <c r="DDS372" s="153"/>
      <c r="DDT372" s="153"/>
      <c r="DDU372" s="153"/>
      <c r="DDV372" s="153"/>
      <c r="DDW372" s="650"/>
      <c r="DDX372" s="641"/>
      <c r="DDY372" s="638"/>
      <c r="DDZ372" s="639"/>
      <c r="DEA372" s="153"/>
      <c r="DEB372" s="153"/>
      <c r="DEC372" s="153"/>
      <c r="DED372" s="153"/>
      <c r="DEE372" s="153"/>
      <c r="DEF372" s="153"/>
      <c r="DEG372" s="153"/>
      <c r="DEH372" s="153"/>
      <c r="DEI372" s="153"/>
      <c r="DEJ372" s="153"/>
      <c r="DEK372" s="153"/>
      <c r="DEL372" s="153"/>
      <c r="DEM372" s="650"/>
      <c r="DEN372" s="641"/>
      <c r="DEO372" s="638"/>
      <c r="DEP372" s="639"/>
      <c r="DEQ372" s="153"/>
      <c r="DER372" s="153"/>
      <c r="DES372" s="153"/>
      <c r="DET372" s="153"/>
      <c r="DEU372" s="153"/>
      <c r="DEV372" s="153"/>
      <c r="DEW372" s="153"/>
      <c r="DEX372" s="153"/>
      <c r="DEY372" s="153"/>
      <c r="DEZ372" s="153"/>
      <c r="DFA372" s="153"/>
      <c r="DFB372" s="153"/>
      <c r="DFC372" s="650"/>
      <c r="DFD372" s="641"/>
      <c r="DFE372" s="638"/>
      <c r="DFF372" s="639"/>
      <c r="DFG372" s="153"/>
      <c r="DFH372" s="153"/>
      <c r="DFI372" s="153"/>
      <c r="DFJ372" s="153"/>
      <c r="DFK372" s="153"/>
      <c r="DFL372" s="153"/>
      <c r="DFM372" s="153"/>
      <c r="DFN372" s="153"/>
      <c r="DFO372" s="153"/>
      <c r="DFP372" s="153"/>
      <c r="DFQ372" s="153"/>
      <c r="DFR372" s="153"/>
      <c r="DFS372" s="650"/>
      <c r="DFT372" s="641"/>
      <c r="DFU372" s="638"/>
      <c r="DFV372" s="639"/>
      <c r="DFW372" s="153"/>
      <c r="DFX372" s="153"/>
      <c r="DFY372" s="153"/>
      <c r="DFZ372" s="153"/>
      <c r="DGA372" s="153"/>
      <c r="DGB372" s="153"/>
      <c r="DGC372" s="153"/>
      <c r="DGD372" s="153"/>
      <c r="DGE372" s="153"/>
      <c r="DGF372" s="153"/>
      <c r="DGG372" s="153"/>
      <c r="DGH372" s="153"/>
      <c r="DGI372" s="650"/>
      <c r="DGJ372" s="641"/>
      <c r="DGK372" s="638"/>
      <c r="DGL372" s="639"/>
      <c r="DGM372" s="153"/>
      <c r="DGN372" s="153"/>
      <c r="DGO372" s="153"/>
      <c r="DGP372" s="153"/>
      <c r="DGQ372" s="153"/>
      <c r="DGR372" s="153"/>
      <c r="DGS372" s="153"/>
      <c r="DGT372" s="153"/>
      <c r="DGU372" s="153"/>
      <c r="DGV372" s="153"/>
      <c r="DGW372" s="153"/>
      <c r="DGX372" s="153"/>
      <c r="DGY372" s="650"/>
      <c r="DGZ372" s="641"/>
      <c r="DHA372" s="638"/>
      <c r="DHB372" s="639"/>
      <c r="DHC372" s="153"/>
      <c r="DHD372" s="153"/>
      <c r="DHE372" s="153"/>
      <c r="DHF372" s="153"/>
      <c r="DHG372" s="153"/>
      <c r="DHH372" s="153"/>
      <c r="DHI372" s="153"/>
      <c r="DHJ372" s="153"/>
      <c r="DHK372" s="153"/>
      <c r="DHL372" s="153"/>
      <c r="DHM372" s="153"/>
      <c r="DHN372" s="153"/>
      <c r="DHO372" s="650"/>
      <c r="DHP372" s="641"/>
      <c r="DHQ372" s="638"/>
      <c r="DHR372" s="639"/>
      <c r="DHS372" s="153"/>
      <c r="DHT372" s="153"/>
      <c r="DHU372" s="153"/>
      <c r="DHV372" s="153"/>
      <c r="DHW372" s="153"/>
      <c r="DHX372" s="153"/>
      <c r="DHY372" s="153"/>
      <c r="DHZ372" s="153"/>
      <c r="DIA372" s="153"/>
      <c r="DIB372" s="153"/>
      <c r="DIC372" s="153"/>
      <c r="DID372" s="153"/>
      <c r="DIE372" s="650"/>
      <c r="DIF372" s="641"/>
      <c r="DIG372" s="638"/>
      <c r="DIH372" s="639"/>
      <c r="DII372" s="153"/>
      <c r="DIJ372" s="153"/>
      <c r="DIK372" s="153"/>
      <c r="DIL372" s="153"/>
      <c r="DIM372" s="153"/>
      <c r="DIN372" s="153"/>
      <c r="DIO372" s="153"/>
      <c r="DIP372" s="153"/>
      <c r="DIQ372" s="153"/>
      <c r="DIR372" s="153"/>
      <c r="DIS372" s="153"/>
      <c r="DIT372" s="153"/>
      <c r="DIU372" s="650"/>
      <c r="DIV372" s="641"/>
      <c r="DIW372" s="638"/>
      <c r="DIX372" s="639"/>
      <c r="DIY372" s="153"/>
      <c r="DIZ372" s="153"/>
      <c r="DJA372" s="153"/>
      <c r="DJB372" s="153"/>
      <c r="DJC372" s="153"/>
      <c r="DJD372" s="153"/>
      <c r="DJE372" s="153"/>
      <c r="DJF372" s="153"/>
      <c r="DJG372" s="153"/>
      <c r="DJH372" s="153"/>
      <c r="DJI372" s="153"/>
      <c r="DJJ372" s="153"/>
      <c r="DJK372" s="650"/>
      <c r="DJL372" s="641"/>
      <c r="DJM372" s="638"/>
      <c r="DJN372" s="639"/>
      <c r="DJO372" s="153"/>
      <c r="DJP372" s="153"/>
      <c r="DJQ372" s="153"/>
      <c r="DJR372" s="153"/>
      <c r="DJS372" s="153"/>
      <c r="DJT372" s="153"/>
      <c r="DJU372" s="153"/>
      <c r="DJV372" s="153"/>
      <c r="DJW372" s="153"/>
      <c r="DJX372" s="153"/>
      <c r="DJY372" s="153"/>
      <c r="DJZ372" s="153"/>
      <c r="DKA372" s="650"/>
      <c r="DKB372" s="641"/>
      <c r="DKC372" s="638"/>
      <c r="DKD372" s="639"/>
      <c r="DKE372" s="153"/>
      <c r="DKF372" s="153"/>
      <c r="DKG372" s="153"/>
      <c r="DKH372" s="153"/>
      <c r="DKI372" s="153"/>
      <c r="DKJ372" s="153"/>
      <c r="DKK372" s="153"/>
      <c r="DKL372" s="153"/>
      <c r="DKM372" s="153"/>
      <c r="DKN372" s="153"/>
      <c r="DKO372" s="153"/>
      <c r="DKP372" s="153"/>
      <c r="DKQ372" s="650"/>
      <c r="DKR372" s="641"/>
      <c r="DKS372" s="638"/>
      <c r="DKT372" s="639"/>
      <c r="DKU372" s="153"/>
      <c r="DKV372" s="153"/>
      <c r="DKW372" s="153"/>
      <c r="DKX372" s="153"/>
      <c r="DKY372" s="153"/>
      <c r="DKZ372" s="153"/>
      <c r="DLA372" s="153"/>
      <c r="DLB372" s="153"/>
      <c r="DLC372" s="153"/>
      <c r="DLD372" s="153"/>
      <c r="DLE372" s="153"/>
      <c r="DLF372" s="153"/>
      <c r="DLG372" s="650"/>
      <c r="DLH372" s="641"/>
      <c r="DLI372" s="638"/>
      <c r="DLJ372" s="639"/>
      <c r="DLK372" s="153"/>
      <c r="DLL372" s="153"/>
      <c r="DLM372" s="153"/>
      <c r="DLN372" s="153"/>
      <c r="DLO372" s="153"/>
      <c r="DLP372" s="153"/>
      <c r="DLQ372" s="153"/>
      <c r="DLR372" s="153"/>
      <c r="DLS372" s="153"/>
      <c r="DLT372" s="153"/>
      <c r="DLU372" s="153"/>
      <c r="DLV372" s="153"/>
      <c r="DLW372" s="650"/>
      <c r="DLX372" s="641"/>
      <c r="DLY372" s="638"/>
      <c r="DLZ372" s="639"/>
      <c r="DMA372" s="153"/>
      <c r="DMB372" s="153"/>
      <c r="DMC372" s="153"/>
      <c r="DMD372" s="153"/>
      <c r="DME372" s="153"/>
      <c r="DMF372" s="153"/>
      <c r="DMG372" s="153"/>
      <c r="DMH372" s="153"/>
      <c r="DMI372" s="153"/>
      <c r="DMJ372" s="153"/>
      <c r="DMK372" s="153"/>
      <c r="DML372" s="153"/>
      <c r="DMM372" s="650"/>
      <c r="DMN372" s="641"/>
      <c r="DMO372" s="638"/>
      <c r="DMP372" s="639"/>
      <c r="DMQ372" s="153"/>
      <c r="DMR372" s="153"/>
      <c r="DMS372" s="153"/>
      <c r="DMT372" s="153"/>
      <c r="DMU372" s="153"/>
      <c r="DMV372" s="153"/>
      <c r="DMW372" s="153"/>
      <c r="DMX372" s="153"/>
      <c r="DMY372" s="153"/>
      <c r="DMZ372" s="153"/>
      <c r="DNA372" s="153"/>
      <c r="DNB372" s="153"/>
      <c r="DNC372" s="650"/>
      <c r="DND372" s="641"/>
      <c r="DNE372" s="638"/>
      <c r="DNF372" s="639"/>
      <c r="DNG372" s="153"/>
      <c r="DNH372" s="153"/>
      <c r="DNI372" s="153"/>
      <c r="DNJ372" s="153"/>
      <c r="DNK372" s="153"/>
      <c r="DNL372" s="153"/>
      <c r="DNM372" s="153"/>
      <c r="DNN372" s="153"/>
      <c r="DNO372" s="153"/>
      <c r="DNP372" s="153"/>
      <c r="DNQ372" s="153"/>
      <c r="DNR372" s="153"/>
      <c r="DNS372" s="650"/>
      <c r="DNT372" s="641"/>
      <c r="DNU372" s="638"/>
      <c r="DNV372" s="639"/>
      <c r="DNW372" s="153"/>
      <c r="DNX372" s="153"/>
      <c r="DNY372" s="153"/>
      <c r="DNZ372" s="153"/>
      <c r="DOA372" s="153"/>
      <c r="DOB372" s="153"/>
      <c r="DOC372" s="153"/>
      <c r="DOD372" s="153"/>
      <c r="DOE372" s="153"/>
      <c r="DOF372" s="153"/>
      <c r="DOG372" s="153"/>
      <c r="DOH372" s="153"/>
      <c r="DOI372" s="650"/>
      <c r="DOJ372" s="641"/>
      <c r="DOK372" s="638"/>
      <c r="DOL372" s="639"/>
      <c r="DOM372" s="153"/>
      <c r="DON372" s="153"/>
      <c r="DOO372" s="153"/>
      <c r="DOP372" s="153"/>
      <c r="DOQ372" s="153"/>
      <c r="DOR372" s="153"/>
      <c r="DOS372" s="153"/>
      <c r="DOT372" s="153"/>
      <c r="DOU372" s="153"/>
      <c r="DOV372" s="153"/>
      <c r="DOW372" s="153"/>
      <c r="DOX372" s="153"/>
      <c r="DOY372" s="650"/>
      <c r="DOZ372" s="641"/>
      <c r="DPA372" s="638"/>
      <c r="DPB372" s="639"/>
      <c r="DPC372" s="153"/>
      <c r="DPD372" s="153"/>
      <c r="DPE372" s="153"/>
      <c r="DPF372" s="153"/>
      <c r="DPG372" s="153"/>
      <c r="DPH372" s="153"/>
      <c r="DPI372" s="153"/>
      <c r="DPJ372" s="153"/>
      <c r="DPK372" s="153"/>
      <c r="DPL372" s="153"/>
      <c r="DPM372" s="153"/>
      <c r="DPN372" s="153"/>
      <c r="DPO372" s="650"/>
      <c r="DPP372" s="641"/>
      <c r="DPQ372" s="638"/>
      <c r="DPR372" s="639"/>
      <c r="DPS372" s="153"/>
      <c r="DPT372" s="153"/>
      <c r="DPU372" s="153"/>
      <c r="DPV372" s="153"/>
      <c r="DPW372" s="153"/>
      <c r="DPX372" s="153"/>
      <c r="DPY372" s="153"/>
      <c r="DPZ372" s="153"/>
      <c r="DQA372" s="153"/>
      <c r="DQB372" s="153"/>
      <c r="DQC372" s="153"/>
      <c r="DQD372" s="153"/>
      <c r="DQE372" s="650"/>
      <c r="DQF372" s="641"/>
      <c r="DQG372" s="638"/>
      <c r="DQH372" s="639"/>
      <c r="DQI372" s="153"/>
      <c r="DQJ372" s="153"/>
      <c r="DQK372" s="153"/>
      <c r="DQL372" s="153"/>
      <c r="DQM372" s="153"/>
      <c r="DQN372" s="153"/>
      <c r="DQO372" s="153"/>
      <c r="DQP372" s="153"/>
      <c r="DQQ372" s="153"/>
      <c r="DQR372" s="153"/>
      <c r="DQS372" s="153"/>
      <c r="DQT372" s="153"/>
      <c r="DQU372" s="650"/>
      <c r="DQV372" s="641"/>
      <c r="DQW372" s="638"/>
      <c r="DQX372" s="639"/>
      <c r="DQY372" s="153"/>
      <c r="DQZ372" s="153"/>
      <c r="DRA372" s="153"/>
      <c r="DRB372" s="153"/>
      <c r="DRC372" s="153"/>
      <c r="DRD372" s="153"/>
      <c r="DRE372" s="153"/>
      <c r="DRF372" s="153"/>
      <c r="DRG372" s="153"/>
      <c r="DRH372" s="153"/>
      <c r="DRI372" s="153"/>
      <c r="DRJ372" s="153"/>
      <c r="DRK372" s="650"/>
      <c r="DRL372" s="641"/>
      <c r="DRM372" s="638"/>
      <c r="DRN372" s="639"/>
      <c r="DRO372" s="153"/>
      <c r="DRP372" s="153"/>
      <c r="DRQ372" s="153"/>
      <c r="DRR372" s="153"/>
      <c r="DRS372" s="153"/>
      <c r="DRT372" s="153"/>
      <c r="DRU372" s="153"/>
      <c r="DRV372" s="153"/>
      <c r="DRW372" s="153"/>
      <c r="DRX372" s="153"/>
      <c r="DRY372" s="153"/>
      <c r="DRZ372" s="153"/>
      <c r="DSA372" s="650"/>
      <c r="DSB372" s="641"/>
      <c r="DSC372" s="638"/>
      <c r="DSD372" s="639"/>
      <c r="DSE372" s="153"/>
      <c r="DSF372" s="153"/>
      <c r="DSG372" s="153"/>
      <c r="DSH372" s="153"/>
      <c r="DSI372" s="153"/>
      <c r="DSJ372" s="153"/>
      <c r="DSK372" s="153"/>
      <c r="DSL372" s="153"/>
      <c r="DSM372" s="153"/>
      <c r="DSN372" s="153"/>
      <c r="DSO372" s="153"/>
      <c r="DSP372" s="153"/>
      <c r="DSQ372" s="650"/>
      <c r="DSR372" s="641"/>
      <c r="DSS372" s="638"/>
      <c r="DST372" s="639"/>
      <c r="DSU372" s="153"/>
      <c r="DSV372" s="153"/>
      <c r="DSW372" s="153"/>
      <c r="DSX372" s="153"/>
      <c r="DSY372" s="153"/>
      <c r="DSZ372" s="153"/>
      <c r="DTA372" s="153"/>
      <c r="DTB372" s="153"/>
      <c r="DTC372" s="153"/>
      <c r="DTD372" s="153"/>
      <c r="DTE372" s="153"/>
      <c r="DTF372" s="153"/>
      <c r="DTG372" s="650"/>
      <c r="DTH372" s="641"/>
      <c r="DTI372" s="638"/>
      <c r="DTJ372" s="639"/>
      <c r="DTK372" s="153"/>
      <c r="DTL372" s="153"/>
      <c r="DTM372" s="153"/>
      <c r="DTN372" s="153"/>
      <c r="DTO372" s="153"/>
      <c r="DTP372" s="153"/>
      <c r="DTQ372" s="153"/>
      <c r="DTR372" s="153"/>
      <c r="DTS372" s="153"/>
      <c r="DTT372" s="153"/>
      <c r="DTU372" s="153"/>
      <c r="DTV372" s="153"/>
      <c r="DTW372" s="650"/>
      <c r="DTX372" s="641"/>
      <c r="DTY372" s="638"/>
      <c r="DTZ372" s="639"/>
      <c r="DUA372" s="153"/>
      <c r="DUB372" s="153"/>
      <c r="DUC372" s="153"/>
      <c r="DUD372" s="153"/>
      <c r="DUE372" s="153"/>
      <c r="DUF372" s="153"/>
      <c r="DUG372" s="153"/>
      <c r="DUH372" s="153"/>
      <c r="DUI372" s="153"/>
      <c r="DUJ372" s="153"/>
      <c r="DUK372" s="153"/>
      <c r="DUL372" s="153"/>
      <c r="DUM372" s="650"/>
      <c r="DUN372" s="641"/>
      <c r="DUO372" s="638"/>
      <c r="DUP372" s="639"/>
      <c r="DUQ372" s="153"/>
      <c r="DUR372" s="153"/>
      <c r="DUS372" s="153"/>
      <c r="DUT372" s="153"/>
      <c r="DUU372" s="153"/>
      <c r="DUV372" s="153"/>
      <c r="DUW372" s="153"/>
      <c r="DUX372" s="153"/>
      <c r="DUY372" s="153"/>
      <c r="DUZ372" s="153"/>
      <c r="DVA372" s="153"/>
      <c r="DVB372" s="153"/>
      <c r="DVC372" s="650"/>
      <c r="DVD372" s="641"/>
      <c r="DVE372" s="638"/>
      <c r="DVF372" s="639"/>
      <c r="DVG372" s="153"/>
      <c r="DVH372" s="153"/>
      <c r="DVI372" s="153"/>
      <c r="DVJ372" s="153"/>
      <c r="DVK372" s="153"/>
      <c r="DVL372" s="153"/>
      <c r="DVM372" s="153"/>
      <c r="DVN372" s="153"/>
      <c r="DVO372" s="153"/>
      <c r="DVP372" s="153"/>
      <c r="DVQ372" s="153"/>
      <c r="DVR372" s="153"/>
      <c r="DVS372" s="650"/>
      <c r="DVT372" s="641"/>
      <c r="DVU372" s="638"/>
      <c r="DVV372" s="639"/>
      <c r="DVW372" s="153"/>
      <c r="DVX372" s="153"/>
      <c r="DVY372" s="153"/>
      <c r="DVZ372" s="153"/>
      <c r="DWA372" s="153"/>
      <c r="DWB372" s="153"/>
      <c r="DWC372" s="153"/>
      <c r="DWD372" s="153"/>
      <c r="DWE372" s="153"/>
      <c r="DWF372" s="153"/>
      <c r="DWG372" s="153"/>
      <c r="DWH372" s="153"/>
      <c r="DWI372" s="650"/>
      <c r="DWJ372" s="641"/>
      <c r="DWK372" s="638"/>
      <c r="DWL372" s="639"/>
      <c r="DWM372" s="153"/>
      <c r="DWN372" s="153"/>
      <c r="DWO372" s="153"/>
      <c r="DWP372" s="153"/>
      <c r="DWQ372" s="153"/>
      <c r="DWR372" s="153"/>
      <c r="DWS372" s="153"/>
      <c r="DWT372" s="153"/>
      <c r="DWU372" s="153"/>
      <c r="DWV372" s="153"/>
      <c r="DWW372" s="153"/>
      <c r="DWX372" s="153"/>
      <c r="DWY372" s="650"/>
      <c r="DWZ372" s="641"/>
      <c r="DXA372" s="638"/>
      <c r="DXB372" s="639"/>
      <c r="DXC372" s="153"/>
      <c r="DXD372" s="153"/>
      <c r="DXE372" s="153"/>
      <c r="DXF372" s="153"/>
      <c r="DXG372" s="153"/>
      <c r="DXH372" s="153"/>
      <c r="DXI372" s="153"/>
      <c r="DXJ372" s="153"/>
      <c r="DXK372" s="153"/>
      <c r="DXL372" s="153"/>
      <c r="DXM372" s="153"/>
      <c r="DXN372" s="153"/>
      <c r="DXO372" s="650"/>
      <c r="DXP372" s="641"/>
      <c r="DXQ372" s="638"/>
      <c r="DXR372" s="639"/>
      <c r="DXS372" s="153"/>
      <c r="DXT372" s="153"/>
      <c r="DXU372" s="153"/>
      <c r="DXV372" s="153"/>
      <c r="DXW372" s="153"/>
      <c r="DXX372" s="153"/>
      <c r="DXY372" s="153"/>
      <c r="DXZ372" s="153"/>
      <c r="DYA372" s="153"/>
      <c r="DYB372" s="153"/>
      <c r="DYC372" s="153"/>
      <c r="DYD372" s="153"/>
      <c r="DYE372" s="650"/>
      <c r="DYF372" s="641"/>
      <c r="DYG372" s="638"/>
      <c r="DYH372" s="639"/>
      <c r="DYI372" s="153"/>
      <c r="DYJ372" s="153"/>
      <c r="DYK372" s="153"/>
      <c r="DYL372" s="153"/>
      <c r="DYM372" s="153"/>
      <c r="DYN372" s="153"/>
      <c r="DYO372" s="153"/>
      <c r="DYP372" s="153"/>
      <c r="DYQ372" s="153"/>
      <c r="DYR372" s="153"/>
      <c r="DYS372" s="153"/>
      <c r="DYT372" s="153"/>
      <c r="DYU372" s="650"/>
      <c r="DYV372" s="641"/>
      <c r="DYW372" s="638"/>
      <c r="DYX372" s="639"/>
      <c r="DYY372" s="153"/>
      <c r="DYZ372" s="153"/>
      <c r="DZA372" s="153"/>
      <c r="DZB372" s="153"/>
      <c r="DZC372" s="153"/>
      <c r="DZD372" s="153"/>
      <c r="DZE372" s="153"/>
      <c r="DZF372" s="153"/>
      <c r="DZG372" s="153"/>
      <c r="DZH372" s="153"/>
      <c r="DZI372" s="153"/>
      <c r="DZJ372" s="153"/>
      <c r="DZK372" s="650"/>
      <c r="DZL372" s="641"/>
      <c r="DZM372" s="638"/>
      <c r="DZN372" s="639"/>
      <c r="DZO372" s="153"/>
      <c r="DZP372" s="153"/>
      <c r="DZQ372" s="153"/>
      <c r="DZR372" s="153"/>
      <c r="DZS372" s="153"/>
      <c r="DZT372" s="153"/>
      <c r="DZU372" s="153"/>
      <c r="DZV372" s="153"/>
      <c r="DZW372" s="153"/>
      <c r="DZX372" s="153"/>
      <c r="DZY372" s="153"/>
      <c r="DZZ372" s="153"/>
      <c r="EAA372" s="650"/>
      <c r="EAB372" s="641"/>
      <c r="EAC372" s="638"/>
      <c r="EAD372" s="639"/>
      <c r="EAE372" s="153"/>
      <c r="EAF372" s="153"/>
      <c r="EAG372" s="153"/>
      <c r="EAH372" s="153"/>
      <c r="EAI372" s="153"/>
      <c r="EAJ372" s="153"/>
      <c r="EAK372" s="153"/>
      <c r="EAL372" s="153"/>
      <c r="EAM372" s="153"/>
      <c r="EAN372" s="153"/>
      <c r="EAO372" s="153"/>
      <c r="EAP372" s="153"/>
      <c r="EAQ372" s="650"/>
      <c r="EAR372" s="641"/>
      <c r="EAS372" s="638"/>
      <c r="EAT372" s="639"/>
      <c r="EAU372" s="153"/>
      <c r="EAV372" s="153"/>
      <c r="EAW372" s="153"/>
      <c r="EAX372" s="153"/>
      <c r="EAY372" s="153"/>
      <c r="EAZ372" s="153"/>
      <c r="EBA372" s="153"/>
      <c r="EBB372" s="153"/>
      <c r="EBC372" s="153"/>
      <c r="EBD372" s="153"/>
      <c r="EBE372" s="153"/>
      <c r="EBF372" s="153"/>
      <c r="EBG372" s="650"/>
      <c r="EBH372" s="641"/>
      <c r="EBI372" s="638"/>
      <c r="EBJ372" s="639"/>
      <c r="EBK372" s="153"/>
      <c r="EBL372" s="153"/>
      <c r="EBM372" s="153"/>
      <c r="EBN372" s="153"/>
      <c r="EBO372" s="153"/>
      <c r="EBP372" s="153"/>
      <c r="EBQ372" s="153"/>
      <c r="EBR372" s="153"/>
      <c r="EBS372" s="153"/>
      <c r="EBT372" s="153"/>
      <c r="EBU372" s="153"/>
      <c r="EBV372" s="153"/>
      <c r="EBW372" s="650"/>
      <c r="EBX372" s="641"/>
      <c r="EBY372" s="638"/>
      <c r="EBZ372" s="639"/>
      <c r="ECA372" s="153"/>
      <c r="ECB372" s="153"/>
      <c r="ECC372" s="153"/>
      <c r="ECD372" s="153"/>
      <c r="ECE372" s="153"/>
      <c r="ECF372" s="153"/>
      <c r="ECG372" s="153"/>
      <c r="ECH372" s="153"/>
      <c r="ECI372" s="153"/>
      <c r="ECJ372" s="153"/>
      <c r="ECK372" s="153"/>
      <c r="ECL372" s="153"/>
      <c r="ECM372" s="650"/>
      <c r="ECN372" s="641"/>
      <c r="ECO372" s="638"/>
      <c r="ECP372" s="639"/>
      <c r="ECQ372" s="153"/>
      <c r="ECR372" s="153"/>
      <c r="ECS372" s="153"/>
      <c r="ECT372" s="153"/>
      <c r="ECU372" s="153"/>
      <c r="ECV372" s="153"/>
      <c r="ECW372" s="153"/>
      <c r="ECX372" s="153"/>
      <c r="ECY372" s="153"/>
      <c r="ECZ372" s="153"/>
      <c r="EDA372" s="153"/>
      <c r="EDB372" s="153"/>
      <c r="EDC372" s="650"/>
      <c r="EDD372" s="641"/>
      <c r="EDE372" s="638"/>
      <c r="EDF372" s="639"/>
      <c r="EDG372" s="153"/>
      <c r="EDH372" s="153"/>
      <c r="EDI372" s="153"/>
      <c r="EDJ372" s="153"/>
      <c r="EDK372" s="153"/>
      <c r="EDL372" s="153"/>
      <c r="EDM372" s="153"/>
      <c r="EDN372" s="153"/>
      <c r="EDO372" s="153"/>
      <c r="EDP372" s="153"/>
      <c r="EDQ372" s="153"/>
      <c r="EDR372" s="153"/>
      <c r="EDS372" s="650"/>
      <c r="EDT372" s="641"/>
      <c r="EDU372" s="638"/>
      <c r="EDV372" s="639"/>
      <c r="EDW372" s="153"/>
      <c r="EDX372" s="153"/>
      <c r="EDY372" s="153"/>
      <c r="EDZ372" s="153"/>
      <c r="EEA372" s="153"/>
      <c r="EEB372" s="153"/>
      <c r="EEC372" s="153"/>
      <c r="EED372" s="153"/>
      <c r="EEE372" s="153"/>
      <c r="EEF372" s="153"/>
      <c r="EEG372" s="153"/>
      <c r="EEH372" s="153"/>
      <c r="EEI372" s="650"/>
      <c r="EEJ372" s="641"/>
      <c r="EEK372" s="638"/>
      <c r="EEL372" s="639"/>
      <c r="EEM372" s="153"/>
      <c r="EEN372" s="153"/>
      <c r="EEO372" s="153"/>
      <c r="EEP372" s="153"/>
      <c r="EEQ372" s="153"/>
      <c r="EER372" s="153"/>
      <c r="EES372" s="153"/>
      <c r="EET372" s="153"/>
      <c r="EEU372" s="153"/>
      <c r="EEV372" s="153"/>
      <c r="EEW372" s="153"/>
      <c r="EEX372" s="153"/>
      <c r="EEY372" s="650"/>
      <c r="EEZ372" s="641"/>
      <c r="EFA372" s="638"/>
      <c r="EFB372" s="639"/>
      <c r="EFC372" s="153"/>
      <c r="EFD372" s="153"/>
      <c r="EFE372" s="153"/>
      <c r="EFF372" s="153"/>
      <c r="EFG372" s="153"/>
      <c r="EFH372" s="153"/>
      <c r="EFI372" s="153"/>
      <c r="EFJ372" s="153"/>
      <c r="EFK372" s="153"/>
      <c r="EFL372" s="153"/>
      <c r="EFM372" s="153"/>
      <c r="EFN372" s="153"/>
      <c r="EFO372" s="650"/>
      <c r="EFP372" s="641"/>
      <c r="EFQ372" s="638"/>
      <c r="EFR372" s="639"/>
      <c r="EFS372" s="153"/>
      <c r="EFT372" s="153"/>
      <c r="EFU372" s="153"/>
      <c r="EFV372" s="153"/>
      <c r="EFW372" s="153"/>
      <c r="EFX372" s="153"/>
      <c r="EFY372" s="153"/>
      <c r="EFZ372" s="153"/>
      <c r="EGA372" s="153"/>
      <c r="EGB372" s="153"/>
      <c r="EGC372" s="153"/>
      <c r="EGD372" s="153"/>
      <c r="EGE372" s="650"/>
      <c r="EGF372" s="641"/>
      <c r="EGG372" s="638"/>
      <c r="EGH372" s="639"/>
      <c r="EGI372" s="153"/>
      <c r="EGJ372" s="153"/>
      <c r="EGK372" s="153"/>
      <c r="EGL372" s="153"/>
      <c r="EGM372" s="153"/>
      <c r="EGN372" s="153"/>
      <c r="EGO372" s="153"/>
      <c r="EGP372" s="153"/>
      <c r="EGQ372" s="153"/>
      <c r="EGR372" s="153"/>
      <c r="EGS372" s="153"/>
      <c r="EGT372" s="153"/>
      <c r="EGU372" s="650"/>
      <c r="EGV372" s="641"/>
      <c r="EGW372" s="638"/>
      <c r="EGX372" s="639"/>
      <c r="EGY372" s="153"/>
      <c r="EGZ372" s="153"/>
      <c r="EHA372" s="153"/>
      <c r="EHB372" s="153"/>
      <c r="EHC372" s="153"/>
      <c r="EHD372" s="153"/>
      <c r="EHE372" s="153"/>
      <c r="EHF372" s="153"/>
      <c r="EHG372" s="153"/>
      <c r="EHH372" s="153"/>
      <c r="EHI372" s="153"/>
      <c r="EHJ372" s="153"/>
      <c r="EHK372" s="650"/>
      <c r="EHL372" s="641"/>
      <c r="EHM372" s="638"/>
      <c r="EHN372" s="639"/>
      <c r="EHO372" s="153"/>
      <c r="EHP372" s="153"/>
      <c r="EHQ372" s="153"/>
      <c r="EHR372" s="153"/>
      <c r="EHS372" s="153"/>
      <c r="EHT372" s="153"/>
      <c r="EHU372" s="153"/>
      <c r="EHV372" s="153"/>
      <c r="EHW372" s="153"/>
      <c r="EHX372" s="153"/>
      <c r="EHY372" s="153"/>
      <c r="EHZ372" s="153"/>
      <c r="EIA372" s="650"/>
      <c r="EIB372" s="641"/>
      <c r="EIC372" s="638"/>
      <c r="EID372" s="639"/>
      <c r="EIE372" s="153"/>
      <c r="EIF372" s="153"/>
      <c r="EIG372" s="153"/>
      <c r="EIH372" s="153"/>
      <c r="EII372" s="153"/>
      <c r="EIJ372" s="153"/>
      <c r="EIK372" s="153"/>
      <c r="EIL372" s="153"/>
      <c r="EIM372" s="153"/>
      <c r="EIN372" s="153"/>
      <c r="EIO372" s="153"/>
      <c r="EIP372" s="153"/>
      <c r="EIQ372" s="650"/>
      <c r="EIR372" s="641"/>
      <c r="EIS372" s="638"/>
      <c r="EIT372" s="639"/>
      <c r="EIU372" s="153"/>
      <c r="EIV372" s="153"/>
      <c r="EIW372" s="153"/>
      <c r="EIX372" s="153"/>
      <c r="EIY372" s="153"/>
      <c r="EIZ372" s="153"/>
      <c r="EJA372" s="153"/>
      <c r="EJB372" s="153"/>
      <c r="EJC372" s="153"/>
      <c r="EJD372" s="153"/>
      <c r="EJE372" s="153"/>
      <c r="EJF372" s="153"/>
      <c r="EJG372" s="650"/>
      <c r="EJH372" s="641"/>
      <c r="EJI372" s="638"/>
      <c r="EJJ372" s="639"/>
      <c r="EJK372" s="153"/>
      <c r="EJL372" s="153"/>
      <c r="EJM372" s="153"/>
      <c r="EJN372" s="153"/>
      <c r="EJO372" s="153"/>
      <c r="EJP372" s="153"/>
      <c r="EJQ372" s="153"/>
      <c r="EJR372" s="153"/>
      <c r="EJS372" s="153"/>
      <c r="EJT372" s="153"/>
      <c r="EJU372" s="153"/>
      <c r="EJV372" s="153"/>
      <c r="EJW372" s="650"/>
      <c r="EJX372" s="641"/>
      <c r="EJY372" s="638"/>
      <c r="EJZ372" s="639"/>
      <c r="EKA372" s="153"/>
      <c r="EKB372" s="153"/>
      <c r="EKC372" s="153"/>
      <c r="EKD372" s="153"/>
      <c r="EKE372" s="153"/>
      <c r="EKF372" s="153"/>
      <c r="EKG372" s="153"/>
      <c r="EKH372" s="153"/>
      <c r="EKI372" s="153"/>
      <c r="EKJ372" s="153"/>
      <c r="EKK372" s="153"/>
      <c r="EKL372" s="153"/>
      <c r="EKM372" s="650"/>
      <c r="EKN372" s="641"/>
      <c r="EKO372" s="638"/>
      <c r="EKP372" s="639"/>
      <c r="EKQ372" s="153"/>
      <c r="EKR372" s="153"/>
      <c r="EKS372" s="153"/>
      <c r="EKT372" s="153"/>
      <c r="EKU372" s="153"/>
      <c r="EKV372" s="153"/>
      <c r="EKW372" s="153"/>
      <c r="EKX372" s="153"/>
      <c r="EKY372" s="153"/>
      <c r="EKZ372" s="153"/>
      <c r="ELA372" s="153"/>
      <c r="ELB372" s="153"/>
      <c r="ELC372" s="650"/>
      <c r="ELD372" s="641"/>
      <c r="ELE372" s="638"/>
      <c r="ELF372" s="639"/>
      <c r="ELG372" s="153"/>
      <c r="ELH372" s="153"/>
      <c r="ELI372" s="153"/>
      <c r="ELJ372" s="153"/>
      <c r="ELK372" s="153"/>
      <c r="ELL372" s="153"/>
      <c r="ELM372" s="153"/>
      <c r="ELN372" s="153"/>
      <c r="ELO372" s="153"/>
      <c r="ELP372" s="153"/>
      <c r="ELQ372" s="153"/>
      <c r="ELR372" s="153"/>
      <c r="ELS372" s="650"/>
      <c r="ELT372" s="641"/>
      <c r="ELU372" s="638"/>
      <c r="ELV372" s="639"/>
      <c r="ELW372" s="153"/>
      <c r="ELX372" s="153"/>
      <c r="ELY372" s="153"/>
      <c r="ELZ372" s="153"/>
      <c r="EMA372" s="153"/>
      <c r="EMB372" s="153"/>
      <c r="EMC372" s="153"/>
      <c r="EMD372" s="153"/>
      <c r="EME372" s="153"/>
      <c r="EMF372" s="153"/>
      <c r="EMG372" s="153"/>
      <c r="EMH372" s="153"/>
      <c r="EMI372" s="650"/>
      <c r="EMJ372" s="641"/>
      <c r="EMK372" s="638"/>
      <c r="EML372" s="639"/>
      <c r="EMM372" s="153"/>
      <c r="EMN372" s="153"/>
      <c r="EMO372" s="153"/>
      <c r="EMP372" s="153"/>
      <c r="EMQ372" s="153"/>
      <c r="EMR372" s="153"/>
      <c r="EMS372" s="153"/>
      <c r="EMT372" s="153"/>
      <c r="EMU372" s="153"/>
      <c r="EMV372" s="153"/>
      <c r="EMW372" s="153"/>
      <c r="EMX372" s="153"/>
      <c r="EMY372" s="650"/>
      <c r="EMZ372" s="641"/>
      <c r="ENA372" s="638"/>
      <c r="ENB372" s="639"/>
      <c r="ENC372" s="153"/>
      <c r="END372" s="153"/>
      <c r="ENE372" s="153"/>
      <c r="ENF372" s="153"/>
      <c r="ENG372" s="153"/>
      <c r="ENH372" s="153"/>
      <c r="ENI372" s="153"/>
      <c r="ENJ372" s="153"/>
      <c r="ENK372" s="153"/>
      <c r="ENL372" s="153"/>
      <c r="ENM372" s="153"/>
      <c r="ENN372" s="153"/>
      <c r="ENO372" s="650"/>
      <c r="ENP372" s="641"/>
      <c r="ENQ372" s="638"/>
      <c r="ENR372" s="639"/>
      <c r="ENS372" s="153"/>
      <c r="ENT372" s="153"/>
      <c r="ENU372" s="153"/>
      <c r="ENV372" s="153"/>
      <c r="ENW372" s="153"/>
      <c r="ENX372" s="153"/>
      <c r="ENY372" s="153"/>
      <c r="ENZ372" s="153"/>
      <c r="EOA372" s="153"/>
      <c r="EOB372" s="153"/>
      <c r="EOC372" s="153"/>
      <c r="EOD372" s="153"/>
      <c r="EOE372" s="650"/>
      <c r="EOF372" s="641"/>
      <c r="EOG372" s="638"/>
      <c r="EOH372" s="639"/>
      <c r="EOI372" s="153"/>
      <c r="EOJ372" s="153"/>
      <c r="EOK372" s="153"/>
      <c r="EOL372" s="153"/>
      <c r="EOM372" s="153"/>
      <c r="EON372" s="153"/>
      <c r="EOO372" s="153"/>
      <c r="EOP372" s="153"/>
      <c r="EOQ372" s="153"/>
      <c r="EOR372" s="153"/>
      <c r="EOS372" s="153"/>
      <c r="EOT372" s="153"/>
      <c r="EOU372" s="650"/>
      <c r="EOV372" s="641"/>
      <c r="EOW372" s="638"/>
      <c r="EOX372" s="639"/>
      <c r="EOY372" s="153"/>
      <c r="EOZ372" s="153"/>
      <c r="EPA372" s="153"/>
      <c r="EPB372" s="153"/>
      <c r="EPC372" s="153"/>
      <c r="EPD372" s="153"/>
      <c r="EPE372" s="153"/>
      <c r="EPF372" s="153"/>
      <c r="EPG372" s="153"/>
      <c r="EPH372" s="153"/>
      <c r="EPI372" s="153"/>
      <c r="EPJ372" s="153"/>
      <c r="EPK372" s="650"/>
      <c r="EPL372" s="641"/>
      <c r="EPM372" s="638"/>
      <c r="EPN372" s="639"/>
      <c r="EPO372" s="153"/>
      <c r="EPP372" s="153"/>
      <c r="EPQ372" s="153"/>
      <c r="EPR372" s="153"/>
      <c r="EPS372" s="153"/>
      <c r="EPT372" s="153"/>
      <c r="EPU372" s="153"/>
      <c r="EPV372" s="153"/>
      <c r="EPW372" s="153"/>
      <c r="EPX372" s="153"/>
      <c r="EPY372" s="153"/>
      <c r="EPZ372" s="153"/>
      <c r="EQA372" s="650"/>
      <c r="EQB372" s="641"/>
      <c r="EQC372" s="638"/>
      <c r="EQD372" s="639"/>
      <c r="EQE372" s="153"/>
      <c r="EQF372" s="153"/>
      <c r="EQG372" s="153"/>
      <c r="EQH372" s="153"/>
      <c r="EQI372" s="153"/>
      <c r="EQJ372" s="153"/>
      <c r="EQK372" s="153"/>
      <c r="EQL372" s="153"/>
      <c r="EQM372" s="153"/>
      <c r="EQN372" s="153"/>
      <c r="EQO372" s="153"/>
      <c r="EQP372" s="153"/>
      <c r="EQQ372" s="650"/>
      <c r="EQR372" s="641"/>
      <c r="EQS372" s="638"/>
      <c r="EQT372" s="639"/>
      <c r="EQU372" s="153"/>
      <c r="EQV372" s="153"/>
      <c r="EQW372" s="153"/>
      <c r="EQX372" s="153"/>
      <c r="EQY372" s="153"/>
      <c r="EQZ372" s="153"/>
      <c r="ERA372" s="153"/>
      <c r="ERB372" s="153"/>
      <c r="ERC372" s="153"/>
      <c r="ERD372" s="153"/>
      <c r="ERE372" s="153"/>
      <c r="ERF372" s="153"/>
      <c r="ERG372" s="650"/>
      <c r="ERH372" s="641"/>
      <c r="ERI372" s="638"/>
      <c r="ERJ372" s="639"/>
      <c r="ERK372" s="153"/>
      <c r="ERL372" s="153"/>
      <c r="ERM372" s="153"/>
      <c r="ERN372" s="153"/>
      <c r="ERO372" s="153"/>
      <c r="ERP372" s="153"/>
      <c r="ERQ372" s="153"/>
      <c r="ERR372" s="153"/>
      <c r="ERS372" s="153"/>
      <c r="ERT372" s="153"/>
      <c r="ERU372" s="153"/>
      <c r="ERV372" s="153"/>
      <c r="ERW372" s="650"/>
      <c r="ERX372" s="641"/>
      <c r="ERY372" s="638"/>
      <c r="ERZ372" s="639"/>
      <c r="ESA372" s="153"/>
      <c r="ESB372" s="153"/>
      <c r="ESC372" s="153"/>
      <c r="ESD372" s="153"/>
      <c r="ESE372" s="153"/>
      <c r="ESF372" s="153"/>
      <c r="ESG372" s="153"/>
      <c r="ESH372" s="153"/>
      <c r="ESI372" s="153"/>
      <c r="ESJ372" s="153"/>
      <c r="ESK372" s="153"/>
      <c r="ESL372" s="153"/>
      <c r="ESM372" s="650"/>
      <c r="ESN372" s="641"/>
      <c r="ESO372" s="638"/>
      <c r="ESP372" s="639"/>
      <c r="ESQ372" s="153"/>
      <c r="ESR372" s="153"/>
      <c r="ESS372" s="153"/>
      <c r="EST372" s="153"/>
      <c r="ESU372" s="153"/>
      <c r="ESV372" s="153"/>
      <c r="ESW372" s="153"/>
      <c r="ESX372" s="153"/>
      <c r="ESY372" s="153"/>
      <c r="ESZ372" s="153"/>
      <c r="ETA372" s="153"/>
      <c r="ETB372" s="153"/>
      <c r="ETC372" s="650"/>
      <c r="ETD372" s="641"/>
      <c r="ETE372" s="638"/>
      <c r="ETF372" s="639"/>
      <c r="ETG372" s="153"/>
      <c r="ETH372" s="153"/>
      <c r="ETI372" s="153"/>
      <c r="ETJ372" s="153"/>
      <c r="ETK372" s="153"/>
      <c r="ETL372" s="153"/>
      <c r="ETM372" s="153"/>
      <c r="ETN372" s="153"/>
      <c r="ETO372" s="153"/>
      <c r="ETP372" s="153"/>
      <c r="ETQ372" s="153"/>
      <c r="ETR372" s="153"/>
      <c r="ETS372" s="650"/>
      <c r="ETT372" s="641"/>
      <c r="ETU372" s="638"/>
      <c r="ETV372" s="639"/>
      <c r="ETW372" s="153"/>
      <c r="ETX372" s="153"/>
      <c r="ETY372" s="153"/>
      <c r="ETZ372" s="153"/>
      <c r="EUA372" s="153"/>
      <c r="EUB372" s="153"/>
      <c r="EUC372" s="153"/>
      <c r="EUD372" s="153"/>
      <c r="EUE372" s="153"/>
      <c r="EUF372" s="153"/>
      <c r="EUG372" s="153"/>
      <c r="EUH372" s="153"/>
      <c r="EUI372" s="650"/>
      <c r="EUJ372" s="641"/>
      <c r="EUK372" s="638"/>
      <c r="EUL372" s="639"/>
      <c r="EUM372" s="153"/>
      <c r="EUN372" s="153"/>
      <c r="EUO372" s="153"/>
      <c r="EUP372" s="153"/>
      <c r="EUQ372" s="153"/>
      <c r="EUR372" s="153"/>
      <c r="EUS372" s="153"/>
      <c r="EUT372" s="153"/>
      <c r="EUU372" s="153"/>
      <c r="EUV372" s="153"/>
      <c r="EUW372" s="153"/>
      <c r="EUX372" s="153"/>
      <c r="EUY372" s="650"/>
      <c r="EUZ372" s="641"/>
      <c r="EVA372" s="638"/>
      <c r="EVB372" s="639"/>
      <c r="EVC372" s="153"/>
      <c r="EVD372" s="153"/>
      <c r="EVE372" s="153"/>
      <c r="EVF372" s="153"/>
      <c r="EVG372" s="153"/>
      <c r="EVH372" s="153"/>
      <c r="EVI372" s="153"/>
      <c r="EVJ372" s="153"/>
      <c r="EVK372" s="153"/>
      <c r="EVL372" s="153"/>
      <c r="EVM372" s="153"/>
      <c r="EVN372" s="153"/>
      <c r="EVO372" s="650"/>
      <c r="EVP372" s="641"/>
      <c r="EVQ372" s="638"/>
      <c r="EVR372" s="639"/>
      <c r="EVS372" s="153"/>
      <c r="EVT372" s="153"/>
      <c r="EVU372" s="153"/>
      <c r="EVV372" s="153"/>
      <c r="EVW372" s="153"/>
      <c r="EVX372" s="153"/>
      <c r="EVY372" s="153"/>
      <c r="EVZ372" s="153"/>
      <c r="EWA372" s="153"/>
      <c r="EWB372" s="153"/>
      <c r="EWC372" s="153"/>
      <c r="EWD372" s="153"/>
      <c r="EWE372" s="650"/>
      <c r="EWF372" s="641"/>
      <c r="EWG372" s="638"/>
      <c r="EWH372" s="639"/>
      <c r="EWI372" s="153"/>
      <c r="EWJ372" s="153"/>
      <c r="EWK372" s="153"/>
      <c r="EWL372" s="153"/>
      <c r="EWM372" s="153"/>
      <c r="EWN372" s="153"/>
      <c r="EWO372" s="153"/>
      <c r="EWP372" s="153"/>
      <c r="EWQ372" s="153"/>
      <c r="EWR372" s="153"/>
      <c r="EWS372" s="153"/>
      <c r="EWT372" s="153"/>
      <c r="EWU372" s="650"/>
      <c r="EWV372" s="641"/>
      <c r="EWW372" s="638"/>
      <c r="EWX372" s="639"/>
      <c r="EWY372" s="153"/>
      <c r="EWZ372" s="153"/>
      <c r="EXA372" s="153"/>
      <c r="EXB372" s="153"/>
      <c r="EXC372" s="153"/>
      <c r="EXD372" s="153"/>
      <c r="EXE372" s="153"/>
      <c r="EXF372" s="153"/>
      <c r="EXG372" s="153"/>
      <c r="EXH372" s="153"/>
      <c r="EXI372" s="153"/>
      <c r="EXJ372" s="153"/>
      <c r="EXK372" s="650"/>
      <c r="EXL372" s="641"/>
      <c r="EXM372" s="638"/>
      <c r="EXN372" s="639"/>
      <c r="EXO372" s="153"/>
      <c r="EXP372" s="153"/>
      <c r="EXQ372" s="153"/>
      <c r="EXR372" s="153"/>
      <c r="EXS372" s="153"/>
      <c r="EXT372" s="153"/>
      <c r="EXU372" s="153"/>
      <c r="EXV372" s="153"/>
      <c r="EXW372" s="153"/>
      <c r="EXX372" s="153"/>
      <c r="EXY372" s="153"/>
      <c r="EXZ372" s="153"/>
      <c r="EYA372" s="650"/>
      <c r="EYB372" s="641"/>
      <c r="EYC372" s="638"/>
      <c r="EYD372" s="639"/>
      <c r="EYE372" s="153"/>
      <c r="EYF372" s="153"/>
      <c r="EYG372" s="153"/>
      <c r="EYH372" s="153"/>
      <c r="EYI372" s="153"/>
      <c r="EYJ372" s="153"/>
      <c r="EYK372" s="153"/>
      <c r="EYL372" s="153"/>
      <c r="EYM372" s="153"/>
      <c r="EYN372" s="153"/>
      <c r="EYO372" s="153"/>
      <c r="EYP372" s="153"/>
      <c r="EYQ372" s="650"/>
      <c r="EYR372" s="641"/>
      <c r="EYS372" s="638"/>
      <c r="EYT372" s="639"/>
      <c r="EYU372" s="153"/>
      <c r="EYV372" s="153"/>
      <c r="EYW372" s="153"/>
      <c r="EYX372" s="153"/>
      <c r="EYY372" s="153"/>
      <c r="EYZ372" s="153"/>
      <c r="EZA372" s="153"/>
      <c r="EZB372" s="153"/>
      <c r="EZC372" s="153"/>
      <c r="EZD372" s="153"/>
      <c r="EZE372" s="153"/>
      <c r="EZF372" s="153"/>
      <c r="EZG372" s="650"/>
      <c r="EZH372" s="641"/>
      <c r="EZI372" s="638"/>
      <c r="EZJ372" s="639"/>
      <c r="EZK372" s="153"/>
      <c r="EZL372" s="153"/>
      <c r="EZM372" s="153"/>
      <c r="EZN372" s="153"/>
      <c r="EZO372" s="153"/>
      <c r="EZP372" s="153"/>
      <c r="EZQ372" s="153"/>
      <c r="EZR372" s="153"/>
      <c r="EZS372" s="153"/>
      <c r="EZT372" s="153"/>
      <c r="EZU372" s="153"/>
      <c r="EZV372" s="153"/>
      <c r="EZW372" s="650"/>
      <c r="EZX372" s="641"/>
      <c r="EZY372" s="638"/>
      <c r="EZZ372" s="639"/>
      <c r="FAA372" s="153"/>
      <c r="FAB372" s="153"/>
      <c r="FAC372" s="153"/>
      <c r="FAD372" s="153"/>
      <c r="FAE372" s="153"/>
      <c r="FAF372" s="153"/>
      <c r="FAG372" s="153"/>
      <c r="FAH372" s="153"/>
      <c r="FAI372" s="153"/>
      <c r="FAJ372" s="153"/>
      <c r="FAK372" s="153"/>
      <c r="FAL372" s="153"/>
      <c r="FAM372" s="650"/>
      <c r="FAN372" s="641"/>
      <c r="FAO372" s="638"/>
      <c r="FAP372" s="639"/>
      <c r="FAQ372" s="153"/>
      <c r="FAR372" s="153"/>
      <c r="FAS372" s="153"/>
      <c r="FAT372" s="153"/>
      <c r="FAU372" s="153"/>
      <c r="FAV372" s="153"/>
      <c r="FAW372" s="153"/>
      <c r="FAX372" s="153"/>
      <c r="FAY372" s="153"/>
      <c r="FAZ372" s="153"/>
      <c r="FBA372" s="153"/>
      <c r="FBB372" s="153"/>
      <c r="FBC372" s="650"/>
      <c r="FBD372" s="641"/>
      <c r="FBE372" s="638"/>
      <c r="FBF372" s="639"/>
      <c r="FBG372" s="153"/>
      <c r="FBH372" s="153"/>
      <c r="FBI372" s="153"/>
      <c r="FBJ372" s="153"/>
      <c r="FBK372" s="153"/>
      <c r="FBL372" s="153"/>
      <c r="FBM372" s="153"/>
      <c r="FBN372" s="153"/>
      <c r="FBO372" s="153"/>
      <c r="FBP372" s="153"/>
      <c r="FBQ372" s="153"/>
      <c r="FBR372" s="153"/>
      <c r="FBS372" s="650"/>
      <c r="FBT372" s="641"/>
      <c r="FBU372" s="638"/>
      <c r="FBV372" s="639"/>
      <c r="FBW372" s="153"/>
      <c r="FBX372" s="153"/>
      <c r="FBY372" s="153"/>
      <c r="FBZ372" s="153"/>
      <c r="FCA372" s="153"/>
      <c r="FCB372" s="153"/>
      <c r="FCC372" s="153"/>
      <c r="FCD372" s="153"/>
      <c r="FCE372" s="153"/>
      <c r="FCF372" s="153"/>
      <c r="FCG372" s="153"/>
      <c r="FCH372" s="153"/>
      <c r="FCI372" s="650"/>
      <c r="FCJ372" s="641"/>
      <c r="FCK372" s="638"/>
      <c r="FCL372" s="639"/>
      <c r="FCM372" s="153"/>
      <c r="FCN372" s="153"/>
      <c r="FCO372" s="153"/>
      <c r="FCP372" s="153"/>
      <c r="FCQ372" s="153"/>
      <c r="FCR372" s="153"/>
      <c r="FCS372" s="153"/>
      <c r="FCT372" s="153"/>
      <c r="FCU372" s="153"/>
      <c r="FCV372" s="153"/>
      <c r="FCW372" s="153"/>
      <c r="FCX372" s="153"/>
      <c r="FCY372" s="650"/>
      <c r="FCZ372" s="641"/>
      <c r="FDA372" s="638"/>
      <c r="FDB372" s="639"/>
      <c r="FDC372" s="153"/>
      <c r="FDD372" s="153"/>
      <c r="FDE372" s="153"/>
      <c r="FDF372" s="153"/>
      <c r="FDG372" s="153"/>
      <c r="FDH372" s="153"/>
      <c r="FDI372" s="153"/>
      <c r="FDJ372" s="153"/>
      <c r="FDK372" s="153"/>
      <c r="FDL372" s="153"/>
      <c r="FDM372" s="153"/>
      <c r="FDN372" s="153"/>
      <c r="FDO372" s="650"/>
      <c r="FDP372" s="641"/>
      <c r="FDQ372" s="638"/>
      <c r="FDR372" s="639"/>
      <c r="FDS372" s="153"/>
      <c r="FDT372" s="153"/>
      <c r="FDU372" s="153"/>
      <c r="FDV372" s="153"/>
      <c r="FDW372" s="153"/>
      <c r="FDX372" s="153"/>
      <c r="FDY372" s="153"/>
      <c r="FDZ372" s="153"/>
      <c r="FEA372" s="153"/>
      <c r="FEB372" s="153"/>
      <c r="FEC372" s="153"/>
      <c r="FED372" s="153"/>
      <c r="FEE372" s="650"/>
      <c r="FEF372" s="641"/>
      <c r="FEG372" s="638"/>
      <c r="FEH372" s="639"/>
      <c r="FEI372" s="153"/>
      <c r="FEJ372" s="153"/>
      <c r="FEK372" s="153"/>
      <c r="FEL372" s="153"/>
      <c r="FEM372" s="153"/>
      <c r="FEN372" s="153"/>
      <c r="FEO372" s="153"/>
      <c r="FEP372" s="153"/>
      <c r="FEQ372" s="153"/>
      <c r="FER372" s="153"/>
      <c r="FES372" s="153"/>
      <c r="FET372" s="153"/>
      <c r="FEU372" s="650"/>
      <c r="FEV372" s="641"/>
      <c r="FEW372" s="638"/>
      <c r="FEX372" s="639"/>
      <c r="FEY372" s="153"/>
      <c r="FEZ372" s="153"/>
      <c r="FFA372" s="153"/>
      <c r="FFB372" s="153"/>
      <c r="FFC372" s="153"/>
      <c r="FFD372" s="153"/>
      <c r="FFE372" s="153"/>
      <c r="FFF372" s="153"/>
      <c r="FFG372" s="153"/>
      <c r="FFH372" s="153"/>
      <c r="FFI372" s="153"/>
      <c r="FFJ372" s="153"/>
      <c r="FFK372" s="650"/>
      <c r="FFL372" s="641"/>
      <c r="FFM372" s="638"/>
      <c r="FFN372" s="639"/>
      <c r="FFO372" s="153"/>
      <c r="FFP372" s="153"/>
      <c r="FFQ372" s="153"/>
      <c r="FFR372" s="153"/>
      <c r="FFS372" s="153"/>
      <c r="FFT372" s="153"/>
      <c r="FFU372" s="153"/>
      <c r="FFV372" s="153"/>
      <c r="FFW372" s="153"/>
      <c r="FFX372" s="153"/>
      <c r="FFY372" s="153"/>
      <c r="FFZ372" s="153"/>
      <c r="FGA372" s="650"/>
      <c r="FGB372" s="641"/>
      <c r="FGC372" s="638"/>
      <c r="FGD372" s="639"/>
      <c r="FGE372" s="153"/>
      <c r="FGF372" s="153"/>
      <c r="FGG372" s="153"/>
      <c r="FGH372" s="153"/>
      <c r="FGI372" s="153"/>
      <c r="FGJ372" s="153"/>
      <c r="FGK372" s="153"/>
      <c r="FGL372" s="153"/>
      <c r="FGM372" s="153"/>
      <c r="FGN372" s="153"/>
      <c r="FGO372" s="153"/>
      <c r="FGP372" s="153"/>
      <c r="FGQ372" s="650"/>
      <c r="FGR372" s="641"/>
      <c r="FGS372" s="638"/>
      <c r="FGT372" s="639"/>
      <c r="FGU372" s="153"/>
      <c r="FGV372" s="153"/>
      <c r="FGW372" s="153"/>
      <c r="FGX372" s="153"/>
      <c r="FGY372" s="153"/>
      <c r="FGZ372" s="153"/>
      <c r="FHA372" s="153"/>
      <c r="FHB372" s="153"/>
      <c r="FHC372" s="153"/>
      <c r="FHD372" s="153"/>
      <c r="FHE372" s="153"/>
      <c r="FHF372" s="153"/>
      <c r="FHG372" s="650"/>
      <c r="FHH372" s="641"/>
      <c r="FHI372" s="638"/>
      <c r="FHJ372" s="639"/>
      <c r="FHK372" s="153"/>
      <c r="FHL372" s="153"/>
      <c r="FHM372" s="153"/>
      <c r="FHN372" s="153"/>
      <c r="FHO372" s="153"/>
      <c r="FHP372" s="153"/>
      <c r="FHQ372" s="153"/>
      <c r="FHR372" s="153"/>
      <c r="FHS372" s="153"/>
      <c r="FHT372" s="153"/>
      <c r="FHU372" s="153"/>
      <c r="FHV372" s="153"/>
      <c r="FHW372" s="650"/>
      <c r="FHX372" s="641"/>
      <c r="FHY372" s="638"/>
      <c r="FHZ372" s="639"/>
      <c r="FIA372" s="153"/>
      <c r="FIB372" s="153"/>
      <c r="FIC372" s="153"/>
      <c r="FID372" s="153"/>
      <c r="FIE372" s="153"/>
      <c r="FIF372" s="153"/>
      <c r="FIG372" s="153"/>
      <c r="FIH372" s="153"/>
      <c r="FII372" s="153"/>
      <c r="FIJ372" s="153"/>
      <c r="FIK372" s="153"/>
      <c r="FIL372" s="153"/>
      <c r="FIM372" s="650"/>
      <c r="FIN372" s="641"/>
      <c r="FIO372" s="638"/>
      <c r="FIP372" s="639"/>
      <c r="FIQ372" s="153"/>
      <c r="FIR372" s="153"/>
      <c r="FIS372" s="153"/>
      <c r="FIT372" s="153"/>
      <c r="FIU372" s="153"/>
      <c r="FIV372" s="153"/>
      <c r="FIW372" s="153"/>
      <c r="FIX372" s="153"/>
      <c r="FIY372" s="153"/>
      <c r="FIZ372" s="153"/>
      <c r="FJA372" s="153"/>
      <c r="FJB372" s="153"/>
      <c r="FJC372" s="650"/>
      <c r="FJD372" s="641"/>
      <c r="FJE372" s="638"/>
      <c r="FJF372" s="639"/>
      <c r="FJG372" s="153"/>
      <c r="FJH372" s="153"/>
      <c r="FJI372" s="153"/>
      <c r="FJJ372" s="153"/>
      <c r="FJK372" s="153"/>
      <c r="FJL372" s="153"/>
      <c r="FJM372" s="153"/>
      <c r="FJN372" s="153"/>
      <c r="FJO372" s="153"/>
      <c r="FJP372" s="153"/>
      <c r="FJQ372" s="153"/>
      <c r="FJR372" s="153"/>
      <c r="FJS372" s="650"/>
      <c r="FJT372" s="641"/>
      <c r="FJU372" s="638"/>
      <c r="FJV372" s="639"/>
      <c r="FJW372" s="153"/>
      <c r="FJX372" s="153"/>
      <c r="FJY372" s="153"/>
      <c r="FJZ372" s="153"/>
      <c r="FKA372" s="153"/>
      <c r="FKB372" s="153"/>
      <c r="FKC372" s="153"/>
      <c r="FKD372" s="153"/>
      <c r="FKE372" s="153"/>
      <c r="FKF372" s="153"/>
      <c r="FKG372" s="153"/>
      <c r="FKH372" s="153"/>
      <c r="FKI372" s="650"/>
      <c r="FKJ372" s="641"/>
      <c r="FKK372" s="638"/>
      <c r="FKL372" s="639"/>
      <c r="FKM372" s="153"/>
      <c r="FKN372" s="153"/>
      <c r="FKO372" s="153"/>
      <c r="FKP372" s="153"/>
      <c r="FKQ372" s="153"/>
      <c r="FKR372" s="153"/>
      <c r="FKS372" s="153"/>
      <c r="FKT372" s="153"/>
      <c r="FKU372" s="153"/>
      <c r="FKV372" s="153"/>
      <c r="FKW372" s="153"/>
      <c r="FKX372" s="153"/>
      <c r="FKY372" s="650"/>
      <c r="FKZ372" s="641"/>
      <c r="FLA372" s="638"/>
      <c r="FLB372" s="639"/>
      <c r="FLC372" s="153"/>
      <c r="FLD372" s="153"/>
      <c r="FLE372" s="153"/>
      <c r="FLF372" s="153"/>
      <c r="FLG372" s="153"/>
      <c r="FLH372" s="153"/>
      <c r="FLI372" s="153"/>
      <c r="FLJ372" s="153"/>
      <c r="FLK372" s="153"/>
      <c r="FLL372" s="153"/>
      <c r="FLM372" s="153"/>
      <c r="FLN372" s="153"/>
      <c r="FLO372" s="650"/>
      <c r="FLP372" s="641"/>
      <c r="FLQ372" s="638"/>
      <c r="FLR372" s="639"/>
      <c r="FLS372" s="153"/>
      <c r="FLT372" s="153"/>
      <c r="FLU372" s="153"/>
      <c r="FLV372" s="153"/>
      <c r="FLW372" s="153"/>
      <c r="FLX372" s="153"/>
      <c r="FLY372" s="153"/>
      <c r="FLZ372" s="153"/>
      <c r="FMA372" s="153"/>
      <c r="FMB372" s="153"/>
      <c r="FMC372" s="153"/>
      <c r="FMD372" s="153"/>
      <c r="FME372" s="650"/>
      <c r="FMF372" s="641"/>
      <c r="FMG372" s="638"/>
      <c r="FMH372" s="639"/>
      <c r="FMI372" s="153"/>
      <c r="FMJ372" s="153"/>
      <c r="FMK372" s="153"/>
      <c r="FML372" s="153"/>
      <c r="FMM372" s="153"/>
      <c r="FMN372" s="153"/>
      <c r="FMO372" s="153"/>
      <c r="FMP372" s="153"/>
      <c r="FMQ372" s="153"/>
      <c r="FMR372" s="153"/>
      <c r="FMS372" s="153"/>
      <c r="FMT372" s="153"/>
      <c r="FMU372" s="650"/>
      <c r="FMV372" s="641"/>
      <c r="FMW372" s="638"/>
      <c r="FMX372" s="639"/>
      <c r="FMY372" s="153"/>
      <c r="FMZ372" s="153"/>
      <c r="FNA372" s="153"/>
      <c r="FNB372" s="153"/>
      <c r="FNC372" s="153"/>
      <c r="FND372" s="153"/>
      <c r="FNE372" s="153"/>
      <c r="FNF372" s="153"/>
      <c r="FNG372" s="153"/>
      <c r="FNH372" s="153"/>
      <c r="FNI372" s="153"/>
      <c r="FNJ372" s="153"/>
      <c r="FNK372" s="650"/>
      <c r="FNL372" s="641"/>
      <c r="FNM372" s="638"/>
      <c r="FNN372" s="639"/>
      <c r="FNO372" s="153"/>
      <c r="FNP372" s="153"/>
      <c r="FNQ372" s="153"/>
      <c r="FNR372" s="153"/>
      <c r="FNS372" s="153"/>
      <c r="FNT372" s="153"/>
      <c r="FNU372" s="153"/>
      <c r="FNV372" s="153"/>
      <c r="FNW372" s="153"/>
      <c r="FNX372" s="153"/>
      <c r="FNY372" s="153"/>
      <c r="FNZ372" s="153"/>
      <c r="FOA372" s="650"/>
      <c r="FOB372" s="641"/>
      <c r="FOC372" s="638"/>
      <c r="FOD372" s="639"/>
      <c r="FOE372" s="153"/>
      <c r="FOF372" s="153"/>
      <c r="FOG372" s="153"/>
      <c r="FOH372" s="153"/>
      <c r="FOI372" s="153"/>
      <c r="FOJ372" s="153"/>
      <c r="FOK372" s="153"/>
      <c r="FOL372" s="153"/>
      <c r="FOM372" s="153"/>
      <c r="FON372" s="153"/>
      <c r="FOO372" s="153"/>
      <c r="FOP372" s="153"/>
      <c r="FOQ372" s="650"/>
      <c r="FOR372" s="641"/>
      <c r="FOS372" s="638"/>
      <c r="FOT372" s="639"/>
      <c r="FOU372" s="153"/>
      <c r="FOV372" s="153"/>
      <c r="FOW372" s="153"/>
      <c r="FOX372" s="153"/>
      <c r="FOY372" s="153"/>
      <c r="FOZ372" s="153"/>
      <c r="FPA372" s="153"/>
      <c r="FPB372" s="153"/>
      <c r="FPC372" s="153"/>
      <c r="FPD372" s="153"/>
      <c r="FPE372" s="153"/>
      <c r="FPF372" s="153"/>
      <c r="FPG372" s="650"/>
      <c r="FPH372" s="641"/>
      <c r="FPI372" s="638"/>
      <c r="FPJ372" s="639"/>
      <c r="FPK372" s="153"/>
      <c r="FPL372" s="153"/>
      <c r="FPM372" s="153"/>
      <c r="FPN372" s="153"/>
      <c r="FPO372" s="153"/>
      <c r="FPP372" s="153"/>
      <c r="FPQ372" s="153"/>
      <c r="FPR372" s="153"/>
      <c r="FPS372" s="153"/>
      <c r="FPT372" s="153"/>
      <c r="FPU372" s="153"/>
      <c r="FPV372" s="153"/>
      <c r="FPW372" s="650"/>
      <c r="FPX372" s="641"/>
      <c r="FPY372" s="638"/>
      <c r="FPZ372" s="639"/>
      <c r="FQA372" s="153"/>
      <c r="FQB372" s="153"/>
      <c r="FQC372" s="153"/>
      <c r="FQD372" s="153"/>
      <c r="FQE372" s="153"/>
      <c r="FQF372" s="153"/>
      <c r="FQG372" s="153"/>
      <c r="FQH372" s="153"/>
      <c r="FQI372" s="153"/>
      <c r="FQJ372" s="153"/>
      <c r="FQK372" s="153"/>
      <c r="FQL372" s="153"/>
      <c r="FQM372" s="650"/>
      <c r="FQN372" s="641"/>
      <c r="FQO372" s="638"/>
      <c r="FQP372" s="639"/>
      <c r="FQQ372" s="153"/>
      <c r="FQR372" s="153"/>
      <c r="FQS372" s="153"/>
      <c r="FQT372" s="153"/>
      <c r="FQU372" s="153"/>
      <c r="FQV372" s="153"/>
      <c r="FQW372" s="153"/>
      <c r="FQX372" s="153"/>
      <c r="FQY372" s="153"/>
      <c r="FQZ372" s="153"/>
      <c r="FRA372" s="153"/>
      <c r="FRB372" s="153"/>
      <c r="FRC372" s="650"/>
      <c r="FRD372" s="641"/>
      <c r="FRE372" s="638"/>
      <c r="FRF372" s="639"/>
      <c r="FRG372" s="153"/>
      <c r="FRH372" s="153"/>
      <c r="FRI372" s="153"/>
      <c r="FRJ372" s="153"/>
      <c r="FRK372" s="153"/>
      <c r="FRL372" s="153"/>
      <c r="FRM372" s="153"/>
      <c r="FRN372" s="153"/>
      <c r="FRO372" s="153"/>
      <c r="FRP372" s="153"/>
      <c r="FRQ372" s="153"/>
      <c r="FRR372" s="153"/>
      <c r="FRS372" s="650"/>
      <c r="FRT372" s="641"/>
      <c r="FRU372" s="638"/>
      <c r="FRV372" s="639"/>
      <c r="FRW372" s="153"/>
      <c r="FRX372" s="153"/>
      <c r="FRY372" s="153"/>
      <c r="FRZ372" s="153"/>
      <c r="FSA372" s="153"/>
      <c r="FSB372" s="153"/>
      <c r="FSC372" s="153"/>
      <c r="FSD372" s="153"/>
      <c r="FSE372" s="153"/>
      <c r="FSF372" s="153"/>
      <c r="FSG372" s="153"/>
      <c r="FSH372" s="153"/>
      <c r="FSI372" s="650"/>
      <c r="FSJ372" s="641"/>
      <c r="FSK372" s="638"/>
      <c r="FSL372" s="639"/>
      <c r="FSM372" s="153"/>
      <c r="FSN372" s="153"/>
      <c r="FSO372" s="153"/>
      <c r="FSP372" s="153"/>
      <c r="FSQ372" s="153"/>
      <c r="FSR372" s="153"/>
      <c r="FSS372" s="153"/>
      <c r="FST372" s="153"/>
      <c r="FSU372" s="153"/>
      <c r="FSV372" s="153"/>
      <c r="FSW372" s="153"/>
      <c r="FSX372" s="153"/>
      <c r="FSY372" s="650"/>
      <c r="FSZ372" s="641"/>
      <c r="FTA372" s="638"/>
      <c r="FTB372" s="639"/>
      <c r="FTC372" s="153"/>
      <c r="FTD372" s="153"/>
      <c r="FTE372" s="153"/>
      <c r="FTF372" s="153"/>
      <c r="FTG372" s="153"/>
      <c r="FTH372" s="153"/>
      <c r="FTI372" s="153"/>
      <c r="FTJ372" s="153"/>
      <c r="FTK372" s="153"/>
      <c r="FTL372" s="153"/>
      <c r="FTM372" s="153"/>
      <c r="FTN372" s="153"/>
      <c r="FTO372" s="650"/>
      <c r="FTP372" s="641"/>
      <c r="FTQ372" s="638"/>
      <c r="FTR372" s="639"/>
      <c r="FTS372" s="153"/>
      <c r="FTT372" s="153"/>
      <c r="FTU372" s="153"/>
      <c r="FTV372" s="153"/>
      <c r="FTW372" s="153"/>
      <c r="FTX372" s="153"/>
      <c r="FTY372" s="153"/>
      <c r="FTZ372" s="153"/>
      <c r="FUA372" s="153"/>
      <c r="FUB372" s="153"/>
      <c r="FUC372" s="153"/>
      <c r="FUD372" s="153"/>
      <c r="FUE372" s="650"/>
      <c r="FUF372" s="641"/>
      <c r="FUG372" s="638"/>
      <c r="FUH372" s="639"/>
      <c r="FUI372" s="153"/>
      <c r="FUJ372" s="153"/>
      <c r="FUK372" s="153"/>
      <c r="FUL372" s="153"/>
      <c r="FUM372" s="153"/>
      <c r="FUN372" s="153"/>
      <c r="FUO372" s="153"/>
      <c r="FUP372" s="153"/>
      <c r="FUQ372" s="153"/>
      <c r="FUR372" s="153"/>
      <c r="FUS372" s="153"/>
      <c r="FUT372" s="153"/>
      <c r="FUU372" s="650"/>
      <c r="FUV372" s="641"/>
      <c r="FUW372" s="638"/>
      <c r="FUX372" s="639"/>
      <c r="FUY372" s="153"/>
      <c r="FUZ372" s="153"/>
      <c r="FVA372" s="153"/>
      <c r="FVB372" s="153"/>
      <c r="FVC372" s="153"/>
      <c r="FVD372" s="153"/>
      <c r="FVE372" s="153"/>
      <c r="FVF372" s="153"/>
      <c r="FVG372" s="153"/>
      <c r="FVH372" s="153"/>
      <c r="FVI372" s="153"/>
      <c r="FVJ372" s="153"/>
      <c r="FVK372" s="650"/>
      <c r="FVL372" s="641"/>
      <c r="FVM372" s="638"/>
      <c r="FVN372" s="639"/>
      <c r="FVO372" s="153"/>
      <c r="FVP372" s="153"/>
      <c r="FVQ372" s="153"/>
      <c r="FVR372" s="153"/>
      <c r="FVS372" s="153"/>
      <c r="FVT372" s="153"/>
      <c r="FVU372" s="153"/>
      <c r="FVV372" s="153"/>
      <c r="FVW372" s="153"/>
      <c r="FVX372" s="153"/>
      <c r="FVY372" s="153"/>
      <c r="FVZ372" s="153"/>
      <c r="FWA372" s="650"/>
      <c r="FWB372" s="641"/>
      <c r="FWC372" s="638"/>
      <c r="FWD372" s="639"/>
      <c r="FWE372" s="153"/>
      <c r="FWF372" s="153"/>
      <c r="FWG372" s="153"/>
      <c r="FWH372" s="153"/>
      <c r="FWI372" s="153"/>
      <c r="FWJ372" s="153"/>
      <c r="FWK372" s="153"/>
      <c r="FWL372" s="153"/>
      <c r="FWM372" s="153"/>
      <c r="FWN372" s="153"/>
      <c r="FWO372" s="153"/>
      <c r="FWP372" s="153"/>
      <c r="FWQ372" s="650"/>
      <c r="FWR372" s="641"/>
      <c r="FWS372" s="638"/>
      <c r="FWT372" s="639"/>
      <c r="FWU372" s="153"/>
      <c r="FWV372" s="153"/>
      <c r="FWW372" s="153"/>
      <c r="FWX372" s="153"/>
      <c r="FWY372" s="153"/>
      <c r="FWZ372" s="153"/>
      <c r="FXA372" s="153"/>
      <c r="FXB372" s="153"/>
      <c r="FXC372" s="153"/>
      <c r="FXD372" s="153"/>
      <c r="FXE372" s="153"/>
      <c r="FXF372" s="153"/>
      <c r="FXG372" s="650"/>
      <c r="FXH372" s="641"/>
      <c r="FXI372" s="638"/>
      <c r="FXJ372" s="639"/>
      <c r="FXK372" s="153"/>
      <c r="FXL372" s="153"/>
      <c r="FXM372" s="153"/>
      <c r="FXN372" s="153"/>
      <c r="FXO372" s="153"/>
      <c r="FXP372" s="153"/>
      <c r="FXQ372" s="153"/>
      <c r="FXR372" s="153"/>
      <c r="FXS372" s="153"/>
      <c r="FXT372" s="153"/>
      <c r="FXU372" s="153"/>
      <c r="FXV372" s="153"/>
      <c r="FXW372" s="650"/>
      <c r="FXX372" s="641"/>
      <c r="FXY372" s="638"/>
      <c r="FXZ372" s="639"/>
      <c r="FYA372" s="153"/>
      <c r="FYB372" s="153"/>
      <c r="FYC372" s="153"/>
      <c r="FYD372" s="153"/>
      <c r="FYE372" s="153"/>
      <c r="FYF372" s="153"/>
      <c r="FYG372" s="153"/>
      <c r="FYH372" s="153"/>
      <c r="FYI372" s="153"/>
      <c r="FYJ372" s="153"/>
      <c r="FYK372" s="153"/>
      <c r="FYL372" s="153"/>
      <c r="FYM372" s="650"/>
      <c r="FYN372" s="641"/>
      <c r="FYO372" s="638"/>
      <c r="FYP372" s="639"/>
      <c r="FYQ372" s="153"/>
      <c r="FYR372" s="153"/>
      <c r="FYS372" s="153"/>
      <c r="FYT372" s="153"/>
      <c r="FYU372" s="153"/>
      <c r="FYV372" s="153"/>
      <c r="FYW372" s="153"/>
      <c r="FYX372" s="153"/>
      <c r="FYY372" s="153"/>
      <c r="FYZ372" s="153"/>
      <c r="FZA372" s="153"/>
      <c r="FZB372" s="153"/>
      <c r="FZC372" s="650"/>
      <c r="FZD372" s="641"/>
      <c r="FZE372" s="638"/>
      <c r="FZF372" s="639"/>
      <c r="FZG372" s="153"/>
      <c r="FZH372" s="153"/>
      <c r="FZI372" s="153"/>
      <c r="FZJ372" s="153"/>
      <c r="FZK372" s="153"/>
      <c r="FZL372" s="153"/>
      <c r="FZM372" s="153"/>
      <c r="FZN372" s="153"/>
      <c r="FZO372" s="153"/>
      <c r="FZP372" s="153"/>
      <c r="FZQ372" s="153"/>
      <c r="FZR372" s="153"/>
      <c r="FZS372" s="650"/>
      <c r="FZT372" s="641"/>
      <c r="FZU372" s="638"/>
      <c r="FZV372" s="639"/>
      <c r="FZW372" s="153"/>
      <c r="FZX372" s="153"/>
      <c r="FZY372" s="153"/>
      <c r="FZZ372" s="153"/>
      <c r="GAA372" s="153"/>
      <c r="GAB372" s="153"/>
      <c r="GAC372" s="153"/>
      <c r="GAD372" s="153"/>
      <c r="GAE372" s="153"/>
      <c r="GAF372" s="153"/>
      <c r="GAG372" s="153"/>
      <c r="GAH372" s="153"/>
      <c r="GAI372" s="650"/>
      <c r="GAJ372" s="641"/>
      <c r="GAK372" s="638"/>
      <c r="GAL372" s="639"/>
      <c r="GAM372" s="153"/>
      <c r="GAN372" s="153"/>
      <c r="GAO372" s="153"/>
      <c r="GAP372" s="153"/>
      <c r="GAQ372" s="153"/>
      <c r="GAR372" s="153"/>
      <c r="GAS372" s="153"/>
      <c r="GAT372" s="153"/>
      <c r="GAU372" s="153"/>
      <c r="GAV372" s="153"/>
      <c r="GAW372" s="153"/>
      <c r="GAX372" s="153"/>
      <c r="GAY372" s="650"/>
      <c r="GAZ372" s="641"/>
      <c r="GBA372" s="638"/>
      <c r="GBB372" s="639"/>
      <c r="GBC372" s="153"/>
      <c r="GBD372" s="153"/>
      <c r="GBE372" s="153"/>
      <c r="GBF372" s="153"/>
      <c r="GBG372" s="153"/>
      <c r="GBH372" s="153"/>
      <c r="GBI372" s="153"/>
      <c r="GBJ372" s="153"/>
      <c r="GBK372" s="153"/>
      <c r="GBL372" s="153"/>
      <c r="GBM372" s="153"/>
      <c r="GBN372" s="153"/>
      <c r="GBO372" s="650"/>
      <c r="GBP372" s="641"/>
      <c r="GBQ372" s="638"/>
      <c r="GBR372" s="639"/>
      <c r="GBS372" s="153"/>
      <c r="GBT372" s="153"/>
      <c r="GBU372" s="153"/>
      <c r="GBV372" s="153"/>
      <c r="GBW372" s="153"/>
      <c r="GBX372" s="153"/>
      <c r="GBY372" s="153"/>
      <c r="GBZ372" s="153"/>
      <c r="GCA372" s="153"/>
      <c r="GCB372" s="153"/>
      <c r="GCC372" s="153"/>
      <c r="GCD372" s="153"/>
      <c r="GCE372" s="650"/>
      <c r="GCF372" s="641"/>
      <c r="GCG372" s="638"/>
      <c r="GCH372" s="639"/>
      <c r="GCI372" s="153"/>
      <c r="GCJ372" s="153"/>
      <c r="GCK372" s="153"/>
      <c r="GCL372" s="153"/>
      <c r="GCM372" s="153"/>
      <c r="GCN372" s="153"/>
      <c r="GCO372" s="153"/>
      <c r="GCP372" s="153"/>
      <c r="GCQ372" s="153"/>
      <c r="GCR372" s="153"/>
      <c r="GCS372" s="153"/>
      <c r="GCT372" s="153"/>
      <c r="GCU372" s="650"/>
      <c r="GCV372" s="641"/>
      <c r="GCW372" s="638"/>
      <c r="GCX372" s="639"/>
      <c r="GCY372" s="153"/>
      <c r="GCZ372" s="153"/>
      <c r="GDA372" s="153"/>
      <c r="GDB372" s="153"/>
      <c r="GDC372" s="153"/>
      <c r="GDD372" s="153"/>
      <c r="GDE372" s="153"/>
      <c r="GDF372" s="153"/>
      <c r="GDG372" s="153"/>
      <c r="GDH372" s="153"/>
      <c r="GDI372" s="153"/>
      <c r="GDJ372" s="153"/>
      <c r="GDK372" s="650"/>
      <c r="GDL372" s="641"/>
      <c r="GDM372" s="638"/>
      <c r="GDN372" s="639"/>
      <c r="GDO372" s="153"/>
      <c r="GDP372" s="153"/>
      <c r="GDQ372" s="153"/>
      <c r="GDR372" s="153"/>
      <c r="GDS372" s="153"/>
      <c r="GDT372" s="153"/>
      <c r="GDU372" s="153"/>
      <c r="GDV372" s="153"/>
      <c r="GDW372" s="153"/>
      <c r="GDX372" s="153"/>
      <c r="GDY372" s="153"/>
      <c r="GDZ372" s="153"/>
      <c r="GEA372" s="650"/>
      <c r="GEB372" s="641"/>
      <c r="GEC372" s="638"/>
      <c r="GED372" s="639"/>
      <c r="GEE372" s="153"/>
      <c r="GEF372" s="153"/>
      <c r="GEG372" s="153"/>
      <c r="GEH372" s="153"/>
      <c r="GEI372" s="153"/>
      <c r="GEJ372" s="153"/>
      <c r="GEK372" s="153"/>
      <c r="GEL372" s="153"/>
      <c r="GEM372" s="153"/>
      <c r="GEN372" s="153"/>
      <c r="GEO372" s="153"/>
      <c r="GEP372" s="153"/>
      <c r="GEQ372" s="650"/>
      <c r="GER372" s="641"/>
      <c r="GES372" s="638"/>
      <c r="GET372" s="639"/>
      <c r="GEU372" s="153"/>
      <c r="GEV372" s="153"/>
      <c r="GEW372" s="153"/>
      <c r="GEX372" s="153"/>
      <c r="GEY372" s="153"/>
      <c r="GEZ372" s="153"/>
      <c r="GFA372" s="153"/>
      <c r="GFB372" s="153"/>
      <c r="GFC372" s="153"/>
      <c r="GFD372" s="153"/>
      <c r="GFE372" s="153"/>
      <c r="GFF372" s="153"/>
      <c r="GFG372" s="650"/>
      <c r="GFH372" s="641"/>
      <c r="GFI372" s="638"/>
      <c r="GFJ372" s="639"/>
      <c r="GFK372" s="153"/>
      <c r="GFL372" s="153"/>
      <c r="GFM372" s="153"/>
      <c r="GFN372" s="153"/>
      <c r="GFO372" s="153"/>
      <c r="GFP372" s="153"/>
      <c r="GFQ372" s="153"/>
      <c r="GFR372" s="153"/>
      <c r="GFS372" s="153"/>
      <c r="GFT372" s="153"/>
      <c r="GFU372" s="153"/>
      <c r="GFV372" s="153"/>
      <c r="GFW372" s="650"/>
      <c r="GFX372" s="641"/>
      <c r="GFY372" s="638"/>
      <c r="GFZ372" s="639"/>
      <c r="GGA372" s="153"/>
      <c r="GGB372" s="153"/>
      <c r="GGC372" s="153"/>
      <c r="GGD372" s="153"/>
      <c r="GGE372" s="153"/>
      <c r="GGF372" s="153"/>
      <c r="GGG372" s="153"/>
      <c r="GGH372" s="153"/>
      <c r="GGI372" s="153"/>
      <c r="GGJ372" s="153"/>
      <c r="GGK372" s="153"/>
      <c r="GGL372" s="153"/>
      <c r="GGM372" s="650"/>
      <c r="GGN372" s="641"/>
      <c r="GGO372" s="638"/>
      <c r="GGP372" s="639"/>
      <c r="GGQ372" s="153"/>
      <c r="GGR372" s="153"/>
      <c r="GGS372" s="153"/>
      <c r="GGT372" s="153"/>
      <c r="GGU372" s="153"/>
      <c r="GGV372" s="153"/>
      <c r="GGW372" s="153"/>
      <c r="GGX372" s="153"/>
      <c r="GGY372" s="153"/>
      <c r="GGZ372" s="153"/>
      <c r="GHA372" s="153"/>
      <c r="GHB372" s="153"/>
      <c r="GHC372" s="650"/>
      <c r="GHD372" s="641"/>
      <c r="GHE372" s="638"/>
      <c r="GHF372" s="639"/>
      <c r="GHG372" s="153"/>
      <c r="GHH372" s="153"/>
      <c r="GHI372" s="153"/>
      <c r="GHJ372" s="153"/>
      <c r="GHK372" s="153"/>
      <c r="GHL372" s="153"/>
      <c r="GHM372" s="153"/>
      <c r="GHN372" s="153"/>
      <c r="GHO372" s="153"/>
      <c r="GHP372" s="153"/>
      <c r="GHQ372" s="153"/>
      <c r="GHR372" s="153"/>
      <c r="GHS372" s="650"/>
      <c r="GHT372" s="641"/>
      <c r="GHU372" s="638"/>
      <c r="GHV372" s="639"/>
      <c r="GHW372" s="153"/>
      <c r="GHX372" s="153"/>
      <c r="GHY372" s="153"/>
      <c r="GHZ372" s="153"/>
      <c r="GIA372" s="153"/>
      <c r="GIB372" s="153"/>
      <c r="GIC372" s="153"/>
      <c r="GID372" s="153"/>
      <c r="GIE372" s="153"/>
      <c r="GIF372" s="153"/>
      <c r="GIG372" s="153"/>
      <c r="GIH372" s="153"/>
      <c r="GII372" s="650"/>
      <c r="GIJ372" s="641"/>
      <c r="GIK372" s="638"/>
      <c r="GIL372" s="639"/>
      <c r="GIM372" s="153"/>
      <c r="GIN372" s="153"/>
      <c r="GIO372" s="153"/>
      <c r="GIP372" s="153"/>
      <c r="GIQ372" s="153"/>
      <c r="GIR372" s="153"/>
      <c r="GIS372" s="153"/>
      <c r="GIT372" s="153"/>
      <c r="GIU372" s="153"/>
      <c r="GIV372" s="153"/>
      <c r="GIW372" s="153"/>
      <c r="GIX372" s="153"/>
      <c r="GIY372" s="650"/>
      <c r="GIZ372" s="641"/>
      <c r="GJA372" s="638"/>
      <c r="GJB372" s="639"/>
      <c r="GJC372" s="153"/>
      <c r="GJD372" s="153"/>
      <c r="GJE372" s="153"/>
      <c r="GJF372" s="153"/>
      <c r="GJG372" s="153"/>
      <c r="GJH372" s="153"/>
      <c r="GJI372" s="153"/>
      <c r="GJJ372" s="153"/>
      <c r="GJK372" s="153"/>
      <c r="GJL372" s="153"/>
      <c r="GJM372" s="153"/>
      <c r="GJN372" s="153"/>
      <c r="GJO372" s="650"/>
      <c r="GJP372" s="641"/>
      <c r="GJQ372" s="638"/>
      <c r="GJR372" s="639"/>
      <c r="GJS372" s="153"/>
      <c r="GJT372" s="153"/>
      <c r="GJU372" s="153"/>
      <c r="GJV372" s="153"/>
      <c r="GJW372" s="153"/>
      <c r="GJX372" s="153"/>
      <c r="GJY372" s="153"/>
      <c r="GJZ372" s="153"/>
      <c r="GKA372" s="153"/>
      <c r="GKB372" s="153"/>
      <c r="GKC372" s="153"/>
      <c r="GKD372" s="153"/>
      <c r="GKE372" s="650"/>
      <c r="GKF372" s="641"/>
      <c r="GKG372" s="638"/>
      <c r="GKH372" s="639"/>
      <c r="GKI372" s="153"/>
      <c r="GKJ372" s="153"/>
      <c r="GKK372" s="153"/>
      <c r="GKL372" s="153"/>
      <c r="GKM372" s="153"/>
      <c r="GKN372" s="153"/>
      <c r="GKO372" s="153"/>
      <c r="GKP372" s="153"/>
      <c r="GKQ372" s="153"/>
      <c r="GKR372" s="153"/>
      <c r="GKS372" s="153"/>
      <c r="GKT372" s="153"/>
      <c r="GKU372" s="650"/>
      <c r="GKV372" s="641"/>
      <c r="GKW372" s="638"/>
      <c r="GKX372" s="639"/>
      <c r="GKY372" s="153"/>
      <c r="GKZ372" s="153"/>
      <c r="GLA372" s="153"/>
      <c r="GLB372" s="153"/>
      <c r="GLC372" s="153"/>
      <c r="GLD372" s="153"/>
      <c r="GLE372" s="153"/>
      <c r="GLF372" s="153"/>
      <c r="GLG372" s="153"/>
      <c r="GLH372" s="153"/>
      <c r="GLI372" s="153"/>
      <c r="GLJ372" s="153"/>
      <c r="GLK372" s="650"/>
      <c r="GLL372" s="641"/>
      <c r="GLM372" s="638"/>
      <c r="GLN372" s="639"/>
      <c r="GLO372" s="153"/>
      <c r="GLP372" s="153"/>
      <c r="GLQ372" s="153"/>
      <c r="GLR372" s="153"/>
      <c r="GLS372" s="153"/>
      <c r="GLT372" s="153"/>
      <c r="GLU372" s="153"/>
      <c r="GLV372" s="153"/>
      <c r="GLW372" s="153"/>
      <c r="GLX372" s="153"/>
      <c r="GLY372" s="153"/>
      <c r="GLZ372" s="153"/>
      <c r="GMA372" s="650"/>
      <c r="GMB372" s="641"/>
      <c r="GMC372" s="638"/>
      <c r="GMD372" s="639"/>
      <c r="GME372" s="153"/>
      <c r="GMF372" s="153"/>
      <c r="GMG372" s="153"/>
      <c r="GMH372" s="153"/>
      <c r="GMI372" s="153"/>
      <c r="GMJ372" s="153"/>
      <c r="GMK372" s="153"/>
      <c r="GML372" s="153"/>
      <c r="GMM372" s="153"/>
      <c r="GMN372" s="153"/>
      <c r="GMO372" s="153"/>
      <c r="GMP372" s="153"/>
      <c r="GMQ372" s="650"/>
      <c r="GMR372" s="641"/>
      <c r="GMS372" s="638"/>
      <c r="GMT372" s="639"/>
      <c r="GMU372" s="153"/>
      <c r="GMV372" s="153"/>
      <c r="GMW372" s="153"/>
      <c r="GMX372" s="153"/>
      <c r="GMY372" s="153"/>
      <c r="GMZ372" s="153"/>
      <c r="GNA372" s="153"/>
      <c r="GNB372" s="153"/>
      <c r="GNC372" s="153"/>
      <c r="GND372" s="153"/>
      <c r="GNE372" s="153"/>
      <c r="GNF372" s="153"/>
      <c r="GNG372" s="650"/>
      <c r="GNH372" s="641"/>
      <c r="GNI372" s="638"/>
      <c r="GNJ372" s="639"/>
      <c r="GNK372" s="153"/>
      <c r="GNL372" s="153"/>
      <c r="GNM372" s="153"/>
      <c r="GNN372" s="153"/>
      <c r="GNO372" s="153"/>
      <c r="GNP372" s="153"/>
      <c r="GNQ372" s="153"/>
      <c r="GNR372" s="153"/>
      <c r="GNS372" s="153"/>
      <c r="GNT372" s="153"/>
      <c r="GNU372" s="153"/>
      <c r="GNV372" s="153"/>
      <c r="GNW372" s="650"/>
      <c r="GNX372" s="641"/>
      <c r="GNY372" s="638"/>
      <c r="GNZ372" s="639"/>
      <c r="GOA372" s="153"/>
      <c r="GOB372" s="153"/>
      <c r="GOC372" s="153"/>
      <c r="GOD372" s="153"/>
      <c r="GOE372" s="153"/>
      <c r="GOF372" s="153"/>
      <c r="GOG372" s="153"/>
      <c r="GOH372" s="153"/>
      <c r="GOI372" s="153"/>
      <c r="GOJ372" s="153"/>
      <c r="GOK372" s="153"/>
      <c r="GOL372" s="153"/>
      <c r="GOM372" s="650"/>
      <c r="GON372" s="641"/>
      <c r="GOO372" s="638"/>
      <c r="GOP372" s="639"/>
      <c r="GOQ372" s="153"/>
      <c r="GOR372" s="153"/>
      <c r="GOS372" s="153"/>
      <c r="GOT372" s="153"/>
      <c r="GOU372" s="153"/>
      <c r="GOV372" s="153"/>
      <c r="GOW372" s="153"/>
      <c r="GOX372" s="153"/>
      <c r="GOY372" s="153"/>
      <c r="GOZ372" s="153"/>
      <c r="GPA372" s="153"/>
      <c r="GPB372" s="153"/>
      <c r="GPC372" s="650"/>
      <c r="GPD372" s="641"/>
      <c r="GPE372" s="638"/>
      <c r="GPF372" s="639"/>
      <c r="GPG372" s="153"/>
      <c r="GPH372" s="153"/>
      <c r="GPI372" s="153"/>
      <c r="GPJ372" s="153"/>
      <c r="GPK372" s="153"/>
      <c r="GPL372" s="153"/>
      <c r="GPM372" s="153"/>
      <c r="GPN372" s="153"/>
      <c r="GPO372" s="153"/>
      <c r="GPP372" s="153"/>
      <c r="GPQ372" s="153"/>
      <c r="GPR372" s="153"/>
      <c r="GPS372" s="650"/>
      <c r="GPT372" s="641"/>
      <c r="GPU372" s="638"/>
      <c r="GPV372" s="639"/>
      <c r="GPW372" s="153"/>
      <c r="GPX372" s="153"/>
      <c r="GPY372" s="153"/>
      <c r="GPZ372" s="153"/>
      <c r="GQA372" s="153"/>
      <c r="GQB372" s="153"/>
      <c r="GQC372" s="153"/>
      <c r="GQD372" s="153"/>
      <c r="GQE372" s="153"/>
      <c r="GQF372" s="153"/>
      <c r="GQG372" s="153"/>
      <c r="GQH372" s="153"/>
      <c r="GQI372" s="650"/>
      <c r="GQJ372" s="641"/>
      <c r="GQK372" s="638"/>
      <c r="GQL372" s="639"/>
      <c r="GQM372" s="153"/>
      <c r="GQN372" s="153"/>
      <c r="GQO372" s="153"/>
      <c r="GQP372" s="153"/>
      <c r="GQQ372" s="153"/>
      <c r="GQR372" s="153"/>
      <c r="GQS372" s="153"/>
      <c r="GQT372" s="153"/>
      <c r="GQU372" s="153"/>
      <c r="GQV372" s="153"/>
      <c r="GQW372" s="153"/>
      <c r="GQX372" s="153"/>
      <c r="GQY372" s="650"/>
      <c r="GQZ372" s="641"/>
      <c r="GRA372" s="638"/>
      <c r="GRB372" s="639"/>
      <c r="GRC372" s="153"/>
      <c r="GRD372" s="153"/>
      <c r="GRE372" s="153"/>
      <c r="GRF372" s="153"/>
      <c r="GRG372" s="153"/>
      <c r="GRH372" s="153"/>
      <c r="GRI372" s="153"/>
      <c r="GRJ372" s="153"/>
      <c r="GRK372" s="153"/>
      <c r="GRL372" s="153"/>
      <c r="GRM372" s="153"/>
      <c r="GRN372" s="153"/>
      <c r="GRO372" s="650"/>
      <c r="GRP372" s="641"/>
      <c r="GRQ372" s="638"/>
      <c r="GRR372" s="639"/>
      <c r="GRS372" s="153"/>
      <c r="GRT372" s="153"/>
      <c r="GRU372" s="153"/>
      <c r="GRV372" s="153"/>
      <c r="GRW372" s="153"/>
      <c r="GRX372" s="153"/>
      <c r="GRY372" s="153"/>
      <c r="GRZ372" s="153"/>
      <c r="GSA372" s="153"/>
      <c r="GSB372" s="153"/>
      <c r="GSC372" s="153"/>
      <c r="GSD372" s="153"/>
      <c r="GSE372" s="650"/>
      <c r="GSF372" s="641"/>
      <c r="GSG372" s="638"/>
      <c r="GSH372" s="639"/>
      <c r="GSI372" s="153"/>
      <c r="GSJ372" s="153"/>
      <c r="GSK372" s="153"/>
      <c r="GSL372" s="153"/>
      <c r="GSM372" s="153"/>
      <c r="GSN372" s="153"/>
      <c r="GSO372" s="153"/>
      <c r="GSP372" s="153"/>
      <c r="GSQ372" s="153"/>
      <c r="GSR372" s="153"/>
      <c r="GSS372" s="153"/>
      <c r="GST372" s="153"/>
      <c r="GSU372" s="650"/>
      <c r="GSV372" s="641"/>
      <c r="GSW372" s="638"/>
      <c r="GSX372" s="639"/>
      <c r="GSY372" s="153"/>
      <c r="GSZ372" s="153"/>
      <c r="GTA372" s="153"/>
      <c r="GTB372" s="153"/>
      <c r="GTC372" s="153"/>
      <c r="GTD372" s="153"/>
      <c r="GTE372" s="153"/>
      <c r="GTF372" s="153"/>
      <c r="GTG372" s="153"/>
      <c r="GTH372" s="153"/>
      <c r="GTI372" s="153"/>
      <c r="GTJ372" s="153"/>
      <c r="GTK372" s="650"/>
      <c r="GTL372" s="641"/>
      <c r="GTM372" s="638"/>
      <c r="GTN372" s="639"/>
      <c r="GTO372" s="153"/>
      <c r="GTP372" s="153"/>
      <c r="GTQ372" s="153"/>
      <c r="GTR372" s="153"/>
      <c r="GTS372" s="153"/>
      <c r="GTT372" s="153"/>
      <c r="GTU372" s="153"/>
      <c r="GTV372" s="153"/>
      <c r="GTW372" s="153"/>
      <c r="GTX372" s="153"/>
      <c r="GTY372" s="153"/>
      <c r="GTZ372" s="153"/>
      <c r="GUA372" s="650"/>
      <c r="GUB372" s="641"/>
      <c r="GUC372" s="638"/>
      <c r="GUD372" s="639"/>
      <c r="GUE372" s="153"/>
      <c r="GUF372" s="153"/>
      <c r="GUG372" s="153"/>
      <c r="GUH372" s="153"/>
      <c r="GUI372" s="153"/>
      <c r="GUJ372" s="153"/>
      <c r="GUK372" s="153"/>
      <c r="GUL372" s="153"/>
      <c r="GUM372" s="153"/>
      <c r="GUN372" s="153"/>
      <c r="GUO372" s="153"/>
      <c r="GUP372" s="153"/>
      <c r="GUQ372" s="650"/>
      <c r="GUR372" s="641"/>
      <c r="GUS372" s="638"/>
      <c r="GUT372" s="639"/>
      <c r="GUU372" s="153"/>
      <c r="GUV372" s="153"/>
      <c r="GUW372" s="153"/>
      <c r="GUX372" s="153"/>
      <c r="GUY372" s="153"/>
      <c r="GUZ372" s="153"/>
      <c r="GVA372" s="153"/>
      <c r="GVB372" s="153"/>
      <c r="GVC372" s="153"/>
      <c r="GVD372" s="153"/>
      <c r="GVE372" s="153"/>
      <c r="GVF372" s="153"/>
      <c r="GVG372" s="650"/>
      <c r="GVH372" s="641"/>
      <c r="GVI372" s="638"/>
      <c r="GVJ372" s="639"/>
      <c r="GVK372" s="153"/>
      <c r="GVL372" s="153"/>
      <c r="GVM372" s="153"/>
      <c r="GVN372" s="153"/>
      <c r="GVO372" s="153"/>
      <c r="GVP372" s="153"/>
      <c r="GVQ372" s="153"/>
      <c r="GVR372" s="153"/>
      <c r="GVS372" s="153"/>
      <c r="GVT372" s="153"/>
      <c r="GVU372" s="153"/>
      <c r="GVV372" s="153"/>
      <c r="GVW372" s="650"/>
      <c r="GVX372" s="641"/>
      <c r="GVY372" s="638"/>
      <c r="GVZ372" s="639"/>
      <c r="GWA372" s="153"/>
      <c r="GWB372" s="153"/>
      <c r="GWC372" s="153"/>
      <c r="GWD372" s="153"/>
      <c r="GWE372" s="153"/>
      <c r="GWF372" s="153"/>
      <c r="GWG372" s="153"/>
      <c r="GWH372" s="153"/>
      <c r="GWI372" s="153"/>
      <c r="GWJ372" s="153"/>
      <c r="GWK372" s="153"/>
      <c r="GWL372" s="153"/>
      <c r="GWM372" s="650"/>
      <c r="GWN372" s="641"/>
      <c r="GWO372" s="638"/>
      <c r="GWP372" s="639"/>
      <c r="GWQ372" s="153"/>
      <c r="GWR372" s="153"/>
      <c r="GWS372" s="153"/>
      <c r="GWT372" s="153"/>
      <c r="GWU372" s="153"/>
      <c r="GWV372" s="153"/>
      <c r="GWW372" s="153"/>
      <c r="GWX372" s="153"/>
      <c r="GWY372" s="153"/>
      <c r="GWZ372" s="153"/>
      <c r="GXA372" s="153"/>
      <c r="GXB372" s="153"/>
      <c r="GXC372" s="650"/>
      <c r="GXD372" s="641"/>
      <c r="GXE372" s="638"/>
      <c r="GXF372" s="639"/>
      <c r="GXG372" s="153"/>
      <c r="GXH372" s="153"/>
      <c r="GXI372" s="153"/>
      <c r="GXJ372" s="153"/>
      <c r="GXK372" s="153"/>
      <c r="GXL372" s="153"/>
      <c r="GXM372" s="153"/>
      <c r="GXN372" s="153"/>
      <c r="GXO372" s="153"/>
      <c r="GXP372" s="153"/>
      <c r="GXQ372" s="153"/>
      <c r="GXR372" s="153"/>
      <c r="GXS372" s="650"/>
      <c r="GXT372" s="641"/>
      <c r="GXU372" s="638"/>
      <c r="GXV372" s="639"/>
      <c r="GXW372" s="153"/>
      <c r="GXX372" s="153"/>
      <c r="GXY372" s="153"/>
      <c r="GXZ372" s="153"/>
      <c r="GYA372" s="153"/>
      <c r="GYB372" s="153"/>
      <c r="GYC372" s="153"/>
      <c r="GYD372" s="153"/>
      <c r="GYE372" s="153"/>
      <c r="GYF372" s="153"/>
      <c r="GYG372" s="153"/>
      <c r="GYH372" s="153"/>
      <c r="GYI372" s="650"/>
      <c r="GYJ372" s="641"/>
      <c r="GYK372" s="638"/>
      <c r="GYL372" s="639"/>
      <c r="GYM372" s="153"/>
      <c r="GYN372" s="153"/>
      <c r="GYO372" s="153"/>
      <c r="GYP372" s="153"/>
      <c r="GYQ372" s="153"/>
      <c r="GYR372" s="153"/>
      <c r="GYS372" s="153"/>
      <c r="GYT372" s="153"/>
      <c r="GYU372" s="153"/>
      <c r="GYV372" s="153"/>
      <c r="GYW372" s="153"/>
      <c r="GYX372" s="153"/>
      <c r="GYY372" s="650"/>
      <c r="GYZ372" s="641"/>
      <c r="GZA372" s="638"/>
      <c r="GZB372" s="639"/>
      <c r="GZC372" s="153"/>
      <c r="GZD372" s="153"/>
      <c r="GZE372" s="153"/>
      <c r="GZF372" s="153"/>
      <c r="GZG372" s="153"/>
      <c r="GZH372" s="153"/>
      <c r="GZI372" s="153"/>
      <c r="GZJ372" s="153"/>
      <c r="GZK372" s="153"/>
      <c r="GZL372" s="153"/>
      <c r="GZM372" s="153"/>
      <c r="GZN372" s="153"/>
      <c r="GZO372" s="650"/>
      <c r="GZP372" s="641"/>
      <c r="GZQ372" s="638"/>
      <c r="GZR372" s="639"/>
      <c r="GZS372" s="153"/>
      <c r="GZT372" s="153"/>
      <c r="GZU372" s="153"/>
      <c r="GZV372" s="153"/>
      <c r="GZW372" s="153"/>
      <c r="GZX372" s="153"/>
      <c r="GZY372" s="153"/>
      <c r="GZZ372" s="153"/>
      <c r="HAA372" s="153"/>
      <c r="HAB372" s="153"/>
      <c r="HAC372" s="153"/>
      <c r="HAD372" s="153"/>
      <c r="HAE372" s="650"/>
      <c r="HAF372" s="641"/>
      <c r="HAG372" s="638"/>
      <c r="HAH372" s="639"/>
      <c r="HAI372" s="153"/>
      <c r="HAJ372" s="153"/>
      <c r="HAK372" s="153"/>
      <c r="HAL372" s="153"/>
      <c r="HAM372" s="153"/>
      <c r="HAN372" s="153"/>
      <c r="HAO372" s="153"/>
      <c r="HAP372" s="153"/>
      <c r="HAQ372" s="153"/>
      <c r="HAR372" s="153"/>
      <c r="HAS372" s="153"/>
      <c r="HAT372" s="153"/>
      <c r="HAU372" s="650"/>
      <c r="HAV372" s="641"/>
      <c r="HAW372" s="638"/>
      <c r="HAX372" s="639"/>
      <c r="HAY372" s="153"/>
      <c r="HAZ372" s="153"/>
      <c r="HBA372" s="153"/>
      <c r="HBB372" s="153"/>
      <c r="HBC372" s="153"/>
      <c r="HBD372" s="153"/>
      <c r="HBE372" s="153"/>
      <c r="HBF372" s="153"/>
      <c r="HBG372" s="153"/>
      <c r="HBH372" s="153"/>
      <c r="HBI372" s="153"/>
      <c r="HBJ372" s="153"/>
      <c r="HBK372" s="650"/>
      <c r="HBL372" s="641"/>
      <c r="HBM372" s="638"/>
      <c r="HBN372" s="639"/>
      <c r="HBO372" s="153"/>
      <c r="HBP372" s="153"/>
      <c r="HBQ372" s="153"/>
      <c r="HBR372" s="153"/>
      <c r="HBS372" s="153"/>
      <c r="HBT372" s="153"/>
      <c r="HBU372" s="153"/>
      <c r="HBV372" s="153"/>
      <c r="HBW372" s="153"/>
      <c r="HBX372" s="153"/>
      <c r="HBY372" s="153"/>
      <c r="HBZ372" s="153"/>
      <c r="HCA372" s="650"/>
      <c r="HCB372" s="641"/>
      <c r="HCC372" s="638"/>
      <c r="HCD372" s="639"/>
      <c r="HCE372" s="153"/>
      <c r="HCF372" s="153"/>
      <c r="HCG372" s="153"/>
      <c r="HCH372" s="153"/>
      <c r="HCI372" s="153"/>
      <c r="HCJ372" s="153"/>
      <c r="HCK372" s="153"/>
      <c r="HCL372" s="153"/>
      <c r="HCM372" s="153"/>
      <c r="HCN372" s="153"/>
      <c r="HCO372" s="153"/>
      <c r="HCP372" s="153"/>
      <c r="HCQ372" s="650"/>
      <c r="HCR372" s="641"/>
      <c r="HCS372" s="638"/>
      <c r="HCT372" s="639"/>
      <c r="HCU372" s="153"/>
      <c r="HCV372" s="153"/>
      <c r="HCW372" s="153"/>
      <c r="HCX372" s="153"/>
      <c r="HCY372" s="153"/>
      <c r="HCZ372" s="153"/>
      <c r="HDA372" s="153"/>
      <c r="HDB372" s="153"/>
      <c r="HDC372" s="153"/>
      <c r="HDD372" s="153"/>
      <c r="HDE372" s="153"/>
      <c r="HDF372" s="153"/>
      <c r="HDG372" s="650"/>
      <c r="HDH372" s="641"/>
      <c r="HDI372" s="638"/>
      <c r="HDJ372" s="639"/>
      <c r="HDK372" s="153"/>
      <c r="HDL372" s="153"/>
      <c r="HDM372" s="153"/>
      <c r="HDN372" s="153"/>
      <c r="HDO372" s="153"/>
      <c r="HDP372" s="153"/>
      <c r="HDQ372" s="153"/>
      <c r="HDR372" s="153"/>
      <c r="HDS372" s="153"/>
      <c r="HDT372" s="153"/>
      <c r="HDU372" s="153"/>
      <c r="HDV372" s="153"/>
      <c r="HDW372" s="650"/>
      <c r="HDX372" s="641"/>
      <c r="HDY372" s="638"/>
      <c r="HDZ372" s="639"/>
      <c r="HEA372" s="153"/>
      <c r="HEB372" s="153"/>
      <c r="HEC372" s="153"/>
      <c r="HED372" s="153"/>
      <c r="HEE372" s="153"/>
      <c r="HEF372" s="153"/>
      <c r="HEG372" s="153"/>
      <c r="HEH372" s="153"/>
      <c r="HEI372" s="153"/>
      <c r="HEJ372" s="153"/>
      <c r="HEK372" s="153"/>
      <c r="HEL372" s="153"/>
      <c r="HEM372" s="650"/>
      <c r="HEN372" s="641"/>
      <c r="HEO372" s="638"/>
      <c r="HEP372" s="639"/>
      <c r="HEQ372" s="153"/>
      <c r="HER372" s="153"/>
      <c r="HES372" s="153"/>
      <c r="HET372" s="153"/>
      <c r="HEU372" s="153"/>
      <c r="HEV372" s="153"/>
      <c r="HEW372" s="153"/>
      <c r="HEX372" s="153"/>
      <c r="HEY372" s="153"/>
      <c r="HEZ372" s="153"/>
      <c r="HFA372" s="153"/>
      <c r="HFB372" s="153"/>
      <c r="HFC372" s="650"/>
      <c r="HFD372" s="641"/>
      <c r="HFE372" s="638"/>
      <c r="HFF372" s="639"/>
      <c r="HFG372" s="153"/>
      <c r="HFH372" s="153"/>
      <c r="HFI372" s="153"/>
      <c r="HFJ372" s="153"/>
      <c r="HFK372" s="153"/>
      <c r="HFL372" s="153"/>
      <c r="HFM372" s="153"/>
      <c r="HFN372" s="153"/>
      <c r="HFO372" s="153"/>
      <c r="HFP372" s="153"/>
      <c r="HFQ372" s="153"/>
      <c r="HFR372" s="153"/>
      <c r="HFS372" s="650"/>
      <c r="HFT372" s="641"/>
      <c r="HFU372" s="638"/>
      <c r="HFV372" s="639"/>
      <c r="HFW372" s="153"/>
      <c r="HFX372" s="153"/>
      <c r="HFY372" s="153"/>
      <c r="HFZ372" s="153"/>
      <c r="HGA372" s="153"/>
      <c r="HGB372" s="153"/>
      <c r="HGC372" s="153"/>
      <c r="HGD372" s="153"/>
      <c r="HGE372" s="153"/>
      <c r="HGF372" s="153"/>
      <c r="HGG372" s="153"/>
      <c r="HGH372" s="153"/>
      <c r="HGI372" s="650"/>
      <c r="HGJ372" s="641"/>
      <c r="HGK372" s="638"/>
      <c r="HGL372" s="639"/>
      <c r="HGM372" s="153"/>
      <c r="HGN372" s="153"/>
      <c r="HGO372" s="153"/>
      <c r="HGP372" s="153"/>
      <c r="HGQ372" s="153"/>
      <c r="HGR372" s="153"/>
      <c r="HGS372" s="153"/>
      <c r="HGT372" s="153"/>
      <c r="HGU372" s="153"/>
      <c r="HGV372" s="153"/>
      <c r="HGW372" s="153"/>
      <c r="HGX372" s="153"/>
      <c r="HGY372" s="650"/>
      <c r="HGZ372" s="641"/>
      <c r="HHA372" s="638"/>
      <c r="HHB372" s="639"/>
      <c r="HHC372" s="153"/>
      <c r="HHD372" s="153"/>
      <c r="HHE372" s="153"/>
      <c r="HHF372" s="153"/>
      <c r="HHG372" s="153"/>
      <c r="HHH372" s="153"/>
      <c r="HHI372" s="153"/>
      <c r="HHJ372" s="153"/>
      <c r="HHK372" s="153"/>
      <c r="HHL372" s="153"/>
      <c r="HHM372" s="153"/>
      <c r="HHN372" s="153"/>
      <c r="HHO372" s="650"/>
      <c r="HHP372" s="641"/>
      <c r="HHQ372" s="638"/>
      <c r="HHR372" s="639"/>
      <c r="HHS372" s="153"/>
      <c r="HHT372" s="153"/>
      <c r="HHU372" s="153"/>
      <c r="HHV372" s="153"/>
      <c r="HHW372" s="153"/>
      <c r="HHX372" s="153"/>
      <c r="HHY372" s="153"/>
      <c r="HHZ372" s="153"/>
      <c r="HIA372" s="153"/>
      <c r="HIB372" s="153"/>
      <c r="HIC372" s="153"/>
      <c r="HID372" s="153"/>
      <c r="HIE372" s="650"/>
      <c r="HIF372" s="641"/>
      <c r="HIG372" s="638"/>
      <c r="HIH372" s="639"/>
      <c r="HII372" s="153"/>
      <c r="HIJ372" s="153"/>
      <c r="HIK372" s="153"/>
      <c r="HIL372" s="153"/>
      <c r="HIM372" s="153"/>
      <c r="HIN372" s="153"/>
      <c r="HIO372" s="153"/>
      <c r="HIP372" s="153"/>
      <c r="HIQ372" s="153"/>
      <c r="HIR372" s="153"/>
      <c r="HIS372" s="153"/>
      <c r="HIT372" s="153"/>
      <c r="HIU372" s="650"/>
      <c r="HIV372" s="641"/>
      <c r="HIW372" s="638"/>
      <c r="HIX372" s="639"/>
      <c r="HIY372" s="153"/>
      <c r="HIZ372" s="153"/>
      <c r="HJA372" s="153"/>
      <c r="HJB372" s="153"/>
      <c r="HJC372" s="153"/>
      <c r="HJD372" s="153"/>
      <c r="HJE372" s="153"/>
      <c r="HJF372" s="153"/>
      <c r="HJG372" s="153"/>
      <c r="HJH372" s="153"/>
      <c r="HJI372" s="153"/>
      <c r="HJJ372" s="153"/>
      <c r="HJK372" s="650"/>
      <c r="HJL372" s="641"/>
      <c r="HJM372" s="638"/>
      <c r="HJN372" s="639"/>
      <c r="HJO372" s="153"/>
      <c r="HJP372" s="153"/>
      <c r="HJQ372" s="153"/>
      <c r="HJR372" s="153"/>
      <c r="HJS372" s="153"/>
      <c r="HJT372" s="153"/>
      <c r="HJU372" s="153"/>
      <c r="HJV372" s="153"/>
      <c r="HJW372" s="153"/>
      <c r="HJX372" s="153"/>
      <c r="HJY372" s="153"/>
      <c r="HJZ372" s="153"/>
      <c r="HKA372" s="650"/>
      <c r="HKB372" s="641"/>
      <c r="HKC372" s="638"/>
      <c r="HKD372" s="639"/>
      <c r="HKE372" s="153"/>
      <c r="HKF372" s="153"/>
      <c r="HKG372" s="153"/>
      <c r="HKH372" s="153"/>
      <c r="HKI372" s="153"/>
      <c r="HKJ372" s="153"/>
      <c r="HKK372" s="153"/>
      <c r="HKL372" s="153"/>
      <c r="HKM372" s="153"/>
      <c r="HKN372" s="153"/>
      <c r="HKO372" s="153"/>
      <c r="HKP372" s="153"/>
      <c r="HKQ372" s="650"/>
      <c r="HKR372" s="641"/>
      <c r="HKS372" s="638"/>
      <c r="HKT372" s="639"/>
      <c r="HKU372" s="153"/>
      <c r="HKV372" s="153"/>
      <c r="HKW372" s="153"/>
      <c r="HKX372" s="153"/>
      <c r="HKY372" s="153"/>
      <c r="HKZ372" s="153"/>
      <c r="HLA372" s="153"/>
      <c r="HLB372" s="153"/>
      <c r="HLC372" s="153"/>
      <c r="HLD372" s="153"/>
      <c r="HLE372" s="153"/>
      <c r="HLF372" s="153"/>
      <c r="HLG372" s="650"/>
      <c r="HLH372" s="641"/>
      <c r="HLI372" s="638"/>
      <c r="HLJ372" s="639"/>
      <c r="HLK372" s="153"/>
      <c r="HLL372" s="153"/>
      <c r="HLM372" s="153"/>
      <c r="HLN372" s="153"/>
      <c r="HLO372" s="153"/>
      <c r="HLP372" s="153"/>
      <c r="HLQ372" s="153"/>
      <c r="HLR372" s="153"/>
      <c r="HLS372" s="153"/>
      <c r="HLT372" s="153"/>
      <c r="HLU372" s="153"/>
      <c r="HLV372" s="153"/>
      <c r="HLW372" s="650"/>
      <c r="HLX372" s="641"/>
      <c r="HLY372" s="638"/>
      <c r="HLZ372" s="639"/>
      <c r="HMA372" s="153"/>
      <c r="HMB372" s="153"/>
      <c r="HMC372" s="153"/>
      <c r="HMD372" s="153"/>
      <c r="HME372" s="153"/>
      <c r="HMF372" s="153"/>
      <c r="HMG372" s="153"/>
      <c r="HMH372" s="153"/>
      <c r="HMI372" s="153"/>
      <c r="HMJ372" s="153"/>
      <c r="HMK372" s="153"/>
      <c r="HML372" s="153"/>
      <c r="HMM372" s="650"/>
      <c r="HMN372" s="641"/>
      <c r="HMO372" s="638"/>
      <c r="HMP372" s="639"/>
      <c r="HMQ372" s="153"/>
      <c r="HMR372" s="153"/>
      <c r="HMS372" s="153"/>
      <c r="HMT372" s="153"/>
      <c r="HMU372" s="153"/>
      <c r="HMV372" s="153"/>
      <c r="HMW372" s="153"/>
      <c r="HMX372" s="153"/>
      <c r="HMY372" s="153"/>
      <c r="HMZ372" s="153"/>
      <c r="HNA372" s="153"/>
      <c r="HNB372" s="153"/>
      <c r="HNC372" s="650"/>
      <c r="HND372" s="641"/>
      <c r="HNE372" s="638"/>
      <c r="HNF372" s="639"/>
      <c r="HNG372" s="153"/>
      <c r="HNH372" s="153"/>
      <c r="HNI372" s="153"/>
      <c r="HNJ372" s="153"/>
      <c r="HNK372" s="153"/>
      <c r="HNL372" s="153"/>
      <c r="HNM372" s="153"/>
      <c r="HNN372" s="153"/>
      <c r="HNO372" s="153"/>
      <c r="HNP372" s="153"/>
      <c r="HNQ372" s="153"/>
      <c r="HNR372" s="153"/>
      <c r="HNS372" s="650"/>
      <c r="HNT372" s="641"/>
      <c r="HNU372" s="638"/>
      <c r="HNV372" s="639"/>
      <c r="HNW372" s="153"/>
      <c r="HNX372" s="153"/>
      <c r="HNY372" s="153"/>
      <c r="HNZ372" s="153"/>
      <c r="HOA372" s="153"/>
      <c r="HOB372" s="153"/>
      <c r="HOC372" s="153"/>
      <c r="HOD372" s="153"/>
      <c r="HOE372" s="153"/>
      <c r="HOF372" s="153"/>
      <c r="HOG372" s="153"/>
      <c r="HOH372" s="153"/>
      <c r="HOI372" s="650"/>
      <c r="HOJ372" s="641"/>
      <c r="HOK372" s="638"/>
      <c r="HOL372" s="639"/>
      <c r="HOM372" s="153"/>
      <c r="HON372" s="153"/>
      <c r="HOO372" s="153"/>
      <c r="HOP372" s="153"/>
      <c r="HOQ372" s="153"/>
      <c r="HOR372" s="153"/>
      <c r="HOS372" s="153"/>
      <c r="HOT372" s="153"/>
      <c r="HOU372" s="153"/>
      <c r="HOV372" s="153"/>
      <c r="HOW372" s="153"/>
      <c r="HOX372" s="153"/>
      <c r="HOY372" s="650"/>
      <c r="HOZ372" s="641"/>
      <c r="HPA372" s="638"/>
      <c r="HPB372" s="639"/>
      <c r="HPC372" s="153"/>
      <c r="HPD372" s="153"/>
      <c r="HPE372" s="153"/>
      <c r="HPF372" s="153"/>
      <c r="HPG372" s="153"/>
      <c r="HPH372" s="153"/>
      <c r="HPI372" s="153"/>
      <c r="HPJ372" s="153"/>
      <c r="HPK372" s="153"/>
      <c r="HPL372" s="153"/>
      <c r="HPM372" s="153"/>
      <c r="HPN372" s="153"/>
      <c r="HPO372" s="650"/>
      <c r="HPP372" s="641"/>
      <c r="HPQ372" s="638"/>
      <c r="HPR372" s="639"/>
      <c r="HPS372" s="153"/>
      <c r="HPT372" s="153"/>
      <c r="HPU372" s="153"/>
      <c r="HPV372" s="153"/>
      <c r="HPW372" s="153"/>
      <c r="HPX372" s="153"/>
      <c r="HPY372" s="153"/>
      <c r="HPZ372" s="153"/>
      <c r="HQA372" s="153"/>
      <c r="HQB372" s="153"/>
      <c r="HQC372" s="153"/>
      <c r="HQD372" s="153"/>
      <c r="HQE372" s="650"/>
      <c r="HQF372" s="641"/>
      <c r="HQG372" s="638"/>
      <c r="HQH372" s="639"/>
      <c r="HQI372" s="153"/>
      <c r="HQJ372" s="153"/>
      <c r="HQK372" s="153"/>
      <c r="HQL372" s="153"/>
      <c r="HQM372" s="153"/>
      <c r="HQN372" s="153"/>
      <c r="HQO372" s="153"/>
      <c r="HQP372" s="153"/>
      <c r="HQQ372" s="153"/>
      <c r="HQR372" s="153"/>
      <c r="HQS372" s="153"/>
      <c r="HQT372" s="153"/>
      <c r="HQU372" s="650"/>
      <c r="HQV372" s="641"/>
      <c r="HQW372" s="638"/>
      <c r="HQX372" s="639"/>
      <c r="HQY372" s="153"/>
      <c r="HQZ372" s="153"/>
      <c r="HRA372" s="153"/>
      <c r="HRB372" s="153"/>
      <c r="HRC372" s="153"/>
      <c r="HRD372" s="153"/>
      <c r="HRE372" s="153"/>
      <c r="HRF372" s="153"/>
      <c r="HRG372" s="153"/>
      <c r="HRH372" s="153"/>
      <c r="HRI372" s="153"/>
      <c r="HRJ372" s="153"/>
      <c r="HRK372" s="650"/>
      <c r="HRL372" s="641"/>
      <c r="HRM372" s="638"/>
      <c r="HRN372" s="639"/>
      <c r="HRO372" s="153"/>
      <c r="HRP372" s="153"/>
      <c r="HRQ372" s="153"/>
      <c r="HRR372" s="153"/>
      <c r="HRS372" s="153"/>
      <c r="HRT372" s="153"/>
      <c r="HRU372" s="153"/>
      <c r="HRV372" s="153"/>
      <c r="HRW372" s="153"/>
      <c r="HRX372" s="153"/>
      <c r="HRY372" s="153"/>
      <c r="HRZ372" s="153"/>
      <c r="HSA372" s="650"/>
      <c r="HSB372" s="641"/>
      <c r="HSC372" s="638"/>
      <c r="HSD372" s="639"/>
      <c r="HSE372" s="153"/>
      <c r="HSF372" s="153"/>
      <c r="HSG372" s="153"/>
      <c r="HSH372" s="153"/>
      <c r="HSI372" s="153"/>
      <c r="HSJ372" s="153"/>
      <c r="HSK372" s="153"/>
      <c r="HSL372" s="153"/>
      <c r="HSM372" s="153"/>
      <c r="HSN372" s="153"/>
      <c r="HSO372" s="153"/>
      <c r="HSP372" s="153"/>
      <c r="HSQ372" s="650"/>
      <c r="HSR372" s="641"/>
      <c r="HSS372" s="638"/>
      <c r="HST372" s="639"/>
      <c r="HSU372" s="153"/>
      <c r="HSV372" s="153"/>
      <c r="HSW372" s="153"/>
      <c r="HSX372" s="153"/>
      <c r="HSY372" s="153"/>
      <c r="HSZ372" s="153"/>
      <c r="HTA372" s="153"/>
      <c r="HTB372" s="153"/>
      <c r="HTC372" s="153"/>
      <c r="HTD372" s="153"/>
      <c r="HTE372" s="153"/>
      <c r="HTF372" s="153"/>
      <c r="HTG372" s="650"/>
      <c r="HTH372" s="641"/>
      <c r="HTI372" s="638"/>
      <c r="HTJ372" s="639"/>
      <c r="HTK372" s="153"/>
      <c r="HTL372" s="153"/>
      <c r="HTM372" s="153"/>
      <c r="HTN372" s="153"/>
      <c r="HTO372" s="153"/>
      <c r="HTP372" s="153"/>
      <c r="HTQ372" s="153"/>
      <c r="HTR372" s="153"/>
      <c r="HTS372" s="153"/>
      <c r="HTT372" s="153"/>
      <c r="HTU372" s="153"/>
      <c r="HTV372" s="153"/>
      <c r="HTW372" s="650"/>
      <c r="HTX372" s="641"/>
      <c r="HTY372" s="638"/>
      <c r="HTZ372" s="639"/>
      <c r="HUA372" s="153"/>
      <c r="HUB372" s="153"/>
      <c r="HUC372" s="153"/>
      <c r="HUD372" s="153"/>
      <c r="HUE372" s="153"/>
      <c r="HUF372" s="153"/>
      <c r="HUG372" s="153"/>
      <c r="HUH372" s="153"/>
      <c r="HUI372" s="153"/>
      <c r="HUJ372" s="153"/>
      <c r="HUK372" s="153"/>
      <c r="HUL372" s="153"/>
      <c r="HUM372" s="650"/>
      <c r="HUN372" s="641"/>
      <c r="HUO372" s="638"/>
      <c r="HUP372" s="639"/>
      <c r="HUQ372" s="153"/>
      <c r="HUR372" s="153"/>
      <c r="HUS372" s="153"/>
      <c r="HUT372" s="153"/>
      <c r="HUU372" s="153"/>
      <c r="HUV372" s="153"/>
      <c r="HUW372" s="153"/>
      <c r="HUX372" s="153"/>
      <c r="HUY372" s="153"/>
      <c r="HUZ372" s="153"/>
      <c r="HVA372" s="153"/>
      <c r="HVB372" s="153"/>
      <c r="HVC372" s="650"/>
      <c r="HVD372" s="641"/>
      <c r="HVE372" s="638"/>
      <c r="HVF372" s="639"/>
      <c r="HVG372" s="153"/>
      <c r="HVH372" s="153"/>
      <c r="HVI372" s="153"/>
      <c r="HVJ372" s="153"/>
      <c r="HVK372" s="153"/>
      <c r="HVL372" s="153"/>
      <c r="HVM372" s="153"/>
      <c r="HVN372" s="153"/>
      <c r="HVO372" s="153"/>
      <c r="HVP372" s="153"/>
      <c r="HVQ372" s="153"/>
      <c r="HVR372" s="153"/>
      <c r="HVS372" s="650"/>
      <c r="HVT372" s="641"/>
      <c r="HVU372" s="638"/>
      <c r="HVV372" s="639"/>
      <c r="HVW372" s="153"/>
      <c r="HVX372" s="153"/>
      <c r="HVY372" s="153"/>
      <c r="HVZ372" s="153"/>
      <c r="HWA372" s="153"/>
      <c r="HWB372" s="153"/>
      <c r="HWC372" s="153"/>
      <c r="HWD372" s="153"/>
      <c r="HWE372" s="153"/>
      <c r="HWF372" s="153"/>
      <c r="HWG372" s="153"/>
      <c r="HWH372" s="153"/>
      <c r="HWI372" s="650"/>
      <c r="HWJ372" s="641"/>
      <c r="HWK372" s="638"/>
      <c r="HWL372" s="639"/>
      <c r="HWM372" s="153"/>
      <c r="HWN372" s="153"/>
      <c r="HWO372" s="153"/>
      <c r="HWP372" s="153"/>
      <c r="HWQ372" s="153"/>
      <c r="HWR372" s="153"/>
      <c r="HWS372" s="153"/>
      <c r="HWT372" s="153"/>
      <c r="HWU372" s="153"/>
      <c r="HWV372" s="153"/>
      <c r="HWW372" s="153"/>
      <c r="HWX372" s="153"/>
      <c r="HWY372" s="650"/>
      <c r="HWZ372" s="641"/>
      <c r="HXA372" s="638"/>
      <c r="HXB372" s="639"/>
      <c r="HXC372" s="153"/>
      <c r="HXD372" s="153"/>
      <c r="HXE372" s="153"/>
      <c r="HXF372" s="153"/>
      <c r="HXG372" s="153"/>
      <c r="HXH372" s="153"/>
      <c r="HXI372" s="153"/>
      <c r="HXJ372" s="153"/>
      <c r="HXK372" s="153"/>
      <c r="HXL372" s="153"/>
      <c r="HXM372" s="153"/>
      <c r="HXN372" s="153"/>
      <c r="HXO372" s="650"/>
      <c r="HXP372" s="641"/>
      <c r="HXQ372" s="638"/>
      <c r="HXR372" s="639"/>
      <c r="HXS372" s="153"/>
      <c r="HXT372" s="153"/>
      <c r="HXU372" s="153"/>
      <c r="HXV372" s="153"/>
      <c r="HXW372" s="153"/>
      <c r="HXX372" s="153"/>
      <c r="HXY372" s="153"/>
      <c r="HXZ372" s="153"/>
      <c r="HYA372" s="153"/>
      <c r="HYB372" s="153"/>
      <c r="HYC372" s="153"/>
      <c r="HYD372" s="153"/>
      <c r="HYE372" s="650"/>
      <c r="HYF372" s="641"/>
      <c r="HYG372" s="638"/>
      <c r="HYH372" s="639"/>
      <c r="HYI372" s="153"/>
      <c r="HYJ372" s="153"/>
      <c r="HYK372" s="153"/>
      <c r="HYL372" s="153"/>
      <c r="HYM372" s="153"/>
      <c r="HYN372" s="153"/>
      <c r="HYO372" s="153"/>
      <c r="HYP372" s="153"/>
      <c r="HYQ372" s="153"/>
      <c r="HYR372" s="153"/>
      <c r="HYS372" s="153"/>
      <c r="HYT372" s="153"/>
      <c r="HYU372" s="650"/>
      <c r="HYV372" s="641"/>
      <c r="HYW372" s="638"/>
      <c r="HYX372" s="639"/>
      <c r="HYY372" s="153"/>
      <c r="HYZ372" s="153"/>
      <c r="HZA372" s="153"/>
      <c r="HZB372" s="153"/>
      <c r="HZC372" s="153"/>
      <c r="HZD372" s="153"/>
      <c r="HZE372" s="153"/>
      <c r="HZF372" s="153"/>
      <c r="HZG372" s="153"/>
      <c r="HZH372" s="153"/>
      <c r="HZI372" s="153"/>
      <c r="HZJ372" s="153"/>
      <c r="HZK372" s="650"/>
      <c r="HZL372" s="641"/>
      <c r="HZM372" s="638"/>
      <c r="HZN372" s="639"/>
      <c r="HZO372" s="153"/>
      <c r="HZP372" s="153"/>
      <c r="HZQ372" s="153"/>
      <c r="HZR372" s="153"/>
      <c r="HZS372" s="153"/>
      <c r="HZT372" s="153"/>
      <c r="HZU372" s="153"/>
      <c r="HZV372" s="153"/>
      <c r="HZW372" s="153"/>
      <c r="HZX372" s="153"/>
      <c r="HZY372" s="153"/>
      <c r="HZZ372" s="153"/>
      <c r="IAA372" s="650"/>
      <c r="IAB372" s="641"/>
      <c r="IAC372" s="638"/>
      <c r="IAD372" s="639"/>
      <c r="IAE372" s="153"/>
      <c r="IAF372" s="153"/>
      <c r="IAG372" s="153"/>
      <c r="IAH372" s="153"/>
      <c r="IAI372" s="153"/>
      <c r="IAJ372" s="153"/>
      <c r="IAK372" s="153"/>
      <c r="IAL372" s="153"/>
      <c r="IAM372" s="153"/>
      <c r="IAN372" s="153"/>
      <c r="IAO372" s="153"/>
      <c r="IAP372" s="153"/>
      <c r="IAQ372" s="650"/>
      <c r="IAR372" s="641"/>
      <c r="IAS372" s="638"/>
      <c r="IAT372" s="639"/>
      <c r="IAU372" s="153"/>
      <c r="IAV372" s="153"/>
      <c r="IAW372" s="153"/>
      <c r="IAX372" s="153"/>
      <c r="IAY372" s="153"/>
      <c r="IAZ372" s="153"/>
      <c r="IBA372" s="153"/>
      <c r="IBB372" s="153"/>
      <c r="IBC372" s="153"/>
      <c r="IBD372" s="153"/>
      <c r="IBE372" s="153"/>
      <c r="IBF372" s="153"/>
      <c r="IBG372" s="650"/>
      <c r="IBH372" s="641"/>
      <c r="IBI372" s="638"/>
      <c r="IBJ372" s="639"/>
      <c r="IBK372" s="153"/>
      <c r="IBL372" s="153"/>
      <c r="IBM372" s="153"/>
      <c r="IBN372" s="153"/>
      <c r="IBO372" s="153"/>
      <c r="IBP372" s="153"/>
      <c r="IBQ372" s="153"/>
      <c r="IBR372" s="153"/>
      <c r="IBS372" s="153"/>
      <c r="IBT372" s="153"/>
      <c r="IBU372" s="153"/>
      <c r="IBV372" s="153"/>
      <c r="IBW372" s="650"/>
      <c r="IBX372" s="641"/>
      <c r="IBY372" s="638"/>
      <c r="IBZ372" s="639"/>
      <c r="ICA372" s="153"/>
      <c r="ICB372" s="153"/>
      <c r="ICC372" s="153"/>
      <c r="ICD372" s="153"/>
      <c r="ICE372" s="153"/>
      <c r="ICF372" s="153"/>
      <c r="ICG372" s="153"/>
      <c r="ICH372" s="153"/>
      <c r="ICI372" s="153"/>
      <c r="ICJ372" s="153"/>
      <c r="ICK372" s="153"/>
      <c r="ICL372" s="153"/>
      <c r="ICM372" s="650"/>
      <c r="ICN372" s="641"/>
      <c r="ICO372" s="638"/>
      <c r="ICP372" s="639"/>
      <c r="ICQ372" s="153"/>
      <c r="ICR372" s="153"/>
      <c r="ICS372" s="153"/>
      <c r="ICT372" s="153"/>
      <c r="ICU372" s="153"/>
      <c r="ICV372" s="153"/>
      <c r="ICW372" s="153"/>
      <c r="ICX372" s="153"/>
      <c r="ICY372" s="153"/>
      <c r="ICZ372" s="153"/>
      <c r="IDA372" s="153"/>
      <c r="IDB372" s="153"/>
      <c r="IDC372" s="650"/>
      <c r="IDD372" s="641"/>
      <c r="IDE372" s="638"/>
      <c r="IDF372" s="639"/>
      <c r="IDG372" s="153"/>
      <c r="IDH372" s="153"/>
      <c r="IDI372" s="153"/>
      <c r="IDJ372" s="153"/>
      <c r="IDK372" s="153"/>
      <c r="IDL372" s="153"/>
      <c r="IDM372" s="153"/>
      <c r="IDN372" s="153"/>
      <c r="IDO372" s="153"/>
      <c r="IDP372" s="153"/>
      <c r="IDQ372" s="153"/>
      <c r="IDR372" s="153"/>
      <c r="IDS372" s="650"/>
      <c r="IDT372" s="641"/>
      <c r="IDU372" s="638"/>
      <c r="IDV372" s="639"/>
      <c r="IDW372" s="153"/>
      <c r="IDX372" s="153"/>
      <c r="IDY372" s="153"/>
      <c r="IDZ372" s="153"/>
      <c r="IEA372" s="153"/>
      <c r="IEB372" s="153"/>
      <c r="IEC372" s="153"/>
      <c r="IED372" s="153"/>
      <c r="IEE372" s="153"/>
      <c r="IEF372" s="153"/>
      <c r="IEG372" s="153"/>
      <c r="IEH372" s="153"/>
      <c r="IEI372" s="650"/>
      <c r="IEJ372" s="641"/>
      <c r="IEK372" s="638"/>
      <c r="IEL372" s="639"/>
      <c r="IEM372" s="153"/>
      <c r="IEN372" s="153"/>
      <c r="IEO372" s="153"/>
      <c r="IEP372" s="153"/>
      <c r="IEQ372" s="153"/>
      <c r="IER372" s="153"/>
      <c r="IES372" s="153"/>
      <c r="IET372" s="153"/>
      <c r="IEU372" s="153"/>
      <c r="IEV372" s="153"/>
      <c r="IEW372" s="153"/>
      <c r="IEX372" s="153"/>
      <c r="IEY372" s="650"/>
      <c r="IEZ372" s="641"/>
      <c r="IFA372" s="638"/>
      <c r="IFB372" s="639"/>
      <c r="IFC372" s="153"/>
      <c r="IFD372" s="153"/>
      <c r="IFE372" s="153"/>
      <c r="IFF372" s="153"/>
      <c r="IFG372" s="153"/>
      <c r="IFH372" s="153"/>
      <c r="IFI372" s="153"/>
      <c r="IFJ372" s="153"/>
      <c r="IFK372" s="153"/>
      <c r="IFL372" s="153"/>
      <c r="IFM372" s="153"/>
      <c r="IFN372" s="153"/>
      <c r="IFO372" s="650"/>
      <c r="IFP372" s="641"/>
      <c r="IFQ372" s="638"/>
      <c r="IFR372" s="639"/>
      <c r="IFS372" s="153"/>
      <c r="IFT372" s="153"/>
      <c r="IFU372" s="153"/>
      <c r="IFV372" s="153"/>
      <c r="IFW372" s="153"/>
      <c r="IFX372" s="153"/>
      <c r="IFY372" s="153"/>
      <c r="IFZ372" s="153"/>
      <c r="IGA372" s="153"/>
      <c r="IGB372" s="153"/>
      <c r="IGC372" s="153"/>
      <c r="IGD372" s="153"/>
      <c r="IGE372" s="650"/>
      <c r="IGF372" s="641"/>
      <c r="IGG372" s="638"/>
      <c r="IGH372" s="639"/>
      <c r="IGI372" s="153"/>
      <c r="IGJ372" s="153"/>
      <c r="IGK372" s="153"/>
      <c r="IGL372" s="153"/>
      <c r="IGM372" s="153"/>
      <c r="IGN372" s="153"/>
      <c r="IGO372" s="153"/>
      <c r="IGP372" s="153"/>
      <c r="IGQ372" s="153"/>
      <c r="IGR372" s="153"/>
      <c r="IGS372" s="153"/>
      <c r="IGT372" s="153"/>
      <c r="IGU372" s="650"/>
      <c r="IGV372" s="641"/>
      <c r="IGW372" s="638"/>
      <c r="IGX372" s="639"/>
      <c r="IGY372" s="153"/>
      <c r="IGZ372" s="153"/>
      <c r="IHA372" s="153"/>
      <c r="IHB372" s="153"/>
      <c r="IHC372" s="153"/>
      <c r="IHD372" s="153"/>
      <c r="IHE372" s="153"/>
      <c r="IHF372" s="153"/>
      <c r="IHG372" s="153"/>
      <c r="IHH372" s="153"/>
      <c r="IHI372" s="153"/>
      <c r="IHJ372" s="153"/>
      <c r="IHK372" s="650"/>
      <c r="IHL372" s="641"/>
      <c r="IHM372" s="638"/>
      <c r="IHN372" s="639"/>
      <c r="IHO372" s="153"/>
      <c r="IHP372" s="153"/>
      <c r="IHQ372" s="153"/>
      <c r="IHR372" s="153"/>
      <c r="IHS372" s="153"/>
      <c r="IHT372" s="153"/>
      <c r="IHU372" s="153"/>
      <c r="IHV372" s="153"/>
      <c r="IHW372" s="153"/>
      <c r="IHX372" s="153"/>
      <c r="IHY372" s="153"/>
      <c r="IHZ372" s="153"/>
      <c r="IIA372" s="650"/>
      <c r="IIB372" s="641"/>
      <c r="IIC372" s="638"/>
      <c r="IID372" s="639"/>
      <c r="IIE372" s="153"/>
      <c r="IIF372" s="153"/>
      <c r="IIG372" s="153"/>
      <c r="IIH372" s="153"/>
      <c r="III372" s="153"/>
      <c r="IIJ372" s="153"/>
      <c r="IIK372" s="153"/>
      <c r="IIL372" s="153"/>
      <c r="IIM372" s="153"/>
      <c r="IIN372" s="153"/>
      <c r="IIO372" s="153"/>
      <c r="IIP372" s="153"/>
      <c r="IIQ372" s="650"/>
      <c r="IIR372" s="641"/>
      <c r="IIS372" s="638"/>
      <c r="IIT372" s="639"/>
      <c r="IIU372" s="153"/>
      <c r="IIV372" s="153"/>
      <c r="IIW372" s="153"/>
      <c r="IIX372" s="153"/>
      <c r="IIY372" s="153"/>
      <c r="IIZ372" s="153"/>
      <c r="IJA372" s="153"/>
      <c r="IJB372" s="153"/>
      <c r="IJC372" s="153"/>
      <c r="IJD372" s="153"/>
      <c r="IJE372" s="153"/>
      <c r="IJF372" s="153"/>
      <c r="IJG372" s="650"/>
      <c r="IJH372" s="641"/>
      <c r="IJI372" s="638"/>
      <c r="IJJ372" s="639"/>
      <c r="IJK372" s="153"/>
      <c r="IJL372" s="153"/>
      <c r="IJM372" s="153"/>
      <c r="IJN372" s="153"/>
      <c r="IJO372" s="153"/>
      <c r="IJP372" s="153"/>
      <c r="IJQ372" s="153"/>
      <c r="IJR372" s="153"/>
      <c r="IJS372" s="153"/>
      <c r="IJT372" s="153"/>
      <c r="IJU372" s="153"/>
      <c r="IJV372" s="153"/>
      <c r="IJW372" s="650"/>
      <c r="IJX372" s="641"/>
      <c r="IJY372" s="638"/>
      <c r="IJZ372" s="639"/>
      <c r="IKA372" s="153"/>
      <c r="IKB372" s="153"/>
      <c r="IKC372" s="153"/>
      <c r="IKD372" s="153"/>
      <c r="IKE372" s="153"/>
      <c r="IKF372" s="153"/>
      <c r="IKG372" s="153"/>
      <c r="IKH372" s="153"/>
      <c r="IKI372" s="153"/>
      <c r="IKJ372" s="153"/>
      <c r="IKK372" s="153"/>
      <c r="IKL372" s="153"/>
      <c r="IKM372" s="650"/>
      <c r="IKN372" s="641"/>
      <c r="IKO372" s="638"/>
      <c r="IKP372" s="639"/>
      <c r="IKQ372" s="153"/>
      <c r="IKR372" s="153"/>
      <c r="IKS372" s="153"/>
      <c r="IKT372" s="153"/>
      <c r="IKU372" s="153"/>
      <c r="IKV372" s="153"/>
      <c r="IKW372" s="153"/>
      <c r="IKX372" s="153"/>
      <c r="IKY372" s="153"/>
      <c r="IKZ372" s="153"/>
      <c r="ILA372" s="153"/>
      <c r="ILB372" s="153"/>
      <c r="ILC372" s="650"/>
      <c r="ILD372" s="641"/>
      <c r="ILE372" s="638"/>
      <c r="ILF372" s="639"/>
      <c r="ILG372" s="153"/>
      <c r="ILH372" s="153"/>
      <c r="ILI372" s="153"/>
      <c r="ILJ372" s="153"/>
      <c r="ILK372" s="153"/>
      <c r="ILL372" s="153"/>
      <c r="ILM372" s="153"/>
      <c r="ILN372" s="153"/>
      <c r="ILO372" s="153"/>
      <c r="ILP372" s="153"/>
      <c r="ILQ372" s="153"/>
      <c r="ILR372" s="153"/>
      <c r="ILS372" s="650"/>
      <c r="ILT372" s="641"/>
      <c r="ILU372" s="638"/>
      <c r="ILV372" s="639"/>
      <c r="ILW372" s="153"/>
      <c r="ILX372" s="153"/>
      <c r="ILY372" s="153"/>
      <c r="ILZ372" s="153"/>
      <c r="IMA372" s="153"/>
      <c r="IMB372" s="153"/>
      <c r="IMC372" s="153"/>
      <c r="IMD372" s="153"/>
      <c r="IME372" s="153"/>
      <c r="IMF372" s="153"/>
      <c r="IMG372" s="153"/>
      <c r="IMH372" s="153"/>
      <c r="IMI372" s="650"/>
      <c r="IMJ372" s="641"/>
      <c r="IMK372" s="638"/>
      <c r="IML372" s="639"/>
      <c r="IMM372" s="153"/>
      <c r="IMN372" s="153"/>
      <c r="IMO372" s="153"/>
      <c r="IMP372" s="153"/>
      <c r="IMQ372" s="153"/>
      <c r="IMR372" s="153"/>
      <c r="IMS372" s="153"/>
      <c r="IMT372" s="153"/>
      <c r="IMU372" s="153"/>
      <c r="IMV372" s="153"/>
      <c r="IMW372" s="153"/>
      <c r="IMX372" s="153"/>
      <c r="IMY372" s="650"/>
      <c r="IMZ372" s="641"/>
      <c r="INA372" s="638"/>
      <c r="INB372" s="639"/>
      <c r="INC372" s="153"/>
      <c r="IND372" s="153"/>
      <c r="INE372" s="153"/>
      <c r="INF372" s="153"/>
      <c r="ING372" s="153"/>
      <c r="INH372" s="153"/>
      <c r="INI372" s="153"/>
      <c r="INJ372" s="153"/>
      <c r="INK372" s="153"/>
      <c r="INL372" s="153"/>
      <c r="INM372" s="153"/>
      <c r="INN372" s="153"/>
      <c r="INO372" s="650"/>
      <c r="INP372" s="641"/>
      <c r="INQ372" s="638"/>
      <c r="INR372" s="639"/>
      <c r="INS372" s="153"/>
      <c r="INT372" s="153"/>
      <c r="INU372" s="153"/>
      <c r="INV372" s="153"/>
      <c r="INW372" s="153"/>
      <c r="INX372" s="153"/>
      <c r="INY372" s="153"/>
      <c r="INZ372" s="153"/>
      <c r="IOA372" s="153"/>
      <c r="IOB372" s="153"/>
      <c r="IOC372" s="153"/>
      <c r="IOD372" s="153"/>
      <c r="IOE372" s="650"/>
      <c r="IOF372" s="641"/>
      <c r="IOG372" s="638"/>
      <c r="IOH372" s="639"/>
      <c r="IOI372" s="153"/>
      <c r="IOJ372" s="153"/>
      <c r="IOK372" s="153"/>
      <c r="IOL372" s="153"/>
      <c r="IOM372" s="153"/>
      <c r="ION372" s="153"/>
      <c r="IOO372" s="153"/>
      <c r="IOP372" s="153"/>
      <c r="IOQ372" s="153"/>
      <c r="IOR372" s="153"/>
      <c r="IOS372" s="153"/>
      <c r="IOT372" s="153"/>
      <c r="IOU372" s="650"/>
      <c r="IOV372" s="641"/>
      <c r="IOW372" s="638"/>
      <c r="IOX372" s="639"/>
      <c r="IOY372" s="153"/>
      <c r="IOZ372" s="153"/>
      <c r="IPA372" s="153"/>
      <c r="IPB372" s="153"/>
      <c r="IPC372" s="153"/>
      <c r="IPD372" s="153"/>
      <c r="IPE372" s="153"/>
      <c r="IPF372" s="153"/>
      <c r="IPG372" s="153"/>
      <c r="IPH372" s="153"/>
      <c r="IPI372" s="153"/>
      <c r="IPJ372" s="153"/>
      <c r="IPK372" s="650"/>
      <c r="IPL372" s="641"/>
      <c r="IPM372" s="638"/>
      <c r="IPN372" s="639"/>
      <c r="IPO372" s="153"/>
      <c r="IPP372" s="153"/>
      <c r="IPQ372" s="153"/>
      <c r="IPR372" s="153"/>
      <c r="IPS372" s="153"/>
      <c r="IPT372" s="153"/>
      <c r="IPU372" s="153"/>
      <c r="IPV372" s="153"/>
      <c r="IPW372" s="153"/>
      <c r="IPX372" s="153"/>
      <c r="IPY372" s="153"/>
      <c r="IPZ372" s="153"/>
      <c r="IQA372" s="650"/>
      <c r="IQB372" s="641"/>
      <c r="IQC372" s="638"/>
      <c r="IQD372" s="639"/>
      <c r="IQE372" s="153"/>
      <c r="IQF372" s="153"/>
      <c r="IQG372" s="153"/>
      <c r="IQH372" s="153"/>
      <c r="IQI372" s="153"/>
      <c r="IQJ372" s="153"/>
      <c r="IQK372" s="153"/>
      <c r="IQL372" s="153"/>
      <c r="IQM372" s="153"/>
      <c r="IQN372" s="153"/>
      <c r="IQO372" s="153"/>
      <c r="IQP372" s="153"/>
      <c r="IQQ372" s="650"/>
      <c r="IQR372" s="641"/>
      <c r="IQS372" s="638"/>
      <c r="IQT372" s="639"/>
      <c r="IQU372" s="153"/>
      <c r="IQV372" s="153"/>
      <c r="IQW372" s="153"/>
      <c r="IQX372" s="153"/>
      <c r="IQY372" s="153"/>
      <c r="IQZ372" s="153"/>
      <c r="IRA372" s="153"/>
      <c r="IRB372" s="153"/>
      <c r="IRC372" s="153"/>
      <c r="IRD372" s="153"/>
      <c r="IRE372" s="153"/>
      <c r="IRF372" s="153"/>
      <c r="IRG372" s="650"/>
      <c r="IRH372" s="641"/>
      <c r="IRI372" s="638"/>
      <c r="IRJ372" s="639"/>
      <c r="IRK372" s="153"/>
      <c r="IRL372" s="153"/>
      <c r="IRM372" s="153"/>
      <c r="IRN372" s="153"/>
      <c r="IRO372" s="153"/>
      <c r="IRP372" s="153"/>
      <c r="IRQ372" s="153"/>
      <c r="IRR372" s="153"/>
      <c r="IRS372" s="153"/>
      <c r="IRT372" s="153"/>
      <c r="IRU372" s="153"/>
      <c r="IRV372" s="153"/>
      <c r="IRW372" s="650"/>
      <c r="IRX372" s="641"/>
      <c r="IRY372" s="638"/>
      <c r="IRZ372" s="639"/>
      <c r="ISA372" s="153"/>
      <c r="ISB372" s="153"/>
      <c r="ISC372" s="153"/>
      <c r="ISD372" s="153"/>
      <c r="ISE372" s="153"/>
      <c r="ISF372" s="153"/>
      <c r="ISG372" s="153"/>
      <c r="ISH372" s="153"/>
      <c r="ISI372" s="153"/>
      <c r="ISJ372" s="153"/>
      <c r="ISK372" s="153"/>
      <c r="ISL372" s="153"/>
      <c r="ISM372" s="650"/>
      <c r="ISN372" s="641"/>
      <c r="ISO372" s="638"/>
      <c r="ISP372" s="639"/>
      <c r="ISQ372" s="153"/>
      <c r="ISR372" s="153"/>
      <c r="ISS372" s="153"/>
      <c r="IST372" s="153"/>
      <c r="ISU372" s="153"/>
      <c r="ISV372" s="153"/>
      <c r="ISW372" s="153"/>
      <c r="ISX372" s="153"/>
      <c r="ISY372" s="153"/>
      <c r="ISZ372" s="153"/>
      <c r="ITA372" s="153"/>
      <c r="ITB372" s="153"/>
      <c r="ITC372" s="650"/>
      <c r="ITD372" s="641"/>
      <c r="ITE372" s="638"/>
      <c r="ITF372" s="639"/>
      <c r="ITG372" s="153"/>
      <c r="ITH372" s="153"/>
      <c r="ITI372" s="153"/>
      <c r="ITJ372" s="153"/>
      <c r="ITK372" s="153"/>
      <c r="ITL372" s="153"/>
      <c r="ITM372" s="153"/>
      <c r="ITN372" s="153"/>
      <c r="ITO372" s="153"/>
      <c r="ITP372" s="153"/>
      <c r="ITQ372" s="153"/>
      <c r="ITR372" s="153"/>
      <c r="ITS372" s="650"/>
      <c r="ITT372" s="641"/>
      <c r="ITU372" s="638"/>
      <c r="ITV372" s="639"/>
      <c r="ITW372" s="153"/>
      <c r="ITX372" s="153"/>
      <c r="ITY372" s="153"/>
      <c r="ITZ372" s="153"/>
      <c r="IUA372" s="153"/>
      <c r="IUB372" s="153"/>
      <c r="IUC372" s="153"/>
      <c r="IUD372" s="153"/>
      <c r="IUE372" s="153"/>
      <c r="IUF372" s="153"/>
      <c r="IUG372" s="153"/>
      <c r="IUH372" s="153"/>
      <c r="IUI372" s="650"/>
      <c r="IUJ372" s="641"/>
      <c r="IUK372" s="638"/>
      <c r="IUL372" s="639"/>
      <c r="IUM372" s="153"/>
      <c r="IUN372" s="153"/>
      <c r="IUO372" s="153"/>
      <c r="IUP372" s="153"/>
      <c r="IUQ372" s="153"/>
      <c r="IUR372" s="153"/>
      <c r="IUS372" s="153"/>
      <c r="IUT372" s="153"/>
      <c r="IUU372" s="153"/>
      <c r="IUV372" s="153"/>
      <c r="IUW372" s="153"/>
      <c r="IUX372" s="153"/>
      <c r="IUY372" s="650"/>
      <c r="IUZ372" s="641"/>
      <c r="IVA372" s="638"/>
      <c r="IVB372" s="639"/>
      <c r="IVC372" s="153"/>
      <c r="IVD372" s="153"/>
      <c r="IVE372" s="153"/>
      <c r="IVF372" s="153"/>
      <c r="IVG372" s="153"/>
      <c r="IVH372" s="153"/>
      <c r="IVI372" s="153"/>
      <c r="IVJ372" s="153"/>
      <c r="IVK372" s="153"/>
      <c r="IVL372" s="153"/>
      <c r="IVM372" s="153"/>
      <c r="IVN372" s="153"/>
      <c r="IVO372" s="650"/>
      <c r="IVP372" s="641"/>
      <c r="IVQ372" s="638"/>
      <c r="IVR372" s="639"/>
      <c r="IVS372" s="153"/>
      <c r="IVT372" s="153"/>
      <c r="IVU372" s="153"/>
      <c r="IVV372" s="153"/>
      <c r="IVW372" s="153"/>
      <c r="IVX372" s="153"/>
      <c r="IVY372" s="153"/>
      <c r="IVZ372" s="153"/>
      <c r="IWA372" s="153"/>
      <c r="IWB372" s="153"/>
      <c r="IWC372" s="153"/>
      <c r="IWD372" s="153"/>
      <c r="IWE372" s="650"/>
      <c r="IWF372" s="641"/>
      <c r="IWG372" s="638"/>
      <c r="IWH372" s="639"/>
      <c r="IWI372" s="153"/>
      <c r="IWJ372" s="153"/>
      <c r="IWK372" s="153"/>
      <c r="IWL372" s="153"/>
      <c r="IWM372" s="153"/>
      <c r="IWN372" s="153"/>
      <c r="IWO372" s="153"/>
      <c r="IWP372" s="153"/>
      <c r="IWQ372" s="153"/>
      <c r="IWR372" s="153"/>
      <c r="IWS372" s="153"/>
      <c r="IWT372" s="153"/>
      <c r="IWU372" s="650"/>
      <c r="IWV372" s="641"/>
      <c r="IWW372" s="638"/>
      <c r="IWX372" s="639"/>
      <c r="IWY372" s="153"/>
      <c r="IWZ372" s="153"/>
      <c r="IXA372" s="153"/>
      <c r="IXB372" s="153"/>
      <c r="IXC372" s="153"/>
      <c r="IXD372" s="153"/>
      <c r="IXE372" s="153"/>
      <c r="IXF372" s="153"/>
      <c r="IXG372" s="153"/>
      <c r="IXH372" s="153"/>
      <c r="IXI372" s="153"/>
      <c r="IXJ372" s="153"/>
      <c r="IXK372" s="650"/>
      <c r="IXL372" s="641"/>
      <c r="IXM372" s="638"/>
      <c r="IXN372" s="639"/>
      <c r="IXO372" s="153"/>
      <c r="IXP372" s="153"/>
      <c r="IXQ372" s="153"/>
      <c r="IXR372" s="153"/>
      <c r="IXS372" s="153"/>
      <c r="IXT372" s="153"/>
      <c r="IXU372" s="153"/>
      <c r="IXV372" s="153"/>
      <c r="IXW372" s="153"/>
      <c r="IXX372" s="153"/>
      <c r="IXY372" s="153"/>
      <c r="IXZ372" s="153"/>
      <c r="IYA372" s="650"/>
      <c r="IYB372" s="641"/>
      <c r="IYC372" s="638"/>
      <c r="IYD372" s="639"/>
      <c r="IYE372" s="153"/>
      <c r="IYF372" s="153"/>
      <c r="IYG372" s="153"/>
      <c r="IYH372" s="153"/>
      <c r="IYI372" s="153"/>
      <c r="IYJ372" s="153"/>
      <c r="IYK372" s="153"/>
      <c r="IYL372" s="153"/>
      <c r="IYM372" s="153"/>
      <c r="IYN372" s="153"/>
      <c r="IYO372" s="153"/>
      <c r="IYP372" s="153"/>
      <c r="IYQ372" s="650"/>
      <c r="IYR372" s="641"/>
      <c r="IYS372" s="638"/>
      <c r="IYT372" s="639"/>
      <c r="IYU372" s="153"/>
      <c r="IYV372" s="153"/>
      <c r="IYW372" s="153"/>
      <c r="IYX372" s="153"/>
      <c r="IYY372" s="153"/>
      <c r="IYZ372" s="153"/>
      <c r="IZA372" s="153"/>
      <c r="IZB372" s="153"/>
      <c r="IZC372" s="153"/>
      <c r="IZD372" s="153"/>
      <c r="IZE372" s="153"/>
      <c r="IZF372" s="153"/>
      <c r="IZG372" s="650"/>
      <c r="IZH372" s="641"/>
      <c r="IZI372" s="638"/>
      <c r="IZJ372" s="639"/>
      <c r="IZK372" s="153"/>
      <c r="IZL372" s="153"/>
      <c r="IZM372" s="153"/>
      <c r="IZN372" s="153"/>
      <c r="IZO372" s="153"/>
      <c r="IZP372" s="153"/>
      <c r="IZQ372" s="153"/>
      <c r="IZR372" s="153"/>
      <c r="IZS372" s="153"/>
      <c r="IZT372" s="153"/>
      <c r="IZU372" s="153"/>
      <c r="IZV372" s="153"/>
      <c r="IZW372" s="650"/>
      <c r="IZX372" s="641"/>
      <c r="IZY372" s="638"/>
      <c r="IZZ372" s="639"/>
      <c r="JAA372" s="153"/>
      <c r="JAB372" s="153"/>
      <c r="JAC372" s="153"/>
      <c r="JAD372" s="153"/>
      <c r="JAE372" s="153"/>
      <c r="JAF372" s="153"/>
      <c r="JAG372" s="153"/>
      <c r="JAH372" s="153"/>
      <c r="JAI372" s="153"/>
      <c r="JAJ372" s="153"/>
      <c r="JAK372" s="153"/>
      <c r="JAL372" s="153"/>
      <c r="JAM372" s="650"/>
      <c r="JAN372" s="641"/>
      <c r="JAO372" s="638"/>
      <c r="JAP372" s="639"/>
      <c r="JAQ372" s="153"/>
      <c r="JAR372" s="153"/>
      <c r="JAS372" s="153"/>
      <c r="JAT372" s="153"/>
      <c r="JAU372" s="153"/>
      <c r="JAV372" s="153"/>
      <c r="JAW372" s="153"/>
      <c r="JAX372" s="153"/>
      <c r="JAY372" s="153"/>
      <c r="JAZ372" s="153"/>
      <c r="JBA372" s="153"/>
      <c r="JBB372" s="153"/>
      <c r="JBC372" s="650"/>
      <c r="JBD372" s="641"/>
      <c r="JBE372" s="638"/>
      <c r="JBF372" s="639"/>
      <c r="JBG372" s="153"/>
      <c r="JBH372" s="153"/>
      <c r="JBI372" s="153"/>
      <c r="JBJ372" s="153"/>
      <c r="JBK372" s="153"/>
      <c r="JBL372" s="153"/>
      <c r="JBM372" s="153"/>
      <c r="JBN372" s="153"/>
      <c r="JBO372" s="153"/>
      <c r="JBP372" s="153"/>
      <c r="JBQ372" s="153"/>
      <c r="JBR372" s="153"/>
      <c r="JBS372" s="650"/>
      <c r="JBT372" s="641"/>
      <c r="JBU372" s="638"/>
      <c r="JBV372" s="639"/>
      <c r="JBW372" s="153"/>
      <c r="JBX372" s="153"/>
      <c r="JBY372" s="153"/>
      <c r="JBZ372" s="153"/>
      <c r="JCA372" s="153"/>
      <c r="JCB372" s="153"/>
      <c r="JCC372" s="153"/>
      <c r="JCD372" s="153"/>
      <c r="JCE372" s="153"/>
      <c r="JCF372" s="153"/>
      <c r="JCG372" s="153"/>
      <c r="JCH372" s="153"/>
      <c r="JCI372" s="650"/>
      <c r="JCJ372" s="641"/>
      <c r="JCK372" s="638"/>
      <c r="JCL372" s="639"/>
      <c r="JCM372" s="153"/>
      <c r="JCN372" s="153"/>
      <c r="JCO372" s="153"/>
      <c r="JCP372" s="153"/>
      <c r="JCQ372" s="153"/>
      <c r="JCR372" s="153"/>
      <c r="JCS372" s="153"/>
      <c r="JCT372" s="153"/>
      <c r="JCU372" s="153"/>
      <c r="JCV372" s="153"/>
      <c r="JCW372" s="153"/>
      <c r="JCX372" s="153"/>
      <c r="JCY372" s="650"/>
      <c r="JCZ372" s="641"/>
      <c r="JDA372" s="638"/>
      <c r="JDB372" s="639"/>
      <c r="JDC372" s="153"/>
      <c r="JDD372" s="153"/>
      <c r="JDE372" s="153"/>
      <c r="JDF372" s="153"/>
      <c r="JDG372" s="153"/>
      <c r="JDH372" s="153"/>
      <c r="JDI372" s="153"/>
      <c r="JDJ372" s="153"/>
      <c r="JDK372" s="153"/>
      <c r="JDL372" s="153"/>
      <c r="JDM372" s="153"/>
      <c r="JDN372" s="153"/>
      <c r="JDO372" s="650"/>
      <c r="JDP372" s="641"/>
      <c r="JDQ372" s="638"/>
      <c r="JDR372" s="639"/>
      <c r="JDS372" s="153"/>
      <c r="JDT372" s="153"/>
      <c r="JDU372" s="153"/>
      <c r="JDV372" s="153"/>
      <c r="JDW372" s="153"/>
      <c r="JDX372" s="153"/>
      <c r="JDY372" s="153"/>
      <c r="JDZ372" s="153"/>
      <c r="JEA372" s="153"/>
      <c r="JEB372" s="153"/>
      <c r="JEC372" s="153"/>
      <c r="JED372" s="153"/>
      <c r="JEE372" s="650"/>
      <c r="JEF372" s="641"/>
      <c r="JEG372" s="638"/>
      <c r="JEH372" s="639"/>
      <c r="JEI372" s="153"/>
      <c r="JEJ372" s="153"/>
      <c r="JEK372" s="153"/>
      <c r="JEL372" s="153"/>
      <c r="JEM372" s="153"/>
      <c r="JEN372" s="153"/>
      <c r="JEO372" s="153"/>
      <c r="JEP372" s="153"/>
      <c r="JEQ372" s="153"/>
      <c r="JER372" s="153"/>
      <c r="JES372" s="153"/>
      <c r="JET372" s="153"/>
      <c r="JEU372" s="650"/>
      <c r="JEV372" s="641"/>
      <c r="JEW372" s="638"/>
      <c r="JEX372" s="639"/>
      <c r="JEY372" s="153"/>
      <c r="JEZ372" s="153"/>
      <c r="JFA372" s="153"/>
      <c r="JFB372" s="153"/>
      <c r="JFC372" s="153"/>
      <c r="JFD372" s="153"/>
      <c r="JFE372" s="153"/>
      <c r="JFF372" s="153"/>
      <c r="JFG372" s="153"/>
      <c r="JFH372" s="153"/>
      <c r="JFI372" s="153"/>
      <c r="JFJ372" s="153"/>
      <c r="JFK372" s="650"/>
      <c r="JFL372" s="641"/>
      <c r="JFM372" s="638"/>
      <c r="JFN372" s="639"/>
      <c r="JFO372" s="153"/>
      <c r="JFP372" s="153"/>
      <c r="JFQ372" s="153"/>
      <c r="JFR372" s="153"/>
      <c r="JFS372" s="153"/>
      <c r="JFT372" s="153"/>
      <c r="JFU372" s="153"/>
      <c r="JFV372" s="153"/>
      <c r="JFW372" s="153"/>
      <c r="JFX372" s="153"/>
      <c r="JFY372" s="153"/>
      <c r="JFZ372" s="153"/>
      <c r="JGA372" s="650"/>
      <c r="JGB372" s="641"/>
      <c r="JGC372" s="638"/>
      <c r="JGD372" s="639"/>
      <c r="JGE372" s="153"/>
      <c r="JGF372" s="153"/>
      <c r="JGG372" s="153"/>
      <c r="JGH372" s="153"/>
      <c r="JGI372" s="153"/>
      <c r="JGJ372" s="153"/>
      <c r="JGK372" s="153"/>
      <c r="JGL372" s="153"/>
      <c r="JGM372" s="153"/>
      <c r="JGN372" s="153"/>
      <c r="JGO372" s="153"/>
      <c r="JGP372" s="153"/>
      <c r="JGQ372" s="650"/>
      <c r="JGR372" s="641"/>
      <c r="JGS372" s="638"/>
      <c r="JGT372" s="639"/>
      <c r="JGU372" s="153"/>
      <c r="JGV372" s="153"/>
      <c r="JGW372" s="153"/>
      <c r="JGX372" s="153"/>
      <c r="JGY372" s="153"/>
      <c r="JGZ372" s="153"/>
      <c r="JHA372" s="153"/>
      <c r="JHB372" s="153"/>
      <c r="JHC372" s="153"/>
      <c r="JHD372" s="153"/>
      <c r="JHE372" s="153"/>
      <c r="JHF372" s="153"/>
      <c r="JHG372" s="650"/>
      <c r="JHH372" s="641"/>
      <c r="JHI372" s="638"/>
      <c r="JHJ372" s="639"/>
      <c r="JHK372" s="153"/>
      <c r="JHL372" s="153"/>
      <c r="JHM372" s="153"/>
      <c r="JHN372" s="153"/>
      <c r="JHO372" s="153"/>
      <c r="JHP372" s="153"/>
      <c r="JHQ372" s="153"/>
      <c r="JHR372" s="153"/>
      <c r="JHS372" s="153"/>
      <c r="JHT372" s="153"/>
      <c r="JHU372" s="153"/>
      <c r="JHV372" s="153"/>
      <c r="JHW372" s="650"/>
      <c r="JHX372" s="641"/>
      <c r="JHY372" s="638"/>
      <c r="JHZ372" s="639"/>
      <c r="JIA372" s="153"/>
      <c r="JIB372" s="153"/>
      <c r="JIC372" s="153"/>
      <c r="JID372" s="153"/>
      <c r="JIE372" s="153"/>
      <c r="JIF372" s="153"/>
      <c r="JIG372" s="153"/>
      <c r="JIH372" s="153"/>
      <c r="JII372" s="153"/>
      <c r="JIJ372" s="153"/>
      <c r="JIK372" s="153"/>
      <c r="JIL372" s="153"/>
      <c r="JIM372" s="650"/>
      <c r="JIN372" s="641"/>
      <c r="JIO372" s="638"/>
      <c r="JIP372" s="639"/>
      <c r="JIQ372" s="153"/>
      <c r="JIR372" s="153"/>
      <c r="JIS372" s="153"/>
      <c r="JIT372" s="153"/>
      <c r="JIU372" s="153"/>
      <c r="JIV372" s="153"/>
      <c r="JIW372" s="153"/>
      <c r="JIX372" s="153"/>
      <c r="JIY372" s="153"/>
      <c r="JIZ372" s="153"/>
      <c r="JJA372" s="153"/>
      <c r="JJB372" s="153"/>
      <c r="JJC372" s="650"/>
      <c r="JJD372" s="641"/>
      <c r="JJE372" s="638"/>
      <c r="JJF372" s="639"/>
      <c r="JJG372" s="153"/>
      <c r="JJH372" s="153"/>
      <c r="JJI372" s="153"/>
      <c r="JJJ372" s="153"/>
      <c r="JJK372" s="153"/>
      <c r="JJL372" s="153"/>
      <c r="JJM372" s="153"/>
      <c r="JJN372" s="153"/>
      <c r="JJO372" s="153"/>
      <c r="JJP372" s="153"/>
      <c r="JJQ372" s="153"/>
      <c r="JJR372" s="153"/>
      <c r="JJS372" s="650"/>
      <c r="JJT372" s="641"/>
      <c r="JJU372" s="638"/>
      <c r="JJV372" s="639"/>
      <c r="JJW372" s="153"/>
      <c r="JJX372" s="153"/>
      <c r="JJY372" s="153"/>
      <c r="JJZ372" s="153"/>
      <c r="JKA372" s="153"/>
      <c r="JKB372" s="153"/>
      <c r="JKC372" s="153"/>
      <c r="JKD372" s="153"/>
      <c r="JKE372" s="153"/>
      <c r="JKF372" s="153"/>
      <c r="JKG372" s="153"/>
      <c r="JKH372" s="153"/>
      <c r="JKI372" s="650"/>
      <c r="JKJ372" s="641"/>
      <c r="JKK372" s="638"/>
      <c r="JKL372" s="639"/>
      <c r="JKM372" s="153"/>
      <c r="JKN372" s="153"/>
      <c r="JKO372" s="153"/>
      <c r="JKP372" s="153"/>
      <c r="JKQ372" s="153"/>
      <c r="JKR372" s="153"/>
      <c r="JKS372" s="153"/>
      <c r="JKT372" s="153"/>
      <c r="JKU372" s="153"/>
      <c r="JKV372" s="153"/>
      <c r="JKW372" s="153"/>
      <c r="JKX372" s="153"/>
      <c r="JKY372" s="650"/>
      <c r="JKZ372" s="641"/>
      <c r="JLA372" s="638"/>
      <c r="JLB372" s="639"/>
      <c r="JLC372" s="153"/>
      <c r="JLD372" s="153"/>
      <c r="JLE372" s="153"/>
      <c r="JLF372" s="153"/>
      <c r="JLG372" s="153"/>
      <c r="JLH372" s="153"/>
      <c r="JLI372" s="153"/>
      <c r="JLJ372" s="153"/>
      <c r="JLK372" s="153"/>
      <c r="JLL372" s="153"/>
      <c r="JLM372" s="153"/>
      <c r="JLN372" s="153"/>
      <c r="JLO372" s="650"/>
      <c r="JLP372" s="641"/>
      <c r="JLQ372" s="638"/>
      <c r="JLR372" s="639"/>
      <c r="JLS372" s="153"/>
      <c r="JLT372" s="153"/>
      <c r="JLU372" s="153"/>
      <c r="JLV372" s="153"/>
      <c r="JLW372" s="153"/>
      <c r="JLX372" s="153"/>
      <c r="JLY372" s="153"/>
      <c r="JLZ372" s="153"/>
      <c r="JMA372" s="153"/>
      <c r="JMB372" s="153"/>
      <c r="JMC372" s="153"/>
      <c r="JMD372" s="153"/>
      <c r="JME372" s="650"/>
      <c r="JMF372" s="641"/>
      <c r="JMG372" s="638"/>
      <c r="JMH372" s="639"/>
      <c r="JMI372" s="153"/>
      <c r="JMJ372" s="153"/>
      <c r="JMK372" s="153"/>
      <c r="JML372" s="153"/>
      <c r="JMM372" s="153"/>
      <c r="JMN372" s="153"/>
      <c r="JMO372" s="153"/>
      <c r="JMP372" s="153"/>
      <c r="JMQ372" s="153"/>
      <c r="JMR372" s="153"/>
      <c r="JMS372" s="153"/>
      <c r="JMT372" s="153"/>
      <c r="JMU372" s="650"/>
      <c r="JMV372" s="641"/>
      <c r="JMW372" s="638"/>
      <c r="JMX372" s="639"/>
      <c r="JMY372" s="153"/>
      <c r="JMZ372" s="153"/>
      <c r="JNA372" s="153"/>
      <c r="JNB372" s="153"/>
      <c r="JNC372" s="153"/>
      <c r="JND372" s="153"/>
      <c r="JNE372" s="153"/>
      <c r="JNF372" s="153"/>
      <c r="JNG372" s="153"/>
      <c r="JNH372" s="153"/>
      <c r="JNI372" s="153"/>
      <c r="JNJ372" s="153"/>
      <c r="JNK372" s="650"/>
      <c r="JNL372" s="641"/>
      <c r="JNM372" s="638"/>
      <c r="JNN372" s="639"/>
      <c r="JNO372" s="153"/>
      <c r="JNP372" s="153"/>
      <c r="JNQ372" s="153"/>
      <c r="JNR372" s="153"/>
      <c r="JNS372" s="153"/>
      <c r="JNT372" s="153"/>
      <c r="JNU372" s="153"/>
      <c r="JNV372" s="153"/>
      <c r="JNW372" s="153"/>
      <c r="JNX372" s="153"/>
      <c r="JNY372" s="153"/>
      <c r="JNZ372" s="153"/>
      <c r="JOA372" s="650"/>
      <c r="JOB372" s="641"/>
      <c r="JOC372" s="638"/>
      <c r="JOD372" s="639"/>
      <c r="JOE372" s="153"/>
      <c r="JOF372" s="153"/>
      <c r="JOG372" s="153"/>
      <c r="JOH372" s="153"/>
      <c r="JOI372" s="153"/>
      <c r="JOJ372" s="153"/>
      <c r="JOK372" s="153"/>
      <c r="JOL372" s="153"/>
      <c r="JOM372" s="153"/>
      <c r="JON372" s="153"/>
      <c r="JOO372" s="153"/>
      <c r="JOP372" s="153"/>
      <c r="JOQ372" s="650"/>
      <c r="JOR372" s="641"/>
      <c r="JOS372" s="638"/>
      <c r="JOT372" s="639"/>
      <c r="JOU372" s="153"/>
      <c r="JOV372" s="153"/>
      <c r="JOW372" s="153"/>
      <c r="JOX372" s="153"/>
      <c r="JOY372" s="153"/>
      <c r="JOZ372" s="153"/>
      <c r="JPA372" s="153"/>
      <c r="JPB372" s="153"/>
      <c r="JPC372" s="153"/>
      <c r="JPD372" s="153"/>
      <c r="JPE372" s="153"/>
      <c r="JPF372" s="153"/>
      <c r="JPG372" s="650"/>
      <c r="JPH372" s="641"/>
      <c r="JPI372" s="638"/>
      <c r="JPJ372" s="639"/>
      <c r="JPK372" s="153"/>
      <c r="JPL372" s="153"/>
      <c r="JPM372" s="153"/>
      <c r="JPN372" s="153"/>
      <c r="JPO372" s="153"/>
      <c r="JPP372" s="153"/>
      <c r="JPQ372" s="153"/>
      <c r="JPR372" s="153"/>
      <c r="JPS372" s="153"/>
      <c r="JPT372" s="153"/>
      <c r="JPU372" s="153"/>
      <c r="JPV372" s="153"/>
      <c r="JPW372" s="650"/>
      <c r="JPX372" s="641"/>
      <c r="JPY372" s="638"/>
      <c r="JPZ372" s="639"/>
      <c r="JQA372" s="153"/>
      <c r="JQB372" s="153"/>
      <c r="JQC372" s="153"/>
      <c r="JQD372" s="153"/>
      <c r="JQE372" s="153"/>
      <c r="JQF372" s="153"/>
      <c r="JQG372" s="153"/>
      <c r="JQH372" s="153"/>
      <c r="JQI372" s="153"/>
      <c r="JQJ372" s="153"/>
      <c r="JQK372" s="153"/>
      <c r="JQL372" s="153"/>
      <c r="JQM372" s="650"/>
      <c r="JQN372" s="641"/>
      <c r="JQO372" s="638"/>
      <c r="JQP372" s="639"/>
      <c r="JQQ372" s="153"/>
      <c r="JQR372" s="153"/>
      <c r="JQS372" s="153"/>
      <c r="JQT372" s="153"/>
      <c r="JQU372" s="153"/>
      <c r="JQV372" s="153"/>
      <c r="JQW372" s="153"/>
      <c r="JQX372" s="153"/>
      <c r="JQY372" s="153"/>
      <c r="JQZ372" s="153"/>
      <c r="JRA372" s="153"/>
      <c r="JRB372" s="153"/>
      <c r="JRC372" s="650"/>
      <c r="JRD372" s="641"/>
      <c r="JRE372" s="638"/>
      <c r="JRF372" s="639"/>
      <c r="JRG372" s="153"/>
      <c r="JRH372" s="153"/>
      <c r="JRI372" s="153"/>
      <c r="JRJ372" s="153"/>
      <c r="JRK372" s="153"/>
      <c r="JRL372" s="153"/>
      <c r="JRM372" s="153"/>
      <c r="JRN372" s="153"/>
      <c r="JRO372" s="153"/>
      <c r="JRP372" s="153"/>
      <c r="JRQ372" s="153"/>
      <c r="JRR372" s="153"/>
      <c r="JRS372" s="650"/>
      <c r="JRT372" s="641"/>
      <c r="JRU372" s="638"/>
      <c r="JRV372" s="639"/>
      <c r="JRW372" s="153"/>
      <c r="JRX372" s="153"/>
      <c r="JRY372" s="153"/>
      <c r="JRZ372" s="153"/>
      <c r="JSA372" s="153"/>
      <c r="JSB372" s="153"/>
      <c r="JSC372" s="153"/>
      <c r="JSD372" s="153"/>
      <c r="JSE372" s="153"/>
      <c r="JSF372" s="153"/>
      <c r="JSG372" s="153"/>
      <c r="JSH372" s="153"/>
      <c r="JSI372" s="650"/>
      <c r="JSJ372" s="641"/>
      <c r="JSK372" s="638"/>
      <c r="JSL372" s="639"/>
      <c r="JSM372" s="153"/>
      <c r="JSN372" s="153"/>
      <c r="JSO372" s="153"/>
      <c r="JSP372" s="153"/>
      <c r="JSQ372" s="153"/>
      <c r="JSR372" s="153"/>
      <c r="JSS372" s="153"/>
      <c r="JST372" s="153"/>
      <c r="JSU372" s="153"/>
      <c r="JSV372" s="153"/>
      <c r="JSW372" s="153"/>
      <c r="JSX372" s="153"/>
      <c r="JSY372" s="650"/>
      <c r="JSZ372" s="641"/>
      <c r="JTA372" s="638"/>
      <c r="JTB372" s="639"/>
      <c r="JTC372" s="153"/>
      <c r="JTD372" s="153"/>
      <c r="JTE372" s="153"/>
      <c r="JTF372" s="153"/>
      <c r="JTG372" s="153"/>
      <c r="JTH372" s="153"/>
      <c r="JTI372" s="153"/>
      <c r="JTJ372" s="153"/>
      <c r="JTK372" s="153"/>
      <c r="JTL372" s="153"/>
      <c r="JTM372" s="153"/>
      <c r="JTN372" s="153"/>
      <c r="JTO372" s="650"/>
      <c r="JTP372" s="641"/>
      <c r="JTQ372" s="638"/>
      <c r="JTR372" s="639"/>
      <c r="JTS372" s="153"/>
      <c r="JTT372" s="153"/>
      <c r="JTU372" s="153"/>
      <c r="JTV372" s="153"/>
      <c r="JTW372" s="153"/>
      <c r="JTX372" s="153"/>
      <c r="JTY372" s="153"/>
      <c r="JTZ372" s="153"/>
      <c r="JUA372" s="153"/>
      <c r="JUB372" s="153"/>
      <c r="JUC372" s="153"/>
      <c r="JUD372" s="153"/>
      <c r="JUE372" s="650"/>
      <c r="JUF372" s="641"/>
      <c r="JUG372" s="638"/>
      <c r="JUH372" s="639"/>
      <c r="JUI372" s="153"/>
      <c r="JUJ372" s="153"/>
      <c r="JUK372" s="153"/>
      <c r="JUL372" s="153"/>
      <c r="JUM372" s="153"/>
      <c r="JUN372" s="153"/>
      <c r="JUO372" s="153"/>
      <c r="JUP372" s="153"/>
      <c r="JUQ372" s="153"/>
      <c r="JUR372" s="153"/>
      <c r="JUS372" s="153"/>
      <c r="JUT372" s="153"/>
      <c r="JUU372" s="650"/>
      <c r="JUV372" s="641"/>
      <c r="JUW372" s="638"/>
      <c r="JUX372" s="639"/>
      <c r="JUY372" s="153"/>
      <c r="JUZ372" s="153"/>
      <c r="JVA372" s="153"/>
      <c r="JVB372" s="153"/>
      <c r="JVC372" s="153"/>
      <c r="JVD372" s="153"/>
      <c r="JVE372" s="153"/>
      <c r="JVF372" s="153"/>
      <c r="JVG372" s="153"/>
      <c r="JVH372" s="153"/>
      <c r="JVI372" s="153"/>
      <c r="JVJ372" s="153"/>
      <c r="JVK372" s="650"/>
      <c r="JVL372" s="641"/>
      <c r="JVM372" s="638"/>
      <c r="JVN372" s="639"/>
      <c r="JVO372" s="153"/>
      <c r="JVP372" s="153"/>
      <c r="JVQ372" s="153"/>
      <c r="JVR372" s="153"/>
      <c r="JVS372" s="153"/>
      <c r="JVT372" s="153"/>
      <c r="JVU372" s="153"/>
      <c r="JVV372" s="153"/>
      <c r="JVW372" s="153"/>
      <c r="JVX372" s="153"/>
      <c r="JVY372" s="153"/>
      <c r="JVZ372" s="153"/>
      <c r="JWA372" s="650"/>
      <c r="JWB372" s="641"/>
      <c r="JWC372" s="638"/>
      <c r="JWD372" s="639"/>
      <c r="JWE372" s="153"/>
      <c r="JWF372" s="153"/>
      <c r="JWG372" s="153"/>
      <c r="JWH372" s="153"/>
      <c r="JWI372" s="153"/>
      <c r="JWJ372" s="153"/>
      <c r="JWK372" s="153"/>
      <c r="JWL372" s="153"/>
      <c r="JWM372" s="153"/>
      <c r="JWN372" s="153"/>
      <c r="JWO372" s="153"/>
      <c r="JWP372" s="153"/>
      <c r="JWQ372" s="650"/>
      <c r="JWR372" s="641"/>
      <c r="JWS372" s="638"/>
      <c r="JWT372" s="639"/>
      <c r="JWU372" s="153"/>
      <c r="JWV372" s="153"/>
      <c r="JWW372" s="153"/>
      <c r="JWX372" s="153"/>
      <c r="JWY372" s="153"/>
      <c r="JWZ372" s="153"/>
      <c r="JXA372" s="153"/>
      <c r="JXB372" s="153"/>
      <c r="JXC372" s="153"/>
      <c r="JXD372" s="153"/>
      <c r="JXE372" s="153"/>
      <c r="JXF372" s="153"/>
      <c r="JXG372" s="650"/>
      <c r="JXH372" s="641"/>
      <c r="JXI372" s="638"/>
      <c r="JXJ372" s="639"/>
      <c r="JXK372" s="153"/>
      <c r="JXL372" s="153"/>
      <c r="JXM372" s="153"/>
      <c r="JXN372" s="153"/>
      <c r="JXO372" s="153"/>
      <c r="JXP372" s="153"/>
      <c r="JXQ372" s="153"/>
      <c r="JXR372" s="153"/>
      <c r="JXS372" s="153"/>
      <c r="JXT372" s="153"/>
      <c r="JXU372" s="153"/>
      <c r="JXV372" s="153"/>
      <c r="JXW372" s="650"/>
      <c r="JXX372" s="641"/>
      <c r="JXY372" s="638"/>
      <c r="JXZ372" s="639"/>
      <c r="JYA372" s="153"/>
      <c r="JYB372" s="153"/>
      <c r="JYC372" s="153"/>
      <c r="JYD372" s="153"/>
      <c r="JYE372" s="153"/>
      <c r="JYF372" s="153"/>
      <c r="JYG372" s="153"/>
      <c r="JYH372" s="153"/>
      <c r="JYI372" s="153"/>
      <c r="JYJ372" s="153"/>
      <c r="JYK372" s="153"/>
      <c r="JYL372" s="153"/>
      <c r="JYM372" s="650"/>
      <c r="JYN372" s="641"/>
      <c r="JYO372" s="638"/>
      <c r="JYP372" s="639"/>
      <c r="JYQ372" s="153"/>
      <c r="JYR372" s="153"/>
      <c r="JYS372" s="153"/>
      <c r="JYT372" s="153"/>
      <c r="JYU372" s="153"/>
      <c r="JYV372" s="153"/>
      <c r="JYW372" s="153"/>
      <c r="JYX372" s="153"/>
      <c r="JYY372" s="153"/>
      <c r="JYZ372" s="153"/>
      <c r="JZA372" s="153"/>
      <c r="JZB372" s="153"/>
      <c r="JZC372" s="650"/>
      <c r="JZD372" s="641"/>
      <c r="JZE372" s="638"/>
      <c r="JZF372" s="639"/>
      <c r="JZG372" s="153"/>
      <c r="JZH372" s="153"/>
      <c r="JZI372" s="153"/>
      <c r="JZJ372" s="153"/>
      <c r="JZK372" s="153"/>
      <c r="JZL372" s="153"/>
      <c r="JZM372" s="153"/>
      <c r="JZN372" s="153"/>
      <c r="JZO372" s="153"/>
      <c r="JZP372" s="153"/>
      <c r="JZQ372" s="153"/>
      <c r="JZR372" s="153"/>
      <c r="JZS372" s="650"/>
      <c r="JZT372" s="641"/>
      <c r="JZU372" s="638"/>
      <c r="JZV372" s="639"/>
      <c r="JZW372" s="153"/>
      <c r="JZX372" s="153"/>
      <c r="JZY372" s="153"/>
      <c r="JZZ372" s="153"/>
      <c r="KAA372" s="153"/>
      <c r="KAB372" s="153"/>
      <c r="KAC372" s="153"/>
      <c r="KAD372" s="153"/>
      <c r="KAE372" s="153"/>
      <c r="KAF372" s="153"/>
      <c r="KAG372" s="153"/>
      <c r="KAH372" s="153"/>
      <c r="KAI372" s="650"/>
      <c r="KAJ372" s="641"/>
      <c r="KAK372" s="638"/>
      <c r="KAL372" s="639"/>
      <c r="KAM372" s="153"/>
      <c r="KAN372" s="153"/>
      <c r="KAO372" s="153"/>
      <c r="KAP372" s="153"/>
      <c r="KAQ372" s="153"/>
      <c r="KAR372" s="153"/>
      <c r="KAS372" s="153"/>
      <c r="KAT372" s="153"/>
      <c r="KAU372" s="153"/>
      <c r="KAV372" s="153"/>
      <c r="KAW372" s="153"/>
      <c r="KAX372" s="153"/>
      <c r="KAY372" s="650"/>
      <c r="KAZ372" s="641"/>
      <c r="KBA372" s="638"/>
      <c r="KBB372" s="639"/>
      <c r="KBC372" s="153"/>
      <c r="KBD372" s="153"/>
      <c r="KBE372" s="153"/>
      <c r="KBF372" s="153"/>
      <c r="KBG372" s="153"/>
      <c r="KBH372" s="153"/>
      <c r="KBI372" s="153"/>
      <c r="KBJ372" s="153"/>
      <c r="KBK372" s="153"/>
      <c r="KBL372" s="153"/>
      <c r="KBM372" s="153"/>
      <c r="KBN372" s="153"/>
      <c r="KBO372" s="650"/>
      <c r="KBP372" s="641"/>
      <c r="KBQ372" s="638"/>
      <c r="KBR372" s="639"/>
      <c r="KBS372" s="153"/>
      <c r="KBT372" s="153"/>
      <c r="KBU372" s="153"/>
      <c r="KBV372" s="153"/>
      <c r="KBW372" s="153"/>
      <c r="KBX372" s="153"/>
      <c r="KBY372" s="153"/>
      <c r="KBZ372" s="153"/>
      <c r="KCA372" s="153"/>
      <c r="KCB372" s="153"/>
      <c r="KCC372" s="153"/>
      <c r="KCD372" s="153"/>
      <c r="KCE372" s="650"/>
      <c r="KCF372" s="641"/>
      <c r="KCG372" s="638"/>
      <c r="KCH372" s="639"/>
      <c r="KCI372" s="153"/>
      <c r="KCJ372" s="153"/>
      <c r="KCK372" s="153"/>
      <c r="KCL372" s="153"/>
      <c r="KCM372" s="153"/>
      <c r="KCN372" s="153"/>
      <c r="KCO372" s="153"/>
      <c r="KCP372" s="153"/>
      <c r="KCQ372" s="153"/>
      <c r="KCR372" s="153"/>
      <c r="KCS372" s="153"/>
      <c r="KCT372" s="153"/>
      <c r="KCU372" s="650"/>
      <c r="KCV372" s="641"/>
      <c r="KCW372" s="638"/>
      <c r="KCX372" s="639"/>
      <c r="KCY372" s="153"/>
      <c r="KCZ372" s="153"/>
      <c r="KDA372" s="153"/>
      <c r="KDB372" s="153"/>
      <c r="KDC372" s="153"/>
      <c r="KDD372" s="153"/>
      <c r="KDE372" s="153"/>
      <c r="KDF372" s="153"/>
      <c r="KDG372" s="153"/>
      <c r="KDH372" s="153"/>
      <c r="KDI372" s="153"/>
      <c r="KDJ372" s="153"/>
      <c r="KDK372" s="650"/>
      <c r="KDL372" s="641"/>
      <c r="KDM372" s="638"/>
      <c r="KDN372" s="639"/>
      <c r="KDO372" s="153"/>
      <c r="KDP372" s="153"/>
      <c r="KDQ372" s="153"/>
      <c r="KDR372" s="153"/>
      <c r="KDS372" s="153"/>
      <c r="KDT372" s="153"/>
      <c r="KDU372" s="153"/>
      <c r="KDV372" s="153"/>
      <c r="KDW372" s="153"/>
      <c r="KDX372" s="153"/>
      <c r="KDY372" s="153"/>
      <c r="KDZ372" s="153"/>
      <c r="KEA372" s="650"/>
      <c r="KEB372" s="641"/>
      <c r="KEC372" s="638"/>
      <c r="KED372" s="639"/>
      <c r="KEE372" s="153"/>
      <c r="KEF372" s="153"/>
      <c r="KEG372" s="153"/>
      <c r="KEH372" s="153"/>
      <c r="KEI372" s="153"/>
      <c r="KEJ372" s="153"/>
      <c r="KEK372" s="153"/>
      <c r="KEL372" s="153"/>
      <c r="KEM372" s="153"/>
      <c r="KEN372" s="153"/>
      <c r="KEO372" s="153"/>
      <c r="KEP372" s="153"/>
      <c r="KEQ372" s="650"/>
      <c r="KER372" s="641"/>
      <c r="KES372" s="638"/>
      <c r="KET372" s="639"/>
      <c r="KEU372" s="153"/>
      <c r="KEV372" s="153"/>
      <c r="KEW372" s="153"/>
      <c r="KEX372" s="153"/>
      <c r="KEY372" s="153"/>
      <c r="KEZ372" s="153"/>
      <c r="KFA372" s="153"/>
      <c r="KFB372" s="153"/>
      <c r="KFC372" s="153"/>
      <c r="KFD372" s="153"/>
      <c r="KFE372" s="153"/>
      <c r="KFF372" s="153"/>
      <c r="KFG372" s="650"/>
      <c r="KFH372" s="641"/>
      <c r="KFI372" s="638"/>
      <c r="KFJ372" s="639"/>
      <c r="KFK372" s="153"/>
      <c r="KFL372" s="153"/>
      <c r="KFM372" s="153"/>
      <c r="KFN372" s="153"/>
      <c r="KFO372" s="153"/>
      <c r="KFP372" s="153"/>
      <c r="KFQ372" s="153"/>
      <c r="KFR372" s="153"/>
      <c r="KFS372" s="153"/>
      <c r="KFT372" s="153"/>
      <c r="KFU372" s="153"/>
      <c r="KFV372" s="153"/>
      <c r="KFW372" s="650"/>
      <c r="KFX372" s="641"/>
      <c r="KFY372" s="638"/>
      <c r="KFZ372" s="639"/>
      <c r="KGA372" s="153"/>
      <c r="KGB372" s="153"/>
      <c r="KGC372" s="153"/>
      <c r="KGD372" s="153"/>
      <c r="KGE372" s="153"/>
      <c r="KGF372" s="153"/>
      <c r="KGG372" s="153"/>
      <c r="KGH372" s="153"/>
      <c r="KGI372" s="153"/>
      <c r="KGJ372" s="153"/>
      <c r="KGK372" s="153"/>
      <c r="KGL372" s="153"/>
      <c r="KGM372" s="650"/>
      <c r="KGN372" s="641"/>
      <c r="KGO372" s="638"/>
      <c r="KGP372" s="639"/>
      <c r="KGQ372" s="153"/>
      <c r="KGR372" s="153"/>
      <c r="KGS372" s="153"/>
      <c r="KGT372" s="153"/>
      <c r="KGU372" s="153"/>
      <c r="KGV372" s="153"/>
      <c r="KGW372" s="153"/>
      <c r="KGX372" s="153"/>
      <c r="KGY372" s="153"/>
      <c r="KGZ372" s="153"/>
      <c r="KHA372" s="153"/>
      <c r="KHB372" s="153"/>
      <c r="KHC372" s="650"/>
      <c r="KHD372" s="641"/>
      <c r="KHE372" s="638"/>
      <c r="KHF372" s="639"/>
      <c r="KHG372" s="153"/>
      <c r="KHH372" s="153"/>
      <c r="KHI372" s="153"/>
      <c r="KHJ372" s="153"/>
      <c r="KHK372" s="153"/>
      <c r="KHL372" s="153"/>
      <c r="KHM372" s="153"/>
      <c r="KHN372" s="153"/>
      <c r="KHO372" s="153"/>
      <c r="KHP372" s="153"/>
      <c r="KHQ372" s="153"/>
      <c r="KHR372" s="153"/>
      <c r="KHS372" s="650"/>
      <c r="KHT372" s="641"/>
      <c r="KHU372" s="638"/>
      <c r="KHV372" s="639"/>
      <c r="KHW372" s="153"/>
      <c r="KHX372" s="153"/>
      <c r="KHY372" s="153"/>
      <c r="KHZ372" s="153"/>
      <c r="KIA372" s="153"/>
      <c r="KIB372" s="153"/>
      <c r="KIC372" s="153"/>
      <c r="KID372" s="153"/>
      <c r="KIE372" s="153"/>
      <c r="KIF372" s="153"/>
      <c r="KIG372" s="153"/>
      <c r="KIH372" s="153"/>
      <c r="KII372" s="650"/>
      <c r="KIJ372" s="641"/>
      <c r="KIK372" s="638"/>
      <c r="KIL372" s="639"/>
      <c r="KIM372" s="153"/>
      <c r="KIN372" s="153"/>
      <c r="KIO372" s="153"/>
      <c r="KIP372" s="153"/>
      <c r="KIQ372" s="153"/>
      <c r="KIR372" s="153"/>
      <c r="KIS372" s="153"/>
      <c r="KIT372" s="153"/>
      <c r="KIU372" s="153"/>
      <c r="KIV372" s="153"/>
      <c r="KIW372" s="153"/>
      <c r="KIX372" s="153"/>
      <c r="KIY372" s="650"/>
      <c r="KIZ372" s="641"/>
      <c r="KJA372" s="638"/>
      <c r="KJB372" s="639"/>
      <c r="KJC372" s="153"/>
      <c r="KJD372" s="153"/>
      <c r="KJE372" s="153"/>
      <c r="KJF372" s="153"/>
      <c r="KJG372" s="153"/>
      <c r="KJH372" s="153"/>
      <c r="KJI372" s="153"/>
      <c r="KJJ372" s="153"/>
      <c r="KJK372" s="153"/>
      <c r="KJL372" s="153"/>
      <c r="KJM372" s="153"/>
      <c r="KJN372" s="153"/>
      <c r="KJO372" s="650"/>
      <c r="KJP372" s="641"/>
      <c r="KJQ372" s="638"/>
      <c r="KJR372" s="639"/>
      <c r="KJS372" s="153"/>
      <c r="KJT372" s="153"/>
      <c r="KJU372" s="153"/>
      <c r="KJV372" s="153"/>
      <c r="KJW372" s="153"/>
      <c r="KJX372" s="153"/>
      <c r="KJY372" s="153"/>
      <c r="KJZ372" s="153"/>
      <c r="KKA372" s="153"/>
      <c r="KKB372" s="153"/>
      <c r="KKC372" s="153"/>
      <c r="KKD372" s="153"/>
      <c r="KKE372" s="650"/>
      <c r="KKF372" s="641"/>
      <c r="KKG372" s="638"/>
      <c r="KKH372" s="639"/>
      <c r="KKI372" s="153"/>
      <c r="KKJ372" s="153"/>
      <c r="KKK372" s="153"/>
      <c r="KKL372" s="153"/>
      <c r="KKM372" s="153"/>
      <c r="KKN372" s="153"/>
      <c r="KKO372" s="153"/>
      <c r="KKP372" s="153"/>
      <c r="KKQ372" s="153"/>
      <c r="KKR372" s="153"/>
      <c r="KKS372" s="153"/>
      <c r="KKT372" s="153"/>
      <c r="KKU372" s="650"/>
      <c r="KKV372" s="641"/>
      <c r="KKW372" s="638"/>
      <c r="KKX372" s="639"/>
      <c r="KKY372" s="153"/>
      <c r="KKZ372" s="153"/>
      <c r="KLA372" s="153"/>
      <c r="KLB372" s="153"/>
      <c r="KLC372" s="153"/>
      <c r="KLD372" s="153"/>
      <c r="KLE372" s="153"/>
      <c r="KLF372" s="153"/>
      <c r="KLG372" s="153"/>
      <c r="KLH372" s="153"/>
      <c r="KLI372" s="153"/>
      <c r="KLJ372" s="153"/>
      <c r="KLK372" s="650"/>
      <c r="KLL372" s="641"/>
      <c r="KLM372" s="638"/>
      <c r="KLN372" s="639"/>
      <c r="KLO372" s="153"/>
      <c r="KLP372" s="153"/>
      <c r="KLQ372" s="153"/>
      <c r="KLR372" s="153"/>
      <c r="KLS372" s="153"/>
      <c r="KLT372" s="153"/>
      <c r="KLU372" s="153"/>
      <c r="KLV372" s="153"/>
      <c r="KLW372" s="153"/>
      <c r="KLX372" s="153"/>
      <c r="KLY372" s="153"/>
      <c r="KLZ372" s="153"/>
      <c r="KMA372" s="650"/>
      <c r="KMB372" s="641"/>
      <c r="KMC372" s="638"/>
      <c r="KMD372" s="639"/>
      <c r="KME372" s="153"/>
      <c r="KMF372" s="153"/>
      <c r="KMG372" s="153"/>
      <c r="KMH372" s="153"/>
      <c r="KMI372" s="153"/>
      <c r="KMJ372" s="153"/>
      <c r="KMK372" s="153"/>
      <c r="KML372" s="153"/>
      <c r="KMM372" s="153"/>
      <c r="KMN372" s="153"/>
      <c r="KMO372" s="153"/>
      <c r="KMP372" s="153"/>
      <c r="KMQ372" s="650"/>
      <c r="KMR372" s="641"/>
      <c r="KMS372" s="638"/>
      <c r="KMT372" s="639"/>
      <c r="KMU372" s="153"/>
      <c r="KMV372" s="153"/>
      <c r="KMW372" s="153"/>
      <c r="KMX372" s="153"/>
      <c r="KMY372" s="153"/>
      <c r="KMZ372" s="153"/>
      <c r="KNA372" s="153"/>
      <c r="KNB372" s="153"/>
      <c r="KNC372" s="153"/>
      <c r="KND372" s="153"/>
      <c r="KNE372" s="153"/>
      <c r="KNF372" s="153"/>
      <c r="KNG372" s="650"/>
      <c r="KNH372" s="641"/>
      <c r="KNI372" s="638"/>
      <c r="KNJ372" s="639"/>
      <c r="KNK372" s="153"/>
      <c r="KNL372" s="153"/>
      <c r="KNM372" s="153"/>
      <c r="KNN372" s="153"/>
      <c r="KNO372" s="153"/>
      <c r="KNP372" s="153"/>
      <c r="KNQ372" s="153"/>
      <c r="KNR372" s="153"/>
      <c r="KNS372" s="153"/>
      <c r="KNT372" s="153"/>
      <c r="KNU372" s="153"/>
      <c r="KNV372" s="153"/>
      <c r="KNW372" s="650"/>
      <c r="KNX372" s="641"/>
      <c r="KNY372" s="638"/>
      <c r="KNZ372" s="639"/>
      <c r="KOA372" s="153"/>
      <c r="KOB372" s="153"/>
      <c r="KOC372" s="153"/>
      <c r="KOD372" s="153"/>
      <c r="KOE372" s="153"/>
      <c r="KOF372" s="153"/>
      <c r="KOG372" s="153"/>
      <c r="KOH372" s="153"/>
      <c r="KOI372" s="153"/>
      <c r="KOJ372" s="153"/>
      <c r="KOK372" s="153"/>
      <c r="KOL372" s="153"/>
      <c r="KOM372" s="650"/>
      <c r="KON372" s="641"/>
      <c r="KOO372" s="638"/>
      <c r="KOP372" s="639"/>
      <c r="KOQ372" s="153"/>
      <c r="KOR372" s="153"/>
      <c r="KOS372" s="153"/>
      <c r="KOT372" s="153"/>
      <c r="KOU372" s="153"/>
      <c r="KOV372" s="153"/>
      <c r="KOW372" s="153"/>
      <c r="KOX372" s="153"/>
      <c r="KOY372" s="153"/>
      <c r="KOZ372" s="153"/>
      <c r="KPA372" s="153"/>
      <c r="KPB372" s="153"/>
      <c r="KPC372" s="650"/>
      <c r="KPD372" s="641"/>
      <c r="KPE372" s="638"/>
      <c r="KPF372" s="639"/>
      <c r="KPG372" s="153"/>
      <c r="KPH372" s="153"/>
      <c r="KPI372" s="153"/>
      <c r="KPJ372" s="153"/>
      <c r="KPK372" s="153"/>
      <c r="KPL372" s="153"/>
      <c r="KPM372" s="153"/>
      <c r="KPN372" s="153"/>
      <c r="KPO372" s="153"/>
      <c r="KPP372" s="153"/>
      <c r="KPQ372" s="153"/>
      <c r="KPR372" s="153"/>
      <c r="KPS372" s="650"/>
      <c r="KPT372" s="641"/>
      <c r="KPU372" s="638"/>
      <c r="KPV372" s="639"/>
      <c r="KPW372" s="153"/>
      <c r="KPX372" s="153"/>
      <c r="KPY372" s="153"/>
      <c r="KPZ372" s="153"/>
      <c r="KQA372" s="153"/>
      <c r="KQB372" s="153"/>
      <c r="KQC372" s="153"/>
      <c r="KQD372" s="153"/>
      <c r="KQE372" s="153"/>
      <c r="KQF372" s="153"/>
      <c r="KQG372" s="153"/>
      <c r="KQH372" s="153"/>
      <c r="KQI372" s="650"/>
      <c r="KQJ372" s="641"/>
      <c r="KQK372" s="638"/>
      <c r="KQL372" s="639"/>
      <c r="KQM372" s="153"/>
      <c r="KQN372" s="153"/>
      <c r="KQO372" s="153"/>
      <c r="KQP372" s="153"/>
      <c r="KQQ372" s="153"/>
      <c r="KQR372" s="153"/>
      <c r="KQS372" s="153"/>
      <c r="KQT372" s="153"/>
      <c r="KQU372" s="153"/>
      <c r="KQV372" s="153"/>
      <c r="KQW372" s="153"/>
      <c r="KQX372" s="153"/>
      <c r="KQY372" s="650"/>
      <c r="KQZ372" s="641"/>
      <c r="KRA372" s="638"/>
      <c r="KRB372" s="639"/>
      <c r="KRC372" s="153"/>
      <c r="KRD372" s="153"/>
      <c r="KRE372" s="153"/>
      <c r="KRF372" s="153"/>
      <c r="KRG372" s="153"/>
      <c r="KRH372" s="153"/>
      <c r="KRI372" s="153"/>
      <c r="KRJ372" s="153"/>
      <c r="KRK372" s="153"/>
      <c r="KRL372" s="153"/>
      <c r="KRM372" s="153"/>
      <c r="KRN372" s="153"/>
      <c r="KRO372" s="650"/>
      <c r="KRP372" s="641"/>
      <c r="KRQ372" s="638"/>
      <c r="KRR372" s="639"/>
      <c r="KRS372" s="153"/>
      <c r="KRT372" s="153"/>
      <c r="KRU372" s="153"/>
      <c r="KRV372" s="153"/>
      <c r="KRW372" s="153"/>
      <c r="KRX372" s="153"/>
      <c r="KRY372" s="153"/>
      <c r="KRZ372" s="153"/>
      <c r="KSA372" s="153"/>
      <c r="KSB372" s="153"/>
      <c r="KSC372" s="153"/>
      <c r="KSD372" s="153"/>
      <c r="KSE372" s="650"/>
      <c r="KSF372" s="641"/>
      <c r="KSG372" s="638"/>
      <c r="KSH372" s="639"/>
      <c r="KSI372" s="153"/>
      <c r="KSJ372" s="153"/>
      <c r="KSK372" s="153"/>
      <c r="KSL372" s="153"/>
      <c r="KSM372" s="153"/>
      <c r="KSN372" s="153"/>
      <c r="KSO372" s="153"/>
      <c r="KSP372" s="153"/>
      <c r="KSQ372" s="153"/>
      <c r="KSR372" s="153"/>
      <c r="KSS372" s="153"/>
      <c r="KST372" s="153"/>
      <c r="KSU372" s="650"/>
      <c r="KSV372" s="641"/>
      <c r="KSW372" s="638"/>
      <c r="KSX372" s="639"/>
      <c r="KSY372" s="153"/>
      <c r="KSZ372" s="153"/>
      <c r="KTA372" s="153"/>
      <c r="KTB372" s="153"/>
      <c r="KTC372" s="153"/>
      <c r="KTD372" s="153"/>
      <c r="KTE372" s="153"/>
      <c r="KTF372" s="153"/>
      <c r="KTG372" s="153"/>
      <c r="KTH372" s="153"/>
      <c r="KTI372" s="153"/>
      <c r="KTJ372" s="153"/>
      <c r="KTK372" s="650"/>
      <c r="KTL372" s="641"/>
      <c r="KTM372" s="638"/>
      <c r="KTN372" s="639"/>
      <c r="KTO372" s="153"/>
      <c r="KTP372" s="153"/>
      <c r="KTQ372" s="153"/>
      <c r="KTR372" s="153"/>
      <c r="KTS372" s="153"/>
      <c r="KTT372" s="153"/>
      <c r="KTU372" s="153"/>
      <c r="KTV372" s="153"/>
      <c r="KTW372" s="153"/>
      <c r="KTX372" s="153"/>
      <c r="KTY372" s="153"/>
      <c r="KTZ372" s="153"/>
      <c r="KUA372" s="650"/>
      <c r="KUB372" s="641"/>
      <c r="KUC372" s="638"/>
      <c r="KUD372" s="639"/>
      <c r="KUE372" s="153"/>
      <c r="KUF372" s="153"/>
      <c r="KUG372" s="153"/>
      <c r="KUH372" s="153"/>
      <c r="KUI372" s="153"/>
      <c r="KUJ372" s="153"/>
      <c r="KUK372" s="153"/>
      <c r="KUL372" s="153"/>
      <c r="KUM372" s="153"/>
      <c r="KUN372" s="153"/>
      <c r="KUO372" s="153"/>
      <c r="KUP372" s="153"/>
      <c r="KUQ372" s="650"/>
      <c r="KUR372" s="641"/>
      <c r="KUS372" s="638"/>
      <c r="KUT372" s="639"/>
      <c r="KUU372" s="153"/>
      <c r="KUV372" s="153"/>
      <c r="KUW372" s="153"/>
      <c r="KUX372" s="153"/>
      <c r="KUY372" s="153"/>
      <c r="KUZ372" s="153"/>
      <c r="KVA372" s="153"/>
      <c r="KVB372" s="153"/>
      <c r="KVC372" s="153"/>
      <c r="KVD372" s="153"/>
      <c r="KVE372" s="153"/>
      <c r="KVF372" s="153"/>
      <c r="KVG372" s="650"/>
      <c r="KVH372" s="641"/>
      <c r="KVI372" s="638"/>
      <c r="KVJ372" s="639"/>
      <c r="KVK372" s="153"/>
      <c r="KVL372" s="153"/>
      <c r="KVM372" s="153"/>
      <c r="KVN372" s="153"/>
      <c r="KVO372" s="153"/>
      <c r="KVP372" s="153"/>
      <c r="KVQ372" s="153"/>
      <c r="KVR372" s="153"/>
      <c r="KVS372" s="153"/>
      <c r="KVT372" s="153"/>
      <c r="KVU372" s="153"/>
      <c r="KVV372" s="153"/>
      <c r="KVW372" s="650"/>
      <c r="KVX372" s="641"/>
      <c r="KVY372" s="638"/>
      <c r="KVZ372" s="639"/>
      <c r="KWA372" s="153"/>
      <c r="KWB372" s="153"/>
      <c r="KWC372" s="153"/>
      <c r="KWD372" s="153"/>
      <c r="KWE372" s="153"/>
      <c r="KWF372" s="153"/>
      <c r="KWG372" s="153"/>
      <c r="KWH372" s="153"/>
      <c r="KWI372" s="153"/>
      <c r="KWJ372" s="153"/>
      <c r="KWK372" s="153"/>
      <c r="KWL372" s="153"/>
      <c r="KWM372" s="650"/>
      <c r="KWN372" s="641"/>
      <c r="KWO372" s="638"/>
      <c r="KWP372" s="639"/>
      <c r="KWQ372" s="153"/>
      <c r="KWR372" s="153"/>
      <c r="KWS372" s="153"/>
      <c r="KWT372" s="153"/>
      <c r="KWU372" s="153"/>
      <c r="KWV372" s="153"/>
      <c r="KWW372" s="153"/>
      <c r="KWX372" s="153"/>
      <c r="KWY372" s="153"/>
      <c r="KWZ372" s="153"/>
      <c r="KXA372" s="153"/>
      <c r="KXB372" s="153"/>
      <c r="KXC372" s="650"/>
      <c r="KXD372" s="641"/>
      <c r="KXE372" s="638"/>
      <c r="KXF372" s="639"/>
      <c r="KXG372" s="153"/>
      <c r="KXH372" s="153"/>
      <c r="KXI372" s="153"/>
      <c r="KXJ372" s="153"/>
      <c r="KXK372" s="153"/>
      <c r="KXL372" s="153"/>
      <c r="KXM372" s="153"/>
      <c r="KXN372" s="153"/>
      <c r="KXO372" s="153"/>
      <c r="KXP372" s="153"/>
      <c r="KXQ372" s="153"/>
      <c r="KXR372" s="153"/>
      <c r="KXS372" s="650"/>
      <c r="KXT372" s="641"/>
      <c r="KXU372" s="638"/>
      <c r="KXV372" s="639"/>
      <c r="KXW372" s="153"/>
      <c r="KXX372" s="153"/>
      <c r="KXY372" s="153"/>
      <c r="KXZ372" s="153"/>
      <c r="KYA372" s="153"/>
      <c r="KYB372" s="153"/>
      <c r="KYC372" s="153"/>
      <c r="KYD372" s="153"/>
      <c r="KYE372" s="153"/>
      <c r="KYF372" s="153"/>
      <c r="KYG372" s="153"/>
      <c r="KYH372" s="153"/>
      <c r="KYI372" s="650"/>
      <c r="KYJ372" s="641"/>
      <c r="KYK372" s="638"/>
      <c r="KYL372" s="639"/>
      <c r="KYM372" s="153"/>
      <c r="KYN372" s="153"/>
      <c r="KYO372" s="153"/>
      <c r="KYP372" s="153"/>
      <c r="KYQ372" s="153"/>
      <c r="KYR372" s="153"/>
      <c r="KYS372" s="153"/>
      <c r="KYT372" s="153"/>
      <c r="KYU372" s="153"/>
      <c r="KYV372" s="153"/>
      <c r="KYW372" s="153"/>
      <c r="KYX372" s="153"/>
      <c r="KYY372" s="650"/>
      <c r="KYZ372" s="641"/>
      <c r="KZA372" s="638"/>
      <c r="KZB372" s="639"/>
      <c r="KZC372" s="153"/>
      <c r="KZD372" s="153"/>
      <c r="KZE372" s="153"/>
      <c r="KZF372" s="153"/>
      <c r="KZG372" s="153"/>
      <c r="KZH372" s="153"/>
      <c r="KZI372" s="153"/>
      <c r="KZJ372" s="153"/>
      <c r="KZK372" s="153"/>
      <c r="KZL372" s="153"/>
      <c r="KZM372" s="153"/>
      <c r="KZN372" s="153"/>
      <c r="KZO372" s="650"/>
      <c r="KZP372" s="641"/>
      <c r="KZQ372" s="638"/>
      <c r="KZR372" s="639"/>
      <c r="KZS372" s="153"/>
      <c r="KZT372" s="153"/>
      <c r="KZU372" s="153"/>
      <c r="KZV372" s="153"/>
      <c r="KZW372" s="153"/>
      <c r="KZX372" s="153"/>
      <c r="KZY372" s="153"/>
      <c r="KZZ372" s="153"/>
      <c r="LAA372" s="153"/>
      <c r="LAB372" s="153"/>
      <c r="LAC372" s="153"/>
      <c r="LAD372" s="153"/>
      <c r="LAE372" s="650"/>
      <c r="LAF372" s="641"/>
      <c r="LAG372" s="638"/>
      <c r="LAH372" s="639"/>
      <c r="LAI372" s="153"/>
      <c r="LAJ372" s="153"/>
      <c r="LAK372" s="153"/>
      <c r="LAL372" s="153"/>
      <c r="LAM372" s="153"/>
      <c r="LAN372" s="153"/>
      <c r="LAO372" s="153"/>
      <c r="LAP372" s="153"/>
      <c r="LAQ372" s="153"/>
      <c r="LAR372" s="153"/>
      <c r="LAS372" s="153"/>
      <c r="LAT372" s="153"/>
      <c r="LAU372" s="650"/>
      <c r="LAV372" s="641"/>
      <c r="LAW372" s="638"/>
      <c r="LAX372" s="639"/>
      <c r="LAY372" s="153"/>
      <c r="LAZ372" s="153"/>
      <c r="LBA372" s="153"/>
      <c r="LBB372" s="153"/>
      <c r="LBC372" s="153"/>
      <c r="LBD372" s="153"/>
      <c r="LBE372" s="153"/>
      <c r="LBF372" s="153"/>
      <c r="LBG372" s="153"/>
      <c r="LBH372" s="153"/>
      <c r="LBI372" s="153"/>
      <c r="LBJ372" s="153"/>
      <c r="LBK372" s="650"/>
      <c r="LBL372" s="641"/>
      <c r="LBM372" s="638"/>
      <c r="LBN372" s="639"/>
      <c r="LBO372" s="153"/>
      <c r="LBP372" s="153"/>
      <c r="LBQ372" s="153"/>
      <c r="LBR372" s="153"/>
      <c r="LBS372" s="153"/>
      <c r="LBT372" s="153"/>
      <c r="LBU372" s="153"/>
      <c r="LBV372" s="153"/>
      <c r="LBW372" s="153"/>
      <c r="LBX372" s="153"/>
      <c r="LBY372" s="153"/>
      <c r="LBZ372" s="153"/>
      <c r="LCA372" s="650"/>
      <c r="LCB372" s="641"/>
      <c r="LCC372" s="638"/>
      <c r="LCD372" s="639"/>
      <c r="LCE372" s="153"/>
      <c r="LCF372" s="153"/>
      <c r="LCG372" s="153"/>
      <c r="LCH372" s="153"/>
      <c r="LCI372" s="153"/>
      <c r="LCJ372" s="153"/>
      <c r="LCK372" s="153"/>
      <c r="LCL372" s="153"/>
      <c r="LCM372" s="153"/>
      <c r="LCN372" s="153"/>
      <c r="LCO372" s="153"/>
      <c r="LCP372" s="153"/>
      <c r="LCQ372" s="650"/>
      <c r="LCR372" s="641"/>
      <c r="LCS372" s="638"/>
      <c r="LCT372" s="639"/>
      <c r="LCU372" s="153"/>
      <c r="LCV372" s="153"/>
      <c r="LCW372" s="153"/>
      <c r="LCX372" s="153"/>
      <c r="LCY372" s="153"/>
      <c r="LCZ372" s="153"/>
      <c r="LDA372" s="153"/>
      <c r="LDB372" s="153"/>
      <c r="LDC372" s="153"/>
      <c r="LDD372" s="153"/>
      <c r="LDE372" s="153"/>
      <c r="LDF372" s="153"/>
      <c r="LDG372" s="650"/>
      <c r="LDH372" s="641"/>
      <c r="LDI372" s="638"/>
      <c r="LDJ372" s="639"/>
      <c r="LDK372" s="153"/>
      <c r="LDL372" s="153"/>
      <c r="LDM372" s="153"/>
      <c r="LDN372" s="153"/>
      <c r="LDO372" s="153"/>
      <c r="LDP372" s="153"/>
      <c r="LDQ372" s="153"/>
      <c r="LDR372" s="153"/>
      <c r="LDS372" s="153"/>
      <c r="LDT372" s="153"/>
      <c r="LDU372" s="153"/>
      <c r="LDV372" s="153"/>
      <c r="LDW372" s="650"/>
      <c r="LDX372" s="641"/>
      <c r="LDY372" s="638"/>
      <c r="LDZ372" s="639"/>
      <c r="LEA372" s="153"/>
      <c r="LEB372" s="153"/>
      <c r="LEC372" s="153"/>
      <c r="LED372" s="153"/>
      <c r="LEE372" s="153"/>
      <c r="LEF372" s="153"/>
      <c r="LEG372" s="153"/>
      <c r="LEH372" s="153"/>
      <c r="LEI372" s="153"/>
      <c r="LEJ372" s="153"/>
      <c r="LEK372" s="153"/>
      <c r="LEL372" s="153"/>
      <c r="LEM372" s="650"/>
      <c r="LEN372" s="641"/>
      <c r="LEO372" s="638"/>
      <c r="LEP372" s="639"/>
      <c r="LEQ372" s="153"/>
      <c r="LER372" s="153"/>
      <c r="LES372" s="153"/>
      <c r="LET372" s="153"/>
      <c r="LEU372" s="153"/>
      <c r="LEV372" s="153"/>
      <c r="LEW372" s="153"/>
      <c r="LEX372" s="153"/>
      <c r="LEY372" s="153"/>
      <c r="LEZ372" s="153"/>
      <c r="LFA372" s="153"/>
      <c r="LFB372" s="153"/>
      <c r="LFC372" s="650"/>
      <c r="LFD372" s="641"/>
      <c r="LFE372" s="638"/>
      <c r="LFF372" s="639"/>
      <c r="LFG372" s="153"/>
      <c r="LFH372" s="153"/>
      <c r="LFI372" s="153"/>
      <c r="LFJ372" s="153"/>
      <c r="LFK372" s="153"/>
      <c r="LFL372" s="153"/>
      <c r="LFM372" s="153"/>
      <c r="LFN372" s="153"/>
      <c r="LFO372" s="153"/>
      <c r="LFP372" s="153"/>
      <c r="LFQ372" s="153"/>
      <c r="LFR372" s="153"/>
      <c r="LFS372" s="650"/>
      <c r="LFT372" s="641"/>
      <c r="LFU372" s="638"/>
      <c r="LFV372" s="639"/>
      <c r="LFW372" s="153"/>
      <c r="LFX372" s="153"/>
      <c r="LFY372" s="153"/>
      <c r="LFZ372" s="153"/>
      <c r="LGA372" s="153"/>
      <c r="LGB372" s="153"/>
      <c r="LGC372" s="153"/>
      <c r="LGD372" s="153"/>
      <c r="LGE372" s="153"/>
      <c r="LGF372" s="153"/>
      <c r="LGG372" s="153"/>
      <c r="LGH372" s="153"/>
      <c r="LGI372" s="650"/>
      <c r="LGJ372" s="641"/>
      <c r="LGK372" s="638"/>
      <c r="LGL372" s="639"/>
      <c r="LGM372" s="153"/>
      <c r="LGN372" s="153"/>
      <c r="LGO372" s="153"/>
      <c r="LGP372" s="153"/>
      <c r="LGQ372" s="153"/>
      <c r="LGR372" s="153"/>
      <c r="LGS372" s="153"/>
      <c r="LGT372" s="153"/>
      <c r="LGU372" s="153"/>
      <c r="LGV372" s="153"/>
      <c r="LGW372" s="153"/>
      <c r="LGX372" s="153"/>
      <c r="LGY372" s="650"/>
      <c r="LGZ372" s="641"/>
      <c r="LHA372" s="638"/>
      <c r="LHB372" s="639"/>
      <c r="LHC372" s="153"/>
      <c r="LHD372" s="153"/>
      <c r="LHE372" s="153"/>
      <c r="LHF372" s="153"/>
      <c r="LHG372" s="153"/>
      <c r="LHH372" s="153"/>
      <c r="LHI372" s="153"/>
      <c r="LHJ372" s="153"/>
      <c r="LHK372" s="153"/>
      <c r="LHL372" s="153"/>
      <c r="LHM372" s="153"/>
      <c r="LHN372" s="153"/>
      <c r="LHO372" s="650"/>
      <c r="LHP372" s="641"/>
      <c r="LHQ372" s="638"/>
      <c r="LHR372" s="639"/>
      <c r="LHS372" s="153"/>
      <c r="LHT372" s="153"/>
      <c r="LHU372" s="153"/>
      <c r="LHV372" s="153"/>
      <c r="LHW372" s="153"/>
      <c r="LHX372" s="153"/>
      <c r="LHY372" s="153"/>
      <c r="LHZ372" s="153"/>
      <c r="LIA372" s="153"/>
      <c r="LIB372" s="153"/>
      <c r="LIC372" s="153"/>
      <c r="LID372" s="153"/>
      <c r="LIE372" s="650"/>
      <c r="LIF372" s="641"/>
      <c r="LIG372" s="638"/>
      <c r="LIH372" s="639"/>
      <c r="LII372" s="153"/>
      <c r="LIJ372" s="153"/>
      <c r="LIK372" s="153"/>
      <c r="LIL372" s="153"/>
      <c r="LIM372" s="153"/>
      <c r="LIN372" s="153"/>
      <c r="LIO372" s="153"/>
      <c r="LIP372" s="153"/>
      <c r="LIQ372" s="153"/>
      <c r="LIR372" s="153"/>
      <c r="LIS372" s="153"/>
      <c r="LIT372" s="153"/>
      <c r="LIU372" s="650"/>
      <c r="LIV372" s="641"/>
      <c r="LIW372" s="638"/>
      <c r="LIX372" s="639"/>
      <c r="LIY372" s="153"/>
      <c r="LIZ372" s="153"/>
      <c r="LJA372" s="153"/>
      <c r="LJB372" s="153"/>
      <c r="LJC372" s="153"/>
      <c r="LJD372" s="153"/>
      <c r="LJE372" s="153"/>
      <c r="LJF372" s="153"/>
      <c r="LJG372" s="153"/>
      <c r="LJH372" s="153"/>
      <c r="LJI372" s="153"/>
      <c r="LJJ372" s="153"/>
      <c r="LJK372" s="650"/>
      <c r="LJL372" s="641"/>
      <c r="LJM372" s="638"/>
      <c r="LJN372" s="639"/>
      <c r="LJO372" s="153"/>
      <c r="LJP372" s="153"/>
      <c r="LJQ372" s="153"/>
      <c r="LJR372" s="153"/>
      <c r="LJS372" s="153"/>
      <c r="LJT372" s="153"/>
      <c r="LJU372" s="153"/>
      <c r="LJV372" s="153"/>
      <c r="LJW372" s="153"/>
      <c r="LJX372" s="153"/>
      <c r="LJY372" s="153"/>
      <c r="LJZ372" s="153"/>
      <c r="LKA372" s="650"/>
      <c r="LKB372" s="641"/>
      <c r="LKC372" s="638"/>
      <c r="LKD372" s="639"/>
      <c r="LKE372" s="153"/>
      <c r="LKF372" s="153"/>
      <c r="LKG372" s="153"/>
      <c r="LKH372" s="153"/>
      <c r="LKI372" s="153"/>
      <c r="LKJ372" s="153"/>
      <c r="LKK372" s="153"/>
      <c r="LKL372" s="153"/>
      <c r="LKM372" s="153"/>
      <c r="LKN372" s="153"/>
      <c r="LKO372" s="153"/>
      <c r="LKP372" s="153"/>
      <c r="LKQ372" s="650"/>
      <c r="LKR372" s="641"/>
      <c r="LKS372" s="638"/>
      <c r="LKT372" s="639"/>
      <c r="LKU372" s="153"/>
      <c r="LKV372" s="153"/>
      <c r="LKW372" s="153"/>
      <c r="LKX372" s="153"/>
      <c r="LKY372" s="153"/>
      <c r="LKZ372" s="153"/>
      <c r="LLA372" s="153"/>
      <c r="LLB372" s="153"/>
      <c r="LLC372" s="153"/>
      <c r="LLD372" s="153"/>
      <c r="LLE372" s="153"/>
      <c r="LLF372" s="153"/>
      <c r="LLG372" s="650"/>
      <c r="LLH372" s="641"/>
      <c r="LLI372" s="638"/>
      <c r="LLJ372" s="639"/>
      <c r="LLK372" s="153"/>
      <c r="LLL372" s="153"/>
      <c r="LLM372" s="153"/>
      <c r="LLN372" s="153"/>
      <c r="LLO372" s="153"/>
      <c r="LLP372" s="153"/>
      <c r="LLQ372" s="153"/>
      <c r="LLR372" s="153"/>
      <c r="LLS372" s="153"/>
      <c r="LLT372" s="153"/>
      <c r="LLU372" s="153"/>
      <c r="LLV372" s="153"/>
      <c r="LLW372" s="650"/>
      <c r="LLX372" s="641"/>
      <c r="LLY372" s="638"/>
      <c r="LLZ372" s="639"/>
      <c r="LMA372" s="153"/>
      <c r="LMB372" s="153"/>
      <c r="LMC372" s="153"/>
      <c r="LMD372" s="153"/>
      <c r="LME372" s="153"/>
      <c r="LMF372" s="153"/>
      <c r="LMG372" s="153"/>
      <c r="LMH372" s="153"/>
      <c r="LMI372" s="153"/>
      <c r="LMJ372" s="153"/>
      <c r="LMK372" s="153"/>
      <c r="LML372" s="153"/>
      <c r="LMM372" s="650"/>
      <c r="LMN372" s="641"/>
      <c r="LMO372" s="638"/>
      <c r="LMP372" s="639"/>
      <c r="LMQ372" s="153"/>
      <c r="LMR372" s="153"/>
      <c r="LMS372" s="153"/>
      <c r="LMT372" s="153"/>
      <c r="LMU372" s="153"/>
      <c r="LMV372" s="153"/>
      <c r="LMW372" s="153"/>
      <c r="LMX372" s="153"/>
      <c r="LMY372" s="153"/>
      <c r="LMZ372" s="153"/>
      <c r="LNA372" s="153"/>
      <c r="LNB372" s="153"/>
      <c r="LNC372" s="650"/>
      <c r="LND372" s="641"/>
      <c r="LNE372" s="638"/>
      <c r="LNF372" s="639"/>
      <c r="LNG372" s="153"/>
      <c r="LNH372" s="153"/>
      <c r="LNI372" s="153"/>
      <c r="LNJ372" s="153"/>
      <c r="LNK372" s="153"/>
      <c r="LNL372" s="153"/>
      <c r="LNM372" s="153"/>
      <c r="LNN372" s="153"/>
      <c r="LNO372" s="153"/>
      <c r="LNP372" s="153"/>
      <c r="LNQ372" s="153"/>
      <c r="LNR372" s="153"/>
      <c r="LNS372" s="650"/>
      <c r="LNT372" s="641"/>
      <c r="LNU372" s="638"/>
      <c r="LNV372" s="639"/>
      <c r="LNW372" s="153"/>
      <c r="LNX372" s="153"/>
      <c r="LNY372" s="153"/>
      <c r="LNZ372" s="153"/>
      <c r="LOA372" s="153"/>
      <c r="LOB372" s="153"/>
      <c r="LOC372" s="153"/>
      <c r="LOD372" s="153"/>
      <c r="LOE372" s="153"/>
      <c r="LOF372" s="153"/>
      <c r="LOG372" s="153"/>
      <c r="LOH372" s="153"/>
      <c r="LOI372" s="650"/>
      <c r="LOJ372" s="641"/>
      <c r="LOK372" s="638"/>
      <c r="LOL372" s="639"/>
      <c r="LOM372" s="153"/>
      <c r="LON372" s="153"/>
      <c r="LOO372" s="153"/>
      <c r="LOP372" s="153"/>
      <c r="LOQ372" s="153"/>
      <c r="LOR372" s="153"/>
      <c r="LOS372" s="153"/>
      <c r="LOT372" s="153"/>
      <c r="LOU372" s="153"/>
      <c r="LOV372" s="153"/>
      <c r="LOW372" s="153"/>
      <c r="LOX372" s="153"/>
      <c r="LOY372" s="650"/>
      <c r="LOZ372" s="641"/>
      <c r="LPA372" s="638"/>
      <c r="LPB372" s="639"/>
      <c r="LPC372" s="153"/>
      <c r="LPD372" s="153"/>
      <c r="LPE372" s="153"/>
      <c r="LPF372" s="153"/>
      <c r="LPG372" s="153"/>
      <c r="LPH372" s="153"/>
      <c r="LPI372" s="153"/>
      <c r="LPJ372" s="153"/>
      <c r="LPK372" s="153"/>
      <c r="LPL372" s="153"/>
      <c r="LPM372" s="153"/>
      <c r="LPN372" s="153"/>
      <c r="LPO372" s="650"/>
      <c r="LPP372" s="641"/>
      <c r="LPQ372" s="638"/>
      <c r="LPR372" s="639"/>
      <c r="LPS372" s="153"/>
      <c r="LPT372" s="153"/>
      <c r="LPU372" s="153"/>
      <c r="LPV372" s="153"/>
      <c r="LPW372" s="153"/>
      <c r="LPX372" s="153"/>
      <c r="LPY372" s="153"/>
      <c r="LPZ372" s="153"/>
      <c r="LQA372" s="153"/>
      <c r="LQB372" s="153"/>
      <c r="LQC372" s="153"/>
      <c r="LQD372" s="153"/>
      <c r="LQE372" s="650"/>
      <c r="LQF372" s="641"/>
      <c r="LQG372" s="638"/>
      <c r="LQH372" s="639"/>
      <c r="LQI372" s="153"/>
      <c r="LQJ372" s="153"/>
      <c r="LQK372" s="153"/>
      <c r="LQL372" s="153"/>
      <c r="LQM372" s="153"/>
      <c r="LQN372" s="153"/>
      <c r="LQO372" s="153"/>
      <c r="LQP372" s="153"/>
      <c r="LQQ372" s="153"/>
      <c r="LQR372" s="153"/>
      <c r="LQS372" s="153"/>
      <c r="LQT372" s="153"/>
      <c r="LQU372" s="650"/>
      <c r="LQV372" s="641"/>
      <c r="LQW372" s="638"/>
      <c r="LQX372" s="639"/>
      <c r="LQY372" s="153"/>
      <c r="LQZ372" s="153"/>
      <c r="LRA372" s="153"/>
      <c r="LRB372" s="153"/>
      <c r="LRC372" s="153"/>
      <c r="LRD372" s="153"/>
      <c r="LRE372" s="153"/>
      <c r="LRF372" s="153"/>
      <c r="LRG372" s="153"/>
      <c r="LRH372" s="153"/>
      <c r="LRI372" s="153"/>
      <c r="LRJ372" s="153"/>
      <c r="LRK372" s="650"/>
      <c r="LRL372" s="641"/>
      <c r="LRM372" s="638"/>
      <c r="LRN372" s="639"/>
      <c r="LRO372" s="153"/>
      <c r="LRP372" s="153"/>
      <c r="LRQ372" s="153"/>
      <c r="LRR372" s="153"/>
      <c r="LRS372" s="153"/>
      <c r="LRT372" s="153"/>
      <c r="LRU372" s="153"/>
      <c r="LRV372" s="153"/>
      <c r="LRW372" s="153"/>
      <c r="LRX372" s="153"/>
      <c r="LRY372" s="153"/>
      <c r="LRZ372" s="153"/>
      <c r="LSA372" s="650"/>
      <c r="LSB372" s="641"/>
      <c r="LSC372" s="638"/>
      <c r="LSD372" s="639"/>
      <c r="LSE372" s="153"/>
      <c r="LSF372" s="153"/>
      <c r="LSG372" s="153"/>
      <c r="LSH372" s="153"/>
      <c r="LSI372" s="153"/>
      <c r="LSJ372" s="153"/>
      <c r="LSK372" s="153"/>
      <c r="LSL372" s="153"/>
      <c r="LSM372" s="153"/>
      <c r="LSN372" s="153"/>
      <c r="LSO372" s="153"/>
      <c r="LSP372" s="153"/>
      <c r="LSQ372" s="650"/>
      <c r="LSR372" s="641"/>
      <c r="LSS372" s="638"/>
      <c r="LST372" s="639"/>
      <c r="LSU372" s="153"/>
      <c r="LSV372" s="153"/>
      <c r="LSW372" s="153"/>
      <c r="LSX372" s="153"/>
      <c r="LSY372" s="153"/>
      <c r="LSZ372" s="153"/>
      <c r="LTA372" s="153"/>
      <c r="LTB372" s="153"/>
      <c r="LTC372" s="153"/>
      <c r="LTD372" s="153"/>
      <c r="LTE372" s="153"/>
      <c r="LTF372" s="153"/>
      <c r="LTG372" s="650"/>
      <c r="LTH372" s="641"/>
      <c r="LTI372" s="638"/>
      <c r="LTJ372" s="639"/>
      <c r="LTK372" s="153"/>
      <c r="LTL372" s="153"/>
      <c r="LTM372" s="153"/>
      <c r="LTN372" s="153"/>
      <c r="LTO372" s="153"/>
      <c r="LTP372" s="153"/>
      <c r="LTQ372" s="153"/>
      <c r="LTR372" s="153"/>
      <c r="LTS372" s="153"/>
      <c r="LTT372" s="153"/>
      <c r="LTU372" s="153"/>
      <c r="LTV372" s="153"/>
      <c r="LTW372" s="650"/>
      <c r="LTX372" s="641"/>
      <c r="LTY372" s="638"/>
      <c r="LTZ372" s="639"/>
      <c r="LUA372" s="153"/>
      <c r="LUB372" s="153"/>
      <c r="LUC372" s="153"/>
      <c r="LUD372" s="153"/>
      <c r="LUE372" s="153"/>
      <c r="LUF372" s="153"/>
      <c r="LUG372" s="153"/>
      <c r="LUH372" s="153"/>
      <c r="LUI372" s="153"/>
      <c r="LUJ372" s="153"/>
      <c r="LUK372" s="153"/>
      <c r="LUL372" s="153"/>
      <c r="LUM372" s="650"/>
      <c r="LUN372" s="641"/>
      <c r="LUO372" s="638"/>
      <c r="LUP372" s="639"/>
      <c r="LUQ372" s="153"/>
      <c r="LUR372" s="153"/>
      <c r="LUS372" s="153"/>
      <c r="LUT372" s="153"/>
      <c r="LUU372" s="153"/>
      <c r="LUV372" s="153"/>
      <c r="LUW372" s="153"/>
      <c r="LUX372" s="153"/>
      <c r="LUY372" s="153"/>
      <c r="LUZ372" s="153"/>
      <c r="LVA372" s="153"/>
      <c r="LVB372" s="153"/>
      <c r="LVC372" s="650"/>
      <c r="LVD372" s="641"/>
      <c r="LVE372" s="638"/>
      <c r="LVF372" s="639"/>
      <c r="LVG372" s="153"/>
      <c r="LVH372" s="153"/>
      <c r="LVI372" s="153"/>
      <c r="LVJ372" s="153"/>
      <c r="LVK372" s="153"/>
      <c r="LVL372" s="153"/>
      <c r="LVM372" s="153"/>
      <c r="LVN372" s="153"/>
      <c r="LVO372" s="153"/>
      <c r="LVP372" s="153"/>
      <c r="LVQ372" s="153"/>
      <c r="LVR372" s="153"/>
      <c r="LVS372" s="650"/>
      <c r="LVT372" s="641"/>
      <c r="LVU372" s="638"/>
      <c r="LVV372" s="639"/>
      <c r="LVW372" s="153"/>
      <c r="LVX372" s="153"/>
      <c r="LVY372" s="153"/>
      <c r="LVZ372" s="153"/>
      <c r="LWA372" s="153"/>
      <c r="LWB372" s="153"/>
      <c r="LWC372" s="153"/>
      <c r="LWD372" s="153"/>
      <c r="LWE372" s="153"/>
      <c r="LWF372" s="153"/>
      <c r="LWG372" s="153"/>
      <c r="LWH372" s="153"/>
      <c r="LWI372" s="650"/>
      <c r="LWJ372" s="641"/>
      <c r="LWK372" s="638"/>
      <c r="LWL372" s="639"/>
      <c r="LWM372" s="153"/>
      <c r="LWN372" s="153"/>
      <c r="LWO372" s="153"/>
      <c r="LWP372" s="153"/>
      <c r="LWQ372" s="153"/>
      <c r="LWR372" s="153"/>
      <c r="LWS372" s="153"/>
      <c r="LWT372" s="153"/>
      <c r="LWU372" s="153"/>
      <c r="LWV372" s="153"/>
      <c r="LWW372" s="153"/>
      <c r="LWX372" s="153"/>
      <c r="LWY372" s="650"/>
      <c r="LWZ372" s="641"/>
      <c r="LXA372" s="638"/>
      <c r="LXB372" s="639"/>
      <c r="LXC372" s="153"/>
      <c r="LXD372" s="153"/>
      <c r="LXE372" s="153"/>
      <c r="LXF372" s="153"/>
      <c r="LXG372" s="153"/>
      <c r="LXH372" s="153"/>
      <c r="LXI372" s="153"/>
      <c r="LXJ372" s="153"/>
      <c r="LXK372" s="153"/>
      <c r="LXL372" s="153"/>
      <c r="LXM372" s="153"/>
      <c r="LXN372" s="153"/>
      <c r="LXO372" s="650"/>
      <c r="LXP372" s="641"/>
      <c r="LXQ372" s="638"/>
      <c r="LXR372" s="639"/>
      <c r="LXS372" s="153"/>
      <c r="LXT372" s="153"/>
      <c r="LXU372" s="153"/>
      <c r="LXV372" s="153"/>
      <c r="LXW372" s="153"/>
      <c r="LXX372" s="153"/>
      <c r="LXY372" s="153"/>
      <c r="LXZ372" s="153"/>
      <c r="LYA372" s="153"/>
      <c r="LYB372" s="153"/>
      <c r="LYC372" s="153"/>
      <c r="LYD372" s="153"/>
      <c r="LYE372" s="650"/>
      <c r="LYF372" s="641"/>
      <c r="LYG372" s="638"/>
      <c r="LYH372" s="639"/>
      <c r="LYI372" s="153"/>
      <c r="LYJ372" s="153"/>
      <c r="LYK372" s="153"/>
      <c r="LYL372" s="153"/>
      <c r="LYM372" s="153"/>
      <c r="LYN372" s="153"/>
      <c r="LYO372" s="153"/>
      <c r="LYP372" s="153"/>
      <c r="LYQ372" s="153"/>
      <c r="LYR372" s="153"/>
      <c r="LYS372" s="153"/>
      <c r="LYT372" s="153"/>
      <c r="LYU372" s="650"/>
      <c r="LYV372" s="641"/>
      <c r="LYW372" s="638"/>
      <c r="LYX372" s="639"/>
      <c r="LYY372" s="153"/>
      <c r="LYZ372" s="153"/>
      <c r="LZA372" s="153"/>
      <c r="LZB372" s="153"/>
      <c r="LZC372" s="153"/>
      <c r="LZD372" s="153"/>
      <c r="LZE372" s="153"/>
      <c r="LZF372" s="153"/>
      <c r="LZG372" s="153"/>
      <c r="LZH372" s="153"/>
      <c r="LZI372" s="153"/>
      <c r="LZJ372" s="153"/>
      <c r="LZK372" s="650"/>
      <c r="LZL372" s="641"/>
      <c r="LZM372" s="638"/>
      <c r="LZN372" s="639"/>
      <c r="LZO372" s="153"/>
      <c r="LZP372" s="153"/>
      <c r="LZQ372" s="153"/>
      <c r="LZR372" s="153"/>
      <c r="LZS372" s="153"/>
      <c r="LZT372" s="153"/>
      <c r="LZU372" s="153"/>
      <c r="LZV372" s="153"/>
      <c r="LZW372" s="153"/>
      <c r="LZX372" s="153"/>
      <c r="LZY372" s="153"/>
      <c r="LZZ372" s="153"/>
      <c r="MAA372" s="650"/>
      <c r="MAB372" s="641"/>
      <c r="MAC372" s="638"/>
      <c r="MAD372" s="639"/>
      <c r="MAE372" s="153"/>
      <c r="MAF372" s="153"/>
      <c r="MAG372" s="153"/>
      <c r="MAH372" s="153"/>
      <c r="MAI372" s="153"/>
      <c r="MAJ372" s="153"/>
      <c r="MAK372" s="153"/>
      <c r="MAL372" s="153"/>
      <c r="MAM372" s="153"/>
      <c r="MAN372" s="153"/>
      <c r="MAO372" s="153"/>
      <c r="MAP372" s="153"/>
      <c r="MAQ372" s="650"/>
      <c r="MAR372" s="641"/>
      <c r="MAS372" s="638"/>
      <c r="MAT372" s="639"/>
      <c r="MAU372" s="153"/>
      <c r="MAV372" s="153"/>
      <c r="MAW372" s="153"/>
      <c r="MAX372" s="153"/>
      <c r="MAY372" s="153"/>
      <c r="MAZ372" s="153"/>
      <c r="MBA372" s="153"/>
      <c r="MBB372" s="153"/>
      <c r="MBC372" s="153"/>
      <c r="MBD372" s="153"/>
      <c r="MBE372" s="153"/>
      <c r="MBF372" s="153"/>
      <c r="MBG372" s="650"/>
      <c r="MBH372" s="641"/>
      <c r="MBI372" s="638"/>
      <c r="MBJ372" s="639"/>
      <c r="MBK372" s="153"/>
      <c r="MBL372" s="153"/>
      <c r="MBM372" s="153"/>
      <c r="MBN372" s="153"/>
      <c r="MBO372" s="153"/>
      <c r="MBP372" s="153"/>
      <c r="MBQ372" s="153"/>
      <c r="MBR372" s="153"/>
      <c r="MBS372" s="153"/>
      <c r="MBT372" s="153"/>
      <c r="MBU372" s="153"/>
      <c r="MBV372" s="153"/>
      <c r="MBW372" s="650"/>
      <c r="MBX372" s="641"/>
      <c r="MBY372" s="638"/>
      <c r="MBZ372" s="639"/>
      <c r="MCA372" s="153"/>
      <c r="MCB372" s="153"/>
      <c r="MCC372" s="153"/>
      <c r="MCD372" s="153"/>
      <c r="MCE372" s="153"/>
      <c r="MCF372" s="153"/>
      <c r="MCG372" s="153"/>
      <c r="MCH372" s="153"/>
      <c r="MCI372" s="153"/>
      <c r="MCJ372" s="153"/>
      <c r="MCK372" s="153"/>
      <c r="MCL372" s="153"/>
      <c r="MCM372" s="650"/>
      <c r="MCN372" s="641"/>
      <c r="MCO372" s="638"/>
      <c r="MCP372" s="639"/>
      <c r="MCQ372" s="153"/>
      <c r="MCR372" s="153"/>
      <c r="MCS372" s="153"/>
      <c r="MCT372" s="153"/>
      <c r="MCU372" s="153"/>
      <c r="MCV372" s="153"/>
      <c r="MCW372" s="153"/>
      <c r="MCX372" s="153"/>
      <c r="MCY372" s="153"/>
      <c r="MCZ372" s="153"/>
      <c r="MDA372" s="153"/>
      <c r="MDB372" s="153"/>
      <c r="MDC372" s="650"/>
      <c r="MDD372" s="641"/>
      <c r="MDE372" s="638"/>
      <c r="MDF372" s="639"/>
      <c r="MDG372" s="153"/>
      <c r="MDH372" s="153"/>
      <c r="MDI372" s="153"/>
      <c r="MDJ372" s="153"/>
      <c r="MDK372" s="153"/>
      <c r="MDL372" s="153"/>
      <c r="MDM372" s="153"/>
      <c r="MDN372" s="153"/>
      <c r="MDO372" s="153"/>
      <c r="MDP372" s="153"/>
      <c r="MDQ372" s="153"/>
      <c r="MDR372" s="153"/>
      <c r="MDS372" s="650"/>
      <c r="MDT372" s="641"/>
      <c r="MDU372" s="638"/>
      <c r="MDV372" s="639"/>
      <c r="MDW372" s="153"/>
      <c r="MDX372" s="153"/>
      <c r="MDY372" s="153"/>
      <c r="MDZ372" s="153"/>
      <c r="MEA372" s="153"/>
      <c r="MEB372" s="153"/>
      <c r="MEC372" s="153"/>
      <c r="MED372" s="153"/>
      <c r="MEE372" s="153"/>
      <c r="MEF372" s="153"/>
      <c r="MEG372" s="153"/>
      <c r="MEH372" s="153"/>
      <c r="MEI372" s="650"/>
      <c r="MEJ372" s="641"/>
      <c r="MEK372" s="638"/>
      <c r="MEL372" s="639"/>
      <c r="MEM372" s="153"/>
      <c r="MEN372" s="153"/>
      <c r="MEO372" s="153"/>
      <c r="MEP372" s="153"/>
      <c r="MEQ372" s="153"/>
      <c r="MER372" s="153"/>
      <c r="MES372" s="153"/>
      <c r="MET372" s="153"/>
      <c r="MEU372" s="153"/>
      <c r="MEV372" s="153"/>
      <c r="MEW372" s="153"/>
      <c r="MEX372" s="153"/>
      <c r="MEY372" s="650"/>
      <c r="MEZ372" s="641"/>
      <c r="MFA372" s="638"/>
      <c r="MFB372" s="639"/>
      <c r="MFC372" s="153"/>
      <c r="MFD372" s="153"/>
      <c r="MFE372" s="153"/>
      <c r="MFF372" s="153"/>
      <c r="MFG372" s="153"/>
      <c r="MFH372" s="153"/>
      <c r="MFI372" s="153"/>
      <c r="MFJ372" s="153"/>
      <c r="MFK372" s="153"/>
      <c r="MFL372" s="153"/>
      <c r="MFM372" s="153"/>
      <c r="MFN372" s="153"/>
      <c r="MFO372" s="650"/>
      <c r="MFP372" s="641"/>
      <c r="MFQ372" s="638"/>
      <c r="MFR372" s="639"/>
      <c r="MFS372" s="153"/>
      <c r="MFT372" s="153"/>
      <c r="MFU372" s="153"/>
      <c r="MFV372" s="153"/>
      <c r="MFW372" s="153"/>
      <c r="MFX372" s="153"/>
      <c r="MFY372" s="153"/>
      <c r="MFZ372" s="153"/>
      <c r="MGA372" s="153"/>
      <c r="MGB372" s="153"/>
      <c r="MGC372" s="153"/>
      <c r="MGD372" s="153"/>
      <c r="MGE372" s="650"/>
      <c r="MGF372" s="641"/>
      <c r="MGG372" s="638"/>
      <c r="MGH372" s="639"/>
      <c r="MGI372" s="153"/>
      <c r="MGJ372" s="153"/>
      <c r="MGK372" s="153"/>
      <c r="MGL372" s="153"/>
      <c r="MGM372" s="153"/>
      <c r="MGN372" s="153"/>
      <c r="MGO372" s="153"/>
      <c r="MGP372" s="153"/>
      <c r="MGQ372" s="153"/>
      <c r="MGR372" s="153"/>
      <c r="MGS372" s="153"/>
      <c r="MGT372" s="153"/>
      <c r="MGU372" s="650"/>
      <c r="MGV372" s="641"/>
      <c r="MGW372" s="638"/>
      <c r="MGX372" s="639"/>
      <c r="MGY372" s="153"/>
      <c r="MGZ372" s="153"/>
      <c r="MHA372" s="153"/>
      <c r="MHB372" s="153"/>
      <c r="MHC372" s="153"/>
      <c r="MHD372" s="153"/>
      <c r="MHE372" s="153"/>
      <c r="MHF372" s="153"/>
      <c r="MHG372" s="153"/>
      <c r="MHH372" s="153"/>
      <c r="MHI372" s="153"/>
      <c r="MHJ372" s="153"/>
      <c r="MHK372" s="650"/>
      <c r="MHL372" s="641"/>
      <c r="MHM372" s="638"/>
      <c r="MHN372" s="639"/>
      <c r="MHO372" s="153"/>
      <c r="MHP372" s="153"/>
      <c r="MHQ372" s="153"/>
      <c r="MHR372" s="153"/>
      <c r="MHS372" s="153"/>
      <c r="MHT372" s="153"/>
      <c r="MHU372" s="153"/>
      <c r="MHV372" s="153"/>
      <c r="MHW372" s="153"/>
      <c r="MHX372" s="153"/>
      <c r="MHY372" s="153"/>
      <c r="MHZ372" s="153"/>
      <c r="MIA372" s="650"/>
      <c r="MIB372" s="641"/>
      <c r="MIC372" s="638"/>
      <c r="MID372" s="639"/>
      <c r="MIE372" s="153"/>
      <c r="MIF372" s="153"/>
      <c r="MIG372" s="153"/>
      <c r="MIH372" s="153"/>
      <c r="MII372" s="153"/>
      <c r="MIJ372" s="153"/>
      <c r="MIK372" s="153"/>
      <c r="MIL372" s="153"/>
      <c r="MIM372" s="153"/>
      <c r="MIN372" s="153"/>
      <c r="MIO372" s="153"/>
      <c r="MIP372" s="153"/>
      <c r="MIQ372" s="650"/>
      <c r="MIR372" s="641"/>
      <c r="MIS372" s="638"/>
      <c r="MIT372" s="639"/>
      <c r="MIU372" s="153"/>
      <c r="MIV372" s="153"/>
      <c r="MIW372" s="153"/>
      <c r="MIX372" s="153"/>
      <c r="MIY372" s="153"/>
      <c r="MIZ372" s="153"/>
      <c r="MJA372" s="153"/>
      <c r="MJB372" s="153"/>
      <c r="MJC372" s="153"/>
      <c r="MJD372" s="153"/>
      <c r="MJE372" s="153"/>
      <c r="MJF372" s="153"/>
      <c r="MJG372" s="650"/>
      <c r="MJH372" s="641"/>
      <c r="MJI372" s="638"/>
      <c r="MJJ372" s="639"/>
      <c r="MJK372" s="153"/>
      <c r="MJL372" s="153"/>
      <c r="MJM372" s="153"/>
      <c r="MJN372" s="153"/>
      <c r="MJO372" s="153"/>
      <c r="MJP372" s="153"/>
      <c r="MJQ372" s="153"/>
      <c r="MJR372" s="153"/>
      <c r="MJS372" s="153"/>
      <c r="MJT372" s="153"/>
      <c r="MJU372" s="153"/>
      <c r="MJV372" s="153"/>
      <c r="MJW372" s="650"/>
      <c r="MJX372" s="641"/>
      <c r="MJY372" s="638"/>
      <c r="MJZ372" s="639"/>
      <c r="MKA372" s="153"/>
      <c r="MKB372" s="153"/>
      <c r="MKC372" s="153"/>
      <c r="MKD372" s="153"/>
      <c r="MKE372" s="153"/>
      <c r="MKF372" s="153"/>
      <c r="MKG372" s="153"/>
      <c r="MKH372" s="153"/>
      <c r="MKI372" s="153"/>
      <c r="MKJ372" s="153"/>
      <c r="MKK372" s="153"/>
      <c r="MKL372" s="153"/>
      <c r="MKM372" s="650"/>
      <c r="MKN372" s="641"/>
      <c r="MKO372" s="638"/>
      <c r="MKP372" s="639"/>
      <c r="MKQ372" s="153"/>
      <c r="MKR372" s="153"/>
      <c r="MKS372" s="153"/>
      <c r="MKT372" s="153"/>
      <c r="MKU372" s="153"/>
      <c r="MKV372" s="153"/>
      <c r="MKW372" s="153"/>
      <c r="MKX372" s="153"/>
      <c r="MKY372" s="153"/>
      <c r="MKZ372" s="153"/>
      <c r="MLA372" s="153"/>
      <c r="MLB372" s="153"/>
      <c r="MLC372" s="650"/>
      <c r="MLD372" s="641"/>
      <c r="MLE372" s="638"/>
      <c r="MLF372" s="639"/>
      <c r="MLG372" s="153"/>
      <c r="MLH372" s="153"/>
      <c r="MLI372" s="153"/>
      <c r="MLJ372" s="153"/>
      <c r="MLK372" s="153"/>
      <c r="MLL372" s="153"/>
      <c r="MLM372" s="153"/>
      <c r="MLN372" s="153"/>
      <c r="MLO372" s="153"/>
      <c r="MLP372" s="153"/>
      <c r="MLQ372" s="153"/>
      <c r="MLR372" s="153"/>
      <c r="MLS372" s="650"/>
      <c r="MLT372" s="641"/>
      <c r="MLU372" s="638"/>
      <c r="MLV372" s="639"/>
      <c r="MLW372" s="153"/>
      <c r="MLX372" s="153"/>
      <c r="MLY372" s="153"/>
      <c r="MLZ372" s="153"/>
      <c r="MMA372" s="153"/>
      <c r="MMB372" s="153"/>
      <c r="MMC372" s="153"/>
      <c r="MMD372" s="153"/>
      <c r="MME372" s="153"/>
      <c r="MMF372" s="153"/>
      <c r="MMG372" s="153"/>
      <c r="MMH372" s="153"/>
      <c r="MMI372" s="650"/>
      <c r="MMJ372" s="641"/>
      <c r="MMK372" s="638"/>
      <c r="MML372" s="639"/>
      <c r="MMM372" s="153"/>
      <c r="MMN372" s="153"/>
      <c r="MMO372" s="153"/>
      <c r="MMP372" s="153"/>
      <c r="MMQ372" s="153"/>
      <c r="MMR372" s="153"/>
      <c r="MMS372" s="153"/>
      <c r="MMT372" s="153"/>
      <c r="MMU372" s="153"/>
      <c r="MMV372" s="153"/>
      <c r="MMW372" s="153"/>
      <c r="MMX372" s="153"/>
      <c r="MMY372" s="650"/>
      <c r="MMZ372" s="641"/>
      <c r="MNA372" s="638"/>
      <c r="MNB372" s="639"/>
      <c r="MNC372" s="153"/>
      <c r="MND372" s="153"/>
      <c r="MNE372" s="153"/>
      <c r="MNF372" s="153"/>
      <c r="MNG372" s="153"/>
      <c r="MNH372" s="153"/>
      <c r="MNI372" s="153"/>
      <c r="MNJ372" s="153"/>
      <c r="MNK372" s="153"/>
      <c r="MNL372" s="153"/>
      <c r="MNM372" s="153"/>
      <c r="MNN372" s="153"/>
      <c r="MNO372" s="650"/>
      <c r="MNP372" s="641"/>
      <c r="MNQ372" s="638"/>
      <c r="MNR372" s="639"/>
      <c r="MNS372" s="153"/>
      <c r="MNT372" s="153"/>
      <c r="MNU372" s="153"/>
      <c r="MNV372" s="153"/>
      <c r="MNW372" s="153"/>
      <c r="MNX372" s="153"/>
      <c r="MNY372" s="153"/>
      <c r="MNZ372" s="153"/>
      <c r="MOA372" s="153"/>
      <c r="MOB372" s="153"/>
      <c r="MOC372" s="153"/>
      <c r="MOD372" s="153"/>
      <c r="MOE372" s="650"/>
      <c r="MOF372" s="641"/>
      <c r="MOG372" s="638"/>
      <c r="MOH372" s="639"/>
      <c r="MOI372" s="153"/>
      <c r="MOJ372" s="153"/>
      <c r="MOK372" s="153"/>
      <c r="MOL372" s="153"/>
      <c r="MOM372" s="153"/>
      <c r="MON372" s="153"/>
      <c r="MOO372" s="153"/>
      <c r="MOP372" s="153"/>
      <c r="MOQ372" s="153"/>
      <c r="MOR372" s="153"/>
      <c r="MOS372" s="153"/>
      <c r="MOT372" s="153"/>
      <c r="MOU372" s="650"/>
      <c r="MOV372" s="641"/>
      <c r="MOW372" s="638"/>
      <c r="MOX372" s="639"/>
      <c r="MOY372" s="153"/>
      <c r="MOZ372" s="153"/>
      <c r="MPA372" s="153"/>
      <c r="MPB372" s="153"/>
      <c r="MPC372" s="153"/>
      <c r="MPD372" s="153"/>
      <c r="MPE372" s="153"/>
      <c r="MPF372" s="153"/>
      <c r="MPG372" s="153"/>
      <c r="MPH372" s="153"/>
      <c r="MPI372" s="153"/>
      <c r="MPJ372" s="153"/>
      <c r="MPK372" s="650"/>
      <c r="MPL372" s="641"/>
      <c r="MPM372" s="638"/>
      <c r="MPN372" s="639"/>
      <c r="MPO372" s="153"/>
      <c r="MPP372" s="153"/>
      <c r="MPQ372" s="153"/>
      <c r="MPR372" s="153"/>
      <c r="MPS372" s="153"/>
      <c r="MPT372" s="153"/>
      <c r="MPU372" s="153"/>
      <c r="MPV372" s="153"/>
      <c r="MPW372" s="153"/>
      <c r="MPX372" s="153"/>
      <c r="MPY372" s="153"/>
      <c r="MPZ372" s="153"/>
      <c r="MQA372" s="650"/>
      <c r="MQB372" s="641"/>
      <c r="MQC372" s="638"/>
      <c r="MQD372" s="639"/>
      <c r="MQE372" s="153"/>
      <c r="MQF372" s="153"/>
      <c r="MQG372" s="153"/>
      <c r="MQH372" s="153"/>
      <c r="MQI372" s="153"/>
      <c r="MQJ372" s="153"/>
      <c r="MQK372" s="153"/>
      <c r="MQL372" s="153"/>
      <c r="MQM372" s="153"/>
      <c r="MQN372" s="153"/>
      <c r="MQO372" s="153"/>
      <c r="MQP372" s="153"/>
      <c r="MQQ372" s="650"/>
      <c r="MQR372" s="641"/>
      <c r="MQS372" s="638"/>
      <c r="MQT372" s="639"/>
      <c r="MQU372" s="153"/>
      <c r="MQV372" s="153"/>
      <c r="MQW372" s="153"/>
      <c r="MQX372" s="153"/>
      <c r="MQY372" s="153"/>
      <c r="MQZ372" s="153"/>
      <c r="MRA372" s="153"/>
      <c r="MRB372" s="153"/>
      <c r="MRC372" s="153"/>
      <c r="MRD372" s="153"/>
      <c r="MRE372" s="153"/>
      <c r="MRF372" s="153"/>
      <c r="MRG372" s="650"/>
      <c r="MRH372" s="641"/>
      <c r="MRI372" s="638"/>
      <c r="MRJ372" s="639"/>
      <c r="MRK372" s="153"/>
      <c r="MRL372" s="153"/>
      <c r="MRM372" s="153"/>
      <c r="MRN372" s="153"/>
      <c r="MRO372" s="153"/>
      <c r="MRP372" s="153"/>
      <c r="MRQ372" s="153"/>
      <c r="MRR372" s="153"/>
      <c r="MRS372" s="153"/>
      <c r="MRT372" s="153"/>
      <c r="MRU372" s="153"/>
      <c r="MRV372" s="153"/>
      <c r="MRW372" s="650"/>
      <c r="MRX372" s="641"/>
      <c r="MRY372" s="638"/>
      <c r="MRZ372" s="639"/>
      <c r="MSA372" s="153"/>
      <c r="MSB372" s="153"/>
      <c r="MSC372" s="153"/>
      <c r="MSD372" s="153"/>
      <c r="MSE372" s="153"/>
      <c r="MSF372" s="153"/>
      <c r="MSG372" s="153"/>
      <c r="MSH372" s="153"/>
      <c r="MSI372" s="153"/>
      <c r="MSJ372" s="153"/>
      <c r="MSK372" s="153"/>
      <c r="MSL372" s="153"/>
      <c r="MSM372" s="650"/>
      <c r="MSN372" s="641"/>
      <c r="MSO372" s="638"/>
      <c r="MSP372" s="639"/>
      <c r="MSQ372" s="153"/>
      <c r="MSR372" s="153"/>
      <c r="MSS372" s="153"/>
      <c r="MST372" s="153"/>
      <c r="MSU372" s="153"/>
      <c r="MSV372" s="153"/>
      <c r="MSW372" s="153"/>
      <c r="MSX372" s="153"/>
      <c r="MSY372" s="153"/>
      <c r="MSZ372" s="153"/>
      <c r="MTA372" s="153"/>
      <c r="MTB372" s="153"/>
      <c r="MTC372" s="650"/>
      <c r="MTD372" s="641"/>
      <c r="MTE372" s="638"/>
      <c r="MTF372" s="639"/>
      <c r="MTG372" s="153"/>
      <c r="MTH372" s="153"/>
      <c r="MTI372" s="153"/>
      <c r="MTJ372" s="153"/>
      <c r="MTK372" s="153"/>
      <c r="MTL372" s="153"/>
      <c r="MTM372" s="153"/>
      <c r="MTN372" s="153"/>
      <c r="MTO372" s="153"/>
      <c r="MTP372" s="153"/>
      <c r="MTQ372" s="153"/>
      <c r="MTR372" s="153"/>
      <c r="MTS372" s="650"/>
      <c r="MTT372" s="641"/>
      <c r="MTU372" s="638"/>
      <c r="MTV372" s="639"/>
      <c r="MTW372" s="153"/>
      <c r="MTX372" s="153"/>
      <c r="MTY372" s="153"/>
      <c r="MTZ372" s="153"/>
      <c r="MUA372" s="153"/>
      <c r="MUB372" s="153"/>
      <c r="MUC372" s="153"/>
      <c r="MUD372" s="153"/>
      <c r="MUE372" s="153"/>
      <c r="MUF372" s="153"/>
      <c r="MUG372" s="153"/>
      <c r="MUH372" s="153"/>
      <c r="MUI372" s="650"/>
      <c r="MUJ372" s="641"/>
      <c r="MUK372" s="638"/>
      <c r="MUL372" s="639"/>
      <c r="MUM372" s="153"/>
      <c r="MUN372" s="153"/>
      <c r="MUO372" s="153"/>
      <c r="MUP372" s="153"/>
      <c r="MUQ372" s="153"/>
      <c r="MUR372" s="153"/>
      <c r="MUS372" s="153"/>
      <c r="MUT372" s="153"/>
      <c r="MUU372" s="153"/>
      <c r="MUV372" s="153"/>
      <c r="MUW372" s="153"/>
      <c r="MUX372" s="153"/>
      <c r="MUY372" s="650"/>
      <c r="MUZ372" s="641"/>
      <c r="MVA372" s="638"/>
      <c r="MVB372" s="639"/>
      <c r="MVC372" s="153"/>
      <c r="MVD372" s="153"/>
      <c r="MVE372" s="153"/>
      <c r="MVF372" s="153"/>
      <c r="MVG372" s="153"/>
      <c r="MVH372" s="153"/>
      <c r="MVI372" s="153"/>
      <c r="MVJ372" s="153"/>
      <c r="MVK372" s="153"/>
      <c r="MVL372" s="153"/>
      <c r="MVM372" s="153"/>
      <c r="MVN372" s="153"/>
      <c r="MVO372" s="650"/>
      <c r="MVP372" s="641"/>
      <c r="MVQ372" s="638"/>
      <c r="MVR372" s="639"/>
      <c r="MVS372" s="153"/>
      <c r="MVT372" s="153"/>
      <c r="MVU372" s="153"/>
      <c r="MVV372" s="153"/>
      <c r="MVW372" s="153"/>
      <c r="MVX372" s="153"/>
      <c r="MVY372" s="153"/>
      <c r="MVZ372" s="153"/>
      <c r="MWA372" s="153"/>
      <c r="MWB372" s="153"/>
      <c r="MWC372" s="153"/>
      <c r="MWD372" s="153"/>
      <c r="MWE372" s="650"/>
      <c r="MWF372" s="641"/>
      <c r="MWG372" s="638"/>
      <c r="MWH372" s="639"/>
      <c r="MWI372" s="153"/>
      <c r="MWJ372" s="153"/>
      <c r="MWK372" s="153"/>
      <c r="MWL372" s="153"/>
      <c r="MWM372" s="153"/>
      <c r="MWN372" s="153"/>
      <c r="MWO372" s="153"/>
      <c r="MWP372" s="153"/>
      <c r="MWQ372" s="153"/>
      <c r="MWR372" s="153"/>
      <c r="MWS372" s="153"/>
      <c r="MWT372" s="153"/>
      <c r="MWU372" s="650"/>
      <c r="MWV372" s="641"/>
      <c r="MWW372" s="638"/>
      <c r="MWX372" s="639"/>
      <c r="MWY372" s="153"/>
      <c r="MWZ372" s="153"/>
      <c r="MXA372" s="153"/>
      <c r="MXB372" s="153"/>
      <c r="MXC372" s="153"/>
      <c r="MXD372" s="153"/>
      <c r="MXE372" s="153"/>
      <c r="MXF372" s="153"/>
      <c r="MXG372" s="153"/>
      <c r="MXH372" s="153"/>
      <c r="MXI372" s="153"/>
      <c r="MXJ372" s="153"/>
      <c r="MXK372" s="650"/>
      <c r="MXL372" s="641"/>
      <c r="MXM372" s="638"/>
      <c r="MXN372" s="639"/>
      <c r="MXO372" s="153"/>
      <c r="MXP372" s="153"/>
      <c r="MXQ372" s="153"/>
      <c r="MXR372" s="153"/>
      <c r="MXS372" s="153"/>
      <c r="MXT372" s="153"/>
      <c r="MXU372" s="153"/>
      <c r="MXV372" s="153"/>
      <c r="MXW372" s="153"/>
      <c r="MXX372" s="153"/>
      <c r="MXY372" s="153"/>
      <c r="MXZ372" s="153"/>
      <c r="MYA372" s="650"/>
      <c r="MYB372" s="641"/>
      <c r="MYC372" s="638"/>
      <c r="MYD372" s="639"/>
      <c r="MYE372" s="153"/>
      <c r="MYF372" s="153"/>
      <c r="MYG372" s="153"/>
      <c r="MYH372" s="153"/>
      <c r="MYI372" s="153"/>
      <c r="MYJ372" s="153"/>
      <c r="MYK372" s="153"/>
      <c r="MYL372" s="153"/>
      <c r="MYM372" s="153"/>
      <c r="MYN372" s="153"/>
      <c r="MYO372" s="153"/>
      <c r="MYP372" s="153"/>
      <c r="MYQ372" s="650"/>
      <c r="MYR372" s="641"/>
      <c r="MYS372" s="638"/>
      <c r="MYT372" s="639"/>
      <c r="MYU372" s="153"/>
      <c r="MYV372" s="153"/>
      <c r="MYW372" s="153"/>
      <c r="MYX372" s="153"/>
      <c r="MYY372" s="153"/>
      <c r="MYZ372" s="153"/>
      <c r="MZA372" s="153"/>
      <c r="MZB372" s="153"/>
      <c r="MZC372" s="153"/>
      <c r="MZD372" s="153"/>
      <c r="MZE372" s="153"/>
      <c r="MZF372" s="153"/>
      <c r="MZG372" s="650"/>
      <c r="MZH372" s="641"/>
      <c r="MZI372" s="638"/>
      <c r="MZJ372" s="639"/>
      <c r="MZK372" s="153"/>
      <c r="MZL372" s="153"/>
      <c r="MZM372" s="153"/>
      <c r="MZN372" s="153"/>
      <c r="MZO372" s="153"/>
      <c r="MZP372" s="153"/>
      <c r="MZQ372" s="153"/>
      <c r="MZR372" s="153"/>
      <c r="MZS372" s="153"/>
      <c r="MZT372" s="153"/>
      <c r="MZU372" s="153"/>
      <c r="MZV372" s="153"/>
      <c r="MZW372" s="650"/>
      <c r="MZX372" s="641"/>
      <c r="MZY372" s="638"/>
      <c r="MZZ372" s="639"/>
      <c r="NAA372" s="153"/>
      <c r="NAB372" s="153"/>
      <c r="NAC372" s="153"/>
      <c r="NAD372" s="153"/>
      <c r="NAE372" s="153"/>
      <c r="NAF372" s="153"/>
      <c r="NAG372" s="153"/>
      <c r="NAH372" s="153"/>
      <c r="NAI372" s="153"/>
      <c r="NAJ372" s="153"/>
      <c r="NAK372" s="153"/>
      <c r="NAL372" s="153"/>
      <c r="NAM372" s="650"/>
      <c r="NAN372" s="641"/>
      <c r="NAO372" s="638"/>
      <c r="NAP372" s="639"/>
      <c r="NAQ372" s="153"/>
      <c r="NAR372" s="153"/>
      <c r="NAS372" s="153"/>
      <c r="NAT372" s="153"/>
      <c r="NAU372" s="153"/>
      <c r="NAV372" s="153"/>
      <c r="NAW372" s="153"/>
      <c r="NAX372" s="153"/>
      <c r="NAY372" s="153"/>
      <c r="NAZ372" s="153"/>
      <c r="NBA372" s="153"/>
      <c r="NBB372" s="153"/>
      <c r="NBC372" s="650"/>
      <c r="NBD372" s="641"/>
      <c r="NBE372" s="638"/>
      <c r="NBF372" s="639"/>
      <c r="NBG372" s="153"/>
      <c r="NBH372" s="153"/>
      <c r="NBI372" s="153"/>
      <c r="NBJ372" s="153"/>
      <c r="NBK372" s="153"/>
      <c r="NBL372" s="153"/>
      <c r="NBM372" s="153"/>
      <c r="NBN372" s="153"/>
      <c r="NBO372" s="153"/>
      <c r="NBP372" s="153"/>
      <c r="NBQ372" s="153"/>
      <c r="NBR372" s="153"/>
      <c r="NBS372" s="650"/>
      <c r="NBT372" s="641"/>
      <c r="NBU372" s="638"/>
      <c r="NBV372" s="639"/>
      <c r="NBW372" s="153"/>
      <c r="NBX372" s="153"/>
      <c r="NBY372" s="153"/>
      <c r="NBZ372" s="153"/>
      <c r="NCA372" s="153"/>
      <c r="NCB372" s="153"/>
      <c r="NCC372" s="153"/>
      <c r="NCD372" s="153"/>
      <c r="NCE372" s="153"/>
      <c r="NCF372" s="153"/>
      <c r="NCG372" s="153"/>
      <c r="NCH372" s="153"/>
      <c r="NCI372" s="650"/>
      <c r="NCJ372" s="641"/>
      <c r="NCK372" s="638"/>
      <c r="NCL372" s="639"/>
      <c r="NCM372" s="153"/>
      <c r="NCN372" s="153"/>
      <c r="NCO372" s="153"/>
      <c r="NCP372" s="153"/>
      <c r="NCQ372" s="153"/>
      <c r="NCR372" s="153"/>
      <c r="NCS372" s="153"/>
      <c r="NCT372" s="153"/>
      <c r="NCU372" s="153"/>
      <c r="NCV372" s="153"/>
      <c r="NCW372" s="153"/>
      <c r="NCX372" s="153"/>
      <c r="NCY372" s="650"/>
      <c r="NCZ372" s="641"/>
      <c r="NDA372" s="638"/>
      <c r="NDB372" s="639"/>
      <c r="NDC372" s="153"/>
      <c r="NDD372" s="153"/>
      <c r="NDE372" s="153"/>
      <c r="NDF372" s="153"/>
      <c r="NDG372" s="153"/>
      <c r="NDH372" s="153"/>
      <c r="NDI372" s="153"/>
      <c r="NDJ372" s="153"/>
      <c r="NDK372" s="153"/>
      <c r="NDL372" s="153"/>
      <c r="NDM372" s="153"/>
      <c r="NDN372" s="153"/>
      <c r="NDO372" s="650"/>
      <c r="NDP372" s="641"/>
      <c r="NDQ372" s="638"/>
      <c r="NDR372" s="639"/>
      <c r="NDS372" s="153"/>
      <c r="NDT372" s="153"/>
      <c r="NDU372" s="153"/>
      <c r="NDV372" s="153"/>
      <c r="NDW372" s="153"/>
      <c r="NDX372" s="153"/>
      <c r="NDY372" s="153"/>
      <c r="NDZ372" s="153"/>
      <c r="NEA372" s="153"/>
      <c r="NEB372" s="153"/>
      <c r="NEC372" s="153"/>
      <c r="NED372" s="153"/>
      <c r="NEE372" s="650"/>
      <c r="NEF372" s="641"/>
      <c r="NEG372" s="638"/>
      <c r="NEH372" s="639"/>
      <c r="NEI372" s="153"/>
      <c r="NEJ372" s="153"/>
      <c r="NEK372" s="153"/>
      <c r="NEL372" s="153"/>
      <c r="NEM372" s="153"/>
      <c r="NEN372" s="153"/>
      <c r="NEO372" s="153"/>
      <c r="NEP372" s="153"/>
      <c r="NEQ372" s="153"/>
      <c r="NER372" s="153"/>
      <c r="NES372" s="153"/>
      <c r="NET372" s="153"/>
      <c r="NEU372" s="650"/>
      <c r="NEV372" s="641"/>
      <c r="NEW372" s="638"/>
      <c r="NEX372" s="639"/>
      <c r="NEY372" s="153"/>
      <c r="NEZ372" s="153"/>
      <c r="NFA372" s="153"/>
      <c r="NFB372" s="153"/>
      <c r="NFC372" s="153"/>
      <c r="NFD372" s="153"/>
      <c r="NFE372" s="153"/>
      <c r="NFF372" s="153"/>
      <c r="NFG372" s="153"/>
      <c r="NFH372" s="153"/>
      <c r="NFI372" s="153"/>
      <c r="NFJ372" s="153"/>
      <c r="NFK372" s="650"/>
      <c r="NFL372" s="641"/>
      <c r="NFM372" s="638"/>
      <c r="NFN372" s="639"/>
      <c r="NFO372" s="153"/>
      <c r="NFP372" s="153"/>
      <c r="NFQ372" s="153"/>
      <c r="NFR372" s="153"/>
      <c r="NFS372" s="153"/>
      <c r="NFT372" s="153"/>
      <c r="NFU372" s="153"/>
      <c r="NFV372" s="153"/>
      <c r="NFW372" s="153"/>
      <c r="NFX372" s="153"/>
      <c r="NFY372" s="153"/>
      <c r="NFZ372" s="153"/>
      <c r="NGA372" s="650"/>
      <c r="NGB372" s="641"/>
      <c r="NGC372" s="638"/>
      <c r="NGD372" s="639"/>
      <c r="NGE372" s="153"/>
      <c r="NGF372" s="153"/>
      <c r="NGG372" s="153"/>
      <c r="NGH372" s="153"/>
      <c r="NGI372" s="153"/>
      <c r="NGJ372" s="153"/>
      <c r="NGK372" s="153"/>
      <c r="NGL372" s="153"/>
      <c r="NGM372" s="153"/>
      <c r="NGN372" s="153"/>
      <c r="NGO372" s="153"/>
      <c r="NGP372" s="153"/>
      <c r="NGQ372" s="650"/>
      <c r="NGR372" s="641"/>
      <c r="NGS372" s="638"/>
      <c r="NGT372" s="639"/>
      <c r="NGU372" s="153"/>
      <c r="NGV372" s="153"/>
      <c r="NGW372" s="153"/>
      <c r="NGX372" s="153"/>
      <c r="NGY372" s="153"/>
      <c r="NGZ372" s="153"/>
      <c r="NHA372" s="153"/>
      <c r="NHB372" s="153"/>
      <c r="NHC372" s="153"/>
      <c r="NHD372" s="153"/>
      <c r="NHE372" s="153"/>
      <c r="NHF372" s="153"/>
      <c r="NHG372" s="650"/>
      <c r="NHH372" s="641"/>
      <c r="NHI372" s="638"/>
      <c r="NHJ372" s="639"/>
      <c r="NHK372" s="153"/>
      <c r="NHL372" s="153"/>
      <c r="NHM372" s="153"/>
      <c r="NHN372" s="153"/>
      <c r="NHO372" s="153"/>
      <c r="NHP372" s="153"/>
      <c r="NHQ372" s="153"/>
      <c r="NHR372" s="153"/>
      <c r="NHS372" s="153"/>
      <c r="NHT372" s="153"/>
      <c r="NHU372" s="153"/>
      <c r="NHV372" s="153"/>
      <c r="NHW372" s="650"/>
      <c r="NHX372" s="641"/>
      <c r="NHY372" s="638"/>
      <c r="NHZ372" s="639"/>
      <c r="NIA372" s="153"/>
      <c r="NIB372" s="153"/>
      <c r="NIC372" s="153"/>
      <c r="NID372" s="153"/>
      <c r="NIE372" s="153"/>
      <c r="NIF372" s="153"/>
      <c r="NIG372" s="153"/>
      <c r="NIH372" s="153"/>
      <c r="NII372" s="153"/>
      <c r="NIJ372" s="153"/>
      <c r="NIK372" s="153"/>
      <c r="NIL372" s="153"/>
      <c r="NIM372" s="650"/>
      <c r="NIN372" s="641"/>
      <c r="NIO372" s="638"/>
      <c r="NIP372" s="639"/>
      <c r="NIQ372" s="153"/>
      <c r="NIR372" s="153"/>
      <c r="NIS372" s="153"/>
      <c r="NIT372" s="153"/>
      <c r="NIU372" s="153"/>
      <c r="NIV372" s="153"/>
      <c r="NIW372" s="153"/>
      <c r="NIX372" s="153"/>
      <c r="NIY372" s="153"/>
      <c r="NIZ372" s="153"/>
      <c r="NJA372" s="153"/>
      <c r="NJB372" s="153"/>
      <c r="NJC372" s="650"/>
      <c r="NJD372" s="641"/>
      <c r="NJE372" s="638"/>
      <c r="NJF372" s="639"/>
      <c r="NJG372" s="153"/>
      <c r="NJH372" s="153"/>
      <c r="NJI372" s="153"/>
      <c r="NJJ372" s="153"/>
      <c r="NJK372" s="153"/>
      <c r="NJL372" s="153"/>
      <c r="NJM372" s="153"/>
      <c r="NJN372" s="153"/>
      <c r="NJO372" s="153"/>
      <c r="NJP372" s="153"/>
      <c r="NJQ372" s="153"/>
      <c r="NJR372" s="153"/>
      <c r="NJS372" s="650"/>
      <c r="NJT372" s="641"/>
      <c r="NJU372" s="638"/>
      <c r="NJV372" s="639"/>
      <c r="NJW372" s="153"/>
      <c r="NJX372" s="153"/>
      <c r="NJY372" s="153"/>
      <c r="NJZ372" s="153"/>
      <c r="NKA372" s="153"/>
      <c r="NKB372" s="153"/>
      <c r="NKC372" s="153"/>
      <c r="NKD372" s="153"/>
      <c r="NKE372" s="153"/>
      <c r="NKF372" s="153"/>
      <c r="NKG372" s="153"/>
      <c r="NKH372" s="153"/>
      <c r="NKI372" s="650"/>
      <c r="NKJ372" s="641"/>
      <c r="NKK372" s="638"/>
      <c r="NKL372" s="639"/>
      <c r="NKM372" s="153"/>
      <c r="NKN372" s="153"/>
      <c r="NKO372" s="153"/>
      <c r="NKP372" s="153"/>
      <c r="NKQ372" s="153"/>
      <c r="NKR372" s="153"/>
      <c r="NKS372" s="153"/>
      <c r="NKT372" s="153"/>
      <c r="NKU372" s="153"/>
      <c r="NKV372" s="153"/>
      <c r="NKW372" s="153"/>
      <c r="NKX372" s="153"/>
      <c r="NKY372" s="650"/>
      <c r="NKZ372" s="641"/>
      <c r="NLA372" s="638"/>
      <c r="NLB372" s="639"/>
      <c r="NLC372" s="153"/>
      <c r="NLD372" s="153"/>
      <c r="NLE372" s="153"/>
      <c r="NLF372" s="153"/>
      <c r="NLG372" s="153"/>
      <c r="NLH372" s="153"/>
      <c r="NLI372" s="153"/>
      <c r="NLJ372" s="153"/>
      <c r="NLK372" s="153"/>
      <c r="NLL372" s="153"/>
      <c r="NLM372" s="153"/>
      <c r="NLN372" s="153"/>
      <c r="NLO372" s="650"/>
      <c r="NLP372" s="641"/>
      <c r="NLQ372" s="638"/>
      <c r="NLR372" s="639"/>
      <c r="NLS372" s="153"/>
      <c r="NLT372" s="153"/>
      <c r="NLU372" s="153"/>
      <c r="NLV372" s="153"/>
      <c r="NLW372" s="153"/>
      <c r="NLX372" s="153"/>
      <c r="NLY372" s="153"/>
      <c r="NLZ372" s="153"/>
      <c r="NMA372" s="153"/>
      <c r="NMB372" s="153"/>
      <c r="NMC372" s="153"/>
      <c r="NMD372" s="153"/>
      <c r="NME372" s="650"/>
      <c r="NMF372" s="641"/>
      <c r="NMG372" s="638"/>
      <c r="NMH372" s="639"/>
      <c r="NMI372" s="153"/>
      <c r="NMJ372" s="153"/>
      <c r="NMK372" s="153"/>
      <c r="NML372" s="153"/>
      <c r="NMM372" s="153"/>
      <c r="NMN372" s="153"/>
      <c r="NMO372" s="153"/>
      <c r="NMP372" s="153"/>
      <c r="NMQ372" s="153"/>
      <c r="NMR372" s="153"/>
      <c r="NMS372" s="153"/>
      <c r="NMT372" s="153"/>
      <c r="NMU372" s="650"/>
      <c r="NMV372" s="641"/>
      <c r="NMW372" s="638"/>
      <c r="NMX372" s="639"/>
      <c r="NMY372" s="153"/>
      <c r="NMZ372" s="153"/>
      <c r="NNA372" s="153"/>
      <c r="NNB372" s="153"/>
      <c r="NNC372" s="153"/>
      <c r="NND372" s="153"/>
      <c r="NNE372" s="153"/>
      <c r="NNF372" s="153"/>
      <c r="NNG372" s="153"/>
      <c r="NNH372" s="153"/>
      <c r="NNI372" s="153"/>
      <c r="NNJ372" s="153"/>
      <c r="NNK372" s="650"/>
      <c r="NNL372" s="641"/>
      <c r="NNM372" s="638"/>
      <c r="NNN372" s="639"/>
      <c r="NNO372" s="153"/>
      <c r="NNP372" s="153"/>
      <c r="NNQ372" s="153"/>
      <c r="NNR372" s="153"/>
      <c r="NNS372" s="153"/>
      <c r="NNT372" s="153"/>
      <c r="NNU372" s="153"/>
      <c r="NNV372" s="153"/>
      <c r="NNW372" s="153"/>
      <c r="NNX372" s="153"/>
      <c r="NNY372" s="153"/>
      <c r="NNZ372" s="153"/>
      <c r="NOA372" s="650"/>
      <c r="NOB372" s="641"/>
      <c r="NOC372" s="638"/>
      <c r="NOD372" s="639"/>
      <c r="NOE372" s="153"/>
      <c r="NOF372" s="153"/>
      <c r="NOG372" s="153"/>
      <c r="NOH372" s="153"/>
      <c r="NOI372" s="153"/>
      <c r="NOJ372" s="153"/>
      <c r="NOK372" s="153"/>
      <c r="NOL372" s="153"/>
      <c r="NOM372" s="153"/>
      <c r="NON372" s="153"/>
      <c r="NOO372" s="153"/>
      <c r="NOP372" s="153"/>
      <c r="NOQ372" s="650"/>
      <c r="NOR372" s="641"/>
      <c r="NOS372" s="638"/>
      <c r="NOT372" s="639"/>
      <c r="NOU372" s="153"/>
      <c r="NOV372" s="153"/>
      <c r="NOW372" s="153"/>
      <c r="NOX372" s="153"/>
      <c r="NOY372" s="153"/>
      <c r="NOZ372" s="153"/>
      <c r="NPA372" s="153"/>
      <c r="NPB372" s="153"/>
      <c r="NPC372" s="153"/>
      <c r="NPD372" s="153"/>
      <c r="NPE372" s="153"/>
      <c r="NPF372" s="153"/>
      <c r="NPG372" s="650"/>
      <c r="NPH372" s="641"/>
      <c r="NPI372" s="638"/>
      <c r="NPJ372" s="639"/>
      <c r="NPK372" s="153"/>
      <c r="NPL372" s="153"/>
      <c r="NPM372" s="153"/>
      <c r="NPN372" s="153"/>
      <c r="NPO372" s="153"/>
      <c r="NPP372" s="153"/>
      <c r="NPQ372" s="153"/>
      <c r="NPR372" s="153"/>
      <c r="NPS372" s="153"/>
      <c r="NPT372" s="153"/>
      <c r="NPU372" s="153"/>
      <c r="NPV372" s="153"/>
      <c r="NPW372" s="650"/>
      <c r="NPX372" s="641"/>
      <c r="NPY372" s="638"/>
      <c r="NPZ372" s="639"/>
      <c r="NQA372" s="153"/>
      <c r="NQB372" s="153"/>
      <c r="NQC372" s="153"/>
      <c r="NQD372" s="153"/>
      <c r="NQE372" s="153"/>
      <c r="NQF372" s="153"/>
      <c r="NQG372" s="153"/>
      <c r="NQH372" s="153"/>
      <c r="NQI372" s="153"/>
      <c r="NQJ372" s="153"/>
      <c r="NQK372" s="153"/>
      <c r="NQL372" s="153"/>
      <c r="NQM372" s="650"/>
      <c r="NQN372" s="641"/>
      <c r="NQO372" s="638"/>
      <c r="NQP372" s="639"/>
      <c r="NQQ372" s="153"/>
      <c r="NQR372" s="153"/>
      <c r="NQS372" s="153"/>
      <c r="NQT372" s="153"/>
      <c r="NQU372" s="153"/>
      <c r="NQV372" s="153"/>
      <c r="NQW372" s="153"/>
      <c r="NQX372" s="153"/>
      <c r="NQY372" s="153"/>
      <c r="NQZ372" s="153"/>
      <c r="NRA372" s="153"/>
      <c r="NRB372" s="153"/>
      <c r="NRC372" s="650"/>
      <c r="NRD372" s="641"/>
      <c r="NRE372" s="638"/>
      <c r="NRF372" s="639"/>
      <c r="NRG372" s="153"/>
      <c r="NRH372" s="153"/>
      <c r="NRI372" s="153"/>
      <c r="NRJ372" s="153"/>
      <c r="NRK372" s="153"/>
      <c r="NRL372" s="153"/>
      <c r="NRM372" s="153"/>
      <c r="NRN372" s="153"/>
      <c r="NRO372" s="153"/>
      <c r="NRP372" s="153"/>
      <c r="NRQ372" s="153"/>
      <c r="NRR372" s="153"/>
      <c r="NRS372" s="650"/>
      <c r="NRT372" s="641"/>
      <c r="NRU372" s="638"/>
      <c r="NRV372" s="639"/>
      <c r="NRW372" s="153"/>
      <c r="NRX372" s="153"/>
      <c r="NRY372" s="153"/>
      <c r="NRZ372" s="153"/>
      <c r="NSA372" s="153"/>
      <c r="NSB372" s="153"/>
      <c r="NSC372" s="153"/>
      <c r="NSD372" s="153"/>
      <c r="NSE372" s="153"/>
      <c r="NSF372" s="153"/>
      <c r="NSG372" s="153"/>
      <c r="NSH372" s="153"/>
      <c r="NSI372" s="650"/>
      <c r="NSJ372" s="641"/>
      <c r="NSK372" s="638"/>
      <c r="NSL372" s="639"/>
      <c r="NSM372" s="153"/>
      <c r="NSN372" s="153"/>
      <c r="NSO372" s="153"/>
      <c r="NSP372" s="153"/>
      <c r="NSQ372" s="153"/>
      <c r="NSR372" s="153"/>
      <c r="NSS372" s="153"/>
      <c r="NST372" s="153"/>
      <c r="NSU372" s="153"/>
      <c r="NSV372" s="153"/>
      <c r="NSW372" s="153"/>
      <c r="NSX372" s="153"/>
      <c r="NSY372" s="650"/>
      <c r="NSZ372" s="641"/>
      <c r="NTA372" s="638"/>
      <c r="NTB372" s="639"/>
      <c r="NTC372" s="153"/>
      <c r="NTD372" s="153"/>
      <c r="NTE372" s="153"/>
      <c r="NTF372" s="153"/>
      <c r="NTG372" s="153"/>
      <c r="NTH372" s="153"/>
      <c r="NTI372" s="153"/>
      <c r="NTJ372" s="153"/>
      <c r="NTK372" s="153"/>
      <c r="NTL372" s="153"/>
      <c r="NTM372" s="153"/>
      <c r="NTN372" s="153"/>
      <c r="NTO372" s="650"/>
      <c r="NTP372" s="641"/>
      <c r="NTQ372" s="638"/>
      <c r="NTR372" s="639"/>
      <c r="NTS372" s="153"/>
      <c r="NTT372" s="153"/>
      <c r="NTU372" s="153"/>
      <c r="NTV372" s="153"/>
      <c r="NTW372" s="153"/>
      <c r="NTX372" s="153"/>
      <c r="NTY372" s="153"/>
      <c r="NTZ372" s="153"/>
      <c r="NUA372" s="153"/>
      <c r="NUB372" s="153"/>
      <c r="NUC372" s="153"/>
      <c r="NUD372" s="153"/>
      <c r="NUE372" s="650"/>
      <c r="NUF372" s="641"/>
      <c r="NUG372" s="638"/>
      <c r="NUH372" s="639"/>
      <c r="NUI372" s="153"/>
      <c r="NUJ372" s="153"/>
      <c r="NUK372" s="153"/>
      <c r="NUL372" s="153"/>
      <c r="NUM372" s="153"/>
      <c r="NUN372" s="153"/>
      <c r="NUO372" s="153"/>
      <c r="NUP372" s="153"/>
      <c r="NUQ372" s="153"/>
      <c r="NUR372" s="153"/>
      <c r="NUS372" s="153"/>
      <c r="NUT372" s="153"/>
      <c r="NUU372" s="650"/>
      <c r="NUV372" s="641"/>
      <c r="NUW372" s="638"/>
      <c r="NUX372" s="639"/>
      <c r="NUY372" s="153"/>
      <c r="NUZ372" s="153"/>
      <c r="NVA372" s="153"/>
      <c r="NVB372" s="153"/>
      <c r="NVC372" s="153"/>
      <c r="NVD372" s="153"/>
      <c r="NVE372" s="153"/>
      <c r="NVF372" s="153"/>
      <c r="NVG372" s="153"/>
      <c r="NVH372" s="153"/>
      <c r="NVI372" s="153"/>
      <c r="NVJ372" s="153"/>
      <c r="NVK372" s="650"/>
      <c r="NVL372" s="641"/>
      <c r="NVM372" s="638"/>
      <c r="NVN372" s="639"/>
      <c r="NVO372" s="153"/>
      <c r="NVP372" s="153"/>
      <c r="NVQ372" s="153"/>
      <c r="NVR372" s="153"/>
      <c r="NVS372" s="153"/>
      <c r="NVT372" s="153"/>
      <c r="NVU372" s="153"/>
      <c r="NVV372" s="153"/>
      <c r="NVW372" s="153"/>
      <c r="NVX372" s="153"/>
      <c r="NVY372" s="153"/>
      <c r="NVZ372" s="153"/>
      <c r="NWA372" s="650"/>
      <c r="NWB372" s="641"/>
      <c r="NWC372" s="638"/>
      <c r="NWD372" s="639"/>
      <c r="NWE372" s="153"/>
      <c r="NWF372" s="153"/>
      <c r="NWG372" s="153"/>
      <c r="NWH372" s="153"/>
      <c r="NWI372" s="153"/>
      <c r="NWJ372" s="153"/>
      <c r="NWK372" s="153"/>
      <c r="NWL372" s="153"/>
      <c r="NWM372" s="153"/>
      <c r="NWN372" s="153"/>
      <c r="NWO372" s="153"/>
      <c r="NWP372" s="153"/>
      <c r="NWQ372" s="650"/>
      <c r="NWR372" s="641"/>
      <c r="NWS372" s="638"/>
      <c r="NWT372" s="639"/>
      <c r="NWU372" s="153"/>
      <c r="NWV372" s="153"/>
      <c r="NWW372" s="153"/>
      <c r="NWX372" s="153"/>
      <c r="NWY372" s="153"/>
      <c r="NWZ372" s="153"/>
      <c r="NXA372" s="153"/>
      <c r="NXB372" s="153"/>
      <c r="NXC372" s="153"/>
      <c r="NXD372" s="153"/>
      <c r="NXE372" s="153"/>
      <c r="NXF372" s="153"/>
      <c r="NXG372" s="650"/>
      <c r="NXH372" s="641"/>
      <c r="NXI372" s="638"/>
      <c r="NXJ372" s="639"/>
      <c r="NXK372" s="153"/>
      <c r="NXL372" s="153"/>
      <c r="NXM372" s="153"/>
      <c r="NXN372" s="153"/>
      <c r="NXO372" s="153"/>
      <c r="NXP372" s="153"/>
      <c r="NXQ372" s="153"/>
      <c r="NXR372" s="153"/>
      <c r="NXS372" s="153"/>
      <c r="NXT372" s="153"/>
      <c r="NXU372" s="153"/>
      <c r="NXV372" s="153"/>
      <c r="NXW372" s="650"/>
      <c r="NXX372" s="641"/>
      <c r="NXY372" s="638"/>
      <c r="NXZ372" s="639"/>
      <c r="NYA372" s="153"/>
      <c r="NYB372" s="153"/>
      <c r="NYC372" s="153"/>
      <c r="NYD372" s="153"/>
      <c r="NYE372" s="153"/>
      <c r="NYF372" s="153"/>
      <c r="NYG372" s="153"/>
      <c r="NYH372" s="153"/>
      <c r="NYI372" s="153"/>
      <c r="NYJ372" s="153"/>
      <c r="NYK372" s="153"/>
      <c r="NYL372" s="153"/>
      <c r="NYM372" s="650"/>
      <c r="NYN372" s="641"/>
      <c r="NYO372" s="638"/>
      <c r="NYP372" s="639"/>
      <c r="NYQ372" s="153"/>
      <c r="NYR372" s="153"/>
      <c r="NYS372" s="153"/>
      <c r="NYT372" s="153"/>
      <c r="NYU372" s="153"/>
      <c r="NYV372" s="153"/>
      <c r="NYW372" s="153"/>
      <c r="NYX372" s="153"/>
      <c r="NYY372" s="153"/>
      <c r="NYZ372" s="153"/>
      <c r="NZA372" s="153"/>
      <c r="NZB372" s="153"/>
      <c r="NZC372" s="650"/>
      <c r="NZD372" s="641"/>
      <c r="NZE372" s="638"/>
      <c r="NZF372" s="639"/>
      <c r="NZG372" s="153"/>
      <c r="NZH372" s="153"/>
      <c r="NZI372" s="153"/>
      <c r="NZJ372" s="153"/>
      <c r="NZK372" s="153"/>
      <c r="NZL372" s="153"/>
      <c r="NZM372" s="153"/>
      <c r="NZN372" s="153"/>
      <c r="NZO372" s="153"/>
      <c r="NZP372" s="153"/>
      <c r="NZQ372" s="153"/>
      <c r="NZR372" s="153"/>
      <c r="NZS372" s="650"/>
      <c r="NZT372" s="641"/>
      <c r="NZU372" s="638"/>
      <c r="NZV372" s="639"/>
      <c r="NZW372" s="153"/>
      <c r="NZX372" s="153"/>
      <c r="NZY372" s="153"/>
      <c r="NZZ372" s="153"/>
      <c r="OAA372" s="153"/>
      <c r="OAB372" s="153"/>
      <c r="OAC372" s="153"/>
      <c r="OAD372" s="153"/>
      <c r="OAE372" s="153"/>
      <c r="OAF372" s="153"/>
      <c r="OAG372" s="153"/>
      <c r="OAH372" s="153"/>
      <c r="OAI372" s="650"/>
      <c r="OAJ372" s="641"/>
      <c r="OAK372" s="638"/>
      <c r="OAL372" s="639"/>
      <c r="OAM372" s="153"/>
      <c r="OAN372" s="153"/>
      <c r="OAO372" s="153"/>
      <c r="OAP372" s="153"/>
      <c r="OAQ372" s="153"/>
      <c r="OAR372" s="153"/>
      <c r="OAS372" s="153"/>
      <c r="OAT372" s="153"/>
      <c r="OAU372" s="153"/>
      <c r="OAV372" s="153"/>
      <c r="OAW372" s="153"/>
      <c r="OAX372" s="153"/>
      <c r="OAY372" s="650"/>
      <c r="OAZ372" s="641"/>
      <c r="OBA372" s="638"/>
      <c r="OBB372" s="639"/>
      <c r="OBC372" s="153"/>
      <c r="OBD372" s="153"/>
      <c r="OBE372" s="153"/>
      <c r="OBF372" s="153"/>
      <c r="OBG372" s="153"/>
      <c r="OBH372" s="153"/>
      <c r="OBI372" s="153"/>
      <c r="OBJ372" s="153"/>
      <c r="OBK372" s="153"/>
      <c r="OBL372" s="153"/>
      <c r="OBM372" s="153"/>
      <c r="OBN372" s="153"/>
      <c r="OBO372" s="650"/>
      <c r="OBP372" s="641"/>
      <c r="OBQ372" s="638"/>
      <c r="OBR372" s="639"/>
      <c r="OBS372" s="153"/>
      <c r="OBT372" s="153"/>
      <c r="OBU372" s="153"/>
      <c r="OBV372" s="153"/>
      <c r="OBW372" s="153"/>
      <c r="OBX372" s="153"/>
      <c r="OBY372" s="153"/>
      <c r="OBZ372" s="153"/>
      <c r="OCA372" s="153"/>
      <c r="OCB372" s="153"/>
      <c r="OCC372" s="153"/>
      <c r="OCD372" s="153"/>
      <c r="OCE372" s="650"/>
      <c r="OCF372" s="641"/>
      <c r="OCG372" s="638"/>
      <c r="OCH372" s="639"/>
      <c r="OCI372" s="153"/>
      <c r="OCJ372" s="153"/>
      <c r="OCK372" s="153"/>
      <c r="OCL372" s="153"/>
      <c r="OCM372" s="153"/>
      <c r="OCN372" s="153"/>
      <c r="OCO372" s="153"/>
      <c r="OCP372" s="153"/>
      <c r="OCQ372" s="153"/>
      <c r="OCR372" s="153"/>
      <c r="OCS372" s="153"/>
      <c r="OCT372" s="153"/>
      <c r="OCU372" s="650"/>
      <c r="OCV372" s="641"/>
      <c r="OCW372" s="638"/>
      <c r="OCX372" s="639"/>
      <c r="OCY372" s="153"/>
      <c r="OCZ372" s="153"/>
      <c r="ODA372" s="153"/>
      <c r="ODB372" s="153"/>
      <c r="ODC372" s="153"/>
      <c r="ODD372" s="153"/>
      <c r="ODE372" s="153"/>
      <c r="ODF372" s="153"/>
      <c r="ODG372" s="153"/>
      <c r="ODH372" s="153"/>
      <c r="ODI372" s="153"/>
      <c r="ODJ372" s="153"/>
      <c r="ODK372" s="650"/>
      <c r="ODL372" s="641"/>
      <c r="ODM372" s="638"/>
      <c r="ODN372" s="639"/>
      <c r="ODO372" s="153"/>
      <c r="ODP372" s="153"/>
      <c r="ODQ372" s="153"/>
      <c r="ODR372" s="153"/>
      <c r="ODS372" s="153"/>
      <c r="ODT372" s="153"/>
      <c r="ODU372" s="153"/>
      <c r="ODV372" s="153"/>
      <c r="ODW372" s="153"/>
      <c r="ODX372" s="153"/>
      <c r="ODY372" s="153"/>
      <c r="ODZ372" s="153"/>
      <c r="OEA372" s="650"/>
      <c r="OEB372" s="641"/>
      <c r="OEC372" s="638"/>
      <c r="OED372" s="639"/>
      <c r="OEE372" s="153"/>
      <c r="OEF372" s="153"/>
      <c r="OEG372" s="153"/>
      <c r="OEH372" s="153"/>
      <c r="OEI372" s="153"/>
      <c r="OEJ372" s="153"/>
      <c r="OEK372" s="153"/>
      <c r="OEL372" s="153"/>
      <c r="OEM372" s="153"/>
      <c r="OEN372" s="153"/>
      <c r="OEO372" s="153"/>
      <c r="OEP372" s="153"/>
      <c r="OEQ372" s="650"/>
      <c r="OER372" s="641"/>
      <c r="OES372" s="638"/>
      <c r="OET372" s="639"/>
      <c r="OEU372" s="153"/>
      <c r="OEV372" s="153"/>
      <c r="OEW372" s="153"/>
      <c r="OEX372" s="153"/>
      <c r="OEY372" s="153"/>
      <c r="OEZ372" s="153"/>
      <c r="OFA372" s="153"/>
      <c r="OFB372" s="153"/>
      <c r="OFC372" s="153"/>
      <c r="OFD372" s="153"/>
      <c r="OFE372" s="153"/>
      <c r="OFF372" s="153"/>
      <c r="OFG372" s="650"/>
      <c r="OFH372" s="641"/>
      <c r="OFI372" s="638"/>
      <c r="OFJ372" s="639"/>
      <c r="OFK372" s="153"/>
      <c r="OFL372" s="153"/>
      <c r="OFM372" s="153"/>
      <c r="OFN372" s="153"/>
      <c r="OFO372" s="153"/>
      <c r="OFP372" s="153"/>
      <c r="OFQ372" s="153"/>
      <c r="OFR372" s="153"/>
      <c r="OFS372" s="153"/>
      <c r="OFT372" s="153"/>
      <c r="OFU372" s="153"/>
      <c r="OFV372" s="153"/>
      <c r="OFW372" s="650"/>
      <c r="OFX372" s="641"/>
      <c r="OFY372" s="638"/>
      <c r="OFZ372" s="639"/>
      <c r="OGA372" s="153"/>
      <c r="OGB372" s="153"/>
      <c r="OGC372" s="153"/>
      <c r="OGD372" s="153"/>
      <c r="OGE372" s="153"/>
      <c r="OGF372" s="153"/>
      <c r="OGG372" s="153"/>
      <c r="OGH372" s="153"/>
      <c r="OGI372" s="153"/>
      <c r="OGJ372" s="153"/>
      <c r="OGK372" s="153"/>
      <c r="OGL372" s="153"/>
      <c r="OGM372" s="650"/>
      <c r="OGN372" s="641"/>
      <c r="OGO372" s="638"/>
      <c r="OGP372" s="639"/>
      <c r="OGQ372" s="153"/>
      <c r="OGR372" s="153"/>
      <c r="OGS372" s="153"/>
      <c r="OGT372" s="153"/>
      <c r="OGU372" s="153"/>
      <c r="OGV372" s="153"/>
      <c r="OGW372" s="153"/>
      <c r="OGX372" s="153"/>
      <c r="OGY372" s="153"/>
      <c r="OGZ372" s="153"/>
      <c r="OHA372" s="153"/>
      <c r="OHB372" s="153"/>
      <c r="OHC372" s="650"/>
      <c r="OHD372" s="641"/>
      <c r="OHE372" s="638"/>
      <c r="OHF372" s="639"/>
      <c r="OHG372" s="153"/>
      <c r="OHH372" s="153"/>
      <c r="OHI372" s="153"/>
      <c r="OHJ372" s="153"/>
      <c r="OHK372" s="153"/>
      <c r="OHL372" s="153"/>
      <c r="OHM372" s="153"/>
      <c r="OHN372" s="153"/>
      <c r="OHO372" s="153"/>
      <c r="OHP372" s="153"/>
      <c r="OHQ372" s="153"/>
      <c r="OHR372" s="153"/>
      <c r="OHS372" s="650"/>
      <c r="OHT372" s="641"/>
      <c r="OHU372" s="638"/>
      <c r="OHV372" s="639"/>
      <c r="OHW372" s="153"/>
      <c r="OHX372" s="153"/>
      <c r="OHY372" s="153"/>
      <c r="OHZ372" s="153"/>
      <c r="OIA372" s="153"/>
      <c r="OIB372" s="153"/>
      <c r="OIC372" s="153"/>
      <c r="OID372" s="153"/>
      <c r="OIE372" s="153"/>
      <c r="OIF372" s="153"/>
      <c r="OIG372" s="153"/>
      <c r="OIH372" s="153"/>
      <c r="OII372" s="650"/>
      <c r="OIJ372" s="641"/>
      <c r="OIK372" s="638"/>
      <c r="OIL372" s="639"/>
      <c r="OIM372" s="153"/>
      <c r="OIN372" s="153"/>
      <c r="OIO372" s="153"/>
      <c r="OIP372" s="153"/>
      <c r="OIQ372" s="153"/>
      <c r="OIR372" s="153"/>
      <c r="OIS372" s="153"/>
      <c r="OIT372" s="153"/>
      <c r="OIU372" s="153"/>
      <c r="OIV372" s="153"/>
      <c r="OIW372" s="153"/>
      <c r="OIX372" s="153"/>
      <c r="OIY372" s="650"/>
      <c r="OIZ372" s="641"/>
      <c r="OJA372" s="638"/>
      <c r="OJB372" s="639"/>
      <c r="OJC372" s="153"/>
      <c r="OJD372" s="153"/>
      <c r="OJE372" s="153"/>
      <c r="OJF372" s="153"/>
      <c r="OJG372" s="153"/>
      <c r="OJH372" s="153"/>
      <c r="OJI372" s="153"/>
      <c r="OJJ372" s="153"/>
      <c r="OJK372" s="153"/>
      <c r="OJL372" s="153"/>
      <c r="OJM372" s="153"/>
      <c r="OJN372" s="153"/>
      <c r="OJO372" s="650"/>
      <c r="OJP372" s="641"/>
      <c r="OJQ372" s="638"/>
      <c r="OJR372" s="639"/>
      <c r="OJS372" s="153"/>
      <c r="OJT372" s="153"/>
      <c r="OJU372" s="153"/>
      <c r="OJV372" s="153"/>
      <c r="OJW372" s="153"/>
      <c r="OJX372" s="153"/>
      <c r="OJY372" s="153"/>
      <c r="OJZ372" s="153"/>
      <c r="OKA372" s="153"/>
      <c r="OKB372" s="153"/>
      <c r="OKC372" s="153"/>
      <c r="OKD372" s="153"/>
      <c r="OKE372" s="650"/>
      <c r="OKF372" s="641"/>
      <c r="OKG372" s="638"/>
      <c r="OKH372" s="639"/>
      <c r="OKI372" s="153"/>
      <c r="OKJ372" s="153"/>
      <c r="OKK372" s="153"/>
      <c r="OKL372" s="153"/>
      <c r="OKM372" s="153"/>
      <c r="OKN372" s="153"/>
      <c r="OKO372" s="153"/>
      <c r="OKP372" s="153"/>
      <c r="OKQ372" s="153"/>
      <c r="OKR372" s="153"/>
      <c r="OKS372" s="153"/>
      <c r="OKT372" s="153"/>
      <c r="OKU372" s="650"/>
      <c r="OKV372" s="641"/>
      <c r="OKW372" s="638"/>
      <c r="OKX372" s="639"/>
      <c r="OKY372" s="153"/>
      <c r="OKZ372" s="153"/>
      <c r="OLA372" s="153"/>
      <c r="OLB372" s="153"/>
      <c r="OLC372" s="153"/>
      <c r="OLD372" s="153"/>
      <c r="OLE372" s="153"/>
      <c r="OLF372" s="153"/>
      <c r="OLG372" s="153"/>
      <c r="OLH372" s="153"/>
      <c r="OLI372" s="153"/>
      <c r="OLJ372" s="153"/>
      <c r="OLK372" s="650"/>
      <c r="OLL372" s="641"/>
      <c r="OLM372" s="638"/>
      <c r="OLN372" s="639"/>
      <c r="OLO372" s="153"/>
      <c r="OLP372" s="153"/>
      <c r="OLQ372" s="153"/>
      <c r="OLR372" s="153"/>
      <c r="OLS372" s="153"/>
      <c r="OLT372" s="153"/>
      <c r="OLU372" s="153"/>
      <c r="OLV372" s="153"/>
      <c r="OLW372" s="153"/>
      <c r="OLX372" s="153"/>
      <c r="OLY372" s="153"/>
      <c r="OLZ372" s="153"/>
      <c r="OMA372" s="650"/>
      <c r="OMB372" s="641"/>
      <c r="OMC372" s="638"/>
      <c r="OMD372" s="639"/>
      <c r="OME372" s="153"/>
      <c r="OMF372" s="153"/>
      <c r="OMG372" s="153"/>
      <c r="OMH372" s="153"/>
      <c r="OMI372" s="153"/>
      <c r="OMJ372" s="153"/>
      <c r="OMK372" s="153"/>
      <c r="OML372" s="153"/>
      <c r="OMM372" s="153"/>
      <c r="OMN372" s="153"/>
      <c r="OMO372" s="153"/>
      <c r="OMP372" s="153"/>
      <c r="OMQ372" s="650"/>
      <c r="OMR372" s="641"/>
      <c r="OMS372" s="638"/>
      <c r="OMT372" s="639"/>
      <c r="OMU372" s="153"/>
      <c r="OMV372" s="153"/>
      <c r="OMW372" s="153"/>
      <c r="OMX372" s="153"/>
      <c r="OMY372" s="153"/>
      <c r="OMZ372" s="153"/>
      <c r="ONA372" s="153"/>
      <c r="ONB372" s="153"/>
      <c r="ONC372" s="153"/>
      <c r="OND372" s="153"/>
      <c r="ONE372" s="153"/>
      <c r="ONF372" s="153"/>
      <c r="ONG372" s="650"/>
      <c r="ONH372" s="641"/>
      <c r="ONI372" s="638"/>
      <c r="ONJ372" s="639"/>
      <c r="ONK372" s="153"/>
      <c r="ONL372" s="153"/>
      <c r="ONM372" s="153"/>
      <c r="ONN372" s="153"/>
      <c r="ONO372" s="153"/>
      <c r="ONP372" s="153"/>
      <c r="ONQ372" s="153"/>
      <c r="ONR372" s="153"/>
      <c r="ONS372" s="153"/>
      <c r="ONT372" s="153"/>
      <c r="ONU372" s="153"/>
      <c r="ONV372" s="153"/>
      <c r="ONW372" s="650"/>
      <c r="ONX372" s="641"/>
      <c r="ONY372" s="638"/>
      <c r="ONZ372" s="639"/>
      <c r="OOA372" s="153"/>
      <c r="OOB372" s="153"/>
      <c r="OOC372" s="153"/>
      <c r="OOD372" s="153"/>
      <c r="OOE372" s="153"/>
      <c r="OOF372" s="153"/>
      <c r="OOG372" s="153"/>
      <c r="OOH372" s="153"/>
      <c r="OOI372" s="153"/>
      <c r="OOJ372" s="153"/>
      <c r="OOK372" s="153"/>
      <c r="OOL372" s="153"/>
      <c r="OOM372" s="650"/>
      <c r="OON372" s="641"/>
      <c r="OOO372" s="638"/>
      <c r="OOP372" s="639"/>
      <c r="OOQ372" s="153"/>
      <c r="OOR372" s="153"/>
      <c r="OOS372" s="153"/>
      <c r="OOT372" s="153"/>
      <c r="OOU372" s="153"/>
      <c r="OOV372" s="153"/>
      <c r="OOW372" s="153"/>
      <c r="OOX372" s="153"/>
      <c r="OOY372" s="153"/>
      <c r="OOZ372" s="153"/>
      <c r="OPA372" s="153"/>
      <c r="OPB372" s="153"/>
      <c r="OPC372" s="650"/>
      <c r="OPD372" s="641"/>
      <c r="OPE372" s="638"/>
      <c r="OPF372" s="639"/>
      <c r="OPG372" s="153"/>
      <c r="OPH372" s="153"/>
      <c r="OPI372" s="153"/>
      <c r="OPJ372" s="153"/>
      <c r="OPK372" s="153"/>
      <c r="OPL372" s="153"/>
      <c r="OPM372" s="153"/>
      <c r="OPN372" s="153"/>
      <c r="OPO372" s="153"/>
      <c r="OPP372" s="153"/>
      <c r="OPQ372" s="153"/>
      <c r="OPR372" s="153"/>
      <c r="OPS372" s="650"/>
      <c r="OPT372" s="641"/>
      <c r="OPU372" s="638"/>
      <c r="OPV372" s="639"/>
      <c r="OPW372" s="153"/>
      <c r="OPX372" s="153"/>
      <c r="OPY372" s="153"/>
      <c r="OPZ372" s="153"/>
      <c r="OQA372" s="153"/>
      <c r="OQB372" s="153"/>
      <c r="OQC372" s="153"/>
      <c r="OQD372" s="153"/>
      <c r="OQE372" s="153"/>
      <c r="OQF372" s="153"/>
      <c r="OQG372" s="153"/>
      <c r="OQH372" s="153"/>
      <c r="OQI372" s="650"/>
      <c r="OQJ372" s="641"/>
      <c r="OQK372" s="638"/>
      <c r="OQL372" s="639"/>
      <c r="OQM372" s="153"/>
      <c r="OQN372" s="153"/>
      <c r="OQO372" s="153"/>
      <c r="OQP372" s="153"/>
      <c r="OQQ372" s="153"/>
      <c r="OQR372" s="153"/>
      <c r="OQS372" s="153"/>
      <c r="OQT372" s="153"/>
      <c r="OQU372" s="153"/>
      <c r="OQV372" s="153"/>
      <c r="OQW372" s="153"/>
      <c r="OQX372" s="153"/>
      <c r="OQY372" s="650"/>
      <c r="OQZ372" s="641"/>
      <c r="ORA372" s="638"/>
      <c r="ORB372" s="639"/>
      <c r="ORC372" s="153"/>
      <c r="ORD372" s="153"/>
      <c r="ORE372" s="153"/>
      <c r="ORF372" s="153"/>
      <c r="ORG372" s="153"/>
      <c r="ORH372" s="153"/>
      <c r="ORI372" s="153"/>
      <c r="ORJ372" s="153"/>
      <c r="ORK372" s="153"/>
      <c r="ORL372" s="153"/>
      <c r="ORM372" s="153"/>
      <c r="ORN372" s="153"/>
      <c r="ORO372" s="650"/>
      <c r="ORP372" s="641"/>
      <c r="ORQ372" s="638"/>
      <c r="ORR372" s="639"/>
      <c r="ORS372" s="153"/>
      <c r="ORT372" s="153"/>
      <c r="ORU372" s="153"/>
      <c r="ORV372" s="153"/>
      <c r="ORW372" s="153"/>
      <c r="ORX372" s="153"/>
      <c r="ORY372" s="153"/>
      <c r="ORZ372" s="153"/>
      <c r="OSA372" s="153"/>
      <c r="OSB372" s="153"/>
      <c r="OSC372" s="153"/>
      <c r="OSD372" s="153"/>
      <c r="OSE372" s="650"/>
      <c r="OSF372" s="641"/>
      <c r="OSG372" s="638"/>
      <c r="OSH372" s="639"/>
      <c r="OSI372" s="153"/>
      <c r="OSJ372" s="153"/>
      <c r="OSK372" s="153"/>
      <c r="OSL372" s="153"/>
      <c r="OSM372" s="153"/>
      <c r="OSN372" s="153"/>
      <c r="OSO372" s="153"/>
      <c r="OSP372" s="153"/>
      <c r="OSQ372" s="153"/>
      <c r="OSR372" s="153"/>
      <c r="OSS372" s="153"/>
      <c r="OST372" s="153"/>
      <c r="OSU372" s="650"/>
      <c r="OSV372" s="641"/>
      <c r="OSW372" s="638"/>
      <c r="OSX372" s="639"/>
      <c r="OSY372" s="153"/>
      <c r="OSZ372" s="153"/>
      <c r="OTA372" s="153"/>
      <c r="OTB372" s="153"/>
      <c r="OTC372" s="153"/>
      <c r="OTD372" s="153"/>
      <c r="OTE372" s="153"/>
      <c r="OTF372" s="153"/>
      <c r="OTG372" s="153"/>
      <c r="OTH372" s="153"/>
      <c r="OTI372" s="153"/>
      <c r="OTJ372" s="153"/>
      <c r="OTK372" s="650"/>
      <c r="OTL372" s="641"/>
      <c r="OTM372" s="638"/>
      <c r="OTN372" s="639"/>
      <c r="OTO372" s="153"/>
      <c r="OTP372" s="153"/>
      <c r="OTQ372" s="153"/>
      <c r="OTR372" s="153"/>
      <c r="OTS372" s="153"/>
      <c r="OTT372" s="153"/>
      <c r="OTU372" s="153"/>
      <c r="OTV372" s="153"/>
      <c r="OTW372" s="153"/>
      <c r="OTX372" s="153"/>
      <c r="OTY372" s="153"/>
      <c r="OTZ372" s="153"/>
      <c r="OUA372" s="650"/>
      <c r="OUB372" s="641"/>
      <c r="OUC372" s="638"/>
      <c r="OUD372" s="639"/>
      <c r="OUE372" s="153"/>
      <c r="OUF372" s="153"/>
      <c r="OUG372" s="153"/>
      <c r="OUH372" s="153"/>
      <c r="OUI372" s="153"/>
      <c r="OUJ372" s="153"/>
      <c r="OUK372" s="153"/>
      <c r="OUL372" s="153"/>
      <c r="OUM372" s="153"/>
      <c r="OUN372" s="153"/>
      <c r="OUO372" s="153"/>
      <c r="OUP372" s="153"/>
      <c r="OUQ372" s="650"/>
      <c r="OUR372" s="641"/>
      <c r="OUS372" s="638"/>
      <c r="OUT372" s="639"/>
      <c r="OUU372" s="153"/>
      <c r="OUV372" s="153"/>
      <c r="OUW372" s="153"/>
      <c r="OUX372" s="153"/>
      <c r="OUY372" s="153"/>
      <c r="OUZ372" s="153"/>
      <c r="OVA372" s="153"/>
      <c r="OVB372" s="153"/>
      <c r="OVC372" s="153"/>
      <c r="OVD372" s="153"/>
      <c r="OVE372" s="153"/>
      <c r="OVF372" s="153"/>
      <c r="OVG372" s="650"/>
      <c r="OVH372" s="641"/>
      <c r="OVI372" s="638"/>
      <c r="OVJ372" s="639"/>
      <c r="OVK372" s="153"/>
      <c r="OVL372" s="153"/>
      <c r="OVM372" s="153"/>
      <c r="OVN372" s="153"/>
      <c r="OVO372" s="153"/>
      <c r="OVP372" s="153"/>
      <c r="OVQ372" s="153"/>
      <c r="OVR372" s="153"/>
      <c r="OVS372" s="153"/>
      <c r="OVT372" s="153"/>
      <c r="OVU372" s="153"/>
      <c r="OVV372" s="153"/>
      <c r="OVW372" s="650"/>
      <c r="OVX372" s="641"/>
      <c r="OVY372" s="638"/>
      <c r="OVZ372" s="639"/>
      <c r="OWA372" s="153"/>
      <c r="OWB372" s="153"/>
      <c r="OWC372" s="153"/>
      <c r="OWD372" s="153"/>
      <c r="OWE372" s="153"/>
      <c r="OWF372" s="153"/>
      <c r="OWG372" s="153"/>
      <c r="OWH372" s="153"/>
      <c r="OWI372" s="153"/>
      <c r="OWJ372" s="153"/>
      <c r="OWK372" s="153"/>
      <c r="OWL372" s="153"/>
      <c r="OWM372" s="650"/>
      <c r="OWN372" s="641"/>
      <c r="OWO372" s="638"/>
      <c r="OWP372" s="639"/>
      <c r="OWQ372" s="153"/>
      <c r="OWR372" s="153"/>
      <c r="OWS372" s="153"/>
      <c r="OWT372" s="153"/>
      <c r="OWU372" s="153"/>
      <c r="OWV372" s="153"/>
      <c r="OWW372" s="153"/>
      <c r="OWX372" s="153"/>
      <c r="OWY372" s="153"/>
      <c r="OWZ372" s="153"/>
      <c r="OXA372" s="153"/>
      <c r="OXB372" s="153"/>
      <c r="OXC372" s="650"/>
      <c r="OXD372" s="641"/>
      <c r="OXE372" s="638"/>
      <c r="OXF372" s="639"/>
      <c r="OXG372" s="153"/>
      <c r="OXH372" s="153"/>
      <c r="OXI372" s="153"/>
      <c r="OXJ372" s="153"/>
      <c r="OXK372" s="153"/>
      <c r="OXL372" s="153"/>
      <c r="OXM372" s="153"/>
      <c r="OXN372" s="153"/>
      <c r="OXO372" s="153"/>
      <c r="OXP372" s="153"/>
      <c r="OXQ372" s="153"/>
      <c r="OXR372" s="153"/>
      <c r="OXS372" s="650"/>
      <c r="OXT372" s="641"/>
      <c r="OXU372" s="638"/>
      <c r="OXV372" s="639"/>
      <c r="OXW372" s="153"/>
      <c r="OXX372" s="153"/>
      <c r="OXY372" s="153"/>
      <c r="OXZ372" s="153"/>
      <c r="OYA372" s="153"/>
      <c r="OYB372" s="153"/>
      <c r="OYC372" s="153"/>
      <c r="OYD372" s="153"/>
      <c r="OYE372" s="153"/>
      <c r="OYF372" s="153"/>
      <c r="OYG372" s="153"/>
      <c r="OYH372" s="153"/>
      <c r="OYI372" s="650"/>
      <c r="OYJ372" s="641"/>
      <c r="OYK372" s="638"/>
      <c r="OYL372" s="639"/>
      <c r="OYM372" s="153"/>
      <c r="OYN372" s="153"/>
      <c r="OYO372" s="153"/>
      <c r="OYP372" s="153"/>
      <c r="OYQ372" s="153"/>
      <c r="OYR372" s="153"/>
      <c r="OYS372" s="153"/>
      <c r="OYT372" s="153"/>
      <c r="OYU372" s="153"/>
      <c r="OYV372" s="153"/>
      <c r="OYW372" s="153"/>
      <c r="OYX372" s="153"/>
      <c r="OYY372" s="650"/>
      <c r="OYZ372" s="641"/>
      <c r="OZA372" s="638"/>
      <c r="OZB372" s="639"/>
      <c r="OZC372" s="153"/>
      <c r="OZD372" s="153"/>
      <c r="OZE372" s="153"/>
      <c r="OZF372" s="153"/>
      <c r="OZG372" s="153"/>
      <c r="OZH372" s="153"/>
      <c r="OZI372" s="153"/>
      <c r="OZJ372" s="153"/>
      <c r="OZK372" s="153"/>
      <c r="OZL372" s="153"/>
      <c r="OZM372" s="153"/>
      <c r="OZN372" s="153"/>
      <c r="OZO372" s="650"/>
      <c r="OZP372" s="641"/>
      <c r="OZQ372" s="638"/>
      <c r="OZR372" s="639"/>
      <c r="OZS372" s="153"/>
      <c r="OZT372" s="153"/>
      <c r="OZU372" s="153"/>
      <c r="OZV372" s="153"/>
      <c r="OZW372" s="153"/>
      <c r="OZX372" s="153"/>
      <c r="OZY372" s="153"/>
      <c r="OZZ372" s="153"/>
      <c r="PAA372" s="153"/>
      <c r="PAB372" s="153"/>
      <c r="PAC372" s="153"/>
      <c r="PAD372" s="153"/>
      <c r="PAE372" s="650"/>
      <c r="PAF372" s="641"/>
      <c r="PAG372" s="638"/>
      <c r="PAH372" s="639"/>
      <c r="PAI372" s="153"/>
      <c r="PAJ372" s="153"/>
      <c r="PAK372" s="153"/>
      <c r="PAL372" s="153"/>
      <c r="PAM372" s="153"/>
      <c r="PAN372" s="153"/>
      <c r="PAO372" s="153"/>
      <c r="PAP372" s="153"/>
      <c r="PAQ372" s="153"/>
      <c r="PAR372" s="153"/>
      <c r="PAS372" s="153"/>
      <c r="PAT372" s="153"/>
      <c r="PAU372" s="650"/>
      <c r="PAV372" s="641"/>
      <c r="PAW372" s="638"/>
      <c r="PAX372" s="639"/>
      <c r="PAY372" s="153"/>
      <c r="PAZ372" s="153"/>
      <c r="PBA372" s="153"/>
      <c r="PBB372" s="153"/>
      <c r="PBC372" s="153"/>
      <c r="PBD372" s="153"/>
      <c r="PBE372" s="153"/>
      <c r="PBF372" s="153"/>
      <c r="PBG372" s="153"/>
      <c r="PBH372" s="153"/>
      <c r="PBI372" s="153"/>
      <c r="PBJ372" s="153"/>
      <c r="PBK372" s="650"/>
      <c r="PBL372" s="641"/>
      <c r="PBM372" s="638"/>
      <c r="PBN372" s="639"/>
      <c r="PBO372" s="153"/>
      <c r="PBP372" s="153"/>
      <c r="PBQ372" s="153"/>
      <c r="PBR372" s="153"/>
      <c r="PBS372" s="153"/>
      <c r="PBT372" s="153"/>
      <c r="PBU372" s="153"/>
      <c r="PBV372" s="153"/>
      <c r="PBW372" s="153"/>
      <c r="PBX372" s="153"/>
      <c r="PBY372" s="153"/>
      <c r="PBZ372" s="153"/>
      <c r="PCA372" s="650"/>
      <c r="PCB372" s="641"/>
      <c r="PCC372" s="638"/>
      <c r="PCD372" s="639"/>
      <c r="PCE372" s="153"/>
      <c r="PCF372" s="153"/>
      <c r="PCG372" s="153"/>
      <c r="PCH372" s="153"/>
      <c r="PCI372" s="153"/>
      <c r="PCJ372" s="153"/>
      <c r="PCK372" s="153"/>
      <c r="PCL372" s="153"/>
      <c r="PCM372" s="153"/>
      <c r="PCN372" s="153"/>
      <c r="PCO372" s="153"/>
      <c r="PCP372" s="153"/>
      <c r="PCQ372" s="650"/>
      <c r="PCR372" s="641"/>
      <c r="PCS372" s="638"/>
      <c r="PCT372" s="639"/>
      <c r="PCU372" s="153"/>
      <c r="PCV372" s="153"/>
      <c r="PCW372" s="153"/>
      <c r="PCX372" s="153"/>
      <c r="PCY372" s="153"/>
      <c r="PCZ372" s="153"/>
      <c r="PDA372" s="153"/>
      <c r="PDB372" s="153"/>
      <c r="PDC372" s="153"/>
      <c r="PDD372" s="153"/>
      <c r="PDE372" s="153"/>
      <c r="PDF372" s="153"/>
      <c r="PDG372" s="650"/>
      <c r="PDH372" s="641"/>
      <c r="PDI372" s="638"/>
      <c r="PDJ372" s="639"/>
      <c r="PDK372" s="153"/>
      <c r="PDL372" s="153"/>
      <c r="PDM372" s="153"/>
      <c r="PDN372" s="153"/>
      <c r="PDO372" s="153"/>
      <c r="PDP372" s="153"/>
      <c r="PDQ372" s="153"/>
      <c r="PDR372" s="153"/>
      <c r="PDS372" s="153"/>
      <c r="PDT372" s="153"/>
      <c r="PDU372" s="153"/>
      <c r="PDV372" s="153"/>
      <c r="PDW372" s="650"/>
      <c r="PDX372" s="641"/>
      <c r="PDY372" s="638"/>
      <c r="PDZ372" s="639"/>
      <c r="PEA372" s="153"/>
      <c r="PEB372" s="153"/>
      <c r="PEC372" s="153"/>
      <c r="PED372" s="153"/>
      <c r="PEE372" s="153"/>
      <c r="PEF372" s="153"/>
      <c r="PEG372" s="153"/>
      <c r="PEH372" s="153"/>
      <c r="PEI372" s="153"/>
      <c r="PEJ372" s="153"/>
      <c r="PEK372" s="153"/>
      <c r="PEL372" s="153"/>
      <c r="PEM372" s="650"/>
      <c r="PEN372" s="641"/>
      <c r="PEO372" s="638"/>
      <c r="PEP372" s="639"/>
      <c r="PEQ372" s="153"/>
      <c r="PER372" s="153"/>
      <c r="PES372" s="153"/>
      <c r="PET372" s="153"/>
      <c r="PEU372" s="153"/>
      <c r="PEV372" s="153"/>
      <c r="PEW372" s="153"/>
      <c r="PEX372" s="153"/>
      <c r="PEY372" s="153"/>
      <c r="PEZ372" s="153"/>
      <c r="PFA372" s="153"/>
      <c r="PFB372" s="153"/>
      <c r="PFC372" s="650"/>
      <c r="PFD372" s="641"/>
      <c r="PFE372" s="638"/>
      <c r="PFF372" s="639"/>
      <c r="PFG372" s="153"/>
      <c r="PFH372" s="153"/>
      <c r="PFI372" s="153"/>
      <c r="PFJ372" s="153"/>
      <c r="PFK372" s="153"/>
      <c r="PFL372" s="153"/>
      <c r="PFM372" s="153"/>
      <c r="PFN372" s="153"/>
      <c r="PFO372" s="153"/>
      <c r="PFP372" s="153"/>
      <c r="PFQ372" s="153"/>
      <c r="PFR372" s="153"/>
      <c r="PFS372" s="650"/>
      <c r="PFT372" s="641"/>
      <c r="PFU372" s="638"/>
      <c r="PFV372" s="639"/>
      <c r="PFW372" s="153"/>
      <c r="PFX372" s="153"/>
      <c r="PFY372" s="153"/>
      <c r="PFZ372" s="153"/>
      <c r="PGA372" s="153"/>
      <c r="PGB372" s="153"/>
      <c r="PGC372" s="153"/>
      <c r="PGD372" s="153"/>
      <c r="PGE372" s="153"/>
      <c r="PGF372" s="153"/>
      <c r="PGG372" s="153"/>
      <c r="PGH372" s="153"/>
      <c r="PGI372" s="650"/>
      <c r="PGJ372" s="641"/>
      <c r="PGK372" s="638"/>
      <c r="PGL372" s="639"/>
      <c r="PGM372" s="153"/>
      <c r="PGN372" s="153"/>
      <c r="PGO372" s="153"/>
      <c r="PGP372" s="153"/>
      <c r="PGQ372" s="153"/>
      <c r="PGR372" s="153"/>
      <c r="PGS372" s="153"/>
      <c r="PGT372" s="153"/>
      <c r="PGU372" s="153"/>
      <c r="PGV372" s="153"/>
      <c r="PGW372" s="153"/>
      <c r="PGX372" s="153"/>
      <c r="PGY372" s="650"/>
      <c r="PGZ372" s="641"/>
      <c r="PHA372" s="638"/>
      <c r="PHB372" s="639"/>
      <c r="PHC372" s="153"/>
      <c r="PHD372" s="153"/>
      <c r="PHE372" s="153"/>
      <c r="PHF372" s="153"/>
      <c r="PHG372" s="153"/>
      <c r="PHH372" s="153"/>
      <c r="PHI372" s="153"/>
      <c r="PHJ372" s="153"/>
      <c r="PHK372" s="153"/>
      <c r="PHL372" s="153"/>
      <c r="PHM372" s="153"/>
      <c r="PHN372" s="153"/>
      <c r="PHO372" s="650"/>
      <c r="PHP372" s="641"/>
      <c r="PHQ372" s="638"/>
      <c r="PHR372" s="639"/>
      <c r="PHS372" s="153"/>
      <c r="PHT372" s="153"/>
      <c r="PHU372" s="153"/>
      <c r="PHV372" s="153"/>
      <c r="PHW372" s="153"/>
      <c r="PHX372" s="153"/>
      <c r="PHY372" s="153"/>
      <c r="PHZ372" s="153"/>
      <c r="PIA372" s="153"/>
      <c r="PIB372" s="153"/>
      <c r="PIC372" s="153"/>
      <c r="PID372" s="153"/>
      <c r="PIE372" s="650"/>
      <c r="PIF372" s="641"/>
      <c r="PIG372" s="638"/>
      <c r="PIH372" s="639"/>
      <c r="PII372" s="153"/>
      <c r="PIJ372" s="153"/>
      <c r="PIK372" s="153"/>
      <c r="PIL372" s="153"/>
      <c r="PIM372" s="153"/>
      <c r="PIN372" s="153"/>
      <c r="PIO372" s="153"/>
      <c r="PIP372" s="153"/>
      <c r="PIQ372" s="153"/>
      <c r="PIR372" s="153"/>
      <c r="PIS372" s="153"/>
      <c r="PIT372" s="153"/>
      <c r="PIU372" s="650"/>
      <c r="PIV372" s="641"/>
      <c r="PIW372" s="638"/>
      <c r="PIX372" s="639"/>
      <c r="PIY372" s="153"/>
      <c r="PIZ372" s="153"/>
      <c r="PJA372" s="153"/>
      <c r="PJB372" s="153"/>
      <c r="PJC372" s="153"/>
      <c r="PJD372" s="153"/>
      <c r="PJE372" s="153"/>
      <c r="PJF372" s="153"/>
      <c r="PJG372" s="153"/>
      <c r="PJH372" s="153"/>
      <c r="PJI372" s="153"/>
      <c r="PJJ372" s="153"/>
      <c r="PJK372" s="650"/>
      <c r="PJL372" s="641"/>
      <c r="PJM372" s="638"/>
      <c r="PJN372" s="639"/>
      <c r="PJO372" s="153"/>
      <c r="PJP372" s="153"/>
      <c r="PJQ372" s="153"/>
      <c r="PJR372" s="153"/>
      <c r="PJS372" s="153"/>
      <c r="PJT372" s="153"/>
      <c r="PJU372" s="153"/>
      <c r="PJV372" s="153"/>
      <c r="PJW372" s="153"/>
      <c r="PJX372" s="153"/>
      <c r="PJY372" s="153"/>
      <c r="PJZ372" s="153"/>
      <c r="PKA372" s="650"/>
      <c r="PKB372" s="641"/>
      <c r="PKC372" s="638"/>
      <c r="PKD372" s="639"/>
      <c r="PKE372" s="153"/>
      <c r="PKF372" s="153"/>
      <c r="PKG372" s="153"/>
      <c r="PKH372" s="153"/>
      <c r="PKI372" s="153"/>
      <c r="PKJ372" s="153"/>
      <c r="PKK372" s="153"/>
      <c r="PKL372" s="153"/>
      <c r="PKM372" s="153"/>
      <c r="PKN372" s="153"/>
      <c r="PKO372" s="153"/>
      <c r="PKP372" s="153"/>
      <c r="PKQ372" s="650"/>
      <c r="PKR372" s="641"/>
      <c r="PKS372" s="638"/>
      <c r="PKT372" s="639"/>
      <c r="PKU372" s="153"/>
      <c r="PKV372" s="153"/>
      <c r="PKW372" s="153"/>
      <c r="PKX372" s="153"/>
      <c r="PKY372" s="153"/>
      <c r="PKZ372" s="153"/>
      <c r="PLA372" s="153"/>
      <c r="PLB372" s="153"/>
      <c r="PLC372" s="153"/>
      <c r="PLD372" s="153"/>
      <c r="PLE372" s="153"/>
      <c r="PLF372" s="153"/>
      <c r="PLG372" s="650"/>
      <c r="PLH372" s="641"/>
      <c r="PLI372" s="638"/>
      <c r="PLJ372" s="639"/>
      <c r="PLK372" s="153"/>
      <c r="PLL372" s="153"/>
      <c r="PLM372" s="153"/>
      <c r="PLN372" s="153"/>
      <c r="PLO372" s="153"/>
      <c r="PLP372" s="153"/>
      <c r="PLQ372" s="153"/>
      <c r="PLR372" s="153"/>
      <c r="PLS372" s="153"/>
      <c r="PLT372" s="153"/>
      <c r="PLU372" s="153"/>
      <c r="PLV372" s="153"/>
      <c r="PLW372" s="650"/>
      <c r="PLX372" s="641"/>
      <c r="PLY372" s="638"/>
      <c r="PLZ372" s="639"/>
      <c r="PMA372" s="153"/>
      <c r="PMB372" s="153"/>
      <c r="PMC372" s="153"/>
      <c r="PMD372" s="153"/>
      <c r="PME372" s="153"/>
      <c r="PMF372" s="153"/>
      <c r="PMG372" s="153"/>
      <c r="PMH372" s="153"/>
      <c r="PMI372" s="153"/>
      <c r="PMJ372" s="153"/>
      <c r="PMK372" s="153"/>
      <c r="PML372" s="153"/>
      <c r="PMM372" s="650"/>
      <c r="PMN372" s="641"/>
      <c r="PMO372" s="638"/>
      <c r="PMP372" s="639"/>
      <c r="PMQ372" s="153"/>
      <c r="PMR372" s="153"/>
      <c r="PMS372" s="153"/>
      <c r="PMT372" s="153"/>
      <c r="PMU372" s="153"/>
      <c r="PMV372" s="153"/>
      <c r="PMW372" s="153"/>
      <c r="PMX372" s="153"/>
      <c r="PMY372" s="153"/>
      <c r="PMZ372" s="153"/>
      <c r="PNA372" s="153"/>
      <c r="PNB372" s="153"/>
      <c r="PNC372" s="650"/>
      <c r="PND372" s="641"/>
      <c r="PNE372" s="638"/>
      <c r="PNF372" s="639"/>
      <c r="PNG372" s="153"/>
      <c r="PNH372" s="153"/>
      <c r="PNI372" s="153"/>
      <c r="PNJ372" s="153"/>
      <c r="PNK372" s="153"/>
      <c r="PNL372" s="153"/>
      <c r="PNM372" s="153"/>
      <c r="PNN372" s="153"/>
      <c r="PNO372" s="153"/>
      <c r="PNP372" s="153"/>
      <c r="PNQ372" s="153"/>
      <c r="PNR372" s="153"/>
      <c r="PNS372" s="650"/>
      <c r="PNT372" s="641"/>
      <c r="PNU372" s="638"/>
      <c r="PNV372" s="639"/>
      <c r="PNW372" s="153"/>
      <c r="PNX372" s="153"/>
      <c r="PNY372" s="153"/>
      <c r="PNZ372" s="153"/>
      <c r="POA372" s="153"/>
      <c r="POB372" s="153"/>
      <c r="POC372" s="153"/>
      <c r="POD372" s="153"/>
      <c r="POE372" s="153"/>
      <c r="POF372" s="153"/>
      <c r="POG372" s="153"/>
      <c r="POH372" s="153"/>
      <c r="POI372" s="650"/>
      <c r="POJ372" s="641"/>
      <c r="POK372" s="638"/>
      <c r="POL372" s="639"/>
      <c r="POM372" s="153"/>
      <c r="PON372" s="153"/>
      <c r="POO372" s="153"/>
      <c r="POP372" s="153"/>
      <c r="POQ372" s="153"/>
      <c r="POR372" s="153"/>
      <c r="POS372" s="153"/>
      <c r="POT372" s="153"/>
      <c r="POU372" s="153"/>
      <c r="POV372" s="153"/>
      <c r="POW372" s="153"/>
      <c r="POX372" s="153"/>
      <c r="POY372" s="650"/>
      <c r="POZ372" s="641"/>
      <c r="PPA372" s="638"/>
      <c r="PPB372" s="639"/>
      <c r="PPC372" s="153"/>
      <c r="PPD372" s="153"/>
      <c r="PPE372" s="153"/>
      <c r="PPF372" s="153"/>
      <c r="PPG372" s="153"/>
      <c r="PPH372" s="153"/>
      <c r="PPI372" s="153"/>
      <c r="PPJ372" s="153"/>
      <c r="PPK372" s="153"/>
      <c r="PPL372" s="153"/>
      <c r="PPM372" s="153"/>
      <c r="PPN372" s="153"/>
      <c r="PPO372" s="650"/>
      <c r="PPP372" s="641"/>
      <c r="PPQ372" s="638"/>
      <c r="PPR372" s="639"/>
      <c r="PPS372" s="153"/>
      <c r="PPT372" s="153"/>
      <c r="PPU372" s="153"/>
      <c r="PPV372" s="153"/>
      <c r="PPW372" s="153"/>
      <c r="PPX372" s="153"/>
      <c r="PPY372" s="153"/>
      <c r="PPZ372" s="153"/>
      <c r="PQA372" s="153"/>
      <c r="PQB372" s="153"/>
      <c r="PQC372" s="153"/>
      <c r="PQD372" s="153"/>
      <c r="PQE372" s="650"/>
      <c r="PQF372" s="641"/>
      <c r="PQG372" s="638"/>
      <c r="PQH372" s="639"/>
      <c r="PQI372" s="153"/>
      <c r="PQJ372" s="153"/>
      <c r="PQK372" s="153"/>
      <c r="PQL372" s="153"/>
      <c r="PQM372" s="153"/>
      <c r="PQN372" s="153"/>
      <c r="PQO372" s="153"/>
      <c r="PQP372" s="153"/>
      <c r="PQQ372" s="153"/>
      <c r="PQR372" s="153"/>
      <c r="PQS372" s="153"/>
      <c r="PQT372" s="153"/>
      <c r="PQU372" s="650"/>
      <c r="PQV372" s="641"/>
      <c r="PQW372" s="638"/>
      <c r="PQX372" s="639"/>
      <c r="PQY372" s="153"/>
      <c r="PQZ372" s="153"/>
      <c r="PRA372" s="153"/>
      <c r="PRB372" s="153"/>
      <c r="PRC372" s="153"/>
      <c r="PRD372" s="153"/>
      <c r="PRE372" s="153"/>
      <c r="PRF372" s="153"/>
      <c r="PRG372" s="153"/>
      <c r="PRH372" s="153"/>
      <c r="PRI372" s="153"/>
      <c r="PRJ372" s="153"/>
      <c r="PRK372" s="650"/>
      <c r="PRL372" s="641"/>
      <c r="PRM372" s="638"/>
      <c r="PRN372" s="639"/>
      <c r="PRO372" s="153"/>
      <c r="PRP372" s="153"/>
      <c r="PRQ372" s="153"/>
      <c r="PRR372" s="153"/>
      <c r="PRS372" s="153"/>
      <c r="PRT372" s="153"/>
      <c r="PRU372" s="153"/>
      <c r="PRV372" s="153"/>
      <c r="PRW372" s="153"/>
      <c r="PRX372" s="153"/>
      <c r="PRY372" s="153"/>
      <c r="PRZ372" s="153"/>
      <c r="PSA372" s="650"/>
      <c r="PSB372" s="641"/>
      <c r="PSC372" s="638"/>
      <c r="PSD372" s="639"/>
      <c r="PSE372" s="153"/>
      <c r="PSF372" s="153"/>
      <c r="PSG372" s="153"/>
      <c r="PSH372" s="153"/>
      <c r="PSI372" s="153"/>
      <c r="PSJ372" s="153"/>
      <c r="PSK372" s="153"/>
      <c r="PSL372" s="153"/>
      <c r="PSM372" s="153"/>
      <c r="PSN372" s="153"/>
      <c r="PSO372" s="153"/>
      <c r="PSP372" s="153"/>
      <c r="PSQ372" s="650"/>
      <c r="PSR372" s="641"/>
      <c r="PSS372" s="638"/>
      <c r="PST372" s="639"/>
      <c r="PSU372" s="153"/>
      <c r="PSV372" s="153"/>
      <c r="PSW372" s="153"/>
      <c r="PSX372" s="153"/>
      <c r="PSY372" s="153"/>
      <c r="PSZ372" s="153"/>
      <c r="PTA372" s="153"/>
      <c r="PTB372" s="153"/>
      <c r="PTC372" s="153"/>
      <c r="PTD372" s="153"/>
      <c r="PTE372" s="153"/>
      <c r="PTF372" s="153"/>
      <c r="PTG372" s="650"/>
      <c r="PTH372" s="641"/>
      <c r="PTI372" s="638"/>
      <c r="PTJ372" s="639"/>
      <c r="PTK372" s="153"/>
      <c r="PTL372" s="153"/>
      <c r="PTM372" s="153"/>
      <c r="PTN372" s="153"/>
      <c r="PTO372" s="153"/>
      <c r="PTP372" s="153"/>
      <c r="PTQ372" s="153"/>
      <c r="PTR372" s="153"/>
      <c r="PTS372" s="153"/>
      <c r="PTT372" s="153"/>
      <c r="PTU372" s="153"/>
      <c r="PTV372" s="153"/>
      <c r="PTW372" s="650"/>
      <c r="PTX372" s="641"/>
      <c r="PTY372" s="638"/>
      <c r="PTZ372" s="639"/>
      <c r="PUA372" s="153"/>
      <c r="PUB372" s="153"/>
      <c r="PUC372" s="153"/>
      <c r="PUD372" s="153"/>
      <c r="PUE372" s="153"/>
      <c r="PUF372" s="153"/>
      <c r="PUG372" s="153"/>
      <c r="PUH372" s="153"/>
      <c r="PUI372" s="153"/>
      <c r="PUJ372" s="153"/>
      <c r="PUK372" s="153"/>
      <c r="PUL372" s="153"/>
      <c r="PUM372" s="650"/>
      <c r="PUN372" s="641"/>
      <c r="PUO372" s="638"/>
      <c r="PUP372" s="639"/>
      <c r="PUQ372" s="153"/>
      <c r="PUR372" s="153"/>
      <c r="PUS372" s="153"/>
      <c r="PUT372" s="153"/>
      <c r="PUU372" s="153"/>
      <c r="PUV372" s="153"/>
      <c r="PUW372" s="153"/>
      <c r="PUX372" s="153"/>
      <c r="PUY372" s="153"/>
      <c r="PUZ372" s="153"/>
      <c r="PVA372" s="153"/>
      <c r="PVB372" s="153"/>
      <c r="PVC372" s="650"/>
      <c r="PVD372" s="641"/>
      <c r="PVE372" s="638"/>
      <c r="PVF372" s="639"/>
      <c r="PVG372" s="153"/>
      <c r="PVH372" s="153"/>
      <c r="PVI372" s="153"/>
      <c r="PVJ372" s="153"/>
      <c r="PVK372" s="153"/>
      <c r="PVL372" s="153"/>
      <c r="PVM372" s="153"/>
      <c r="PVN372" s="153"/>
      <c r="PVO372" s="153"/>
      <c r="PVP372" s="153"/>
      <c r="PVQ372" s="153"/>
      <c r="PVR372" s="153"/>
      <c r="PVS372" s="650"/>
      <c r="PVT372" s="641"/>
      <c r="PVU372" s="638"/>
      <c r="PVV372" s="639"/>
      <c r="PVW372" s="153"/>
      <c r="PVX372" s="153"/>
      <c r="PVY372" s="153"/>
      <c r="PVZ372" s="153"/>
      <c r="PWA372" s="153"/>
      <c r="PWB372" s="153"/>
      <c r="PWC372" s="153"/>
      <c r="PWD372" s="153"/>
      <c r="PWE372" s="153"/>
      <c r="PWF372" s="153"/>
      <c r="PWG372" s="153"/>
      <c r="PWH372" s="153"/>
      <c r="PWI372" s="650"/>
      <c r="PWJ372" s="641"/>
      <c r="PWK372" s="638"/>
      <c r="PWL372" s="639"/>
      <c r="PWM372" s="153"/>
      <c r="PWN372" s="153"/>
      <c r="PWO372" s="153"/>
      <c r="PWP372" s="153"/>
      <c r="PWQ372" s="153"/>
      <c r="PWR372" s="153"/>
      <c r="PWS372" s="153"/>
      <c r="PWT372" s="153"/>
      <c r="PWU372" s="153"/>
      <c r="PWV372" s="153"/>
      <c r="PWW372" s="153"/>
      <c r="PWX372" s="153"/>
      <c r="PWY372" s="650"/>
      <c r="PWZ372" s="641"/>
      <c r="PXA372" s="638"/>
      <c r="PXB372" s="639"/>
      <c r="PXC372" s="153"/>
      <c r="PXD372" s="153"/>
      <c r="PXE372" s="153"/>
      <c r="PXF372" s="153"/>
      <c r="PXG372" s="153"/>
      <c r="PXH372" s="153"/>
      <c r="PXI372" s="153"/>
      <c r="PXJ372" s="153"/>
      <c r="PXK372" s="153"/>
      <c r="PXL372" s="153"/>
      <c r="PXM372" s="153"/>
      <c r="PXN372" s="153"/>
      <c r="PXO372" s="650"/>
      <c r="PXP372" s="641"/>
      <c r="PXQ372" s="638"/>
      <c r="PXR372" s="639"/>
      <c r="PXS372" s="153"/>
      <c r="PXT372" s="153"/>
      <c r="PXU372" s="153"/>
      <c r="PXV372" s="153"/>
      <c r="PXW372" s="153"/>
      <c r="PXX372" s="153"/>
      <c r="PXY372" s="153"/>
      <c r="PXZ372" s="153"/>
      <c r="PYA372" s="153"/>
      <c r="PYB372" s="153"/>
      <c r="PYC372" s="153"/>
      <c r="PYD372" s="153"/>
      <c r="PYE372" s="650"/>
      <c r="PYF372" s="641"/>
      <c r="PYG372" s="638"/>
      <c r="PYH372" s="639"/>
      <c r="PYI372" s="153"/>
      <c r="PYJ372" s="153"/>
      <c r="PYK372" s="153"/>
      <c r="PYL372" s="153"/>
      <c r="PYM372" s="153"/>
      <c r="PYN372" s="153"/>
      <c r="PYO372" s="153"/>
      <c r="PYP372" s="153"/>
      <c r="PYQ372" s="153"/>
      <c r="PYR372" s="153"/>
      <c r="PYS372" s="153"/>
      <c r="PYT372" s="153"/>
      <c r="PYU372" s="650"/>
      <c r="PYV372" s="641"/>
      <c r="PYW372" s="638"/>
      <c r="PYX372" s="639"/>
      <c r="PYY372" s="153"/>
      <c r="PYZ372" s="153"/>
      <c r="PZA372" s="153"/>
      <c r="PZB372" s="153"/>
      <c r="PZC372" s="153"/>
      <c r="PZD372" s="153"/>
      <c r="PZE372" s="153"/>
      <c r="PZF372" s="153"/>
      <c r="PZG372" s="153"/>
      <c r="PZH372" s="153"/>
      <c r="PZI372" s="153"/>
      <c r="PZJ372" s="153"/>
      <c r="PZK372" s="650"/>
      <c r="PZL372" s="641"/>
      <c r="PZM372" s="638"/>
      <c r="PZN372" s="639"/>
      <c r="PZO372" s="153"/>
      <c r="PZP372" s="153"/>
      <c r="PZQ372" s="153"/>
      <c r="PZR372" s="153"/>
      <c r="PZS372" s="153"/>
      <c r="PZT372" s="153"/>
      <c r="PZU372" s="153"/>
      <c r="PZV372" s="153"/>
      <c r="PZW372" s="153"/>
      <c r="PZX372" s="153"/>
      <c r="PZY372" s="153"/>
      <c r="PZZ372" s="153"/>
      <c r="QAA372" s="650"/>
      <c r="QAB372" s="641"/>
      <c r="QAC372" s="638"/>
      <c r="QAD372" s="639"/>
      <c r="QAE372" s="153"/>
      <c r="QAF372" s="153"/>
      <c r="QAG372" s="153"/>
      <c r="QAH372" s="153"/>
      <c r="QAI372" s="153"/>
      <c r="QAJ372" s="153"/>
      <c r="QAK372" s="153"/>
      <c r="QAL372" s="153"/>
      <c r="QAM372" s="153"/>
      <c r="QAN372" s="153"/>
      <c r="QAO372" s="153"/>
      <c r="QAP372" s="153"/>
      <c r="QAQ372" s="650"/>
      <c r="QAR372" s="641"/>
      <c r="QAS372" s="638"/>
      <c r="QAT372" s="639"/>
      <c r="QAU372" s="153"/>
      <c r="QAV372" s="153"/>
      <c r="QAW372" s="153"/>
      <c r="QAX372" s="153"/>
      <c r="QAY372" s="153"/>
      <c r="QAZ372" s="153"/>
      <c r="QBA372" s="153"/>
      <c r="QBB372" s="153"/>
      <c r="QBC372" s="153"/>
      <c r="QBD372" s="153"/>
      <c r="QBE372" s="153"/>
      <c r="QBF372" s="153"/>
      <c r="QBG372" s="650"/>
      <c r="QBH372" s="641"/>
      <c r="QBI372" s="638"/>
      <c r="QBJ372" s="639"/>
      <c r="QBK372" s="153"/>
      <c r="QBL372" s="153"/>
      <c r="QBM372" s="153"/>
      <c r="QBN372" s="153"/>
      <c r="QBO372" s="153"/>
      <c r="QBP372" s="153"/>
      <c r="QBQ372" s="153"/>
      <c r="QBR372" s="153"/>
      <c r="QBS372" s="153"/>
      <c r="QBT372" s="153"/>
      <c r="QBU372" s="153"/>
      <c r="QBV372" s="153"/>
      <c r="QBW372" s="650"/>
      <c r="QBX372" s="641"/>
      <c r="QBY372" s="638"/>
      <c r="QBZ372" s="639"/>
      <c r="QCA372" s="153"/>
      <c r="QCB372" s="153"/>
      <c r="QCC372" s="153"/>
      <c r="QCD372" s="153"/>
      <c r="QCE372" s="153"/>
      <c r="QCF372" s="153"/>
      <c r="QCG372" s="153"/>
      <c r="QCH372" s="153"/>
      <c r="QCI372" s="153"/>
      <c r="QCJ372" s="153"/>
      <c r="QCK372" s="153"/>
      <c r="QCL372" s="153"/>
      <c r="QCM372" s="650"/>
      <c r="QCN372" s="641"/>
      <c r="QCO372" s="638"/>
      <c r="QCP372" s="639"/>
      <c r="QCQ372" s="153"/>
      <c r="QCR372" s="153"/>
      <c r="QCS372" s="153"/>
      <c r="QCT372" s="153"/>
      <c r="QCU372" s="153"/>
      <c r="QCV372" s="153"/>
      <c r="QCW372" s="153"/>
      <c r="QCX372" s="153"/>
      <c r="QCY372" s="153"/>
      <c r="QCZ372" s="153"/>
      <c r="QDA372" s="153"/>
      <c r="QDB372" s="153"/>
      <c r="QDC372" s="650"/>
      <c r="QDD372" s="641"/>
      <c r="QDE372" s="638"/>
      <c r="QDF372" s="639"/>
      <c r="QDG372" s="153"/>
      <c r="QDH372" s="153"/>
      <c r="QDI372" s="153"/>
      <c r="QDJ372" s="153"/>
      <c r="QDK372" s="153"/>
      <c r="QDL372" s="153"/>
      <c r="QDM372" s="153"/>
      <c r="QDN372" s="153"/>
      <c r="QDO372" s="153"/>
      <c r="QDP372" s="153"/>
      <c r="QDQ372" s="153"/>
      <c r="QDR372" s="153"/>
      <c r="QDS372" s="650"/>
      <c r="QDT372" s="641"/>
      <c r="QDU372" s="638"/>
      <c r="QDV372" s="639"/>
      <c r="QDW372" s="153"/>
      <c r="QDX372" s="153"/>
      <c r="QDY372" s="153"/>
      <c r="QDZ372" s="153"/>
      <c r="QEA372" s="153"/>
      <c r="QEB372" s="153"/>
      <c r="QEC372" s="153"/>
      <c r="QED372" s="153"/>
      <c r="QEE372" s="153"/>
      <c r="QEF372" s="153"/>
      <c r="QEG372" s="153"/>
      <c r="QEH372" s="153"/>
      <c r="QEI372" s="650"/>
      <c r="QEJ372" s="641"/>
      <c r="QEK372" s="638"/>
      <c r="QEL372" s="639"/>
      <c r="QEM372" s="153"/>
      <c r="QEN372" s="153"/>
      <c r="QEO372" s="153"/>
      <c r="QEP372" s="153"/>
      <c r="QEQ372" s="153"/>
      <c r="QER372" s="153"/>
      <c r="QES372" s="153"/>
      <c r="QET372" s="153"/>
      <c r="QEU372" s="153"/>
      <c r="QEV372" s="153"/>
      <c r="QEW372" s="153"/>
      <c r="QEX372" s="153"/>
      <c r="QEY372" s="650"/>
      <c r="QEZ372" s="641"/>
      <c r="QFA372" s="638"/>
      <c r="QFB372" s="639"/>
      <c r="QFC372" s="153"/>
      <c r="QFD372" s="153"/>
      <c r="QFE372" s="153"/>
      <c r="QFF372" s="153"/>
      <c r="QFG372" s="153"/>
      <c r="QFH372" s="153"/>
      <c r="QFI372" s="153"/>
      <c r="QFJ372" s="153"/>
      <c r="QFK372" s="153"/>
      <c r="QFL372" s="153"/>
      <c r="QFM372" s="153"/>
      <c r="QFN372" s="153"/>
      <c r="QFO372" s="650"/>
      <c r="QFP372" s="641"/>
      <c r="QFQ372" s="638"/>
      <c r="QFR372" s="639"/>
      <c r="QFS372" s="153"/>
      <c r="QFT372" s="153"/>
      <c r="QFU372" s="153"/>
      <c r="QFV372" s="153"/>
      <c r="QFW372" s="153"/>
      <c r="QFX372" s="153"/>
      <c r="QFY372" s="153"/>
      <c r="QFZ372" s="153"/>
      <c r="QGA372" s="153"/>
      <c r="QGB372" s="153"/>
      <c r="QGC372" s="153"/>
      <c r="QGD372" s="153"/>
      <c r="QGE372" s="650"/>
      <c r="QGF372" s="641"/>
      <c r="QGG372" s="638"/>
      <c r="QGH372" s="639"/>
      <c r="QGI372" s="153"/>
      <c r="QGJ372" s="153"/>
      <c r="QGK372" s="153"/>
      <c r="QGL372" s="153"/>
      <c r="QGM372" s="153"/>
      <c r="QGN372" s="153"/>
      <c r="QGO372" s="153"/>
      <c r="QGP372" s="153"/>
      <c r="QGQ372" s="153"/>
      <c r="QGR372" s="153"/>
      <c r="QGS372" s="153"/>
      <c r="QGT372" s="153"/>
      <c r="QGU372" s="650"/>
      <c r="QGV372" s="641"/>
      <c r="QGW372" s="638"/>
      <c r="QGX372" s="639"/>
      <c r="QGY372" s="153"/>
      <c r="QGZ372" s="153"/>
      <c r="QHA372" s="153"/>
      <c r="QHB372" s="153"/>
      <c r="QHC372" s="153"/>
      <c r="QHD372" s="153"/>
      <c r="QHE372" s="153"/>
      <c r="QHF372" s="153"/>
      <c r="QHG372" s="153"/>
      <c r="QHH372" s="153"/>
      <c r="QHI372" s="153"/>
      <c r="QHJ372" s="153"/>
      <c r="QHK372" s="650"/>
      <c r="QHL372" s="641"/>
      <c r="QHM372" s="638"/>
      <c r="QHN372" s="639"/>
      <c r="QHO372" s="153"/>
      <c r="QHP372" s="153"/>
      <c r="QHQ372" s="153"/>
      <c r="QHR372" s="153"/>
      <c r="QHS372" s="153"/>
      <c r="QHT372" s="153"/>
      <c r="QHU372" s="153"/>
      <c r="QHV372" s="153"/>
      <c r="QHW372" s="153"/>
      <c r="QHX372" s="153"/>
      <c r="QHY372" s="153"/>
      <c r="QHZ372" s="153"/>
      <c r="QIA372" s="650"/>
      <c r="QIB372" s="641"/>
      <c r="QIC372" s="638"/>
      <c r="QID372" s="639"/>
      <c r="QIE372" s="153"/>
      <c r="QIF372" s="153"/>
      <c r="QIG372" s="153"/>
      <c r="QIH372" s="153"/>
      <c r="QII372" s="153"/>
      <c r="QIJ372" s="153"/>
      <c r="QIK372" s="153"/>
      <c r="QIL372" s="153"/>
      <c r="QIM372" s="153"/>
      <c r="QIN372" s="153"/>
      <c r="QIO372" s="153"/>
      <c r="QIP372" s="153"/>
      <c r="QIQ372" s="650"/>
      <c r="QIR372" s="641"/>
      <c r="QIS372" s="638"/>
      <c r="QIT372" s="639"/>
      <c r="QIU372" s="153"/>
      <c r="QIV372" s="153"/>
      <c r="QIW372" s="153"/>
      <c r="QIX372" s="153"/>
      <c r="QIY372" s="153"/>
      <c r="QIZ372" s="153"/>
      <c r="QJA372" s="153"/>
      <c r="QJB372" s="153"/>
      <c r="QJC372" s="153"/>
      <c r="QJD372" s="153"/>
      <c r="QJE372" s="153"/>
      <c r="QJF372" s="153"/>
      <c r="QJG372" s="650"/>
      <c r="QJH372" s="641"/>
      <c r="QJI372" s="638"/>
      <c r="QJJ372" s="639"/>
      <c r="QJK372" s="153"/>
      <c r="QJL372" s="153"/>
      <c r="QJM372" s="153"/>
      <c r="QJN372" s="153"/>
      <c r="QJO372" s="153"/>
      <c r="QJP372" s="153"/>
      <c r="QJQ372" s="153"/>
      <c r="QJR372" s="153"/>
      <c r="QJS372" s="153"/>
      <c r="QJT372" s="153"/>
      <c r="QJU372" s="153"/>
      <c r="QJV372" s="153"/>
      <c r="QJW372" s="650"/>
      <c r="QJX372" s="641"/>
      <c r="QJY372" s="638"/>
      <c r="QJZ372" s="639"/>
      <c r="QKA372" s="153"/>
      <c r="QKB372" s="153"/>
      <c r="QKC372" s="153"/>
      <c r="QKD372" s="153"/>
      <c r="QKE372" s="153"/>
      <c r="QKF372" s="153"/>
      <c r="QKG372" s="153"/>
      <c r="QKH372" s="153"/>
      <c r="QKI372" s="153"/>
      <c r="QKJ372" s="153"/>
      <c r="QKK372" s="153"/>
      <c r="QKL372" s="153"/>
      <c r="QKM372" s="650"/>
      <c r="QKN372" s="641"/>
      <c r="QKO372" s="638"/>
      <c r="QKP372" s="639"/>
      <c r="QKQ372" s="153"/>
      <c r="QKR372" s="153"/>
      <c r="QKS372" s="153"/>
      <c r="QKT372" s="153"/>
      <c r="QKU372" s="153"/>
      <c r="QKV372" s="153"/>
      <c r="QKW372" s="153"/>
      <c r="QKX372" s="153"/>
      <c r="QKY372" s="153"/>
      <c r="QKZ372" s="153"/>
      <c r="QLA372" s="153"/>
      <c r="QLB372" s="153"/>
      <c r="QLC372" s="650"/>
      <c r="QLD372" s="641"/>
      <c r="QLE372" s="638"/>
      <c r="QLF372" s="639"/>
      <c r="QLG372" s="153"/>
      <c r="QLH372" s="153"/>
      <c r="QLI372" s="153"/>
      <c r="QLJ372" s="153"/>
      <c r="QLK372" s="153"/>
      <c r="QLL372" s="153"/>
      <c r="QLM372" s="153"/>
      <c r="QLN372" s="153"/>
      <c r="QLO372" s="153"/>
      <c r="QLP372" s="153"/>
      <c r="QLQ372" s="153"/>
      <c r="QLR372" s="153"/>
      <c r="QLS372" s="650"/>
      <c r="QLT372" s="641"/>
      <c r="QLU372" s="638"/>
      <c r="QLV372" s="639"/>
      <c r="QLW372" s="153"/>
      <c r="QLX372" s="153"/>
      <c r="QLY372" s="153"/>
      <c r="QLZ372" s="153"/>
      <c r="QMA372" s="153"/>
      <c r="QMB372" s="153"/>
      <c r="QMC372" s="153"/>
      <c r="QMD372" s="153"/>
      <c r="QME372" s="153"/>
      <c r="QMF372" s="153"/>
      <c r="QMG372" s="153"/>
      <c r="QMH372" s="153"/>
      <c r="QMI372" s="650"/>
      <c r="QMJ372" s="641"/>
      <c r="QMK372" s="638"/>
      <c r="QML372" s="639"/>
      <c r="QMM372" s="153"/>
      <c r="QMN372" s="153"/>
      <c r="QMO372" s="153"/>
      <c r="QMP372" s="153"/>
      <c r="QMQ372" s="153"/>
      <c r="QMR372" s="153"/>
      <c r="QMS372" s="153"/>
      <c r="QMT372" s="153"/>
      <c r="QMU372" s="153"/>
      <c r="QMV372" s="153"/>
      <c r="QMW372" s="153"/>
      <c r="QMX372" s="153"/>
      <c r="QMY372" s="650"/>
      <c r="QMZ372" s="641"/>
      <c r="QNA372" s="638"/>
      <c r="QNB372" s="639"/>
      <c r="QNC372" s="153"/>
      <c r="QND372" s="153"/>
      <c r="QNE372" s="153"/>
      <c r="QNF372" s="153"/>
      <c r="QNG372" s="153"/>
      <c r="QNH372" s="153"/>
      <c r="QNI372" s="153"/>
      <c r="QNJ372" s="153"/>
      <c r="QNK372" s="153"/>
      <c r="QNL372" s="153"/>
      <c r="QNM372" s="153"/>
      <c r="QNN372" s="153"/>
      <c r="QNO372" s="650"/>
      <c r="QNP372" s="641"/>
      <c r="QNQ372" s="638"/>
      <c r="QNR372" s="639"/>
      <c r="QNS372" s="153"/>
      <c r="QNT372" s="153"/>
      <c r="QNU372" s="153"/>
      <c r="QNV372" s="153"/>
      <c r="QNW372" s="153"/>
      <c r="QNX372" s="153"/>
      <c r="QNY372" s="153"/>
      <c r="QNZ372" s="153"/>
      <c r="QOA372" s="153"/>
      <c r="QOB372" s="153"/>
      <c r="QOC372" s="153"/>
      <c r="QOD372" s="153"/>
      <c r="QOE372" s="650"/>
      <c r="QOF372" s="641"/>
      <c r="QOG372" s="638"/>
      <c r="QOH372" s="639"/>
      <c r="QOI372" s="153"/>
      <c r="QOJ372" s="153"/>
      <c r="QOK372" s="153"/>
      <c r="QOL372" s="153"/>
      <c r="QOM372" s="153"/>
      <c r="QON372" s="153"/>
      <c r="QOO372" s="153"/>
      <c r="QOP372" s="153"/>
      <c r="QOQ372" s="153"/>
      <c r="QOR372" s="153"/>
      <c r="QOS372" s="153"/>
      <c r="QOT372" s="153"/>
      <c r="QOU372" s="650"/>
      <c r="QOV372" s="641"/>
      <c r="QOW372" s="638"/>
      <c r="QOX372" s="639"/>
      <c r="QOY372" s="153"/>
      <c r="QOZ372" s="153"/>
      <c r="QPA372" s="153"/>
      <c r="QPB372" s="153"/>
      <c r="QPC372" s="153"/>
      <c r="QPD372" s="153"/>
      <c r="QPE372" s="153"/>
      <c r="QPF372" s="153"/>
      <c r="QPG372" s="153"/>
      <c r="QPH372" s="153"/>
      <c r="QPI372" s="153"/>
      <c r="QPJ372" s="153"/>
      <c r="QPK372" s="650"/>
      <c r="QPL372" s="641"/>
      <c r="QPM372" s="638"/>
      <c r="QPN372" s="639"/>
      <c r="QPO372" s="153"/>
      <c r="QPP372" s="153"/>
      <c r="QPQ372" s="153"/>
      <c r="QPR372" s="153"/>
      <c r="QPS372" s="153"/>
      <c r="QPT372" s="153"/>
      <c r="QPU372" s="153"/>
      <c r="QPV372" s="153"/>
      <c r="QPW372" s="153"/>
      <c r="QPX372" s="153"/>
      <c r="QPY372" s="153"/>
      <c r="QPZ372" s="153"/>
      <c r="QQA372" s="650"/>
      <c r="QQB372" s="641"/>
      <c r="QQC372" s="638"/>
      <c r="QQD372" s="639"/>
      <c r="QQE372" s="153"/>
      <c r="QQF372" s="153"/>
      <c r="QQG372" s="153"/>
      <c r="QQH372" s="153"/>
      <c r="QQI372" s="153"/>
      <c r="QQJ372" s="153"/>
      <c r="QQK372" s="153"/>
      <c r="QQL372" s="153"/>
      <c r="QQM372" s="153"/>
      <c r="QQN372" s="153"/>
      <c r="QQO372" s="153"/>
      <c r="QQP372" s="153"/>
      <c r="QQQ372" s="650"/>
      <c r="QQR372" s="641"/>
      <c r="QQS372" s="638"/>
      <c r="QQT372" s="639"/>
      <c r="QQU372" s="153"/>
      <c r="QQV372" s="153"/>
      <c r="QQW372" s="153"/>
      <c r="QQX372" s="153"/>
      <c r="QQY372" s="153"/>
      <c r="QQZ372" s="153"/>
      <c r="QRA372" s="153"/>
      <c r="QRB372" s="153"/>
      <c r="QRC372" s="153"/>
      <c r="QRD372" s="153"/>
      <c r="QRE372" s="153"/>
      <c r="QRF372" s="153"/>
      <c r="QRG372" s="650"/>
      <c r="QRH372" s="641"/>
      <c r="QRI372" s="638"/>
      <c r="QRJ372" s="639"/>
      <c r="QRK372" s="153"/>
      <c r="QRL372" s="153"/>
      <c r="QRM372" s="153"/>
      <c r="QRN372" s="153"/>
      <c r="QRO372" s="153"/>
      <c r="QRP372" s="153"/>
      <c r="QRQ372" s="153"/>
      <c r="QRR372" s="153"/>
      <c r="QRS372" s="153"/>
      <c r="QRT372" s="153"/>
      <c r="QRU372" s="153"/>
      <c r="QRV372" s="153"/>
      <c r="QRW372" s="650"/>
      <c r="QRX372" s="641"/>
      <c r="QRY372" s="638"/>
      <c r="QRZ372" s="639"/>
      <c r="QSA372" s="153"/>
      <c r="QSB372" s="153"/>
      <c r="QSC372" s="153"/>
      <c r="QSD372" s="153"/>
      <c r="QSE372" s="153"/>
      <c r="QSF372" s="153"/>
      <c r="QSG372" s="153"/>
      <c r="QSH372" s="153"/>
      <c r="QSI372" s="153"/>
      <c r="QSJ372" s="153"/>
      <c r="QSK372" s="153"/>
      <c r="QSL372" s="153"/>
      <c r="QSM372" s="650"/>
      <c r="QSN372" s="641"/>
      <c r="QSO372" s="638"/>
      <c r="QSP372" s="639"/>
      <c r="QSQ372" s="153"/>
      <c r="QSR372" s="153"/>
      <c r="QSS372" s="153"/>
      <c r="QST372" s="153"/>
      <c r="QSU372" s="153"/>
      <c r="QSV372" s="153"/>
      <c r="QSW372" s="153"/>
      <c r="QSX372" s="153"/>
      <c r="QSY372" s="153"/>
      <c r="QSZ372" s="153"/>
      <c r="QTA372" s="153"/>
      <c r="QTB372" s="153"/>
      <c r="QTC372" s="650"/>
      <c r="QTD372" s="641"/>
      <c r="QTE372" s="638"/>
      <c r="QTF372" s="639"/>
      <c r="QTG372" s="153"/>
      <c r="QTH372" s="153"/>
      <c r="QTI372" s="153"/>
      <c r="QTJ372" s="153"/>
      <c r="QTK372" s="153"/>
      <c r="QTL372" s="153"/>
      <c r="QTM372" s="153"/>
      <c r="QTN372" s="153"/>
      <c r="QTO372" s="153"/>
      <c r="QTP372" s="153"/>
      <c r="QTQ372" s="153"/>
      <c r="QTR372" s="153"/>
      <c r="QTS372" s="650"/>
      <c r="QTT372" s="641"/>
      <c r="QTU372" s="638"/>
      <c r="QTV372" s="639"/>
      <c r="QTW372" s="153"/>
      <c r="QTX372" s="153"/>
      <c r="QTY372" s="153"/>
      <c r="QTZ372" s="153"/>
      <c r="QUA372" s="153"/>
      <c r="QUB372" s="153"/>
      <c r="QUC372" s="153"/>
      <c r="QUD372" s="153"/>
      <c r="QUE372" s="153"/>
      <c r="QUF372" s="153"/>
      <c r="QUG372" s="153"/>
      <c r="QUH372" s="153"/>
      <c r="QUI372" s="650"/>
      <c r="QUJ372" s="641"/>
      <c r="QUK372" s="638"/>
      <c r="QUL372" s="639"/>
      <c r="QUM372" s="153"/>
      <c r="QUN372" s="153"/>
      <c r="QUO372" s="153"/>
      <c r="QUP372" s="153"/>
      <c r="QUQ372" s="153"/>
      <c r="QUR372" s="153"/>
      <c r="QUS372" s="153"/>
      <c r="QUT372" s="153"/>
      <c r="QUU372" s="153"/>
      <c r="QUV372" s="153"/>
      <c r="QUW372" s="153"/>
      <c r="QUX372" s="153"/>
      <c r="QUY372" s="650"/>
      <c r="QUZ372" s="641"/>
      <c r="QVA372" s="638"/>
      <c r="QVB372" s="639"/>
      <c r="QVC372" s="153"/>
      <c r="QVD372" s="153"/>
      <c r="QVE372" s="153"/>
      <c r="QVF372" s="153"/>
      <c r="QVG372" s="153"/>
      <c r="QVH372" s="153"/>
      <c r="QVI372" s="153"/>
      <c r="QVJ372" s="153"/>
      <c r="QVK372" s="153"/>
      <c r="QVL372" s="153"/>
      <c r="QVM372" s="153"/>
      <c r="QVN372" s="153"/>
      <c r="QVO372" s="650"/>
      <c r="QVP372" s="641"/>
      <c r="QVQ372" s="638"/>
      <c r="QVR372" s="639"/>
      <c r="QVS372" s="153"/>
      <c r="QVT372" s="153"/>
      <c r="QVU372" s="153"/>
      <c r="QVV372" s="153"/>
      <c r="QVW372" s="153"/>
      <c r="QVX372" s="153"/>
      <c r="QVY372" s="153"/>
      <c r="QVZ372" s="153"/>
      <c r="QWA372" s="153"/>
      <c r="QWB372" s="153"/>
      <c r="QWC372" s="153"/>
      <c r="QWD372" s="153"/>
      <c r="QWE372" s="650"/>
      <c r="QWF372" s="641"/>
      <c r="QWG372" s="638"/>
      <c r="QWH372" s="639"/>
      <c r="QWI372" s="153"/>
      <c r="QWJ372" s="153"/>
      <c r="QWK372" s="153"/>
      <c r="QWL372" s="153"/>
      <c r="QWM372" s="153"/>
      <c r="QWN372" s="153"/>
      <c r="QWO372" s="153"/>
      <c r="QWP372" s="153"/>
      <c r="QWQ372" s="153"/>
      <c r="QWR372" s="153"/>
      <c r="QWS372" s="153"/>
      <c r="QWT372" s="153"/>
      <c r="QWU372" s="650"/>
      <c r="QWV372" s="641"/>
      <c r="QWW372" s="638"/>
      <c r="QWX372" s="639"/>
      <c r="QWY372" s="153"/>
      <c r="QWZ372" s="153"/>
      <c r="QXA372" s="153"/>
      <c r="QXB372" s="153"/>
      <c r="QXC372" s="153"/>
      <c r="QXD372" s="153"/>
      <c r="QXE372" s="153"/>
      <c r="QXF372" s="153"/>
      <c r="QXG372" s="153"/>
      <c r="QXH372" s="153"/>
      <c r="QXI372" s="153"/>
      <c r="QXJ372" s="153"/>
      <c r="QXK372" s="650"/>
      <c r="QXL372" s="641"/>
      <c r="QXM372" s="638"/>
      <c r="QXN372" s="639"/>
      <c r="QXO372" s="153"/>
      <c r="QXP372" s="153"/>
      <c r="QXQ372" s="153"/>
      <c r="QXR372" s="153"/>
      <c r="QXS372" s="153"/>
      <c r="QXT372" s="153"/>
      <c r="QXU372" s="153"/>
      <c r="QXV372" s="153"/>
      <c r="QXW372" s="153"/>
      <c r="QXX372" s="153"/>
      <c r="QXY372" s="153"/>
      <c r="QXZ372" s="153"/>
      <c r="QYA372" s="650"/>
      <c r="QYB372" s="641"/>
      <c r="QYC372" s="638"/>
      <c r="QYD372" s="639"/>
      <c r="QYE372" s="153"/>
      <c r="QYF372" s="153"/>
      <c r="QYG372" s="153"/>
      <c r="QYH372" s="153"/>
      <c r="QYI372" s="153"/>
      <c r="QYJ372" s="153"/>
      <c r="QYK372" s="153"/>
      <c r="QYL372" s="153"/>
      <c r="QYM372" s="153"/>
      <c r="QYN372" s="153"/>
      <c r="QYO372" s="153"/>
      <c r="QYP372" s="153"/>
      <c r="QYQ372" s="650"/>
      <c r="QYR372" s="641"/>
      <c r="QYS372" s="638"/>
      <c r="QYT372" s="639"/>
      <c r="QYU372" s="153"/>
      <c r="QYV372" s="153"/>
      <c r="QYW372" s="153"/>
      <c r="QYX372" s="153"/>
      <c r="QYY372" s="153"/>
      <c r="QYZ372" s="153"/>
      <c r="QZA372" s="153"/>
      <c r="QZB372" s="153"/>
      <c r="QZC372" s="153"/>
      <c r="QZD372" s="153"/>
      <c r="QZE372" s="153"/>
      <c r="QZF372" s="153"/>
      <c r="QZG372" s="650"/>
      <c r="QZH372" s="641"/>
      <c r="QZI372" s="638"/>
      <c r="QZJ372" s="639"/>
      <c r="QZK372" s="153"/>
      <c r="QZL372" s="153"/>
      <c r="QZM372" s="153"/>
      <c r="QZN372" s="153"/>
      <c r="QZO372" s="153"/>
      <c r="QZP372" s="153"/>
      <c r="QZQ372" s="153"/>
      <c r="QZR372" s="153"/>
      <c r="QZS372" s="153"/>
      <c r="QZT372" s="153"/>
      <c r="QZU372" s="153"/>
      <c r="QZV372" s="153"/>
      <c r="QZW372" s="650"/>
      <c r="QZX372" s="641"/>
      <c r="QZY372" s="638"/>
      <c r="QZZ372" s="639"/>
      <c r="RAA372" s="153"/>
      <c r="RAB372" s="153"/>
      <c r="RAC372" s="153"/>
      <c r="RAD372" s="153"/>
      <c r="RAE372" s="153"/>
      <c r="RAF372" s="153"/>
      <c r="RAG372" s="153"/>
      <c r="RAH372" s="153"/>
      <c r="RAI372" s="153"/>
      <c r="RAJ372" s="153"/>
      <c r="RAK372" s="153"/>
      <c r="RAL372" s="153"/>
      <c r="RAM372" s="650"/>
      <c r="RAN372" s="641"/>
      <c r="RAO372" s="638"/>
      <c r="RAP372" s="639"/>
      <c r="RAQ372" s="153"/>
      <c r="RAR372" s="153"/>
      <c r="RAS372" s="153"/>
      <c r="RAT372" s="153"/>
      <c r="RAU372" s="153"/>
      <c r="RAV372" s="153"/>
      <c r="RAW372" s="153"/>
      <c r="RAX372" s="153"/>
      <c r="RAY372" s="153"/>
      <c r="RAZ372" s="153"/>
      <c r="RBA372" s="153"/>
      <c r="RBB372" s="153"/>
      <c r="RBC372" s="650"/>
      <c r="RBD372" s="641"/>
      <c r="RBE372" s="638"/>
      <c r="RBF372" s="639"/>
      <c r="RBG372" s="153"/>
      <c r="RBH372" s="153"/>
      <c r="RBI372" s="153"/>
      <c r="RBJ372" s="153"/>
      <c r="RBK372" s="153"/>
      <c r="RBL372" s="153"/>
      <c r="RBM372" s="153"/>
      <c r="RBN372" s="153"/>
      <c r="RBO372" s="153"/>
      <c r="RBP372" s="153"/>
      <c r="RBQ372" s="153"/>
      <c r="RBR372" s="153"/>
      <c r="RBS372" s="650"/>
      <c r="RBT372" s="641"/>
      <c r="RBU372" s="638"/>
      <c r="RBV372" s="639"/>
      <c r="RBW372" s="153"/>
      <c r="RBX372" s="153"/>
      <c r="RBY372" s="153"/>
      <c r="RBZ372" s="153"/>
      <c r="RCA372" s="153"/>
      <c r="RCB372" s="153"/>
      <c r="RCC372" s="153"/>
      <c r="RCD372" s="153"/>
      <c r="RCE372" s="153"/>
      <c r="RCF372" s="153"/>
      <c r="RCG372" s="153"/>
      <c r="RCH372" s="153"/>
      <c r="RCI372" s="650"/>
      <c r="RCJ372" s="641"/>
      <c r="RCK372" s="638"/>
      <c r="RCL372" s="639"/>
      <c r="RCM372" s="153"/>
      <c r="RCN372" s="153"/>
      <c r="RCO372" s="153"/>
      <c r="RCP372" s="153"/>
      <c r="RCQ372" s="153"/>
      <c r="RCR372" s="153"/>
      <c r="RCS372" s="153"/>
      <c r="RCT372" s="153"/>
      <c r="RCU372" s="153"/>
      <c r="RCV372" s="153"/>
      <c r="RCW372" s="153"/>
      <c r="RCX372" s="153"/>
      <c r="RCY372" s="650"/>
      <c r="RCZ372" s="641"/>
      <c r="RDA372" s="638"/>
      <c r="RDB372" s="639"/>
      <c r="RDC372" s="153"/>
      <c r="RDD372" s="153"/>
      <c r="RDE372" s="153"/>
      <c r="RDF372" s="153"/>
      <c r="RDG372" s="153"/>
      <c r="RDH372" s="153"/>
      <c r="RDI372" s="153"/>
      <c r="RDJ372" s="153"/>
      <c r="RDK372" s="153"/>
      <c r="RDL372" s="153"/>
      <c r="RDM372" s="153"/>
      <c r="RDN372" s="153"/>
      <c r="RDO372" s="650"/>
      <c r="RDP372" s="641"/>
      <c r="RDQ372" s="638"/>
      <c r="RDR372" s="639"/>
      <c r="RDS372" s="153"/>
      <c r="RDT372" s="153"/>
      <c r="RDU372" s="153"/>
      <c r="RDV372" s="153"/>
      <c r="RDW372" s="153"/>
      <c r="RDX372" s="153"/>
      <c r="RDY372" s="153"/>
      <c r="RDZ372" s="153"/>
      <c r="REA372" s="153"/>
      <c r="REB372" s="153"/>
      <c r="REC372" s="153"/>
      <c r="RED372" s="153"/>
      <c r="REE372" s="650"/>
      <c r="REF372" s="641"/>
      <c r="REG372" s="638"/>
      <c r="REH372" s="639"/>
      <c r="REI372" s="153"/>
      <c r="REJ372" s="153"/>
      <c r="REK372" s="153"/>
      <c r="REL372" s="153"/>
      <c r="REM372" s="153"/>
      <c r="REN372" s="153"/>
      <c r="REO372" s="153"/>
      <c r="REP372" s="153"/>
      <c r="REQ372" s="153"/>
      <c r="RER372" s="153"/>
      <c r="RES372" s="153"/>
      <c r="RET372" s="153"/>
      <c r="REU372" s="650"/>
      <c r="REV372" s="641"/>
      <c r="REW372" s="638"/>
      <c r="REX372" s="639"/>
      <c r="REY372" s="153"/>
      <c r="REZ372" s="153"/>
      <c r="RFA372" s="153"/>
      <c r="RFB372" s="153"/>
      <c r="RFC372" s="153"/>
      <c r="RFD372" s="153"/>
      <c r="RFE372" s="153"/>
      <c r="RFF372" s="153"/>
      <c r="RFG372" s="153"/>
      <c r="RFH372" s="153"/>
      <c r="RFI372" s="153"/>
      <c r="RFJ372" s="153"/>
      <c r="RFK372" s="650"/>
      <c r="RFL372" s="641"/>
      <c r="RFM372" s="638"/>
      <c r="RFN372" s="639"/>
      <c r="RFO372" s="153"/>
      <c r="RFP372" s="153"/>
      <c r="RFQ372" s="153"/>
      <c r="RFR372" s="153"/>
      <c r="RFS372" s="153"/>
      <c r="RFT372" s="153"/>
      <c r="RFU372" s="153"/>
      <c r="RFV372" s="153"/>
      <c r="RFW372" s="153"/>
      <c r="RFX372" s="153"/>
      <c r="RFY372" s="153"/>
      <c r="RFZ372" s="153"/>
      <c r="RGA372" s="650"/>
      <c r="RGB372" s="641"/>
      <c r="RGC372" s="638"/>
      <c r="RGD372" s="639"/>
      <c r="RGE372" s="153"/>
      <c r="RGF372" s="153"/>
      <c r="RGG372" s="153"/>
      <c r="RGH372" s="153"/>
      <c r="RGI372" s="153"/>
      <c r="RGJ372" s="153"/>
      <c r="RGK372" s="153"/>
      <c r="RGL372" s="153"/>
      <c r="RGM372" s="153"/>
      <c r="RGN372" s="153"/>
      <c r="RGO372" s="153"/>
      <c r="RGP372" s="153"/>
      <c r="RGQ372" s="650"/>
      <c r="RGR372" s="641"/>
      <c r="RGS372" s="638"/>
      <c r="RGT372" s="639"/>
      <c r="RGU372" s="153"/>
      <c r="RGV372" s="153"/>
      <c r="RGW372" s="153"/>
      <c r="RGX372" s="153"/>
      <c r="RGY372" s="153"/>
      <c r="RGZ372" s="153"/>
      <c r="RHA372" s="153"/>
      <c r="RHB372" s="153"/>
      <c r="RHC372" s="153"/>
      <c r="RHD372" s="153"/>
      <c r="RHE372" s="153"/>
      <c r="RHF372" s="153"/>
      <c r="RHG372" s="650"/>
      <c r="RHH372" s="641"/>
      <c r="RHI372" s="638"/>
      <c r="RHJ372" s="639"/>
      <c r="RHK372" s="153"/>
      <c r="RHL372" s="153"/>
      <c r="RHM372" s="153"/>
      <c r="RHN372" s="153"/>
      <c r="RHO372" s="153"/>
      <c r="RHP372" s="153"/>
      <c r="RHQ372" s="153"/>
      <c r="RHR372" s="153"/>
      <c r="RHS372" s="153"/>
      <c r="RHT372" s="153"/>
      <c r="RHU372" s="153"/>
      <c r="RHV372" s="153"/>
      <c r="RHW372" s="650"/>
      <c r="RHX372" s="641"/>
      <c r="RHY372" s="638"/>
      <c r="RHZ372" s="639"/>
      <c r="RIA372" s="153"/>
      <c r="RIB372" s="153"/>
      <c r="RIC372" s="153"/>
      <c r="RID372" s="153"/>
      <c r="RIE372" s="153"/>
      <c r="RIF372" s="153"/>
      <c r="RIG372" s="153"/>
      <c r="RIH372" s="153"/>
      <c r="RII372" s="153"/>
      <c r="RIJ372" s="153"/>
      <c r="RIK372" s="153"/>
      <c r="RIL372" s="153"/>
      <c r="RIM372" s="650"/>
      <c r="RIN372" s="641"/>
      <c r="RIO372" s="638"/>
      <c r="RIP372" s="639"/>
      <c r="RIQ372" s="153"/>
      <c r="RIR372" s="153"/>
      <c r="RIS372" s="153"/>
      <c r="RIT372" s="153"/>
      <c r="RIU372" s="153"/>
      <c r="RIV372" s="153"/>
      <c r="RIW372" s="153"/>
      <c r="RIX372" s="153"/>
      <c r="RIY372" s="153"/>
      <c r="RIZ372" s="153"/>
      <c r="RJA372" s="153"/>
      <c r="RJB372" s="153"/>
      <c r="RJC372" s="650"/>
      <c r="RJD372" s="641"/>
      <c r="RJE372" s="638"/>
      <c r="RJF372" s="639"/>
      <c r="RJG372" s="153"/>
      <c r="RJH372" s="153"/>
      <c r="RJI372" s="153"/>
      <c r="RJJ372" s="153"/>
      <c r="RJK372" s="153"/>
      <c r="RJL372" s="153"/>
      <c r="RJM372" s="153"/>
      <c r="RJN372" s="153"/>
      <c r="RJO372" s="153"/>
      <c r="RJP372" s="153"/>
      <c r="RJQ372" s="153"/>
      <c r="RJR372" s="153"/>
      <c r="RJS372" s="650"/>
      <c r="RJT372" s="641"/>
      <c r="RJU372" s="638"/>
      <c r="RJV372" s="639"/>
      <c r="RJW372" s="153"/>
      <c r="RJX372" s="153"/>
      <c r="RJY372" s="153"/>
      <c r="RJZ372" s="153"/>
      <c r="RKA372" s="153"/>
      <c r="RKB372" s="153"/>
      <c r="RKC372" s="153"/>
      <c r="RKD372" s="153"/>
      <c r="RKE372" s="153"/>
      <c r="RKF372" s="153"/>
      <c r="RKG372" s="153"/>
      <c r="RKH372" s="153"/>
      <c r="RKI372" s="650"/>
      <c r="RKJ372" s="641"/>
      <c r="RKK372" s="638"/>
      <c r="RKL372" s="639"/>
      <c r="RKM372" s="153"/>
      <c r="RKN372" s="153"/>
      <c r="RKO372" s="153"/>
      <c r="RKP372" s="153"/>
      <c r="RKQ372" s="153"/>
      <c r="RKR372" s="153"/>
      <c r="RKS372" s="153"/>
      <c r="RKT372" s="153"/>
      <c r="RKU372" s="153"/>
      <c r="RKV372" s="153"/>
      <c r="RKW372" s="153"/>
      <c r="RKX372" s="153"/>
      <c r="RKY372" s="650"/>
      <c r="RKZ372" s="641"/>
      <c r="RLA372" s="638"/>
      <c r="RLB372" s="639"/>
      <c r="RLC372" s="153"/>
      <c r="RLD372" s="153"/>
      <c r="RLE372" s="153"/>
      <c r="RLF372" s="153"/>
      <c r="RLG372" s="153"/>
      <c r="RLH372" s="153"/>
      <c r="RLI372" s="153"/>
      <c r="RLJ372" s="153"/>
      <c r="RLK372" s="153"/>
      <c r="RLL372" s="153"/>
      <c r="RLM372" s="153"/>
      <c r="RLN372" s="153"/>
      <c r="RLO372" s="650"/>
      <c r="RLP372" s="641"/>
      <c r="RLQ372" s="638"/>
      <c r="RLR372" s="639"/>
      <c r="RLS372" s="153"/>
      <c r="RLT372" s="153"/>
      <c r="RLU372" s="153"/>
      <c r="RLV372" s="153"/>
      <c r="RLW372" s="153"/>
      <c r="RLX372" s="153"/>
      <c r="RLY372" s="153"/>
      <c r="RLZ372" s="153"/>
      <c r="RMA372" s="153"/>
      <c r="RMB372" s="153"/>
      <c r="RMC372" s="153"/>
      <c r="RMD372" s="153"/>
      <c r="RME372" s="650"/>
      <c r="RMF372" s="641"/>
      <c r="RMG372" s="638"/>
      <c r="RMH372" s="639"/>
      <c r="RMI372" s="153"/>
      <c r="RMJ372" s="153"/>
      <c r="RMK372" s="153"/>
      <c r="RML372" s="153"/>
      <c r="RMM372" s="153"/>
      <c r="RMN372" s="153"/>
      <c r="RMO372" s="153"/>
      <c r="RMP372" s="153"/>
      <c r="RMQ372" s="153"/>
      <c r="RMR372" s="153"/>
      <c r="RMS372" s="153"/>
      <c r="RMT372" s="153"/>
      <c r="RMU372" s="650"/>
      <c r="RMV372" s="641"/>
      <c r="RMW372" s="638"/>
      <c r="RMX372" s="639"/>
      <c r="RMY372" s="153"/>
      <c r="RMZ372" s="153"/>
      <c r="RNA372" s="153"/>
      <c r="RNB372" s="153"/>
      <c r="RNC372" s="153"/>
      <c r="RND372" s="153"/>
      <c r="RNE372" s="153"/>
      <c r="RNF372" s="153"/>
      <c r="RNG372" s="153"/>
      <c r="RNH372" s="153"/>
      <c r="RNI372" s="153"/>
      <c r="RNJ372" s="153"/>
      <c r="RNK372" s="650"/>
      <c r="RNL372" s="641"/>
      <c r="RNM372" s="638"/>
      <c r="RNN372" s="639"/>
      <c r="RNO372" s="153"/>
      <c r="RNP372" s="153"/>
      <c r="RNQ372" s="153"/>
      <c r="RNR372" s="153"/>
      <c r="RNS372" s="153"/>
      <c r="RNT372" s="153"/>
      <c r="RNU372" s="153"/>
      <c r="RNV372" s="153"/>
      <c r="RNW372" s="153"/>
      <c r="RNX372" s="153"/>
      <c r="RNY372" s="153"/>
      <c r="RNZ372" s="153"/>
      <c r="ROA372" s="650"/>
      <c r="ROB372" s="641"/>
      <c r="ROC372" s="638"/>
      <c r="ROD372" s="639"/>
      <c r="ROE372" s="153"/>
      <c r="ROF372" s="153"/>
      <c r="ROG372" s="153"/>
      <c r="ROH372" s="153"/>
      <c r="ROI372" s="153"/>
      <c r="ROJ372" s="153"/>
      <c r="ROK372" s="153"/>
      <c r="ROL372" s="153"/>
      <c r="ROM372" s="153"/>
      <c r="RON372" s="153"/>
      <c r="ROO372" s="153"/>
      <c r="ROP372" s="153"/>
      <c r="ROQ372" s="650"/>
      <c r="ROR372" s="641"/>
      <c r="ROS372" s="638"/>
      <c r="ROT372" s="639"/>
      <c r="ROU372" s="153"/>
      <c r="ROV372" s="153"/>
      <c r="ROW372" s="153"/>
      <c r="ROX372" s="153"/>
      <c r="ROY372" s="153"/>
      <c r="ROZ372" s="153"/>
      <c r="RPA372" s="153"/>
      <c r="RPB372" s="153"/>
      <c r="RPC372" s="153"/>
      <c r="RPD372" s="153"/>
      <c r="RPE372" s="153"/>
      <c r="RPF372" s="153"/>
      <c r="RPG372" s="650"/>
      <c r="RPH372" s="641"/>
      <c r="RPI372" s="638"/>
      <c r="RPJ372" s="639"/>
      <c r="RPK372" s="153"/>
      <c r="RPL372" s="153"/>
      <c r="RPM372" s="153"/>
      <c r="RPN372" s="153"/>
      <c r="RPO372" s="153"/>
      <c r="RPP372" s="153"/>
      <c r="RPQ372" s="153"/>
      <c r="RPR372" s="153"/>
      <c r="RPS372" s="153"/>
      <c r="RPT372" s="153"/>
      <c r="RPU372" s="153"/>
      <c r="RPV372" s="153"/>
      <c r="RPW372" s="650"/>
      <c r="RPX372" s="641"/>
      <c r="RPY372" s="638"/>
      <c r="RPZ372" s="639"/>
      <c r="RQA372" s="153"/>
      <c r="RQB372" s="153"/>
      <c r="RQC372" s="153"/>
      <c r="RQD372" s="153"/>
      <c r="RQE372" s="153"/>
      <c r="RQF372" s="153"/>
      <c r="RQG372" s="153"/>
      <c r="RQH372" s="153"/>
      <c r="RQI372" s="153"/>
      <c r="RQJ372" s="153"/>
      <c r="RQK372" s="153"/>
      <c r="RQL372" s="153"/>
      <c r="RQM372" s="650"/>
      <c r="RQN372" s="641"/>
      <c r="RQO372" s="638"/>
      <c r="RQP372" s="639"/>
      <c r="RQQ372" s="153"/>
      <c r="RQR372" s="153"/>
      <c r="RQS372" s="153"/>
      <c r="RQT372" s="153"/>
      <c r="RQU372" s="153"/>
      <c r="RQV372" s="153"/>
      <c r="RQW372" s="153"/>
      <c r="RQX372" s="153"/>
      <c r="RQY372" s="153"/>
      <c r="RQZ372" s="153"/>
      <c r="RRA372" s="153"/>
      <c r="RRB372" s="153"/>
      <c r="RRC372" s="650"/>
      <c r="RRD372" s="641"/>
      <c r="RRE372" s="638"/>
      <c r="RRF372" s="639"/>
      <c r="RRG372" s="153"/>
      <c r="RRH372" s="153"/>
      <c r="RRI372" s="153"/>
      <c r="RRJ372" s="153"/>
      <c r="RRK372" s="153"/>
      <c r="RRL372" s="153"/>
      <c r="RRM372" s="153"/>
      <c r="RRN372" s="153"/>
      <c r="RRO372" s="153"/>
      <c r="RRP372" s="153"/>
      <c r="RRQ372" s="153"/>
      <c r="RRR372" s="153"/>
      <c r="RRS372" s="650"/>
      <c r="RRT372" s="641"/>
      <c r="RRU372" s="638"/>
      <c r="RRV372" s="639"/>
      <c r="RRW372" s="153"/>
      <c r="RRX372" s="153"/>
      <c r="RRY372" s="153"/>
      <c r="RRZ372" s="153"/>
      <c r="RSA372" s="153"/>
      <c r="RSB372" s="153"/>
      <c r="RSC372" s="153"/>
      <c r="RSD372" s="153"/>
      <c r="RSE372" s="153"/>
      <c r="RSF372" s="153"/>
      <c r="RSG372" s="153"/>
      <c r="RSH372" s="153"/>
      <c r="RSI372" s="650"/>
      <c r="RSJ372" s="641"/>
      <c r="RSK372" s="638"/>
      <c r="RSL372" s="639"/>
      <c r="RSM372" s="153"/>
      <c r="RSN372" s="153"/>
      <c r="RSO372" s="153"/>
      <c r="RSP372" s="153"/>
      <c r="RSQ372" s="153"/>
      <c r="RSR372" s="153"/>
      <c r="RSS372" s="153"/>
      <c r="RST372" s="153"/>
      <c r="RSU372" s="153"/>
      <c r="RSV372" s="153"/>
      <c r="RSW372" s="153"/>
      <c r="RSX372" s="153"/>
      <c r="RSY372" s="650"/>
      <c r="RSZ372" s="641"/>
      <c r="RTA372" s="638"/>
      <c r="RTB372" s="639"/>
      <c r="RTC372" s="153"/>
      <c r="RTD372" s="153"/>
      <c r="RTE372" s="153"/>
      <c r="RTF372" s="153"/>
      <c r="RTG372" s="153"/>
      <c r="RTH372" s="153"/>
      <c r="RTI372" s="153"/>
      <c r="RTJ372" s="153"/>
      <c r="RTK372" s="153"/>
      <c r="RTL372" s="153"/>
      <c r="RTM372" s="153"/>
      <c r="RTN372" s="153"/>
      <c r="RTO372" s="650"/>
      <c r="RTP372" s="641"/>
      <c r="RTQ372" s="638"/>
      <c r="RTR372" s="639"/>
      <c r="RTS372" s="153"/>
      <c r="RTT372" s="153"/>
      <c r="RTU372" s="153"/>
      <c r="RTV372" s="153"/>
      <c r="RTW372" s="153"/>
      <c r="RTX372" s="153"/>
      <c r="RTY372" s="153"/>
      <c r="RTZ372" s="153"/>
      <c r="RUA372" s="153"/>
      <c r="RUB372" s="153"/>
      <c r="RUC372" s="153"/>
      <c r="RUD372" s="153"/>
      <c r="RUE372" s="650"/>
      <c r="RUF372" s="641"/>
      <c r="RUG372" s="638"/>
      <c r="RUH372" s="639"/>
      <c r="RUI372" s="153"/>
      <c r="RUJ372" s="153"/>
      <c r="RUK372" s="153"/>
      <c r="RUL372" s="153"/>
      <c r="RUM372" s="153"/>
      <c r="RUN372" s="153"/>
      <c r="RUO372" s="153"/>
      <c r="RUP372" s="153"/>
      <c r="RUQ372" s="153"/>
      <c r="RUR372" s="153"/>
      <c r="RUS372" s="153"/>
      <c r="RUT372" s="153"/>
      <c r="RUU372" s="650"/>
      <c r="RUV372" s="641"/>
      <c r="RUW372" s="638"/>
      <c r="RUX372" s="639"/>
      <c r="RUY372" s="153"/>
      <c r="RUZ372" s="153"/>
      <c r="RVA372" s="153"/>
      <c r="RVB372" s="153"/>
      <c r="RVC372" s="153"/>
      <c r="RVD372" s="153"/>
      <c r="RVE372" s="153"/>
      <c r="RVF372" s="153"/>
      <c r="RVG372" s="153"/>
      <c r="RVH372" s="153"/>
      <c r="RVI372" s="153"/>
      <c r="RVJ372" s="153"/>
      <c r="RVK372" s="650"/>
      <c r="RVL372" s="641"/>
      <c r="RVM372" s="638"/>
      <c r="RVN372" s="639"/>
      <c r="RVO372" s="153"/>
      <c r="RVP372" s="153"/>
      <c r="RVQ372" s="153"/>
      <c r="RVR372" s="153"/>
      <c r="RVS372" s="153"/>
      <c r="RVT372" s="153"/>
      <c r="RVU372" s="153"/>
      <c r="RVV372" s="153"/>
      <c r="RVW372" s="153"/>
      <c r="RVX372" s="153"/>
      <c r="RVY372" s="153"/>
      <c r="RVZ372" s="153"/>
      <c r="RWA372" s="650"/>
      <c r="RWB372" s="641"/>
      <c r="RWC372" s="638"/>
      <c r="RWD372" s="639"/>
      <c r="RWE372" s="153"/>
      <c r="RWF372" s="153"/>
      <c r="RWG372" s="153"/>
      <c r="RWH372" s="153"/>
      <c r="RWI372" s="153"/>
      <c r="RWJ372" s="153"/>
      <c r="RWK372" s="153"/>
      <c r="RWL372" s="153"/>
      <c r="RWM372" s="153"/>
      <c r="RWN372" s="153"/>
      <c r="RWO372" s="153"/>
      <c r="RWP372" s="153"/>
      <c r="RWQ372" s="650"/>
      <c r="RWR372" s="641"/>
      <c r="RWS372" s="638"/>
      <c r="RWT372" s="639"/>
      <c r="RWU372" s="153"/>
      <c r="RWV372" s="153"/>
      <c r="RWW372" s="153"/>
      <c r="RWX372" s="153"/>
      <c r="RWY372" s="153"/>
      <c r="RWZ372" s="153"/>
      <c r="RXA372" s="153"/>
      <c r="RXB372" s="153"/>
      <c r="RXC372" s="153"/>
      <c r="RXD372" s="153"/>
      <c r="RXE372" s="153"/>
      <c r="RXF372" s="153"/>
      <c r="RXG372" s="650"/>
      <c r="RXH372" s="641"/>
      <c r="RXI372" s="638"/>
      <c r="RXJ372" s="639"/>
      <c r="RXK372" s="153"/>
      <c r="RXL372" s="153"/>
      <c r="RXM372" s="153"/>
      <c r="RXN372" s="153"/>
      <c r="RXO372" s="153"/>
      <c r="RXP372" s="153"/>
      <c r="RXQ372" s="153"/>
      <c r="RXR372" s="153"/>
      <c r="RXS372" s="153"/>
      <c r="RXT372" s="153"/>
      <c r="RXU372" s="153"/>
      <c r="RXV372" s="153"/>
      <c r="RXW372" s="650"/>
      <c r="RXX372" s="641"/>
      <c r="RXY372" s="638"/>
      <c r="RXZ372" s="639"/>
      <c r="RYA372" s="153"/>
      <c r="RYB372" s="153"/>
      <c r="RYC372" s="153"/>
      <c r="RYD372" s="153"/>
      <c r="RYE372" s="153"/>
      <c r="RYF372" s="153"/>
      <c r="RYG372" s="153"/>
      <c r="RYH372" s="153"/>
      <c r="RYI372" s="153"/>
      <c r="RYJ372" s="153"/>
      <c r="RYK372" s="153"/>
      <c r="RYL372" s="153"/>
      <c r="RYM372" s="650"/>
      <c r="RYN372" s="641"/>
      <c r="RYO372" s="638"/>
      <c r="RYP372" s="639"/>
      <c r="RYQ372" s="153"/>
      <c r="RYR372" s="153"/>
      <c r="RYS372" s="153"/>
      <c r="RYT372" s="153"/>
      <c r="RYU372" s="153"/>
      <c r="RYV372" s="153"/>
      <c r="RYW372" s="153"/>
      <c r="RYX372" s="153"/>
      <c r="RYY372" s="153"/>
      <c r="RYZ372" s="153"/>
      <c r="RZA372" s="153"/>
      <c r="RZB372" s="153"/>
      <c r="RZC372" s="650"/>
      <c r="RZD372" s="641"/>
      <c r="RZE372" s="638"/>
      <c r="RZF372" s="639"/>
      <c r="RZG372" s="153"/>
      <c r="RZH372" s="153"/>
      <c r="RZI372" s="153"/>
      <c r="RZJ372" s="153"/>
      <c r="RZK372" s="153"/>
      <c r="RZL372" s="153"/>
      <c r="RZM372" s="153"/>
      <c r="RZN372" s="153"/>
      <c r="RZO372" s="153"/>
      <c r="RZP372" s="153"/>
      <c r="RZQ372" s="153"/>
      <c r="RZR372" s="153"/>
      <c r="RZS372" s="650"/>
      <c r="RZT372" s="641"/>
      <c r="RZU372" s="638"/>
      <c r="RZV372" s="639"/>
      <c r="RZW372" s="153"/>
      <c r="RZX372" s="153"/>
      <c r="RZY372" s="153"/>
      <c r="RZZ372" s="153"/>
      <c r="SAA372" s="153"/>
      <c r="SAB372" s="153"/>
      <c r="SAC372" s="153"/>
      <c r="SAD372" s="153"/>
      <c r="SAE372" s="153"/>
      <c r="SAF372" s="153"/>
      <c r="SAG372" s="153"/>
      <c r="SAH372" s="153"/>
      <c r="SAI372" s="650"/>
      <c r="SAJ372" s="641"/>
      <c r="SAK372" s="638"/>
      <c r="SAL372" s="639"/>
      <c r="SAM372" s="153"/>
      <c r="SAN372" s="153"/>
      <c r="SAO372" s="153"/>
      <c r="SAP372" s="153"/>
      <c r="SAQ372" s="153"/>
      <c r="SAR372" s="153"/>
      <c r="SAS372" s="153"/>
      <c r="SAT372" s="153"/>
      <c r="SAU372" s="153"/>
      <c r="SAV372" s="153"/>
      <c r="SAW372" s="153"/>
      <c r="SAX372" s="153"/>
      <c r="SAY372" s="650"/>
      <c r="SAZ372" s="641"/>
      <c r="SBA372" s="638"/>
      <c r="SBB372" s="639"/>
      <c r="SBC372" s="153"/>
      <c r="SBD372" s="153"/>
      <c r="SBE372" s="153"/>
      <c r="SBF372" s="153"/>
      <c r="SBG372" s="153"/>
      <c r="SBH372" s="153"/>
      <c r="SBI372" s="153"/>
      <c r="SBJ372" s="153"/>
      <c r="SBK372" s="153"/>
      <c r="SBL372" s="153"/>
      <c r="SBM372" s="153"/>
      <c r="SBN372" s="153"/>
      <c r="SBO372" s="650"/>
      <c r="SBP372" s="641"/>
      <c r="SBQ372" s="638"/>
      <c r="SBR372" s="639"/>
      <c r="SBS372" s="153"/>
      <c r="SBT372" s="153"/>
      <c r="SBU372" s="153"/>
      <c r="SBV372" s="153"/>
      <c r="SBW372" s="153"/>
      <c r="SBX372" s="153"/>
      <c r="SBY372" s="153"/>
      <c r="SBZ372" s="153"/>
      <c r="SCA372" s="153"/>
      <c r="SCB372" s="153"/>
      <c r="SCC372" s="153"/>
      <c r="SCD372" s="153"/>
      <c r="SCE372" s="650"/>
      <c r="SCF372" s="641"/>
      <c r="SCG372" s="638"/>
      <c r="SCH372" s="639"/>
      <c r="SCI372" s="153"/>
      <c r="SCJ372" s="153"/>
      <c r="SCK372" s="153"/>
      <c r="SCL372" s="153"/>
      <c r="SCM372" s="153"/>
      <c r="SCN372" s="153"/>
      <c r="SCO372" s="153"/>
      <c r="SCP372" s="153"/>
      <c r="SCQ372" s="153"/>
      <c r="SCR372" s="153"/>
      <c r="SCS372" s="153"/>
      <c r="SCT372" s="153"/>
      <c r="SCU372" s="650"/>
      <c r="SCV372" s="641"/>
      <c r="SCW372" s="638"/>
      <c r="SCX372" s="639"/>
      <c r="SCY372" s="153"/>
      <c r="SCZ372" s="153"/>
      <c r="SDA372" s="153"/>
      <c r="SDB372" s="153"/>
      <c r="SDC372" s="153"/>
      <c r="SDD372" s="153"/>
      <c r="SDE372" s="153"/>
      <c r="SDF372" s="153"/>
      <c r="SDG372" s="153"/>
      <c r="SDH372" s="153"/>
      <c r="SDI372" s="153"/>
      <c r="SDJ372" s="153"/>
      <c r="SDK372" s="650"/>
      <c r="SDL372" s="641"/>
      <c r="SDM372" s="638"/>
      <c r="SDN372" s="639"/>
      <c r="SDO372" s="153"/>
      <c r="SDP372" s="153"/>
      <c r="SDQ372" s="153"/>
      <c r="SDR372" s="153"/>
      <c r="SDS372" s="153"/>
      <c r="SDT372" s="153"/>
      <c r="SDU372" s="153"/>
      <c r="SDV372" s="153"/>
      <c r="SDW372" s="153"/>
      <c r="SDX372" s="153"/>
      <c r="SDY372" s="153"/>
      <c r="SDZ372" s="153"/>
      <c r="SEA372" s="650"/>
      <c r="SEB372" s="641"/>
      <c r="SEC372" s="638"/>
      <c r="SED372" s="639"/>
      <c r="SEE372" s="153"/>
      <c r="SEF372" s="153"/>
      <c r="SEG372" s="153"/>
      <c r="SEH372" s="153"/>
      <c r="SEI372" s="153"/>
      <c r="SEJ372" s="153"/>
      <c r="SEK372" s="153"/>
      <c r="SEL372" s="153"/>
      <c r="SEM372" s="153"/>
      <c r="SEN372" s="153"/>
      <c r="SEO372" s="153"/>
      <c r="SEP372" s="153"/>
      <c r="SEQ372" s="650"/>
      <c r="SER372" s="641"/>
      <c r="SES372" s="638"/>
      <c r="SET372" s="639"/>
      <c r="SEU372" s="153"/>
      <c r="SEV372" s="153"/>
      <c r="SEW372" s="153"/>
      <c r="SEX372" s="153"/>
      <c r="SEY372" s="153"/>
      <c r="SEZ372" s="153"/>
      <c r="SFA372" s="153"/>
      <c r="SFB372" s="153"/>
      <c r="SFC372" s="153"/>
      <c r="SFD372" s="153"/>
      <c r="SFE372" s="153"/>
      <c r="SFF372" s="153"/>
      <c r="SFG372" s="650"/>
      <c r="SFH372" s="641"/>
      <c r="SFI372" s="638"/>
      <c r="SFJ372" s="639"/>
      <c r="SFK372" s="153"/>
      <c r="SFL372" s="153"/>
      <c r="SFM372" s="153"/>
      <c r="SFN372" s="153"/>
      <c r="SFO372" s="153"/>
      <c r="SFP372" s="153"/>
      <c r="SFQ372" s="153"/>
      <c r="SFR372" s="153"/>
      <c r="SFS372" s="153"/>
      <c r="SFT372" s="153"/>
      <c r="SFU372" s="153"/>
      <c r="SFV372" s="153"/>
      <c r="SFW372" s="650"/>
      <c r="SFX372" s="641"/>
      <c r="SFY372" s="638"/>
      <c r="SFZ372" s="639"/>
      <c r="SGA372" s="153"/>
      <c r="SGB372" s="153"/>
      <c r="SGC372" s="153"/>
      <c r="SGD372" s="153"/>
      <c r="SGE372" s="153"/>
      <c r="SGF372" s="153"/>
      <c r="SGG372" s="153"/>
      <c r="SGH372" s="153"/>
      <c r="SGI372" s="153"/>
      <c r="SGJ372" s="153"/>
      <c r="SGK372" s="153"/>
      <c r="SGL372" s="153"/>
      <c r="SGM372" s="650"/>
      <c r="SGN372" s="641"/>
      <c r="SGO372" s="638"/>
      <c r="SGP372" s="639"/>
      <c r="SGQ372" s="153"/>
      <c r="SGR372" s="153"/>
      <c r="SGS372" s="153"/>
      <c r="SGT372" s="153"/>
      <c r="SGU372" s="153"/>
      <c r="SGV372" s="153"/>
      <c r="SGW372" s="153"/>
      <c r="SGX372" s="153"/>
      <c r="SGY372" s="153"/>
      <c r="SGZ372" s="153"/>
      <c r="SHA372" s="153"/>
      <c r="SHB372" s="153"/>
      <c r="SHC372" s="650"/>
      <c r="SHD372" s="641"/>
      <c r="SHE372" s="638"/>
      <c r="SHF372" s="639"/>
      <c r="SHG372" s="153"/>
      <c r="SHH372" s="153"/>
      <c r="SHI372" s="153"/>
      <c r="SHJ372" s="153"/>
      <c r="SHK372" s="153"/>
      <c r="SHL372" s="153"/>
      <c r="SHM372" s="153"/>
      <c r="SHN372" s="153"/>
      <c r="SHO372" s="153"/>
      <c r="SHP372" s="153"/>
      <c r="SHQ372" s="153"/>
      <c r="SHR372" s="153"/>
      <c r="SHS372" s="650"/>
      <c r="SHT372" s="641"/>
      <c r="SHU372" s="638"/>
      <c r="SHV372" s="639"/>
      <c r="SHW372" s="153"/>
      <c r="SHX372" s="153"/>
      <c r="SHY372" s="153"/>
      <c r="SHZ372" s="153"/>
      <c r="SIA372" s="153"/>
      <c r="SIB372" s="153"/>
      <c r="SIC372" s="153"/>
      <c r="SID372" s="153"/>
      <c r="SIE372" s="153"/>
      <c r="SIF372" s="153"/>
      <c r="SIG372" s="153"/>
      <c r="SIH372" s="153"/>
      <c r="SII372" s="650"/>
      <c r="SIJ372" s="641"/>
      <c r="SIK372" s="638"/>
      <c r="SIL372" s="639"/>
      <c r="SIM372" s="153"/>
      <c r="SIN372" s="153"/>
      <c r="SIO372" s="153"/>
      <c r="SIP372" s="153"/>
      <c r="SIQ372" s="153"/>
      <c r="SIR372" s="153"/>
      <c r="SIS372" s="153"/>
      <c r="SIT372" s="153"/>
      <c r="SIU372" s="153"/>
      <c r="SIV372" s="153"/>
      <c r="SIW372" s="153"/>
      <c r="SIX372" s="153"/>
      <c r="SIY372" s="650"/>
      <c r="SIZ372" s="641"/>
      <c r="SJA372" s="638"/>
      <c r="SJB372" s="639"/>
      <c r="SJC372" s="153"/>
      <c r="SJD372" s="153"/>
      <c r="SJE372" s="153"/>
      <c r="SJF372" s="153"/>
      <c r="SJG372" s="153"/>
      <c r="SJH372" s="153"/>
      <c r="SJI372" s="153"/>
      <c r="SJJ372" s="153"/>
      <c r="SJK372" s="153"/>
      <c r="SJL372" s="153"/>
      <c r="SJM372" s="153"/>
      <c r="SJN372" s="153"/>
      <c r="SJO372" s="650"/>
      <c r="SJP372" s="641"/>
      <c r="SJQ372" s="638"/>
      <c r="SJR372" s="639"/>
      <c r="SJS372" s="153"/>
      <c r="SJT372" s="153"/>
      <c r="SJU372" s="153"/>
      <c r="SJV372" s="153"/>
      <c r="SJW372" s="153"/>
      <c r="SJX372" s="153"/>
      <c r="SJY372" s="153"/>
      <c r="SJZ372" s="153"/>
      <c r="SKA372" s="153"/>
      <c r="SKB372" s="153"/>
      <c r="SKC372" s="153"/>
      <c r="SKD372" s="153"/>
      <c r="SKE372" s="650"/>
      <c r="SKF372" s="641"/>
      <c r="SKG372" s="638"/>
      <c r="SKH372" s="639"/>
      <c r="SKI372" s="153"/>
      <c r="SKJ372" s="153"/>
      <c r="SKK372" s="153"/>
      <c r="SKL372" s="153"/>
      <c r="SKM372" s="153"/>
      <c r="SKN372" s="153"/>
      <c r="SKO372" s="153"/>
      <c r="SKP372" s="153"/>
      <c r="SKQ372" s="153"/>
      <c r="SKR372" s="153"/>
      <c r="SKS372" s="153"/>
      <c r="SKT372" s="153"/>
      <c r="SKU372" s="650"/>
      <c r="SKV372" s="641"/>
      <c r="SKW372" s="638"/>
      <c r="SKX372" s="639"/>
      <c r="SKY372" s="153"/>
      <c r="SKZ372" s="153"/>
      <c r="SLA372" s="153"/>
      <c r="SLB372" s="153"/>
      <c r="SLC372" s="153"/>
      <c r="SLD372" s="153"/>
      <c r="SLE372" s="153"/>
      <c r="SLF372" s="153"/>
      <c r="SLG372" s="153"/>
      <c r="SLH372" s="153"/>
      <c r="SLI372" s="153"/>
      <c r="SLJ372" s="153"/>
      <c r="SLK372" s="650"/>
      <c r="SLL372" s="641"/>
      <c r="SLM372" s="638"/>
      <c r="SLN372" s="639"/>
      <c r="SLO372" s="153"/>
      <c r="SLP372" s="153"/>
      <c r="SLQ372" s="153"/>
      <c r="SLR372" s="153"/>
      <c r="SLS372" s="153"/>
      <c r="SLT372" s="153"/>
      <c r="SLU372" s="153"/>
      <c r="SLV372" s="153"/>
      <c r="SLW372" s="153"/>
      <c r="SLX372" s="153"/>
      <c r="SLY372" s="153"/>
      <c r="SLZ372" s="153"/>
      <c r="SMA372" s="650"/>
      <c r="SMB372" s="641"/>
      <c r="SMC372" s="638"/>
      <c r="SMD372" s="639"/>
      <c r="SME372" s="153"/>
      <c r="SMF372" s="153"/>
      <c r="SMG372" s="153"/>
      <c r="SMH372" s="153"/>
      <c r="SMI372" s="153"/>
      <c r="SMJ372" s="153"/>
      <c r="SMK372" s="153"/>
      <c r="SML372" s="153"/>
      <c r="SMM372" s="153"/>
      <c r="SMN372" s="153"/>
      <c r="SMO372" s="153"/>
      <c r="SMP372" s="153"/>
      <c r="SMQ372" s="650"/>
      <c r="SMR372" s="641"/>
      <c r="SMS372" s="638"/>
      <c r="SMT372" s="639"/>
      <c r="SMU372" s="153"/>
      <c r="SMV372" s="153"/>
      <c r="SMW372" s="153"/>
      <c r="SMX372" s="153"/>
      <c r="SMY372" s="153"/>
      <c r="SMZ372" s="153"/>
      <c r="SNA372" s="153"/>
      <c r="SNB372" s="153"/>
      <c r="SNC372" s="153"/>
      <c r="SND372" s="153"/>
      <c r="SNE372" s="153"/>
      <c r="SNF372" s="153"/>
      <c r="SNG372" s="650"/>
      <c r="SNH372" s="641"/>
      <c r="SNI372" s="638"/>
      <c r="SNJ372" s="639"/>
      <c r="SNK372" s="153"/>
      <c r="SNL372" s="153"/>
      <c r="SNM372" s="153"/>
      <c r="SNN372" s="153"/>
      <c r="SNO372" s="153"/>
      <c r="SNP372" s="153"/>
      <c r="SNQ372" s="153"/>
      <c r="SNR372" s="153"/>
      <c r="SNS372" s="153"/>
      <c r="SNT372" s="153"/>
      <c r="SNU372" s="153"/>
      <c r="SNV372" s="153"/>
      <c r="SNW372" s="650"/>
      <c r="SNX372" s="641"/>
      <c r="SNY372" s="638"/>
      <c r="SNZ372" s="639"/>
      <c r="SOA372" s="153"/>
      <c r="SOB372" s="153"/>
      <c r="SOC372" s="153"/>
      <c r="SOD372" s="153"/>
      <c r="SOE372" s="153"/>
      <c r="SOF372" s="153"/>
      <c r="SOG372" s="153"/>
      <c r="SOH372" s="153"/>
      <c r="SOI372" s="153"/>
      <c r="SOJ372" s="153"/>
      <c r="SOK372" s="153"/>
      <c r="SOL372" s="153"/>
      <c r="SOM372" s="650"/>
      <c r="SON372" s="641"/>
      <c r="SOO372" s="638"/>
      <c r="SOP372" s="639"/>
      <c r="SOQ372" s="153"/>
      <c r="SOR372" s="153"/>
      <c r="SOS372" s="153"/>
      <c r="SOT372" s="153"/>
      <c r="SOU372" s="153"/>
      <c r="SOV372" s="153"/>
      <c r="SOW372" s="153"/>
      <c r="SOX372" s="153"/>
      <c r="SOY372" s="153"/>
      <c r="SOZ372" s="153"/>
      <c r="SPA372" s="153"/>
      <c r="SPB372" s="153"/>
      <c r="SPC372" s="650"/>
      <c r="SPD372" s="641"/>
      <c r="SPE372" s="638"/>
      <c r="SPF372" s="639"/>
      <c r="SPG372" s="153"/>
      <c r="SPH372" s="153"/>
      <c r="SPI372" s="153"/>
      <c r="SPJ372" s="153"/>
      <c r="SPK372" s="153"/>
      <c r="SPL372" s="153"/>
      <c r="SPM372" s="153"/>
      <c r="SPN372" s="153"/>
      <c r="SPO372" s="153"/>
      <c r="SPP372" s="153"/>
      <c r="SPQ372" s="153"/>
      <c r="SPR372" s="153"/>
      <c r="SPS372" s="650"/>
      <c r="SPT372" s="641"/>
      <c r="SPU372" s="638"/>
      <c r="SPV372" s="639"/>
      <c r="SPW372" s="153"/>
      <c r="SPX372" s="153"/>
      <c r="SPY372" s="153"/>
      <c r="SPZ372" s="153"/>
      <c r="SQA372" s="153"/>
      <c r="SQB372" s="153"/>
      <c r="SQC372" s="153"/>
      <c r="SQD372" s="153"/>
      <c r="SQE372" s="153"/>
      <c r="SQF372" s="153"/>
      <c r="SQG372" s="153"/>
      <c r="SQH372" s="153"/>
      <c r="SQI372" s="650"/>
      <c r="SQJ372" s="641"/>
      <c r="SQK372" s="638"/>
      <c r="SQL372" s="639"/>
      <c r="SQM372" s="153"/>
      <c r="SQN372" s="153"/>
      <c r="SQO372" s="153"/>
      <c r="SQP372" s="153"/>
      <c r="SQQ372" s="153"/>
      <c r="SQR372" s="153"/>
      <c r="SQS372" s="153"/>
      <c r="SQT372" s="153"/>
      <c r="SQU372" s="153"/>
      <c r="SQV372" s="153"/>
      <c r="SQW372" s="153"/>
      <c r="SQX372" s="153"/>
      <c r="SQY372" s="650"/>
      <c r="SQZ372" s="641"/>
      <c r="SRA372" s="638"/>
      <c r="SRB372" s="639"/>
      <c r="SRC372" s="153"/>
      <c r="SRD372" s="153"/>
      <c r="SRE372" s="153"/>
      <c r="SRF372" s="153"/>
      <c r="SRG372" s="153"/>
      <c r="SRH372" s="153"/>
      <c r="SRI372" s="153"/>
      <c r="SRJ372" s="153"/>
      <c r="SRK372" s="153"/>
      <c r="SRL372" s="153"/>
      <c r="SRM372" s="153"/>
      <c r="SRN372" s="153"/>
      <c r="SRO372" s="650"/>
      <c r="SRP372" s="641"/>
      <c r="SRQ372" s="638"/>
      <c r="SRR372" s="639"/>
      <c r="SRS372" s="153"/>
      <c r="SRT372" s="153"/>
      <c r="SRU372" s="153"/>
      <c r="SRV372" s="153"/>
      <c r="SRW372" s="153"/>
      <c r="SRX372" s="153"/>
      <c r="SRY372" s="153"/>
      <c r="SRZ372" s="153"/>
      <c r="SSA372" s="153"/>
      <c r="SSB372" s="153"/>
      <c r="SSC372" s="153"/>
      <c r="SSD372" s="153"/>
      <c r="SSE372" s="650"/>
      <c r="SSF372" s="641"/>
      <c r="SSG372" s="638"/>
      <c r="SSH372" s="639"/>
      <c r="SSI372" s="153"/>
      <c r="SSJ372" s="153"/>
      <c r="SSK372" s="153"/>
      <c r="SSL372" s="153"/>
      <c r="SSM372" s="153"/>
      <c r="SSN372" s="153"/>
      <c r="SSO372" s="153"/>
      <c r="SSP372" s="153"/>
      <c r="SSQ372" s="153"/>
      <c r="SSR372" s="153"/>
      <c r="SSS372" s="153"/>
      <c r="SST372" s="153"/>
      <c r="SSU372" s="650"/>
      <c r="SSV372" s="641"/>
      <c r="SSW372" s="638"/>
      <c r="SSX372" s="639"/>
      <c r="SSY372" s="153"/>
      <c r="SSZ372" s="153"/>
      <c r="STA372" s="153"/>
      <c r="STB372" s="153"/>
      <c r="STC372" s="153"/>
      <c r="STD372" s="153"/>
      <c r="STE372" s="153"/>
      <c r="STF372" s="153"/>
      <c r="STG372" s="153"/>
      <c r="STH372" s="153"/>
      <c r="STI372" s="153"/>
      <c r="STJ372" s="153"/>
      <c r="STK372" s="650"/>
      <c r="STL372" s="641"/>
      <c r="STM372" s="638"/>
      <c r="STN372" s="639"/>
      <c r="STO372" s="153"/>
      <c r="STP372" s="153"/>
      <c r="STQ372" s="153"/>
      <c r="STR372" s="153"/>
      <c r="STS372" s="153"/>
      <c r="STT372" s="153"/>
      <c r="STU372" s="153"/>
      <c r="STV372" s="153"/>
      <c r="STW372" s="153"/>
      <c r="STX372" s="153"/>
      <c r="STY372" s="153"/>
      <c r="STZ372" s="153"/>
      <c r="SUA372" s="650"/>
      <c r="SUB372" s="641"/>
    </row>
    <row r="373" spans="1:13392" s="57" customFormat="1" ht="26.25" customHeight="1" thickBot="1">
      <c r="A373" s="651" t="s">
        <v>1843</v>
      </c>
      <c r="B373" s="627" t="s">
        <v>1844</v>
      </c>
      <c r="C373" s="652"/>
      <c r="D373" s="652"/>
      <c r="E373" s="652"/>
      <c r="F373" s="652"/>
      <c r="G373" s="652"/>
      <c r="H373" s="652"/>
      <c r="I373" s="652"/>
      <c r="J373" s="652"/>
      <c r="K373" s="652"/>
      <c r="L373" s="652"/>
      <c r="M373" s="652"/>
      <c r="N373" s="652"/>
      <c r="O373" s="629">
        <v>27.33</v>
      </c>
      <c r="P373" s="653">
        <f>((P362*K369)+(P366*K370)+(P366*K371))/P363</f>
        <v>27.332989917734402</v>
      </c>
      <c r="Q373" s="706" t="s">
        <v>1843</v>
      </c>
      <c r="R373" s="689" t="s">
        <v>1844</v>
      </c>
      <c r="S373" s="707"/>
      <c r="T373" s="707"/>
      <c r="U373" s="707"/>
      <c r="V373" s="707"/>
      <c r="W373" s="707"/>
      <c r="X373" s="707"/>
      <c r="Y373" s="707"/>
      <c r="Z373" s="707"/>
      <c r="AA373" s="707"/>
      <c r="AB373" s="707"/>
      <c r="AC373" s="707"/>
      <c r="AD373" s="707"/>
      <c r="AE373" s="691">
        <v>27.33</v>
      </c>
      <c r="AF373" s="708">
        <f>((AF362*AA369)+(AF366*AA370)+(AF366*AA371))/AF363</f>
        <v>27.332989917734402</v>
      </c>
      <c r="AG373" s="651" t="s">
        <v>1843</v>
      </c>
      <c r="AH373" s="627" t="s">
        <v>1844</v>
      </c>
      <c r="AI373" s="652"/>
      <c r="AJ373" s="652"/>
      <c r="AK373" s="652"/>
      <c r="AL373" s="652"/>
      <c r="AM373" s="652"/>
      <c r="AN373" s="652"/>
      <c r="AO373" s="652"/>
      <c r="AP373" s="652"/>
      <c r="AQ373" s="652"/>
      <c r="AR373" s="652"/>
      <c r="AS373" s="652"/>
      <c r="AT373" s="652"/>
      <c r="AU373" s="629">
        <v>27.33</v>
      </c>
      <c r="AV373" s="653">
        <f>((AV362*AQ369)+(AV366*AQ370)+(AV366*AQ371))/AV363</f>
        <v>27.332989917734402</v>
      </c>
      <c r="AW373" s="651" t="s">
        <v>1843</v>
      </c>
      <c r="AX373" s="627" t="s">
        <v>1844</v>
      </c>
      <c r="AY373" s="652"/>
      <c r="AZ373" s="652"/>
      <c r="BA373" s="652"/>
      <c r="BB373" s="652"/>
      <c r="BC373" s="652"/>
      <c r="BD373" s="652"/>
      <c r="BE373" s="652"/>
      <c r="BF373" s="652"/>
      <c r="BG373" s="652"/>
      <c r="BH373" s="652"/>
      <c r="BI373" s="652"/>
      <c r="BJ373" s="652"/>
      <c r="BK373" s="629">
        <v>27.33</v>
      </c>
      <c r="BL373" s="653">
        <f>((BL362*BG369)+(BL366*BG370)+(BL366*BG371))/BL363</f>
        <v>27.332989917734402</v>
      </c>
      <c r="BM373" s="651" t="s">
        <v>1843</v>
      </c>
      <c r="BN373" s="627" t="s">
        <v>1844</v>
      </c>
      <c r="BO373" s="652"/>
      <c r="BP373" s="652"/>
      <c r="BQ373" s="652"/>
      <c r="BR373" s="652"/>
      <c r="BS373" s="652"/>
      <c r="BT373" s="652"/>
      <c r="BU373" s="652"/>
      <c r="BV373" s="652"/>
      <c r="BW373" s="652"/>
      <c r="BX373" s="652"/>
      <c r="BY373" s="652"/>
      <c r="BZ373" s="652"/>
      <c r="CA373" s="629">
        <v>27.33</v>
      </c>
      <c r="CB373" s="653">
        <f>((CB362*BW369)+(CB366*BW370)+(CB366*BW371))/CB363</f>
        <v>27.332989917734402</v>
      </c>
      <c r="CC373" s="651" t="s">
        <v>1843</v>
      </c>
      <c r="CD373" s="627" t="s">
        <v>1844</v>
      </c>
      <c r="CE373" s="652"/>
      <c r="CF373" s="652"/>
      <c r="CG373" s="652"/>
      <c r="CH373" s="652"/>
      <c r="CI373" s="652"/>
      <c r="CJ373" s="652"/>
      <c r="CK373" s="652"/>
      <c r="CL373" s="652"/>
      <c r="CM373" s="652"/>
      <c r="CN373" s="652"/>
      <c r="CO373" s="652"/>
      <c r="CP373" s="652"/>
      <c r="CQ373" s="629">
        <v>27.33</v>
      </c>
      <c r="CR373" s="653">
        <f>((CR362*CM369)+(CR366*CM370)+(CR366*CM371))/CR363</f>
        <v>27.332989917734402</v>
      </c>
      <c r="CS373" s="651" t="s">
        <v>1843</v>
      </c>
      <c r="CT373" s="627" t="s">
        <v>1844</v>
      </c>
      <c r="CU373" s="652"/>
      <c r="CV373" s="652"/>
      <c r="CW373" s="652"/>
      <c r="CX373" s="652"/>
      <c r="CY373" s="652"/>
      <c r="CZ373" s="652"/>
      <c r="DA373" s="652"/>
      <c r="DB373" s="652"/>
      <c r="DC373" s="652"/>
      <c r="DD373" s="652"/>
      <c r="DE373" s="652"/>
      <c r="DF373" s="652"/>
      <c r="DG373" s="629">
        <v>27.33</v>
      </c>
      <c r="DH373" s="653">
        <f>((DH362*DC369)+(DH366*DC370)+(DH366*DC371))/DH363</f>
        <v>27.332989917734402</v>
      </c>
      <c r="DI373" s="651" t="s">
        <v>1843</v>
      </c>
      <c r="DJ373" s="627" t="s">
        <v>1844</v>
      </c>
      <c r="DK373" s="652"/>
      <c r="DL373" s="652"/>
      <c r="DM373" s="652"/>
      <c r="DN373" s="652"/>
      <c r="DO373" s="652"/>
      <c r="DP373" s="652"/>
      <c r="DQ373" s="652"/>
      <c r="DR373" s="652"/>
      <c r="DS373" s="652"/>
      <c r="DT373" s="652"/>
      <c r="DU373" s="652"/>
      <c r="DV373" s="652"/>
      <c r="DW373" s="629">
        <v>27.33</v>
      </c>
      <c r="DX373" s="653">
        <f>((DX362*DS369)+(DX366*DS370)+(DX366*DS371))/DX363</f>
        <v>27.332989917734402</v>
      </c>
      <c r="DY373" s="651" t="s">
        <v>1843</v>
      </c>
      <c r="DZ373" s="627" t="s">
        <v>1844</v>
      </c>
      <c r="EA373" s="652"/>
      <c r="EB373" s="652"/>
      <c r="EC373" s="652"/>
      <c r="ED373" s="652"/>
      <c r="EE373" s="652"/>
      <c r="EF373" s="652"/>
      <c r="EG373" s="652"/>
      <c r="EH373" s="652"/>
      <c r="EI373" s="652"/>
      <c r="EJ373" s="652"/>
      <c r="EK373" s="652"/>
      <c r="EL373" s="652"/>
      <c r="EM373" s="629">
        <v>27.33</v>
      </c>
      <c r="EN373" s="653">
        <f>((EN362*EI369)+(EN366*EI370)+(EN366*EI371))/EN363</f>
        <v>27.332989917734402</v>
      </c>
      <c r="EO373" s="651" t="s">
        <v>1843</v>
      </c>
      <c r="EP373" s="627" t="s">
        <v>1844</v>
      </c>
      <c r="EQ373" s="652"/>
      <c r="ER373" s="652"/>
      <c r="ES373" s="652"/>
      <c r="ET373" s="652"/>
      <c r="EU373" s="652"/>
      <c r="EV373" s="652"/>
      <c r="EW373" s="652"/>
      <c r="EX373" s="652"/>
      <c r="EY373" s="652"/>
      <c r="EZ373" s="652"/>
      <c r="FA373" s="652"/>
      <c r="FB373" s="652"/>
      <c r="FC373" s="629">
        <v>27.33</v>
      </c>
      <c r="FD373" s="653">
        <f>((FD362*EY369)+(FD366*EY370)+(FD366*EY371))/FD363</f>
        <v>27.332989917734402</v>
      </c>
      <c r="FE373" s="651" t="s">
        <v>1843</v>
      </c>
      <c r="FF373" s="627" t="s">
        <v>1844</v>
      </c>
      <c r="FG373" s="652"/>
      <c r="FH373" s="652"/>
      <c r="FI373" s="652"/>
      <c r="FJ373" s="652"/>
      <c r="FK373" s="652"/>
      <c r="FL373" s="652"/>
      <c r="FM373" s="652"/>
      <c r="FN373" s="652"/>
      <c r="FO373" s="652"/>
      <c r="FP373" s="652"/>
      <c r="FQ373" s="652"/>
      <c r="FR373" s="652"/>
      <c r="FS373" s="629">
        <v>27.33</v>
      </c>
      <c r="FT373" s="653">
        <f>((FT362*FO369)+(FT366*FO370)+(FT366*FO371))/FT363</f>
        <v>27.332989917734402</v>
      </c>
      <c r="FU373" s="651" t="s">
        <v>1843</v>
      </c>
      <c r="FV373" s="627" t="s">
        <v>1844</v>
      </c>
      <c r="FW373" s="652"/>
      <c r="FX373" s="652"/>
      <c r="FY373" s="652"/>
      <c r="FZ373" s="652"/>
      <c r="GA373" s="652"/>
      <c r="GB373" s="652"/>
      <c r="GC373" s="652"/>
      <c r="GD373" s="652"/>
      <c r="GE373" s="652"/>
      <c r="GF373" s="652"/>
      <c r="GG373" s="652"/>
      <c r="GH373" s="652"/>
      <c r="GI373" s="629">
        <v>27.33</v>
      </c>
      <c r="GJ373" s="653">
        <f>((GJ362*GE369)+(GJ366*GE370)+(GJ366*GE371))/GJ363</f>
        <v>27.332989917734402</v>
      </c>
      <c r="GK373" s="651" t="s">
        <v>1843</v>
      </c>
      <c r="GL373" s="627" t="s">
        <v>1844</v>
      </c>
      <c r="GM373" s="652"/>
      <c r="GN373" s="652"/>
      <c r="GO373" s="652"/>
      <c r="GP373" s="652"/>
      <c r="GQ373" s="652"/>
      <c r="GR373" s="652"/>
      <c r="GS373" s="652"/>
      <c r="GT373" s="652"/>
      <c r="GU373" s="652"/>
      <c r="GV373" s="652"/>
      <c r="GW373" s="652"/>
      <c r="GX373" s="652"/>
      <c r="GY373" s="629">
        <v>27.33</v>
      </c>
      <c r="GZ373" s="653">
        <f>((GZ362*GU369)+(GZ366*GU370)+(GZ366*GU371))/GZ363</f>
        <v>27.332989917734402</v>
      </c>
      <c r="HA373" s="651" t="s">
        <v>1843</v>
      </c>
      <c r="HB373" s="627" t="s">
        <v>1844</v>
      </c>
      <c r="HC373" s="652"/>
      <c r="HD373" s="652"/>
      <c r="HE373" s="652"/>
      <c r="HF373" s="652"/>
      <c r="HG373" s="652"/>
      <c r="HH373" s="652"/>
      <c r="HI373" s="652"/>
      <c r="HJ373" s="652"/>
      <c r="HK373" s="652"/>
      <c r="HL373" s="652"/>
      <c r="HM373" s="652"/>
      <c r="HN373" s="652"/>
      <c r="HO373" s="629">
        <v>27.33</v>
      </c>
      <c r="HP373" s="653">
        <f>((HP362*HK369)+(HP366*HK370)+(HP366*HK371))/HP363</f>
        <v>27.332989917734402</v>
      </c>
      <c r="HQ373" s="651" t="s">
        <v>1843</v>
      </c>
      <c r="HR373" s="627" t="s">
        <v>1844</v>
      </c>
      <c r="HS373" s="652"/>
      <c r="HT373" s="652"/>
      <c r="HU373" s="652"/>
      <c r="HV373" s="652"/>
      <c r="HW373" s="652"/>
      <c r="HX373" s="652"/>
      <c r="HY373" s="652"/>
      <c r="HZ373" s="652"/>
      <c r="IA373" s="652"/>
      <c r="IB373" s="652"/>
      <c r="IC373" s="652"/>
      <c r="ID373" s="652"/>
      <c r="IE373" s="629">
        <v>27.33</v>
      </c>
      <c r="IF373" s="653">
        <f>((IF362*IA369)+(IF366*IA370)+(IF366*IA371))/IF363</f>
        <v>27.332989917734402</v>
      </c>
      <c r="IG373" s="651" t="s">
        <v>1843</v>
      </c>
      <c r="IH373" s="627" t="s">
        <v>1844</v>
      </c>
      <c r="II373" s="652"/>
      <c r="IJ373" s="652"/>
      <c r="IK373" s="652"/>
      <c r="IL373" s="652"/>
      <c r="IM373" s="652"/>
      <c r="IN373" s="652"/>
      <c r="IO373" s="652"/>
      <c r="IP373" s="652"/>
      <c r="IQ373" s="652"/>
      <c r="IR373" s="652"/>
      <c r="IS373" s="652"/>
      <c r="IT373" s="652"/>
      <c r="IU373" s="629">
        <v>27.33</v>
      </c>
      <c r="IV373" s="653">
        <f>((IV362*IQ369)+(IV366*IQ370)+(IV366*IQ371))/IV363</f>
        <v>27.332989917734402</v>
      </c>
      <c r="IW373" s="651" t="s">
        <v>1843</v>
      </c>
      <c r="IX373" s="627" t="s">
        <v>1844</v>
      </c>
      <c r="IY373" s="652"/>
      <c r="IZ373" s="652"/>
      <c r="JA373" s="652"/>
      <c r="JB373" s="652"/>
      <c r="JC373" s="652"/>
      <c r="JD373" s="652"/>
      <c r="JE373" s="652"/>
      <c r="JF373" s="652"/>
      <c r="JG373" s="652"/>
      <c r="JH373" s="652"/>
      <c r="JI373" s="652"/>
      <c r="JJ373" s="652"/>
      <c r="JK373" s="629">
        <v>27.33</v>
      </c>
      <c r="JL373" s="653">
        <f>((JL362*JG369)+(JL366*JG370)+(JL366*JG371))/JL363</f>
        <v>27.332989917734402</v>
      </c>
      <c r="JM373" s="651" t="s">
        <v>1843</v>
      </c>
      <c r="JN373" s="627" t="s">
        <v>1844</v>
      </c>
      <c r="JO373" s="652"/>
      <c r="JP373" s="652"/>
      <c r="JQ373" s="652"/>
      <c r="JR373" s="652"/>
      <c r="JS373" s="652"/>
      <c r="JT373" s="652"/>
      <c r="JU373" s="652"/>
      <c r="JV373" s="652"/>
      <c r="JW373" s="652"/>
      <c r="JX373" s="652"/>
      <c r="JY373" s="652"/>
      <c r="JZ373" s="652"/>
      <c r="KA373" s="629">
        <v>27.33</v>
      </c>
      <c r="KB373" s="653">
        <f>((KB362*JW369)+(KB366*JW370)+(KB366*JW371))/KB363</f>
        <v>27.332989917734402</v>
      </c>
      <c r="KC373" s="651" t="s">
        <v>1843</v>
      </c>
      <c r="KD373" s="627" t="s">
        <v>1844</v>
      </c>
      <c r="KE373" s="652"/>
      <c r="KF373" s="652"/>
      <c r="KG373" s="652"/>
      <c r="KH373" s="652"/>
      <c r="KI373" s="652"/>
      <c r="KJ373" s="652"/>
      <c r="KK373" s="652"/>
      <c r="KL373" s="652"/>
      <c r="KM373" s="652"/>
      <c r="KN373" s="652"/>
      <c r="KO373" s="652"/>
      <c r="KP373" s="652"/>
      <c r="KQ373" s="629">
        <v>27.33</v>
      </c>
      <c r="KR373" s="653">
        <f>((KR362*KM369)+(KR366*KM370)+(KR366*KM371))/KR363</f>
        <v>27.332989917734402</v>
      </c>
      <c r="KS373" s="651" t="s">
        <v>1843</v>
      </c>
      <c r="KT373" s="627" t="s">
        <v>1844</v>
      </c>
      <c r="KU373" s="652"/>
      <c r="KV373" s="652"/>
      <c r="KW373" s="652"/>
      <c r="KX373" s="652"/>
      <c r="KY373" s="652"/>
      <c r="KZ373" s="652"/>
      <c r="LA373" s="652"/>
      <c r="LB373" s="652"/>
      <c r="LC373" s="652"/>
      <c r="LD373" s="652"/>
      <c r="LE373" s="652"/>
      <c r="LF373" s="652"/>
      <c r="LG373" s="629">
        <v>27.33</v>
      </c>
      <c r="LH373" s="653">
        <f>((LH362*LC369)+(LH366*LC370)+(LH366*LC371))/LH363</f>
        <v>27.332989917734402</v>
      </c>
      <c r="LI373" s="651" t="s">
        <v>1843</v>
      </c>
      <c r="LJ373" s="627" t="s">
        <v>1844</v>
      </c>
      <c r="LK373" s="652"/>
      <c r="LL373" s="652"/>
      <c r="LM373" s="652"/>
      <c r="LN373" s="652"/>
      <c r="LO373" s="652"/>
      <c r="LP373" s="652"/>
      <c r="LQ373" s="652"/>
      <c r="LR373" s="652"/>
      <c r="LS373" s="652"/>
      <c r="LT373" s="652"/>
      <c r="LU373" s="652"/>
      <c r="LV373" s="652"/>
      <c r="LW373" s="629">
        <v>27.33</v>
      </c>
      <c r="LX373" s="653">
        <f>((LX362*LS369)+(LX366*LS370)+(LX366*LS371))/LX363</f>
        <v>27.332989917734402</v>
      </c>
      <c r="LY373" s="651" t="s">
        <v>1843</v>
      </c>
      <c r="LZ373" s="627" t="s">
        <v>1844</v>
      </c>
      <c r="MA373" s="652"/>
      <c r="MB373" s="652"/>
      <c r="MC373" s="652"/>
      <c r="MD373" s="652"/>
      <c r="ME373" s="652"/>
      <c r="MF373" s="652"/>
      <c r="MG373" s="652"/>
      <c r="MH373" s="652"/>
      <c r="MI373" s="652"/>
      <c r="MJ373" s="652"/>
      <c r="MK373" s="652"/>
      <c r="ML373" s="652"/>
      <c r="MM373" s="629">
        <v>27.33</v>
      </c>
      <c r="MN373" s="653">
        <f>((MN362*MI369)+(MN366*MI370)+(MN366*MI371))/MN363</f>
        <v>27.332989917734402</v>
      </c>
      <c r="MO373" s="651" t="s">
        <v>1843</v>
      </c>
      <c r="MP373" s="627" t="s">
        <v>1844</v>
      </c>
      <c r="MQ373" s="652"/>
      <c r="MR373" s="652"/>
      <c r="MS373" s="652"/>
      <c r="MT373" s="652"/>
      <c r="MU373" s="652"/>
      <c r="MV373" s="652"/>
      <c r="MW373" s="652"/>
      <c r="MX373" s="652"/>
      <c r="MY373" s="652"/>
      <c r="MZ373" s="652"/>
      <c r="NA373" s="652"/>
      <c r="NB373" s="652"/>
      <c r="NC373" s="629">
        <v>27.33</v>
      </c>
      <c r="ND373" s="653">
        <f>((ND362*MY369)+(ND366*MY370)+(ND366*MY371))/ND363</f>
        <v>27.332989917734402</v>
      </c>
      <c r="NE373" s="651" t="s">
        <v>1843</v>
      </c>
      <c r="NF373" s="627" t="s">
        <v>1844</v>
      </c>
      <c r="NG373" s="652"/>
      <c r="NH373" s="652"/>
      <c r="NI373" s="652"/>
      <c r="NJ373" s="652"/>
      <c r="NK373" s="652"/>
      <c r="NL373" s="652"/>
      <c r="NM373" s="652"/>
      <c r="NN373" s="652"/>
      <c r="NO373" s="652"/>
      <c r="NP373" s="652"/>
      <c r="NQ373" s="652"/>
      <c r="NR373" s="652"/>
      <c r="NS373" s="629">
        <v>27.33</v>
      </c>
      <c r="NT373" s="653">
        <f>((NT362*NO369)+(NT366*NO370)+(NT366*NO371))/NT363</f>
        <v>27.332989917734402</v>
      </c>
      <c r="NU373" s="651" t="s">
        <v>1843</v>
      </c>
      <c r="NV373" s="627" t="s">
        <v>1844</v>
      </c>
      <c r="NW373" s="652"/>
      <c r="NX373" s="652"/>
      <c r="NY373" s="652"/>
      <c r="NZ373" s="652"/>
      <c r="OA373" s="652"/>
      <c r="OB373" s="652"/>
      <c r="OC373" s="652"/>
      <c r="OD373" s="652"/>
      <c r="OE373" s="652"/>
      <c r="OF373" s="652"/>
      <c r="OG373" s="652"/>
      <c r="OH373" s="652"/>
      <c r="OI373" s="629">
        <v>27.33</v>
      </c>
      <c r="OJ373" s="653">
        <f>((OJ362*OE369)+(OJ366*OE370)+(OJ366*OE371))/OJ363</f>
        <v>27.332989917734402</v>
      </c>
      <c r="OK373" s="651" t="s">
        <v>1843</v>
      </c>
      <c r="OL373" s="627" t="s">
        <v>1844</v>
      </c>
      <c r="OM373" s="652"/>
      <c r="ON373" s="652"/>
      <c r="OO373" s="652"/>
      <c r="OP373" s="652"/>
      <c r="OQ373" s="652"/>
      <c r="OR373" s="652"/>
      <c r="OS373" s="652"/>
      <c r="OT373" s="652"/>
      <c r="OU373" s="652"/>
      <c r="OV373" s="652"/>
      <c r="OW373" s="652"/>
      <c r="OX373" s="652"/>
      <c r="OY373" s="629">
        <v>27.33</v>
      </c>
      <c r="OZ373" s="653">
        <f>((OZ362*OU369)+(OZ366*OU370)+(OZ366*OU371))/OZ363</f>
        <v>27.332989917734402</v>
      </c>
      <c r="PA373" s="651" t="s">
        <v>1843</v>
      </c>
      <c r="PB373" s="627" t="s">
        <v>1844</v>
      </c>
      <c r="PC373" s="652"/>
      <c r="PD373" s="652"/>
      <c r="PE373" s="652"/>
      <c r="PF373" s="652"/>
      <c r="PG373" s="652"/>
      <c r="PH373" s="652"/>
      <c r="PI373" s="652"/>
      <c r="PJ373" s="652"/>
      <c r="PK373" s="652"/>
      <c r="PL373" s="652"/>
      <c r="PM373" s="652"/>
      <c r="PN373" s="652"/>
      <c r="PO373" s="629">
        <v>27.33</v>
      </c>
      <c r="PP373" s="653">
        <f>((PP362*PK369)+(PP366*PK370)+(PP366*PK371))/PP363</f>
        <v>27.332989917734402</v>
      </c>
      <c r="PQ373" s="651" t="s">
        <v>1843</v>
      </c>
      <c r="PR373" s="627" t="s">
        <v>1844</v>
      </c>
      <c r="PS373" s="652"/>
      <c r="PT373" s="652"/>
      <c r="PU373" s="652"/>
      <c r="PV373" s="652"/>
      <c r="PW373" s="652"/>
      <c r="PX373" s="652"/>
      <c r="PY373" s="652"/>
      <c r="PZ373" s="652"/>
      <c r="QA373" s="652"/>
      <c r="QB373" s="652"/>
      <c r="QC373" s="652"/>
      <c r="QD373" s="652"/>
      <c r="QE373" s="629">
        <v>27.33</v>
      </c>
      <c r="QF373" s="653">
        <f>((QF362*QA369)+(QF366*QA370)+(QF366*QA371))/QF363</f>
        <v>27.332989917734402</v>
      </c>
      <c r="QG373" s="651" t="s">
        <v>1843</v>
      </c>
      <c r="QH373" s="627" t="s">
        <v>1844</v>
      </c>
      <c r="QI373" s="652"/>
      <c r="QJ373" s="652"/>
      <c r="QK373" s="652"/>
      <c r="QL373" s="652"/>
      <c r="QM373" s="652"/>
      <c r="QN373" s="652"/>
      <c r="QO373" s="652"/>
      <c r="QP373" s="652"/>
      <c r="QQ373" s="652"/>
      <c r="QR373" s="652"/>
      <c r="QS373" s="652"/>
      <c r="QT373" s="652"/>
      <c r="QU373" s="629">
        <v>27.33</v>
      </c>
      <c r="QV373" s="653">
        <f>((QV362*QQ369)+(QV366*QQ370)+(QV366*QQ371))/QV363</f>
        <v>27.332989917734402</v>
      </c>
      <c r="QW373" s="651" t="s">
        <v>1843</v>
      </c>
      <c r="QX373" s="627" t="s">
        <v>1844</v>
      </c>
      <c r="QY373" s="652"/>
      <c r="QZ373" s="652"/>
      <c r="RA373" s="652"/>
      <c r="RB373" s="652"/>
      <c r="RC373" s="652"/>
      <c r="RD373" s="652"/>
      <c r="RE373" s="652"/>
      <c r="RF373" s="652"/>
      <c r="RG373" s="652"/>
      <c r="RH373" s="652"/>
      <c r="RI373" s="652"/>
      <c r="RJ373" s="652"/>
      <c r="RK373" s="629">
        <v>27.33</v>
      </c>
      <c r="RL373" s="653">
        <f>((RL362*RG369)+(RL366*RG370)+(RL366*RG371))/RL363</f>
        <v>27.332989917734402</v>
      </c>
      <c r="RM373" s="651" t="s">
        <v>1843</v>
      </c>
      <c r="RN373" s="627" t="s">
        <v>1844</v>
      </c>
      <c r="RO373" s="652"/>
      <c r="RP373" s="652"/>
      <c r="RQ373" s="652"/>
      <c r="RR373" s="652"/>
      <c r="RS373" s="652"/>
      <c r="RT373" s="652"/>
      <c r="RU373" s="652"/>
      <c r="RV373" s="652"/>
      <c r="RW373" s="652"/>
      <c r="RX373" s="652"/>
      <c r="RY373" s="652"/>
      <c r="RZ373" s="652"/>
      <c r="SA373" s="629">
        <v>27.33</v>
      </c>
      <c r="SB373" s="653">
        <f>((SB362*RW369)+(SB366*RW370)+(SB366*RW371))/SB363</f>
        <v>27.332989917734402</v>
      </c>
      <c r="SC373" s="651" t="s">
        <v>1843</v>
      </c>
      <c r="SD373" s="627" t="s">
        <v>1844</v>
      </c>
      <c r="SE373" s="652"/>
      <c r="SF373" s="652"/>
      <c r="SG373" s="652"/>
      <c r="SH373" s="652"/>
      <c r="SI373" s="652"/>
      <c r="SJ373" s="652"/>
      <c r="SK373" s="652"/>
      <c r="SL373" s="652"/>
      <c r="SM373" s="652"/>
      <c r="SN373" s="652"/>
      <c r="SO373" s="652"/>
      <c r="SP373" s="652"/>
      <c r="SQ373" s="629">
        <v>27.33</v>
      </c>
      <c r="SR373" s="653">
        <f>((SR362*SM369)+(SR366*SM370)+(SR366*SM371))/SR363</f>
        <v>27.332989917734402</v>
      </c>
      <c r="SS373" s="651" t="s">
        <v>1843</v>
      </c>
      <c r="ST373" s="627" t="s">
        <v>1844</v>
      </c>
      <c r="SU373" s="652"/>
      <c r="SV373" s="652"/>
      <c r="SW373" s="652"/>
      <c r="SX373" s="652"/>
      <c r="SY373" s="652"/>
      <c r="SZ373" s="652"/>
      <c r="TA373" s="652"/>
      <c r="TB373" s="652"/>
      <c r="TC373" s="652"/>
      <c r="TD373" s="652"/>
      <c r="TE373" s="652"/>
      <c r="TF373" s="652"/>
      <c r="TG373" s="629">
        <v>27.33</v>
      </c>
      <c r="TH373" s="653">
        <f>((TH362*TC369)+(TH366*TC370)+(TH366*TC371))/TH363</f>
        <v>27.332989917734402</v>
      </c>
      <c r="TI373" s="651" t="s">
        <v>1843</v>
      </c>
      <c r="TJ373" s="627" t="s">
        <v>1844</v>
      </c>
      <c r="TK373" s="652"/>
      <c r="TL373" s="652"/>
      <c r="TM373" s="652"/>
      <c r="TN373" s="652"/>
      <c r="TO373" s="652"/>
      <c r="TP373" s="652"/>
      <c r="TQ373" s="652"/>
      <c r="TR373" s="652"/>
      <c r="TS373" s="652"/>
      <c r="TT373" s="652"/>
      <c r="TU373" s="652"/>
      <c r="TV373" s="652"/>
      <c r="TW373" s="629">
        <v>27.33</v>
      </c>
      <c r="TX373" s="653">
        <f>((TX362*TS369)+(TX366*TS370)+(TX366*TS371))/TX363</f>
        <v>27.332989917734402</v>
      </c>
      <c r="TY373" s="651" t="s">
        <v>1843</v>
      </c>
      <c r="TZ373" s="627" t="s">
        <v>1844</v>
      </c>
      <c r="UA373" s="652"/>
      <c r="UB373" s="652"/>
      <c r="UC373" s="652"/>
      <c r="UD373" s="652"/>
      <c r="UE373" s="652"/>
      <c r="UF373" s="652"/>
      <c r="UG373" s="652"/>
      <c r="UH373" s="652"/>
      <c r="UI373" s="652"/>
      <c r="UJ373" s="652"/>
      <c r="UK373" s="652"/>
      <c r="UL373" s="652"/>
      <c r="UM373" s="629">
        <v>27.33</v>
      </c>
      <c r="UN373" s="653">
        <f>((UN362*UI369)+(UN366*UI370)+(UN366*UI371))/UN363</f>
        <v>27.332989917734402</v>
      </c>
      <c r="UO373" s="651" t="s">
        <v>1843</v>
      </c>
      <c r="UP373" s="627" t="s">
        <v>1844</v>
      </c>
      <c r="UQ373" s="652"/>
      <c r="UR373" s="652"/>
      <c r="US373" s="652"/>
      <c r="UT373" s="652"/>
      <c r="UU373" s="652"/>
      <c r="UV373" s="652"/>
      <c r="UW373" s="652"/>
      <c r="UX373" s="652"/>
      <c r="UY373" s="652"/>
      <c r="UZ373" s="652"/>
      <c r="VA373" s="652"/>
      <c r="VB373" s="652"/>
      <c r="VC373" s="629">
        <v>27.33</v>
      </c>
      <c r="VD373" s="653">
        <f>((VD362*UY369)+(VD366*UY370)+(VD366*UY371))/VD363</f>
        <v>27.332989917734402</v>
      </c>
      <c r="VE373" s="651" t="s">
        <v>1843</v>
      </c>
      <c r="VF373" s="627" t="s">
        <v>1844</v>
      </c>
      <c r="VG373" s="652"/>
      <c r="VH373" s="652"/>
      <c r="VI373" s="652"/>
      <c r="VJ373" s="652"/>
      <c r="VK373" s="652"/>
      <c r="VL373" s="652"/>
      <c r="VM373" s="652"/>
      <c r="VN373" s="652"/>
      <c r="VO373" s="652"/>
      <c r="VP373" s="652"/>
      <c r="VQ373" s="652"/>
      <c r="VR373" s="652"/>
      <c r="VS373" s="629">
        <v>27.33</v>
      </c>
      <c r="VT373" s="653">
        <f>((VT362*VO369)+(VT366*VO370)+(VT366*VO371))/VT363</f>
        <v>27.332989917734402</v>
      </c>
      <c r="VU373" s="651" t="s">
        <v>1843</v>
      </c>
      <c r="VV373" s="627" t="s">
        <v>1844</v>
      </c>
      <c r="VW373" s="652"/>
      <c r="VX373" s="652"/>
      <c r="VY373" s="652"/>
      <c r="VZ373" s="652"/>
      <c r="WA373" s="652"/>
      <c r="WB373" s="652"/>
      <c r="WC373" s="652"/>
      <c r="WD373" s="652"/>
      <c r="WE373" s="652"/>
      <c r="WF373" s="652"/>
      <c r="WG373" s="652"/>
      <c r="WH373" s="652"/>
      <c r="WI373" s="629">
        <v>27.33</v>
      </c>
      <c r="WJ373" s="653">
        <f>((WJ362*WE369)+(WJ366*WE370)+(WJ366*WE371))/WJ363</f>
        <v>27.332989917734402</v>
      </c>
      <c r="WK373" s="651" t="s">
        <v>1843</v>
      </c>
      <c r="WL373" s="627" t="s">
        <v>1844</v>
      </c>
      <c r="WM373" s="652"/>
      <c r="WN373" s="652"/>
      <c r="WO373" s="652"/>
      <c r="WP373" s="652"/>
      <c r="WQ373" s="652"/>
      <c r="WR373" s="652"/>
      <c r="WS373" s="652"/>
      <c r="WT373" s="652"/>
      <c r="WU373" s="652"/>
      <c r="WV373" s="652"/>
      <c r="WW373" s="652"/>
      <c r="WX373" s="652"/>
      <c r="WY373" s="629">
        <v>27.33</v>
      </c>
      <c r="WZ373" s="653">
        <f>((WZ362*WU369)+(WZ366*WU370)+(WZ366*WU371))/WZ363</f>
        <v>27.332989917734402</v>
      </c>
      <c r="XA373" s="651" t="s">
        <v>1843</v>
      </c>
      <c r="XB373" s="627" t="s">
        <v>1844</v>
      </c>
      <c r="XC373" s="652"/>
      <c r="XD373" s="652"/>
      <c r="XE373" s="652"/>
      <c r="XF373" s="652"/>
      <c r="XG373" s="652"/>
      <c r="XH373" s="652"/>
      <c r="XI373" s="652"/>
      <c r="XJ373" s="652"/>
      <c r="XK373" s="652"/>
      <c r="XL373" s="652"/>
      <c r="XM373" s="652"/>
      <c r="XN373" s="652"/>
      <c r="XO373" s="629">
        <v>27.33</v>
      </c>
      <c r="XP373" s="653">
        <f>((XP362*XK369)+(XP366*XK370)+(XP366*XK371))/XP363</f>
        <v>27.332989917734402</v>
      </c>
      <c r="XQ373" s="651" t="s">
        <v>1843</v>
      </c>
      <c r="XR373" s="627" t="s">
        <v>1844</v>
      </c>
      <c r="XS373" s="652"/>
      <c r="XT373" s="652"/>
      <c r="XU373" s="652"/>
      <c r="XV373" s="652"/>
      <c r="XW373" s="652"/>
      <c r="XX373" s="652"/>
      <c r="XY373" s="652"/>
      <c r="XZ373" s="652"/>
      <c r="YA373" s="652"/>
      <c r="YB373" s="652"/>
      <c r="YC373" s="652"/>
      <c r="YD373" s="652"/>
      <c r="YE373" s="629">
        <v>27.33</v>
      </c>
      <c r="YF373" s="653">
        <f>((YF362*YA369)+(YF366*YA370)+(YF366*YA371))/YF363</f>
        <v>27.332989917734402</v>
      </c>
      <c r="YG373" s="651" t="s">
        <v>1843</v>
      </c>
      <c r="YH373" s="627" t="s">
        <v>1844</v>
      </c>
      <c r="YI373" s="652"/>
      <c r="YJ373" s="652"/>
      <c r="YK373" s="652"/>
      <c r="YL373" s="652"/>
      <c r="YM373" s="652"/>
      <c r="YN373" s="652"/>
      <c r="YO373" s="652"/>
      <c r="YP373" s="652"/>
      <c r="YQ373" s="652"/>
      <c r="YR373" s="652"/>
      <c r="YS373" s="652"/>
      <c r="YT373" s="652"/>
      <c r="YU373" s="629">
        <v>27.33</v>
      </c>
      <c r="YV373" s="653">
        <f>((YV362*YQ369)+(YV366*YQ370)+(YV366*YQ371))/YV363</f>
        <v>27.332989917734402</v>
      </c>
      <c r="YW373" s="651" t="s">
        <v>1843</v>
      </c>
      <c r="YX373" s="627" t="s">
        <v>1844</v>
      </c>
      <c r="YY373" s="652"/>
      <c r="YZ373" s="652"/>
      <c r="ZA373" s="652"/>
      <c r="ZB373" s="652"/>
      <c r="ZC373" s="652"/>
      <c r="ZD373" s="652"/>
      <c r="ZE373" s="652"/>
      <c r="ZF373" s="652"/>
      <c r="ZG373" s="652"/>
      <c r="ZH373" s="652"/>
      <c r="ZI373" s="652"/>
      <c r="ZJ373" s="652"/>
      <c r="ZK373" s="629">
        <v>27.33</v>
      </c>
      <c r="ZL373" s="653">
        <f>((ZL362*ZG369)+(ZL366*ZG370)+(ZL366*ZG371))/ZL363</f>
        <v>27.332989917734402</v>
      </c>
      <c r="ZM373" s="651" t="s">
        <v>1843</v>
      </c>
      <c r="ZN373" s="627" t="s">
        <v>1844</v>
      </c>
      <c r="ZO373" s="652"/>
      <c r="ZP373" s="652"/>
      <c r="ZQ373" s="652"/>
      <c r="ZR373" s="652"/>
      <c r="ZS373" s="652"/>
      <c r="ZT373" s="652"/>
      <c r="ZU373" s="652"/>
      <c r="ZV373" s="652"/>
      <c r="ZW373" s="652"/>
      <c r="ZX373" s="652"/>
      <c r="ZY373" s="652"/>
      <c r="ZZ373" s="652"/>
      <c r="AAA373" s="629">
        <v>27.33</v>
      </c>
      <c r="AAB373" s="653">
        <f>((AAB362*ZW369)+(AAB366*ZW370)+(AAB366*ZW371))/AAB363</f>
        <v>27.332989917734402</v>
      </c>
      <c r="AAC373" s="651" t="s">
        <v>1843</v>
      </c>
      <c r="AAD373" s="627" t="s">
        <v>1844</v>
      </c>
      <c r="AAE373" s="652"/>
      <c r="AAF373" s="652"/>
      <c r="AAG373" s="652"/>
      <c r="AAH373" s="652"/>
      <c r="AAI373" s="652"/>
      <c r="AAJ373" s="652"/>
      <c r="AAK373" s="652"/>
      <c r="AAL373" s="652"/>
      <c r="AAM373" s="652"/>
      <c r="AAN373" s="652"/>
      <c r="AAO373" s="652"/>
      <c r="AAP373" s="652"/>
      <c r="AAQ373" s="629">
        <v>27.33</v>
      </c>
      <c r="AAR373" s="653">
        <f>((AAR362*AAM369)+(AAR366*AAM370)+(AAR366*AAM371))/AAR363</f>
        <v>27.332989917734402</v>
      </c>
      <c r="AAS373" s="651" t="s">
        <v>1843</v>
      </c>
      <c r="AAT373" s="627" t="s">
        <v>1844</v>
      </c>
      <c r="AAU373" s="652"/>
      <c r="AAV373" s="652"/>
      <c r="AAW373" s="652"/>
      <c r="AAX373" s="652"/>
      <c r="AAY373" s="652"/>
      <c r="AAZ373" s="652"/>
      <c r="ABA373" s="652"/>
      <c r="ABB373" s="652"/>
      <c r="ABC373" s="652"/>
      <c r="ABD373" s="652"/>
      <c r="ABE373" s="652"/>
      <c r="ABF373" s="652"/>
      <c r="ABG373" s="629">
        <v>27.33</v>
      </c>
      <c r="ABH373" s="653">
        <f>((ABH362*ABC369)+(ABH366*ABC370)+(ABH366*ABC371))/ABH363</f>
        <v>27.332989917734402</v>
      </c>
      <c r="ABI373" s="651" t="s">
        <v>1843</v>
      </c>
      <c r="ABJ373" s="627" t="s">
        <v>1844</v>
      </c>
      <c r="ABK373" s="652"/>
      <c r="ABL373" s="652"/>
      <c r="ABM373" s="652"/>
      <c r="ABN373" s="652"/>
      <c r="ABO373" s="652"/>
      <c r="ABP373" s="652"/>
      <c r="ABQ373" s="652"/>
      <c r="ABR373" s="652"/>
      <c r="ABS373" s="652"/>
      <c r="ABT373" s="652"/>
      <c r="ABU373" s="652"/>
      <c r="ABV373" s="652"/>
      <c r="ABW373" s="629">
        <v>27.33</v>
      </c>
      <c r="ABX373" s="653">
        <f>((ABX362*ABS369)+(ABX366*ABS370)+(ABX366*ABS371))/ABX363</f>
        <v>27.332989917734402</v>
      </c>
      <c r="ABY373" s="651" t="s">
        <v>1843</v>
      </c>
      <c r="ABZ373" s="627" t="s">
        <v>1844</v>
      </c>
      <c r="ACA373" s="652"/>
      <c r="ACB373" s="652"/>
      <c r="ACC373" s="652"/>
      <c r="ACD373" s="652"/>
      <c r="ACE373" s="652"/>
      <c r="ACF373" s="652"/>
      <c r="ACG373" s="652"/>
      <c r="ACH373" s="652"/>
      <c r="ACI373" s="652"/>
      <c r="ACJ373" s="652"/>
      <c r="ACK373" s="652"/>
      <c r="ACL373" s="652"/>
      <c r="ACM373" s="629">
        <v>27.33</v>
      </c>
      <c r="ACN373" s="653">
        <f>((ACN362*ACI369)+(ACN366*ACI370)+(ACN366*ACI371))/ACN363</f>
        <v>27.332989917734402</v>
      </c>
      <c r="ACO373" s="651" t="s">
        <v>1843</v>
      </c>
      <c r="ACP373" s="627" t="s">
        <v>1844</v>
      </c>
      <c r="ACQ373" s="652"/>
      <c r="ACR373" s="652"/>
      <c r="ACS373" s="652"/>
      <c r="ACT373" s="652"/>
      <c r="ACU373" s="652"/>
      <c r="ACV373" s="652"/>
      <c r="ACW373" s="652"/>
      <c r="ACX373" s="652"/>
      <c r="ACY373" s="652"/>
      <c r="ACZ373" s="652"/>
      <c r="ADA373" s="652"/>
      <c r="ADB373" s="652"/>
      <c r="ADC373" s="629">
        <v>27.33</v>
      </c>
      <c r="ADD373" s="653">
        <f>((ADD362*ACY369)+(ADD366*ACY370)+(ADD366*ACY371))/ADD363</f>
        <v>27.332989917734402</v>
      </c>
      <c r="ADE373" s="651" t="s">
        <v>1843</v>
      </c>
      <c r="ADF373" s="627" t="s">
        <v>1844</v>
      </c>
      <c r="ADG373" s="652"/>
      <c r="ADH373" s="652"/>
      <c r="ADI373" s="652"/>
      <c r="ADJ373" s="652"/>
      <c r="ADK373" s="652"/>
      <c r="ADL373" s="652"/>
      <c r="ADM373" s="652"/>
      <c r="ADN373" s="652"/>
      <c r="ADO373" s="652"/>
      <c r="ADP373" s="652"/>
      <c r="ADQ373" s="652"/>
      <c r="ADR373" s="652"/>
      <c r="ADS373" s="629">
        <v>27.33</v>
      </c>
      <c r="ADT373" s="653">
        <f>((ADT362*ADO369)+(ADT366*ADO370)+(ADT366*ADO371))/ADT363</f>
        <v>27.332989917734402</v>
      </c>
      <c r="ADU373" s="651" t="s">
        <v>1843</v>
      </c>
      <c r="ADV373" s="627" t="s">
        <v>1844</v>
      </c>
      <c r="ADW373" s="652"/>
      <c r="ADX373" s="652"/>
      <c r="ADY373" s="652"/>
      <c r="ADZ373" s="652"/>
      <c r="AEA373" s="652"/>
      <c r="AEB373" s="652"/>
      <c r="AEC373" s="652"/>
      <c r="AED373" s="652"/>
      <c r="AEE373" s="652"/>
      <c r="AEF373" s="652"/>
      <c r="AEG373" s="652"/>
      <c r="AEH373" s="652"/>
      <c r="AEI373" s="629">
        <v>27.33</v>
      </c>
      <c r="AEJ373" s="653">
        <f>((AEJ362*AEE369)+(AEJ366*AEE370)+(AEJ366*AEE371))/AEJ363</f>
        <v>27.332989917734402</v>
      </c>
      <c r="AEK373" s="651" t="s">
        <v>1843</v>
      </c>
      <c r="AEL373" s="627" t="s">
        <v>1844</v>
      </c>
      <c r="AEM373" s="652"/>
      <c r="AEN373" s="652"/>
      <c r="AEO373" s="652"/>
      <c r="AEP373" s="652"/>
      <c r="AEQ373" s="652"/>
      <c r="AER373" s="652"/>
      <c r="AES373" s="652"/>
      <c r="AET373" s="652"/>
      <c r="AEU373" s="652"/>
      <c r="AEV373" s="652"/>
      <c r="AEW373" s="652"/>
      <c r="AEX373" s="652"/>
      <c r="AEY373" s="629">
        <v>27.33</v>
      </c>
      <c r="AEZ373" s="653">
        <f>((AEZ362*AEU369)+(AEZ366*AEU370)+(AEZ366*AEU371))/AEZ363</f>
        <v>27.332989917734402</v>
      </c>
      <c r="AFA373" s="651" t="s">
        <v>1843</v>
      </c>
      <c r="AFB373" s="627" t="s">
        <v>1844</v>
      </c>
      <c r="AFC373" s="652"/>
      <c r="AFD373" s="652"/>
      <c r="AFE373" s="652"/>
      <c r="AFF373" s="652"/>
      <c r="AFG373" s="652"/>
      <c r="AFH373" s="652"/>
      <c r="AFI373" s="652"/>
      <c r="AFJ373" s="652"/>
      <c r="AFK373" s="652"/>
      <c r="AFL373" s="652"/>
      <c r="AFM373" s="652"/>
      <c r="AFN373" s="652"/>
      <c r="AFO373" s="629">
        <v>27.33</v>
      </c>
      <c r="AFP373" s="653">
        <f>((AFP362*AFK369)+(AFP366*AFK370)+(AFP366*AFK371))/AFP363</f>
        <v>27.332989917734402</v>
      </c>
      <c r="AFQ373" s="651" t="s">
        <v>1843</v>
      </c>
      <c r="AFR373" s="627" t="s">
        <v>1844</v>
      </c>
      <c r="AFS373" s="652"/>
      <c r="AFT373" s="652"/>
      <c r="AFU373" s="652"/>
      <c r="AFV373" s="652"/>
      <c r="AFW373" s="652"/>
      <c r="AFX373" s="652"/>
      <c r="AFY373" s="652"/>
      <c r="AFZ373" s="652"/>
      <c r="AGA373" s="652"/>
      <c r="AGB373" s="652"/>
      <c r="AGC373" s="652"/>
      <c r="AGD373" s="652"/>
      <c r="AGE373" s="629">
        <v>27.33</v>
      </c>
      <c r="AGF373" s="653">
        <f>((AGF362*AGA369)+(AGF366*AGA370)+(AGF366*AGA371))/AGF363</f>
        <v>27.332989917734402</v>
      </c>
      <c r="AGG373" s="651" t="s">
        <v>1843</v>
      </c>
      <c r="AGH373" s="627" t="s">
        <v>1844</v>
      </c>
      <c r="AGI373" s="652"/>
      <c r="AGJ373" s="652"/>
      <c r="AGK373" s="652"/>
      <c r="AGL373" s="652"/>
      <c r="AGM373" s="652"/>
      <c r="AGN373" s="652"/>
      <c r="AGO373" s="652"/>
      <c r="AGP373" s="652"/>
      <c r="AGQ373" s="652"/>
      <c r="AGR373" s="652"/>
      <c r="AGS373" s="652"/>
      <c r="AGT373" s="652"/>
      <c r="AGU373" s="629">
        <v>27.33</v>
      </c>
      <c r="AGV373" s="653">
        <f>((AGV362*AGQ369)+(AGV366*AGQ370)+(AGV366*AGQ371))/AGV363</f>
        <v>27.332989917734402</v>
      </c>
      <c r="AGW373" s="651" t="s">
        <v>1843</v>
      </c>
      <c r="AGX373" s="627" t="s">
        <v>1844</v>
      </c>
      <c r="AGY373" s="652"/>
      <c r="AGZ373" s="652"/>
      <c r="AHA373" s="652"/>
      <c r="AHB373" s="652"/>
      <c r="AHC373" s="652"/>
      <c r="AHD373" s="652"/>
      <c r="AHE373" s="652"/>
      <c r="AHF373" s="652"/>
      <c r="AHG373" s="652"/>
      <c r="AHH373" s="652"/>
      <c r="AHI373" s="652"/>
      <c r="AHJ373" s="652"/>
      <c r="AHK373" s="629">
        <v>27.33</v>
      </c>
      <c r="AHL373" s="653">
        <f>((AHL362*AHG369)+(AHL366*AHG370)+(AHL366*AHG371))/AHL363</f>
        <v>27.332989917734402</v>
      </c>
      <c r="AHM373" s="651" t="s">
        <v>1843</v>
      </c>
      <c r="AHN373" s="627" t="s">
        <v>1844</v>
      </c>
      <c r="AHO373" s="652"/>
      <c r="AHP373" s="652"/>
      <c r="AHQ373" s="652"/>
      <c r="AHR373" s="652"/>
      <c r="AHS373" s="652"/>
      <c r="AHT373" s="652"/>
      <c r="AHU373" s="652"/>
      <c r="AHV373" s="652"/>
      <c r="AHW373" s="652"/>
      <c r="AHX373" s="652"/>
      <c r="AHY373" s="652"/>
      <c r="AHZ373" s="652"/>
      <c r="AIA373" s="629">
        <v>27.33</v>
      </c>
      <c r="AIB373" s="653">
        <f>((AIB362*AHW369)+(AIB366*AHW370)+(AIB366*AHW371))/AIB363</f>
        <v>27.332989917734402</v>
      </c>
      <c r="AIC373" s="651" t="s">
        <v>1843</v>
      </c>
      <c r="AID373" s="627" t="s">
        <v>1844</v>
      </c>
      <c r="AIE373" s="652"/>
      <c r="AIF373" s="652"/>
      <c r="AIG373" s="652"/>
      <c r="AIH373" s="652"/>
      <c r="AII373" s="652"/>
      <c r="AIJ373" s="652"/>
      <c r="AIK373" s="652"/>
      <c r="AIL373" s="652"/>
      <c r="AIM373" s="652"/>
      <c r="AIN373" s="652"/>
      <c r="AIO373" s="652"/>
      <c r="AIP373" s="652"/>
      <c r="AIQ373" s="629">
        <v>27.33</v>
      </c>
      <c r="AIR373" s="653">
        <f>((AIR362*AIM369)+(AIR366*AIM370)+(AIR366*AIM371))/AIR363</f>
        <v>27.332989917734402</v>
      </c>
      <c r="AIS373" s="651" t="s">
        <v>1843</v>
      </c>
      <c r="AIT373" s="627" t="s">
        <v>1844</v>
      </c>
      <c r="AIU373" s="652"/>
      <c r="AIV373" s="652"/>
      <c r="AIW373" s="652"/>
      <c r="AIX373" s="652"/>
      <c r="AIY373" s="652"/>
      <c r="AIZ373" s="652"/>
      <c r="AJA373" s="652"/>
      <c r="AJB373" s="652"/>
      <c r="AJC373" s="652"/>
      <c r="AJD373" s="652"/>
      <c r="AJE373" s="652"/>
      <c r="AJF373" s="652"/>
      <c r="AJG373" s="629">
        <v>27.33</v>
      </c>
      <c r="AJH373" s="653">
        <f>((AJH362*AJC369)+(AJH366*AJC370)+(AJH366*AJC371))/AJH363</f>
        <v>27.332989917734402</v>
      </c>
      <c r="AJI373" s="651" t="s">
        <v>1843</v>
      </c>
      <c r="AJJ373" s="627" t="s">
        <v>1844</v>
      </c>
      <c r="AJK373" s="652"/>
      <c r="AJL373" s="652"/>
      <c r="AJM373" s="652"/>
      <c r="AJN373" s="652"/>
      <c r="AJO373" s="652"/>
      <c r="AJP373" s="652"/>
      <c r="AJQ373" s="652"/>
      <c r="AJR373" s="652"/>
      <c r="AJS373" s="652"/>
      <c r="AJT373" s="652"/>
      <c r="AJU373" s="652"/>
      <c r="AJV373" s="652"/>
      <c r="AJW373" s="629">
        <v>27.33</v>
      </c>
      <c r="AJX373" s="653">
        <f>((AJX362*AJS369)+(AJX366*AJS370)+(AJX366*AJS371))/AJX363</f>
        <v>27.332989917734402</v>
      </c>
      <c r="AJY373" s="651" t="s">
        <v>1843</v>
      </c>
      <c r="AJZ373" s="627" t="s">
        <v>1844</v>
      </c>
      <c r="AKA373" s="652"/>
      <c r="AKB373" s="652"/>
      <c r="AKC373" s="652"/>
      <c r="AKD373" s="652"/>
      <c r="AKE373" s="652"/>
      <c r="AKF373" s="652"/>
      <c r="AKG373" s="652"/>
      <c r="AKH373" s="652"/>
      <c r="AKI373" s="652"/>
      <c r="AKJ373" s="652"/>
      <c r="AKK373" s="652"/>
      <c r="AKL373" s="652"/>
      <c r="AKM373" s="629">
        <v>27.33</v>
      </c>
      <c r="AKN373" s="653">
        <f>((AKN362*AKI369)+(AKN366*AKI370)+(AKN366*AKI371))/AKN363</f>
        <v>27.332989917734402</v>
      </c>
      <c r="AKO373" s="651" t="s">
        <v>1843</v>
      </c>
      <c r="AKP373" s="627" t="s">
        <v>1844</v>
      </c>
      <c r="AKQ373" s="652"/>
      <c r="AKR373" s="652"/>
      <c r="AKS373" s="652"/>
      <c r="AKT373" s="652"/>
      <c r="AKU373" s="652"/>
      <c r="AKV373" s="652"/>
      <c r="AKW373" s="652"/>
      <c r="AKX373" s="652"/>
      <c r="AKY373" s="652"/>
      <c r="AKZ373" s="652"/>
      <c r="ALA373" s="652"/>
      <c r="ALB373" s="652"/>
      <c r="ALC373" s="629">
        <v>27.33</v>
      </c>
      <c r="ALD373" s="653">
        <f>((ALD362*AKY369)+(ALD366*AKY370)+(ALD366*AKY371))/ALD363</f>
        <v>27.332989917734402</v>
      </c>
      <c r="ALE373" s="651" t="s">
        <v>1843</v>
      </c>
      <c r="ALF373" s="627" t="s">
        <v>1844</v>
      </c>
      <c r="ALG373" s="652"/>
      <c r="ALH373" s="652"/>
      <c r="ALI373" s="652"/>
      <c r="ALJ373" s="652"/>
      <c r="ALK373" s="652"/>
      <c r="ALL373" s="652"/>
      <c r="ALM373" s="652"/>
      <c r="ALN373" s="652"/>
      <c r="ALO373" s="652"/>
      <c r="ALP373" s="652"/>
      <c r="ALQ373" s="652"/>
      <c r="ALR373" s="652"/>
      <c r="ALS373" s="629">
        <v>27.33</v>
      </c>
      <c r="ALT373" s="653">
        <f>((ALT362*ALO369)+(ALT366*ALO370)+(ALT366*ALO371))/ALT363</f>
        <v>27.332989917734402</v>
      </c>
      <c r="ALU373" s="651" t="s">
        <v>1843</v>
      </c>
      <c r="ALV373" s="627" t="s">
        <v>1844</v>
      </c>
      <c r="ALW373" s="652"/>
      <c r="ALX373" s="652"/>
      <c r="ALY373" s="652"/>
      <c r="ALZ373" s="652"/>
      <c r="AMA373" s="652"/>
      <c r="AMB373" s="652"/>
      <c r="AMC373" s="652"/>
      <c r="AMD373" s="652"/>
      <c r="AME373" s="652"/>
      <c r="AMF373" s="652"/>
      <c r="AMG373" s="652"/>
      <c r="AMH373" s="652"/>
      <c r="AMI373" s="629">
        <v>27.33</v>
      </c>
      <c r="AMJ373" s="653">
        <f>((AMJ362*AME369)+(AMJ366*AME370)+(AMJ366*AME371))/AMJ363</f>
        <v>27.332989917734402</v>
      </c>
      <c r="AMK373" s="651" t="s">
        <v>1843</v>
      </c>
      <c r="AML373" s="627" t="s">
        <v>1844</v>
      </c>
      <c r="AMM373" s="652"/>
      <c r="AMN373" s="652"/>
      <c r="AMO373" s="652"/>
      <c r="AMP373" s="652"/>
      <c r="AMQ373" s="652"/>
      <c r="AMR373" s="652"/>
      <c r="AMS373" s="652"/>
      <c r="AMT373" s="652"/>
      <c r="AMU373" s="652"/>
      <c r="AMV373" s="652"/>
      <c r="AMW373" s="652"/>
      <c r="AMX373" s="652"/>
      <c r="AMY373" s="629">
        <v>27.33</v>
      </c>
      <c r="AMZ373" s="653">
        <f>((AMZ362*AMU369)+(AMZ366*AMU370)+(AMZ366*AMU371))/AMZ363</f>
        <v>27.332989917734402</v>
      </c>
      <c r="ANA373" s="651" t="s">
        <v>1843</v>
      </c>
      <c r="ANB373" s="627" t="s">
        <v>1844</v>
      </c>
      <c r="ANC373" s="652"/>
      <c r="AND373" s="652"/>
      <c r="ANE373" s="652"/>
      <c r="ANF373" s="652"/>
      <c r="ANG373" s="652"/>
      <c r="ANH373" s="652"/>
      <c r="ANI373" s="652"/>
      <c r="ANJ373" s="652"/>
      <c r="ANK373" s="652"/>
      <c r="ANL373" s="652"/>
      <c r="ANM373" s="652"/>
      <c r="ANN373" s="652"/>
      <c r="ANO373" s="629">
        <v>27.33</v>
      </c>
      <c r="ANP373" s="653">
        <f>((ANP362*ANK369)+(ANP366*ANK370)+(ANP366*ANK371))/ANP363</f>
        <v>27.332989917734402</v>
      </c>
      <c r="ANQ373" s="651" t="s">
        <v>1843</v>
      </c>
      <c r="ANR373" s="627" t="s">
        <v>1844</v>
      </c>
      <c r="ANS373" s="652"/>
      <c r="ANT373" s="652"/>
      <c r="ANU373" s="652"/>
      <c r="ANV373" s="652"/>
      <c r="ANW373" s="652"/>
      <c r="ANX373" s="652"/>
      <c r="ANY373" s="652"/>
      <c r="ANZ373" s="652"/>
      <c r="AOA373" s="652"/>
      <c r="AOB373" s="652"/>
      <c r="AOC373" s="652"/>
      <c r="AOD373" s="652"/>
      <c r="AOE373" s="629">
        <v>27.33</v>
      </c>
      <c r="AOF373" s="653">
        <f>((AOF362*AOA369)+(AOF366*AOA370)+(AOF366*AOA371))/AOF363</f>
        <v>27.332989917734402</v>
      </c>
      <c r="AOG373" s="651" t="s">
        <v>1843</v>
      </c>
      <c r="AOH373" s="627" t="s">
        <v>1844</v>
      </c>
      <c r="AOI373" s="652"/>
      <c r="AOJ373" s="652"/>
      <c r="AOK373" s="652"/>
      <c r="AOL373" s="652"/>
      <c r="AOM373" s="652"/>
      <c r="AON373" s="652"/>
      <c r="AOO373" s="652"/>
      <c r="AOP373" s="652"/>
      <c r="AOQ373" s="652"/>
      <c r="AOR373" s="652"/>
      <c r="AOS373" s="652"/>
      <c r="AOT373" s="652"/>
      <c r="AOU373" s="629">
        <v>27.33</v>
      </c>
      <c r="AOV373" s="653">
        <f>((AOV362*AOQ369)+(AOV366*AOQ370)+(AOV366*AOQ371))/AOV363</f>
        <v>27.332989917734402</v>
      </c>
      <c r="AOW373" s="651" t="s">
        <v>1843</v>
      </c>
      <c r="AOX373" s="627" t="s">
        <v>1844</v>
      </c>
      <c r="AOY373" s="652"/>
      <c r="AOZ373" s="652"/>
      <c r="APA373" s="652"/>
      <c r="APB373" s="652"/>
      <c r="APC373" s="652"/>
      <c r="APD373" s="652"/>
      <c r="APE373" s="652"/>
      <c r="APF373" s="652"/>
      <c r="APG373" s="652"/>
      <c r="APH373" s="652"/>
      <c r="API373" s="652"/>
      <c r="APJ373" s="652"/>
      <c r="APK373" s="629">
        <v>27.33</v>
      </c>
      <c r="APL373" s="653">
        <f>((APL362*APG369)+(APL366*APG370)+(APL366*APG371))/APL363</f>
        <v>27.332989917734402</v>
      </c>
      <c r="APM373" s="651" t="s">
        <v>1843</v>
      </c>
      <c r="APN373" s="627" t="s">
        <v>1844</v>
      </c>
      <c r="APO373" s="652"/>
      <c r="APP373" s="652"/>
      <c r="APQ373" s="652"/>
      <c r="APR373" s="652"/>
      <c r="APS373" s="652"/>
      <c r="APT373" s="652"/>
      <c r="APU373" s="652"/>
      <c r="APV373" s="652"/>
      <c r="APW373" s="652"/>
      <c r="APX373" s="652"/>
      <c r="APY373" s="652"/>
      <c r="APZ373" s="652"/>
      <c r="AQA373" s="629">
        <v>27.33</v>
      </c>
      <c r="AQB373" s="653">
        <f>((AQB362*APW369)+(AQB366*APW370)+(AQB366*APW371))/AQB363</f>
        <v>27.332989917734402</v>
      </c>
      <c r="AQC373" s="651" t="s">
        <v>1843</v>
      </c>
      <c r="AQD373" s="627" t="s">
        <v>1844</v>
      </c>
      <c r="AQE373" s="652"/>
      <c r="AQF373" s="652"/>
      <c r="AQG373" s="652"/>
      <c r="AQH373" s="652"/>
      <c r="AQI373" s="652"/>
      <c r="AQJ373" s="652"/>
      <c r="AQK373" s="652"/>
      <c r="AQL373" s="652"/>
      <c r="AQM373" s="652"/>
      <c r="AQN373" s="652"/>
      <c r="AQO373" s="652"/>
      <c r="AQP373" s="652"/>
      <c r="AQQ373" s="629">
        <v>27.33</v>
      </c>
      <c r="AQR373" s="653">
        <f>((AQR362*AQM369)+(AQR366*AQM370)+(AQR366*AQM371))/AQR363</f>
        <v>27.332989917734402</v>
      </c>
      <c r="AQS373" s="651" t="s">
        <v>1843</v>
      </c>
      <c r="AQT373" s="627" t="s">
        <v>1844</v>
      </c>
      <c r="AQU373" s="652"/>
      <c r="AQV373" s="652"/>
      <c r="AQW373" s="652"/>
      <c r="AQX373" s="652"/>
      <c r="AQY373" s="652"/>
      <c r="AQZ373" s="652"/>
      <c r="ARA373" s="652"/>
      <c r="ARB373" s="652"/>
      <c r="ARC373" s="652"/>
      <c r="ARD373" s="652"/>
      <c r="ARE373" s="652"/>
      <c r="ARF373" s="652"/>
      <c r="ARG373" s="629">
        <v>27.33</v>
      </c>
      <c r="ARH373" s="653">
        <f>((ARH362*ARC369)+(ARH366*ARC370)+(ARH366*ARC371))/ARH363</f>
        <v>27.332989917734402</v>
      </c>
      <c r="ARI373" s="651" t="s">
        <v>1843</v>
      </c>
      <c r="ARJ373" s="627" t="s">
        <v>1844</v>
      </c>
      <c r="ARK373" s="652"/>
      <c r="ARL373" s="652"/>
      <c r="ARM373" s="652"/>
      <c r="ARN373" s="652"/>
      <c r="ARO373" s="652"/>
      <c r="ARP373" s="652"/>
      <c r="ARQ373" s="652"/>
      <c r="ARR373" s="652"/>
      <c r="ARS373" s="652"/>
      <c r="ART373" s="652"/>
      <c r="ARU373" s="652"/>
      <c r="ARV373" s="652"/>
      <c r="ARW373" s="629">
        <v>27.33</v>
      </c>
      <c r="ARX373" s="653">
        <f>((ARX362*ARS369)+(ARX366*ARS370)+(ARX366*ARS371))/ARX363</f>
        <v>27.332989917734402</v>
      </c>
      <c r="ARY373" s="651" t="s">
        <v>1843</v>
      </c>
      <c r="ARZ373" s="627" t="s">
        <v>1844</v>
      </c>
      <c r="ASA373" s="652"/>
      <c r="ASB373" s="652"/>
      <c r="ASC373" s="652"/>
      <c r="ASD373" s="652"/>
      <c r="ASE373" s="652"/>
      <c r="ASF373" s="652"/>
      <c r="ASG373" s="652"/>
      <c r="ASH373" s="652"/>
      <c r="ASI373" s="652"/>
      <c r="ASJ373" s="652"/>
      <c r="ASK373" s="652"/>
      <c r="ASL373" s="652"/>
      <c r="ASM373" s="629">
        <v>27.33</v>
      </c>
      <c r="ASN373" s="653">
        <f>((ASN362*ASI369)+(ASN366*ASI370)+(ASN366*ASI371))/ASN363</f>
        <v>27.332989917734402</v>
      </c>
      <c r="ASO373" s="651" t="s">
        <v>1843</v>
      </c>
      <c r="ASP373" s="627" t="s">
        <v>1844</v>
      </c>
      <c r="ASQ373" s="652"/>
      <c r="ASR373" s="652"/>
      <c r="ASS373" s="652"/>
      <c r="AST373" s="652"/>
      <c r="ASU373" s="652"/>
      <c r="ASV373" s="652"/>
      <c r="ASW373" s="652"/>
      <c r="ASX373" s="652"/>
      <c r="ASY373" s="652"/>
      <c r="ASZ373" s="652"/>
      <c r="ATA373" s="652"/>
      <c r="ATB373" s="652"/>
      <c r="ATC373" s="629">
        <v>27.33</v>
      </c>
      <c r="ATD373" s="653">
        <f>((ATD362*ASY369)+(ATD366*ASY370)+(ATD366*ASY371))/ATD363</f>
        <v>27.332989917734402</v>
      </c>
      <c r="ATE373" s="651" t="s">
        <v>1843</v>
      </c>
      <c r="ATF373" s="627" t="s">
        <v>1844</v>
      </c>
      <c r="ATG373" s="652"/>
      <c r="ATH373" s="652"/>
      <c r="ATI373" s="652"/>
      <c r="ATJ373" s="652"/>
      <c r="ATK373" s="652"/>
      <c r="ATL373" s="652"/>
      <c r="ATM373" s="652"/>
      <c r="ATN373" s="652"/>
      <c r="ATO373" s="652"/>
      <c r="ATP373" s="652"/>
      <c r="ATQ373" s="652"/>
      <c r="ATR373" s="652"/>
      <c r="ATS373" s="629">
        <v>27.33</v>
      </c>
      <c r="ATT373" s="653">
        <f>((ATT362*ATO369)+(ATT366*ATO370)+(ATT366*ATO371))/ATT363</f>
        <v>27.332989917734402</v>
      </c>
      <c r="ATU373" s="651" t="s">
        <v>1843</v>
      </c>
      <c r="ATV373" s="627" t="s">
        <v>1844</v>
      </c>
      <c r="ATW373" s="652"/>
      <c r="ATX373" s="652"/>
      <c r="ATY373" s="652"/>
      <c r="ATZ373" s="652"/>
      <c r="AUA373" s="652"/>
      <c r="AUB373" s="652"/>
      <c r="AUC373" s="652"/>
      <c r="AUD373" s="652"/>
      <c r="AUE373" s="652"/>
      <c r="AUF373" s="652"/>
      <c r="AUG373" s="652"/>
      <c r="AUH373" s="652"/>
      <c r="AUI373" s="629">
        <v>27.33</v>
      </c>
      <c r="AUJ373" s="653">
        <f>((AUJ362*AUE369)+(AUJ366*AUE370)+(AUJ366*AUE371))/AUJ363</f>
        <v>27.332989917734402</v>
      </c>
      <c r="AUK373" s="651" t="s">
        <v>1843</v>
      </c>
      <c r="AUL373" s="627" t="s">
        <v>1844</v>
      </c>
      <c r="AUM373" s="652"/>
      <c r="AUN373" s="652"/>
      <c r="AUO373" s="652"/>
      <c r="AUP373" s="652"/>
      <c r="AUQ373" s="652"/>
      <c r="AUR373" s="652"/>
      <c r="AUS373" s="652"/>
      <c r="AUT373" s="652"/>
      <c r="AUU373" s="652"/>
      <c r="AUV373" s="652"/>
      <c r="AUW373" s="652"/>
      <c r="AUX373" s="652"/>
      <c r="AUY373" s="629">
        <v>27.33</v>
      </c>
      <c r="AUZ373" s="653">
        <f>((AUZ362*AUU369)+(AUZ366*AUU370)+(AUZ366*AUU371))/AUZ363</f>
        <v>27.332989917734402</v>
      </c>
      <c r="AVA373" s="651" t="s">
        <v>1843</v>
      </c>
      <c r="AVB373" s="627" t="s">
        <v>1844</v>
      </c>
      <c r="AVC373" s="652"/>
      <c r="AVD373" s="652"/>
      <c r="AVE373" s="652"/>
      <c r="AVF373" s="652"/>
      <c r="AVG373" s="652"/>
      <c r="AVH373" s="652"/>
      <c r="AVI373" s="652"/>
      <c r="AVJ373" s="652"/>
      <c r="AVK373" s="652"/>
      <c r="AVL373" s="652"/>
      <c r="AVM373" s="652"/>
      <c r="AVN373" s="652"/>
      <c r="AVO373" s="629">
        <v>27.33</v>
      </c>
      <c r="AVP373" s="653">
        <f>((AVP362*AVK369)+(AVP366*AVK370)+(AVP366*AVK371))/AVP363</f>
        <v>27.332989917734402</v>
      </c>
      <c r="AVQ373" s="651" t="s">
        <v>1843</v>
      </c>
      <c r="AVR373" s="627" t="s">
        <v>1844</v>
      </c>
      <c r="AVS373" s="652"/>
      <c r="AVT373" s="652"/>
      <c r="AVU373" s="652"/>
      <c r="AVV373" s="652"/>
      <c r="AVW373" s="652"/>
      <c r="AVX373" s="652"/>
      <c r="AVY373" s="652"/>
      <c r="AVZ373" s="652"/>
      <c r="AWA373" s="652"/>
      <c r="AWB373" s="652"/>
      <c r="AWC373" s="652"/>
      <c r="AWD373" s="652"/>
      <c r="AWE373" s="629">
        <v>27.33</v>
      </c>
      <c r="AWF373" s="653">
        <f>((AWF362*AWA369)+(AWF366*AWA370)+(AWF366*AWA371))/AWF363</f>
        <v>27.332989917734402</v>
      </c>
      <c r="AWG373" s="651" t="s">
        <v>1843</v>
      </c>
      <c r="AWH373" s="627" t="s">
        <v>1844</v>
      </c>
      <c r="AWI373" s="652"/>
      <c r="AWJ373" s="652"/>
      <c r="AWK373" s="652"/>
      <c r="AWL373" s="652"/>
      <c r="AWM373" s="652"/>
      <c r="AWN373" s="652"/>
      <c r="AWO373" s="652"/>
      <c r="AWP373" s="652"/>
      <c r="AWQ373" s="652"/>
      <c r="AWR373" s="652"/>
      <c r="AWS373" s="652"/>
      <c r="AWT373" s="652"/>
      <c r="AWU373" s="629">
        <v>27.33</v>
      </c>
      <c r="AWV373" s="653">
        <f>((AWV362*AWQ369)+(AWV366*AWQ370)+(AWV366*AWQ371))/AWV363</f>
        <v>27.332989917734402</v>
      </c>
      <c r="AWW373" s="651" t="s">
        <v>1843</v>
      </c>
      <c r="AWX373" s="627" t="s">
        <v>1844</v>
      </c>
      <c r="AWY373" s="652"/>
      <c r="AWZ373" s="652"/>
      <c r="AXA373" s="652"/>
      <c r="AXB373" s="652"/>
      <c r="AXC373" s="652"/>
      <c r="AXD373" s="652"/>
      <c r="AXE373" s="652"/>
      <c r="AXF373" s="652"/>
      <c r="AXG373" s="652"/>
      <c r="AXH373" s="652"/>
      <c r="AXI373" s="652"/>
      <c r="AXJ373" s="652"/>
      <c r="AXK373" s="629">
        <v>27.33</v>
      </c>
      <c r="AXL373" s="653">
        <f>((AXL362*AXG369)+(AXL366*AXG370)+(AXL366*AXG371))/AXL363</f>
        <v>27.332989917734402</v>
      </c>
      <c r="AXM373" s="651" t="s">
        <v>1843</v>
      </c>
      <c r="AXN373" s="627" t="s">
        <v>1844</v>
      </c>
      <c r="AXO373" s="652"/>
      <c r="AXP373" s="652"/>
      <c r="AXQ373" s="652"/>
      <c r="AXR373" s="652"/>
      <c r="AXS373" s="652"/>
      <c r="AXT373" s="652"/>
      <c r="AXU373" s="652"/>
      <c r="AXV373" s="652"/>
      <c r="AXW373" s="652"/>
      <c r="AXX373" s="652"/>
      <c r="AXY373" s="652"/>
      <c r="AXZ373" s="652"/>
      <c r="AYA373" s="629">
        <v>27.33</v>
      </c>
      <c r="AYB373" s="653">
        <f>((AYB362*AXW369)+(AYB366*AXW370)+(AYB366*AXW371))/AYB363</f>
        <v>27.332989917734402</v>
      </c>
      <c r="AYC373" s="651" t="s">
        <v>1843</v>
      </c>
      <c r="AYD373" s="627" t="s">
        <v>1844</v>
      </c>
      <c r="AYE373" s="652"/>
      <c r="AYF373" s="652"/>
      <c r="AYG373" s="652"/>
      <c r="AYH373" s="652"/>
      <c r="AYI373" s="652"/>
      <c r="AYJ373" s="652"/>
      <c r="AYK373" s="652"/>
      <c r="AYL373" s="652"/>
      <c r="AYM373" s="652"/>
      <c r="AYN373" s="652"/>
      <c r="AYO373" s="652"/>
      <c r="AYP373" s="652"/>
      <c r="AYQ373" s="629">
        <v>27.33</v>
      </c>
      <c r="AYR373" s="653">
        <f>((AYR362*AYM369)+(AYR366*AYM370)+(AYR366*AYM371))/AYR363</f>
        <v>27.332989917734402</v>
      </c>
      <c r="AYS373" s="651" t="s">
        <v>1843</v>
      </c>
      <c r="AYT373" s="627" t="s">
        <v>1844</v>
      </c>
      <c r="AYU373" s="652"/>
      <c r="AYV373" s="652"/>
      <c r="AYW373" s="652"/>
      <c r="AYX373" s="652"/>
      <c r="AYY373" s="652"/>
      <c r="AYZ373" s="652"/>
      <c r="AZA373" s="652"/>
      <c r="AZB373" s="652"/>
      <c r="AZC373" s="652"/>
      <c r="AZD373" s="652"/>
      <c r="AZE373" s="652"/>
      <c r="AZF373" s="652"/>
      <c r="AZG373" s="629">
        <v>27.33</v>
      </c>
      <c r="AZH373" s="653">
        <f>((AZH362*AZC369)+(AZH366*AZC370)+(AZH366*AZC371))/AZH363</f>
        <v>27.332989917734402</v>
      </c>
      <c r="AZI373" s="651" t="s">
        <v>1843</v>
      </c>
      <c r="AZJ373" s="627" t="s">
        <v>1844</v>
      </c>
      <c r="AZK373" s="652"/>
      <c r="AZL373" s="652"/>
      <c r="AZM373" s="652"/>
      <c r="AZN373" s="652"/>
      <c r="AZO373" s="652"/>
      <c r="AZP373" s="652"/>
      <c r="AZQ373" s="652"/>
      <c r="AZR373" s="652"/>
      <c r="AZS373" s="652"/>
      <c r="AZT373" s="652"/>
      <c r="AZU373" s="652"/>
      <c r="AZV373" s="652"/>
      <c r="AZW373" s="629">
        <v>27.33</v>
      </c>
      <c r="AZX373" s="653">
        <f>((AZX362*AZS369)+(AZX366*AZS370)+(AZX366*AZS371))/AZX363</f>
        <v>27.332989917734402</v>
      </c>
      <c r="AZY373" s="651" t="s">
        <v>1843</v>
      </c>
      <c r="AZZ373" s="627" t="s">
        <v>1844</v>
      </c>
      <c r="BAA373" s="652"/>
      <c r="BAB373" s="652"/>
      <c r="BAC373" s="652"/>
      <c r="BAD373" s="652"/>
      <c r="BAE373" s="652"/>
      <c r="BAF373" s="652"/>
      <c r="BAG373" s="652"/>
      <c r="BAH373" s="652"/>
      <c r="BAI373" s="652"/>
      <c r="BAJ373" s="652"/>
      <c r="BAK373" s="652"/>
      <c r="BAL373" s="652"/>
      <c r="BAM373" s="629">
        <v>27.33</v>
      </c>
      <c r="BAN373" s="653">
        <f>((BAN362*BAI369)+(BAN366*BAI370)+(BAN366*BAI371))/BAN363</f>
        <v>27.332989917734402</v>
      </c>
      <c r="BAO373" s="651" t="s">
        <v>1843</v>
      </c>
      <c r="BAP373" s="627" t="s">
        <v>1844</v>
      </c>
      <c r="BAQ373" s="652"/>
      <c r="BAR373" s="652"/>
      <c r="BAS373" s="652"/>
      <c r="BAT373" s="652"/>
      <c r="BAU373" s="652"/>
      <c r="BAV373" s="652"/>
      <c r="BAW373" s="652"/>
      <c r="BAX373" s="652"/>
      <c r="BAY373" s="652"/>
      <c r="BAZ373" s="652"/>
      <c r="BBA373" s="652"/>
      <c r="BBB373" s="652"/>
      <c r="BBC373" s="629">
        <v>27.33</v>
      </c>
      <c r="BBD373" s="653">
        <f>((BBD362*BAY369)+(BBD366*BAY370)+(BBD366*BAY371))/BBD363</f>
        <v>27.332989917734402</v>
      </c>
      <c r="BBE373" s="651" t="s">
        <v>1843</v>
      </c>
      <c r="BBF373" s="627" t="s">
        <v>1844</v>
      </c>
      <c r="BBG373" s="652"/>
      <c r="BBH373" s="652"/>
      <c r="BBI373" s="652"/>
      <c r="BBJ373" s="652"/>
      <c r="BBK373" s="652"/>
      <c r="BBL373" s="652"/>
      <c r="BBM373" s="652"/>
      <c r="BBN373" s="652"/>
      <c r="BBO373" s="652"/>
      <c r="BBP373" s="652"/>
      <c r="BBQ373" s="652"/>
      <c r="BBR373" s="652"/>
      <c r="BBS373" s="629">
        <v>27.33</v>
      </c>
      <c r="BBT373" s="653">
        <f>((BBT362*BBO369)+(BBT366*BBO370)+(BBT366*BBO371))/BBT363</f>
        <v>27.332989917734402</v>
      </c>
      <c r="BBU373" s="651" t="s">
        <v>1843</v>
      </c>
      <c r="BBV373" s="627" t="s">
        <v>1844</v>
      </c>
      <c r="BBW373" s="652"/>
      <c r="BBX373" s="652"/>
      <c r="BBY373" s="652"/>
      <c r="BBZ373" s="652"/>
      <c r="BCA373" s="652"/>
      <c r="BCB373" s="652"/>
      <c r="BCC373" s="652"/>
      <c r="BCD373" s="652"/>
      <c r="BCE373" s="652"/>
      <c r="BCF373" s="652"/>
      <c r="BCG373" s="652"/>
      <c r="BCH373" s="652"/>
      <c r="BCI373" s="629">
        <v>27.33</v>
      </c>
      <c r="BCJ373" s="653">
        <f>((BCJ362*BCE369)+(BCJ366*BCE370)+(BCJ366*BCE371))/BCJ363</f>
        <v>27.332989917734402</v>
      </c>
      <c r="BCK373" s="651" t="s">
        <v>1843</v>
      </c>
      <c r="BCL373" s="627" t="s">
        <v>1844</v>
      </c>
      <c r="BCM373" s="652"/>
      <c r="BCN373" s="652"/>
      <c r="BCO373" s="652"/>
      <c r="BCP373" s="652"/>
      <c r="BCQ373" s="652"/>
      <c r="BCR373" s="652"/>
      <c r="BCS373" s="652"/>
      <c r="BCT373" s="652"/>
      <c r="BCU373" s="652"/>
      <c r="BCV373" s="652"/>
      <c r="BCW373" s="652"/>
      <c r="BCX373" s="652"/>
      <c r="BCY373" s="629">
        <v>27.33</v>
      </c>
      <c r="BCZ373" s="653">
        <f>((BCZ362*BCU369)+(BCZ366*BCU370)+(BCZ366*BCU371))/BCZ363</f>
        <v>27.332989917734402</v>
      </c>
      <c r="BDA373" s="651" t="s">
        <v>1843</v>
      </c>
      <c r="BDB373" s="627" t="s">
        <v>1844</v>
      </c>
      <c r="BDC373" s="652"/>
      <c r="BDD373" s="652"/>
      <c r="BDE373" s="652"/>
      <c r="BDF373" s="652"/>
      <c r="BDG373" s="652"/>
      <c r="BDH373" s="652"/>
      <c r="BDI373" s="652"/>
      <c r="BDJ373" s="652"/>
      <c r="BDK373" s="652"/>
      <c r="BDL373" s="652"/>
      <c r="BDM373" s="652"/>
      <c r="BDN373" s="652"/>
      <c r="BDO373" s="629">
        <v>27.33</v>
      </c>
      <c r="BDP373" s="653">
        <f>((BDP362*BDK369)+(BDP366*BDK370)+(BDP366*BDK371))/BDP363</f>
        <v>27.332989917734402</v>
      </c>
      <c r="BDQ373" s="651" t="s">
        <v>1843</v>
      </c>
      <c r="BDR373" s="627" t="s">
        <v>1844</v>
      </c>
      <c r="BDS373" s="652"/>
      <c r="BDT373" s="652"/>
      <c r="BDU373" s="652"/>
      <c r="BDV373" s="652"/>
      <c r="BDW373" s="652"/>
      <c r="BDX373" s="652"/>
      <c r="BDY373" s="652"/>
      <c r="BDZ373" s="652"/>
      <c r="BEA373" s="652"/>
      <c r="BEB373" s="652"/>
      <c r="BEC373" s="652"/>
      <c r="BED373" s="652"/>
      <c r="BEE373" s="629">
        <v>27.33</v>
      </c>
      <c r="BEF373" s="653">
        <f>((BEF362*BEA369)+(BEF366*BEA370)+(BEF366*BEA371))/BEF363</f>
        <v>27.332989917734402</v>
      </c>
      <c r="BEG373" s="651" t="s">
        <v>1843</v>
      </c>
      <c r="BEH373" s="627" t="s">
        <v>1844</v>
      </c>
      <c r="BEI373" s="652"/>
      <c r="BEJ373" s="652"/>
      <c r="BEK373" s="652"/>
      <c r="BEL373" s="652"/>
      <c r="BEM373" s="652"/>
      <c r="BEN373" s="652"/>
      <c r="BEO373" s="652"/>
      <c r="BEP373" s="652"/>
      <c r="BEQ373" s="652"/>
      <c r="BER373" s="652"/>
      <c r="BES373" s="652"/>
      <c r="BET373" s="652"/>
      <c r="BEU373" s="629">
        <v>27.33</v>
      </c>
      <c r="BEV373" s="653">
        <f>((BEV362*BEQ369)+(BEV366*BEQ370)+(BEV366*BEQ371))/BEV363</f>
        <v>27.332989917734402</v>
      </c>
      <c r="BEW373" s="651" t="s">
        <v>1843</v>
      </c>
      <c r="BEX373" s="627" t="s">
        <v>1844</v>
      </c>
      <c r="BEY373" s="652"/>
      <c r="BEZ373" s="652"/>
      <c r="BFA373" s="652"/>
      <c r="BFB373" s="652"/>
      <c r="BFC373" s="652"/>
      <c r="BFD373" s="652"/>
      <c r="BFE373" s="652"/>
      <c r="BFF373" s="652"/>
      <c r="BFG373" s="652"/>
      <c r="BFH373" s="652"/>
      <c r="BFI373" s="652"/>
      <c r="BFJ373" s="652"/>
      <c r="BFK373" s="629">
        <v>27.33</v>
      </c>
      <c r="BFL373" s="653">
        <f>((BFL362*BFG369)+(BFL366*BFG370)+(BFL366*BFG371))/BFL363</f>
        <v>27.332989917734402</v>
      </c>
      <c r="BFM373" s="651" t="s">
        <v>1843</v>
      </c>
      <c r="BFN373" s="627" t="s">
        <v>1844</v>
      </c>
      <c r="BFO373" s="652"/>
      <c r="BFP373" s="652"/>
      <c r="BFQ373" s="652"/>
      <c r="BFR373" s="652"/>
      <c r="BFS373" s="652"/>
      <c r="BFT373" s="652"/>
      <c r="BFU373" s="652"/>
      <c r="BFV373" s="652"/>
      <c r="BFW373" s="652"/>
      <c r="BFX373" s="652"/>
      <c r="BFY373" s="652"/>
      <c r="BFZ373" s="652"/>
      <c r="BGA373" s="629">
        <v>27.33</v>
      </c>
      <c r="BGB373" s="653">
        <f>((BGB362*BFW369)+(BGB366*BFW370)+(BGB366*BFW371))/BGB363</f>
        <v>27.332989917734402</v>
      </c>
      <c r="BGC373" s="651" t="s">
        <v>1843</v>
      </c>
      <c r="BGD373" s="627" t="s">
        <v>1844</v>
      </c>
      <c r="BGE373" s="652"/>
      <c r="BGF373" s="652"/>
      <c r="BGG373" s="652"/>
      <c r="BGH373" s="652"/>
      <c r="BGI373" s="652"/>
      <c r="BGJ373" s="652"/>
      <c r="BGK373" s="652"/>
      <c r="BGL373" s="652"/>
      <c r="BGM373" s="652"/>
      <c r="BGN373" s="652"/>
      <c r="BGO373" s="652"/>
      <c r="BGP373" s="652"/>
      <c r="BGQ373" s="629">
        <v>27.33</v>
      </c>
      <c r="BGR373" s="653">
        <f>((BGR362*BGM369)+(BGR366*BGM370)+(BGR366*BGM371))/BGR363</f>
        <v>27.332989917734402</v>
      </c>
      <c r="BGS373" s="651" t="s">
        <v>1843</v>
      </c>
      <c r="BGT373" s="627" t="s">
        <v>1844</v>
      </c>
      <c r="BGU373" s="652"/>
      <c r="BGV373" s="652"/>
      <c r="BGW373" s="652"/>
      <c r="BGX373" s="652"/>
      <c r="BGY373" s="652"/>
      <c r="BGZ373" s="652"/>
      <c r="BHA373" s="652"/>
      <c r="BHB373" s="652"/>
      <c r="BHC373" s="652"/>
      <c r="BHD373" s="652"/>
      <c r="BHE373" s="652"/>
      <c r="BHF373" s="652"/>
      <c r="BHG373" s="629">
        <v>27.33</v>
      </c>
      <c r="BHH373" s="653">
        <f>((BHH362*BHC369)+(BHH366*BHC370)+(BHH366*BHC371))/BHH363</f>
        <v>27.332989917734402</v>
      </c>
      <c r="BHI373" s="651" t="s">
        <v>1843</v>
      </c>
      <c r="BHJ373" s="627" t="s">
        <v>1844</v>
      </c>
      <c r="BHK373" s="652"/>
      <c r="BHL373" s="652"/>
      <c r="BHM373" s="652"/>
      <c r="BHN373" s="652"/>
      <c r="BHO373" s="652"/>
      <c r="BHP373" s="652"/>
      <c r="BHQ373" s="652"/>
      <c r="BHR373" s="652"/>
      <c r="BHS373" s="652"/>
      <c r="BHT373" s="652"/>
      <c r="BHU373" s="652"/>
      <c r="BHV373" s="652"/>
      <c r="BHW373" s="629">
        <v>27.33</v>
      </c>
      <c r="BHX373" s="653">
        <f>((BHX362*BHS369)+(BHX366*BHS370)+(BHX366*BHS371))/BHX363</f>
        <v>27.332989917734402</v>
      </c>
      <c r="BHY373" s="651" t="s">
        <v>1843</v>
      </c>
      <c r="BHZ373" s="627" t="s">
        <v>1844</v>
      </c>
      <c r="BIA373" s="652"/>
      <c r="BIB373" s="652"/>
      <c r="BIC373" s="652"/>
      <c r="BID373" s="652"/>
      <c r="BIE373" s="652"/>
      <c r="BIF373" s="652"/>
      <c r="BIG373" s="652"/>
      <c r="BIH373" s="652"/>
      <c r="BII373" s="652"/>
      <c r="BIJ373" s="652"/>
      <c r="BIK373" s="652"/>
      <c r="BIL373" s="652"/>
      <c r="BIM373" s="629">
        <v>27.33</v>
      </c>
      <c r="BIN373" s="653">
        <f>((BIN362*BII369)+(BIN366*BII370)+(BIN366*BII371))/BIN363</f>
        <v>27.332989917734402</v>
      </c>
      <c r="BIO373" s="651" t="s">
        <v>1843</v>
      </c>
      <c r="BIP373" s="627" t="s">
        <v>1844</v>
      </c>
      <c r="BIQ373" s="652"/>
      <c r="BIR373" s="652"/>
      <c r="BIS373" s="652"/>
      <c r="BIT373" s="652"/>
      <c r="BIU373" s="652"/>
      <c r="BIV373" s="652"/>
      <c r="BIW373" s="652"/>
      <c r="BIX373" s="652"/>
      <c r="BIY373" s="652"/>
      <c r="BIZ373" s="652"/>
      <c r="BJA373" s="652"/>
      <c r="BJB373" s="652"/>
      <c r="BJC373" s="629">
        <v>27.33</v>
      </c>
      <c r="BJD373" s="653">
        <f>((BJD362*BIY369)+(BJD366*BIY370)+(BJD366*BIY371))/BJD363</f>
        <v>27.332989917734402</v>
      </c>
      <c r="BJE373" s="651" t="s">
        <v>1843</v>
      </c>
      <c r="BJF373" s="627" t="s">
        <v>1844</v>
      </c>
      <c r="BJG373" s="652"/>
      <c r="BJH373" s="652"/>
      <c r="BJI373" s="652"/>
      <c r="BJJ373" s="652"/>
      <c r="BJK373" s="652"/>
      <c r="BJL373" s="652"/>
      <c r="BJM373" s="652"/>
      <c r="BJN373" s="652"/>
      <c r="BJO373" s="652"/>
      <c r="BJP373" s="652"/>
      <c r="BJQ373" s="652"/>
      <c r="BJR373" s="652"/>
      <c r="BJS373" s="629">
        <v>27.33</v>
      </c>
      <c r="BJT373" s="653">
        <f>((BJT362*BJO369)+(BJT366*BJO370)+(BJT366*BJO371))/BJT363</f>
        <v>27.332989917734402</v>
      </c>
      <c r="BJU373" s="651" t="s">
        <v>1843</v>
      </c>
      <c r="BJV373" s="627" t="s">
        <v>1844</v>
      </c>
      <c r="BJW373" s="652"/>
      <c r="BJX373" s="652"/>
      <c r="BJY373" s="652"/>
      <c r="BJZ373" s="652"/>
      <c r="BKA373" s="652"/>
      <c r="BKB373" s="652"/>
      <c r="BKC373" s="652"/>
      <c r="BKD373" s="652"/>
      <c r="BKE373" s="652"/>
      <c r="BKF373" s="652"/>
      <c r="BKG373" s="652"/>
      <c r="BKH373" s="652"/>
      <c r="BKI373" s="629">
        <v>27.33</v>
      </c>
      <c r="BKJ373" s="653">
        <f>((BKJ362*BKE369)+(BKJ366*BKE370)+(BKJ366*BKE371))/BKJ363</f>
        <v>27.332989917734402</v>
      </c>
      <c r="BKK373" s="651" t="s">
        <v>1843</v>
      </c>
      <c r="BKL373" s="627" t="s">
        <v>1844</v>
      </c>
      <c r="BKM373" s="652"/>
      <c r="BKN373" s="652"/>
      <c r="BKO373" s="652"/>
      <c r="BKP373" s="652"/>
      <c r="BKQ373" s="652"/>
      <c r="BKR373" s="652"/>
      <c r="BKS373" s="652"/>
      <c r="BKT373" s="652"/>
      <c r="BKU373" s="652"/>
      <c r="BKV373" s="652"/>
      <c r="BKW373" s="652"/>
      <c r="BKX373" s="652"/>
      <c r="BKY373" s="629">
        <v>27.33</v>
      </c>
      <c r="BKZ373" s="653">
        <f>((BKZ362*BKU369)+(BKZ366*BKU370)+(BKZ366*BKU371))/BKZ363</f>
        <v>27.332989917734402</v>
      </c>
      <c r="BLA373" s="651" t="s">
        <v>1843</v>
      </c>
      <c r="BLB373" s="627" t="s">
        <v>1844</v>
      </c>
      <c r="BLC373" s="652"/>
      <c r="BLD373" s="652"/>
      <c r="BLE373" s="652"/>
      <c r="BLF373" s="652"/>
      <c r="BLG373" s="652"/>
      <c r="BLH373" s="652"/>
      <c r="BLI373" s="652"/>
      <c r="BLJ373" s="652"/>
      <c r="BLK373" s="652"/>
      <c r="BLL373" s="652"/>
      <c r="BLM373" s="652"/>
      <c r="BLN373" s="652"/>
      <c r="BLO373" s="629">
        <v>27.33</v>
      </c>
      <c r="BLP373" s="653">
        <f>((BLP362*BLK369)+(BLP366*BLK370)+(BLP366*BLK371))/BLP363</f>
        <v>27.332989917734402</v>
      </c>
      <c r="BLQ373" s="651" t="s">
        <v>1843</v>
      </c>
      <c r="BLR373" s="627" t="s">
        <v>1844</v>
      </c>
      <c r="BLS373" s="652"/>
      <c r="BLT373" s="652"/>
      <c r="BLU373" s="652"/>
      <c r="BLV373" s="652"/>
      <c r="BLW373" s="652"/>
      <c r="BLX373" s="652"/>
      <c r="BLY373" s="652"/>
      <c r="BLZ373" s="652"/>
      <c r="BMA373" s="652"/>
      <c r="BMB373" s="652"/>
      <c r="BMC373" s="652"/>
      <c r="BMD373" s="652"/>
      <c r="BME373" s="629">
        <v>27.33</v>
      </c>
      <c r="BMF373" s="653">
        <f>((BMF362*BMA369)+(BMF366*BMA370)+(BMF366*BMA371))/BMF363</f>
        <v>27.332989917734402</v>
      </c>
      <c r="BMG373" s="651" t="s">
        <v>1843</v>
      </c>
      <c r="BMH373" s="627" t="s">
        <v>1844</v>
      </c>
      <c r="BMI373" s="652"/>
      <c r="BMJ373" s="652"/>
      <c r="BMK373" s="652"/>
      <c r="BML373" s="652"/>
      <c r="BMM373" s="652"/>
      <c r="BMN373" s="652"/>
      <c r="BMO373" s="652"/>
      <c r="BMP373" s="652"/>
      <c r="BMQ373" s="652"/>
      <c r="BMR373" s="652"/>
      <c r="BMS373" s="652"/>
      <c r="BMT373" s="652"/>
      <c r="BMU373" s="629">
        <v>27.33</v>
      </c>
      <c r="BMV373" s="653">
        <f>((BMV362*BMQ369)+(BMV366*BMQ370)+(BMV366*BMQ371))/BMV363</f>
        <v>27.332989917734402</v>
      </c>
      <c r="BMW373" s="651" t="s">
        <v>1843</v>
      </c>
      <c r="BMX373" s="627" t="s">
        <v>1844</v>
      </c>
      <c r="BMY373" s="652"/>
      <c r="BMZ373" s="652"/>
      <c r="BNA373" s="652"/>
      <c r="BNB373" s="652"/>
      <c r="BNC373" s="652"/>
      <c r="BND373" s="652"/>
      <c r="BNE373" s="652"/>
      <c r="BNF373" s="652"/>
      <c r="BNG373" s="652"/>
      <c r="BNH373" s="652"/>
      <c r="BNI373" s="652"/>
      <c r="BNJ373" s="652"/>
      <c r="BNK373" s="629">
        <v>27.33</v>
      </c>
      <c r="BNL373" s="653">
        <f>((BNL362*BNG369)+(BNL366*BNG370)+(BNL366*BNG371))/BNL363</f>
        <v>27.332989917734402</v>
      </c>
      <c r="BNM373" s="651" t="s">
        <v>1843</v>
      </c>
      <c r="BNN373" s="627" t="s">
        <v>1844</v>
      </c>
      <c r="BNO373" s="652"/>
      <c r="BNP373" s="652"/>
      <c r="BNQ373" s="652"/>
      <c r="BNR373" s="652"/>
      <c r="BNS373" s="652"/>
      <c r="BNT373" s="652"/>
      <c r="BNU373" s="652"/>
      <c r="BNV373" s="652"/>
      <c r="BNW373" s="652"/>
      <c r="BNX373" s="652"/>
      <c r="BNY373" s="652"/>
      <c r="BNZ373" s="652"/>
      <c r="BOA373" s="629">
        <v>27.33</v>
      </c>
      <c r="BOB373" s="653">
        <f>((BOB362*BNW369)+(BOB366*BNW370)+(BOB366*BNW371))/BOB363</f>
        <v>27.332989917734402</v>
      </c>
      <c r="BOC373" s="651" t="s">
        <v>1843</v>
      </c>
      <c r="BOD373" s="627" t="s">
        <v>1844</v>
      </c>
      <c r="BOE373" s="652"/>
      <c r="BOF373" s="652"/>
      <c r="BOG373" s="652"/>
      <c r="BOH373" s="652"/>
      <c r="BOI373" s="652"/>
      <c r="BOJ373" s="652"/>
      <c r="BOK373" s="652"/>
      <c r="BOL373" s="652"/>
      <c r="BOM373" s="652"/>
      <c r="BON373" s="652"/>
      <c r="BOO373" s="652"/>
      <c r="BOP373" s="652"/>
      <c r="BOQ373" s="629">
        <v>27.33</v>
      </c>
      <c r="BOR373" s="653">
        <f>((BOR362*BOM369)+(BOR366*BOM370)+(BOR366*BOM371))/BOR363</f>
        <v>27.332989917734402</v>
      </c>
      <c r="BOS373" s="651" t="s">
        <v>1843</v>
      </c>
      <c r="BOT373" s="627" t="s">
        <v>1844</v>
      </c>
      <c r="BOU373" s="652"/>
      <c r="BOV373" s="652"/>
      <c r="BOW373" s="652"/>
      <c r="BOX373" s="652"/>
      <c r="BOY373" s="652"/>
      <c r="BOZ373" s="652"/>
      <c r="BPA373" s="652"/>
      <c r="BPB373" s="652"/>
      <c r="BPC373" s="652"/>
      <c r="BPD373" s="652"/>
      <c r="BPE373" s="652"/>
      <c r="BPF373" s="652"/>
      <c r="BPG373" s="629">
        <v>27.33</v>
      </c>
      <c r="BPH373" s="653">
        <f>((BPH362*BPC369)+(BPH366*BPC370)+(BPH366*BPC371))/BPH363</f>
        <v>27.332989917734402</v>
      </c>
      <c r="BPI373" s="651" t="s">
        <v>1843</v>
      </c>
      <c r="BPJ373" s="627" t="s">
        <v>1844</v>
      </c>
      <c r="BPK373" s="652"/>
      <c r="BPL373" s="652"/>
      <c r="BPM373" s="652"/>
      <c r="BPN373" s="652"/>
      <c r="BPO373" s="652"/>
      <c r="BPP373" s="652"/>
      <c r="BPQ373" s="652"/>
      <c r="BPR373" s="652"/>
      <c r="BPS373" s="652"/>
      <c r="BPT373" s="652"/>
      <c r="BPU373" s="652"/>
      <c r="BPV373" s="652"/>
      <c r="BPW373" s="629">
        <v>27.33</v>
      </c>
      <c r="BPX373" s="653">
        <f>((BPX362*BPS369)+(BPX366*BPS370)+(BPX366*BPS371))/BPX363</f>
        <v>27.332989917734402</v>
      </c>
      <c r="BPY373" s="651" t="s">
        <v>1843</v>
      </c>
      <c r="BPZ373" s="627" t="s">
        <v>1844</v>
      </c>
      <c r="BQA373" s="652"/>
      <c r="BQB373" s="652"/>
      <c r="BQC373" s="652"/>
      <c r="BQD373" s="652"/>
      <c r="BQE373" s="652"/>
      <c r="BQF373" s="652"/>
      <c r="BQG373" s="652"/>
      <c r="BQH373" s="652"/>
      <c r="BQI373" s="652"/>
      <c r="BQJ373" s="652"/>
      <c r="BQK373" s="652"/>
      <c r="BQL373" s="652"/>
      <c r="BQM373" s="629">
        <v>27.33</v>
      </c>
      <c r="BQN373" s="653">
        <f>((BQN362*BQI369)+(BQN366*BQI370)+(BQN366*BQI371))/BQN363</f>
        <v>27.332989917734402</v>
      </c>
      <c r="BQO373" s="651" t="s">
        <v>1843</v>
      </c>
      <c r="BQP373" s="627" t="s">
        <v>1844</v>
      </c>
      <c r="BQQ373" s="652"/>
      <c r="BQR373" s="652"/>
      <c r="BQS373" s="652"/>
      <c r="BQT373" s="652"/>
      <c r="BQU373" s="652"/>
      <c r="BQV373" s="652"/>
      <c r="BQW373" s="652"/>
      <c r="BQX373" s="652"/>
      <c r="BQY373" s="652"/>
      <c r="BQZ373" s="652"/>
      <c r="BRA373" s="652"/>
      <c r="BRB373" s="652"/>
      <c r="BRC373" s="629">
        <v>27.33</v>
      </c>
      <c r="BRD373" s="653">
        <f>((BRD362*BQY369)+(BRD366*BQY370)+(BRD366*BQY371))/BRD363</f>
        <v>27.332989917734402</v>
      </c>
      <c r="BRE373" s="651" t="s">
        <v>1843</v>
      </c>
      <c r="BRF373" s="627" t="s">
        <v>1844</v>
      </c>
      <c r="BRG373" s="652"/>
      <c r="BRH373" s="652"/>
      <c r="BRI373" s="652"/>
      <c r="BRJ373" s="652"/>
      <c r="BRK373" s="652"/>
      <c r="BRL373" s="652"/>
      <c r="BRM373" s="652"/>
      <c r="BRN373" s="652"/>
      <c r="BRO373" s="652"/>
      <c r="BRP373" s="652"/>
      <c r="BRQ373" s="652"/>
      <c r="BRR373" s="652"/>
      <c r="BRS373" s="629">
        <v>27.33</v>
      </c>
      <c r="BRT373" s="653">
        <f>((BRT362*BRO369)+(BRT366*BRO370)+(BRT366*BRO371))/BRT363</f>
        <v>27.332989917734402</v>
      </c>
      <c r="BRU373" s="651" t="s">
        <v>1843</v>
      </c>
      <c r="BRV373" s="627" t="s">
        <v>1844</v>
      </c>
      <c r="BRW373" s="652"/>
      <c r="BRX373" s="652"/>
      <c r="BRY373" s="652"/>
      <c r="BRZ373" s="652"/>
      <c r="BSA373" s="652"/>
      <c r="BSB373" s="652"/>
      <c r="BSC373" s="652"/>
      <c r="BSD373" s="652"/>
      <c r="BSE373" s="652"/>
      <c r="BSF373" s="652"/>
      <c r="BSG373" s="652"/>
      <c r="BSH373" s="652"/>
      <c r="BSI373" s="629">
        <v>27.33</v>
      </c>
      <c r="BSJ373" s="653">
        <f>((BSJ362*BSE369)+(BSJ366*BSE370)+(BSJ366*BSE371))/BSJ363</f>
        <v>27.332989917734402</v>
      </c>
      <c r="BSK373" s="651" t="s">
        <v>1843</v>
      </c>
      <c r="BSL373" s="627" t="s">
        <v>1844</v>
      </c>
      <c r="BSM373" s="652"/>
      <c r="BSN373" s="652"/>
      <c r="BSO373" s="652"/>
      <c r="BSP373" s="652"/>
      <c r="BSQ373" s="652"/>
      <c r="BSR373" s="652"/>
      <c r="BSS373" s="652"/>
      <c r="BST373" s="652"/>
      <c r="BSU373" s="652"/>
      <c r="BSV373" s="652"/>
      <c r="BSW373" s="652"/>
      <c r="BSX373" s="652"/>
      <c r="BSY373" s="629">
        <v>27.33</v>
      </c>
      <c r="BSZ373" s="653">
        <f>((BSZ362*BSU369)+(BSZ366*BSU370)+(BSZ366*BSU371))/BSZ363</f>
        <v>27.332989917734402</v>
      </c>
      <c r="BTA373" s="651" t="s">
        <v>1843</v>
      </c>
      <c r="BTB373" s="627" t="s">
        <v>1844</v>
      </c>
      <c r="BTC373" s="652"/>
      <c r="BTD373" s="652"/>
      <c r="BTE373" s="652"/>
      <c r="BTF373" s="652"/>
      <c r="BTG373" s="652"/>
      <c r="BTH373" s="652"/>
      <c r="BTI373" s="652"/>
      <c r="BTJ373" s="652"/>
      <c r="BTK373" s="652"/>
      <c r="BTL373" s="652"/>
      <c r="BTM373" s="652"/>
      <c r="BTN373" s="652"/>
      <c r="BTO373" s="629">
        <v>27.33</v>
      </c>
      <c r="BTP373" s="653">
        <f>((BTP362*BTK369)+(BTP366*BTK370)+(BTP366*BTK371))/BTP363</f>
        <v>27.332989917734402</v>
      </c>
      <c r="BTQ373" s="651" t="s">
        <v>1843</v>
      </c>
      <c r="BTR373" s="627" t="s">
        <v>1844</v>
      </c>
      <c r="BTS373" s="652"/>
      <c r="BTT373" s="652"/>
      <c r="BTU373" s="652"/>
      <c r="BTV373" s="652"/>
      <c r="BTW373" s="652"/>
      <c r="BTX373" s="652"/>
      <c r="BTY373" s="652"/>
      <c r="BTZ373" s="652"/>
      <c r="BUA373" s="652"/>
      <c r="BUB373" s="652"/>
      <c r="BUC373" s="652"/>
      <c r="BUD373" s="652"/>
      <c r="BUE373" s="629">
        <v>27.33</v>
      </c>
      <c r="BUF373" s="653">
        <f>((BUF362*BUA369)+(BUF366*BUA370)+(BUF366*BUA371))/BUF363</f>
        <v>27.332989917734402</v>
      </c>
      <c r="BUG373" s="651" t="s">
        <v>1843</v>
      </c>
      <c r="BUH373" s="627" t="s">
        <v>1844</v>
      </c>
      <c r="BUI373" s="652"/>
      <c r="BUJ373" s="652"/>
      <c r="BUK373" s="652"/>
      <c r="BUL373" s="652"/>
      <c r="BUM373" s="652"/>
      <c r="BUN373" s="652"/>
      <c r="BUO373" s="652"/>
      <c r="BUP373" s="652"/>
      <c r="BUQ373" s="652"/>
      <c r="BUR373" s="652"/>
      <c r="BUS373" s="652"/>
      <c r="BUT373" s="652"/>
      <c r="BUU373" s="629">
        <v>27.33</v>
      </c>
      <c r="BUV373" s="653">
        <f>((BUV362*BUQ369)+(BUV366*BUQ370)+(BUV366*BUQ371))/BUV363</f>
        <v>27.332989917734402</v>
      </c>
      <c r="BUW373" s="651" t="s">
        <v>1843</v>
      </c>
      <c r="BUX373" s="627" t="s">
        <v>1844</v>
      </c>
      <c r="BUY373" s="652"/>
      <c r="BUZ373" s="652"/>
      <c r="BVA373" s="652"/>
      <c r="BVB373" s="652"/>
      <c r="BVC373" s="652"/>
      <c r="BVD373" s="652"/>
      <c r="BVE373" s="652"/>
      <c r="BVF373" s="652"/>
      <c r="BVG373" s="652"/>
      <c r="BVH373" s="652"/>
      <c r="BVI373" s="652"/>
      <c r="BVJ373" s="652"/>
      <c r="BVK373" s="629">
        <v>27.33</v>
      </c>
      <c r="BVL373" s="653">
        <f>((BVL362*BVG369)+(BVL366*BVG370)+(BVL366*BVG371))/BVL363</f>
        <v>27.332989917734402</v>
      </c>
      <c r="BVM373" s="651" t="s">
        <v>1843</v>
      </c>
      <c r="BVN373" s="627" t="s">
        <v>1844</v>
      </c>
      <c r="BVO373" s="652"/>
      <c r="BVP373" s="652"/>
      <c r="BVQ373" s="652"/>
      <c r="BVR373" s="652"/>
      <c r="BVS373" s="652"/>
      <c r="BVT373" s="652"/>
      <c r="BVU373" s="652"/>
      <c r="BVV373" s="652"/>
      <c r="BVW373" s="652"/>
      <c r="BVX373" s="652"/>
      <c r="BVY373" s="652"/>
      <c r="BVZ373" s="652"/>
      <c r="BWA373" s="629">
        <v>27.33</v>
      </c>
      <c r="BWB373" s="653">
        <f>((BWB362*BVW369)+(BWB366*BVW370)+(BWB366*BVW371))/BWB363</f>
        <v>27.332989917734402</v>
      </c>
      <c r="BWC373" s="651" t="s">
        <v>1843</v>
      </c>
      <c r="BWD373" s="627" t="s">
        <v>1844</v>
      </c>
      <c r="BWE373" s="652"/>
      <c r="BWF373" s="652"/>
      <c r="BWG373" s="652"/>
      <c r="BWH373" s="652"/>
      <c r="BWI373" s="652"/>
      <c r="BWJ373" s="652"/>
      <c r="BWK373" s="652"/>
      <c r="BWL373" s="652"/>
      <c r="BWM373" s="652"/>
      <c r="BWN373" s="652"/>
      <c r="BWO373" s="652"/>
      <c r="BWP373" s="652"/>
      <c r="BWQ373" s="629">
        <v>27.33</v>
      </c>
      <c r="BWR373" s="653">
        <f>((BWR362*BWM369)+(BWR366*BWM370)+(BWR366*BWM371))/BWR363</f>
        <v>27.332989917734402</v>
      </c>
      <c r="BWS373" s="651" t="s">
        <v>1843</v>
      </c>
      <c r="BWT373" s="627" t="s">
        <v>1844</v>
      </c>
      <c r="BWU373" s="652"/>
      <c r="BWV373" s="652"/>
      <c r="BWW373" s="652"/>
      <c r="BWX373" s="652"/>
      <c r="BWY373" s="652"/>
      <c r="BWZ373" s="652"/>
      <c r="BXA373" s="652"/>
      <c r="BXB373" s="652"/>
      <c r="BXC373" s="652"/>
      <c r="BXD373" s="652"/>
      <c r="BXE373" s="652"/>
      <c r="BXF373" s="652"/>
      <c r="BXG373" s="629">
        <v>27.33</v>
      </c>
      <c r="BXH373" s="653">
        <f>((BXH362*BXC369)+(BXH366*BXC370)+(BXH366*BXC371))/BXH363</f>
        <v>27.332989917734402</v>
      </c>
      <c r="BXI373" s="651" t="s">
        <v>1843</v>
      </c>
      <c r="BXJ373" s="627" t="s">
        <v>1844</v>
      </c>
      <c r="BXK373" s="652"/>
      <c r="BXL373" s="652"/>
      <c r="BXM373" s="652"/>
      <c r="BXN373" s="652"/>
      <c r="BXO373" s="652"/>
      <c r="BXP373" s="652"/>
      <c r="BXQ373" s="652"/>
      <c r="BXR373" s="652"/>
      <c r="BXS373" s="652"/>
      <c r="BXT373" s="652"/>
      <c r="BXU373" s="652"/>
      <c r="BXV373" s="652"/>
      <c r="BXW373" s="629">
        <v>27.33</v>
      </c>
      <c r="BXX373" s="653">
        <f>((BXX362*BXS369)+(BXX366*BXS370)+(BXX366*BXS371))/BXX363</f>
        <v>27.332989917734402</v>
      </c>
      <c r="BXY373" s="651" t="s">
        <v>1843</v>
      </c>
      <c r="BXZ373" s="627" t="s">
        <v>1844</v>
      </c>
      <c r="BYA373" s="652"/>
      <c r="BYB373" s="652"/>
      <c r="BYC373" s="652"/>
      <c r="BYD373" s="652"/>
      <c r="BYE373" s="652"/>
      <c r="BYF373" s="652"/>
      <c r="BYG373" s="652"/>
      <c r="BYH373" s="652"/>
      <c r="BYI373" s="652"/>
      <c r="BYJ373" s="652"/>
      <c r="BYK373" s="652"/>
      <c r="BYL373" s="652"/>
      <c r="BYM373" s="629">
        <v>27.33</v>
      </c>
      <c r="BYN373" s="653">
        <f>((BYN362*BYI369)+(BYN366*BYI370)+(BYN366*BYI371))/BYN363</f>
        <v>27.332989917734402</v>
      </c>
      <c r="BYO373" s="651" t="s">
        <v>1843</v>
      </c>
      <c r="BYP373" s="627" t="s">
        <v>1844</v>
      </c>
      <c r="BYQ373" s="652"/>
      <c r="BYR373" s="652"/>
      <c r="BYS373" s="652"/>
      <c r="BYT373" s="652"/>
      <c r="BYU373" s="652"/>
      <c r="BYV373" s="652"/>
      <c r="BYW373" s="652"/>
      <c r="BYX373" s="652"/>
      <c r="BYY373" s="652"/>
      <c r="BYZ373" s="652"/>
      <c r="BZA373" s="652"/>
      <c r="BZB373" s="652"/>
      <c r="BZC373" s="629">
        <v>27.33</v>
      </c>
      <c r="BZD373" s="653">
        <f>((BZD362*BYY369)+(BZD366*BYY370)+(BZD366*BYY371))/BZD363</f>
        <v>27.332989917734402</v>
      </c>
      <c r="BZE373" s="651" t="s">
        <v>1843</v>
      </c>
      <c r="BZF373" s="627" t="s">
        <v>1844</v>
      </c>
      <c r="BZG373" s="652"/>
      <c r="BZH373" s="652"/>
      <c r="BZI373" s="652"/>
      <c r="BZJ373" s="652"/>
      <c r="BZK373" s="652"/>
      <c r="BZL373" s="652"/>
      <c r="BZM373" s="652"/>
      <c r="BZN373" s="652"/>
      <c r="BZO373" s="652"/>
      <c r="BZP373" s="652"/>
      <c r="BZQ373" s="652"/>
      <c r="BZR373" s="652"/>
      <c r="BZS373" s="629">
        <v>27.33</v>
      </c>
      <c r="BZT373" s="653">
        <f>((BZT362*BZO369)+(BZT366*BZO370)+(BZT366*BZO371))/BZT363</f>
        <v>27.332989917734402</v>
      </c>
      <c r="BZU373" s="651" t="s">
        <v>1843</v>
      </c>
      <c r="BZV373" s="627" t="s">
        <v>1844</v>
      </c>
      <c r="BZW373" s="652"/>
      <c r="BZX373" s="652"/>
      <c r="BZY373" s="652"/>
      <c r="BZZ373" s="652"/>
      <c r="CAA373" s="652"/>
      <c r="CAB373" s="652"/>
      <c r="CAC373" s="652"/>
      <c r="CAD373" s="652"/>
      <c r="CAE373" s="652"/>
      <c r="CAF373" s="652"/>
      <c r="CAG373" s="652"/>
      <c r="CAH373" s="652"/>
      <c r="CAI373" s="629">
        <v>27.33</v>
      </c>
      <c r="CAJ373" s="653">
        <f>((CAJ362*CAE369)+(CAJ366*CAE370)+(CAJ366*CAE371))/CAJ363</f>
        <v>27.332989917734402</v>
      </c>
      <c r="CAK373" s="651" t="s">
        <v>1843</v>
      </c>
      <c r="CAL373" s="627" t="s">
        <v>1844</v>
      </c>
      <c r="CAM373" s="652"/>
      <c r="CAN373" s="652"/>
      <c r="CAO373" s="652"/>
      <c r="CAP373" s="652"/>
      <c r="CAQ373" s="652"/>
      <c r="CAR373" s="652"/>
      <c r="CAS373" s="652"/>
      <c r="CAT373" s="652"/>
      <c r="CAU373" s="652"/>
      <c r="CAV373" s="652"/>
      <c r="CAW373" s="652"/>
      <c r="CAX373" s="652"/>
      <c r="CAY373" s="629">
        <v>27.33</v>
      </c>
      <c r="CAZ373" s="653">
        <f>((CAZ362*CAU369)+(CAZ366*CAU370)+(CAZ366*CAU371))/CAZ363</f>
        <v>27.332989917734402</v>
      </c>
      <c r="CBA373" s="651" t="s">
        <v>1843</v>
      </c>
      <c r="CBB373" s="627" t="s">
        <v>1844</v>
      </c>
      <c r="CBC373" s="652"/>
      <c r="CBD373" s="652"/>
      <c r="CBE373" s="652"/>
      <c r="CBF373" s="652"/>
      <c r="CBG373" s="652"/>
      <c r="CBH373" s="652"/>
      <c r="CBI373" s="652"/>
      <c r="CBJ373" s="652"/>
      <c r="CBK373" s="652"/>
      <c r="CBL373" s="652"/>
      <c r="CBM373" s="652"/>
      <c r="CBN373" s="652"/>
      <c r="CBO373" s="629">
        <v>27.33</v>
      </c>
      <c r="CBP373" s="653">
        <f>((CBP362*CBK369)+(CBP366*CBK370)+(CBP366*CBK371))/CBP363</f>
        <v>27.332989917734402</v>
      </c>
      <c r="CBQ373" s="651" t="s">
        <v>1843</v>
      </c>
      <c r="CBR373" s="627" t="s">
        <v>1844</v>
      </c>
      <c r="CBS373" s="652"/>
      <c r="CBT373" s="652"/>
      <c r="CBU373" s="652"/>
      <c r="CBV373" s="652"/>
      <c r="CBW373" s="652"/>
      <c r="CBX373" s="652"/>
      <c r="CBY373" s="652"/>
      <c r="CBZ373" s="652"/>
      <c r="CCA373" s="652"/>
      <c r="CCB373" s="652"/>
      <c r="CCC373" s="652"/>
      <c r="CCD373" s="652"/>
      <c r="CCE373" s="629">
        <v>27.33</v>
      </c>
      <c r="CCF373" s="653">
        <f>((CCF362*CCA369)+(CCF366*CCA370)+(CCF366*CCA371))/CCF363</f>
        <v>27.332989917734402</v>
      </c>
      <c r="CCG373" s="651" t="s">
        <v>1843</v>
      </c>
      <c r="CCH373" s="627" t="s">
        <v>1844</v>
      </c>
      <c r="CCI373" s="652"/>
      <c r="CCJ373" s="652"/>
      <c r="CCK373" s="652"/>
      <c r="CCL373" s="652"/>
      <c r="CCM373" s="652"/>
      <c r="CCN373" s="652"/>
      <c r="CCO373" s="652"/>
      <c r="CCP373" s="652"/>
      <c r="CCQ373" s="652"/>
      <c r="CCR373" s="652"/>
      <c r="CCS373" s="652"/>
      <c r="CCT373" s="652"/>
      <c r="CCU373" s="629">
        <v>27.33</v>
      </c>
      <c r="CCV373" s="653">
        <f>((CCV362*CCQ369)+(CCV366*CCQ370)+(CCV366*CCQ371))/CCV363</f>
        <v>27.332989917734402</v>
      </c>
      <c r="CCW373" s="651" t="s">
        <v>1843</v>
      </c>
      <c r="CCX373" s="627" t="s">
        <v>1844</v>
      </c>
      <c r="CCY373" s="652"/>
      <c r="CCZ373" s="652"/>
      <c r="CDA373" s="652"/>
      <c r="CDB373" s="652"/>
      <c r="CDC373" s="652"/>
      <c r="CDD373" s="652"/>
      <c r="CDE373" s="652"/>
      <c r="CDF373" s="652"/>
      <c r="CDG373" s="652"/>
      <c r="CDH373" s="652"/>
      <c r="CDI373" s="652"/>
      <c r="CDJ373" s="652"/>
      <c r="CDK373" s="629">
        <v>27.33</v>
      </c>
      <c r="CDL373" s="653">
        <f>((CDL362*CDG369)+(CDL366*CDG370)+(CDL366*CDG371))/CDL363</f>
        <v>27.332989917734402</v>
      </c>
      <c r="CDM373" s="651" t="s">
        <v>1843</v>
      </c>
      <c r="CDN373" s="627" t="s">
        <v>1844</v>
      </c>
      <c r="CDO373" s="652"/>
      <c r="CDP373" s="652"/>
      <c r="CDQ373" s="652"/>
      <c r="CDR373" s="652"/>
      <c r="CDS373" s="652"/>
      <c r="CDT373" s="652"/>
      <c r="CDU373" s="652"/>
      <c r="CDV373" s="652"/>
      <c r="CDW373" s="652"/>
      <c r="CDX373" s="652"/>
      <c r="CDY373" s="652"/>
      <c r="CDZ373" s="652"/>
      <c r="CEA373" s="629">
        <v>27.33</v>
      </c>
      <c r="CEB373" s="653">
        <f>((CEB362*CDW369)+(CEB366*CDW370)+(CEB366*CDW371))/CEB363</f>
        <v>27.332989917734402</v>
      </c>
      <c r="CEC373" s="651" t="s">
        <v>1843</v>
      </c>
      <c r="CED373" s="627" t="s">
        <v>1844</v>
      </c>
      <c r="CEE373" s="652"/>
      <c r="CEF373" s="652"/>
      <c r="CEG373" s="652"/>
      <c r="CEH373" s="652"/>
      <c r="CEI373" s="652"/>
      <c r="CEJ373" s="652"/>
      <c r="CEK373" s="652"/>
      <c r="CEL373" s="652"/>
      <c r="CEM373" s="652"/>
      <c r="CEN373" s="652"/>
      <c r="CEO373" s="652"/>
      <c r="CEP373" s="652"/>
      <c r="CEQ373" s="629">
        <v>27.33</v>
      </c>
      <c r="CER373" s="653">
        <f>((CER362*CEM369)+(CER366*CEM370)+(CER366*CEM371))/CER363</f>
        <v>27.332989917734402</v>
      </c>
      <c r="CES373" s="651" t="s">
        <v>1843</v>
      </c>
      <c r="CET373" s="627" t="s">
        <v>1844</v>
      </c>
      <c r="CEU373" s="652"/>
      <c r="CEV373" s="652"/>
      <c r="CEW373" s="652"/>
      <c r="CEX373" s="652"/>
      <c r="CEY373" s="652"/>
      <c r="CEZ373" s="652"/>
      <c r="CFA373" s="652"/>
      <c r="CFB373" s="652"/>
      <c r="CFC373" s="652"/>
      <c r="CFD373" s="652"/>
      <c r="CFE373" s="652"/>
      <c r="CFF373" s="652"/>
      <c r="CFG373" s="629">
        <v>27.33</v>
      </c>
      <c r="CFH373" s="653">
        <f>((CFH362*CFC369)+(CFH366*CFC370)+(CFH366*CFC371))/CFH363</f>
        <v>27.332989917734402</v>
      </c>
      <c r="CFI373" s="651" t="s">
        <v>1843</v>
      </c>
      <c r="CFJ373" s="627" t="s">
        <v>1844</v>
      </c>
      <c r="CFK373" s="652"/>
      <c r="CFL373" s="652"/>
      <c r="CFM373" s="652"/>
      <c r="CFN373" s="652"/>
      <c r="CFO373" s="652"/>
      <c r="CFP373" s="652"/>
      <c r="CFQ373" s="652"/>
      <c r="CFR373" s="652"/>
      <c r="CFS373" s="652"/>
      <c r="CFT373" s="652"/>
      <c r="CFU373" s="652"/>
      <c r="CFV373" s="652"/>
      <c r="CFW373" s="629">
        <v>27.33</v>
      </c>
      <c r="CFX373" s="653">
        <f>((CFX362*CFS369)+(CFX366*CFS370)+(CFX366*CFS371))/CFX363</f>
        <v>27.332989917734402</v>
      </c>
      <c r="CFY373" s="651" t="s">
        <v>1843</v>
      </c>
      <c r="CFZ373" s="627" t="s">
        <v>1844</v>
      </c>
      <c r="CGA373" s="652"/>
      <c r="CGB373" s="652"/>
      <c r="CGC373" s="652"/>
      <c r="CGD373" s="652"/>
      <c r="CGE373" s="652"/>
      <c r="CGF373" s="652"/>
      <c r="CGG373" s="652"/>
      <c r="CGH373" s="652"/>
      <c r="CGI373" s="652"/>
      <c r="CGJ373" s="652"/>
      <c r="CGK373" s="652"/>
      <c r="CGL373" s="652"/>
      <c r="CGM373" s="629">
        <v>27.33</v>
      </c>
      <c r="CGN373" s="653">
        <f>((CGN362*CGI369)+(CGN366*CGI370)+(CGN366*CGI371))/CGN363</f>
        <v>27.332989917734402</v>
      </c>
      <c r="CGO373" s="651" t="s">
        <v>1843</v>
      </c>
      <c r="CGP373" s="627" t="s">
        <v>1844</v>
      </c>
      <c r="CGQ373" s="652"/>
      <c r="CGR373" s="652"/>
      <c r="CGS373" s="652"/>
      <c r="CGT373" s="652"/>
      <c r="CGU373" s="652"/>
      <c r="CGV373" s="652"/>
      <c r="CGW373" s="652"/>
      <c r="CGX373" s="652"/>
      <c r="CGY373" s="652"/>
      <c r="CGZ373" s="652"/>
      <c r="CHA373" s="652"/>
      <c r="CHB373" s="652"/>
      <c r="CHC373" s="629">
        <v>27.33</v>
      </c>
      <c r="CHD373" s="653">
        <f>((CHD362*CGY369)+(CHD366*CGY370)+(CHD366*CGY371))/CHD363</f>
        <v>27.332989917734402</v>
      </c>
      <c r="CHE373" s="651" t="s">
        <v>1843</v>
      </c>
      <c r="CHF373" s="627" t="s">
        <v>1844</v>
      </c>
      <c r="CHG373" s="652"/>
      <c r="CHH373" s="652"/>
      <c r="CHI373" s="652"/>
      <c r="CHJ373" s="652"/>
      <c r="CHK373" s="652"/>
      <c r="CHL373" s="652"/>
      <c r="CHM373" s="652"/>
      <c r="CHN373" s="652"/>
      <c r="CHO373" s="652"/>
      <c r="CHP373" s="652"/>
      <c r="CHQ373" s="652"/>
      <c r="CHR373" s="652"/>
      <c r="CHS373" s="629">
        <v>27.33</v>
      </c>
      <c r="CHT373" s="653">
        <f>((CHT362*CHO369)+(CHT366*CHO370)+(CHT366*CHO371))/CHT363</f>
        <v>27.332989917734402</v>
      </c>
      <c r="CHU373" s="651" t="s">
        <v>1843</v>
      </c>
      <c r="CHV373" s="627" t="s">
        <v>1844</v>
      </c>
      <c r="CHW373" s="652"/>
      <c r="CHX373" s="652"/>
      <c r="CHY373" s="652"/>
      <c r="CHZ373" s="652"/>
      <c r="CIA373" s="652"/>
      <c r="CIB373" s="652"/>
      <c r="CIC373" s="652"/>
      <c r="CID373" s="652"/>
      <c r="CIE373" s="652"/>
      <c r="CIF373" s="652"/>
      <c r="CIG373" s="652"/>
      <c r="CIH373" s="652"/>
      <c r="CII373" s="629">
        <v>27.33</v>
      </c>
      <c r="CIJ373" s="653">
        <f>((CIJ362*CIE369)+(CIJ366*CIE370)+(CIJ366*CIE371))/CIJ363</f>
        <v>27.332989917734402</v>
      </c>
      <c r="CIK373" s="651" t="s">
        <v>1843</v>
      </c>
      <c r="CIL373" s="627" t="s">
        <v>1844</v>
      </c>
      <c r="CIM373" s="652"/>
      <c r="CIN373" s="652"/>
      <c r="CIO373" s="652"/>
      <c r="CIP373" s="652"/>
      <c r="CIQ373" s="652"/>
      <c r="CIR373" s="652"/>
      <c r="CIS373" s="652"/>
      <c r="CIT373" s="652"/>
      <c r="CIU373" s="652"/>
      <c r="CIV373" s="652"/>
      <c r="CIW373" s="652"/>
      <c r="CIX373" s="652"/>
      <c r="CIY373" s="629">
        <v>27.33</v>
      </c>
      <c r="CIZ373" s="653">
        <f>((CIZ362*CIU369)+(CIZ366*CIU370)+(CIZ366*CIU371))/CIZ363</f>
        <v>27.332989917734402</v>
      </c>
      <c r="CJA373" s="651" t="s">
        <v>1843</v>
      </c>
      <c r="CJB373" s="627" t="s">
        <v>1844</v>
      </c>
      <c r="CJC373" s="652"/>
      <c r="CJD373" s="652"/>
      <c r="CJE373" s="652"/>
      <c r="CJF373" s="652"/>
      <c r="CJG373" s="652"/>
      <c r="CJH373" s="652"/>
      <c r="CJI373" s="652"/>
      <c r="CJJ373" s="652"/>
      <c r="CJK373" s="652"/>
      <c r="CJL373" s="652"/>
      <c r="CJM373" s="652"/>
      <c r="CJN373" s="652"/>
      <c r="CJO373" s="629">
        <v>27.33</v>
      </c>
      <c r="CJP373" s="653">
        <f>((CJP362*CJK369)+(CJP366*CJK370)+(CJP366*CJK371))/CJP363</f>
        <v>27.332989917734402</v>
      </c>
      <c r="CJQ373" s="651" t="s">
        <v>1843</v>
      </c>
      <c r="CJR373" s="627" t="s">
        <v>1844</v>
      </c>
      <c r="CJS373" s="652"/>
      <c r="CJT373" s="652"/>
      <c r="CJU373" s="652"/>
      <c r="CJV373" s="652"/>
      <c r="CJW373" s="652"/>
      <c r="CJX373" s="652"/>
      <c r="CJY373" s="652"/>
      <c r="CJZ373" s="652"/>
      <c r="CKA373" s="652"/>
      <c r="CKB373" s="652"/>
      <c r="CKC373" s="652"/>
      <c r="CKD373" s="652"/>
      <c r="CKE373" s="629">
        <v>27.33</v>
      </c>
      <c r="CKF373" s="653">
        <f>((CKF362*CKA369)+(CKF366*CKA370)+(CKF366*CKA371))/CKF363</f>
        <v>27.332989917734402</v>
      </c>
      <c r="CKG373" s="651" t="s">
        <v>1843</v>
      </c>
      <c r="CKH373" s="627" t="s">
        <v>1844</v>
      </c>
      <c r="CKI373" s="652"/>
      <c r="CKJ373" s="652"/>
      <c r="CKK373" s="652"/>
      <c r="CKL373" s="652"/>
      <c r="CKM373" s="652"/>
      <c r="CKN373" s="652"/>
      <c r="CKO373" s="652"/>
      <c r="CKP373" s="652"/>
      <c r="CKQ373" s="652"/>
      <c r="CKR373" s="652"/>
      <c r="CKS373" s="652"/>
      <c r="CKT373" s="652"/>
      <c r="CKU373" s="629">
        <v>27.33</v>
      </c>
      <c r="CKV373" s="653">
        <f>((CKV362*CKQ369)+(CKV366*CKQ370)+(CKV366*CKQ371))/CKV363</f>
        <v>27.332989917734402</v>
      </c>
      <c r="CKW373" s="651" t="s">
        <v>1843</v>
      </c>
      <c r="CKX373" s="627" t="s">
        <v>1844</v>
      </c>
      <c r="CKY373" s="652"/>
      <c r="CKZ373" s="652"/>
      <c r="CLA373" s="652"/>
      <c r="CLB373" s="652"/>
      <c r="CLC373" s="652"/>
      <c r="CLD373" s="652"/>
      <c r="CLE373" s="652"/>
      <c r="CLF373" s="652"/>
      <c r="CLG373" s="652"/>
      <c r="CLH373" s="652"/>
      <c r="CLI373" s="652"/>
      <c r="CLJ373" s="652"/>
      <c r="CLK373" s="629">
        <v>27.33</v>
      </c>
      <c r="CLL373" s="653">
        <f>((CLL362*CLG369)+(CLL366*CLG370)+(CLL366*CLG371))/CLL363</f>
        <v>27.332989917734402</v>
      </c>
      <c r="CLM373" s="651" t="s">
        <v>1843</v>
      </c>
      <c r="CLN373" s="627" t="s">
        <v>1844</v>
      </c>
      <c r="CLO373" s="652"/>
      <c r="CLP373" s="652"/>
      <c r="CLQ373" s="652"/>
      <c r="CLR373" s="652"/>
      <c r="CLS373" s="652"/>
      <c r="CLT373" s="652"/>
      <c r="CLU373" s="652"/>
      <c r="CLV373" s="652"/>
      <c r="CLW373" s="652"/>
      <c r="CLX373" s="652"/>
      <c r="CLY373" s="652"/>
      <c r="CLZ373" s="652"/>
      <c r="CMA373" s="629">
        <v>27.33</v>
      </c>
      <c r="CMB373" s="653">
        <f>((CMB362*CLW369)+(CMB366*CLW370)+(CMB366*CLW371))/CMB363</f>
        <v>27.332989917734402</v>
      </c>
      <c r="CMC373" s="651" t="s">
        <v>1843</v>
      </c>
      <c r="CMD373" s="627" t="s">
        <v>1844</v>
      </c>
      <c r="CME373" s="652"/>
      <c r="CMF373" s="652"/>
      <c r="CMG373" s="652"/>
      <c r="CMH373" s="652"/>
      <c r="CMI373" s="652"/>
      <c r="CMJ373" s="652"/>
      <c r="CMK373" s="652"/>
      <c r="CML373" s="652"/>
      <c r="CMM373" s="652"/>
      <c r="CMN373" s="652"/>
      <c r="CMO373" s="652"/>
      <c r="CMP373" s="652"/>
      <c r="CMQ373" s="629">
        <v>27.33</v>
      </c>
      <c r="CMR373" s="653">
        <f>((CMR362*CMM369)+(CMR366*CMM370)+(CMR366*CMM371))/CMR363</f>
        <v>27.332989917734402</v>
      </c>
      <c r="CMS373" s="651" t="s">
        <v>1843</v>
      </c>
      <c r="CMT373" s="627" t="s">
        <v>1844</v>
      </c>
      <c r="CMU373" s="652"/>
      <c r="CMV373" s="652"/>
      <c r="CMW373" s="652"/>
      <c r="CMX373" s="652"/>
      <c r="CMY373" s="652"/>
      <c r="CMZ373" s="652"/>
      <c r="CNA373" s="652"/>
      <c r="CNB373" s="652"/>
      <c r="CNC373" s="652"/>
      <c r="CND373" s="652"/>
      <c r="CNE373" s="652"/>
      <c r="CNF373" s="652"/>
      <c r="CNG373" s="629">
        <v>27.33</v>
      </c>
      <c r="CNH373" s="653">
        <f>((CNH362*CNC369)+(CNH366*CNC370)+(CNH366*CNC371))/CNH363</f>
        <v>27.332989917734402</v>
      </c>
      <c r="CNI373" s="651" t="s">
        <v>1843</v>
      </c>
      <c r="CNJ373" s="627" t="s">
        <v>1844</v>
      </c>
      <c r="CNK373" s="652"/>
      <c r="CNL373" s="652"/>
      <c r="CNM373" s="652"/>
      <c r="CNN373" s="652"/>
      <c r="CNO373" s="652"/>
      <c r="CNP373" s="652"/>
      <c r="CNQ373" s="652"/>
      <c r="CNR373" s="652"/>
      <c r="CNS373" s="652"/>
      <c r="CNT373" s="652"/>
      <c r="CNU373" s="652"/>
      <c r="CNV373" s="652"/>
      <c r="CNW373" s="629">
        <v>27.33</v>
      </c>
      <c r="CNX373" s="653">
        <f>((CNX362*CNS369)+(CNX366*CNS370)+(CNX366*CNS371))/CNX363</f>
        <v>27.332989917734402</v>
      </c>
      <c r="CNY373" s="651" t="s">
        <v>1843</v>
      </c>
      <c r="CNZ373" s="627" t="s">
        <v>1844</v>
      </c>
      <c r="COA373" s="652"/>
      <c r="COB373" s="652"/>
      <c r="COC373" s="652"/>
      <c r="COD373" s="652"/>
      <c r="COE373" s="652"/>
      <c r="COF373" s="652"/>
      <c r="COG373" s="652"/>
      <c r="COH373" s="652"/>
      <c r="COI373" s="652"/>
      <c r="COJ373" s="652"/>
      <c r="COK373" s="652"/>
      <c r="COL373" s="652"/>
      <c r="COM373" s="629">
        <v>27.33</v>
      </c>
      <c r="CON373" s="653">
        <f>((CON362*COI369)+(CON366*COI370)+(CON366*COI371))/CON363</f>
        <v>27.332989917734402</v>
      </c>
      <c r="COO373" s="651" t="s">
        <v>1843</v>
      </c>
      <c r="COP373" s="627" t="s">
        <v>1844</v>
      </c>
      <c r="COQ373" s="652"/>
      <c r="COR373" s="652"/>
      <c r="COS373" s="652"/>
      <c r="COT373" s="652"/>
      <c r="COU373" s="652"/>
      <c r="COV373" s="652"/>
      <c r="COW373" s="652"/>
      <c r="COX373" s="652"/>
      <c r="COY373" s="652"/>
      <c r="COZ373" s="652"/>
      <c r="CPA373" s="652"/>
      <c r="CPB373" s="652"/>
      <c r="CPC373" s="629">
        <v>27.33</v>
      </c>
      <c r="CPD373" s="653">
        <f>((CPD362*COY369)+(CPD366*COY370)+(CPD366*COY371))/CPD363</f>
        <v>27.332989917734402</v>
      </c>
      <c r="CPE373" s="651" t="s">
        <v>1843</v>
      </c>
      <c r="CPF373" s="627" t="s">
        <v>1844</v>
      </c>
      <c r="CPG373" s="652"/>
      <c r="CPH373" s="652"/>
      <c r="CPI373" s="652"/>
      <c r="CPJ373" s="652"/>
      <c r="CPK373" s="652"/>
      <c r="CPL373" s="652"/>
      <c r="CPM373" s="652"/>
      <c r="CPN373" s="652"/>
      <c r="CPO373" s="652"/>
      <c r="CPP373" s="652"/>
      <c r="CPQ373" s="652"/>
      <c r="CPR373" s="652"/>
      <c r="CPS373" s="629">
        <v>27.33</v>
      </c>
      <c r="CPT373" s="653">
        <f>((CPT362*CPO369)+(CPT366*CPO370)+(CPT366*CPO371))/CPT363</f>
        <v>27.332989917734402</v>
      </c>
      <c r="CPU373" s="651" t="s">
        <v>1843</v>
      </c>
      <c r="CPV373" s="627" t="s">
        <v>1844</v>
      </c>
      <c r="CPW373" s="652"/>
      <c r="CPX373" s="652"/>
      <c r="CPY373" s="652"/>
      <c r="CPZ373" s="652"/>
      <c r="CQA373" s="652"/>
      <c r="CQB373" s="652"/>
      <c r="CQC373" s="652"/>
      <c r="CQD373" s="652"/>
      <c r="CQE373" s="652"/>
      <c r="CQF373" s="652"/>
      <c r="CQG373" s="652"/>
      <c r="CQH373" s="652"/>
      <c r="CQI373" s="629">
        <v>27.33</v>
      </c>
      <c r="CQJ373" s="653">
        <f>((CQJ362*CQE369)+(CQJ366*CQE370)+(CQJ366*CQE371))/CQJ363</f>
        <v>27.332989917734402</v>
      </c>
      <c r="CQK373" s="651" t="s">
        <v>1843</v>
      </c>
      <c r="CQL373" s="627" t="s">
        <v>1844</v>
      </c>
      <c r="CQM373" s="652"/>
      <c r="CQN373" s="652"/>
      <c r="CQO373" s="652"/>
      <c r="CQP373" s="652"/>
      <c r="CQQ373" s="652"/>
      <c r="CQR373" s="652"/>
      <c r="CQS373" s="652"/>
      <c r="CQT373" s="652"/>
      <c r="CQU373" s="652"/>
      <c r="CQV373" s="652"/>
      <c r="CQW373" s="652"/>
      <c r="CQX373" s="652"/>
      <c r="CQY373" s="629">
        <v>27.33</v>
      </c>
      <c r="CQZ373" s="653">
        <f>((CQZ362*CQU369)+(CQZ366*CQU370)+(CQZ366*CQU371))/CQZ363</f>
        <v>27.332989917734402</v>
      </c>
      <c r="CRA373" s="651" t="s">
        <v>1843</v>
      </c>
      <c r="CRB373" s="627" t="s">
        <v>1844</v>
      </c>
      <c r="CRC373" s="652"/>
      <c r="CRD373" s="652"/>
      <c r="CRE373" s="652"/>
      <c r="CRF373" s="652"/>
      <c r="CRG373" s="652"/>
      <c r="CRH373" s="652"/>
      <c r="CRI373" s="652"/>
      <c r="CRJ373" s="652"/>
      <c r="CRK373" s="652"/>
      <c r="CRL373" s="652"/>
      <c r="CRM373" s="652"/>
      <c r="CRN373" s="652"/>
      <c r="CRO373" s="629">
        <v>27.33</v>
      </c>
      <c r="CRP373" s="653">
        <f>((CRP362*CRK369)+(CRP366*CRK370)+(CRP366*CRK371))/CRP363</f>
        <v>27.332989917734402</v>
      </c>
      <c r="CRQ373" s="651" t="s">
        <v>1843</v>
      </c>
      <c r="CRR373" s="627" t="s">
        <v>1844</v>
      </c>
      <c r="CRS373" s="652"/>
      <c r="CRT373" s="652"/>
      <c r="CRU373" s="652"/>
      <c r="CRV373" s="652"/>
      <c r="CRW373" s="652"/>
      <c r="CRX373" s="652"/>
      <c r="CRY373" s="652"/>
      <c r="CRZ373" s="652"/>
      <c r="CSA373" s="652"/>
      <c r="CSB373" s="652"/>
      <c r="CSC373" s="652"/>
      <c r="CSD373" s="652"/>
      <c r="CSE373" s="629">
        <v>27.33</v>
      </c>
      <c r="CSF373" s="653">
        <f>((CSF362*CSA369)+(CSF366*CSA370)+(CSF366*CSA371))/CSF363</f>
        <v>27.332989917734402</v>
      </c>
      <c r="CSG373" s="651" t="s">
        <v>1843</v>
      </c>
      <c r="CSH373" s="627" t="s">
        <v>1844</v>
      </c>
      <c r="CSI373" s="652"/>
      <c r="CSJ373" s="652"/>
      <c r="CSK373" s="652"/>
      <c r="CSL373" s="652"/>
      <c r="CSM373" s="652"/>
      <c r="CSN373" s="652"/>
      <c r="CSO373" s="652"/>
      <c r="CSP373" s="652"/>
      <c r="CSQ373" s="652"/>
      <c r="CSR373" s="652"/>
      <c r="CSS373" s="652"/>
      <c r="CST373" s="652"/>
      <c r="CSU373" s="629">
        <v>27.33</v>
      </c>
      <c r="CSV373" s="653">
        <f>((CSV362*CSQ369)+(CSV366*CSQ370)+(CSV366*CSQ371))/CSV363</f>
        <v>27.332989917734402</v>
      </c>
      <c r="CSW373" s="651" t="s">
        <v>1843</v>
      </c>
      <c r="CSX373" s="627" t="s">
        <v>1844</v>
      </c>
      <c r="CSY373" s="652"/>
      <c r="CSZ373" s="652"/>
      <c r="CTA373" s="652"/>
      <c r="CTB373" s="652"/>
      <c r="CTC373" s="652"/>
      <c r="CTD373" s="652"/>
      <c r="CTE373" s="652"/>
      <c r="CTF373" s="652"/>
      <c r="CTG373" s="652"/>
      <c r="CTH373" s="652"/>
      <c r="CTI373" s="652"/>
      <c r="CTJ373" s="652"/>
      <c r="CTK373" s="629">
        <v>27.33</v>
      </c>
      <c r="CTL373" s="653">
        <f>((CTL362*CTG369)+(CTL366*CTG370)+(CTL366*CTG371))/CTL363</f>
        <v>27.332989917734402</v>
      </c>
      <c r="CTM373" s="651" t="s">
        <v>1843</v>
      </c>
      <c r="CTN373" s="627" t="s">
        <v>1844</v>
      </c>
      <c r="CTO373" s="652"/>
      <c r="CTP373" s="652"/>
      <c r="CTQ373" s="652"/>
      <c r="CTR373" s="652"/>
      <c r="CTS373" s="652"/>
      <c r="CTT373" s="652"/>
      <c r="CTU373" s="652"/>
      <c r="CTV373" s="652"/>
      <c r="CTW373" s="652"/>
      <c r="CTX373" s="652"/>
      <c r="CTY373" s="652"/>
      <c r="CTZ373" s="652"/>
      <c r="CUA373" s="629">
        <v>27.33</v>
      </c>
      <c r="CUB373" s="653">
        <f>((CUB362*CTW369)+(CUB366*CTW370)+(CUB366*CTW371))/CUB363</f>
        <v>27.332989917734402</v>
      </c>
      <c r="CUC373" s="651" t="s">
        <v>1843</v>
      </c>
      <c r="CUD373" s="627" t="s">
        <v>1844</v>
      </c>
      <c r="CUE373" s="652"/>
      <c r="CUF373" s="652"/>
      <c r="CUG373" s="652"/>
      <c r="CUH373" s="652"/>
      <c r="CUI373" s="652"/>
      <c r="CUJ373" s="652"/>
      <c r="CUK373" s="652"/>
      <c r="CUL373" s="652"/>
      <c r="CUM373" s="652"/>
      <c r="CUN373" s="652"/>
      <c r="CUO373" s="652"/>
      <c r="CUP373" s="652"/>
      <c r="CUQ373" s="629">
        <v>27.33</v>
      </c>
      <c r="CUR373" s="653">
        <f>((CUR362*CUM369)+(CUR366*CUM370)+(CUR366*CUM371))/CUR363</f>
        <v>27.332989917734402</v>
      </c>
      <c r="CUS373" s="651" t="s">
        <v>1843</v>
      </c>
      <c r="CUT373" s="627" t="s">
        <v>1844</v>
      </c>
      <c r="CUU373" s="652"/>
      <c r="CUV373" s="652"/>
      <c r="CUW373" s="652"/>
      <c r="CUX373" s="652"/>
      <c r="CUY373" s="652"/>
      <c r="CUZ373" s="652"/>
      <c r="CVA373" s="652"/>
      <c r="CVB373" s="652"/>
      <c r="CVC373" s="652"/>
      <c r="CVD373" s="652"/>
      <c r="CVE373" s="652"/>
      <c r="CVF373" s="652"/>
      <c r="CVG373" s="629">
        <v>27.33</v>
      </c>
      <c r="CVH373" s="653">
        <f>((CVH362*CVC369)+(CVH366*CVC370)+(CVH366*CVC371))/CVH363</f>
        <v>27.332989917734402</v>
      </c>
      <c r="CVI373" s="651" t="s">
        <v>1843</v>
      </c>
      <c r="CVJ373" s="627" t="s">
        <v>1844</v>
      </c>
      <c r="CVK373" s="652"/>
      <c r="CVL373" s="652"/>
      <c r="CVM373" s="652"/>
      <c r="CVN373" s="652"/>
      <c r="CVO373" s="652"/>
      <c r="CVP373" s="652"/>
      <c r="CVQ373" s="652"/>
      <c r="CVR373" s="652"/>
      <c r="CVS373" s="652"/>
      <c r="CVT373" s="652"/>
      <c r="CVU373" s="652"/>
      <c r="CVV373" s="652"/>
      <c r="CVW373" s="629">
        <v>27.33</v>
      </c>
      <c r="CVX373" s="653">
        <f>((CVX362*CVS369)+(CVX366*CVS370)+(CVX366*CVS371))/CVX363</f>
        <v>27.332989917734402</v>
      </c>
      <c r="CVY373" s="651" t="s">
        <v>1843</v>
      </c>
      <c r="CVZ373" s="627" t="s">
        <v>1844</v>
      </c>
      <c r="CWA373" s="652"/>
      <c r="CWB373" s="652"/>
      <c r="CWC373" s="652"/>
      <c r="CWD373" s="652"/>
      <c r="CWE373" s="652"/>
      <c r="CWF373" s="652"/>
      <c r="CWG373" s="652"/>
      <c r="CWH373" s="652"/>
      <c r="CWI373" s="652"/>
      <c r="CWJ373" s="652"/>
      <c r="CWK373" s="652"/>
      <c r="CWL373" s="652"/>
      <c r="CWM373" s="629">
        <v>27.33</v>
      </c>
      <c r="CWN373" s="653">
        <f>((CWN362*CWI369)+(CWN366*CWI370)+(CWN366*CWI371))/CWN363</f>
        <v>27.332989917734402</v>
      </c>
      <c r="CWO373" s="651" t="s">
        <v>1843</v>
      </c>
      <c r="CWP373" s="627" t="s">
        <v>1844</v>
      </c>
      <c r="CWQ373" s="652"/>
      <c r="CWR373" s="652"/>
      <c r="CWS373" s="652"/>
      <c r="CWT373" s="652"/>
      <c r="CWU373" s="652"/>
      <c r="CWV373" s="652"/>
      <c r="CWW373" s="652"/>
      <c r="CWX373" s="652"/>
      <c r="CWY373" s="652"/>
      <c r="CWZ373" s="652"/>
      <c r="CXA373" s="652"/>
      <c r="CXB373" s="652"/>
      <c r="CXC373" s="629">
        <v>27.33</v>
      </c>
      <c r="CXD373" s="653">
        <f>((CXD362*CWY369)+(CXD366*CWY370)+(CXD366*CWY371))/CXD363</f>
        <v>27.332989917734402</v>
      </c>
      <c r="CXE373" s="651" t="s">
        <v>1843</v>
      </c>
      <c r="CXF373" s="627" t="s">
        <v>1844</v>
      </c>
      <c r="CXG373" s="652"/>
      <c r="CXH373" s="652"/>
      <c r="CXI373" s="652"/>
      <c r="CXJ373" s="652"/>
      <c r="CXK373" s="652"/>
      <c r="CXL373" s="652"/>
      <c r="CXM373" s="652"/>
      <c r="CXN373" s="652"/>
      <c r="CXO373" s="652"/>
      <c r="CXP373" s="652"/>
      <c r="CXQ373" s="652"/>
      <c r="CXR373" s="652"/>
      <c r="CXS373" s="629">
        <v>27.33</v>
      </c>
      <c r="CXT373" s="653">
        <f>((CXT362*CXO369)+(CXT366*CXO370)+(CXT366*CXO371))/CXT363</f>
        <v>27.332989917734402</v>
      </c>
      <c r="CXU373" s="651" t="s">
        <v>1843</v>
      </c>
      <c r="CXV373" s="627" t="s">
        <v>1844</v>
      </c>
      <c r="CXW373" s="652"/>
      <c r="CXX373" s="652"/>
      <c r="CXY373" s="652"/>
      <c r="CXZ373" s="652"/>
      <c r="CYA373" s="652"/>
      <c r="CYB373" s="652"/>
      <c r="CYC373" s="652"/>
      <c r="CYD373" s="652"/>
      <c r="CYE373" s="652"/>
      <c r="CYF373" s="652"/>
      <c r="CYG373" s="652"/>
      <c r="CYH373" s="652"/>
      <c r="CYI373" s="629">
        <v>27.33</v>
      </c>
      <c r="CYJ373" s="653">
        <f>((CYJ362*CYE369)+(CYJ366*CYE370)+(CYJ366*CYE371))/CYJ363</f>
        <v>27.332989917734402</v>
      </c>
      <c r="CYK373" s="651" t="s">
        <v>1843</v>
      </c>
      <c r="CYL373" s="627" t="s">
        <v>1844</v>
      </c>
      <c r="CYM373" s="652"/>
      <c r="CYN373" s="652"/>
      <c r="CYO373" s="652"/>
      <c r="CYP373" s="652"/>
      <c r="CYQ373" s="652"/>
      <c r="CYR373" s="652"/>
      <c r="CYS373" s="652"/>
      <c r="CYT373" s="652"/>
      <c r="CYU373" s="652"/>
      <c r="CYV373" s="652"/>
      <c r="CYW373" s="652"/>
      <c r="CYX373" s="652"/>
      <c r="CYY373" s="629">
        <v>27.33</v>
      </c>
      <c r="CYZ373" s="653">
        <f>((CYZ362*CYU369)+(CYZ366*CYU370)+(CYZ366*CYU371))/CYZ363</f>
        <v>27.332989917734402</v>
      </c>
      <c r="CZA373" s="651" t="s">
        <v>1843</v>
      </c>
      <c r="CZB373" s="627" t="s">
        <v>1844</v>
      </c>
      <c r="CZC373" s="652"/>
      <c r="CZD373" s="652"/>
      <c r="CZE373" s="652"/>
      <c r="CZF373" s="652"/>
      <c r="CZG373" s="652"/>
      <c r="CZH373" s="652"/>
      <c r="CZI373" s="652"/>
      <c r="CZJ373" s="652"/>
      <c r="CZK373" s="652"/>
      <c r="CZL373" s="652"/>
      <c r="CZM373" s="652"/>
      <c r="CZN373" s="652"/>
      <c r="CZO373" s="629">
        <v>27.33</v>
      </c>
      <c r="CZP373" s="653">
        <f>((CZP362*CZK369)+(CZP366*CZK370)+(CZP366*CZK371))/CZP363</f>
        <v>27.332989917734402</v>
      </c>
      <c r="CZQ373" s="651" t="s">
        <v>1843</v>
      </c>
      <c r="CZR373" s="627" t="s">
        <v>1844</v>
      </c>
      <c r="CZS373" s="652"/>
      <c r="CZT373" s="652"/>
      <c r="CZU373" s="652"/>
      <c r="CZV373" s="652"/>
      <c r="CZW373" s="652"/>
      <c r="CZX373" s="652"/>
      <c r="CZY373" s="652"/>
      <c r="CZZ373" s="652"/>
      <c r="DAA373" s="652"/>
      <c r="DAB373" s="652"/>
      <c r="DAC373" s="652"/>
      <c r="DAD373" s="652"/>
      <c r="DAE373" s="629">
        <v>27.33</v>
      </c>
      <c r="DAF373" s="653">
        <f>((DAF362*DAA369)+(DAF366*DAA370)+(DAF366*DAA371))/DAF363</f>
        <v>27.332989917734402</v>
      </c>
      <c r="DAG373" s="651" t="s">
        <v>1843</v>
      </c>
      <c r="DAH373" s="627" t="s">
        <v>1844</v>
      </c>
      <c r="DAI373" s="652"/>
      <c r="DAJ373" s="652"/>
      <c r="DAK373" s="652"/>
      <c r="DAL373" s="652"/>
      <c r="DAM373" s="652"/>
      <c r="DAN373" s="652"/>
      <c r="DAO373" s="652"/>
      <c r="DAP373" s="652"/>
      <c r="DAQ373" s="652"/>
      <c r="DAR373" s="652"/>
      <c r="DAS373" s="652"/>
      <c r="DAT373" s="652"/>
      <c r="DAU373" s="629">
        <v>27.33</v>
      </c>
      <c r="DAV373" s="653">
        <f>((DAV362*DAQ369)+(DAV366*DAQ370)+(DAV366*DAQ371))/DAV363</f>
        <v>27.332989917734402</v>
      </c>
      <c r="DAW373" s="651" t="s">
        <v>1843</v>
      </c>
      <c r="DAX373" s="627" t="s">
        <v>1844</v>
      </c>
      <c r="DAY373" s="652"/>
      <c r="DAZ373" s="652"/>
      <c r="DBA373" s="652"/>
      <c r="DBB373" s="652"/>
      <c r="DBC373" s="652"/>
      <c r="DBD373" s="652"/>
      <c r="DBE373" s="652"/>
      <c r="DBF373" s="652"/>
      <c r="DBG373" s="652"/>
      <c r="DBH373" s="652"/>
      <c r="DBI373" s="652"/>
      <c r="DBJ373" s="652"/>
      <c r="DBK373" s="629">
        <v>27.33</v>
      </c>
      <c r="DBL373" s="653">
        <f>((DBL362*DBG369)+(DBL366*DBG370)+(DBL366*DBG371))/DBL363</f>
        <v>27.332989917734402</v>
      </c>
      <c r="DBM373" s="651" t="s">
        <v>1843</v>
      </c>
      <c r="DBN373" s="627" t="s">
        <v>1844</v>
      </c>
      <c r="DBO373" s="652"/>
      <c r="DBP373" s="652"/>
      <c r="DBQ373" s="652"/>
      <c r="DBR373" s="652"/>
      <c r="DBS373" s="652"/>
      <c r="DBT373" s="652"/>
      <c r="DBU373" s="652"/>
      <c r="DBV373" s="652"/>
      <c r="DBW373" s="652"/>
      <c r="DBX373" s="652"/>
      <c r="DBY373" s="652"/>
      <c r="DBZ373" s="652"/>
      <c r="DCA373" s="629">
        <v>27.33</v>
      </c>
      <c r="DCB373" s="653">
        <f>((DCB362*DBW369)+(DCB366*DBW370)+(DCB366*DBW371))/DCB363</f>
        <v>27.332989917734402</v>
      </c>
      <c r="DCC373" s="651" t="s">
        <v>1843</v>
      </c>
      <c r="DCD373" s="627" t="s">
        <v>1844</v>
      </c>
      <c r="DCE373" s="652"/>
      <c r="DCF373" s="652"/>
      <c r="DCG373" s="652"/>
      <c r="DCH373" s="652"/>
      <c r="DCI373" s="652"/>
      <c r="DCJ373" s="652"/>
      <c r="DCK373" s="652"/>
      <c r="DCL373" s="652"/>
      <c r="DCM373" s="652"/>
      <c r="DCN373" s="652"/>
      <c r="DCO373" s="652"/>
      <c r="DCP373" s="652"/>
      <c r="DCQ373" s="629">
        <v>27.33</v>
      </c>
      <c r="DCR373" s="653">
        <f>((DCR362*DCM369)+(DCR366*DCM370)+(DCR366*DCM371))/DCR363</f>
        <v>27.332989917734402</v>
      </c>
      <c r="DCS373" s="651" t="s">
        <v>1843</v>
      </c>
      <c r="DCT373" s="627" t="s">
        <v>1844</v>
      </c>
      <c r="DCU373" s="652"/>
      <c r="DCV373" s="652"/>
      <c r="DCW373" s="652"/>
      <c r="DCX373" s="652"/>
      <c r="DCY373" s="652"/>
      <c r="DCZ373" s="652"/>
      <c r="DDA373" s="652"/>
      <c r="DDB373" s="652"/>
      <c r="DDC373" s="652"/>
      <c r="DDD373" s="652"/>
      <c r="DDE373" s="652"/>
      <c r="DDF373" s="652"/>
      <c r="DDG373" s="629">
        <v>27.33</v>
      </c>
      <c r="DDH373" s="653">
        <f>((DDH362*DDC369)+(DDH366*DDC370)+(DDH366*DDC371))/DDH363</f>
        <v>27.332989917734402</v>
      </c>
      <c r="DDI373" s="651" t="s">
        <v>1843</v>
      </c>
      <c r="DDJ373" s="627" t="s">
        <v>1844</v>
      </c>
      <c r="DDK373" s="652"/>
      <c r="DDL373" s="652"/>
      <c r="DDM373" s="652"/>
      <c r="DDN373" s="652"/>
      <c r="DDO373" s="652"/>
      <c r="DDP373" s="652"/>
      <c r="DDQ373" s="652"/>
      <c r="DDR373" s="652"/>
      <c r="DDS373" s="652"/>
      <c r="DDT373" s="652"/>
      <c r="DDU373" s="652"/>
      <c r="DDV373" s="652"/>
      <c r="DDW373" s="629">
        <v>27.33</v>
      </c>
      <c r="DDX373" s="653">
        <f>((DDX362*DDS369)+(DDX366*DDS370)+(DDX366*DDS371))/DDX363</f>
        <v>27.332989917734402</v>
      </c>
      <c r="DDY373" s="651" t="s">
        <v>1843</v>
      </c>
      <c r="DDZ373" s="627" t="s">
        <v>1844</v>
      </c>
      <c r="DEA373" s="652"/>
      <c r="DEB373" s="652"/>
      <c r="DEC373" s="652"/>
      <c r="DED373" s="652"/>
      <c r="DEE373" s="652"/>
      <c r="DEF373" s="652"/>
      <c r="DEG373" s="652"/>
      <c r="DEH373" s="652"/>
      <c r="DEI373" s="652"/>
      <c r="DEJ373" s="652"/>
      <c r="DEK373" s="652"/>
      <c r="DEL373" s="652"/>
      <c r="DEM373" s="629">
        <v>27.33</v>
      </c>
      <c r="DEN373" s="653">
        <f>((DEN362*DEI369)+(DEN366*DEI370)+(DEN366*DEI371))/DEN363</f>
        <v>27.332989917734402</v>
      </c>
      <c r="DEO373" s="651" t="s">
        <v>1843</v>
      </c>
      <c r="DEP373" s="627" t="s">
        <v>1844</v>
      </c>
      <c r="DEQ373" s="652"/>
      <c r="DER373" s="652"/>
      <c r="DES373" s="652"/>
      <c r="DET373" s="652"/>
      <c r="DEU373" s="652"/>
      <c r="DEV373" s="652"/>
      <c r="DEW373" s="652"/>
      <c r="DEX373" s="652"/>
      <c r="DEY373" s="652"/>
      <c r="DEZ373" s="652"/>
      <c r="DFA373" s="652"/>
      <c r="DFB373" s="652"/>
      <c r="DFC373" s="629">
        <v>27.33</v>
      </c>
      <c r="DFD373" s="653">
        <f>((DFD362*DEY369)+(DFD366*DEY370)+(DFD366*DEY371))/DFD363</f>
        <v>27.332989917734402</v>
      </c>
      <c r="DFE373" s="651" t="s">
        <v>1843</v>
      </c>
      <c r="DFF373" s="627" t="s">
        <v>1844</v>
      </c>
      <c r="DFG373" s="652"/>
      <c r="DFH373" s="652"/>
      <c r="DFI373" s="652"/>
      <c r="DFJ373" s="652"/>
      <c r="DFK373" s="652"/>
      <c r="DFL373" s="652"/>
      <c r="DFM373" s="652"/>
      <c r="DFN373" s="652"/>
      <c r="DFO373" s="652"/>
      <c r="DFP373" s="652"/>
      <c r="DFQ373" s="652"/>
      <c r="DFR373" s="652"/>
      <c r="DFS373" s="629">
        <v>27.33</v>
      </c>
      <c r="DFT373" s="653">
        <f>((DFT362*DFO369)+(DFT366*DFO370)+(DFT366*DFO371))/DFT363</f>
        <v>27.332989917734402</v>
      </c>
      <c r="DFU373" s="651" t="s">
        <v>1843</v>
      </c>
      <c r="DFV373" s="627" t="s">
        <v>1844</v>
      </c>
      <c r="DFW373" s="652"/>
      <c r="DFX373" s="652"/>
      <c r="DFY373" s="652"/>
      <c r="DFZ373" s="652"/>
      <c r="DGA373" s="652"/>
      <c r="DGB373" s="652"/>
      <c r="DGC373" s="652"/>
      <c r="DGD373" s="652"/>
      <c r="DGE373" s="652"/>
      <c r="DGF373" s="652"/>
      <c r="DGG373" s="652"/>
      <c r="DGH373" s="652"/>
      <c r="DGI373" s="629">
        <v>27.33</v>
      </c>
      <c r="DGJ373" s="653">
        <f>((DGJ362*DGE369)+(DGJ366*DGE370)+(DGJ366*DGE371))/DGJ363</f>
        <v>27.332989917734402</v>
      </c>
      <c r="DGK373" s="651" t="s">
        <v>1843</v>
      </c>
      <c r="DGL373" s="627" t="s">
        <v>1844</v>
      </c>
      <c r="DGM373" s="652"/>
      <c r="DGN373" s="652"/>
      <c r="DGO373" s="652"/>
      <c r="DGP373" s="652"/>
      <c r="DGQ373" s="652"/>
      <c r="DGR373" s="652"/>
      <c r="DGS373" s="652"/>
      <c r="DGT373" s="652"/>
      <c r="DGU373" s="652"/>
      <c r="DGV373" s="652"/>
      <c r="DGW373" s="652"/>
      <c r="DGX373" s="652"/>
      <c r="DGY373" s="629">
        <v>27.33</v>
      </c>
      <c r="DGZ373" s="653">
        <f>((DGZ362*DGU369)+(DGZ366*DGU370)+(DGZ366*DGU371))/DGZ363</f>
        <v>27.332989917734402</v>
      </c>
      <c r="DHA373" s="651" t="s">
        <v>1843</v>
      </c>
      <c r="DHB373" s="627" t="s">
        <v>1844</v>
      </c>
      <c r="DHC373" s="652"/>
      <c r="DHD373" s="652"/>
      <c r="DHE373" s="652"/>
      <c r="DHF373" s="652"/>
      <c r="DHG373" s="652"/>
      <c r="DHH373" s="652"/>
      <c r="DHI373" s="652"/>
      <c r="DHJ373" s="652"/>
      <c r="DHK373" s="652"/>
      <c r="DHL373" s="652"/>
      <c r="DHM373" s="652"/>
      <c r="DHN373" s="652"/>
      <c r="DHO373" s="629">
        <v>27.33</v>
      </c>
      <c r="DHP373" s="653">
        <f>((DHP362*DHK369)+(DHP366*DHK370)+(DHP366*DHK371))/DHP363</f>
        <v>27.332989917734402</v>
      </c>
      <c r="DHQ373" s="651" t="s">
        <v>1843</v>
      </c>
      <c r="DHR373" s="627" t="s">
        <v>1844</v>
      </c>
      <c r="DHS373" s="652"/>
      <c r="DHT373" s="652"/>
      <c r="DHU373" s="652"/>
      <c r="DHV373" s="652"/>
      <c r="DHW373" s="652"/>
      <c r="DHX373" s="652"/>
      <c r="DHY373" s="652"/>
      <c r="DHZ373" s="652"/>
      <c r="DIA373" s="652"/>
      <c r="DIB373" s="652"/>
      <c r="DIC373" s="652"/>
      <c r="DID373" s="652"/>
      <c r="DIE373" s="629">
        <v>27.33</v>
      </c>
      <c r="DIF373" s="653">
        <f>((DIF362*DIA369)+(DIF366*DIA370)+(DIF366*DIA371))/DIF363</f>
        <v>27.332989917734402</v>
      </c>
      <c r="DIG373" s="651" t="s">
        <v>1843</v>
      </c>
      <c r="DIH373" s="627" t="s">
        <v>1844</v>
      </c>
      <c r="DII373" s="652"/>
      <c r="DIJ373" s="652"/>
      <c r="DIK373" s="652"/>
      <c r="DIL373" s="652"/>
      <c r="DIM373" s="652"/>
      <c r="DIN373" s="652"/>
      <c r="DIO373" s="652"/>
      <c r="DIP373" s="652"/>
      <c r="DIQ373" s="652"/>
      <c r="DIR373" s="652"/>
      <c r="DIS373" s="652"/>
      <c r="DIT373" s="652"/>
      <c r="DIU373" s="629">
        <v>27.33</v>
      </c>
      <c r="DIV373" s="653">
        <f>((DIV362*DIQ369)+(DIV366*DIQ370)+(DIV366*DIQ371))/DIV363</f>
        <v>27.332989917734402</v>
      </c>
      <c r="DIW373" s="651" t="s">
        <v>1843</v>
      </c>
      <c r="DIX373" s="627" t="s">
        <v>1844</v>
      </c>
      <c r="DIY373" s="652"/>
      <c r="DIZ373" s="652"/>
      <c r="DJA373" s="652"/>
      <c r="DJB373" s="652"/>
      <c r="DJC373" s="652"/>
      <c r="DJD373" s="652"/>
      <c r="DJE373" s="652"/>
      <c r="DJF373" s="652"/>
      <c r="DJG373" s="652"/>
      <c r="DJH373" s="652"/>
      <c r="DJI373" s="652"/>
      <c r="DJJ373" s="652"/>
      <c r="DJK373" s="629">
        <v>27.33</v>
      </c>
      <c r="DJL373" s="653">
        <f>((DJL362*DJG369)+(DJL366*DJG370)+(DJL366*DJG371))/DJL363</f>
        <v>27.332989917734402</v>
      </c>
      <c r="DJM373" s="651" t="s">
        <v>1843</v>
      </c>
      <c r="DJN373" s="627" t="s">
        <v>1844</v>
      </c>
      <c r="DJO373" s="652"/>
      <c r="DJP373" s="652"/>
      <c r="DJQ373" s="652"/>
      <c r="DJR373" s="652"/>
      <c r="DJS373" s="652"/>
      <c r="DJT373" s="652"/>
      <c r="DJU373" s="652"/>
      <c r="DJV373" s="652"/>
      <c r="DJW373" s="652"/>
      <c r="DJX373" s="652"/>
      <c r="DJY373" s="652"/>
      <c r="DJZ373" s="652"/>
      <c r="DKA373" s="629">
        <v>27.33</v>
      </c>
      <c r="DKB373" s="653">
        <f>((DKB362*DJW369)+(DKB366*DJW370)+(DKB366*DJW371))/DKB363</f>
        <v>27.332989917734402</v>
      </c>
      <c r="DKC373" s="651" t="s">
        <v>1843</v>
      </c>
      <c r="DKD373" s="627" t="s">
        <v>1844</v>
      </c>
      <c r="DKE373" s="652"/>
      <c r="DKF373" s="652"/>
      <c r="DKG373" s="652"/>
      <c r="DKH373" s="652"/>
      <c r="DKI373" s="652"/>
      <c r="DKJ373" s="652"/>
      <c r="DKK373" s="652"/>
      <c r="DKL373" s="652"/>
      <c r="DKM373" s="652"/>
      <c r="DKN373" s="652"/>
      <c r="DKO373" s="652"/>
      <c r="DKP373" s="652"/>
      <c r="DKQ373" s="629">
        <v>27.33</v>
      </c>
      <c r="DKR373" s="653">
        <f>((DKR362*DKM369)+(DKR366*DKM370)+(DKR366*DKM371))/DKR363</f>
        <v>27.332989917734402</v>
      </c>
      <c r="DKS373" s="651" t="s">
        <v>1843</v>
      </c>
      <c r="DKT373" s="627" t="s">
        <v>1844</v>
      </c>
      <c r="DKU373" s="652"/>
      <c r="DKV373" s="652"/>
      <c r="DKW373" s="652"/>
      <c r="DKX373" s="652"/>
      <c r="DKY373" s="652"/>
      <c r="DKZ373" s="652"/>
      <c r="DLA373" s="652"/>
      <c r="DLB373" s="652"/>
      <c r="DLC373" s="652"/>
      <c r="DLD373" s="652"/>
      <c r="DLE373" s="652"/>
      <c r="DLF373" s="652"/>
      <c r="DLG373" s="629">
        <v>27.33</v>
      </c>
      <c r="DLH373" s="653">
        <f>((DLH362*DLC369)+(DLH366*DLC370)+(DLH366*DLC371))/DLH363</f>
        <v>27.332989917734402</v>
      </c>
      <c r="DLI373" s="651" t="s">
        <v>1843</v>
      </c>
      <c r="DLJ373" s="627" t="s">
        <v>1844</v>
      </c>
      <c r="DLK373" s="652"/>
      <c r="DLL373" s="652"/>
      <c r="DLM373" s="652"/>
      <c r="DLN373" s="652"/>
      <c r="DLO373" s="652"/>
      <c r="DLP373" s="652"/>
      <c r="DLQ373" s="652"/>
      <c r="DLR373" s="652"/>
      <c r="DLS373" s="652"/>
      <c r="DLT373" s="652"/>
      <c r="DLU373" s="652"/>
      <c r="DLV373" s="652"/>
      <c r="DLW373" s="629">
        <v>27.33</v>
      </c>
      <c r="DLX373" s="653">
        <f>((DLX362*DLS369)+(DLX366*DLS370)+(DLX366*DLS371))/DLX363</f>
        <v>27.332989917734402</v>
      </c>
      <c r="DLY373" s="651" t="s">
        <v>1843</v>
      </c>
      <c r="DLZ373" s="627" t="s">
        <v>1844</v>
      </c>
      <c r="DMA373" s="652"/>
      <c r="DMB373" s="652"/>
      <c r="DMC373" s="652"/>
      <c r="DMD373" s="652"/>
      <c r="DME373" s="652"/>
      <c r="DMF373" s="652"/>
      <c r="DMG373" s="652"/>
      <c r="DMH373" s="652"/>
      <c r="DMI373" s="652"/>
      <c r="DMJ373" s="652"/>
      <c r="DMK373" s="652"/>
      <c r="DML373" s="652"/>
      <c r="DMM373" s="629">
        <v>27.33</v>
      </c>
      <c r="DMN373" s="653">
        <f>((DMN362*DMI369)+(DMN366*DMI370)+(DMN366*DMI371))/DMN363</f>
        <v>27.332989917734402</v>
      </c>
      <c r="DMO373" s="651" t="s">
        <v>1843</v>
      </c>
      <c r="DMP373" s="627" t="s">
        <v>1844</v>
      </c>
      <c r="DMQ373" s="652"/>
      <c r="DMR373" s="652"/>
      <c r="DMS373" s="652"/>
      <c r="DMT373" s="652"/>
      <c r="DMU373" s="652"/>
      <c r="DMV373" s="652"/>
      <c r="DMW373" s="652"/>
      <c r="DMX373" s="652"/>
      <c r="DMY373" s="652"/>
      <c r="DMZ373" s="652"/>
      <c r="DNA373" s="652"/>
      <c r="DNB373" s="652"/>
      <c r="DNC373" s="629">
        <v>27.33</v>
      </c>
      <c r="DND373" s="653">
        <f>((DND362*DMY369)+(DND366*DMY370)+(DND366*DMY371))/DND363</f>
        <v>27.332989917734402</v>
      </c>
      <c r="DNE373" s="651" t="s">
        <v>1843</v>
      </c>
      <c r="DNF373" s="627" t="s">
        <v>1844</v>
      </c>
      <c r="DNG373" s="652"/>
      <c r="DNH373" s="652"/>
      <c r="DNI373" s="652"/>
      <c r="DNJ373" s="652"/>
      <c r="DNK373" s="652"/>
      <c r="DNL373" s="652"/>
      <c r="DNM373" s="652"/>
      <c r="DNN373" s="652"/>
      <c r="DNO373" s="652"/>
      <c r="DNP373" s="652"/>
      <c r="DNQ373" s="652"/>
      <c r="DNR373" s="652"/>
      <c r="DNS373" s="629">
        <v>27.33</v>
      </c>
      <c r="DNT373" s="653">
        <f>((DNT362*DNO369)+(DNT366*DNO370)+(DNT366*DNO371))/DNT363</f>
        <v>27.332989917734402</v>
      </c>
      <c r="DNU373" s="651" t="s">
        <v>1843</v>
      </c>
      <c r="DNV373" s="627" t="s">
        <v>1844</v>
      </c>
      <c r="DNW373" s="652"/>
      <c r="DNX373" s="652"/>
      <c r="DNY373" s="652"/>
      <c r="DNZ373" s="652"/>
      <c r="DOA373" s="652"/>
      <c r="DOB373" s="652"/>
      <c r="DOC373" s="652"/>
      <c r="DOD373" s="652"/>
      <c r="DOE373" s="652"/>
      <c r="DOF373" s="652"/>
      <c r="DOG373" s="652"/>
      <c r="DOH373" s="652"/>
      <c r="DOI373" s="629">
        <v>27.33</v>
      </c>
      <c r="DOJ373" s="653">
        <f>((DOJ362*DOE369)+(DOJ366*DOE370)+(DOJ366*DOE371))/DOJ363</f>
        <v>27.332989917734402</v>
      </c>
      <c r="DOK373" s="651" t="s">
        <v>1843</v>
      </c>
      <c r="DOL373" s="627" t="s">
        <v>1844</v>
      </c>
      <c r="DOM373" s="652"/>
      <c r="DON373" s="652"/>
      <c r="DOO373" s="652"/>
      <c r="DOP373" s="652"/>
      <c r="DOQ373" s="652"/>
      <c r="DOR373" s="652"/>
      <c r="DOS373" s="652"/>
      <c r="DOT373" s="652"/>
      <c r="DOU373" s="652"/>
      <c r="DOV373" s="652"/>
      <c r="DOW373" s="652"/>
      <c r="DOX373" s="652"/>
      <c r="DOY373" s="629">
        <v>27.33</v>
      </c>
      <c r="DOZ373" s="653">
        <f>((DOZ362*DOU369)+(DOZ366*DOU370)+(DOZ366*DOU371))/DOZ363</f>
        <v>27.332989917734402</v>
      </c>
      <c r="DPA373" s="651" t="s">
        <v>1843</v>
      </c>
      <c r="DPB373" s="627" t="s">
        <v>1844</v>
      </c>
      <c r="DPC373" s="652"/>
      <c r="DPD373" s="652"/>
      <c r="DPE373" s="652"/>
      <c r="DPF373" s="652"/>
      <c r="DPG373" s="652"/>
      <c r="DPH373" s="652"/>
      <c r="DPI373" s="652"/>
      <c r="DPJ373" s="652"/>
      <c r="DPK373" s="652"/>
      <c r="DPL373" s="652"/>
      <c r="DPM373" s="652"/>
      <c r="DPN373" s="652"/>
      <c r="DPO373" s="629">
        <v>27.33</v>
      </c>
      <c r="DPP373" s="653">
        <f>((DPP362*DPK369)+(DPP366*DPK370)+(DPP366*DPK371))/DPP363</f>
        <v>27.332989917734402</v>
      </c>
      <c r="DPQ373" s="651" t="s">
        <v>1843</v>
      </c>
      <c r="DPR373" s="627" t="s">
        <v>1844</v>
      </c>
      <c r="DPS373" s="652"/>
      <c r="DPT373" s="652"/>
      <c r="DPU373" s="652"/>
      <c r="DPV373" s="652"/>
      <c r="DPW373" s="652"/>
      <c r="DPX373" s="652"/>
      <c r="DPY373" s="652"/>
      <c r="DPZ373" s="652"/>
      <c r="DQA373" s="652"/>
      <c r="DQB373" s="652"/>
      <c r="DQC373" s="652"/>
      <c r="DQD373" s="652"/>
      <c r="DQE373" s="629">
        <v>27.33</v>
      </c>
      <c r="DQF373" s="653">
        <f>((DQF362*DQA369)+(DQF366*DQA370)+(DQF366*DQA371))/DQF363</f>
        <v>27.332989917734402</v>
      </c>
      <c r="DQG373" s="651" t="s">
        <v>1843</v>
      </c>
      <c r="DQH373" s="627" t="s">
        <v>1844</v>
      </c>
      <c r="DQI373" s="652"/>
      <c r="DQJ373" s="652"/>
      <c r="DQK373" s="652"/>
      <c r="DQL373" s="652"/>
      <c r="DQM373" s="652"/>
      <c r="DQN373" s="652"/>
      <c r="DQO373" s="652"/>
      <c r="DQP373" s="652"/>
      <c r="DQQ373" s="652"/>
      <c r="DQR373" s="652"/>
      <c r="DQS373" s="652"/>
      <c r="DQT373" s="652"/>
      <c r="DQU373" s="629">
        <v>27.33</v>
      </c>
      <c r="DQV373" s="653">
        <f>((DQV362*DQQ369)+(DQV366*DQQ370)+(DQV366*DQQ371))/DQV363</f>
        <v>27.332989917734402</v>
      </c>
      <c r="DQW373" s="651" t="s">
        <v>1843</v>
      </c>
      <c r="DQX373" s="627" t="s">
        <v>1844</v>
      </c>
      <c r="DQY373" s="652"/>
      <c r="DQZ373" s="652"/>
      <c r="DRA373" s="652"/>
      <c r="DRB373" s="652"/>
      <c r="DRC373" s="652"/>
      <c r="DRD373" s="652"/>
      <c r="DRE373" s="652"/>
      <c r="DRF373" s="652"/>
      <c r="DRG373" s="652"/>
      <c r="DRH373" s="652"/>
      <c r="DRI373" s="652"/>
      <c r="DRJ373" s="652"/>
      <c r="DRK373" s="629">
        <v>27.33</v>
      </c>
      <c r="DRL373" s="653">
        <f>((DRL362*DRG369)+(DRL366*DRG370)+(DRL366*DRG371))/DRL363</f>
        <v>27.332989917734402</v>
      </c>
      <c r="DRM373" s="651" t="s">
        <v>1843</v>
      </c>
      <c r="DRN373" s="627" t="s">
        <v>1844</v>
      </c>
      <c r="DRO373" s="652"/>
      <c r="DRP373" s="652"/>
      <c r="DRQ373" s="652"/>
      <c r="DRR373" s="652"/>
      <c r="DRS373" s="652"/>
      <c r="DRT373" s="652"/>
      <c r="DRU373" s="652"/>
      <c r="DRV373" s="652"/>
      <c r="DRW373" s="652"/>
      <c r="DRX373" s="652"/>
      <c r="DRY373" s="652"/>
      <c r="DRZ373" s="652"/>
      <c r="DSA373" s="629">
        <v>27.33</v>
      </c>
      <c r="DSB373" s="653">
        <f>((DSB362*DRW369)+(DSB366*DRW370)+(DSB366*DRW371))/DSB363</f>
        <v>27.332989917734402</v>
      </c>
      <c r="DSC373" s="651" t="s">
        <v>1843</v>
      </c>
      <c r="DSD373" s="627" t="s">
        <v>1844</v>
      </c>
      <c r="DSE373" s="652"/>
      <c r="DSF373" s="652"/>
      <c r="DSG373" s="652"/>
      <c r="DSH373" s="652"/>
      <c r="DSI373" s="652"/>
      <c r="DSJ373" s="652"/>
      <c r="DSK373" s="652"/>
      <c r="DSL373" s="652"/>
      <c r="DSM373" s="652"/>
      <c r="DSN373" s="652"/>
      <c r="DSO373" s="652"/>
      <c r="DSP373" s="652"/>
      <c r="DSQ373" s="629">
        <v>27.33</v>
      </c>
      <c r="DSR373" s="653">
        <f>((DSR362*DSM369)+(DSR366*DSM370)+(DSR366*DSM371))/DSR363</f>
        <v>27.332989917734402</v>
      </c>
      <c r="DSS373" s="651" t="s">
        <v>1843</v>
      </c>
      <c r="DST373" s="627" t="s">
        <v>1844</v>
      </c>
      <c r="DSU373" s="652"/>
      <c r="DSV373" s="652"/>
      <c r="DSW373" s="652"/>
      <c r="DSX373" s="652"/>
      <c r="DSY373" s="652"/>
      <c r="DSZ373" s="652"/>
      <c r="DTA373" s="652"/>
      <c r="DTB373" s="652"/>
      <c r="DTC373" s="652"/>
      <c r="DTD373" s="652"/>
      <c r="DTE373" s="652"/>
      <c r="DTF373" s="652"/>
      <c r="DTG373" s="629">
        <v>27.33</v>
      </c>
      <c r="DTH373" s="653">
        <f>((DTH362*DTC369)+(DTH366*DTC370)+(DTH366*DTC371))/DTH363</f>
        <v>27.332989917734402</v>
      </c>
      <c r="DTI373" s="651" t="s">
        <v>1843</v>
      </c>
      <c r="DTJ373" s="627" t="s">
        <v>1844</v>
      </c>
      <c r="DTK373" s="652"/>
      <c r="DTL373" s="652"/>
      <c r="DTM373" s="652"/>
      <c r="DTN373" s="652"/>
      <c r="DTO373" s="652"/>
      <c r="DTP373" s="652"/>
      <c r="DTQ373" s="652"/>
      <c r="DTR373" s="652"/>
      <c r="DTS373" s="652"/>
      <c r="DTT373" s="652"/>
      <c r="DTU373" s="652"/>
      <c r="DTV373" s="652"/>
      <c r="DTW373" s="629">
        <v>27.33</v>
      </c>
      <c r="DTX373" s="653">
        <f>((DTX362*DTS369)+(DTX366*DTS370)+(DTX366*DTS371))/DTX363</f>
        <v>27.332989917734402</v>
      </c>
      <c r="DTY373" s="651" t="s">
        <v>1843</v>
      </c>
      <c r="DTZ373" s="627" t="s">
        <v>1844</v>
      </c>
      <c r="DUA373" s="652"/>
      <c r="DUB373" s="652"/>
      <c r="DUC373" s="652"/>
      <c r="DUD373" s="652"/>
      <c r="DUE373" s="652"/>
      <c r="DUF373" s="652"/>
      <c r="DUG373" s="652"/>
      <c r="DUH373" s="652"/>
      <c r="DUI373" s="652"/>
      <c r="DUJ373" s="652"/>
      <c r="DUK373" s="652"/>
      <c r="DUL373" s="652"/>
      <c r="DUM373" s="629">
        <v>27.33</v>
      </c>
      <c r="DUN373" s="653">
        <f>((DUN362*DUI369)+(DUN366*DUI370)+(DUN366*DUI371))/DUN363</f>
        <v>27.332989917734402</v>
      </c>
      <c r="DUO373" s="651" t="s">
        <v>1843</v>
      </c>
      <c r="DUP373" s="627" t="s">
        <v>1844</v>
      </c>
      <c r="DUQ373" s="652"/>
      <c r="DUR373" s="652"/>
      <c r="DUS373" s="652"/>
      <c r="DUT373" s="652"/>
      <c r="DUU373" s="652"/>
      <c r="DUV373" s="652"/>
      <c r="DUW373" s="652"/>
      <c r="DUX373" s="652"/>
      <c r="DUY373" s="652"/>
      <c r="DUZ373" s="652"/>
      <c r="DVA373" s="652"/>
      <c r="DVB373" s="652"/>
      <c r="DVC373" s="629">
        <v>27.33</v>
      </c>
      <c r="DVD373" s="653">
        <f>((DVD362*DUY369)+(DVD366*DUY370)+(DVD366*DUY371))/DVD363</f>
        <v>27.332989917734402</v>
      </c>
      <c r="DVE373" s="651" t="s">
        <v>1843</v>
      </c>
      <c r="DVF373" s="627" t="s">
        <v>1844</v>
      </c>
      <c r="DVG373" s="652"/>
      <c r="DVH373" s="652"/>
      <c r="DVI373" s="652"/>
      <c r="DVJ373" s="652"/>
      <c r="DVK373" s="652"/>
      <c r="DVL373" s="652"/>
      <c r="DVM373" s="652"/>
      <c r="DVN373" s="652"/>
      <c r="DVO373" s="652"/>
      <c r="DVP373" s="652"/>
      <c r="DVQ373" s="652"/>
      <c r="DVR373" s="652"/>
      <c r="DVS373" s="629">
        <v>27.33</v>
      </c>
      <c r="DVT373" s="653">
        <f>((DVT362*DVO369)+(DVT366*DVO370)+(DVT366*DVO371))/DVT363</f>
        <v>27.332989917734402</v>
      </c>
      <c r="DVU373" s="651" t="s">
        <v>1843</v>
      </c>
      <c r="DVV373" s="627" t="s">
        <v>1844</v>
      </c>
      <c r="DVW373" s="652"/>
      <c r="DVX373" s="652"/>
      <c r="DVY373" s="652"/>
      <c r="DVZ373" s="652"/>
      <c r="DWA373" s="652"/>
      <c r="DWB373" s="652"/>
      <c r="DWC373" s="652"/>
      <c r="DWD373" s="652"/>
      <c r="DWE373" s="652"/>
      <c r="DWF373" s="652"/>
      <c r="DWG373" s="652"/>
      <c r="DWH373" s="652"/>
      <c r="DWI373" s="629">
        <v>27.33</v>
      </c>
      <c r="DWJ373" s="653">
        <f>((DWJ362*DWE369)+(DWJ366*DWE370)+(DWJ366*DWE371))/DWJ363</f>
        <v>27.332989917734402</v>
      </c>
      <c r="DWK373" s="651" t="s">
        <v>1843</v>
      </c>
      <c r="DWL373" s="627" t="s">
        <v>1844</v>
      </c>
      <c r="DWM373" s="652"/>
      <c r="DWN373" s="652"/>
      <c r="DWO373" s="652"/>
      <c r="DWP373" s="652"/>
      <c r="DWQ373" s="652"/>
      <c r="DWR373" s="652"/>
      <c r="DWS373" s="652"/>
      <c r="DWT373" s="652"/>
      <c r="DWU373" s="652"/>
      <c r="DWV373" s="652"/>
      <c r="DWW373" s="652"/>
      <c r="DWX373" s="652"/>
      <c r="DWY373" s="629">
        <v>27.33</v>
      </c>
      <c r="DWZ373" s="653">
        <f>((DWZ362*DWU369)+(DWZ366*DWU370)+(DWZ366*DWU371))/DWZ363</f>
        <v>27.332989917734402</v>
      </c>
      <c r="DXA373" s="651" t="s">
        <v>1843</v>
      </c>
      <c r="DXB373" s="627" t="s">
        <v>1844</v>
      </c>
      <c r="DXC373" s="652"/>
      <c r="DXD373" s="652"/>
      <c r="DXE373" s="652"/>
      <c r="DXF373" s="652"/>
      <c r="DXG373" s="652"/>
      <c r="DXH373" s="652"/>
      <c r="DXI373" s="652"/>
      <c r="DXJ373" s="652"/>
      <c r="DXK373" s="652"/>
      <c r="DXL373" s="652"/>
      <c r="DXM373" s="652"/>
      <c r="DXN373" s="652"/>
      <c r="DXO373" s="629">
        <v>27.33</v>
      </c>
      <c r="DXP373" s="653">
        <f>((DXP362*DXK369)+(DXP366*DXK370)+(DXP366*DXK371))/DXP363</f>
        <v>27.332989917734402</v>
      </c>
      <c r="DXQ373" s="651" t="s">
        <v>1843</v>
      </c>
      <c r="DXR373" s="627" t="s">
        <v>1844</v>
      </c>
      <c r="DXS373" s="652"/>
      <c r="DXT373" s="652"/>
      <c r="DXU373" s="652"/>
      <c r="DXV373" s="652"/>
      <c r="DXW373" s="652"/>
      <c r="DXX373" s="652"/>
      <c r="DXY373" s="652"/>
      <c r="DXZ373" s="652"/>
      <c r="DYA373" s="652"/>
      <c r="DYB373" s="652"/>
      <c r="DYC373" s="652"/>
      <c r="DYD373" s="652"/>
      <c r="DYE373" s="629">
        <v>27.33</v>
      </c>
      <c r="DYF373" s="653">
        <f>((DYF362*DYA369)+(DYF366*DYA370)+(DYF366*DYA371))/DYF363</f>
        <v>27.332989917734402</v>
      </c>
      <c r="DYG373" s="651" t="s">
        <v>1843</v>
      </c>
      <c r="DYH373" s="627" t="s">
        <v>1844</v>
      </c>
      <c r="DYI373" s="652"/>
      <c r="DYJ373" s="652"/>
      <c r="DYK373" s="652"/>
      <c r="DYL373" s="652"/>
      <c r="DYM373" s="652"/>
      <c r="DYN373" s="652"/>
      <c r="DYO373" s="652"/>
      <c r="DYP373" s="652"/>
      <c r="DYQ373" s="652"/>
      <c r="DYR373" s="652"/>
      <c r="DYS373" s="652"/>
      <c r="DYT373" s="652"/>
      <c r="DYU373" s="629">
        <v>27.33</v>
      </c>
      <c r="DYV373" s="653">
        <f>((DYV362*DYQ369)+(DYV366*DYQ370)+(DYV366*DYQ371))/DYV363</f>
        <v>27.332989917734402</v>
      </c>
      <c r="DYW373" s="651" t="s">
        <v>1843</v>
      </c>
      <c r="DYX373" s="627" t="s">
        <v>1844</v>
      </c>
      <c r="DYY373" s="652"/>
      <c r="DYZ373" s="652"/>
      <c r="DZA373" s="652"/>
      <c r="DZB373" s="652"/>
      <c r="DZC373" s="652"/>
      <c r="DZD373" s="652"/>
      <c r="DZE373" s="652"/>
      <c r="DZF373" s="652"/>
      <c r="DZG373" s="652"/>
      <c r="DZH373" s="652"/>
      <c r="DZI373" s="652"/>
      <c r="DZJ373" s="652"/>
      <c r="DZK373" s="629">
        <v>27.33</v>
      </c>
      <c r="DZL373" s="653">
        <f>((DZL362*DZG369)+(DZL366*DZG370)+(DZL366*DZG371))/DZL363</f>
        <v>27.332989917734402</v>
      </c>
      <c r="DZM373" s="651" t="s">
        <v>1843</v>
      </c>
      <c r="DZN373" s="627" t="s">
        <v>1844</v>
      </c>
      <c r="DZO373" s="652"/>
      <c r="DZP373" s="652"/>
      <c r="DZQ373" s="652"/>
      <c r="DZR373" s="652"/>
      <c r="DZS373" s="652"/>
      <c r="DZT373" s="652"/>
      <c r="DZU373" s="652"/>
      <c r="DZV373" s="652"/>
      <c r="DZW373" s="652"/>
      <c r="DZX373" s="652"/>
      <c r="DZY373" s="652"/>
      <c r="DZZ373" s="652"/>
      <c r="EAA373" s="629">
        <v>27.33</v>
      </c>
      <c r="EAB373" s="653">
        <f>((EAB362*DZW369)+(EAB366*DZW370)+(EAB366*DZW371))/EAB363</f>
        <v>27.332989917734402</v>
      </c>
      <c r="EAC373" s="651" t="s">
        <v>1843</v>
      </c>
      <c r="EAD373" s="627" t="s">
        <v>1844</v>
      </c>
      <c r="EAE373" s="652"/>
      <c r="EAF373" s="652"/>
      <c r="EAG373" s="652"/>
      <c r="EAH373" s="652"/>
      <c r="EAI373" s="652"/>
      <c r="EAJ373" s="652"/>
      <c r="EAK373" s="652"/>
      <c r="EAL373" s="652"/>
      <c r="EAM373" s="652"/>
      <c r="EAN373" s="652"/>
      <c r="EAO373" s="652"/>
      <c r="EAP373" s="652"/>
      <c r="EAQ373" s="629">
        <v>27.33</v>
      </c>
      <c r="EAR373" s="653">
        <f>((EAR362*EAM369)+(EAR366*EAM370)+(EAR366*EAM371))/EAR363</f>
        <v>27.332989917734402</v>
      </c>
      <c r="EAS373" s="651" t="s">
        <v>1843</v>
      </c>
      <c r="EAT373" s="627" t="s">
        <v>1844</v>
      </c>
      <c r="EAU373" s="652"/>
      <c r="EAV373" s="652"/>
      <c r="EAW373" s="652"/>
      <c r="EAX373" s="652"/>
      <c r="EAY373" s="652"/>
      <c r="EAZ373" s="652"/>
      <c r="EBA373" s="652"/>
      <c r="EBB373" s="652"/>
      <c r="EBC373" s="652"/>
      <c r="EBD373" s="652"/>
      <c r="EBE373" s="652"/>
      <c r="EBF373" s="652"/>
      <c r="EBG373" s="629">
        <v>27.33</v>
      </c>
      <c r="EBH373" s="653">
        <f>((EBH362*EBC369)+(EBH366*EBC370)+(EBH366*EBC371))/EBH363</f>
        <v>27.332989917734402</v>
      </c>
      <c r="EBI373" s="651" t="s">
        <v>1843</v>
      </c>
      <c r="EBJ373" s="627" t="s">
        <v>1844</v>
      </c>
      <c r="EBK373" s="652"/>
      <c r="EBL373" s="652"/>
      <c r="EBM373" s="652"/>
      <c r="EBN373" s="652"/>
      <c r="EBO373" s="652"/>
      <c r="EBP373" s="652"/>
      <c r="EBQ373" s="652"/>
      <c r="EBR373" s="652"/>
      <c r="EBS373" s="652"/>
      <c r="EBT373" s="652"/>
      <c r="EBU373" s="652"/>
      <c r="EBV373" s="652"/>
      <c r="EBW373" s="629">
        <v>27.33</v>
      </c>
      <c r="EBX373" s="653">
        <f>((EBX362*EBS369)+(EBX366*EBS370)+(EBX366*EBS371))/EBX363</f>
        <v>27.332989917734402</v>
      </c>
      <c r="EBY373" s="651" t="s">
        <v>1843</v>
      </c>
      <c r="EBZ373" s="627" t="s">
        <v>1844</v>
      </c>
      <c r="ECA373" s="652"/>
      <c r="ECB373" s="652"/>
      <c r="ECC373" s="652"/>
      <c r="ECD373" s="652"/>
      <c r="ECE373" s="652"/>
      <c r="ECF373" s="652"/>
      <c r="ECG373" s="652"/>
      <c r="ECH373" s="652"/>
      <c r="ECI373" s="652"/>
      <c r="ECJ373" s="652"/>
      <c r="ECK373" s="652"/>
      <c r="ECL373" s="652"/>
      <c r="ECM373" s="629">
        <v>27.33</v>
      </c>
      <c r="ECN373" s="653">
        <f>((ECN362*ECI369)+(ECN366*ECI370)+(ECN366*ECI371))/ECN363</f>
        <v>27.332989917734402</v>
      </c>
      <c r="ECO373" s="651" t="s">
        <v>1843</v>
      </c>
      <c r="ECP373" s="627" t="s">
        <v>1844</v>
      </c>
      <c r="ECQ373" s="652"/>
      <c r="ECR373" s="652"/>
      <c r="ECS373" s="652"/>
      <c r="ECT373" s="652"/>
      <c r="ECU373" s="652"/>
      <c r="ECV373" s="652"/>
      <c r="ECW373" s="652"/>
      <c r="ECX373" s="652"/>
      <c r="ECY373" s="652"/>
      <c r="ECZ373" s="652"/>
      <c r="EDA373" s="652"/>
      <c r="EDB373" s="652"/>
      <c r="EDC373" s="629">
        <v>27.33</v>
      </c>
      <c r="EDD373" s="653">
        <f>((EDD362*ECY369)+(EDD366*ECY370)+(EDD366*ECY371))/EDD363</f>
        <v>27.332989917734402</v>
      </c>
      <c r="EDE373" s="651" t="s">
        <v>1843</v>
      </c>
      <c r="EDF373" s="627" t="s">
        <v>1844</v>
      </c>
      <c r="EDG373" s="652"/>
      <c r="EDH373" s="652"/>
      <c r="EDI373" s="652"/>
      <c r="EDJ373" s="652"/>
      <c r="EDK373" s="652"/>
      <c r="EDL373" s="652"/>
      <c r="EDM373" s="652"/>
      <c r="EDN373" s="652"/>
      <c r="EDO373" s="652"/>
      <c r="EDP373" s="652"/>
      <c r="EDQ373" s="652"/>
      <c r="EDR373" s="652"/>
      <c r="EDS373" s="629">
        <v>27.33</v>
      </c>
      <c r="EDT373" s="653">
        <f>((EDT362*EDO369)+(EDT366*EDO370)+(EDT366*EDO371))/EDT363</f>
        <v>27.332989917734402</v>
      </c>
      <c r="EDU373" s="651" t="s">
        <v>1843</v>
      </c>
      <c r="EDV373" s="627" t="s">
        <v>1844</v>
      </c>
      <c r="EDW373" s="652"/>
      <c r="EDX373" s="652"/>
      <c r="EDY373" s="652"/>
      <c r="EDZ373" s="652"/>
      <c r="EEA373" s="652"/>
      <c r="EEB373" s="652"/>
      <c r="EEC373" s="652"/>
      <c r="EED373" s="652"/>
      <c r="EEE373" s="652"/>
      <c r="EEF373" s="652"/>
      <c r="EEG373" s="652"/>
      <c r="EEH373" s="652"/>
      <c r="EEI373" s="629">
        <v>27.33</v>
      </c>
      <c r="EEJ373" s="653">
        <f>((EEJ362*EEE369)+(EEJ366*EEE370)+(EEJ366*EEE371))/EEJ363</f>
        <v>27.332989917734402</v>
      </c>
      <c r="EEK373" s="651" t="s">
        <v>1843</v>
      </c>
      <c r="EEL373" s="627" t="s">
        <v>1844</v>
      </c>
      <c r="EEM373" s="652"/>
      <c r="EEN373" s="652"/>
      <c r="EEO373" s="652"/>
      <c r="EEP373" s="652"/>
      <c r="EEQ373" s="652"/>
      <c r="EER373" s="652"/>
      <c r="EES373" s="652"/>
      <c r="EET373" s="652"/>
      <c r="EEU373" s="652"/>
      <c r="EEV373" s="652"/>
      <c r="EEW373" s="652"/>
      <c r="EEX373" s="652"/>
      <c r="EEY373" s="629">
        <v>27.33</v>
      </c>
      <c r="EEZ373" s="653">
        <f>((EEZ362*EEU369)+(EEZ366*EEU370)+(EEZ366*EEU371))/EEZ363</f>
        <v>27.332989917734402</v>
      </c>
      <c r="EFA373" s="651" t="s">
        <v>1843</v>
      </c>
      <c r="EFB373" s="627" t="s">
        <v>1844</v>
      </c>
      <c r="EFC373" s="652"/>
      <c r="EFD373" s="652"/>
      <c r="EFE373" s="652"/>
      <c r="EFF373" s="652"/>
      <c r="EFG373" s="652"/>
      <c r="EFH373" s="652"/>
      <c r="EFI373" s="652"/>
      <c r="EFJ373" s="652"/>
      <c r="EFK373" s="652"/>
      <c r="EFL373" s="652"/>
      <c r="EFM373" s="652"/>
      <c r="EFN373" s="652"/>
      <c r="EFO373" s="629">
        <v>27.33</v>
      </c>
      <c r="EFP373" s="653">
        <f>((EFP362*EFK369)+(EFP366*EFK370)+(EFP366*EFK371))/EFP363</f>
        <v>27.332989917734402</v>
      </c>
      <c r="EFQ373" s="651" t="s">
        <v>1843</v>
      </c>
      <c r="EFR373" s="627" t="s">
        <v>1844</v>
      </c>
      <c r="EFS373" s="652"/>
      <c r="EFT373" s="652"/>
      <c r="EFU373" s="652"/>
      <c r="EFV373" s="652"/>
      <c r="EFW373" s="652"/>
      <c r="EFX373" s="652"/>
      <c r="EFY373" s="652"/>
      <c r="EFZ373" s="652"/>
      <c r="EGA373" s="652"/>
      <c r="EGB373" s="652"/>
      <c r="EGC373" s="652"/>
      <c r="EGD373" s="652"/>
      <c r="EGE373" s="629">
        <v>27.33</v>
      </c>
      <c r="EGF373" s="653">
        <f>((EGF362*EGA369)+(EGF366*EGA370)+(EGF366*EGA371))/EGF363</f>
        <v>27.332989917734402</v>
      </c>
      <c r="EGG373" s="651" t="s">
        <v>1843</v>
      </c>
      <c r="EGH373" s="627" t="s">
        <v>1844</v>
      </c>
      <c r="EGI373" s="652"/>
      <c r="EGJ373" s="652"/>
      <c r="EGK373" s="652"/>
      <c r="EGL373" s="652"/>
      <c r="EGM373" s="652"/>
      <c r="EGN373" s="652"/>
      <c r="EGO373" s="652"/>
      <c r="EGP373" s="652"/>
      <c r="EGQ373" s="652"/>
      <c r="EGR373" s="652"/>
      <c r="EGS373" s="652"/>
      <c r="EGT373" s="652"/>
      <c r="EGU373" s="629">
        <v>27.33</v>
      </c>
      <c r="EGV373" s="653">
        <f>((EGV362*EGQ369)+(EGV366*EGQ370)+(EGV366*EGQ371))/EGV363</f>
        <v>27.332989917734402</v>
      </c>
      <c r="EGW373" s="651" t="s">
        <v>1843</v>
      </c>
      <c r="EGX373" s="627" t="s">
        <v>1844</v>
      </c>
      <c r="EGY373" s="652"/>
      <c r="EGZ373" s="652"/>
      <c r="EHA373" s="652"/>
      <c r="EHB373" s="652"/>
      <c r="EHC373" s="652"/>
      <c r="EHD373" s="652"/>
      <c r="EHE373" s="652"/>
      <c r="EHF373" s="652"/>
      <c r="EHG373" s="652"/>
      <c r="EHH373" s="652"/>
      <c r="EHI373" s="652"/>
      <c r="EHJ373" s="652"/>
      <c r="EHK373" s="629">
        <v>27.33</v>
      </c>
      <c r="EHL373" s="653">
        <f>((EHL362*EHG369)+(EHL366*EHG370)+(EHL366*EHG371))/EHL363</f>
        <v>27.332989917734402</v>
      </c>
      <c r="EHM373" s="651" t="s">
        <v>1843</v>
      </c>
      <c r="EHN373" s="627" t="s">
        <v>1844</v>
      </c>
      <c r="EHO373" s="652"/>
      <c r="EHP373" s="652"/>
      <c r="EHQ373" s="652"/>
      <c r="EHR373" s="652"/>
      <c r="EHS373" s="652"/>
      <c r="EHT373" s="652"/>
      <c r="EHU373" s="652"/>
      <c r="EHV373" s="652"/>
      <c r="EHW373" s="652"/>
      <c r="EHX373" s="652"/>
      <c r="EHY373" s="652"/>
      <c r="EHZ373" s="652"/>
      <c r="EIA373" s="629">
        <v>27.33</v>
      </c>
      <c r="EIB373" s="653">
        <f>((EIB362*EHW369)+(EIB366*EHW370)+(EIB366*EHW371))/EIB363</f>
        <v>27.332989917734402</v>
      </c>
      <c r="EIC373" s="651" t="s">
        <v>1843</v>
      </c>
      <c r="EID373" s="627" t="s">
        <v>1844</v>
      </c>
      <c r="EIE373" s="652"/>
      <c r="EIF373" s="652"/>
      <c r="EIG373" s="652"/>
      <c r="EIH373" s="652"/>
      <c r="EII373" s="652"/>
      <c r="EIJ373" s="652"/>
      <c r="EIK373" s="652"/>
      <c r="EIL373" s="652"/>
      <c r="EIM373" s="652"/>
      <c r="EIN373" s="652"/>
      <c r="EIO373" s="652"/>
      <c r="EIP373" s="652"/>
      <c r="EIQ373" s="629">
        <v>27.33</v>
      </c>
      <c r="EIR373" s="653">
        <f>((EIR362*EIM369)+(EIR366*EIM370)+(EIR366*EIM371))/EIR363</f>
        <v>27.332989917734402</v>
      </c>
      <c r="EIS373" s="651" t="s">
        <v>1843</v>
      </c>
      <c r="EIT373" s="627" t="s">
        <v>1844</v>
      </c>
      <c r="EIU373" s="652"/>
      <c r="EIV373" s="652"/>
      <c r="EIW373" s="652"/>
      <c r="EIX373" s="652"/>
      <c r="EIY373" s="652"/>
      <c r="EIZ373" s="652"/>
      <c r="EJA373" s="652"/>
      <c r="EJB373" s="652"/>
      <c r="EJC373" s="652"/>
      <c r="EJD373" s="652"/>
      <c r="EJE373" s="652"/>
      <c r="EJF373" s="652"/>
      <c r="EJG373" s="629">
        <v>27.33</v>
      </c>
      <c r="EJH373" s="653">
        <f>((EJH362*EJC369)+(EJH366*EJC370)+(EJH366*EJC371))/EJH363</f>
        <v>27.332989917734402</v>
      </c>
      <c r="EJI373" s="651" t="s">
        <v>1843</v>
      </c>
      <c r="EJJ373" s="627" t="s">
        <v>1844</v>
      </c>
      <c r="EJK373" s="652"/>
      <c r="EJL373" s="652"/>
      <c r="EJM373" s="652"/>
      <c r="EJN373" s="652"/>
      <c r="EJO373" s="652"/>
      <c r="EJP373" s="652"/>
      <c r="EJQ373" s="652"/>
      <c r="EJR373" s="652"/>
      <c r="EJS373" s="652"/>
      <c r="EJT373" s="652"/>
      <c r="EJU373" s="652"/>
      <c r="EJV373" s="652"/>
      <c r="EJW373" s="629">
        <v>27.33</v>
      </c>
      <c r="EJX373" s="653">
        <f>((EJX362*EJS369)+(EJX366*EJS370)+(EJX366*EJS371))/EJX363</f>
        <v>27.332989917734402</v>
      </c>
      <c r="EJY373" s="651" t="s">
        <v>1843</v>
      </c>
      <c r="EJZ373" s="627" t="s">
        <v>1844</v>
      </c>
      <c r="EKA373" s="652"/>
      <c r="EKB373" s="652"/>
      <c r="EKC373" s="652"/>
      <c r="EKD373" s="652"/>
      <c r="EKE373" s="652"/>
      <c r="EKF373" s="652"/>
      <c r="EKG373" s="652"/>
      <c r="EKH373" s="652"/>
      <c r="EKI373" s="652"/>
      <c r="EKJ373" s="652"/>
      <c r="EKK373" s="652"/>
      <c r="EKL373" s="652"/>
      <c r="EKM373" s="629">
        <v>27.33</v>
      </c>
      <c r="EKN373" s="653">
        <f>((EKN362*EKI369)+(EKN366*EKI370)+(EKN366*EKI371))/EKN363</f>
        <v>27.332989917734402</v>
      </c>
      <c r="EKO373" s="651" t="s">
        <v>1843</v>
      </c>
      <c r="EKP373" s="627" t="s">
        <v>1844</v>
      </c>
      <c r="EKQ373" s="652"/>
      <c r="EKR373" s="652"/>
      <c r="EKS373" s="652"/>
      <c r="EKT373" s="652"/>
      <c r="EKU373" s="652"/>
      <c r="EKV373" s="652"/>
      <c r="EKW373" s="652"/>
      <c r="EKX373" s="652"/>
      <c r="EKY373" s="652"/>
      <c r="EKZ373" s="652"/>
      <c r="ELA373" s="652"/>
      <c r="ELB373" s="652"/>
      <c r="ELC373" s="629">
        <v>27.33</v>
      </c>
      <c r="ELD373" s="653">
        <f>((ELD362*EKY369)+(ELD366*EKY370)+(ELD366*EKY371))/ELD363</f>
        <v>27.332989917734402</v>
      </c>
      <c r="ELE373" s="651" t="s">
        <v>1843</v>
      </c>
      <c r="ELF373" s="627" t="s">
        <v>1844</v>
      </c>
      <c r="ELG373" s="652"/>
      <c r="ELH373" s="652"/>
      <c r="ELI373" s="652"/>
      <c r="ELJ373" s="652"/>
      <c r="ELK373" s="652"/>
      <c r="ELL373" s="652"/>
      <c r="ELM373" s="652"/>
      <c r="ELN373" s="652"/>
      <c r="ELO373" s="652"/>
      <c r="ELP373" s="652"/>
      <c r="ELQ373" s="652"/>
      <c r="ELR373" s="652"/>
      <c r="ELS373" s="629">
        <v>27.33</v>
      </c>
      <c r="ELT373" s="653">
        <f>((ELT362*ELO369)+(ELT366*ELO370)+(ELT366*ELO371))/ELT363</f>
        <v>27.332989917734402</v>
      </c>
      <c r="ELU373" s="651" t="s">
        <v>1843</v>
      </c>
      <c r="ELV373" s="627" t="s">
        <v>1844</v>
      </c>
      <c r="ELW373" s="652"/>
      <c r="ELX373" s="652"/>
      <c r="ELY373" s="652"/>
      <c r="ELZ373" s="652"/>
      <c r="EMA373" s="652"/>
      <c r="EMB373" s="652"/>
      <c r="EMC373" s="652"/>
      <c r="EMD373" s="652"/>
      <c r="EME373" s="652"/>
      <c r="EMF373" s="652"/>
      <c r="EMG373" s="652"/>
      <c r="EMH373" s="652"/>
      <c r="EMI373" s="629">
        <v>27.33</v>
      </c>
      <c r="EMJ373" s="653">
        <f>((EMJ362*EME369)+(EMJ366*EME370)+(EMJ366*EME371))/EMJ363</f>
        <v>27.332989917734402</v>
      </c>
      <c r="EMK373" s="651" t="s">
        <v>1843</v>
      </c>
      <c r="EML373" s="627" t="s">
        <v>1844</v>
      </c>
      <c r="EMM373" s="652"/>
      <c r="EMN373" s="652"/>
      <c r="EMO373" s="652"/>
      <c r="EMP373" s="652"/>
      <c r="EMQ373" s="652"/>
      <c r="EMR373" s="652"/>
      <c r="EMS373" s="652"/>
      <c r="EMT373" s="652"/>
      <c r="EMU373" s="652"/>
      <c r="EMV373" s="652"/>
      <c r="EMW373" s="652"/>
      <c r="EMX373" s="652"/>
      <c r="EMY373" s="629">
        <v>27.33</v>
      </c>
      <c r="EMZ373" s="653">
        <f>((EMZ362*EMU369)+(EMZ366*EMU370)+(EMZ366*EMU371))/EMZ363</f>
        <v>27.332989917734402</v>
      </c>
      <c r="ENA373" s="651" t="s">
        <v>1843</v>
      </c>
      <c r="ENB373" s="627" t="s">
        <v>1844</v>
      </c>
      <c r="ENC373" s="652"/>
      <c r="END373" s="652"/>
      <c r="ENE373" s="652"/>
      <c r="ENF373" s="652"/>
      <c r="ENG373" s="652"/>
      <c r="ENH373" s="652"/>
      <c r="ENI373" s="652"/>
      <c r="ENJ373" s="652"/>
      <c r="ENK373" s="652"/>
      <c r="ENL373" s="652"/>
      <c r="ENM373" s="652"/>
      <c r="ENN373" s="652"/>
      <c r="ENO373" s="629">
        <v>27.33</v>
      </c>
      <c r="ENP373" s="653">
        <f>((ENP362*ENK369)+(ENP366*ENK370)+(ENP366*ENK371))/ENP363</f>
        <v>27.332989917734402</v>
      </c>
      <c r="ENQ373" s="651" t="s">
        <v>1843</v>
      </c>
      <c r="ENR373" s="627" t="s">
        <v>1844</v>
      </c>
      <c r="ENS373" s="652"/>
      <c r="ENT373" s="652"/>
      <c r="ENU373" s="652"/>
      <c r="ENV373" s="652"/>
      <c r="ENW373" s="652"/>
      <c r="ENX373" s="652"/>
      <c r="ENY373" s="652"/>
      <c r="ENZ373" s="652"/>
      <c r="EOA373" s="652"/>
      <c r="EOB373" s="652"/>
      <c r="EOC373" s="652"/>
      <c r="EOD373" s="652"/>
      <c r="EOE373" s="629">
        <v>27.33</v>
      </c>
      <c r="EOF373" s="653">
        <f>((EOF362*EOA369)+(EOF366*EOA370)+(EOF366*EOA371))/EOF363</f>
        <v>27.332989917734402</v>
      </c>
      <c r="EOG373" s="651" t="s">
        <v>1843</v>
      </c>
      <c r="EOH373" s="627" t="s">
        <v>1844</v>
      </c>
      <c r="EOI373" s="652"/>
      <c r="EOJ373" s="652"/>
      <c r="EOK373" s="652"/>
      <c r="EOL373" s="652"/>
      <c r="EOM373" s="652"/>
      <c r="EON373" s="652"/>
      <c r="EOO373" s="652"/>
      <c r="EOP373" s="652"/>
      <c r="EOQ373" s="652"/>
      <c r="EOR373" s="652"/>
      <c r="EOS373" s="652"/>
      <c r="EOT373" s="652"/>
      <c r="EOU373" s="629">
        <v>27.33</v>
      </c>
      <c r="EOV373" s="653">
        <f>((EOV362*EOQ369)+(EOV366*EOQ370)+(EOV366*EOQ371))/EOV363</f>
        <v>27.332989917734402</v>
      </c>
      <c r="EOW373" s="651" t="s">
        <v>1843</v>
      </c>
      <c r="EOX373" s="627" t="s">
        <v>1844</v>
      </c>
      <c r="EOY373" s="652"/>
      <c r="EOZ373" s="652"/>
      <c r="EPA373" s="652"/>
      <c r="EPB373" s="652"/>
      <c r="EPC373" s="652"/>
      <c r="EPD373" s="652"/>
      <c r="EPE373" s="652"/>
      <c r="EPF373" s="652"/>
      <c r="EPG373" s="652"/>
      <c r="EPH373" s="652"/>
      <c r="EPI373" s="652"/>
      <c r="EPJ373" s="652"/>
      <c r="EPK373" s="629">
        <v>27.33</v>
      </c>
      <c r="EPL373" s="653">
        <f>((EPL362*EPG369)+(EPL366*EPG370)+(EPL366*EPG371))/EPL363</f>
        <v>27.332989917734402</v>
      </c>
      <c r="EPM373" s="651" t="s">
        <v>1843</v>
      </c>
      <c r="EPN373" s="627" t="s">
        <v>1844</v>
      </c>
      <c r="EPO373" s="652"/>
      <c r="EPP373" s="652"/>
      <c r="EPQ373" s="652"/>
      <c r="EPR373" s="652"/>
      <c r="EPS373" s="652"/>
      <c r="EPT373" s="652"/>
      <c r="EPU373" s="652"/>
      <c r="EPV373" s="652"/>
      <c r="EPW373" s="652"/>
      <c r="EPX373" s="652"/>
      <c r="EPY373" s="652"/>
      <c r="EPZ373" s="652"/>
      <c r="EQA373" s="629">
        <v>27.33</v>
      </c>
      <c r="EQB373" s="653">
        <f>((EQB362*EPW369)+(EQB366*EPW370)+(EQB366*EPW371))/EQB363</f>
        <v>27.332989917734402</v>
      </c>
      <c r="EQC373" s="651" t="s">
        <v>1843</v>
      </c>
      <c r="EQD373" s="627" t="s">
        <v>1844</v>
      </c>
      <c r="EQE373" s="652"/>
      <c r="EQF373" s="652"/>
      <c r="EQG373" s="652"/>
      <c r="EQH373" s="652"/>
      <c r="EQI373" s="652"/>
      <c r="EQJ373" s="652"/>
      <c r="EQK373" s="652"/>
      <c r="EQL373" s="652"/>
      <c r="EQM373" s="652"/>
      <c r="EQN373" s="652"/>
      <c r="EQO373" s="652"/>
      <c r="EQP373" s="652"/>
      <c r="EQQ373" s="629">
        <v>27.33</v>
      </c>
      <c r="EQR373" s="653">
        <f>((EQR362*EQM369)+(EQR366*EQM370)+(EQR366*EQM371))/EQR363</f>
        <v>27.332989917734402</v>
      </c>
      <c r="EQS373" s="651" t="s">
        <v>1843</v>
      </c>
      <c r="EQT373" s="627" t="s">
        <v>1844</v>
      </c>
      <c r="EQU373" s="652"/>
      <c r="EQV373" s="652"/>
      <c r="EQW373" s="652"/>
      <c r="EQX373" s="652"/>
      <c r="EQY373" s="652"/>
      <c r="EQZ373" s="652"/>
      <c r="ERA373" s="652"/>
      <c r="ERB373" s="652"/>
      <c r="ERC373" s="652"/>
      <c r="ERD373" s="652"/>
      <c r="ERE373" s="652"/>
      <c r="ERF373" s="652"/>
      <c r="ERG373" s="629">
        <v>27.33</v>
      </c>
      <c r="ERH373" s="653">
        <f>((ERH362*ERC369)+(ERH366*ERC370)+(ERH366*ERC371))/ERH363</f>
        <v>27.332989917734402</v>
      </c>
      <c r="ERI373" s="651" t="s">
        <v>1843</v>
      </c>
      <c r="ERJ373" s="627" t="s">
        <v>1844</v>
      </c>
      <c r="ERK373" s="652"/>
      <c r="ERL373" s="652"/>
      <c r="ERM373" s="652"/>
      <c r="ERN373" s="652"/>
      <c r="ERO373" s="652"/>
      <c r="ERP373" s="652"/>
      <c r="ERQ373" s="652"/>
      <c r="ERR373" s="652"/>
      <c r="ERS373" s="652"/>
      <c r="ERT373" s="652"/>
      <c r="ERU373" s="652"/>
      <c r="ERV373" s="652"/>
      <c r="ERW373" s="629">
        <v>27.33</v>
      </c>
      <c r="ERX373" s="653">
        <f>((ERX362*ERS369)+(ERX366*ERS370)+(ERX366*ERS371))/ERX363</f>
        <v>27.332989917734402</v>
      </c>
      <c r="ERY373" s="651" t="s">
        <v>1843</v>
      </c>
      <c r="ERZ373" s="627" t="s">
        <v>1844</v>
      </c>
      <c r="ESA373" s="652"/>
      <c r="ESB373" s="652"/>
      <c r="ESC373" s="652"/>
      <c r="ESD373" s="652"/>
      <c r="ESE373" s="652"/>
      <c r="ESF373" s="652"/>
      <c r="ESG373" s="652"/>
      <c r="ESH373" s="652"/>
      <c r="ESI373" s="652"/>
      <c r="ESJ373" s="652"/>
      <c r="ESK373" s="652"/>
      <c r="ESL373" s="652"/>
      <c r="ESM373" s="629">
        <v>27.33</v>
      </c>
      <c r="ESN373" s="653">
        <f>((ESN362*ESI369)+(ESN366*ESI370)+(ESN366*ESI371))/ESN363</f>
        <v>27.332989917734402</v>
      </c>
      <c r="ESO373" s="651" t="s">
        <v>1843</v>
      </c>
      <c r="ESP373" s="627" t="s">
        <v>1844</v>
      </c>
      <c r="ESQ373" s="652"/>
      <c r="ESR373" s="652"/>
      <c r="ESS373" s="652"/>
      <c r="EST373" s="652"/>
      <c r="ESU373" s="652"/>
      <c r="ESV373" s="652"/>
      <c r="ESW373" s="652"/>
      <c r="ESX373" s="652"/>
      <c r="ESY373" s="652"/>
      <c r="ESZ373" s="652"/>
      <c r="ETA373" s="652"/>
      <c r="ETB373" s="652"/>
      <c r="ETC373" s="629">
        <v>27.33</v>
      </c>
      <c r="ETD373" s="653">
        <f>((ETD362*ESY369)+(ETD366*ESY370)+(ETD366*ESY371))/ETD363</f>
        <v>27.332989917734402</v>
      </c>
      <c r="ETE373" s="651" t="s">
        <v>1843</v>
      </c>
      <c r="ETF373" s="627" t="s">
        <v>1844</v>
      </c>
      <c r="ETG373" s="652"/>
      <c r="ETH373" s="652"/>
      <c r="ETI373" s="652"/>
      <c r="ETJ373" s="652"/>
      <c r="ETK373" s="652"/>
      <c r="ETL373" s="652"/>
      <c r="ETM373" s="652"/>
      <c r="ETN373" s="652"/>
      <c r="ETO373" s="652"/>
      <c r="ETP373" s="652"/>
      <c r="ETQ373" s="652"/>
      <c r="ETR373" s="652"/>
      <c r="ETS373" s="629">
        <v>27.33</v>
      </c>
      <c r="ETT373" s="653">
        <f>((ETT362*ETO369)+(ETT366*ETO370)+(ETT366*ETO371))/ETT363</f>
        <v>27.332989917734402</v>
      </c>
      <c r="ETU373" s="651" t="s">
        <v>1843</v>
      </c>
      <c r="ETV373" s="627" t="s">
        <v>1844</v>
      </c>
      <c r="ETW373" s="652"/>
      <c r="ETX373" s="652"/>
      <c r="ETY373" s="652"/>
      <c r="ETZ373" s="652"/>
      <c r="EUA373" s="652"/>
      <c r="EUB373" s="652"/>
      <c r="EUC373" s="652"/>
      <c r="EUD373" s="652"/>
      <c r="EUE373" s="652"/>
      <c r="EUF373" s="652"/>
      <c r="EUG373" s="652"/>
      <c r="EUH373" s="652"/>
      <c r="EUI373" s="629">
        <v>27.33</v>
      </c>
      <c r="EUJ373" s="653">
        <f>((EUJ362*EUE369)+(EUJ366*EUE370)+(EUJ366*EUE371))/EUJ363</f>
        <v>27.332989917734402</v>
      </c>
      <c r="EUK373" s="651" t="s">
        <v>1843</v>
      </c>
      <c r="EUL373" s="627" t="s">
        <v>1844</v>
      </c>
      <c r="EUM373" s="652"/>
      <c r="EUN373" s="652"/>
      <c r="EUO373" s="652"/>
      <c r="EUP373" s="652"/>
      <c r="EUQ373" s="652"/>
      <c r="EUR373" s="652"/>
      <c r="EUS373" s="652"/>
      <c r="EUT373" s="652"/>
      <c r="EUU373" s="652"/>
      <c r="EUV373" s="652"/>
      <c r="EUW373" s="652"/>
      <c r="EUX373" s="652"/>
      <c r="EUY373" s="629">
        <v>27.33</v>
      </c>
      <c r="EUZ373" s="653">
        <f>((EUZ362*EUU369)+(EUZ366*EUU370)+(EUZ366*EUU371))/EUZ363</f>
        <v>27.332989917734402</v>
      </c>
      <c r="EVA373" s="651" t="s">
        <v>1843</v>
      </c>
      <c r="EVB373" s="627" t="s">
        <v>1844</v>
      </c>
      <c r="EVC373" s="652"/>
      <c r="EVD373" s="652"/>
      <c r="EVE373" s="652"/>
      <c r="EVF373" s="652"/>
      <c r="EVG373" s="652"/>
      <c r="EVH373" s="652"/>
      <c r="EVI373" s="652"/>
      <c r="EVJ373" s="652"/>
      <c r="EVK373" s="652"/>
      <c r="EVL373" s="652"/>
      <c r="EVM373" s="652"/>
      <c r="EVN373" s="652"/>
      <c r="EVO373" s="629">
        <v>27.33</v>
      </c>
      <c r="EVP373" s="653">
        <f>((EVP362*EVK369)+(EVP366*EVK370)+(EVP366*EVK371))/EVP363</f>
        <v>27.332989917734402</v>
      </c>
      <c r="EVQ373" s="651" t="s">
        <v>1843</v>
      </c>
      <c r="EVR373" s="627" t="s">
        <v>1844</v>
      </c>
      <c r="EVS373" s="652"/>
      <c r="EVT373" s="652"/>
      <c r="EVU373" s="652"/>
      <c r="EVV373" s="652"/>
      <c r="EVW373" s="652"/>
      <c r="EVX373" s="652"/>
      <c r="EVY373" s="652"/>
      <c r="EVZ373" s="652"/>
      <c r="EWA373" s="652"/>
      <c r="EWB373" s="652"/>
      <c r="EWC373" s="652"/>
      <c r="EWD373" s="652"/>
      <c r="EWE373" s="629">
        <v>27.33</v>
      </c>
      <c r="EWF373" s="653">
        <f>((EWF362*EWA369)+(EWF366*EWA370)+(EWF366*EWA371))/EWF363</f>
        <v>27.332989917734402</v>
      </c>
      <c r="EWG373" s="651" t="s">
        <v>1843</v>
      </c>
      <c r="EWH373" s="627" t="s">
        <v>1844</v>
      </c>
      <c r="EWI373" s="652"/>
      <c r="EWJ373" s="652"/>
      <c r="EWK373" s="652"/>
      <c r="EWL373" s="652"/>
      <c r="EWM373" s="652"/>
      <c r="EWN373" s="652"/>
      <c r="EWO373" s="652"/>
      <c r="EWP373" s="652"/>
      <c r="EWQ373" s="652"/>
      <c r="EWR373" s="652"/>
      <c r="EWS373" s="652"/>
      <c r="EWT373" s="652"/>
      <c r="EWU373" s="629">
        <v>27.33</v>
      </c>
      <c r="EWV373" s="653">
        <f>((EWV362*EWQ369)+(EWV366*EWQ370)+(EWV366*EWQ371))/EWV363</f>
        <v>27.332989917734402</v>
      </c>
      <c r="EWW373" s="651" t="s">
        <v>1843</v>
      </c>
      <c r="EWX373" s="627" t="s">
        <v>1844</v>
      </c>
      <c r="EWY373" s="652"/>
      <c r="EWZ373" s="652"/>
      <c r="EXA373" s="652"/>
      <c r="EXB373" s="652"/>
      <c r="EXC373" s="652"/>
      <c r="EXD373" s="652"/>
      <c r="EXE373" s="652"/>
      <c r="EXF373" s="652"/>
      <c r="EXG373" s="652"/>
      <c r="EXH373" s="652"/>
      <c r="EXI373" s="652"/>
      <c r="EXJ373" s="652"/>
      <c r="EXK373" s="629">
        <v>27.33</v>
      </c>
      <c r="EXL373" s="653">
        <f>((EXL362*EXG369)+(EXL366*EXG370)+(EXL366*EXG371))/EXL363</f>
        <v>27.332989917734402</v>
      </c>
      <c r="EXM373" s="651" t="s">
        <v>1843</v>
      </c>
      <c r="EXN373" s="627" t="s">
        <v>1844</v>
      </c>
      <c r="EXO373" s="652"/>
      <c r="EXP373" s="652"/>
      <c r="EXQ373" s="652"/>
      <c r="EXR373" s="652"/>
      <c r="EXS373" s="652"/>
      <c r="EXT373" s="652"/>
      <c r="EXU373" s="652"/>
      <c r="EXV373" s="652"/>
      <c r="EXW373" s="652"/>
      <c r="EXX373" s="652"/>
      <c r="EXY373" s="652"/>
      <c r="EXZ373" s="652"/>
      <c r="EYA373" s="629">
        <v>27.33</v>
      </c>
      <c r="EYB373" s="653">
        <f>((EYB362*EXW369)+(EYB366*EXW370)+(EYB366*EXW371))/EYB363</f>
        <v>27.332989917734402</v>
      </c>
      <c r="EYC373" s="651" t="s">
        <v>1843</v>
      </c>
      <c r="EYD373" s="627" t="s">
        <v>1844</v>
      </c>
      <c r="EYE373" s="652"/>
      <c r="EYF373" s="652"/>
      <c r="EYG373" s="652"/>
      <c r="EYH373" s="652"/>
      <c r="EYI373" s="652"/>
      <c r="EYJ373" s="652"/>
      <c r="EYK373" s="652"/>
      <c r="EYL373" s="652"/>
      <c r="EYM373" s="652"/>
      <c r="EYN373" s="652"/>
      <c r="EYO373" s="652"/>
      <c r="EYP373" s="652"/>
      <c r="EYQ373" s="629">
        <v>27.33</v>
      </c>
      <c r="EYR373" s="653">
        <f>((EYR362*EYM369)+(EYR366*EYM370)+(EYR366*EYM371))/EYR363</f>
        <v>27.332989917734402</v>
      </c>
      <c r="EYS373" s="651" t="s">
        <v>1843</v>
      </c>
      <c r="EYT373" s="627" t="s">
        <v>1844</v>
      </c>
      <c r="EYU373" s="652"/>
      <c r="EYV373" s="652"/>
      <c r="EYW373" s="652"/>
      <c r="EYX373" s="652"/>
      <c r="EYY373" s="652"/>
      <c r="EYZ373" s="652"/>
      <c r="EZA373" s="652"/>
      <c r="EZB373" s="652"/>
      <c r="EZC373" s="652"/>
      <c r="EZD373" s="652"/>
      <c r="EZE373" s="652"/>
      <c r="EZF373" s="652"/>
      <c r="EZG373" s="629">
        <v>27.33</v>
      </c>
      <c r="EZH373" s="653">
        <f>((EZH362*EZC369)+(EZH366*EZC370)+(EZH366*EZC371))/EZH363</f>
        <v>27.332989917734402</v>
      </c>
      <c r="EZI373" s="651" t="s">
        <v>1843</v>
      </c>
      <c r="EZJ373" s="627" t="s">
        <v>1844</v>
      </c>
      <c r="EZK373" s="652"/>
      <c r="EZL373" s="652"/>
      <c r="EZM373" s="652"/>
      <c r="EZN373" s="652"/>
      <c r="EZO373" s="652"/>
      <c r="EZP373" s="652"/>
      <c r="EZQ373" s="652"/>
      <c r="EZR373" s="652"/>
      <c r="EZS373" s="652"/>
      <c r="EZT373" s="652"/>
      <c r="EZU373" s="652"/>
      <c r="EZV373" s="652"/>
      <c r="EZW373" s="629">
        <v>27.33</v>
      </c>
      <c r="EZX373" s="653">
        <f>((EZX362*EZS369)+(EZX366*EZS370)+(EZX366*EZS371))/EZX363</f>
        <v>27.332989917734402</v>
      </c>
      <c r="EZY373" s="651" t="s">
        <v>1843</v>
      </c>
      <c r="EZZ373" s="627" t="s">
        <v>1844</v>
      </c>
      <c r="FAA373" s="652"/>
      <c r="FAB373" s="652"/>
      <c r="FAC373" s="652"/>
      <c r="FAD373" s="652"/>
      <c r="FAE373" s="652"/>
      <c r="FAF373" s="652"/>
      <c r="FAG373" s="652"/>
      <c r="FAH373" s="652"/>
      <c r="FAI373" s="652"/>
      <c r="FAJ373" s="652"/>
      <c r="FAK373" s="652"/>
      <c r="FAL373" s="652"/>
      <c r="FAM373" s="629">
        <v>27.33</v>
      </c>
      <c r="FAN373" s="653">
        <f>((FAN362*FAI369)+(FAN366*FAI370)+(FAN366*FAI371))/FAN363</f>
        <v>27.332989917734402</v>
      </c>
      <c r="FAO373" s="651" t="s">
        <v>1843</v>
      </c>
      <c r="FAP373" s="627" t="s">
        <v>1844</v>
      </c>
      <c r="FAQ373" s="652"/>
      <c r="FAR373" s="652"/>
      <c r="FAS373" s="652"/>
      <c r="FAT373" s="652"/>
      <c r="FAU373" s="652"/>
      <c r="FAV373" s="652"/>
      <c r="FAW373" s="652"/>
      <c r="FAX373" s="652"/>
      <c r="FAY373" s="652"/>
      <c r="FAZ373" s="652"/>
      <c r="FBA373" s="652"/>
      <c r="FBB373" s="652"/>
      <c r="FBC373" s="629">
        <v>27.33</v>
      </c>
      <c r="FBD373" s="653">
        <f>((FBD362*FAY369)+(FBD366*FAY370)+(FBD366*FAY371))/FBD363</f>
        <v>27.332989917734402</v>
      </c>
      <c r="FBE373" s="651" t="s">
        <v>1843</v>
      </c>
      <c r="FBF373" s="627" t="s">
        <v>1844</v>
      </c>
      <c r="FBG373" s="652"/>
      <c r="FBH373" s="652"/>
      <c r="FBI373" s="652"/>
      <c r="FBJ373" s="652"/>
      <c r="FBK373" s="652"/>
      <c r="FBL373" s="652"/>
      <c r="FBM373" s="652"/>
      <c r="FBN373" s="652"/>
      <c r="FBO373" s="652"/>
      <c r="FBP373" s="652"/>
      <c r="FBQ373" s="652"/>
      <c r="FBR373" s="652"/>
      <c r="FBS373" s="629">
        <v>27.33</v>
      </c>
      <c r="FBT373" s="653">
        <f>((FBT362*FBO369)+(FBT366*FBO370)+(FBT366*FBO371))/FBT363</f>
        <v>27.332989917734402</v>
      </c>
      <c r="FBU373" s="651" t="s">
        <v>1843</v>
      </c>
      <c r="FBV373" s="627" t="s">
        <v>1844</v>
      </c>
      <c r="FBW373" s="652"/>
      <c r="FBX373" s="652"/>
      <c r="FBY373" s="652"/>
      <c r="FBZ373" s="652"/>
      <c r="FCA373" s="652"/>
      <c r="FCB373" s="652"/>
      <c r="FCC373" s="652"/>
      <c r="FCD373" s="652"/>
      <c r="FCE373" s="652"/>
      <c r="FCF373" s="652"/>
      <c r="FCG373" s="652"/>
      <c r="FCH373" s="652"/>
      <c r="FCI373" s="629">
        <v>27.33</v>
      </c>
      <c r="FCJ373" s="653">
        <f>((FCJ362*FCE369)+(FCJ366*FCE370)+(FCJ366*FCE371))/FCJ363</f>
        <v>27.332989917734402</v>
      </c>
      <c r="FCK373" s="651" t="s">
        <v>1843</v>
      </c>
      <c r="FCL373" s="627" t="s">
        <v>1844</v>
      </c>
      <c r="FCM373" s="652"/>
      <c r="FCN373" s="652"/>
      <c r="FCO373" s="652"/>
      <c r="FCP373" s="652"/>
      <c r="FCQ373" s="652"/>
      <c r="FCR373" s="652"/>
      <c r="FCS373" s="652"/>
      <c r="FCT373" s="652"/>
      <c r="FCU373" s="652"/>
      <c r="FCV373" s="652"/>
      <c r="FCW373" s="652"/>
      <c r="FCX373" s="652"/>
      <c r="FCY373" s="629">
        <v>27.33</v>
      </c>
      <c r="FCZ373" s="653">
        <f>((FCZ362*FCU369)+(FCZ366*FCU370)+(FCZ366*FCU371))/FCZ363</f>
        <v>27.332989917734402</v>
      </c>
      <c r="FDA373" s="651" t="s">
        <v>1843</v>
      </c>
      <c r="FDB373" s="627" t="s">
        <v>1844</v>
      </c>
      <c r="FDC373" s="652"/>
      <c r="FDD373" s="652"/>
      <c r="FDE373" s="652"/>
      <c r="FDF373" s="652"/>
      <c r="FDG373" s="652"/>
      <c r="FDH373" s="652"/>
      <c r="FDI373" s="652"/>
      <c r="FDJ373" s="652"/>
      <c r="FDK373" s="652"/>
      <c r="FDL373" s="652"/>
      <c r="FDM373" s="652"/>
      <c r="FDN373" s="652"/>
      <c r="FDO373" s="629">
        <v>27.33</v>
      </c>
      <c r="FDP373" s="653">
        <f>((FDP362*FDK369)+(FDP366*FDK370)+(FDP366*FDK371))/FDP363</f>
        <v>27.332989917734402</v>
      </c>
      <c r="FDQ373" s="651" t="s">
        <v>1843</v>
      </c>
      <c r="FDR373" s="627" t="s">
        <v>1844</v>
      </c>
      <c r="FDS373" s="652"/>
      <c r="FDT373" s="652"/>
      <c r="FDU373" s="652"/>
      <c r="FDV373" s="652"/>
      <c r="FDW373" s="652"/>
      <c r="FDX373" s="652"/>
      <c r="FDY373" s="652"/>
      <c r="FDZ373" s="652"/>
      <c r="FEA373" s="652"/>
      <c r="FEB373" s="652"/>
      <c r="FEC373" s="652"/>
      <c r="FED373" s="652"/>
      <c r="FEE373" s="629">
        <v>27.33</v>
      </c>
      <c r="FEF373" s="653">
        <f>((FEF362*FEA369)+(FEF366*FEA370)+(FEF366*FEA371))/FEF363</f>
        <v>27.332989917734402</v>
      </c>
      <c r="FEG373" s="651" t="s">
        <v>1843</v>
      </c>
      <c r="FEH373" s="627" t="s">
        <v>1844</v>
      </c>
      <c r="FEI373" s="652"/>
      <c r="FEJ373" s="652"/>
      <c r="FEK373" s="652"/>
      <c r="FEL373" s="652"/>
      <c r="FEM373" s="652"/>
      <c r="FEN373" s="652"/>
      <c r="FEO373" s="652"/>
      <c r="FEP373" s="652"/>
      <c r="FEQ373" s="652"/>
      <c r="FER373" s="652"/>
      <c r="FES373" s="652"/>
      <c r="FET373" s="652"/>
      <c r="FEU373" s="629">
        <v>27.33</v>
      </c>
      <c r="FEV373" s="653">
        <f>((FEV362*FEQ369)+(FEV366*FEQ370)+(FEV366*FEQ371))/FEV363</f>
        <v>27.332989917734402</v>
      </c>
      <c r="FEW373" s="651" t="s">
        <v>1843</v>
      </c>
      <c r="FEX373" s="627" t="s">
        <v>1844</v>
      </c>
      <c r="FEY373" s="652"/>
      <c r="FEZ373" s="652"/>
      <c r="FFA373" s="652"/>
      <c r="FFB373" s="652"/>
      <c r="FFC373" s="652"/>
      <c r="FFD373" s="652"/>
      <c r="FFE373" s="652"/>
      <c r="FFF373" s="652"/>
      <c r="FFG373" s="652"/>
      <c r="FFH373" s="652"/>
      <c r="FFI373" s="652"/>
      <c r="FFJ373" s="652"/>
      <c r="FFK373" s="629">
        <v>27.33</v>
      </c>
      <c r="FFL373" s="653">
        <f>((FFL362*FFG369)+(FFL366*FFG370)+(FFL366*FFG371))/FFL363</f>
        <v>27.332989917734402</v>
      </c>
      <c r="FFM373" s="651" t="s">
        <v>1843</v>
      </c>
      <c r="FFN373" s="627" t="s">
        <v>1844</v>
      </c>
      <c r="FFO373" s="652"/>
      <c r="FFP373" s="652"/>
      <c r="FFQ373" s="652"/>
      <c r="FFR373" s="652"/>
      <c r="FFS373" s="652"/>
      <c r="FFT373" s="652"/>
      <c r="FFU373" s="652"/>
      <c r="FFV373" s="652"/>
      <c r="FFW373" s="652"/>
      <c r="FFX373" s="652"/>
      <c r="FFY373" s="652"/>
      <c r="FFZ373" s="652"/>
      <c r="FGA373" s="629">
        <v>27.33</v>
      </c>
      <c r="FGB373" s="653">
        <f>((FGB362*FFW369)+(FGB366*FFW370)+(FGB366*FFW371))/FGB363</f>
        <v>27.332989917734402</v>
      </c>
      <c r="FGC373" s="651" t="s">
        <v>1843</v>
      </c>
      <c r="FGD373" s="627" t="s">
        <v>1844</v>
      </c>
      <c r="FGE373" s="652"/>
      <c r="FGF373" s="652"/>
      <c r="FGG373" s="652"/>
      <c r="FGH373" s="652"/>
      <c r="FGI373" s="652"/>
      <c r="FGJ373" s="652"/>
      <c r="FGK373" s="652"/>
      <c r="FGL373" s="652"/>
      <c r="FGM373" s="652"/>
      <c r="FGN373" s="652"/>
      <c r="FGO373" s="652"/>
      <c r="FGP373" s="652"/>
      <c r="FGQ373" s="629">
        <v>27.33</v>
      </c>
      <c r="FGR373" s="653">
        <f>((FGR362*FGM369)+(FGR366*FGM370)+(FGR366*FGM371))/FGR363</f>
        <v>27.332989917734402</v>
      </c>
      <c r="FGS373" s="651" t="s">
        <v>1843</v>
      </c>
      <c r="FGT373" s="627" t="s">
        <v>1844</v>
      </c>
      <c r="FGU373" s="652"/>
      <c r="FGV373" s="652"/>
      <c r="FGW373" s="652"/>
      <c r="FGX373" s="652"/>
      <c r="FGY373" s="652"/>
      <c r="FGZ373" s="652"/>
      <c r="FHA373" s="652"/>
      <c r="FHB373" s="652"/>
      <c r="FHC373" s="652"/>
      <c r="FHD373" s="652"/>
      <c r="FHE373" s="652"/>
      <c r="FHF373" s="652"/>
      <c r="FHG373" s="629">
        <v>27.33</v>
      </c>
      <c r="FHH373" s="653">
        <f>((FHH362*FHC369)+(FHH366*FHC370)+(FHH366*FHC371))/FHH363</f>
        <v>27.332989917734402</v>
      </c>
      <c r="FHI373" s="651" t="s">
        <v>1843</v>
      </c>
      <c r="FHJ373" s="627" t="s">
        <v>1844</v>
      </c>
      <c r="FHK373" s="652"/>
      <c r="FHL373" s="652"/>
      <c r="FHM373" s="652"/>
      <c r="FHN373" s="652"/>
      <c r="FHO373" s="652"/>
      <c r="FHP373" s="652"/>
      <c r="FHQ373" s="652"/>
      <c r="FHR373" s="652"/>
      <c r="FHS373" s="652"/>
      <c r="FHT373" s="652"/>
      <c r="FHU373" s="652"/>
      <c r="FHV373" s="652"/>
      <c r="FHW373" s="629">
        <v>27.33</v>
      </c>
      <c r="FHX373" s="653">
        <f>((FHX362*FHS369)+(FHX366*FHS370)+(FHX366*FHS371))/FHX363</f>
        <v>27.332989917734402</v>
      </c>
      <c r="FHY373" s="651" t="s">
        <v>1843</v>
      </c>
      <c r="FHZ373" s="627" t="s">
        <v>1844</v>
      </c>
      <c r="FIA373" s="652"/>
      <c r="FIB373" s="652"/>
      <c r="FIC373" s="652"/>
      <c r="FID373" s="652"/>
      <c r="FIE373" s="652"/>
      <c r="FIF373" s="652"/>
      <c r="FIG373" s="652"/>
      <c r="FIH373" s="652"/>
      <c r="FII373" s="652"/>
      <c r="FIJ373" s="652"/>
      <c r="FIK373" s="652"/>
      <c r="FIL373" s="652"/>
      <c r="FIM373" s="629">
        <v>27.33</v>
      </c>
      <c r="FIN373" s="653">
        <f>((FIN362*FII369)+(FIN366*FII370)+(FIN366*FII371))/FIN363</f>
        <v>27.332989917734402</v>
      </c>
      <c r="FIO373" s="651" t="s">
        <v>1843</v>
      </c>
      <c r="FIP373" s="627" t="s">
        <v>1844</v>
      </c>
      <c r="FIQ373" s="652"/>
      <c r="FIR373" s="652"/>
      <c r="FIS373" s="652"/>
      <c r="FIT373" s="652"/>
      <c r="FIU373" s="652"/>
      <c r="FIV373" s="652"/>
      <c r="FIW373" s="652"/>
      <c r="FIX373" s="652"/>
      <c r="FIY373" s="652"/>
      <c r="FIZ373" s="652"/>
      <c r="FJA373" s="652"/>
      <c r="FJB373" s="652"/>
      <c r="FJC373" s="629">
        <v>27.33</v>
      </c>
      <c r="FJD373" s="653">
        <f>((FJD362*FIY369)+(FJD366*FIY370)+(FJD366*FIY371))/FJD363</f>
        <v>27.332989917734402</v>
      </c>
      <c r="FJE373" s="651" t="s">
        <v>1843</v>
      </c>
      <c r="FJF373" s="627" t="s">
        <v>1844</v>
      </c>
      <c r="FJG373" s="652"/>
      <c r="FJH373" s="652"/>
      <c r="FJI373" s="652"/>
      <c r="FJJ373" s="652"/>
      <c r="FJK373" s="652"/>
      <c r="FJL373" s="652"/>
      <c r="FJM373" s="652"/>
      <c r="FJN373" s="652"/>
      <c r="FJO373" s="652"/>
      <c r="FJP373" s="652"/>
      <c r="FJQ373" s="652"/>
      <c r="FJR373" s="652"/>
      <c r="FJS373" s="629">
        <v>27.33</v>
      </c>
      <c r="FJT373" s="653">
        <f>((FJT362*FJO369)+(FJT366*FJO370)+(FJT366*FJO371))/FJT363</f>
        <v>27.332989917734402</v>
      </c>
      <c r="FJU373" s="651" t="s">
        <v>1843</v>
      </c>
      <c r="FJV373" s="627" t="s">
        <v>1844</v>
      </c>
      <c r="FJW373" s="652"/>
      <c r="FJX373" s="652"/>
      <c r="FJY373" s="652"/>
      <c r="FJZ373" s="652"/>
      <c r="FKA373" s="652"/>
      <c r="FKB373" s="652"/>
      <c r="FKC373" s="652"/>
      <c r="FKD373" s="652"/>
      <c r="FKE373" s="652"/>
      <c r="FKF373" s="652"/>
      <c r="FKG373" s="652"/>
      <c r="FKH373" s="652"/>
      <c r="FKI373" s="629">
        <v>27.33</v>
      </c>
      <c r="FKJ373" s="653">
        <f>((FKJ362*FKE369)+(FKJ366*FKE370)+(FKJ366*FKE371))/FKJ363</f>
        <v>27.332989917734402</v>
      </c>
      <c r="FKK373" s="651" t="s">
        <v>1843</v>
      </c>
      <c r="FKL373" s="627" t="s">
        <v>1844</v>
      </c>
      <c r="FKM373" s="652"/>
      <c r="FKN373" s="652"/>
      <c r="FKO373" s="652"/>
      <c r="FKP373" s="652"/>
      <c r="FKQ373" s="652"/>
      <c r="FKR373" s="652"/>
      <c r="FKS373" s="652"/>
      <c r="FKT373" s="652"/>
      <c r="FKU373" s="652"/>
      <c r="FKV373" s="652"/>
      <c r="FKW373" s="652"/>
      <c r="FKX373" s="652"/>
      <c r="FKY373" s="629">
        <v>27.33</v>
      </c>
      <c r="FKZ373" s="653">
        <f>((FKZ362*FKU369)+(FKZ366*FKU370)+(FKZ366*FKU371))/FKZ363</f>
        <v>27.332989917734402</v>
      </c>
      <c r="FLA373" s="651" t="s">
        <v>1843</v>
      </c>
      <c r="FLB373" s="627" t="s">
        <v>1844</v>
      </c>
      <c r="FLC373" s="652"/>
      <c r="FLD373" s="652"/>
      <c r="FLE373" s="652"/>
      <c r="FLF373" s="652"/>
      <c r="FLG373" s="652"/>
      <c r="FLH373" s="652"/>
      <c r="FLI373" s="652"/>
      <c r="FLJ373" s="652"/>
      <c r="FLK373" s="652"/>
      <c r="FLL373" s="652"/>
      <c r="FLM373" s="652"/>
      <c r="FLN373" s="652"/>
      <c r="FLO373" s="629">
        <v>27.33</v>
      </c>
      <c r="FLP373" s="653">
        <f>((FLP362*FLK369)+(FLP366*FLK370)+(FLP366*FLK371))/FLP363</f>
        <v>27.332989917734402</v>
      </c>
      <c r="FLQ373" s="651" t="s">
        <v>1843</v>
      </c>
      <c r="FLR373" s="627" t="s">
        <v>1844</v>
      </c>
      <c r="FLS373" s="652"/>
      <c r="FLT373" s="652"/>
      <c r="FLU373" s="652"/>
      <c r="FLV373" s="652"/>
      <c r="FLW373" s="652"/>
      <c r="FLX373" s="652"/>
      <c r="FLY373" s="652"/>
      <c r="FLZ373" s="652"/>
      <c r="FMA373" s="652"/>
      <c r="FMB373" s="652"/>
      <c r="FMC373" s="652"/>
      <c r="FMD373" s="652"/>
      <c r="FME373" s="629">
        <v>27.33</v>
      </c>
      <c r="FMF373" s="653">
        <f>((FMF362*FMA369)+(FMF366*FMA370)+(FMF366*FMA371))/FMF363</f>
        <v>27.332989917734402</v>
      </c>
      <c r="FMG373" s="651" t="s">
        <v>1843</v>
      </c>
      <c r="FMH373" s="627" t="s">
        <v>1844</v>
      </c>
      <c r="FMI373" s="652"/>
      <c r="FMJ373" s="652"/>
      <c r="FMK373" s="652"/>
      <c r="FML373" s="652"/>
      <c r="FMM373" s="652"/>
      <c r="FMN373" s="652"/>
      <c r="FMO373" s="652"/>
      <c r="FMP373" s="652"/>
      <c r="FMQ373" s="652"/>
      <c r="FMR373" s="652"/>
      <c r="FMS373" s="652"/>
      <c r="FMT373" s="652"/>
      <c r="FMU373" s="629">
        <v>27.33</v>
      </c>
      <c r="FMV373" s="653">
        <f>((FMV362*FMQ369)+(FMV366*FMQ370)+(FMV366*FMQ371))/FMV363</f>
        <v>27.332989917734402</v>
      </c>
      <c r="FMW373" s="651" t="s">
        <v>1843</v>
      </c>
      <c r="FMX373" s="627" t="s">
        <v>1844</v>
      </c>
      <c r="FMY373" s="652"/>
      <c r="FMZ373" s="652"/>
      <c r="FNA373" s="652"/>
      <c r="FNB373" s="652"/>
      <c r="FNC373" s="652"/>
      <c r="FND373" s="652"/>
      <c r="FNE373" s="652"/>
      <c r="FNF373" s="652"/>
      <c r="FNG373" s="652"/>
      <c r="FNH373" s="652"/>
      <c r="FNI373" s="652"/>
      <c r="FNJ373" s="652"/>
      <c r="FNK373" s="629">
        <v>27.33</v>
      </c>
      <c r="FNL373" s="653">
        <f>((FNL362*FNG369)+(FNL366*FNG370)+(FNL366*FNG371))/FNL363</f>
        <v>27.332989917734402</v>
      </c>
      <c r="FNM373" s="651" t="s">
        <v>1843</v>
      </c>
      <c r="FNN373" s="627" t="s">
        <v>1844</v>
      </c>
      <c r="FNO373" s="652"/>
      <c r="FNP373" s="652"/>
      <c r="FNQ373" s="652"/>
      <c r="FNR373" s="652"/>
      <c r="FNS373" s="652"/>
      <c r="FNT373" s="652"/>
      <c r="FNU373" s="652"/>
      <c r="FNV373" s="652"/>
      <c r="FNW373" s="652"/>
      <c r="FNX373" s="652"/>
      <c r="FNY373" s="652"/>
      <c r="FNZ373" s="652"/>
      <c r="FOA373" s="629">
        <v>27.33</v>
      </c>
      <c r="FOB373" s="653">
        <f>((FOB362*FNW369)+(FOB366*FNW370)+(FOB366*FNW371))/FOB363</f>
        <v>27.332989917734402</v>
      </c>
      <c r="FOC373" s="651" t="s">
        <v>1843</v>
      </c>
      <c r="FOD373" s="627" t="s">
        <v>1844</v>
      </c>
      <c r="FOE373" s="652"/>
      <c r="FOF373" s="652"/>
      <c r="FOG373" s="652"/>
      <c r="FOH373" s="652"/>
      <c r="FOI373" s="652"/>
      <c r="FOJ373" s="652"/>
      <c r="FOK373" s="652"/>
      <c r="FOL373" s="652"/>
      <c r="FOM373" s="652"/>
      <c r="FON373" s="652"/>
      <c r="FOO373" s="652"/>
      <c r="FOP373" s="652"/>
      <c r="FOQ373" s="629">
        <v>27.33</v>
      </c>
      <c r="FOR373" s="653">
        <f>((FOR362*FOM369)+(FOR366*FOM370)+(FOR366*FOM371))/FOR363</f>
        <v>27.332989917734402</v>
      </c>
      <c r="FOS373" s="651" t="s">
        <v>1843</v>
      </c>
      <c r="FOT373" s="627" t="s">
        <v>1844</v>
      </c>
      <c r="FOU373" s="652"/>
      <c r="FOV373" s="652"/>
      <c r="FOW373" s="652"/>
      <c r="FOX373" s="652"/>
      <c r="FOY373" s="652"/>
      <c r="FOZ373" s="652"/>
      <c r="FPA373" s="652"/>
      <c r="FPB373" s="652"/>
      <c r="FPC373" s="652"/>
      <c r="FPD373" s="652"/>
      <c r="FPE373" s="652"/>
      <c r="FPF373" s="652"/>
      <c r="FPG373" s="629">
        <v>27.33</v>
      </c>
      <c r="FPH373" s="653">
        <f>((FPH362*FPC369)+(FPH366*FPC370)+(FPH366*FPC371))/FPH363</f>
        <v>27.332989917734402</v>
      </c>
      <c r="FPI373" s="651" t="s">
        <v>1843</v>
      </c>
      <c r="FPJ373" s="627" t="s">
        <v>1844</v>
      </c>
      <c r="FPK373" s="652"/>
      <c r="FPL373" s="652"/>
      <c r="FPM373" s="652"/>
      <c r="FPN373" s="652"/>
      <c r="FPO373" s="652"/>
      <c r="FPP373" s="652"/>
      <c r="FPQ373" s="652"/>
      <c r="FPR373" s="652"/>
      <c r="FPS373" s="652"/>
      <c r="FPT373" s="652"/>
      <c r="FPU373" s="652"/>
      <c r="FPV373" s="652"/>
      <c r="FPW373" s="629">
        <v>27.33</v>
      </c>
      <c r="FPX373" s="653">
        <f>((FPX362*FPS369)+(FPX366*FPS370)+(FPX366*FPS371))/FPX363</f>
        <v>27.332989917734402</v>
      </c>
      <c r="FPY373" s="651" t="s">
        <v>1843</v>
      </c>
      <c r="FPZ373" s="627" t="s">
        <v>1844</v>
      </c>
      <c r="FQA373" s="652"/>
      <c r="FQB373" s="652"/>
      <c r="FQC373" s="652"/>
      <c r="FQD373" s="652"/>
      <c r="FQE373" s="652"/>
      <c r="FQF373" s="652"/>
      <c r="FQG373" s="652"/>
      <c r="FQH373" s="652"/>
      <c r="FQI373" s="652"/>
      <c r="FQJ373" s="652"/>
      <c r="FQK373" s="652"/>
      <c r="FQL373" s="652"/>
      <c r="FQM373" s="629">
        <v>27.33</v>
      </c>
      <c r="FQN373" s="653">
        <f>((FQN362*FQI369)+(FQN366*FQI370)+(FQN366*FQI371))/FQN363</f>
        <v>27.332989917734402</v>
      </c>
      <c r="FQO373" s="651" t="s">
        <v>1843</v>
      </c>
      <c r="FQP373" s="627" t="s">
        <v>1844</v>
      </c>
      <c r="FQQ373" s="652"/>
      <c r="FQR373" s="652"/>
      <c r="FQS373" s="652"/>
      <c r="FQT373" s="652"/>
      <c r="FQU373" s="652"/>
      <c r="FQV373" s="652"/>
      <c r="FQW373" s="652"/>
      <c r="FQX373" s="652"/>
      <c r="FQY373" s="652"/>
      <c r="FQZ373" s="652"/>
      <c r="FRA373" s="652"/>
      <c r="FRB373" s="652"/>
      <c r="FRC373" s="629">
        <v>27.33</v>
      </c>
      <c r="FRD373" s="653">
        <f>((FRD362*FQY369)+(FRD366*FQY370)+(FRD366*FQY371))/FRD363</f>
        <v>27.332989917734402</v>
      </c>
      <c r="FRE373" s="651" t="s">
        <v>1843</v>
      </c>
      <c r="FRF373" s="627" t="s">
        <v>1844</v>
      </c>
      <c r="FRG373" s="652"/>
      <c r="FRH373" s="652"/>
      <c r="FRI373" s="652"/>
      <c r="FRJ373" s="652"/>
      <c r="FRK373" s="652"/>
      <c r="FRL373" s="652"/>
      <c r="FRM373" s="652"/>
      <c r="FRN373" s="652"/>
      <c r="FRO373" s="652"/>
      <c r="FRP373" s="652"/>
      <c r="FRQ373" s="652"/>
      <c r="FRR373" s="652"/>
      <c r="FRS373" s="629">
        <v>27.33</v>
      </c>
      <c r="FRT373" s="653">
        <f>((FRT362*FRO369)+(FRT366*FRO370)+(FRT366*FRO371))/FRT363</f>
        <v>27.332989917734402</v>
      </c>
      <c r="FRU373" s="651" t="s">
        <v>1843</v>
      </c>
      <c r="FRV373" s="627" t="s">
        <v>1844</v>
      </c>
      <c r="FRW373" s="652"/>
      <c r="FRX373" s="652"/>
      <c r="FRY373" s="652"/>
      <c r="FRZ373" s="652"/>
      <c r="FSA373" s="652"/>
      <c r="FSB373" s="652"/>
      <c r="FSC373" s="652"/>
      <c r="FSD373" s="652"/>
      <c r="FSE373" s="652"/>
      <c r="FSF373" s="652"/>
      <c r="FSG373" s="652"/>
      <c r="FSH373" s="652"/>
      <c r="FSI373" s="629">
        <v>27.33</v>
      </c>
      <c r="FSJ373" s="653">
        <f>((FSJ362*FSE369)+(FSJ366*FSE370)+(FSJ366*FSE371))/FSJ363</f>
        <v>27.332989917734402</v>
      </c>
      <c r="FSK373" s="651" t="s">
        <v>1843</v>
      </c>
      <c r="FSL373" s="627" t="s">
        <v>1844</v>
      </c>
      <c r="FSM373" s="652"/>
      <c r="FSN373" s="652"/>
      <c r="FSO373" s="652"/>
      <c r="FSP373" s="652"/>
      <c r="FSQ373" s="652"/>
      <c r="FSR373" s="652"/>
      <c r="FSS373" s="652"/>
      <c r="FST373" s="652"/>
      <c r="FSU373" s="652"/>
      <c r="FSV373" s="652"/>
      <c r="FSW373" s="652"/>
      <c r="FSX373" s="652"/>
      <c r="FSY373" s="629">
        <v>27.33</v>
      </c>
      <c r="FSZ373" s="653">
        <f>((FSZ362*FSU369)+(FSZ366*FSU370)+(FSZ366*FSU371))/FSZ363</f>
        <v>27.332989917734402</v>
      </c>
      <c r="FTA373" s="651" t="s">
        <v>1843</v>
      </c>
      <c r="FTB373" s="627" t="s">
        <v>1844</v>
      </c>
      <c r="FTC373" s="652"/>
      <c r="FTD373" s="652"/>
      <c r="FTE373" s="652"/>
      <c r="FTF373" s="652"/>
      <c r="FTG373" s="652"/>
      <c r="FTH373" s="652"/>
      <c r="FTI373" s="652"/>
      <c r="FTJ373" s="652"/>
      <c r="FTK373" s="652"/>
      <c r="FTL373" s="652"/>
      <c r="FTM373" s="652"/>
      <c r="FTN373" s="652"/>
      <c r="FTO373" s="629">
        <v>27.33</v>
      </c>
      <c r="FTP373" s="653">
        <f>((FTP362*FTK369)+(FTP366*FTK370)+(FTP366*FTK371))/FTP363</f>
        <v>27.332989917734402</v>
      </c>
      <c r="FTQ373" s="651" t="s">
        <v>1843</v>
      </c>
      <c r="FTR373" s="627" t="s">
        <v>1844</v>
      </c>
      <c r="FTS373" s="652"/>
      <c r="FTT373" s="652"/>
      <c r="FTU373" s="652"/>
      <c r="FTV373" s="652"/>
      <c r="FTW373" s="652"/>
      <c r="FTX373" s="652"/>
      <c r="FTY373" s="652"/>
      <c r="FTZ373" s="652"/>
      <c r="FUA373" s="652"/>
      <c r="FUB373" s="652"/>
      <c r="FUC373" s="652"/>
      <c r="FUD373" s="652"/>
      <c r="FUE373" s="629">
        <v>27.33</v>
      </c>
      <c r="FUF373" s="653">
        <f>((FUF362*FUA369)+(FUF366*FUA370)+(FUF366*FUA371))/FUF363</f>
        <v>27.332989917734402</v>
      </c>
      <c r="FUG373" s="651" t="s">
        <v>1843</v>
      </c>
      <c r="FUH373" s="627" t="s">
        <v>1844</v>
      </c>
      <c r="FUI373" s="652"/>
      <c r="FUJ373" s="652"/>
      <c r="FUK373" s="652"/>
      <c r="FUL373" s="652"/>
      <c r="FUM373" s="652"/>
      <c r="FUN373" s="652"/>
      <c r="FUO373" s="652"/>
      <c r="FUP373" s="652"/>
      <c r="FUQ373" s="652"/>
      <c r="FUR373" s="652"/>
      <c r="FUS373" s="652"/>
      <c r="FUT373" s="652"/>
      <c r="FUU373" s="629">
        <v>27.33</v>
      </c>
      <c r="FUV373" s="653">
        <f>((FUV362*FUQ369)+(FUV366*FUQ370)+(FUV366*FUQ371))/FUV363</f>
        <v>27.332989917734402</v>
      </c>
      <c r="FUW373" s="651" t="s">
        <v>1843</v>
      </c>
      <c r="FUX373" s="627" t="s">
        <v>1844</v>
      </c>
      <c r="FUY373" s="652"/>
      <c r="FUZ373" s="652"/>
      <c r="FVA373" s="652"/>
      <c r="FVB373" s="652"/>
      <c r="FVC373" s="652"/>
      <c r="FVD373" s="652"/>
      <c r="FVE373" s="652"/>
      <c r="FVF373" s="652"/>
      <c r="FVG373" s="652"/>
      <c r="FVH373" s="652"/>
      <c r="FVI373" s="652"/>
      <c r="FVJ373" s="652"/>
      <c r="FVK373" s="629">
        <v>27.33</v>
      </c>
      <c r="FVL373" s="653">
        <f>((FVL362*FVG369)+(FVL366*FVG370)+(FVL366*FVG371))/FVL363</f>
        <v>27.332989917734402</v>
      </c>
      <c r="FVM373" s="651" t="s">
        <v>1843</v>
      </c>
      <c r="FVN373" s="627" t="s">
        <v>1844</v>
      </c>
      <c r="FVO373" s="652"/>
      <c r="FVP373" s="652"/>
      <c r="FVQ373" s="652"/>
      <c r="FVR373" s="652"/>
      <c r="FVS373" s="652"/>
      <c r="FVT373" s="652"/>
      <c r="FVU373" s="652"/>
      <c r="FVV373" s="652"/>
      <c r="FVW373" s="652"/>
      <c r="FVX373" s="652"/>
      <c r="FVY373" s="652"/>
      <c r="FVZ373" s="652"/>
      <c r="FWA373" s="629">
        <v>27.33</v>
      </c>
      <c r="FWB373" s="653">
        <f>((FWB362*FVW369)+(FWB366*FVW370)+(FWB366*FVW371))/FWB363</f>
        <v>27.332989917734402</v>
      </c>
      <c r="FWC373" s="651" t="s">
        <v>1843</v>
      </c>
      <c r="FWD373" s="627" t="s">
        <v>1844</v>
      </c>
      <c r="FWE373" s="652"/>
      <c r="FWF373" s="652"/>
      <c r="FWG373" s="652"/>
      <c r="FWH373" s="652"/>
      <c r="FWI373" s="652"/>
      <c r="FWJ373" s="652"/>
      <c r="FWK373" s="652"/>
      <c r="FWL373" s="652"/>
      <c r="FWM373" s="652"/>
      <c r="FWN373" s="652"/>
      <c r="FWO373" s="652"/>
      <c r="FWP373" s="652"/>
      <c r="FWQ373" s="629">
        <v>27.33</v>
      </c>
      <c r="FWR373" s="653">
        <f>((FWR362*FWM369)+(FWR366*FWM370)+(FWR366*FWM371))/FWR363</f>
        <v>27.332989917734402</v>
      </c>
      <c r="FWS373" s="651" t="s">
        <v>1843</v>
      </c>
      <c r="FWT373" s="627" t="s">
        <v>1844</v>
      </c>
      <c r="FWU373" s="652"/>
      <c r="FWV373" s="652"/>
      <c r="FWW373" s="652"/>
      <c r="FWX373" s="652"/>
      <c r="FWY373" s="652"/>
      <c r="FWZ373" s="652"/>
      <c r="FXA373" s="652"/>
      <c r="FXB373" s="652"/>
      <c r="FXC373" s="652"/>
      <c r="FXD373" s="652"/>
      <c r="FXE373" s="652"/>
      <c r="FXF373" s="652"/>
      <c r="FXG373" s="629">
        <v>27.33</v>
      </c>
      <c r="FXH373" s="653">
        <f>((FXH362*FXC369)+(FXH366*FXC370)+(FXH366*FXC371))/FXH363</f>
        <v>27.332989917734402</v>
      </c>
      <c r="FXI373" s="651" t="s">
        <v>1843</v>
      </c>
      <c r="FXJ373" s="627" t="s">
        <v>1844</v>
      </c>
      <c r="FXK373" s="652"/>
      <c r="FXL373" s="652"/>
      <c r="FXM373" s="652"/>
      <c r="FXN373" s="652"/>
      <c r="FXO373" s="652"/>
      <c r="FXP373" s="652"/>
      <c r="FXQ373" s="652"/>
      <c r="FXR373" s="652"/>
      <c r="FXS373" s="652"/>
      <c r="FXT373" s="652"/>
      <c r="FXU373" s="652"/>
      <c r="FXV373" s="652"/>
      <c r="FXW373" s="629">
        <v>27.33</v>
      </c>
      <c r="FXX373" s="653">
        <f>((FXX362*FXS369)+(FXX366*FXS370)+(FXX366*FXS371))/FXX363</f>
        <v>27.332989917734402</v>
      </c>
      <c r="FXY373" s="651" t="s">
        <v>1843</v>
      </c>
      <c r="FXZ373" s="627" t="s">
        <v>1844</v>
      </c>
      <c r="FYA373" s="652"/>
      <c r="FYB373" s="652"/>
      <c r="FYC373" s="652"/>
      <c r="FYD373" s="652"/>
      <c r="FYE373" s="652"/>
      <c r="FYF373" s="652"/>
      <c r="FYG373" s="652"/>
      <c r="FYH373" s="652"/>
      <c r="FYI373" s="652"/>
      <c r="FYJ373" s="652"/>
      <c r="FYK373" s="652"/>
      <c r="FYL373" s="652"/>
      <c r="FYM373" s="629">
        <v>27.33</v>
      </c>
      <c r="FYN373" s="653">
        <f>((FYN362*FYI369)+(FYN366*FYI370)+(FYN366*FYI371))/FYN363</f>
        <v>27.332989917734402</v>
      </c>
      <c r="FYO373" s="651" t="s">
        <v>1843</v>
      </c>
      <c r="FYP373" s="627" t="s">
        <v>1844</v>
      </c>
      <c r="FYQ373" s="652"/>
      <c r="FYR373" s="652"/>
      <c r="FYS373" s="652"/>
      <c r="FYT373" s="652"/>
      <c r="FYU373" s="652"/>
      <c r="FYV373" s="652"/>
      <c r="FYW373" s="652"/>
      <c r="FYX373" s="652"/>
      <c r="FYY373" s="652"/>
      <c r="FYZ373" s="652"/>
      <c r="FZA373" s="652"/>
      <c r="FZB373" s="652"/>
      <c r="FZC373" s="629">
        <v>27.33</v>
      </c>
      <c r="FZD373" s="653">
        <f>((FZD362*FYY369)+(FZD366*FYY370)+(FZD366*FYY371))/FZD363</f>
        <v>27.332989917734402</v>
      </c>
      <c r="FZE373" s="651" t="s">
        <v>1843</v>
      </c>
      <c r="FZF373" s="627" t="s">
        <v>1844</v>
      </c>
      <c r="FZG373" s="652"/>
      <c r="FZH373" s="652"/>
      <c r="FZI373" s="652"/>
      <c r="FZJ373" s="652"/>
      <c r="FZK373" s="652"/>
      <c r="FZL373" s="652"/>
      <c r="FZM373" s="652"/>
      <c r="FZN373" s="652"/>
      <c r="FZO373" s="652"/>
      <c r="FZP373" s="652"/>
      <c r="FZQ373" s="652"/>
      <c r="FZR373" s="652"/>
      <c r="FZS373" s="629">
        <v>27.33</v>
      </c>
      <c r="FZT373" s="653">
        <f>((FZT362*FZO369)+(FZT366*FZO370)+(FZT366*FZO371))/FZT363</f>
        <v>27.332989917734402</v>
      </c>
      <c r="FZU373" s="651" t="s">
        <v>1843</v>
      </c>
      <c r="FZV373" s="627" t="s">
        <v>1844</v>
      </c>
      <c r="FZW373" s="652"/>
      <c r="FZX373" s="652"/>
      <c r="FZY373" s="652"/>
      <c r="FZZ373" s="652"/>
      <c r="GAA373" s="652"/>
      <c r="GAB373" s="652"/>
      <c r="GAC373" s="652"/>
      <c r="GAD373" s="652"/>
      <c r="GAE373" s="652"/>
      <c r="GAF373" s="652"/>
      <c r="GAG373" s="652"/>
      <c r="GAH373" s="652"/>
      <c r="GAI373" s="629">
        <v>27.33</v>
      </c>
      <c r="GAJ373" s="653">
        <f>((GAJ362*GAE369)+(GAJ366*GAE370)+(GAJ366*GAE371))/GAJ363</f>
        <v>27.332989917734402</v>
      </c>
      <c r="GAK373" s="651" t="s">
        <v>1843</v>
      </c>
      <c r="GAL373" s="627" t="s">
        <v>1844</v>
      </c>
      <c r="GAM373" s="652"/>
      <c r="GAN373" s="652"/>
      <c r="GAO373" s="652"/>
      <c r="GAP373" s="652"/>
      <c r="GAQ373" s="652"/>
      <c r="GAR373" s="652"/>
      <c r="GAS373" s="652"/>
      <c r="GAT373" s="652"/>
      <c r="GAU373" s="652"/>
      <c r="GAV373" s="652"/>
      <c r="GAW373" s="652"/>
      <c r="GAX373" s="652"/>
      <c r="GAY373" s="629">
        <v>27.33</v>
      </c>
      <c r="GAZ373" s="653">
        <f>((GAZ362*GAU369)+(GAZ366*GAU370)+(GAZ366*GAU371))/GAZ363</f>
        <v>27.332989917734402</v>
      </c>
      <c r="GBA373" s="651" t="s">
        <v>1843</v>
      </c>
      <c r="GBB373" s="627" t="s">
        <v>1844</v>
      </c>
      <c r="GBC373" s="652"/>
      <c r="GBD373" s="652"/>
      <c r="GBE373" s="652"/>
      <c r="GBF373" s="652"/>
      <c r="GBG373" s="652"/>
      <c r="GBH373" s="652"/>
      <c r="GBI373" s="652"/>
      <c r="GBJ373" s="652"/>
      <c r="GBK373" s="652"/>
      <c r="GBL373" s="652"/>
      <c r="GBM373" s="652"/>
      <c r="GBN373" s="652"/>
      <c r="GBO373" s="629">
        <v>27.33</v>
      </c>
      <c r="GBP373" s="653">
        <f>((GBP362*GBK369)+(GBP366*GBK370)+(GBP366*GBK371))/GBP363</f>
        <v>27.332989917734402</v>
      </c>
      <c r="GBQ373" s="651" t="s">
        <v>1843</v>
      </c>
      <c r="GBR373" s="627" t="s">
        <v>1844</v>
      </c>
      <c r="GBS373" s="652"/>
      <c r="GBT373" s="652"/>
      <c r="GBU373" s="652"/>
      <c r="GBV373" s="652"/>
      <c r="GBW373" s="652"/>
      <c r="GBX373" s="652"/>
      <c r="GBY373" s="652"/>
      <c r="GBZ373" s="652"/>
      <c r="GCA373" s="652"/>
      <c r="GCB373" s="652"/>
      <c r="GCC373" s="652"/>
      <c r="GCD373" s="652"/>
      <c r="GCE373" s="629">
        <v>27.33</v>
      </c>
      <c r="GCF373" s="653">
        <f>((GCF362*GCA369)+(GCF366*GCA370)+(GCF366*GCA371))/GCF363</f>
        <v>27.332989917734402</v>
      </c>
      <c r="GCG373" s="651" t="s">
        <v>1843</v>
      </c>
      <c r="GCH373" s="627" t="s">
        <v>1844</v>
      </c>
      <c r="GCI373" s="652"/>
      <c r="GCJ373" s="652"/>
      <c r="GCK373" s="652"/>
      <c r="GCL373" s="652"/>
      <c r="GCM373" s="652"/>
      <c r="GCN373" s="652"/>
      <c r="GCO373" s="652"/>
      <c r="GCP373" s="652"/>
      <c r="GCQ373" s="652"/>
      <c r="GCR373" s="652"/>
      <c r="GCS373" s="652"/>
      <c r="GCT373" s="652"/>
      <c r="GCU373" s="629">
        <v>27.33</v>
      </c>
      <c r="GCV373" s="653">
        <f>((GCV362*GCQ369)+(GCV366*GCQ370)+(GCV366*GCQ371))/GCV363</f>
        <v>27.332989917734402</v>
      </c>
      <c r="GCW373" s="651" t="s">
        <v>1843</v>
      </c>
      <c r="GCX373" s="627" t="s">
        <v>1844</v>
      </c>
      <c r="GCY373" s="652"/>
      <c r="GCZ373" s="652"/>
      <c r="GDA373" s="652"/>
      <c r="GDB373" s="652"/>
      <c r="GDC373" s="652"/>
      <c r="GDD373" s="652"/>
      <c r="GDE373" s="652"/>
      <c r="GDF373" s="652"/>
      <c r="GDG373" s="652"/>
      <c r="GDH373" s="652"/>
      <c r="GDI373" s="652"/>
      <c r="GDJ373" s="652"/>
      <c r="GDK373" s="629">
        <v>27.33</v>
      </c>
      <c r="GDL373" s="653">
        <f>((GDL362*GDG369)+(GDL366*GDG370)+(GDL366*GDG371))/GDL363</f>
        <v>27.332989917734402</v>
      </c>
      <c r="GDM373" s="651" t="s">
        <v>1843</v>
      </c>
      <c r="GDN373" s="627" t="s">
        <v>1844</v>
      </c>
      <c r="GDO373" s="652"/>
      <c r="GDP373" s="652"/>
      <c r="GDQ373" s="652"/>
      <c r="GDR373" s="652"/>
      <c r="GDS373" s="652"/>
      <c r="GDT373" s="652"/>
      <c r="GDU373" s="652"/>
      <c r="GDV373" s="652"/>
      <c r="GDW373" s="652"/>
      <c r="GDX373" s="652"/>
      <c r="GDY373" s="652"/>
      <c r="GDZ373" s="652"/>
      <c r="GEA373" s="629">
        <v>27.33</v>
      </c>
      <c r="GEB373" s="653">
        <f>((GEB362*GDW369)+(GEB366*GDW370)+(GEB366*GDW371))/GEB363</f>
        <v>27.332989917734402</v>
      </c>
      <c r="GEC373" s="651" t="s">
        <v>1843</v>
      </c>
      <c r="GED373" s="627" t="s">
        <v>1844</v>
      </c>
      <c r="GEE373" s="652"/>
      <c r="GEF373" s="652"/>
      <c r="GEG373" s="652"/>
      <c r="GEH373" s="652"/>
      <c r="GEI373" s="652"/>
      <c r="GEJ373" s="652"/>
      <c r="GEK373" s="652"/>
      <c r="GEL373" s="652"/>
      <c r="GEM373" s="652"/>
      <c r="GEN373" s="652"/>
      <c r="GEO373" s="652"/>
      <c r="GEP373" s="652"/>
      <c r="GEQ373" s="629">
        <v>27.33</v>
      </c>
      <c r="GER373" s="653">
        <f>((GER362*GEM369)+(GER366*GEM370)+(GER366*GEM371))/GER363</f>
        <v>27.332989917734402</v>
      </c>
      <c r="GES373" s="651" t="s">
        <v>1843</v>
      </c>
      <c r="GET373" s="627" t="s">
        <v>1844</v>
      </c>
      <c r="GEU373" s="652"/>
      <c r="GEV373" s="652"/>
      <c r="GEW373" s="652"/>
      <c r="GEX373" s="652"/>
      <c r="GEY373" s="652"/>
      <c r="GEZ373" s="652"/>
      <c r="GFA373" s="652"/>
      <c r="GFB373" s="652"/>
      <c r="GFC373" s="652"/>
      <c r="GFD373" s="652"/>
      <c r="GFE373" s="652"/>
      <c r="GFF373" s="652"/>
      <c r="GFG373" s="629">
        <v>27.33</v>
      </c>
      <c r="GFH373" s="653">
        <f>((GFH362*GFC369)+(GFH366*GFC370)+(GFH366*GFC371))/GFH363</f>
        <v>27.332989917734402</v>
      </c>
      <c r="GFI373" s="651" t="s">
        <v>1843</v>
      </c>
      <c r="GFJ373" s="627" t="s">
        <v>1844</v>
      </c>
      <c r="GFK373" s="652"/>
      <c r="GFL373" s="652"/>
      <c r="GFM373" s="652"/>
      <c r="GFN373" s="652"/>
      <c r="GFO373" s="652"/>
      <c r="GFP373" s="652"/>
      <c r="GFQ373" s="652"/>
      <c r="GFR373" s="652"/>
      <c r="GFS373" s="652"/>
      <c r="GFT373" s="652"/>
      <c r="GFU373" s="652"/>
      <c r="GFV373" s="652"/>
      <c r="GFW373" s="629">
        <v>27.33</v>
      </c>
      <c r="GFX373" s="653">
        <f>((GFX362*GFS369)+(GFX366*GFS370)+(GFX366*GFS371))/GFX363</f>
        <v>27.332989917734402</v>
      </c>
      <c r="GFY373" s="651" t="s">
        <v>1843</v>
      </c>
      <c r="GFZ373" s="627" t="s">
        <v>1844</v>
      </c>
      <c r="GGA373" s="652"/>
      <c r="GGB373" s="652"/>
      <c r="GGC373" s="652"/>
      <c r="GGD373" s="652"/>
      <c r="GGE373" s="652"/>
      <c r="GGF373" s="652"/>
      <c r="GGG373" s="652"/>
      <c r="GGH373" s="652"/>
      <c r="GGI373" s="652"/>
      <c r="GGJ373" s="652"/>
      <c r="GGK373" s="652"/>
      <c r="GGL373" s="652"/>
      <c r="GGM373" s="629">
        <v>27.33</v>
      </c>
      <c r="GGN373" s="653">
        <f>((GGN362*GGI369)+(GGN366*GGI370)+(GGN366*GGI371))/GGN363</f>
        <v>27.332989917734402</v>
      </c>
      <c r="GGO373" s="651" t="s">
        <v>1843</v>
      </c>
      <c r="GGP373" s="627" t="s">
        <v>1844</v>
      </c>
      <c r="GGQ373" s="652"/>
      <c r="GGR373" s="652"/>
      <c r="GGS373" s="652"/>
      <c r="GGT373" s="652"/>
      <c r="GGU373" s="652"/>
      <c r="GGV373" s="652"/>
      <c r="GGW373" s="652"/>
      <c r="GGX373" s="652"/>
      <c r="GGY373" s="652"/>
      <c r="GGZ373" s="652"/>
      <c r="GHA373" s="652"/>
      <c r="GHB373" s="652"/>
      <c r="GHC373" s="629">
        <v>27.33</v>
      </c>
      <c r="GHD373" s="653">
        <f>((GHD362*GGY369)+(GHD366*GGY370)+(GHD366*GGY371))/GHD363</f>
        <v>27.332989917734402</v>
      </c>
      <c r="GHE373" s="651" t="s">
        <v>1843</v>
      </c>
      <c r="GHF373" s="627" t="s">
        <v>1844</v>
      </c>
      <c r="GHG373" s="652"/>
      <c r="GHH373" s="652"/>
      <c r="GHI373" s="652"/>
      <c r="GHJ373" s="652"/>
      <c r="GHK373" s="652"/>
      <c r="GHL373" s="652"/>
      <c r="GHM373" s="652"/>
      <c r="GHN373" s="652"/>
      <c r="GHO373" s="652"/>
      <c r="GHP373" s="652"/>
      <c r="GHQ373" s="652"/>
      <c r="GHR373" s="652"/>
      <c r="GHS373" s="629">
        <v>27.33</v>
      </c>
      <c r="GHT373" s="653">
        <f>((GHT362*GHO369)+(GHT366*GHO370)+(GHT366*GHO371))/GHT363</f>
        <v>27.332989917734402</v>
      </c>
      <c r="GHU373" s="651" t="s">
        <v>1843</v>
      </c>
      <c r="GHV373" s="627" t="s">
        <v>1844</v>
      </c>
      <c r="GHW373" s="652"/>
      <c r="GHX373" s="652"/>
      <c r="GHY373" s="652"/>
      <c r="GHZ373" s="652"/>
      <c r="GIA373" s="652"/>
      <c r="GIB373" s="652"/>
      <c r="GIC373" s="652"/>
      <c r="GID373" s="652"/>
      <c r="GIE373" s="652"/>
      <c r="GIF373" s="652"/>
      <c r="GIG373" s="652"/>
      <c r="GIH373" s="652"/>
      <c r="GII373" s="629">
        <v>27.33</v>
      </c>
      <c r="GIJ373" s="653">
        <f>((GIJ362*GIE369)+(GIJ366*GIE370)+(GIJ366*GIE371))/GIJ363</f>
        <v>27.332989917734402</v>
      </c>
      <c r="GIK373" s="651" t="s">
        <v>1843</v>
      </c>
      <c r="GIL373" s="627" t="s">
        <v>1844</v>
      </c>
      <c r="GIM373" s="652"/>
      <c r="GIN373" s="652"/>
      <c r="GIO373" s="652"/>
      <c r="GIP373" s="652"/>
      <c r="GIQ373" s="652"/>
      <c r="GIR373" s="652"/>
      <c r="GIS373" s="652"/>
      <c r="GIT373" s="652"/>
      <c r="GIU373" s="652"/>
      <c r="GIV373" s="652"/>
      <c r="GIW373" s="652"/>
      <c r="GIX373" s="652"/>
      <c r="GIY373" s="629">
        <v>27.33</v>
      </c>
      <c r="GIZ373" s="653">
        <f>((GIZ362*GIU369)+(GIZ366*GIU370)+(GIZ366*GIU371))/GIZ363</f>
        <v>27.332989917734402</v>
      </c>
      <c r="GJA373" s="651" t="s">
        <v>1843</v>
      </c>
      <c r="GJB373" s="627" t="s">
        <v>1844</v>
      </c>
      <c r="GJC373" s="652"/>
      <c r="GJD373" s="652"/>
      <c r="GJE373" s="652"/>
      <c r="GJF373" s="652"/>
      <c r="GJG373" s="652"/>
      <c r="GJH373" s="652"/>
      <c r="GJI373" s="652"/>
      <c r="GJJ373" s="652"/>
      <c r="GJK373" s="652"/>
      <c r="GJL373" s="652"/>
      <c r="GJM373" s="652"/>
      <c r="GJN373" s="652"/>
      <c r="GJO373" s="629">
        <v>27.33</v>
      </c>
      <c r="GJP373" s="653">
        <f>((GJP362*GJK369)+(GJP366*GJK370)+(GJP366*GJK371))/GJP363</f>
        <v>27.332989917734402</v>
      </c>
      <c r="GJQ373" s="651" t="s">
        <v>1843</v>
      </c>
      <c r="GJR373" s="627" t="s">
        <v>1844</v>
      </c>
      <c r="GJS373" s="652"/>
      <c r="GJT373" s="652"/>
      <c r="GJU373" s="652"/>
      <c r="GJV373" s="652"/>
      <c r="GJW373" s="652"/>
      <c r="GJX373" s="652"/>
      <c r="GJY373" s="652"/>
      <c r="GJZ373" s="652"/>
      <c r="GKA373" s="652"/>
      <c r="GKB373" s="652"/>
      <c r="GKC373" s="652"/>
      <c r="GKD373" s="652"/>
      <c r="GKE373" s="629">
        <v>27.33</v>
      </c>
      <c r="GKF373" s="653">
        <f>((GKF362*GKA369)+(GKF366*GKA370)+(GKF366*GKA371))/GKF363</f>
        <v>27.332989917734402</v>
      </c>
      <c r="GKG373" s="651" t="s">
        <v>1843</v>
      </c>
      <c r="GKH373" s="627" t="s">
        <v>1844</v>
      </c>
      <c r="GKI373" s="652"/>
      <c r="GKJ373" s="652"/>
      <c r="GKK373" s="652"/>
      <c r="GKL373" s="652"/>
      <c r="GKM373" s="652"/>
      <c r="GKN373" s="652"/>
      <c r="GKO373" s="652"/>
      <c r="GKP373" s="652"/>
      <c r="GKQ373" s="652"/>
      <c r="GKR373" s="652"/>
      <c r="GKS373" s="652"/>
      <c r="GKT373" s="652"/>
      <c r="GKU373" s="629">
        <v>27.33</v>
      </c>
      <c r="GKV373" s="653">
        <f>((GKV362*GKQ369)+(GKV366*GKQ370)+(GKV366*GKQ371))/GKV363</f>
        <v>27.332989917734402</v>
      </c>
      <c r="GKW373" s="651" t="s">
        <v>1843</v>
      </c>
      <c r="GKX373" s="627" t="s">
        <v>1844</v>
      </c>
      <c r="GKY373" s="652"/>
      <c r="GKZ373" s="652"/>
      <c r="GLA373" s="652"/>
      <c r="GLB373" s="652"/>
      <c r="GLC373" s="652"/>
      <c r="GLD373" s="652"/>
      <c r="GLE373" s="652"/>
      <c r="GLF373" s="652"/>
      <c r="GLG373" s="652"/>
      <c r="GLH373" s="652"/>
      <c r="GLI373" s="652"/>
      <c r="GLJ373" s="652"/>
      <c r="GLK373" s="629">
        <v>27.33</v>
      </c>
      <c r="GLL373" s="653">
        <f>((GLL362*GLG369)+(GLL366*GLG370)+(GLL366*GLG371))/GLL363</f>
        <v>27.332989917734402</v>
      </c>
      <c r="GLM373" s="651" t="s">
        <v>1843</v>
      </c>
      <c r="GLN373" s="627" t="s">
        <v>1844</v>
      </c>
      <c r="GLO373" s="652"/>
      <c r="GLP373" s="652"/>
      <c r="GLQ373" s="652"/>
      <c r="GLR373" s="652"/>
      <c r="GLS373" s="652"/>
      <c r="GLT373" s="652"/>
      <c r="GLU373" s="652"/>
      <c r="GLV373" s="652"/>
      <c r="GLW373" s="652"/>
      <c r="GLX373" s="652"/>
      <c r="GLY373" s="652"/>
      <c r="GLZ373" s="652"/>
      <c r="GMA373" s="629">
        <v>27.33</v>
      </c>
      <c r="GMB373" s="653">
        <f>((GMB362*GLW369)+(GMB366*GLW370)+(GMB366*GLW371))/GMB363</f>
        <v>27.332989917734402</v>
      </c>
      <c r="GMC373" s="651" t="s">
        <v>1843</v>
      </c>
      <c r="GMD373" s="627" t="s">
        <v>1844</v>
      </c>
      <c r="GME373" s="652"/>
      <c r="GMF373" s="652"/>
      <c r="GMG373" s="652"/>
      <c r="GMH373" s="652"/>
      <c r="GMI373" s="652"/>
      <c r="GMJ373" s="652"/>
      <c r="GMK373" s="652"/>
      <c r="GML373" s="652"/>
      <c r="GMM373" s="652"/>
      <c r="GMN373" s="652"/>
      <c r="GMO373" s="652"/>
      <c r="GMP373" s="652"/>
      <c r="GMQ373" s="629">
        <v>27.33</v>
      </c>
      <c r="GMR373" s="653">
        <f>((GMR362*GMM369)+(GMR366*GMM370)+(GMR366*GMM371))/GMR363</f>
        <v>27.332989917734402</v>
      </c>
      <c r="GMS373" s="651" t="s">
        <v>1843</v>
      </c>
      <c r="GMT373" s="627" t="s">
        <v>1844</v>
      </c>
      <c r="GMU373" s="652"/>
      <c r="GMV373" s="652"/>
      <c r="GMW373" s="652"/>
      <c r="GMX373" s="652"/>
      <c r="GMY373" s="652"/>
      <c r="GMZ373" s="652"/>
      <c r="GNA373" s="652"/>
      <c r="GNB373" s="652"/>
      <c r="GNC373" s="652"/>
      <c r="GND373" s="652"/>
      <c r="GNE373" s="652"/>
      <c r="GNF373" s="652"/>
      <c r="GNG373" s="629">
        <v>27.33</v>
      </c>
      <c r="GNH373" s="653">
        <f>((GNH362*GNC369)+(GNH366*GNC370)+(GNH366*GNC371))/GNH363</f>
        <v>27.332989917734402</v>
      </c>
      <c r="GNI373" s="651" t="s">
        <v>1843</v>
      </c>
      <c r="GNJ373" s="627" t="s">
        <v>1844</v>
      </c>
      <c r="GNK373" s="652"/>
      <c r="GNL373" s="652"/>
      <c r="GNM373" s="652"/>
      <c r="GNN373" s="652"/>
      <c r="GNO373" s="652"/>
      <c r="GNP373" s="652"/>
      <c r="GNQ373" s="652"/>
      <c r="GNR373" s="652"/>
      <c r="GNS373" s="652"/>
      <c r="GNT373" s="652"/>
      <c r="GNU373" s="652"/>
      <c r="GNV373" s="652"/>
      <c r="GNW373" s="629">
        <v>27.33</v>
      </c>
      <c r="GNX373" s="653">
        <f>((GNX362*GNS369)+(GNX366*GNS370)+(GNX366*GNS371))/GNX363</f>
        <v>27.332989917734402</v>
      </c>
      <c r="GNY373" s="651" t="s">
        <v>1843</v>
      </c>
      <c r="GNZ373" s="627" t="s">
        <v>1844</v>
      </c>
      <c r="GOA373" s="652"/>
      <c r="GOB373" s="652"/>
      <c r="GOC373" s="652"/>
      <c r="GOD373" s="652"/>
      <c r="GOE373" s="652"/>
      <c r="GOF373" s="652"/>
      <c r="GOG373" s="652"/>
      <c r="GOH373" s="652"/>
      <c r="GOI373" s="652"/>
      <c r="GOJ373" s="652"/>
      <c r="GOK373" s="652"/>
      <c r="GOL373" s="652"/>
      <c r="GOM373" s="629">
        <v>27.33</v>
      </c>
      <c r="GON373" s="653">
        <f>((GON362*GOI369)+(GON366*GOI370)+(GON366*GOI371))/GON363</f>
        <v>27.332989917734402</v>
      </c>
      <c r="GOO373" s="651" t="s">
        <v>1843</v>
      </c>
      <c r="GOP373" s="627" t="s">
        <v>1844</v>
      </c>
      <c r="GOQ373" s="652"/>
      <c r="GOR373" s="652"/>
      <c r="GOS373" s="652"/>
      <c r="GOT373" s="652"/>
      <c r="GOU373" s="652"/>
      <c r="GOV373" s="652"/>
      <c r="GOW373" s="652"/>
      <c r="GOX373" s="652"/>
      <c r="GOY373" s="652"/>
      <c r="GOZ373" s="652"/>
      <c r="GPA373" s="652"/>
      <c r="GPB373" s="652"/>
      <c r="GPC373" s="629">
        <v>27.33</v>
      </c>
      <c r="GPD373" s="653">
        <f>((GPD362*GOY369)+(GPD366*GOY370)+(GPD366*GOY371))/GPD363</f>
        <v>27.332989917734402</v>
      </c>
      <c r="GPE373" s="651" t="s">
        <v>1843</v>
      </c>
      <c r="GPF373" s="627" t="s">
        <v>1844</v>
      </c>
      <c r="GPG373" s="652"/>
      <c r="GPH373" s="652"/>
      <c r="GPI373" s="652"/>
      <c r="GPJ373" s="652"/>
      <c r="GPK373" s="652"/>
      <c r="GPL373" s="652"/>
      <c r="GPM373" s="652"/>
      <c r="GPN373" s="652"/>
      <c r="GPO373" s="652"/>
      <c r="GPP373" s="652"/>
      <c r="GPQ373" s="652"/>
      <c r="GPR373" s="652"/>
      <c r="GPS373" s="629">
        <v>27.33</v>
      </c>
      <c r="GPT373" s="653">
        <f>((GPT362*GPO369)+(GPT366*GPO370)+(GPT366*GPO371))/GPT363</f>
        <v>27.332989917734402</v>
      </c>
      <c r="GPU373" s="651" t="s">
        <v>1843</v>
      </c>
      <c r="GPV373" s="627" t="s">
        <v>1844</v>
      </c>
      <c r="GPW373" s="652"/>
      <c r="GPX373" s="652"/>
      <c r="GPY373" s="652"/>
      <c r="GPZ373" s="652"/>
      <c r="GQA373" s="652"/>
      <c r="GQB373" s="652"/>
      <c r="GQC373" s="652"/>
      <c r="GQD373" s="652"/>
      <c r="GQE373" s="652"/>
      <c r="GQF373" s="652"/>
      <c r="GQG373" s="652"/>
      <c r="GQH373" s="652"/>
      <c r="GQI373" s="629">
        <v>27.33</v>
      </c>
      <c r="GQJ373" s="653">
        <f>((GQJ362*GQE369)+(GQJ366*GQE370)+(GQJ366*GQE371))/GQJ363</f>
        <v>27.332989917734402</v>
      </c>
      <c r="GQK373" s="651" t="s">
        <v>1843</v>
      </c>
      <c r="GQL373" s="627" t="s">
        <v>1844</v>
      </c>
      <c r="GQM373" s="652"/>
      <c r="GQN373" s="652"/>
      <c r="GQO373" s="652"/>
      <c r="GQP373" s="652"/>
      <c r="GQQ373" s="652"/>
      <c r="GQR373" s="652"/>
      <c r="GQS373" s="652"/>
      <c r="GQT373" s="652"/>
      <c r="GQU373" s="652"/>
      <c r="GQV373" s="652"/>
      <c r="GQW373" s="652"/>
      <c r="GQX373" s="652"/>
      <c r="GQY373" s="629">
        <v>27.33</v>
      </c>
      <c r="GQZ373" s="653">
        <f>((GQZ362*GQU369)+(GQZ366*GQU370)+(GQZ366*GQU371))/GQZ363</f>
        <v>27.332989917734402</v>
      </c>
      <c r="GRA373" s="651" t="s">
        <v>1843</v>
      </c>
      <c r="GRB373" s="627" t="s">
        <v>1844</v>
      </c>
      <c r="GRC373" s="652"/>
      <c r="GRD373" s="652"/>
      <c r="GRE373" s="652"/>
      <c r="GRF373" s="652"/>
      <c r="GRG373" s="652"/>
      <c r="GRH373" s="652"/>
      <c r="GRI373" s="652"/>
      <c r="GRJ373" s="652"/>
      <c r="GRK373" s="652"/>
      <c r="GRL373" s="652"/>
      <c r="GRM373" s="652"/>
      <c r="GRN373" s="652"/>
      <c r="GRO373" s="629">
        <v>27.33</v>
      </c>
      <c r="GRP373" s="653">
        <f>((GRP362*GRK369)+(GRP366*GRK370)+(GRP366*GRK371))/GRP363</f>
        <v>27.332989917734402</v>
      </c>
      <c r="GRQ373" s="651" t="s">
        <v>1843</v>
      </c>
      <c r="GRR373" s="627" t="s">
        <v>1844</v>
      </c>
      <c r="GRS373" s="652"/>
      <c r="GRT373" s="652"/>
      <c r="GRU373" s="652"/>
      <c r="GRV373" s="652"/>
      <c r="GRW373" s="652"/>
      <c r="GRX373" s="652"/>
      <c r="GRY373" s="652"/>
      <c r="GRZ373" s="652"/>
      <c r="GSA373" s="652"/>
      <c r="GSB373" s="652"/>
      <c r="GSC373" s="652"/>
      <c r="GSD373" s="652"/>
      <c r="GSE373" s="629">
        <v>27.33</v>
      </c>
      <c r="GSF373" s="653">
        <f>((GSF362*GSA369)+(GSF366*GSA370)+(GSF366*GSA371))/GSF363</f>
        <v>27.332989917734402</v>
      </c>
      <c r="GSG373" s="651" t="s">
        <v>1843</v>
      </c>
      <c r="GSH373" s="627" t="s">
        <v>1844</v>
      </c>
      <c r="GSI373" s="652"/>
      <c r="GSJ373" s="652"/>
      <c r="GSK373" s="652"/>
      <c r="GSL373" s="652"/>
      <c r="GSM373" s="652"/>
      <c r="GSN373" s="652"/>
      <c r="GSO373" s="652"/>
      <c r="GSP373" s="652"/>
      <c r="GSQ373" s="652"/>
      <c r="GSR373" s="652"/>
      <c r="GSS373" s="652"/>
      <c r="GST373" s="652"/>
      <c r="GSU373" s="629">
        <v>27.33</v>
      </c>
      <c r="GSV373" s="653">
        <f>((GSV362*GSQ369)+(GSV366*GSQ370)+(GSV366*GSQ371))/GSV363</f>
        <v>27.332989917734402</v>
      </c>
      <c r="GSW373" s="651" t="s">
        <v>1843</v>
      </c>
      <c r="GSX373" s="627" t="s">
        <v>1844</v>
      </c>
      <c r="GSY373" s="652"/>
      <c r="GSZ373" s="652"/>
      <c r="GTA373" s="652"/>
      <c r="GTB373" s="652"/>
      <c r="GTC373" s="652"/>
      <c r="GTD373" s="652"/>
      <c r="GTE373" s="652"/>
      <c r="GTF373" s="652"/>
      <c r="GTG373" s="652"/>
      <c r="GTH373" s="652"/>
      <c r="GTI373" s="652"/>
      <c r="GTJ373" s="652"/>
      <c r="GTK373" s="629">
        <v>27.33</v>
      </c>
      <c r="GTL373" s="653">
        <f>((GTL362*GTG369)+(GTL366*GTG370)+(GTL366*GTG371))/GTL363</f>
        <v>27.332989917734402</v>
      </c>
      <c r="GTM373" s="651" t="s">
        <v>1843</v>
      </c>
      <c r="GTN373" s="627" t="s">
        <v>1844</v>
      </c>
      <c r="GTO373" s="652"/>
      <c r="GTP373" s="652"/>
      <c r="GTQ373" s="652"/>
      <c r="GTR373" s="652"/>
      <c r="GTS373" s="652"/>
      <c r="GTT373" s="652"/>
      <c r="GTU373" s="652"/>
      <c r="GTV373" s="652"/>
      <c r="GTW373" s="652"/>
      <c r="GTX373" s="652"/>
      <c r="GTY373" s="652"/>
      <c r="GTZ373" s="652"/>
      <c r="GUA373" s="629">
        <v>27.33</v>
      </c>
      <c r="GUB373" s="653">
        <f>((GUB362*GTW369)+(GUB366*GTW370)+(GUB366*GTW371))/GUB363</f>
        <v>27.332989917734402</v>
      </c>
      <c r="GUC373" s="651" t="s">
        <v>1843</v>
      </c>
      <c r="GUD373" s="627" t="s">
        <v>1844</v>
      </c>
      <c r="GUE373" s="652"/>
      <c r="GUF373" s="652"/>
      <c r="GUG373" s="652"/>
      <c r="GUH373" s="652"/>
      <c r="GUI373" s="652"/>
      <c r="GUJ373" s="652"/>
      <c r="GUK373" s="652"/>
      <c r="GUL373" s="652"/>
      <c r="GUM373" s="652"/>
      <c r="GUN373" s="652"/>
      <c r="GUO373" s="652"/>
      <c r="GUP373" s="652"/>
      <c r="GUQ373" s="629">
        <v>27.33</v>
      </c>
      <c r="GUR373" s="653">
        <f>((GUR362*GUM369)+(GUR366*GUM370)+(GUR366*GUM371))/GUR363</f>
        <v>27.332989917734402</v>
      </c>
      <c r="GUS373" s="651" t="s">
        <v>1843</v>
      </c>
      <c r="GUT373" s="627" t="s">
        <v>1844</v>
      </c>
      <c r="GUU373" s="652"/>
      <c r="GUV373" s="652"/>
      <c r="GUW373" s="652"/>
      <c r="GUX373" s="652"/>
      <c r="GUY373" s="652"/>
      <c r="GUZ373" s="652"/>
      <c r="GVA373" s="652"/>
      <c r="GVB373" s="652"/>
      <c r="GVC373" s="652"/>
      <c r="GVD373" s="652"/>
      <c r="GVE373" s="652"/>
      <c r="GVF373" s="652"/>
      <c r="GVG373" s="629">
        <v>27.33</v>
      </c>
      <c r="GVH373" s="653">
        <f>((GVH362*GVC369)+(GVH366*GVC370)+(GVH366*GVC371))/GVH363</f>
        <v>27.332989917734402</v>
      </c>
      <c r="GVI373" s="651" t="s">
        <v>1843</v>
      </c>
      <c r="GVJ373" s="627" t="s">
        <v>1844</v>
      </c>
      <c r="GVK373" s="652"/>
      <c r="GVL373" s="652"/>
      <c r="GVM373" s="652"/>
      <c r="GVN373" s="652"/>
      <c r="GVO373" s="652"/>
      <c r="GVP373" s="652"/>
      <c r="GVQ373" s="652"/>
      <c r="GVR373" s="652"/>
      <c r="GVS373" s="652"/>
      <c r="GVT373" s="652"/>
      <c r="GVU373" s="652"/>
      <c r="GVV373" s="652"/>
      <c r="GVW373" s="629">
        <v>27.33</v>
      </c>
      <c r="GVX373" s="653">
        <f>((GVX362*GVS369)+(GVX366*GVS370)+(GVX366*GVS371))/GVX363</f>
        <v>27.332989917734402</v>
      </c>
      <c r="GVY373" s="651" t="s">
        <v>1843</v>
      </c>
      <c r="GVZ373" s="627" t="s">
        <v>1844</v>
      </c>
      <c r="GWA373" s="652"/>
      <c r="GWB373" s="652"/>
      <c r="GWC373" s="652"/>
      <c r="GWD373" s="652"/>
      <c r="GWE373" s="652"/>
      <c r="GWF373" s="652"/>
      <c r="GWG373" s="652"/>
      <c r="GWH373" s="652"/>
      <c r="GWI373" s="652"/>
      <c r="GWJ373" s="652"/>
      <c r="GWK373" s="652"/>
      <c r="GWL373" s="652"/>
      <c r="GWM373" s="629">
        <v>27.33</v>
      </c>
      <c r="GWN373" s="653">
        <f>((GWN362*GWI369)+(GWN366*GWI370)+(GWN366*GWI371))/GWN363</f>
        <v>27.332989917734402</v>
      </c>
      <c r="GWO373" s="651" t="s">
        <v>1843</v>
      </c>
      <c r="GWP373" s="627" t="s">
        <v>1844</v>
      </c>
      <c r="GWQ373" s="652"/>
      <c r="GWR373" s="652"/>
      <c r="GWS373" s="652"/>
      <c r="GWT373" s="652"/>
      <c r="GWU373" s="652"/>
      <c r="GWV373" s="652"/>
      <c r="GWW373" s="652"/>
      <c r="GWX373" s="652"/>
      <c r="GWY373" s="652"/>
      <c r="GWZ373" s="652"/>
      <c r="GXA373" s="652"/>
      <c r="GXB373" s="652"/>
      <c r="GXC373" s="629">
        <v>27.33</v>
      </c>
      <c r="GXD373" s="653">
        <f>((GXD362*GWY369)+(GXD366*GWY370)+(GXD366*GWY371))/GXD363</f>
        <v>27.332989917734402</v>
      </c>
      <c r="GXE373" s="651" t="s">
        <v>1843</v>
      </c>
      <c r="GXF373" s="627" t="s">
        <v>1844</v>
      </c>
      <c r="GXG373" s="652"/>
      <c r="GXH373" s="652"/>
      <c r="GXI373" s="652"/>
      <c r="GXJ373" s="652"/>
      <c r="GXK373" s="652"/>
      <c r="GXL373" s="652"/>
      <c r="GXM373" s="652"/>
      <c r="GXN373" s="652"/>
      <c r="GXO373" s="652"/>
      <c r="GXP373" s="652"/>
      <c r="GXQ373" s="652"/>
      <c r="GXR373" s="652"/>
      <c r="GXS373" s="629">
        <v>27.33</v>
      </c>
      <c r="GXT373" s="653">
        <f>((GXT362*GXO369)+(GXT366*GXO370)+(GXT366*GXO371))/GXT363</f>
        <v>27.332989917734402</v>
      </c>
      <c r="GXU373" s="651" t="s">
        <v>1843</v>
      </c>
      <c r="GXV373" s="627" t="s">
        <v>1844</v>
      </c>
      <c r="GXW373" s="652"/>
      <c r="GXX373" s="652"/>
      <c r="GXY373" s="652"/>
      <c r="GXZ373" s="652"/>
      <c r="GYA373" s="652"/>
      <c r="GYB373" s="652"/>
      <c r="GYC373" s="652"/>
      <c r="GYD373" s="652"/>
      <c r="GYE373" s="652"/>
      <c r="GYF373" s="652"/>
      <c r="GYG373" s="652"/>
      <c r="GYH373" s="652"/>
      <c r="GYI373" s="629">
        <v>27.33</v>
      </c>
      <c r="GYJ373" s="653">
        <f>((GYJ362*GYE369)+(GYJ366*GYE370)+(GYJ366*GYE371))/GYJ363</f>
        <v>27.332989917734402</v>
      </c>
      <c r="GYK373" s="651" t="s">
        <v>1843</v>
      </c>
      <c r="GYL373" s="627" t="s">
        <v>1844</v>
      </c>
      <c r="GYM373" s="652"/>
      <c r="GYN373" s="652"/>
      <c r="GYO373" s="652"/>
      <c r="GYP373" s="652"/>
      <c r="GYQ373" s="652"/>
      <c r="GYR373" s="652"/>
      <c r="GYS373" s="652"/>
      <c r="GYT373" s="652"/>
      <c r="GYU373" s="652"/>
      <c r="GYV373" s="652"/>
      <c r="GYW373" s="652"/>
      <c r="GYX373" s="652"/>
      <c r="GYY373" s="629">
        <v>27.33</v>
      </c>
      <c r="GYZ373" s="653">
        <f>((GYZ362*GYU369)+(GYZ366*GYU370)+(GYZ366*GYU371))/GYZ363</f>
        <v>27.332989917734402</v>
      </c>
      <c r="GZA373" s="651" t="s">
        <v>1843</v>
      </c>
      <c r="GZB373" s="627" t="s">
        <v>1844</v>
      </c>
      <c r="GZC373" s="652"/>
      <c r="GZD373" s="652"/>
      <c r="GZE373" s="652"/>
      <c r="GZF373" s="652"/>
      <c r="GZG373" s="652"/>
      <c r="GZH373" s="652"/>
      <c r="GZI373" s="652"/>
      <c r="GZJ373" s="652"/>
      <c r="GZK373" s="652"/>
      <c r="GZL373" s="652"/>
      <c r="GZM373" s="652"/>
      <c r="GZN373" s="652"/>
      <c r="GZO373" s="629">
        <v>27.33</v>
      </c>
      <c r="GZP373" s="653">
        <f>((GZP362*GZK369)+(GZP366*GZK370)+(GZP366*GZK371))/GZP363</f>
        <v>27.332989917734402</v>
      </c>
      <c r="GZQ373" s="651" t="s">
        <v>1843</v>
      </c>
      <c r="GZR373" s="627" t="s">
        <v>1844</v>
      </c>
      <c r="GZS373" s="652"/>
      <c r="GZT373" s="652"/>
      <c r="GZU373" s="652"/>
      <c r="GZV373" s="652"/>
      <c r="GZW373" s="652"/>
      <c r="GZX373" s="652"/>
      <c r="GZY373" s="652"/>
      <c r="GZZ373" s="652"/>
      <c r="HAA373" s="652"/>
      <c r="HAB373" s="652"/>
      <c r="HAC373" s="652"/>
      <c r="HAD373" s="652"/>
      <c r="HAE373" s="629">
        <v>27.33</v>
      </c>
      <c r="HAF373" s="653">
        <f>((HAF362*HAA369)+(HAF366*HAA370)+(HAF366*HAA371))/HAF363</f>
        <v>27.332989917734402</v>
      </c>
      <c r="HAG373" s="651" t="s">
        <v>1843</v>
      </c>
      <c r="HAH373" s="627" t="s">
        <v>1844</v>
      </c>
      <c r="HAI373" s="652"/>
      <c r="HAJ373" s="652"/>
      <c r="HAK373" s="652"/>
      <c r="HAL373" s="652"/>
      <c r="HAM373" s="652"/>
      <c r="HAN373" s="652"/>
      <c r="HAO373" s="652"/>
      <c r="HAP373" s="652"/>
      <c r="HAQ373" s="652"/>
      <c r="HAR373" s="652"/>
      <c r="HAS373" s="652"/>
      <c r="HAT373" s="652"/>
      <c r="HAU373" s="629">
        <v>27.33</v>
      </c>
      <c r="HAV373" s="653">
        <f>((HAV362*HAQ369)+(HAV366*HAQ370)+(HAV366*HAQ371))/HAV363</f>
        <v>27.332989917734402</v>
      </c>
      <c r="HAW373" s="651" t="s">
        <v>1843</v>
      </c>
      <c r="HAX373" s="627" t="s">
        <v>1844</v>
      </c>
      <c r="HAY373" s="652"/>
      <c r="HAZ373" s="652"/>
      <c r="HBA373" s="652"/>
      <c r="HBB373" s="652"/>
      <c r="HBC373" s="652"/>
      <c r="HBD373" s="652"/>
      <c r="HBE373" s="652"/>
      <c r="HBF373" s="652"/>
      <c r="HBG373" s="652"/>
      <c r="HBH373" s="652"/>
      <c r="HBI373" s="652"/>
      <c r="HBJ373" s="652"/>
      <c r="HBK373" s="629">
        <v>27.33</v>
      </c>
      <c r="HBL373" s="653">
        <f>((HBL362*HBG369)+(HBL366*HBG370)+(HBL366*HBG371))/HBL363</f>
        <v>27.332989917734402</v>
      </c>
      <c r="HBM373" s="651" t="s">
        <v>1843</v>
      </c>
      <c r="HBN373" s="627" t="s">
        <v>1844</v>
      </c>
      <c r="HBO373" s="652"/>
      <c r="HBP373" s="652"/>
      <c r="HBQ373" s="652"/>
      <c r="HBR373" s="652"/>
      <c r="HBS373" s="652"/>
      <c r="HBT373" s="652"/>
      <c r="HBU373" s="652"/>
      <c r="HBV373" s="652"/>
      <c r="HBW373" s="652"/>
      <c r="HBX373" s="652"/>
      <c r="HBY373" s="652"/>
      <c r="HBZ373" s="652"/>
      <c r="HCA373" s="629">
        <v>27.33</v>
      </c>
      <c r="HCB373" s="653">
        <f>((HCB362*HBW369)+(HCB366*HBW370)+(HCB366*HBW371))/HCB363</f>
        <v>27.332989917734402</v>
      </c>
      <c r="HCC373" s="651" t="s">
        <v>1843</v>
      </c>
      <c r="HCD373" s="627" t="s">
        <v>1844</v>
      </c>
      <c r="HCE373" s="652"/>
      <c r="HCF373" s="652"/>
      <c r="HCG373" s="652"/>
      <c r="HCH373" s="652"/>
      <c r="HCI373" s="652"/>
      <c r="HCJ373" s="652"/>
      <c r="HCK373" s="652"/>
      <c r="HCL373" s="652"/>
      <c r="HCM373" s="652"/>
      <c r="HCN373" s="652"/>
      <c r="HCO373" s="652"/>
      <c r="HCP373" s="652"/>
      <c r="HCQ373" s="629">
        <v>27.33</v>
      </c>
      <c r="HCR373" s="653">
        <f>((HCR362*HCM369)+(HCR366*HCM370)+(HCR366*HCM371))/HCR363</f>
        <v>27.332989917734402</v>
      </c>
      <c r="HCS373" s="651" t="s">
        <v>1843</v>
      </c>
      <c r="HCT373" s="627" t="s">
        <v>1844</v>
      </c>
      <c r="HCU373" s="652"/>
      <c r="HCV373" s="652"/>
      <c r="HCW373" s="652"/>
      <c r="HCX373" s="652"/>
      <c r="HCY373" s="652"/>
      <c r="HCZ373" s="652"/>
      <c r="HDA373" s="652"/>
      <c r="HDB373" s="652"/>
      <c r="HDC373" s="652"/>
      <c r="HDD373" s="652"/>
      <c r="HDE373" s="652"/>
      <c r="HDF373" s="652"/>
      <c r="HDG373" s="629">
        <v>27.33</v>
      </c>
      <c r="HDH373" s="653">
        <f>((HDH362*HDC369)+(HDH366*HDC370)+(HDH366*HDC371))/HDH363</f>
        <v>27.332989917734402</v>
      </c>
      <c r="HDI373" s="651" t="s">
        <v>1843</v>
      </c>
      <c r="HDJ373" s="627" t="s">
        <v>1844</v>
      </c>
      <c r="HDK373" s="652"/>
      <c r="HDL373" s="652"/>
      <c r="HDM373" s="652"/>
      <c r="HDN373" s="652"/>
      <c r="HDO373" s="652"/>
      <c r="HDP373" s="652"/>
      <c r="HDQ373" s="652"/>
      <c r="HDR373" s="652"/>
      <c r="HDS373" s="652"/>
      <c r="HDT373" s="652"/>
      <c r="HDU373" s="652"/>
      <c r="HDV373" s="652"/>
      <c r="HDW373" s="629">
        <v>27.33</v>
      </c>
      <c r="HDX373" s="653">
        <f>((HDX362*HDS369)+(HDX366*HDS370)+(HDX366*HDS371))/HDX363</f>
        <v>27.332989917734402</v>
      </c>
      <c r="HDY373" s="651" t="s">
        <v>1843</v>
      </c>
      <c r="HDZ373" s="627" t="s">
        <v>1844</v>
      </c>
      <c r="HEA373" s="652"/>
      <c r="HEB373" s="652"/>
      <c r="HEC373" s="652"/>
      <c r="HED373" s="652"/>
      <c r="HEE373" s="652"/>
      <c r="HEF373" s="652"/>
      <c r="HEG373" s="652"/>
      <c r="HEH373" s="652"/>
      <c r="HEI373" s="652"/>
      <c r="HEJ373" s="652"/>
      <c r="HEK373" s="652"/>
      <c r="HEL373" s="652"/>
      <c r="HEM373" s="629">
        <v>27.33</v>
      </c>
      <c r="HEN373" s="653">
        <f>((HEN362*HEI369)+(HEN366*HEI370)+(HEN366*HEI371))/HEN363</f>
        <v>27.332989917734402</v>
      </c>
      <c r="HEO373" s="651" t="s">
        <v>1843</v>
      </c>
      <c r="HEP373" s="627" t="s">
        <v>1844</v>
      </c>
      <c r="HEQ373" s="652"/>
      <c r="HER373" s="652"/>
      <c r="HES373" s="652"/>
      <c r="HET373" s="652"/>
      <c r="HEU373" s="652"/>
      <c r="HEV373" s="652"/>
      <c r="HEW373" s="652"/>
      <c r="HEX373" s="652"/>
      <c r="HEY373" s="652"/>
      <c r="HEZ373" s="652"/>
      <c r="HFA373" s="652"/>
      <c r="HFB373" s="652"/>
      <c r="HFC373" s="629">
        <v>27.33</v>
      </c>
      <c r="HFD373" s="653">
        <f>((HFD362*HEY369)+(HFD366*HEY370)+(HFD366*HEY371))/HFD363</f>
        <v>27.332989917734402</v>
      </c>
      <c r="HFE373" s="651" t="s">
        <v>1843</v>
      </c>
      <c r="HFF373" s="627" t="s">
        <v>1844</v>
      </c>
      <c r="HFG373" s="652"/>
      <c r="HFH373" s="652"/>
      <c r="HFI373" s="652"/>
      <c r="HFJ373" s="652"/>
      <c r="HFK373" s="652"/>
      <c r="HFL373" s="652"/>
      <c r="HFM373" s="652"/>
      <c r="HFN373" s="652"/>
      <c r="HFO373" s="652"/>
      <c r="HFP373" s="652"/>
      <c r="HFQ373" s="652"/>
      <c r="HFR373" s="652"/>
      <c r="HFS373" s="629">
        <v>27.33</v>
      </c>
      <c r="HFT373" s="653">
        <f>((HFT362*HFO369)+(HFT366*HFO370)+(HFT366*HFO371))/HFT363</f>
        <v>27.332989917734402</v>
      </c>
      <c r="HFU373" s="651" t="s">
        <v>1843</v>
      </c>
      <c r="HFV373" s="627" t="s">
        <v>1844</v>
      </c>
      <c r="HFW373" s="652"/>
      <c r="HFX373" s="652"/>
      <c r="HFY373" s="652"/>
      <c r="HFZ373" s="652"/>
      <c r="HGA373" s="652"/>
      <c r="HGB373" s="652"/>
      <c r="HGC373" s="652"/>
      <c r="HGD373" s="652"/>
      <c r="HGE373" s="652"/>
      <c r="HGF373" s="652"/>
      <c r="HGG373" s="652"/>
      <c r="HGH373" s="652"/>
      <c r="HGI373" s="629">
        <v>27.33</v>
      </c>
      <c r="HGJ373" s="653">
        <f>((HGJ362*HGE369)+(HGJ366*HGE370)+(HGJ366*HGE371))/HGJ363</f>
        <v>27.332989917734402</v>
      </c>
      <c r="HGK373" s="651" t="s">
        <v>1843</v>
      </c>
      <c r="HGL373" s="627" t="s">
        <v>1844</v>
      </c>
      <c r="HGM373" s="652"/>
      <c r="HGN373" s="652"/>
      <c r="HGO373" s="652"/>
      <c r="HGP373" s="652"/>
      <c r="HGQ373" s="652"/>
      <c r="HGR373" s="652"/>
      <c r="HGS373" s="652"/>
      <c r="HGT373" s="652"/>
      <c r="HGU373" s="652"/>
      <c r="HGV373" s="652"/>
      <c r="HGW373" s="652"/>
      <c r="HGX373" s="652"/>
      <c r="HGY373" s="629">
        <v>27.33</v>
      </c>
      <c r="HGZ373" s="653">
        <f>((HGZ362*HGU369)+(HGZ366*HGU370)+(HGZ366*HGU371))/HGZ363</f>
        <v>27.332989917734402</v>
      </c>
      <c r="HHA373" s="651" t="s">
        <v>1843</v>
      </c>
      <c r="HHB373" s="627" t="s">
        <v>1844</v>
      </c>
      <c r="HHC373" s="652"/>
      <c r="HHD373" s="652"/>
      <c r="HHE373" s="652"/>
      <c r="HHF373" s="652"/>
      <c r="HHG373" s="652"/>
      <c r="HHH373" s="652"/>
      <c r="HHI373" s="652"/>
      <c r="HHJ373" s="652"/>
      <c r="HHK373" s="652"/>
      <c r="HHL373" s="652"/>
      <c r="HHM373" s="652"/>
      <c r="HHN373" s="652"/>
      <c r="HHO373" s="629">
        <v>27.33</v>
      </c>
      <c r="HHP373" s="653">
        <f>((HHP362*HHK369)+(HHP366*HHK370)+(HHP366*HHK371))/HHP363</f>
        <v>27.332989917734402</v>
      </c>
      <c r="HHQ373" s="651" t="s">
        <v>1843</v>
      </c>
      <c r="HHR373" s="627" t="s">
        <v>1844</v>
      </c>
      <c r="HHS373" s="652"/>
      <c r="HHT373" s="652"/>
      <c r="HHU373" s="652"/>
      <c r="HHV373" s="652"/>
      <c r="HHW373" s="652"/>
      <c r="HHX373" s="652"/>
      <c r="HHY373" s="652"/>
      <c r="HHZ373" s="652"/>
      <c r="HIA373" s="652"/>
      <c r="HIB373" s="652"/>
      <c r="HIC373" s="652"/>
      <c r="HID373" s="652"/>
      <c r="HIE373" s="629">
        <v>27.33</v>
      </c>
      <c r="HIF373" s="653">
        <f>((HIF362*HIA369)+(HIF366*HIA370)+(HIF366*HIA371))/HIF363</f>
        <v>27.332989917734402</v>
      </c>
      <c r="HIG373" s="651" t="s">
        <v>1843</v>
      </c>
      <c r="HIH373" s="627" t="s">
        <v>1844</v>
      </c>
      <c r="HII373" s="652"/>
      <c r="HIJ373" s="652"/>
      <c r="HIK373" s="652"/>
      <c r="HIL373" s="652"/>
      <c r="HIM373" s="652"/>
      <c r="HIN373" s="652"/>
      <c r="HIO373" s="652"/>
      <c r="HIP373" s="652"/>
      <c r="HIQ373" s="652"/>
      <c r="HIR373" s="652"/>
      <c r="HIS373" s="652"/>
      <c r="HIT373" s="652"/>
      <c r="HIU373" s="629">
        <v>27.33</v>
      </c>
      <c r="HIV373" s="653">
        <f>((HIV362*HIQ369)+(HIV366*HIQ370)+(HIV366*HIQ371))/HIV363</f>
        <v>27.332989917734402</v>
      </c>
      <c r="HIW373" s="651" t="s">
        <v>1843</v>
      </c>
      <c r="HIX373" s="627" t="s">
        <v>1844</v>
      </c>
      <c r="HIY373" s="652"/>
      <c r="HIZ373" s="652"/>
      <c r="HJA373" s="652"/>
      <c r="HJB373" s="652"/>
      <c r="HJC373" s="652"/>
      <c r="HJD373" s="652"/>
      <c r="HJE373" s="652"/>
      <c r="HJF373" s="652"/>
      <c r="HJG373" s="652"/>
      <c r="HJH373" s="652"/>
      <c r="HJI373" s="652"/>
      <c r="HJJ373" s="652"/>
      <c r="HJK373" s="629">
        <v>27.33</v>
      </c>
      <c r="HJL373" s="653">
        <f>((HJL362*HJG369)+(HJL366*HJG370)+(HJL366*HJG371))/HJL363</f>
        <v>27.332989917734402</v>
      </c>
      <c r="HJM373" s="651" t="s">
        <v>1843</v>
      </c>
      <c r="HJN373" s="627" t="s">
        <v>1844</v>
      </c>
      <c r="HJO373" s="652"/>
      <c r="HJP373" s="652"/>
      <c r="HJQ373" s="652"/>
      <c r="HJR373" s="652"/>
      <c r="HJS373" s="652"/>
      <c r="HJT373" s="652"/>
      <c r="HJU373" s="652"/>
      <c r="HJV373" s="652"/>
      <c r="HJW373" s="652"/>
      <c r="HJX373" s="652"/>
      <c r="HJY373" s="652"/>
      <c r="HJZ373" s="652"/>
      <c r="HKA373" s="629">
        <v>27.33</v>
      </c>
      <c r="HKB373" s="653">
        <f>((HKB362*HJW369)+(HKB366*HJW370)+(HKB366*HJW371))/HKB363</f>
        <v>27.332989917734402</v>
      </c>
      <c r="HKC373" s="651" t="s">
        <v>1843</v>
      </c>
      <c r="HKD373" s="627" t="s">
        <v>1844</v>
      </c>
      <c r="HKE373" s="652"/>
      <c r="HKF373" s="652"/>
      <c r="HKG373" s="652"/>
      <c r="HKH373" s="652"/>
      <c r="HKI373" s="652"/>
      <c r="HKJ373" s="652"/>
      <c r="HKK373" s="652"/>
      <c r="HKL373" s="652"/>
      <c r="HKM373" s="652"/>
      <c r="HKN373" s="652"/>
      <c r="HKO373" s="652"/>
      <c r="HKP373" s="652"/>
      <c r="HKQ373" s="629">
        <v>27.33</v>
      </c>
      <c r="HKR373" s="653">
        <f>((HKR362*HKM369)+(HKR366*HKM370)+(HKR366*HKM371))/HKR363</f>
        <v>27.332989917734402</v>
      </c>
      <c r="HKS373" s="651" t="s">
        <v>1843</v>
      </c>
      <c r="HKT373" s="627" t="s">
        <v>1844</v>
      </c>
      <c r="HKU373" s="652"/>
      <c r="HKV373" s="652"/>
      <c r="HKW373" s="652"/>
      <c r="HKX373" s="652"/>
      <c r="HKY373" s="652"/>
      <c r="HKZ373" s="652"/>
      <c r="HLA373" s="652"/>
      <c r="HLB373" s="652"/>
      <c r="HLC373" s="652"/>
      <c r="HLD373" s="652"/>
      <c r="HLE373" s="652"/>
      <c r="HLF373" s="652"/>
      <c r="HLG373" s="629">
        <v>27.33</v>
      </c>
      <c r="HLH373" s="653">
        <f>((HLH362*HLC369)+(HLH366*HLC370)+(HLH366*HLC371))/HLH363</f>
        <v>27.332989917734402</v>
      </c>
      <c r="HLI373" s="651" t="s">
        <v>1843</v>
      </c>
      <c r="HLJ373" s="627" t="s">
        <v>1844</v>
      </c>
      <c r="HLK373" s="652"/>
      <c r="HLL373" s="652"/>
      <c r="HLM373" s="652"/>
      <c r="HLN373" s="652"/>
      <c r="HLO373" s="652"/>
      <c r="HLP373" s="652"/>
      <c r="HLQ373" s="652"/>
      <c r="HLR373" s="652"/>
      <c r="HLS373" s="652"/>
      <c r="HLT373" s="652"/>
      <c r="HLU373" s="652"/>
      <c r="HLV373" s="652"/>
      <c r="HLW373" s="629">
        <v>27.33</v>
      </c>
      <c r="HLX373" s="653">
        <f>((HLX362*HLS369)+(HLX366*HLS370)+(HLX366*HLS371))/HLX363</f>
        <v>27.332989917734402</v>
      </c>
      <c r="HLY373" s="651" t="s">
        <v>1843</v>
      </c>
      <c r="HLZ373" s="627" t="s">
        <v>1844</v>
      </c>
      <c r="HMA373" s="652"/>
      <c r="HMB373" s="652"/>
      <c r="HMC373" s="652"/>
      <c r="HMD373" s="652"/>
      <c r="HME373" s="652"/>
      <c r="HMF373" s="652"/>
      <c r="HMG373" s="652"/>
      <c r="HMH373" s="652"/>
      <c r="HMI373" s="652"/>
      <c r="HMJ373" s="652"/>
      <c r="HMK373" s="652"/>
      <c r="HML373" s="652"/>
      <c r="HMM373" s="629">
        <v>27.33</v>
      </c>
      <c r="HMN373" s="653">
        <f>((HMN362*HMI369)+(HMN366*HMI370)+(HMN366*HMI371))/HMN363</f>
        <v>27.332989917734402</v>
      </c>
      <c r="HMO373" s="651" t="s">
        <v>1843</v>
      </c>
      <c r="HMP373" s="627" t="s">
        <v>1844</v>
      </c>
      <c r="HMQ373" s="652"/>
      <c r="HMR373" s="652"/>
      <c r="HMS373" s="652"/>
      <c r="HMT373" s="652"/>
      <c r="HMU373" s="652"/>
      <c r="HMV373" s="652"/>
      <c r="HMW373" s="652"/>
      <c r="HMX373" s="652"/>
      <c r="HMY373" s="652"/>
      <c r="HMZ373" s="652"/>
      <c r="HNA373" s="652"/>
      <c r="HNB373" s="652"/>
      <c r="HNC373" s="629">
        <v>27.33</v>
      </c>
      <c r="HND373" s="653">
        <f>((HND362*HMY369)+(HND366*HMY370)+(HND366*HMY371))/HND363</f>
        <v>27.332989917734402</v>
      </c>
      <c r="HNE373" s="651" t="s">
        <v>1843</v>
      </c>
      <c r="HNF373" s="627" t="s">
        <v>1844</v>
      </c>
      <c r="HNG373" s="652"/>
      <c r="HNH373" s="652"/>
      <c r="HNI373" s="652"/>
      <c r="HNJ373" s="652"/>
      <c r="HNK373" s="652"/>
      <c r="HNL373" s="652"/>
      <c r="HNM373" s="652"/>
      <c r="HNN373" s="652"/>
      <c r="HNO373" s="652"/>
      <c r="HNP373" s="652"/>
      <c r="HNQ373" s="652"/>
      <c r="HNR373" s="652"/>
      <c r="HNS373" s="629">
        <v>27.33</v>
      </c>
      <c r="HNT373" s="653">
        <f>((HNT362*HNO369)+(HNT366*HNO370)+(HNT366*HNO371))/HNT363</f>
        <v>27.332989917734402</v>
      </c>
      <c r="HNU373" s="651" t="s">
        <v>1843</v>
      </c>
      <c r="HNV373" s="627" t="s">
        <v>1844</v>
      </c>
      <c r="HNW373" s="652"/>
      <c r="HNX373" s="652"/>
      <c r="HNY373" s="652"/>
      <c r="HNZ373" s="652"/>
      <c r="HOA373" s="652"/>
      <c r="HOB373" s="652"/>
      <c r="HOC373" s="652"/>
      <c r="HOD373" s="652"/>
      <c r="HOE373" s="652"/>
      <c r="HOF373" s="652"/>
      <c r="HOG373" s="652"/>
      <c r="HOH373" s="652"/>
      <c r="HOI373" s="629">
        <v>27.33</v>
      </c>
      <c r="HOJ373" s="653">
        <f>((HOJ362*HOE369)+(HOJ366*HOE370)+(HOJ366*HOE371))/HOJ363</f>
        <v>27.332989917734402</v>
      </c>
      <c r="HOK373" s="651" t="s">
        <v>1843</v>
      </c>
      <c r="HOL373" s="627" t="s">
        <v>1844</v>
      </c>
      <c r="HOM373" s="652"/>
      <c r="HON373" s="652"/>
      <c r="HOO373" s="652"/>
      <c r="HOP373" s="652"/>
      <c r="HOQ373" s="652"/>
      <c r="HOR373" s="652"/>
      <c r="HOS373" s="652"/>
      <c r="HOT373" s="652"/>
      <c r="HOU373" s="652"/>
      <c r="HOV373" s="652"/>
      <c r="HOW373" s="652"/>
      <c r="HOX373" s="652"/>
      <c r="HOY373" s="629">
        <v>27.33</v>
      </c>
      <c r="HOZ373" s="653">
        <f>((HOZ362*HOU369)+(HOZ366*HOU370)+(HOZ366*HOU371))/HOZ363</f>
        <v>27.332989917734402</v>
      </c>
      <c r="HPA373" s="651" t="s">
        <v>1843</v>
      </c>
      <c r="HPB373" s="627" t="s">
        <v>1844</v>
      </c>
      <c r="HPC373" s="652"/>
      <c r="HPD373" s="652"/>
      <c r="HPE373" s="652"/>
      <c r="HPF373" s="652"/>
      <c r="HPG373" s="652"/>
      <c r="HPH373" s="652"/>
      <c r="HPI373" s="652"/>
      <c r="HPJ373" s="652"/>
      <c r="HPK373" s="652"/>
      <c r="HPL373" s="652"/>
      <c r="HPM373" s="652"/>
      <c r="HPN373" s="652"/>
      <c r="HPO373" s="629">
        <v>27.33</v>
      </c>
      <c r="HPP373" s="653">
        <f>((HPP362*HPK369)+(HPP366*HPK370)+(HPP366*HPK371))/HPP363</f>
        <v>27.332989917734402</v>
      </c>
      <c r="HPQ373" s="651" t="s">
        <v>1843</v>
      </c>
      <c r="HPR373" s="627" t="s">
        <v>1844</v>
      </c>
      <c r="HPS373" s="652"/>
      <c r="HPT373" s="652"/>
      <c r="HPU373" s="652"/>
      <c r="HPV373" s="652"/>
      <c r="HPW373" s="652"/>
      <c r="HPX373" s="652"/>
      <c r="HPY373" s="652"/>
      <c r="HPZ373" s="652"/>
      <c r="HQA373" s="652"/>
      <c r="HQB373" s="652"/>
      <c r="HQC373" s="652"/>
      <c r="HQD373" s="652"/>
      <c r="HQE373" s="629">
        <v>27.33</v>
      </c>
      <c r="HQF373" s="653">
        <f>((HQF362*HQA369)+(HQF366*HQA370)+(HQF366*HQA371))/HQF363</f>
        <v>27.332989917734402</v>
      </c>
      <c r="HQG373" s="651" t="s">
        <v>1843</v>
      </c>
      <c r="HQH373" s="627" t="s">
        <v>1844</v>
      </c>
      <c r="HQI373" s="652"/>
      <c r="HQJ373" s="652"/>
      <c r="HQK373" s="652"/>
      <c r="HQL373" s="652"/>
      <c r="HQM373" s="652"/>
      <c r="HQN373" s="652"/>
      <c r="HQO373" s="652"/>
      <c r="HQP373" s="652"/>
      <c r="HQQ373" s="652"/>
      <c r="HQR373" s="652"/>
      <c r="HQS373" s="652"/>
      <c r="HQT373" s="652"/>
      <c r="HQU373" s="629">
        <v>27.33</v>
      </c>
      <c r="HQV373" s="653">
        <f>((HQV362*HQQ369)+(HQV366*HQQ370)+(HQV366*HQQ371))/HQV363</f>
        <v>27.332989917734402</v>
      </c>
      <c r="HQW373" s="651" t="s">
        <v>1843</v>
      </c>
      <c r="HQX373" s="627" t="s">
        <v>1844</v>
      </c>
      <c r="HQY373" s="652"/>
      <c r="HQZ373" s="652"/>
      <c r="HRA373" s="652"/>
      <c r="HRB373" s="652"/>
      <c r="HRC373" s="652"/>
      <c r="HRD373" s="652"/>
      <c r="HRE373" s="652"/>
      <c r="HRF373" s="652"/>
      <c r="HRG373" s="652"/>
      <c r="HRH373" s="652"/>
      <c r="HRI373" s="652"/>
      <c r="HRJ373" s="652"/>
      <c r="HRK373" s="629">
        <v>27.33</v>
      </c>
      <c r="HRL373" s="653">
        <f>((HRL362*HRG369)+(HRL366*HRG370)+(HRL366*HRG371))/HRL363</f>
        <v>27.332989917734402</v>
      </c>
      <c r="HRM373" s="651" t="s">
        <v>1843</v>
      </c>
      <c r="HRN373" s="627" t="s">
        <v>1844</v>
      </c>
      <c r="HRO373" s="652"/>
      <c r="HRP373" s="652"/>
      <c r="HRQ373" s="652"/>
      <c r="HRR373" s="652"/>
      <c r="HRS373" s="652"/>
      <c r="HRT373" s="652"/>
      <c r="HRU373" s="652"/>
      <c r="HRV373" s="652"/>
      <c r="HRW373" s="652"/>
      <c r="HRX373" s="652"/>
      <c r="HRY373" s="652"/>
      <c r="HRZ373" s="652"/>
      <c r="HSA373" s="629">
        <v>27.33</v>
      </c>
      <c r="HSB373" s="653">
        <f>((HSB362*HRW369)+(HSB366*HRW370)+(HSB366*HRW371))/HSB363</f>
        <v>27.332989917734402</v>
      </c>
      <c r="HSC373" s="651" t="s">
        <v>1843</v>
      </c>
      <c r="HSD373" s="627" t="s">
        <v>1844</v>
      </c>
      <c r="HSE373" s="652"/>
      <c r="HSF373" s="652"/>
      <c r="HSG373" s="652"/>
      <c r="HSH373" s="652"/>
      <c r="HSI373" s="652"/>
      <c r="HSJ373" s="652"/>
      <c r="HSK373" s="652"/>
      <c r="HSL373" s="652"/>
      <c r="HSM373" s="652"/>
      <c r="HSN373" s="652"/>
      <c r="HSO373" s="652"/>
      <c r="HSP373" s="652"/>
      <c r="HSQ373" s="629">
        <v>27.33</v>
      </c>
      <c r="HSR373" s="653">
        <f>((HSR362*HSM369)+(HSR366*HSM370)+(HSR366*HSM371))/HSR363</f>
        <v>27.332989917734402</v>
      </c>
      <c r="HSS373" s="651" t="s">
        <v>1843</v>
      </c>
      <c r="HST373" s="627" t="s">
        <v>1844</v>
      </c>
      <c r="HSU373" s="652"/>
      <c r="HSV373" s="652"/>
      <c r="HSW373" s="652"/>
      <c r="HSX373" s="652"/>
      <c r="HSY373" s="652"/>
      <c r="HSZ373" s="652"/>
      <c r="HTA373" s="652"/>
      <c r="HTB373" s="652"/>
      <c r="HTC373" s="652"/>
      <c r="HTD373" s="652"/>
      <c r="HTE373" s="652"/>
      <c r="HTF373" s="652"/>
      <c r="HTG373" s="629">
        <v>27.33</v>
      </c>
      <c r="HTH373" s="653">
        <f>((HTH362*HTC369)+(HTH366*HTC370)+(HTH366*HTC371))/HTH363</f>
        <v>27.332989917734402</v>
      </c>
      <c r="HTI373" s="651" t="s">
        <v>1843</v>
      </c>
      <c r="HTJ373" s="627" t="s">
        <v>1844</v>
      </c>
      <c r="HTK373" s="652"/>
      <c r="HTL373" s="652"/>
      <c r="HTM373" s="652"/>
      <c r="HTN373" s="652"/>
      <c r="HTO373" s="652"/>
      <c r="HTP373" s="652"/>
      <c r="HTQ373" s="652"/>
      <c r="HTR373" s="652"/>
      <c r="HTS373" s="652"/>
      <c r="HTT373" s="652"/>
      <c r="HTU373" s="652"/>
      <c r="HTV373" s="652"/>
      <c r="HTW373" s="629">
        <v>27.33</v>
      </c>
      <c r="HTX373" s="653">
        <f>((HTX362*HTS369)+(HTX366*HTS370)+(HTX366*HTS371))/HTX363</f>
        <v>27.332989917734402</v>
      </c>
      <c r="HTY373" s="651" t="s">
        <v>1843</v>
      </c>
      <c r="HTZ373" s="627" t="s">
        <v>1844</v>
      </c>
      <c r="HUA373" s="652"/>
      <c r="HUB373" s="652"/>
      <c r="HUC373" s="652"/>
      <c r="HUD373" s="652"/>
      <c r="HUE373" s="652"/>
      <c r="HUF373" s="652"/>
      <c r="HUG373" s="652"/>
      <c r="HUH373" s="652"/>
      <c r="HUI373" s="652"/>
      <c r="HUJ373" s="652"/>
      <c r="HUK373" s="652"/>
      <c r="HUL373" s="652"/>
      <c r="HUM373" s="629">
        <v>27.33</v>
      </c>
      <c r="HUN373" s="653">
        <f>((HUN362*HUI369)+(HUN366*HUI370)+(HUN366*HUI371))/HUN363</f>
        <v>27.332989917734402</v>
      </c>
      <c r="HUO373" s="651" t="s">
        <v>1843</v>
      </c>
      <c r="HUP373" s="627" t="s">
        <v>1844</v>
      </c>
      <c r="HUQ373" s="652"/>
      <c r="HUR373" s="652"/>
      <c r="HUS373" s="652"/>
      <c r="HUT373" s="652"/>
      <c r="HUU373" s="652"/>
      <c r="HUV373" s="652"/>
      <c r="HUW373" s="652"/>
      <c r="HUX373" s="652"/>
      <c r="HUY373" s="652"/>
      <c r="HUZ373" s="652"/>
      <c r="HVA373" s="652"/>
      <c r="HVB373" s="652"/>
      <c r="HVC373" s="629">
        <v>27.33</v>
      </c>
      <c r="HVD373" s="653">
        <f>((HVD362*HUY369)+(HVD366*HUY370)+(HVD366*HUY371))/HVD363</f>
        <v>27.332989917734402</v>
      </c>
      <c r="HVE373" s="651" t="s">
        <v>1843</v>
      </c>
      <c r="HVF373" s="627" t="s">
        <v>1844</v>
      </c>
      <c r="HVG373" s="652"/>
      <c r="HVH373" s="652"/>
      <c r="HVI373" s="652"/>
      <c r="HVJ373" s="652"/>
      <c r="HVK373" s="652"/>
      <c r="HVL373" s="652"/>
      <c r="HVM373" s="652"/>
      <c r="HVN373" s="652"/>
      <c r="HVO373" s="652"/>
      <c r="HVP373" s="652"/>
      <c r="HVQ373" s="652"/>
      <c r="HVR373" s="652"/>
      <c r="HVS373" s="629">
        <v>27.33</v>
      </c>
      <c r="HVT373" s="653">
        <f>((HVT362*HVO369)+(HVT366*HVO370)+(HVT366*HVO371))/HVT363</f>
        <v>27.332989917734402</v>
      </c>
      <c r="HVU373" s="651" t="s">
        <v>1843</v>
      </c>
      <c r="HVV373" s="627" t="s">
        <v>1844</v>
      </c>
      <c r="HVW373" s="652"/>
      <c r="HVX373" s="652"/>
      <c r="HVY373" s="652"/>
      <c r="HVZ373" s="652"/>
      <c r="HWA373" s="652"/>
      <c r="HWB373" s="652"/>
      <c r="HWC373" s="652"/>
      <c r="HWD373" s="652"/>
      <c r="HWE373" s="652"/>
      <c r="HWF373" s="652"/>
      <c r="HWG373" s="652"/>
      <c r="HWH373" s="652"/>
      <c r="HWI373" s="629">
        <v>27.33</v>
      </c>
      <c r="HWJ373" s="653">
        <f>((HWJ362*HWE369)+(HWJ366*HWE370)+(HWJ366*HWE371))/HWJ363</f>
        <v>27.332989917734402</v>
      </c>
      <c r="HWK373" s="651" t="s">
        <v>1843</v>
      </c>
      <c r="HWL373" s="627" t="s">
        <v>1844</v>
      </c>
      <c r="HWM373" s="652"/>
      <c r="HWN373" s="652"/>
      <c r="HWO373" s="652"/>
      <c r="HWP373" s="652"/>
      <c r="HWQ373" s="652"/>
      <c r="HWR373" s="652"/>
      <c r="HWS373" s="652"/>
      <c r="HWT373" s="652"/>
      <c r="HWU373" s="652"/>
      <c r="HWV373" s="652"/>
      <c r="HWW373" s="652"/>
      <c r="HWX373" s="652"/>
      <c r="HWY373" s="629">
        <v>27.33</v>
      </c>
      <c r="HWZ373" s="653">
        <f>((HWZ362*HWU369)+(HWZ366*HWU370)+(HWZ366*HWU371))/HWZ363</f>
        <v>27.332989917734402</v>
      </c>
      <c r="HXA373" s="651" t="s">
        <v>1843</v>
      </c>
      <c r="HXB373" s="627" t="s">
        <v>1844</v>
      </c>
      <c r="HXC373" s="652"/>
      <c r="HXD373" s="652"/>
      <c r="HXE373" s="652"/>
      <c r="HXF373" s="652"/>
      <c r="HXG373" s="652"/>
      <c r="HXH373" s="652"/>
      <c r="HXI373" s="652"/>
      <c r="HXJ373" s="652"/>
      <c r="HXK373" s="652"/>
      <c r="HXL373" s="652"/>
      <c r="HXM373" s="652"/>
      <c r="HXN373" s="652"/>
      <c r="HXO373" s="629">
        <v>27.33</v>
      </c>
      <c r="HXP373" s="653">
        <f>((HXP362*HXK369)+(HXP366*HXK370)+(HXP366*HXK371))/HXP363</f>
        <v>27.332989917734402</v>
      </c>
      <c r="HXQ373" s="651" t="s">
        <v>1843</v>
      </c>
      <c r="HXR373" s="627" t="s">
        <v>1844</v>
      </c>
      <c r="HXS373" s="652"/>
      <c r="HXT373" s="652"/>
      <c r="HXU373" s="652"/>
      <c r="HXV373" s="652"/>
      <c r="HXW373" s="652"/>
      <c r="HXX373" s="652"/>
      <c r="HXY373" s="652"/>
      <c r="HXZ373" s="652"/>
      <c r="HYA373" s="652"/>
      <c r="HYB373" s="652"/>
      <c r="HYC373" s="652"/>
      <c r="HYD373" s="652"/>
      <c r="HYE373" s="629">
        <v>27.33</v>
      </c>
      <c r="HYF373" s="653">
        <f>((HYF362*HYA369)+(HYF366*HYA370)+(HYF366*HYA371))/HYF363</f>
        <v>27.332989917734402</v>
      </c>
      <c r="HYG373" s="651" t="s">
        <v>1843</v>
      </c>
      <c r="HYH373" s="627" t="s">
        <v>1844</v>
      </c>
      <c r="HYI373" s="652"/>
      <c r="HYJ373" s="652"/>
      <c r="HYK373" s="652"/>
      <c r="HYL373" s="652"/>
      <c r="HYM373" s="652"/>
      <c r="HYN373" s="652"/>
      <c r="HYO373" s="652"/>
      <c r="HYP373" s="652"/>
      <c r="HYQ373" s="652"/>
      <c r="HYR373" s="652"/>
      <c r="HYS373" s="652"/>
      <c r="HYT373" s="652"/>
      <c r="HYU373" s="629">
        <v>27.33</v>
      </c>
      <c r="HYV373" s="653">
        <f>((HYV362*HYQ369)+(HYV366*HYQ370)+(HYV366*HYQ371))/HYV363</f>
        <v>27.332989917734402</v>
      </c>
      <c r="HYW373" s="651" t="s">
        <v>1843</v>
      </c>
      <c r="HYX373" s="627" t="s">
        <v>1844</v>
      </c>
      <c r="HYY373" s="652"/>
      <c r="HYZ373" s="652"/>
      <c r="HZA373" s="652"/>
      <c r="HZB373" s="652"/>
      <c r="HZC373" s="652"/>
      <c r="HZD373" s="652"/>
      <c r="HZE373" s="652"/>
      <c r="HZF373" s="652"/>
      <c r="HZG373" s="652"/>
      <c r="HZH373" s="652"/>
      <c r="HZI373" s="652"/>
      <c r="HZJ373" s="652"/>
      <c r="HZK373" s="629">
        <v>27.33</v>
      </c>
      <c r="HZL373" s="653">
        <f>((HZL362*HZG369)+(HZL366*HZG370)+(HZL366*HZG371))/HZL363</f>
        <v>27.332989917734402</v>
      </c>
      <c r="HZM373" s="651" t="s">
        <v>1843</v>
      </c>
      <c r="HZN373" s="627" t="s">
        <v>1844</v>
      </c>
      <c r="HZO373" s="652"/>
      <c r="HZP373" s="652"/>
      <c r="HZQ373" s="652"/>
      <c r="HZR373" s="652"/>
      <c r="HZS373" s="652"/>
      <c r="HZT373" s="652"/>
      <c r="HZU373" s="652"/>
      <c r="HZV373" s="652"/>
      <c r="HZW373" s="652"/>
      <c r="HZX373" s="652"/>
      <c r="HZY373" s="652"/>
      <c r="HZZ373" s="652"/>
      <c r="IAA373" s="629">
        <v>27.33</v>
      </c>
      <c r="IAB373" s="653">
        <f>((IAB362*HZW369)+(IAB366*HZW370)+(IAB366*HZW371))/IAB363</f>
        <v>27.332989917734402</v>
      </c>
      <c r="IAC373" s="651" t="s">
        <v>1843</v>
      </c>
      <c r="IAD373" s="627" t="s">
        <v>1844</v>
      </c>
      <c r="IAE373" s="652"/>
      <c r="IAF373" s="652"/>
      <c r="IAG373" s="652"/>
      <c r="IAH373" s="652"/>
      <c r="IAI373" s="652"/>
      <c r="IAJ373" s="652"/>
      <c r="IAK373" s="652"/>
      <c r="IAL373" s="652"/>
      <c r="IAM373" s="652"/>
      <c r="IAN373" s="652"/>
      <c r="IAO373" s="652"/>
      <c r="IAP373" s="652"/>
      <c r="IAQ373" s="629">
        <v>27.33</v>
      </c>
      <c r="IAR373" s="653">
        <f>((IAR362*IAM369)+(IAR366*IAM370)+(IAR366*IAM371))/IAR363</f>
        <v>27.332989917734402</v>
      </c>
      <c r="IAS373" s="651" t="s">
        <v>1843</v>
      </c>
      <c r="IAT373" s="627" t="s">
        <v>1844</v>
      </c>
      <c r="IAU373" s="652"/>
      <c r="IAV373" s="652"/>
      <c r="IAW373" s="652"/>
      <c r="IAX373" s="652"/>
      <c r="IAY373" s="652"/>
      <c r="IAZ373" s="652"/>
      <c r="IBA373" s="652"/>
      <c r="IBB373" s="652"/>
      <c r="IBC373" s="652"/>
      <c r="IBD373" s="652"/>
      <c r="IBE373" s="652"/>
      <c r="IBF373" s="652"/>
      <c r="IBG373" s="629">
        <v>27.33</v>
      </c>
      <c r="IBH373" s="653">
        <f>((IBH362*IBC369)+(IBH366*IBC370)+(IBH366*IBC371))/IBH363</f>
        <v>27.332989917734402</v>
      </c>
      <c r="IBI373" s="651" t="s">
        <v>1843</v>
      </c>
      <c r="IBJ373" s="627" t="s">
        <v>1844</v>
      </c>
      <c r="IBK373" s="652"/>
      <c r="IBL373" s="652"/>
      <c r="IBM373" s="652"/>
      <c r="IBN373" s="652"/>
      <c r="IBO373" s="652"/>
      <c r="IBP373" s="652"/>
      <c r="IBQ373" s="652"/>
      <c r="IBR373" s="652"/>
      <c r="IBS373" s="652"/>
      <c r="IBT373" s="652"/>
      <c r="IBU373" s="652"/>
      <c r="IBV373" s="652"/>
      <c r="IBW373" s="629">
        <v>27.33</v>
      </c>
      <c r="IBX373" s="653">
        <f>((IBX362*IBS369)+(IBX366*IBS370)+(IBX366*IBS371))/IBX363</f>
        <v>27.332989917734402</v>
      </c>
      <c r="IBY373" s="651" t="s">
        <v>1843</v>
      </c>
      <c r="IBZ373" s="627" t="s">
        <v>1844</v>
      </c>
      <c r="ICA373" s="652"/>
      <c r="ICB373" s="652"/>
      <c r="ICC373" s="652"/>
      <c r="ICD373" s="652"/>
      <c r="ICE373" s="652"/>
      <c r="ICF373" s="652"/>
      <c r="ICG373" s="652"/>
      <c r="ICH373" s="652"/>
      <c r="ICI373" s="652"/>
      <c r="ICJ373" s="652"/>
      <c r="ICK373" s="652"/>
      <c r="ICL373" s="652"/>
      <c r="ICM373" s="629">
        <v>27.33</v>
      </c>
      <c r="ICN373" s="653">
        <f>((ICN362*ICI369)+(ICN366*ICI370)+(ICN366*ICI371))/ICN363</f>
        <v>27.332989917734402</v>
      </c>
      <c r="ICO373" s="651" t="s">
        <v>1843</v>
      </c>
      <c r="ICP373" s="627" t="s">
        <v>1844</v>
      </c>
      <c r="ICQ373" s="652"/>
      <c r="ICR373" s="652"/>
      <c r="ICS373" s="652"/>
      <c r="ICT373" s="652"/>
      <c r="ICU373" s="652"/>
      <c r="ICV373" s="652"/>
      <c r="ICW373" s="652"/>
      <c r="ICX373" s="652"/>
      <c r="ICY373" s="652"/>
      <c r="ICZ373" s="652"/>
      <c r="IDA373" s="652"/>
      <c r="IDB373" s="652"/>
      <c r="IDC373" s="629">
        <v>27.33</v>
      </c>
      <c r="IDD373" s="653">
        <f>((IDD362*ICY369)+(IDD366*ICY370)+(IDD366*ICY371))/IDD363</f>
        <v>27.332989917734402</v>
      </c>
      <c r="IDE373" s="651" t="s">
        <v>1843</v>
      </c>
      <c r="IDF373" s="627" t="s">
        <v>1844</v>
      </c>
      <c r="IDG373" s="652"/>
      <c r="IDH373" s="652"/>
      <c r="IDI373" s="652"/>
      <c r="IDJ373" s="652"/>
      <c r="IDK373" s="652"/>
      <c r="IDL373" s="652"/>
      <c r="IDM373" s="652"/>
      <c r="IDN373" s="652"/>
      <c r="IDO373" s="652"/>
      <c r="IDP373" s="652"/>
      <c r="IDQ373" s="652"/>
      <c r="IDR373" s="652"/>
      <c r="IDS373" s="629">
        <v>27.33</v>
      </c>
      <c r="IDT373" s="653">
        <f>((IDT362*IDO369)+(IDT366*IDO370)+(IDT366*IDO371))/IDT363</f>
        <v>27.332989917734402</v>
      </c>
      <c r="IDU373" s="651" t="s">
        <v>1843</v>
      </c>
      <c r="IDV373" s="627" t="s">
        <v>1844</v>
      </c>
      <c r="IDW373" s="652"/>
      <c r="IDX373" s="652"/>
      <c r="IDY373" s="652"/>
      <c r="IDZ373" s="652"/>
      <c r="IEA373" s="652"/>
      <c r="IEB373" s="652"/>
      <c r="IEC373" s="652"/>
      <c r="IED373" s="652"/>
      <c r="IEE373" s="652"/>
      <c r="IEF373" s="652"/>
      <c r="IEG373" s="652"/>
      <c r="IEH373" s="652"/>
      <c r="IEI373" s="629">
        <v>27.33</v>
      </c>
      <c r="IEJ373" s="653">
        <f>((IEJ362*IEE369)+(IEJ366*IEE370)+(IEJ366*IEE371))/IEJ363</f>
        <v>27.332989917734402</v>
      </c>
      <c r="IEK373" s="651" t="s">
        <v>1843</v>
      </c>
      <c r="IEL373" s="627" t="s">
        <v>1844</v>
      </c>
      <c r="IEM373" s="652"/>
      <c r="IEN373" s="652"/>
      <c r="IEO373" s="652"/>
      <c r="IEP373" s="652"/>
      <c r="IEQ373" s="652"/>
      <c r="IER373" s="652"/>
      <c r="IES373" s="652"/>
      <c r="IET373" s="652"/>
      <c r="IEU373" s="652"/>
      <c r="IEV373" s="652"/>
      <c r="IEW373" s="652"/>
      <c r="IEX373" s="652"/>
      <c r="IEY373" s="629">
        <v>27.33</v>
      </c>
      <c r="IEZ373" s="653">
        <f>((IEZ362*IEU369)+(IEZ366*IEU370)+(IEZ366*IEU371))/IEZ363</f>
        <v>27.332989917734402</v>
      </c>
      <c r="IFA373" s="651" t="s">
        <v>1843</v>
      </c>
      <c r="IFB373" s="627" t="s">
        <v>1844</v>
      </c>
      <c r="IFC373" s="652"/>
      <c r="IFD373" s="652"/>
      <c r="IFE373" s="652"/>
      <c r="IFF373" s="652"/>
      <c r="IFG373" s="652"/>
      <c r="IFH373" s="652"/>
      <c r="IFI373" s="652"/>
      <c r="IFJ373" s="652"/>
      <c r="IFK373" s="652"/>
      <c r="IFL373" s="652"/>
      <c r="IFM373" s="652"/>
      <c r="IFN373" s="652"/>
      <c r="IFO373" s="629">
        <v>27.33</v>
      </c>
      <c r="IFP373" s="653">
        <f>((IFP362*IFK369)+(IFP366*IFK370)+(IFP366*IFK371))/IFP363</f>
        <v>27.332989917734402</v>
      </c>
      <c r="IFQ373" s="651" t="s">
        <v>1843</v>
      </c>
      <c r="IFR373" s="627" t="s">
        <v>1844</v>
      </c>
      <c r="IFS373" s="652"/>
      <c r="IFT373" s="652"/>
      <c r="IFU373" s="652"/>
      <c r="IFV373" s="652"/>
      <c r="IFW373" s="652"/>
      <c r="IFX373" s="652"/>
      <c r="IFY373" s="652"/>
      <c r="IFZ373" s="652"/>
      <c r="IGA373" s="652"/>
      <c r="IGB373" s="652"/>
      <c r="IGC373" s="652"/>
      <c r="IGD373" s="652"/>
      <c r="IGE373" s="629">
        <v>27.33</v>
      </c>
      <c r="IGF373" s="653">
        <f>((IGF362*IGA369)+(IGF366*IGA370)+(IGF366*IGA371))/IGF363</f>
        <v>27.332989917734402</v>
      </c>
      <c r="IGG373" s="651" t="s">
        <v>1843</v>
      </c>
      <c r="IGH373" s="627" t="s">
        <v>1844</v>
      </c>
      <c r="IGI373" s="652"/>
      <c r="IGJ373" s="652"/>
      <c r="IGK373" s="652"/>
      <c r="IGL373" s="652"/>
      <c r="IGM373" s="652"/>
      <c r="IGN373" s="652"/>
      <c r="IGO373" s="652"/>
      <c r="IGP373" s="652"/>
      <c r="IGQ373" s="652"/>
      <c r="IGR373" s="652"/>
      <c r="IGS373" s="652"/>
      <c r="IGT373" s="652"/>
      <c r="IGU373" s="629">
        <v>27.33</v>
      </c>
      <c r="IGV373" s="653">
        <f>((IGV362*IGQ369)+(IGV366*IGQ370)+(IGV366*IGQ371))/IGV363</f>
        <v>27.332989917734402</v>
      </c>
      <c r="IGW373" s="651" t="s">
        <v>1843</v>
      </c>
      <c r="IGX373" s="627" t="s">
        <v>1844</v>
      </c>
      <c r="IGY373" s="652"/>
      <c r="IGZ373" s="652"/>
      <c r="IHA373" s="652"/>
      <c r="IHB373" s="652"/>
      <c r="IHC373" s="652"/>
      <c r="IHD373" s="652"/>
      <c r="IHE373" s="652"/>
      <c r="IHF373" s="652"/>
      <c r="IHG373" s="652"/>
      <c r="IHH373" s="652"/>
      <c r="IHI373" s="652"/>
      <c r="IHJ373" s="652"/>
      <c r="IHK373" s="629">
        <v>27.33</v>
      </c>
      <c r="IHL373" s="653">
        <f>((IHL362*IHG369)+(IHL366*IHG370)+(IHL366*IHG371))/IHL363</f>
        <v>27.332989917734402</v>
      </c>
      <c r="IHM373" s="651" t="s">
        <v>1843</v>
      </c>
      <c r="IHN373" s="627" t="s">
        <v>1844</v>
      </c>
      <c r="IHO373" s="652"/>
      <c r="IHP373" s="652"/>
      <c r="IHQ373" s="652"/>
      <c r="IHR373" s="652"/>
      <c r="IHS373" s="652"/>
      <c r="IHT373" s="652"/>
      <c r="IHU373" s="652"/>
      <c r="IHV373" s="652"/>
      <c r="IHW373" s="652"/>
      <c r="IHX373" s="652"/>
      <c r="IHY373" s="652"/>
      <c r="IHZ373" s="652"/>
      <c r="IIA373" s="629">
        <v>27.33</v>
      </c>
      <c r="IIB373" s="653">
        <f>((IIB362*IHW369)+(IIB366*IHW370)+(IIB366*IHW371))/IIB363</f>
        <v>27.332989917734402</v>
      </c>
      <c r="IIC373" s="651" t="s">
        <v>1843</v>
      </c>
      <c r="IID373" s="627" t="s">
        <v>1844</v>
      </c>
      <c r="IIE373" s="652"/>
      <c r="IIF373" s="652"/>
      <c r="IIG373" s="652"/>
      <c r="IIH373" s="652"/>
      <c r="III373" s="652"/>
      <c r="IIJ373" s="652"/>
      <c r="IIK373" s="652"/>
      <c r="IIL373" s="652"/>
      <c r="IIM373" s="652"/>
      <c r="IIN373" s="652"/>
      <c r="IIO373" s="652"/>
      <c r="IIP373" s="652"/>
      <c r="IIQ373" s="629">
        <v>27.33</v>
      </c>
      <c r="IIR373" s="653">
        <f>((IIR362*IIM369)+(IIR366*IIM370)+(IIR366*IIM371))/IIR363</f>
        <v>27.332989917734402</v>
      </c>
      <c r="IIS373" s="651" t="s">
        <v>1843</v>
      </c>
      <c r="IIT373" s="627" t="s">
        <v>1844</v>
      </c>
      <c r="IIU373" s="652"/>
      <c r="IIV373" s="652"/>
      <c r="IIW373" s="652"/>
      <c r="IIX373" s="652"/>
      <c r="IIY373" s="652"/>
      <c r="IIZ373" s="652"/>
      <c r="IJA373" s="652"/>
      <c r="IJB373" s="652"/>
      <c r="IJC373" s="652"/>
      <c r="IJD373" s="652"/>
      <c r="IJE373" s="652"/>
      <c r="IJF373" s="652"/>
      <c r="IJG373" s="629">
        <v>27.33</v>
      </c>
      <c r="IJH373" s="653">
        <f>((IJH362*IJC369)+(IJH366*IJC370)+(IJH366*IJC371))/IJH363</f>
        <v>27.332989917734402</v>
      </c>
      <c r="IJI373" s="651" t="s">
        <v>1843</v>
      </c>
      <c r="IJJ373" s="627" t="s">
        <v>1844</v>
      </c>
      <c r="IJK373" s="652"/>
      <c r="IJL373" s="652"/>
      <c r="IJM373" s="652"/>
      <c r="IJN373" s="652"/>
      <c r="IJO373" s="652"/>
      <c r="IJP373" s="652"/>
      <c r="IJQ373" s="652"/>
      <c r="IJR373" s="652"/>
      <c r="IJS373" s="652"/>
      <c r="IJT373" s="652"/>
      <c r="IJU373" s="652"/>
      <c r="IJV373" s="652"/>
      <c r="IJW373" s="629">
        <v>27.33</v>
      </c>
      <c r="IJX373" s="653">
        <f>((IJX362*IJS369)+(IJX366*IJS370)+(IJX366*IJS371))/IJX363</f>
        <v>27.332989917734402</v>
      </c>
      <c r="IJY373" s="651" t="s">
        <v>1843</v>
      </c>
      <c r="IJZ373" s="627" t="s">
        <v>1844</v>
      </c>
      <c r="IKA373" s="652"/>
      <c r="IKB373" s="652"/>
      <c r="IKC373" s="652"/>
      <c r="IKD373" s="652"/>
      <c r="IKE373" s="652"/>
      <c r="IKF373" s="652"/>
      <c r="IKG373" s="652"/>
      <c r="IKH373" s="652"/>
      <c r="IKI373" s="652"/>
      <c r="IKJ373" s="652"/>
      <c r="IKK373" s="652"/>
      <c r="IKL373" s="652"/>
      <c r="IKM373" s="629">
        <v>27.33</v>
      </c>
      <c r="IKN373" s="653">
        <f>((IKN362*IKI369)+(IKN366*IKI370)+(IKN366*IKI371))/IKN363</f>
        <v>27.332989917734402</v>
      </c>
      <c r="IKO373" s="651" t="s">
        <v>1843</v>
      </c>
      <c r="IKP373" s="627" t="s">
        <v>1844</v>
      </c>
      <c r="IKQ373" s="652"/>
      <c r="IKR373" s="652"/>
      <c r="IKS373" s="652"/>
      <c r="IKT373" s="652"/>
      <c r="IKU373" s="652"/>
      <c r="IKV373" s="652"/>
      <c r="IKW373" s="652"/>
      <c r="IKX373" s="652"/>
      <c r="IKY373" s="652"/>
      <c r="IKZ373" s="652"/>
      <c r="ILA373" s="652"/>
      <c r="ILB373" s="652"/>
      <c r="ILC373" s="629">
        <v>27.33</v>
      </c>
      <c r="ILD373" s="653">
        <f>((ILD362*IKY369)+(ILD366*IKY370)+(ILD366*IKY371))/ILD363</f>
        <v>27.332989917734402</v>
      </c>
      <c r="ILE373" s="651" t="s">
        <v>1843</v>
      </c>
      <c r="ILF373" s="627" t="s">
        <v>1844</v>
      </c>
      <c r="ILG373" s="652"/>
      <c r="ILH373" s="652"/>
      <c r="ILI373" s="652"/>
      <c r="ILJ373" s="652"/>
      <c r="ILK373" s="652"/>
      <c r="ILL373" s="652"/>
      <c r="ILM373" s="652"/>
      <c r="ILN373" s="652"/>
      <c r="ILO373" s="652"/>
      <c r="ILP373" s="652"/>
      <c r="ILQ373" s="652"/>
      <c r="ILR373" s="652"/>
      <c r="ILS373" s="629">
        <v>27.33</v>
      </c>
      <c r="ILT373" s="653">
        <f>((ILT362*ILO369)+(ILT366*ILO370)+(ILT366*ILO371))/ILT363</f>
        <v>27.332989917734402</v>
      </c>
      <c r="ILU373" s="651" t="s">
        <v>1843</v>
      </c>
      <c r="ILV373" s="627" t="s">
        <v>1844</v>
      </c>
      <c r="ILW373" s="652"/>
      <c r="ILX373" s="652"/>
      <c r="ILY373" s="652"/>
      <c r="ILZ373" s="652"/>
      <c r="IMA373" s="652"/>
      <c r="IMB373" s="652"/>
      <c r="IMC373" s="652"/>
      <c r="IMD373" s="652"/>
      <c r="IME373" s="652"/>
      <c r="IMF373" s="652"/>
      <c r="IMG373" s="652"/>
      <c r="IMH373" s="652"/>
      <c r="IMI373" s="629">
        <v>27.33</v>
      </c>
      <c r="IMJ373" s="653">
        <f>((IMJ362*IME369)+(IMJ366*IME370)+(IMJ366*IME371))/IMJ363</f>
        <v>27.332989917734402</v>
      </c>
      <c r="IMK373" s="651" t="s">
        <v>1843</v>
      </c>
      <c r="IML373" s="627" t="s">
        <v>1844</v>
      </c>
      <c r="IMM373" s="652"/>
      <c r="IMN373" s="652"/>
      <c r="IMO373" s="652"/>
      <c r="IMP373" s="652"/>
      <c r="IMQ373" s="652"/>
      <c r="IMR373" s="652"/>
      <c r="IMS373" s="652"/>
      <c r="IMT373" s="652"/>
      <c r="IMU373" s="652"/>
      <c r="IMV373" s="652"/>
      <c r="IMW373" s="652"/>
      <c r="IMX373" s="652"/>
      <c r="IMY373" s="629">
        <v>27.33</v>
      </c>
      <c r="IMZ373" s="653">
        <f>((IMZ362*IMU369)+(IMZ366*IMU370)+(IMZ366*IMU371))/IMZ363</f>
        <v>27.332989917734402</v>
      </c>
      <c r="INA373" s="651" t="s">
        <v>1843</v>
      </c>
      <c r="INB373" s="627" t="s">
        <v>1844</v>
      </c>
      <c r="INC373" s="652"/>
      <c r="IND373" s="652"/>
      <c r="INE373" s="652"/>
      <c r="INF373" s="652"/>
      <c r="ING373" s="652"/>
      <c r="INH373" s="652"/>
      <c r="INI373" s="652"/>
      <c r="INJ373" s="652"/>
      <c r="INK373" s="652"/>
      <c r="INL373" s="652"/>
      <c r="INM373" s="652"/>
      <c r="INN373" s="652"/>
      <c r="INO373" s="629">
        <v>27.33</v>
      </c>
      <c r="INP373" s="653">
        <f>((INP362*INK369)+(INP366*INK370)+(INP366*INK371))/INP363</f>
        <v>27.332989917734402</v>
      </c>
      <c r="INQ373" s="651" t="s">
        <v>1843</v>
      </c>
      <c r="INR373" s="627" t="s">
        <v>1844</v>
      </c>
      <c r="INS373" s="652"/>
      <c r="INT373" s="652"/>
      <c r="INU373" s="652"/>
      <c r="INV373" s="652"/>
      <c r="INW373" s="652"/>
      <c r="INX373" s="652"/>
      <c r="INY373" s="652"/>
      <c r="INZ373" s="652"/>
      <c r="IOA373" s="652"/>
      <c r="IOB373" s="652"/>
      <c r="IOC373" s="652"/>
      <c r="IOD373" s="652"/>
      <c r="IOE373" s="629">
        <v>27.33</v>
      </c>
      <c r="IOF373" s="653">
        <f>((IOF362*IOA369)+(IOF366*IOA370)+(IOF366*IOA371))/IOF363</f>
        <v>27.332989917734402</v>
      </c>
      <c r="IOG373" s="651" t="s">
        <v>1843</v>
      </c>
      <c r="IOH373" s="627" t="s">
        <v>1844</v>
      </c>
      <c r="IOI373" s="652"/>
      <c r="IOJ373" s="652"/>
      <c r="IOK373" s="652"/>
      <c r="IOL373" s="652"/>
      <c r="IOM373" s="652"/>
      <c r="ION373" s="652"/>
      <c r="IOO373" s="652"/>
      <c r="IOP373" s="652"/>
      <c r="IOQ373" s="652"/>
      <c r="IOR373" s="652"/>
      <c r="IOS373" s="652"/>
      <c r="IOT373" s="652"/>
      <c r="IOU373" s="629">
        <v>27.33</v>
      </c>
      <c r="IOV373" s="653">
        <f>((IOV362*IOQ369)+(IOV366*IOQ370)+(IOV366*IOQ371))/IOV363</f>
        <v>27.332989917734402</v>
      </c>
      <c r="IOW373" s="651" t="s">
        <v>1843</v>
      </c>
      <c r="IOX373" s="627" t="s">
        <v>1844</v>
      </c>
      <c r="IOY373" s="652"/>
      <c r="IOZ373" s="652"/>
      <c r="IPA373" s="652"/>
      <c r="IPB373" s="652"/>
      <c r="IPC373" s="652"/>
      <c r="IPD373" s="652"/>
      <c r="IPE373" s="652"/>
      <c r="IPF373" s="652"/>
      <c r="IPG373" s="652"/>
      <c r="IPH373" s="652"/>
      <c r="IPI373" s="652"/>
      <c r="IPJ373" s="652"/>
      <c r="IPK373" s="629">
        <v>27.33</v>
      </c>
      <c r="IPL373" s="653">
        <f>((IPL362*IPG369)+(IPL366*IPG370)+(IPL366*IPG371))/IPL363</f>
        <v>27.332989917734402</v>
      </c>
      <c r="IPM373" s="651" t="s">
        <v>1843</v>
      </c>
      <c r="IPN373" s="627" t="s">
        <v>1844</v>
      </c>
      <c r="IPO373" s="652"/>
      <c r="IPP373" s="652"/>
      <c r="IPQ373" s="652"/>
      <c r="IPR373" s="652"/>
      <c r="IPS373" s="652"/>
      <c r="IPT373" s="652"/>
      <c r="IPU373" s="652"/>
      <c r="IPV373" s="652"/>
      <c r="IPW373" s="652"/>
      <c r="IPX373" s="652"/>
      <c r="IPY373" s="652"/>
      <c r="IPZ373" s="652"/>
      <c r="IQA373" s="629">
        <v>27.33</v>
      </c>
      <c r="IQB373" s="653">
        <f>((IQB362*IPW369)+(IQB366*IPW370)+(IQB366*IPW371))/IQB363</f>
        <v>27.332989917734402</v>
      </c>
      <c r="IQC373" s="651" t="s">
        <v>1843</v>
      </c>
      <c r="IQD373" s="627" t="s">
        <v>1844</v>
      </c>
      <c r="IQE373" s="652"/>
      <c r="IQF373" s="652"/>
      <c r="IQG373" s="652"/>
      <c r="IQH373" s="652"/>
      <c r="IQI373" s="652"/>
      <c r="IQJ373" s="652"/>
      <c r="IQK373" s="652"/>
      <c r="IQL373" s="652"/>
      <c r="IQM373" s="652"/>
      <c r="IQN373" s="652"/>
      <c r="IQO373" s="652"/>
      <c r="IQP373" s="652"/>
      <c r="IQQ373" s="629">
        <v>27.33</v>
      </c>
      <c r="IQR373" s="653">
        <f>((IQR362*IQM369)+(IQR366*IQM370)+(IQR366*IQM371))/IQR363</f>
        <v>27.332989917734402</v>
      </c>
      <c r="IQS373" s="651" t="s">
        <v>1843</v>
      </c>
      <c r="IQT373" s="627" t="s">
        <v>1844</v>
      </c>
      <c r="IQU373" s="652"/>
      <c r="IQV373" s="652"/>
      <c r="IQW373" s="652"/>
      <c r="IQX373" s="652"/>
      <c r="IQY373" s="652"/>
      <c r="IQZ373" s="652"/>
      <c r="IRA373" s="652"/>
      <c r="IRB373" s="652"/>
      <c r="IRC373" s="652"/>
      <c r="IRD373" s="652"/>
      <c r="IRE373" s="652"/>
      <c r="IRF373" s="652"/>
      <c r="IRG373" s="629">
        <v>27.33</v>
      </c>
      <c r="IRH373" s="653">
        <f>((IRH362*IRC369)+(IRH366*IRC370)+(IRH366*IRC371))/IRH363</f>
        <v>27.332989917734402</v>
      </c>
      <c r="IRI373" s="651" t="s">
        <v>1843</v>
      </c>
      <c r="IRJ373" s="627" t="s">
        <v>1844</v>
      </c>
      <c r="IRK373" s="652"/>
      <c r="IRL373" s="652"/>
      <c r="IRM373" s="652"/>
      <c r="IRN373" s="652"/>
      <c r="IRO373" s="652"/>
      <c r="IRP373" s="652"/>
      <c r="IRQ373" s="652"/>
      <c r="IRR373" s="652"/>
      <c r="IRS373" s="652"/>
      <c r="IRT373" s="652"/>
      <c r="IRU373" s="652"/>
      <c r="IRV373" s="652"/>
      <c r="IRW373" s="629">
        <v>27.33</v>
      </c>
      <c r="IRX373" s="653">
        <f>((IRX362*IRS369)+(IRX366*IRS370)+(IRX366*IRS371))/IRX363</f>
        <v>27.332989917734402</v>
      </c>
      <c r="IRY373" s="651" t="s">
        <v>1843</v>
      </c>
      <c r="IRZ373" s="627" t="s">
        <v>1844</v>
      </c>
      <c r="ISA373" s="652"/>
      <c r="ISB373" s="652"/>
      <c r="ISC373" s="652"/>
      <c r="ISD373" s="652"/>
      <c r="ISE373" s="652"/>
      <c r="ISF373" s="652"/>
      <c r="ISG373" s="652"/>
      <c r="ISH373" s="652"/>
      <c r="ISI373" s="652"/>
      <c r="ISJ373" s="652"/>
      <c r="ISK373" s="652"/>
      <c r="ISL373" s="652"/>
      <c r="ISM373" s="629">
        <v>27.33</v>
      </c>
      <c r="ISN373" s="653">
        <f>((ISN362*ISI369)+(ISN366*ISI370)+(ISN366*ISI371))/ISN363</f>
        <v>27.332989917734402</v>
      </c>
      <c r="ISO373" s="651" t="s">
        <v>1843</v>
      </c>
      <c r="ISP373" s="627" t="s">
        <v>1844</v>
      </c>
      <c r="ISQ373" s="652"/>
      <c r="ISR373" s="652"/>
      <c r="ISS373" s="652"/>
      <c r="IST373" s="652"/>
      <c r="ISU373" s="652"/>
      <c r="ISV373" s="652"/>
      <c r="ISW373" s="652"/>
      <c r="ISX373" s="652"/>
      <c r="ISY373" s="652"/>
      <c r="ISZ373" s="652"/>
      <c r="ITA373" s="652"/>
      <c r="ITB373" s="652"/>
      <c r="ITC373" s="629">
        <v>27.33</v>
      </c>
      <c r="ITD373" s="653">
        <f>((ITD362*ISY369)+(ITD366*ISY370)+(ITD366*ISY371))/ITD363</f>
        <v>27.332989917734402</v>
      </c>
      <c r="ITE373" s="651" t="s">
        <v>1843</v>
      </c>
      <c r="ITF373" s="627" t="s">
        <v>1844</v>
      </c>
      <c r="ITG373" s="652"/>
      <c r="ITH373" s="652"/>
      <c r="ITI373" s="652"/>
      <c r="ITJ373" s="652"/>
      <c r="ITK373" s="652"/>
      <c r="ITL373" s="652"/>
      <c r="ITM373" s="652"/>
      <c r="ITN373" s="652"/>
      <c r="ITO373" s="652"/>
      <c r="ITP373" s="652"/>
      <c r="ITQ373" s="652"/>
      <c r="ITR373" s="652"/>
      <c r="ITS373" s="629">
        <v>27.33</v>
      </c>
      <c r="ITT373" s="653">
        <f>((ITT362*ITO369)+(ITT366*ITO370)+(ITT366*ITO371))/ITT363</f>
        <v>27.332989917734402</v>
      </c>
      <c r="ITU373" s="651" t="s">
        <v>1843</v>
      </c>
      <c r="ITV373" s="627" t="s">
        <v>1844</v>
      </c>
      <c r="ITW373" s="652"/>
      <c r="ITX373" s="652"/>
      <c r="ITY373" s="652"/>
      <c r="ITZ373" s="652"/>
      <c r="IUA373" s="652"/>
      <c r="IUB373" s="652"/>
      <c r="IUC373" s="652"/>
      <c r="IUD373" s="652"/>
      <c r="IUE373" s="652"/>
      <c r="IUF373" s="652"/>
      <c r="IUG373" s="652"/>
      <c r="IUH373" s="652"/>
      <c r="IUI373" s="629">
        <v>27.33</v>
      </c>
      <c r="IUJ373" s="653">
        <f>((IUJ362*IUE369)+(IUJ366*IUE370)+(IUJ366*IUE371))/IUJ363</f>
        <v>27.332989917734402</v>
      </c>
      <c r="IUK373" s="651" t="s">
        <v>1843</v>
      </c>
      <c r="IUL373" s="627" t="s">
        <v>1844</v>
      </c>
      <c r="IUM373" s="652"/>
      <c r="IUN373" s="652"/>
      <c r="IUO373" s="652"/>
      <c r="IUP373" s="652"/>
      <c r="IUQ373" s="652"/>
      <c r="IUR373" s="652"/>
      <c r="IUS373" s="652"/>
      <c r="IUT373" s="652"/>
      <c r="IUU373" s="652"/>
      <c r="IUV373" s="652"/>
      <c r="IUW373" s="652"/>
      <c r="IUX373" s="652"/>
      <c r="IUY373" s="629">
        <v>27.33</v>
      </c>
      <c r="IUZ373" s="653">
        <f>((IUZ362*IUU369)+(IUZ366*IUU370)+(IUZ366*IUU371))/IUZ363</f>
        <v>27.332989917734402</v>
      </c>
      <c r="IVA373" s="651" t="s">
        <v>1843</v>
      </c>
      <c r="IVB373" s="627" t="s">
        <v>1844</v>
      </c>
      <c r="IVC373" s="652"/>
      <c r="IVD373" s="652"/>
      <c r="IVE373" s="652"/>
      <c r="IVF373" s="652"/>
      <c r="IVG373" s="652"/>
      <c r="IVH373" s="652"/>
      <c r="IVI373" s="652"/>
      <c r="IVJ373" s="652"/>
      <c r="IVK373" s="652"/>
      <c r="IVL373" s="652"/>
      <c r="IVM373" s="652"/>
      <c r="IVN373" s="652"/>
      <c r="IVO373" s="629">
        <v>27.33</v>
      </c>
      <c r="IVP373" s="653">
        <f>((IVP362*IVK369)+(IVP366*IVK370)+(IVP366*IVK371))/IVP363</f>
        <v>27.332989917734402</v>
      </c>
      <c r="IVQ373" s="651" t="s">
        <v>1843</v>
      </c>
      <c r="IVR373" s="627" t="s">
        <v>1844</v>
      </c>
      <c r="IVS373" s="652"/>
      <c r="IVT373" s="652"/>
      <c r="IVU373" s="652"/>
      <c r="IVV373" s="652"/>
      <c r="IVW373" s="652"/>
      <c r="IVX373" s="652"/>
      <c r="IVY373" s="652"/>
      <c r="IVZ373" s="652"/>
      <c r="IWA373" s="652"/>
      <c r="IWB373" s="652"/>
      <c r="IWC373" s="652"/>
      <c r="IWD373" s="652"/>
      <c r="IWE373" s="629">
        <v>27.33</v>
      </c>
      <c r="IWF373" s="653">
        <f>((IWF362*IWA369)+(IWF366*IWA370)+(IWF366*IWA371))/IWF363</f>
        <v>27.332989917734402</v>
      </c>
      <c r="IWG373" s="651" t="s">
        <v>1843</v>
      </c>
      <c r="IWH373" s="627" t="s">
        <v>1844</v>
      </c>
      <c r="IWI373" s="652"/>
      <c r="IWJ373" s="652"/>
      <c r="IWK373" s="652"/>
      <c r="IWL373" s="652"/>
      <c r="IWM373" s="652"/>
      <c r="IWN373" s="652"/>
      <c r="IWO373" s="652"/>
      <c r="IWP373" s="652"/>
      <c r="IWQ373" s="652"/>
      <c r="IWR373" s="652"/>
      <c r="IWS373" s="652"/>
      <c r="IWT373" s="652"/>
      <c r="IWU373" s="629">
        <v>27.33</v>
      </c>
      <c r="IWV373" s="653">
        <f>((IWV362*IWQ369)+(IWV366*IWQ370)+(IWV366*IWQ371))/IWV363</f>
        <v>27.332989917734402</v>
      </c>
      <c r="IWW373" s="651" t="s">
        <v>1843</v>
      </c>
      <c r="IWX373" s="627" t="s">
        <v>1844</v>
      </c>
      <c r="IWY373" s="652"/>
      <c r="IWZ373" s="652"/>
      <c r="IXA373" s="652"/>
      <c r="IXB373" s="652"/>
      <c r="IXC373" s="652"/>
      <c r="IXD373" s="652"/>
      <c r="IXE373" s="652"/>
      <c r="IXF373" s="652"/>
      <c r="IXG373" s="652"/>
      <c r="IXH373" s="652"/>
      <c r="IXI373" s="652"/>
      <c r="IXJ373" s="652"/>
      <c r="IXK373" s="629">
        <v>27.33</v>
      </c>
      <c r="IXL373" s="653">
        <f>((IXL362*IXG369)+(IXL366*IXG370)+(IXL366*IXG371))/IXL363</f>
        <v>27.332989917734402</v>
      </c>
      <c r="IXM373" s="651" t="s">
        <v>1843</v>
      </c>
      <c r="IXN373" s="627" t="s">
        <v>1844</v>
      </c>
      <c r="IXO373" s="652"/>
      <c r="IXP373" s="652"/>
      <c r="IXQ373" s="652"/>
      <c r="IXR373" s="652"/>
      <c r="IXS373" s="652"/>
      <c r="IXT373" s="652"/>
      <c r="IXU373" s="652"/>
      <c r="IXV373" s="652"/>
      <c r="IXW373" s="652"/>
      <c r="IXX373" s="652"/>
      <c r="IXY373" s="652"/>
      <c r="IXZ373" s="652"/>
      <c r="IYA373" s="629">
        <v>27.33</v>
      </c>
      <c r="IYB373" s="653">
        <f>((IYB362*IXW369)+(IYB366*IXW370)+(IYB366*IXW371))/IYB363</f>
        <v>27.332989917734402</v>
      </c>
      <c r="IYC373" s="651" t="s">
        <v>1843</v>
      </c>
      <c r="IYD373" s="627" t="s">
        <v>1844</v>
      </c>
      <c r="IYE373" s="652"/>
      <c r="IYF373" s="652"/>
      <c r="IYG373" s="652"/>
      <c r="IYH373" s="652"/>
      <c r="IYI373" s="652"/>
      <c r="IYJ373" s="652"/>
      <c r="IYK373" s="652"/>
      <c r="IYL373" s="652"/>
      <c r="IYM373" s="652"/>
      <c r="IYN373" s="652"/>
      <c r="IYO373" s="652"/>
      <c r="IYP373" s="652"/>
      <c r="IYQ373" s="629">
        <v>27.33</v>
      </c>
      <c r="IYR373" s="653">
        <f>((IYR362*IYM369)+(IYR366*IYM370)+(IYR366*IYM371))/IYR363</f>
        <v>27.332989917734402</v>
      </c>
      <c r="IYS373" s="651" t="s">
        <v>1843</v>
      </c>
      <c r="IYT373" s="627" t="s">
        <v>1844</v>
      </c>
      <c r="IYU373" s="652"/>
      <c r="IYV373" s="652"/>
      <c r="IYW373" s="652"/>
      <c r="IYX373" s="652"/>
      <c r="IYY373" s="652"/>
      <c r="IYZ373" s="652"/>
      <c r="IZA373" s="652"/>
      <c r="IZB373" s="652"/>
      <c r="IZC373" s="652"/>
      <c r="IZD373" s="652"/>
      <c r="IZE373" s="652"/>
      <c r="IZF373" s="652"/>
      <c r="IZG373" s="629">
        <v>27.33</v>
      </c>
      <c r="IZH373" s="653">
        <f>((IZH362*IZC369)+(IZH366*IZC370)+(IZH366*IZC371))/IZH363</f>
        <v>27.332989917734402</v>
      </c>
      <c r="IZI373" s="651" t="s">
        <v>1843</v>
      </c>
      <c r="IZJ373" s="627" t="s">
        <v>1844</v>
      </c>
      <c r="IZK373" s="652"/>
      <c r="IZL373" s="652"/>
      <c r="IZM373" s="652"/>
      <c r="IZN373" s="652"/>
      <c r="IZO373" s="652"/>
      <c r="IZP373" s="652"/>
      <c r="IZQ373" s="652"/>
      <c r="IZR373" s="652"/>
      <c r="IZS373" s="652"/>
      <c r="IZT373" s="652"/>
      <c r="IZU373" s="652"/>
      <c r="IZV373" s="652"/>
      <c r="IZW373" s="629">
        <v>27.33</v>
      </c>
      <c r="IZX373" s="653">
        <f>((IZX362*IZS369)+(IZX366*IZS370)+(IZX366*IZS371))/IZX363</f>
        <v>27.332989917734402</v>
      </c>
      <c r="IZY373" s="651" t="s">
        <v>1843</v>
      </c>
      <c r="IZZ373" s="627" t="s">
        <v>1844</v>
      </c>
      <c r="JAA373" s="652"/>
      <c r="JAB373" s="652"/>
      <c r="JAC373" s="652"/>
      <c r="JAD373" s="652"/>
      <c r="JAE373" s="652"/>
      <c r="JAF373" s="652"/>
      <c r="JAG373" s="652"/>
      <c r="JAH373" s="652"/>
      <c r="JAI373" s="652"/>
      <c r="JAJ373" s="652"/>
      <c r="JAK373" s="652"/>
      <c r="JAL373" s="652"/>
      <c r="JAM373" s="629">
        <v>27.33</v>
      </c>
      <c r="JAN373" s="653">
        <f>((JAN362*JAI369)+(JAN366*JAI370)+(JAN366*JAI371))/JAN363</f>
        <v>27.332989917734402</v>
      </c>
      <c r="JAO373" s="651" t="s">
        <v>1843</v>
      </c>
      <c r="JAP373" s="627" t="s">
        <v>1844</v>
      </c>
      <c r="JAQ373" s="652"/>
      <c r="JAR373" s="652"/>
      <c r="JAS373" s="652"/>
      <c r="JAT373" s="652"/>
      <c r="JAU373" s="652"/>
      <c r="JAV373" s="652"/>
      <c r="JAW373" s="652"/>
      <c r="JAX373" s="652"/>
      <c r="JAY373" s="652"/>
      <c r="JAZ373" s="652"/>
      <c r="JBA373" s="652"/>
      <c r="JBB373" s="652"/>
      <c r="JBC373" s="629">
        <v>27.33</v>
      </c>
      <c r="JBD373" s="653">
        <f>((JBD362*JAY369)+(JBD366*JAY370)+(JBD366*JAY371))/JBD363</f>
        <v>27.332989917734402</v>
      </c>
      <c r="JBE373" s="651" t="s">
        <v>1843</v>
      </c>
      <c r="JBF373" s="627" t="s">
        <v>1844</v>
      </c>
      <c r="JBG373" s="652"/>
      <c r="JBH373" s="652"/>
      <c r="JBI373" s="652"/>
      <c r="JBJ373" s="652"/>
      <c r="JBK373" s="652"/>
      <c r="JBL373" s="652"/>
      <c r="JBM373" s="652"/>
      <c r="JBN373" s="652"/>
      <c r="JBO373" s="652"/>
      <c r="JBP373" s="652"/>
      <c r="JBQ373" s="652"/>
      <c r="JBR373" s="652"/>
      <c r="JBS373" s="629">
        <v>27.33</v>
      </c>
      <c r="JBT373" s="653">
        <f>((JBT362*JBO369)+(JBT366*JBO370)+(JBT366*JBO371))/JBT363</f>
        <v>27.332989917734402</v>
      </c>
      <c r="JBU373" s="651" t="s">
        <v>1843</v>
      </c>
      <c r="JBV373" s="627" t="s">
        <v>1844</v>
      </c>
      <c r="JBW373" s="652"/>
      <c r="JBX373" s="652"/>
      <c r="JBY373" s="652"/>
      <c r="JBZ373" s="652"/>
      <c r="JCA373" s="652"/>
      <c r="JCB373" s="652"/>
      <c r="JCC373" s="652"/>
      <c r="JCD373" s="652"/>
      <c r="JCE373" s="652"/>
      <c r="JCF373" s="652"/>
      <c r="JCG373" s="652"/>
      <c r="JCH373" s="652"/>
      <c r="JCI373" s="629">
        <v>27.33</v>
      </c>
      <c r="JCJ373" s="653">
        <f>((JCJ362*JCE369)+(JCJ366*JCE370)+(JCJ366*JCE371))/JCJ363</f>
        <v>27.332989917734402</v>
      </c>
      <c r="JCK373" s="651" t="s">
        <v>1843</v>
      </c>
      <c r="JCL373" s="627" t="s">
        <v>1844</v>
      </c>
      <c r="JCM373" s="652"/>
      <c r="JCN373" s="652"/>
      <c r="JCO373" s="652"/>
      <c r="JCP373" s="652"/>
      <c r="JCQ373" s="652"/>
      <c r="JCR373" s="652"/>
      <c r="JCS373" s="652"/>
      <c r="JCT373" s="652"/>
      <c r="JCU373" s="652"/>
      <c r="JCV373" s="652"/>
      <c r="JCW373" s="652"/>
      <c r="JCX373" s="652"/>
      <c r="JCY373" s="629">
        <v>27.33</v>
      </c>
      <c r="JCZ373" s="653">
        <f>((JCZ362*JCU369)+(JCZ366*JCU370)+(JCZ366*JCU371))/JCZ363</f>
        <v>27.332989917734402</v>
      </c>
      <c r="JDA373" s="651" t="s">
        <v>1843</v>
      </c>
      <c r="JDB373" s="627" t="s">
        <v>1844</v>
      </c>
      <c r="JDC373" s="652"/>
      <c r="JDD373" s="652"/>
      <c r="JDE373" s="652"/>
      <c r="JDF373" s="652"/>
      <c r="JDG373" s="652"/>
      <c r="JDH373" s="652"/>
      <c r="JDI373" s="652"/>
      <c r="JDJ373" s="652"/>
      <c r="JDK373" s="652"/>
      <c r="JDL373" s="652"/>
      <c r="JDM373" s="652"/>
      <c r="JDN373" s="652"/>
      <c r="JDO373" s="629">
        <v>27.33</v>
      </c>
      <c r="JDP373" s="653">
        <f>((JDP362*JDK369)+(JDP366*JDK370)+(JDP366*JDK371))/JDP363</f>
        <v>27.332989917734402</v>
      </c>
      <c r="JDQ373" s="651" t="s">
        <v>1843</v>
      </c>
      <c r="JDR373" s="627" t="s">
        <v>1844</v>
      </c>
      <c r="JDS373" s="652"/>
      <c r="JDT373" s="652"/>
      <c r="JDU373" s="652"/>
      <c r="JDV373" s="652"/>
      <c r="JDW373" s="652"/>
      <c r="JDX373" s="652"/>
      <c r="JDY373" s="652"/>
      <c r="JDZ373" s="652"/>
      <c r="JEA373" s="652"/>
      <c r="JEB373" s="652"/>
      <c r="JEC373" s="652"/>
      <c r="JED373" s="652"/>
      <c r="JEE373" s="629">
        <v>27.33</v>
      </c>
      <c r="JEF373" s="653">
        <f>((JEF362*JEA369)+(JEF366*JEA370)+(JEF366*JEA371))/JEF363</f>
        <v>27.332989917734402</v>
      </c>
      <c r="JEG373" s="651" t="s">
        <v>1843</v>
      </c>
      <c r="JEH373" s="627" t="s">
        <v>1844</v>
      </c>
      <c r="JEI373" s="652"/>
      <c r="JEJ373" s="652"/>
      <c r="JEK373" s="652"/>
      <c r="JEL373" s="652"/>
      <c r="JEM373" s="652"/>
      <c r="JEN373" s="652"/>
      <c r="JEO373" s="652"/>
      <c r="JEP373" s="652"/>
      <c r="JEQ373" s="652"/>
      <c r="JER373" s="652"/>
      <c r="JES373" s="652"/>
      <c r="JET373" s="652"/>
      <c r="JEU373" s="629">
        <v>27.33</v>
      </c>
      <c r="JEV373" s="653">
        <f>((JEV362*JEQ369)+(JEV366*JEQ370)+(JEV366*JEQ371))/JEV363</f>
        <v>27.332989917734402</v>
      </c>
      <c r="JEW373" s="651" t="s">
        <v>1843</v>
      </c>
      <c r="JEX373" s="627" t="s">
        <v>1844</v>
      </c>
      <c r="JEY373" s="652"/>
      <c r="JEZ373" s="652"/>
      <c r="JFA373" s="652"/>
      <c r="JFB373" s="652"/>
      <c r="JFC373" s="652"/>
      <c r="JFD373" s="652"/>
      <c r="JFE373" s="652"/>
      <c r="JFF373" s="652"/>
      <c r="JFG373" s="652"/>
      <c r="JFH373" s="652"/>
      <c r="JFI373" s="652"/>
      <c r="JFJ373" s="652"/>
      <c r="JFK373" s="629">
        <v>27.33</v>
      </c>
      <c r="JFL373" s="653">
        <f>((JFL362*JFG369)+(JFL366*JFG370)+(JFL366*JFG371))/JFL363</f>
        <v>27.332989917734402</v>
      </c>
      <c r="JFM373" s="651" t="s">
        <v>1843</v>
      </c>
      <c r="JFN373" s="627" t="s">
        <v>1844</v>
      </c>
      <c r="JFO373" s="652"/>
      <c r="JFP373" s="652"/>
      <c r="JFQ373" s="652"/>
      <c r="JFR373" s="652"/>
      <c r="JFS373" s="652"/>
      <c r="JFT373" s="652"/>
      <c r="JFU373" s="652"/>
      <c r="JFV373" s="652"/>
      <c r="JFW373" s="652"/>
      <c r="JFX373" s="652"/>
      <c r="JFY373" s="652"/>
      <c r="JFZ373" s="652"/>
      <c r="JGA373" s="629">
        <v>27.33</v>
      </c>
      <c r="JGB373" s="653">
        <f>((JGB362*JFW369)+(JGB366*JFW370)+(JGB366*JFW371))/JGB363</f>
        <v>27.332989917734402</v>
      </c>
      <c r="JGC373" s="651" t="s">
        <v>1843</v>
      </c>
      <c r="JGD373" s="627" t="s">
        <v>1844</v>
      </c>
      <c r="JGE373" s="652"/>
      <c r="JGF373" s="652"/>
      <c r="JGG373" s="652"/>
      <c r="JGH373" s="652"/>
      <c r="JGI373" s="652"/>
      <c r="JGJ373" s="652"/>
      <c r="JGK373" s="652"/>
      <c r="JGL373" s="652"/>
      <c r="JGM373" s="652"/>
      <c r="JGN373" s="652"/>
      <c r="JGO373" s="652"/>
      <c r="JGP373" s="652"/>
      <c r="JGQ373" s="629">
        <v>27.33</v>
      </c>
      <c r="JGR373" s="653">
        <f>((JGR362*JGM369)+(JGR366*JGM370)+(JGR366*JGM371))/JGR363</f>
        <v>27.332989917734402</v>
      </c>
      <c r="JGS373" s="651" t="s">
        <v>1843</v>
      </c>
      <c r="JGT373" s="627" t="s">
        <v>1844</v>
      </c>
      <c r="JGU373" s="652"/>
      <c r="JGV373" s="652"/>
      <c r="JGW373" s="652"/>
      <c r="JGX373" s="652"/>
      <c r="JGY373" s="652"/>
      <c r="JGZ373" s="652"/>
      <c r="JHA373" s="652"/>
      <c r="JHB373" s="652"/>
      <c r="JHC373" s="652"/>
      <c r="JHD373" s="652"/>
      <c r="JHE373" s="652"/>
      <c r="JHF373" s="652"/>
      <c r="JHG373" s="629">
        <v>27.33</v>
      </c>
      <c r="JHH373" s="653">
        <f>((JHH362*JHC369)+(JHH366*JHC370)+(JHH366*JHC371))/JHH363</f>
        <v>27.332989917734402</v>
      </c>
      <c r="JHI373" s="651" t="s">
        <v>1843</v>
      </c>
      <c r="JHJ373" s="627" t="s">
        <v>1844</v>
      </c>
      <c r="JHK373" s="652"/>
      <c r="JHL373" s="652"/>
      <c r="JHM373" s="652"/>
      <c r="JHN373" s="652"/>
      <c r="JHO373" s="652"/>
      <c r="JHP373" s="652"/>
      <c r="JHQ373" s="652"/>
      <c r="JHR373" s="652"/>
      <c r="JHS373" s="652"/>
      <c r="JHT373" s="652"/>
      <c r="JHU373" s="652"/>
      <c r="JHV373" s="652"/>
      <c r="JHW373" s="629">
        <v>27.33</v>
      </c>
      <c r="JHX373" s="653">
        <f>((JHX362*JHS369)+(JHX366*JHS370)+(JHX366*JHS371))/JHX363</f>
        <v>27.332989917734402</v>
      </c>
      <c r="JHY373" s="651" t="s">
        <v>1843</v>
      </c>
      <c r="JHZ373" s="627" t="s">
        <v>1844</v>
      </c>
      <c r="JIA373" s="652"/>
      <c r="JIB373" s="652"/>
      <c r="JIC373" s="652"/>
      <c r="JID373" s="652"/>
      <c r="JIE373" s="652"/>
      <c r="JIF373" s="652"/>
      <c r="JIG373" s="652"/>
      <c r="JIH373" s="652"/>
      <c r="JII373" s="652"/>
      <c r="JIJ373" s="652"/>
      <c r="JIK373" s="652"/>
      <c r="JIL373" s="652"/>
      <c r="JIM373" s="629">
        <v>27.33</v>
      </c>
      <c r="JIN373" s="653">
        <f>((JIN362*JII369)+(JIN366*JII370)+(JIN366*JII371))/JIN363</f>
        <v>27.332989917734402</v>
      </c>
      <c r="JIO373" s="651" t="s">
        <v>1843</v>
      </c>
      <c r="JIP373" s="627" t="s">
        <v>1844</v>
      </c>
      <c r="JIQ373" s="652"/>
      <c r="JIR373" s="652"/>
      <c r="JIS373" s="652"/>
      <c r="JIT373" s="652"/>
      <c r="JIU373" s="652"/>
      <c r="JIV373" s="652"/>
      <c r="JIW373" s="652"/>
      <c r="JIX373" s="652"/>
      <c r="JIY373" s="652"/>
      <c r="JIZ373" s="652"/>
      <c r="JJA373" s="652"/>
      <c r="JJB373" s="652"/>
      <c r="JJC373" s="629">
        <v>27.33</v>
      </c>
      <c r="JJD373" s="653">
        <f>((JJD362*JIY369)+(JJD366*JIY370)+(JJD366*JIY371))/JJD363</f>
        <v>27.332989917734402</v>
      </c>
      <c r="JJE373" s="651" t="s">
        <v>1843</v>
      </c>
      <c r="JJF373" s="627" t="s">
        <v>1844</v>
      </c>
      <c r="JJG373" s="652"/>
      <c r="JJH373" s="652"/>
      <c r="JJI373" s="652"/>
      <c r="JJJ373" s="652"/>
      <c r="JJK373" s="652"/>
      <c r="JJL373" s="652"/>
      <c r="JJM373" s="652"/>
      <c r="JJN373" s="652"/>
      <c r="JJO373" s="652"/>
      <c r="JJP373" s="652"/>
      <c r="JJQ373" s="652"/>
      <c r="JJR373" s="652"/>
      <c r="JJS373" s="629">
        <v>27.33</v>
      </c>
      <c r="JJT373" s="653">
        <f>((JJT362*JJO369)+(JJT366*JJO370)+(JJT366*JJO371))/JJT363</f>
        <v>27.332989917734402</v>
      </c>
      <c r="JJU373" s="651" t="s">
        <v>1843</v>
      </c>
      <c r="JJV373" s="627" t="s">
        <v>1844</v>
      </c>
      <c r="JJW373" s="652"/>
      <c r="JJX373" s="652"/>
      <c r="JJY373" s="652"/>
      <c r="JJZ373" s="652"/>
      <c r="JKA373" s="652"/>
      <c r="JKB373" s="652"/>
      <c r="JKC373" s="652"/>
      <c r="JKD373" s="652"/>
      <c r="JKE373" s="652"/>
      <c r="JKF373" s="652"/>
      <c r="JKG373" s="652"/>
      <c r="JKH373" s="652"/>
      <c r="JKI373" s="629">
        <v>27.33</v>
      </c>
      <c r="JKJ373" s="653">
        <f>((JKJ362*JKE369)+(JKJ366*JKE370)+(JKJ366*JKE371))/JKJ363</f>
        <v>27.332989917734402</v>
      </c>
      <c r="JKK373" s="651" t="s">
        <v>1843</v>
      </c>
      <c r="JKL373" s="627" t="s">
        <v>1844</v>
      </c>
      <c r="JKM373" s="652"/>
      <c r="JKN373" s="652"/>
      <c r="JKO373" s="652"/>
      <c r="JKP373" s="652"/>
      <c r="JKQ373" s="652"/>
      <c r="JKR373" s="652"/>
      <c r="JKS373" s="652"/>
      <c r="JKT373" s="652"/>
      <c r="JKU373" s="652"/>
      <c r="JKV373" s="652"/>
      <c r="JKW373" s="652"/>
      <c r="JKX373" s="652"/>
      <c r="JKY373" s="629">
        <v>27.33</v>
      </c>
      <c r="JKZ373" s="653">
        <f>((JKZ362*JKU369)+(JKZ366*JKU370)+(JKZ366*JKU371))/JKZ363</f>
        <v>27.332989917734402</v>
      </c>
      <c r="JLA373" s="651" t="s">
        <v>1843</v>
      </c>
      <c r="JLB373" s="627" t="s">
        <v>1844</v>
      </c>
      <c r="JLC373" s="652"/>
      <c r="JLD373" s="652"/>
      <c r="JLE373" s="652"/>
      <c r="JLF373" s="652"/>
      <c r="JLG373" s="652"/>
      <c r="JLH373" s="652"/>
      <c r="JLI373" s="652"/>
      <c r="JLJ373" s="652"/>
      <c r="JLK373" s="652"/>
      <c r="JLL373" s="652"/>
      <c r="JLM373" s="652"/>
      <c r="JLN373" s="652"/>
      <c r="JLO373" s="629">
        <v>27.33</v>
      </c>
      <c r="JLP373" s="653">
        <f>((JLP362*JLK369)+(JLP366*JLK370)+(JLP366*JLK371))/JLP363</f>
        <v>27.332989917734402</v>
      </c>
      <c r="JLQ373" s="651" t="s">
        <v>1843</v>
      </c>
      <c r="JLR373" s="627" t="s">
        <v>1844</v>
      </c>
      <c r="JLS373" s="652"/>
      <c r="JLT373" s="652"/>
      <c r="JLU373" s="652"/>
      <c r="JLV373" s="652"/>
      <c r="JLW373" s="652"/>
      <c r="JLX373" s="652"/>
      <c r="JLY373" s="652"/>
      <c r="JLZ373" s="652"/>
      <c r="JMA373" s="652"/>
      <c r="JMB373" s="652"/>
      <c r="JMC373" s="652"/>
      <c r="JMD373" s="652"/>
      <c r="JME373" s="629">
        <v>27.33</v>
      </c>
      <c r="JMF373" s="653">
        <f>((JMF362*JMA369)+(JMF366*JMA370)+(JMF366*JMA371))/JMF363</f>
        <v>27.332989917734402</v>
      </c>
      <c r="JMG373" s="651" t="s">
        <v>1843</v>
      </c>
      <c r="JMH373" s="627" t="s">
        <v>1844</v>
      </c>
      <c r="JMI373" s="652"/>
      <c r="JMJ373" s="652"/>
      <c r="JMK373" s="652"/>
      <c r="JML373" s="652"/>
      <c r="JMM373" s="652"/>
      <c r="JMN373" s="652"/>
      <c r="JMO373" s="652"/>
      <c r="JMP373" s="652"/>
      <c r="JMQ373" s="652"/>
      <c r="JMR373" s="652"/>
      <c r="JMS373" s="652"/>
      <c r="JMT373" s="652"/>
      <c r="JMU373" s="629">
        <v>27.33</v>
      </c>
      <c r="JMV373" s="653">
        <f>((JMV362*JMQ369)+(JMV366*JMQ370)+(JMV366*JMQ371))/JMV363</f>
        <v>27.332989917734402</v>
      </c>
      <c r="JMW373" s="651" t="s">
        <v>1843</v>
      </c>
      <c r="JMX373" s="627" t="s">
        <v>1844</v>
      </c>
      <c r="JMY373" s="652"/>
      <c r="JMZ373" s="652"/>
      <c r="JNA373" s="652"/>
      <c r="JNB373" s="652"/>
      <c r="JNC373" s="652"/>
      <c r="JND373" s="652"/>
      <c r="JNE373" s="652"/>
      <c r="JNF373" s="652"/>
      <c r="JNG373" s="652"/>
      <c r="JNH373" s="652"/>
      <c r="JNI373" s="652"/>
      <c r="JNJ373" s="652"/>
      <c r="JNK373" s="629">
        <v>27.33</v>
      </c>
      <c r="JNL373" s="653">
        <f>((JNL362*JNG369)+(JNL366*JNG370)+(JNL366*JNG371))/JNL363</f>
        <v>27.332989917734402</v>
      </c>
      <c r="JNM373" s="651" t="s">
        <v>1843</v>
      </c>
      <c r="JNN373" s="627" t="s">
        <v>1844</v>
      </c>
      <c r="JNO373" s="652"/>
      <c r="JNP373" s="652"/>
      <c r="JNQ373" s="652"/>
      <c r="JNR373" s="652"/>
      <c r="JNS373" s="652"/>
      <c r="JNT373" s="652"/>
      <c r="JNU373" s="652"/>
      <c r="JNV373" s="652"/>
      <c r="JNW373" s="652"/>
      <c r="JNX373" s="652"/>
      <c r="JNY373" s="652"/>
      <c r="JNZ373" s="652"/>
      <c r="JOA373" s="629">
        <v>27.33</v>
      </c>
      <c r="JOB373" s="653">
        <f>((JOB362*JNW369)+(JOB366*JNW370)+(JOB366*JNW371))/JOB363</f>
        <v>27.332989917734402</v>
      </c>
      <c r="JOC373" s="651" t="s">
        <v>1843</v>
      </c>
      <c r="JOD373" s="627" t="s">
        <v>1844</v>
      </c>
      <c r="JOE373" s="652"/>
      <c r="JOF373" s="652"/>
      <c r="JOG373" s="652"/>
      <c r="JOH373" s="652"/>
      <c r="JOI373" s="652"/>
      <c r="JOJ373" s="652"/>
      <c r="JOK373" s="652"/>
      <c r="JOL373" s="652"/>
      <c r="JOM373" s="652"/>
      <c r="JON373" s="652"/>
      <c r="JOO373" s="652"/>
      <c r="JOP373" s="652"/>
      <c r="JOQ373" s="629">
        <v>27.33</v>
      </c>
      <c r="JOR373" s="653">
        <f>((JOR362*JOM369)+(JOR366*JOM370)+(JOR366*JOM371))/JOR363</f>
        <v>27.332989917734402</v>
      </c>
      <c r="JOS373" s="651" t="s">
        <v>1843</v>
      </c>
      <c r="JOT373" s="627" t="s">
        <v>1844</v>
      </c>
      <c r="JOU373" s="652"/>
      <c r="JOV373" s="652"/>
      <c r="JOW373" s="652"/>
      <c r="JOX373" s="652"/>
      <c r="JOY373" s="652"/>
      <c r="JOZ373" s="652"/>
      <c r="JPA373" s="652"/>
      <c r="JPB373" s="652"/>
      <c r="JPC373" s="652"/>
      <c r="JPD373" s="652"/>
      <c r="JPE373" s="652"/>
      <c r="JPF373" s="652"/>
      <c r="JPG373" s="629">
        <v>27.33</v>
      </c>
      <c r="JPH373" s="653">
        <f>((JPH362*JPC369)+(JPH366*JPC370)+(JPH366*JPC371))/JPH363</f>
        <v>27.332989917734402</v>
      </c>
      <c r="JPI373" s="651" t="s">
        <v>1843</v>
      </c>
      <c r="JPJ373" s="627" t="s">
        <v>1844</v>
      </c>
      <c r="JPK373" s="652"/>
      <c r="JPL373" s="652"/>
      <c r="JPM373" s="652"/>
      <c r="JPN373" s="652"/>
      <c r="JPO373" s="652"/>
      <c r="JPP373" s="652"/>
      <c r="JPQ373" s="652"/>
      <c r="JPR373" s="652"/>
      <c r="JPS373" s="652"/>
      <c r="JPT373" s="652"/>
      <c r="JPU373" s="652"/>
      <c r="JPV373" s="652"/>
      <c r="JPW373" s="629">
        <v>27.33</v>
      </c>
      <c r="JPX373" s="653">
        <f>((JPX362*JPS369)+(JPX366*JPS370)+(JPX366*JPS371))/JPX363</f>
        <v>27.332989917734402</v>
      </c>
      <c r="JPY373" s="651" t="s">
        <v>1843</v>
      </c>
      <c r="JPZ373" s="627" t="s">
        <v>1844</v>
      </c>
      <c r="JQA373" s="652"/>
      <c r="JQB373" s="652"/>
      <c r="JQC373" s="652"/>
      <c r="JQD373" s="652"/>
      <c r="JQE373" s="652"/>
      <c r="JQF373" s="652"/>
      <c r="JQG373" s="652"/>
      <c r="JQH373" s="652"/>
      <c r="JQI373" s="652"/>
      <c r="JQJ373" s="652"/>
      <c r="JQK373" s="652"/>
      <c r="JQL373" s="652"/>
      <c r="JQM373" s="629">
        <v>27.33</v>
      </c>
      <c r="JQN373" s="653">
        <f>((JQN362*JQI369)+(JQN366*JQI370)+(JQN366*JQI371))/JQN363</f>
        <v>27.332989917734402</v>
      </c>
      <c r="JQO373" s="651" t="s">
        <v>1843</v>
      </c>
      <c r="JQP373" s="627" t="s">
        <v>1844</v>
      </c>
      <c r="JQQ373" s="652"/>
      <c r="JQR373" s="652"/>
      <c r="JQS373" s="652"/>
      <c r="JQT373" s="652"/>
      <c r="JQU373" s="652"/>
      <c r="JQV373" s="652"/>
      <c r="JQW373" s="652"/>
      <c r="JQX373" s="652"/>
      <c r="JQY373" s="652"/>
      <c r="JQZ373" s="652"/>
      <c r="JRA373" s="652"/>
      <c r="JRB373" s="652"/>
      <c r="JRC373" s="629">
        <v>27.33</v>
      </c>
      <c r="JRD373" s="653">
        <f>((JRD362*JQY369)+(JRD366*JQY370)+(JRD366*JQY371))/JRD363</f>
        <v>27.332989917734402</v>
      </c>
      <c r="JRE373" s="651" t="s">
        <v>1843</v>
      </c>
      <c r="JRF373" s="627" t="s">
        <v>1844</v>
      </c>
      <c r="JRG373" s="652"/>
      <c r="JRH373" s="652"/>
      <c r="JRI373" s="652"/>
      <c r="JRJ373" s="652"/>
      <c r="JRK373" s="652"/>
      <c r="JRL373" s="652"/>
      <c r="JRM373" s="652"/>
      <c r="JRN373" s="652"/>
      <c r="JRO373" s="652"/>
      <c r="JRP373" s="652"/>
      <c r="JRQ373" s="652"/>
      <c r="JRR373" s="652"/>
      <c r="JRS373" s="629">
        <v>27.33</v>
      </c>
      <c r="JRT373" s="653">
        <f>((JRT362*JRO369)+(JRT366*JRO370)+(JRT366*JRO371))/JRT363</f>
        <v>27.332989917734402</v>
      </c>
      <c r="JRU373" s="651" t="s">
        <v>1843</v>
      </c>
      <c r="JRV373" s="627" t="s">
        <v>1844</v>
      </c>
      <c r="JRW373" s="652"/>
      <c r="JRX373" s="652"/>
      <c r="JRY373" s="652"/>
      <c r="JRZ373" s="652"/>
      <c r="JSA373" s="652"/>
      <c r="JSB373" s="652"/>
      <c r="JSC373" s="652"/>
      <c r="JSD373" s="652"/>
      <c r="JSE373" s="652"/>
      <c r="JSF373" s="652"/>
      <c r="JSG373" s="652"/>
      <c r="JSH373" s="652"/>
      <c r="JSI373" s="629">
        <v>27.33</v>
      </c>
      <c r="JSJ373" s="653">
        <f>((JSJ362*JSE369)+(JSJ366*JSE370)+(JSJ366*JSE371))/JSJ363</f>
        <v>27.332989917734402</v>
      </c>
      <c r="JSK373" s="651" t="s">
        <v>1843</v>
      </c>
      <c r="JSL373" s="627" t="s">
        <v>1844</v>
      </c>
      <c r="JSM373" s="652"/>
      <c r="JSN373" s="652"/>
      <c r="JSO373" s="652"/>
      <c r="JSP373" s="652"/>
      <c r="JSQ373" s="652"/>
      <c r="JSR373" s="652"/>
      <c r="JSS373" s="652"/>
      <c r="JST373" s="652"/>
      <c r="JSU373" s="652"/>
      <c r="JSV373" s="652"/>
      <c r="JSW373" s="652"/>
      <c r="JSX373" s="652"/>
      <c r="JSY373" s="629">
        <v>27.33</v>
      </c>
      <c r="JSZ373" s="653">
        <f>((JSZ362*JSU369)+(JSZ366*JSU370)+(JSZ366*JSU371))/JSZ363</f>
        <v>27.332989917734402</v>
      </c>
      <c r="JTA373" s="651" t="s">
        <v>1843</v>
      </c>
      <c r="JTB373" s="627" t="s">
        <v>1844</v>
      </c>
      <c r="JTC373" s="652"/>
      <c r="JTD373" s="652"/>
      <c r="JTE373" s="652"/>
      <c r="JTF373" s="652"/>
      <c r="JTG373" s="652"/>
      <c r="JTH373" s="652"/>
      <c r="JTI373" s="652"/>
      <c r="JTJ373" s="652"/>
      <c r="JTK373" s="652"/>
      <c r="JTL373" s="652"/>
      <c r="JTM373" s="652"/>
      <c r="JTN373" s="652"/>
      <c r="JTO373" s="629">
        <v>27.33</v>
      </c>
      <c r="JTP373" s="653">
        <f>((JTP362*JTK369)+(JTP366*JTK370)+(JTP366*JTK371))/JTP363</f>
        <v>27.332989917734402</v>
      </c>
      <c r="JTQ373" s="651" t="s">
        <v>1843</v>
      </c>
      <c r="JTR373" s="627" t="s">
        <v>1844</v>
      </c>
      <c r="JTS373" s="652"/>
      <c r="JTT373" s="652"/>
      <c r="JTU373" s="652"/>
      <c r="JTV373" s="652"/>
      <c r="JTW373" s="652"/>
      <c r="JTX373" s="652"/>
      <c r="JTY373" s="652"/>
      <c r="JTZ373" s="652"/>
      <c r="JUA373" s="652"/>
      <c r="JUB373" s="652"/>
      <c r="JUC373" s="652"/>
      <c r="JUD373" s="652"/>
      <c r="JUE373" s="629">
        <v>27.33</v>
      </c>
      <c r="JUF373" s="653">
        <f>((JUF362*JUA369)+(JUF366*JUA370)+(JUF366*JUA371))/JUF363</f>
        <v>27.332989917734402</v>
      </c>
      <c r="JUG373" s="651" t="s">
        <v>1843</v>
      </c>
      <c r="JUH373" s="627" t="s">
        <v>1844</v>
      </c>
      <c r="JUI373" s="652"/>
      <c r="JUJ373" s="652"/>
      <c r="JUK373" s="652"/>
      <c r="JUL373" s="652"/>
      <c r="JUM373" s="652"/>
      <c r="JUN373" s="652"/>
      <c r="JUO373" s="652"/>
      <c r="JUP373" s="652"/>
      <c r="JUQ373" s="652"/>
      <c r="JUR373" s="652"/>
      <c r="JUS373" s="652"/>
      <c r="JUT373" s="652"/>
      <c r="JUU373" s="629">
        <v>27.33</v>
      </c>
      <c r="JUV373" s="653">
        <f>((JUV362*JUQ369)+(JUV366*JUQ370)+(JUV366*JUQ371))/JUV363</f>
        <v>27.332989917734402</v>
      </c>
      <c r="JUW373" s="651" t="s">
        <v>1843</v>
      </c>
      <c r="JUX373" s="627" t="s">
        <v>1844</v>
      </c>
      <c r="JUY373" s="652"/>
      <c r="JUZ373" s="652"/>
      <c r="JVA373" s="652"/>
      <c r="JVB373" s="652"/>
      <c r="JVC373" s="652"/>
      <c r="JVD373" s="652"/>
      <c r="JVE373" s="652"/>
      <c r="JVF373" s="652"/>
      <c r="JVG373" s="652"/>
      <c r="JVH373" s="652"/>
      <c r="JVI373" s="652"/>
      <c r="JVJ373" s="652"/>
      <c r="JVK373" s="629">
        <v>27.33</v>
      </c>
      <c r="JVL373" s="653">
        <f>((JVL362*JVG369)+(JVL366*JVG370)+(JVL366*JVG371))/JVL363</f>
        <v>27.332989917734402</v>
      </c>
      <c r="JVM373" s="651" t="s">
        <v>1843</v>
      </c>
      <c r="JVN373" s="627" t="s">
        <v>1844</v>
      </c>
      <c r="JVO373" s="652"/>
      <c r="JVP373" s="652"/>
      <c r="JVQ373" s="652"/>
      <c r="JVR373" s="652"/>
      <c r="JVS373" s="652"/>
      <c r="JVT373" s="652"/>
      <c r="JVU373" s="652"/>
      <c r="JVV373" s="652"/>
      <c r="JVW373" s="652"/>
      <c r="JVX373" s="652"/>
      <c r="JVY373" s="652"/>
      <c r="JVZ373" s="652"/>
      <c r="JWA373" s="629">
        <v>27.33</v>
      </c>
      <c r="JWB373" s="653">
        <f>((JWB362*JVW369)+(JWB366*JVW370)+(JWB366*JVW371))/JWB363</f>
        <v>27.332989917734402</v>
      </c>
      <c r="JWC373" s="651" t="s">
        <v>1843</v>
      </c>
      <c r="JWD373" s="627" t="s">
        <v>1844</v>
      </c>
      <c r="JWE373" s="652"/>
      <c r="JWF373" s="652"/>
      <c r="JWG373" s="652"/>
      <c r="JWH373" s="652"/>
      <c r="JWI373" s="652"/>
      <c r="JWJ373" s="652"/>
      <c r="JWK373" s="652"/>
      <c r="JWL373" s="652"/>
      <c r="JWM373" s="652"/>
      <c r="JWN373" s="652"/>
      <c r="JWO373" s="652"/>
      <c r="JWP373" s="652"/>
      <c r="JWQ373" s="629">
        <v>27.33</v>
      </c>
      <c r="JWR373" s="653">
        <f>((JWR362*JWM369)+(JWR366*JWM370)+(JWR366*JWM371))/JWR363</f>
        <v>27.332989917734402</v>
      </c>
      <c r="JWS373" s="651" t="s">
        <v>1843</v>
      </c>
      <c r="JWT373" s="627" t="s">
        <v>1844</v>
      </c>
      <c r="JWU373" s="652"/>
      <c r="JWV373" s="652"/>
      <c r="JWW373" s="652"/>
      <c r="JWX373" s="652"/>
      <c r="JWY373" s="652"/>
      <c r="JWZ373" s="652"/>
      <c r="JXA373" s="652"/>
      <c r="JXB373" s="652"/>
      <c r="JXC373" s="652"/>
      <c r="JXD373" s="652"/>
      <c r="JXE373" s="652"/>
      <c r="JXF373" s="652"/>
      <c r="JXG373" s="629">
        <v>27.33</v>
      </c>
      <c r="JXH373" s="653">
        <f>((JXH362*JXC369)+(JXH366*JXC370)+(JXH366*JXC371))/JXH363</f>
        <v>27.332989917734402</v>
      </c>
      <c r="JXI373" s="651" t="s">
        <v>1843</v>
      </c>
      <c r="JXJ373" s="627" t="s">
        <v>1844</v>
      </c>
      <c r="JXK373" s="652"/>
      <c r="JXL373" s="652"/>
      <c r="JXM373" s="652"/>
      <c r="JXN373" s="652"/>
      <c r="JXO373" s="652"/>
      <c r="JXP373" s="652"/>
      <c r="JXQ373" s="652"/>
      <c r="JXR373" s="652"/>
      <c r="JXS373" s="652"/>
      <c r="JXT373" s="652"/>
      <c r="JXU373" s="652"/>
      <c r="JXV373" s="652"/>
      <c r="JXW373" s="629">
        <v>27.33</v>
      </c>
      <c r="JXX373" s="653">
        <f>((JXX362*JXS369)+(JXX366*JXS370)+(JXX366*JXS371))/JXX363</f>
        <v>27.332989917734402</v>
      </c>
      <c r="JXY373" s="651" t="s">
        <v>1843</v>
      </c>
      <c r="JXZ373" s="627" t="s">
        <v>1844</v>
      </c>
      <c r="JYA373" s="652"/>
      <c r="JYB373" s="652"/>
      <c r="JYC373" s="652"/>
      <c r="JYD373" s="652"/>
      <c r="JYE373" s="652"/>
      <c r="JYF373" s="652"/>
      <c r="JYG373" s="652"/>
      <c r="JYH373" s="652"/>
      <c r="JYI373" s="652"/>
      <c r="JYJ373" s="652"/>
      <c r="JYK373" s="652"/>
      <c r="JYL373" s="652"/>
      <c r="JYM373" s="629">
        <v>27.33</v>
      </c>
      <c r="JYN373" s="653">
        <f>((JYN362*JYI369)+(JYN366*JYI370)+(JYN366*JYI371))/JYN363</f>
        <v>27.332989917734402</v>
      </c>
      <c r="JYO373" s="651" t="s">
        <v>1843</v>
      </c>
      <c r="JYP373" s="627" t="s">
        <v>1844</v>
      </c>
      <c r="JYQ373" s="652"/>
      <c r="JYR373" s="652"/>
      <c r="JYS373" s="652"/>
      <c r="JYT373" s="652"/>
      <c r="JYU373" s="652"/>
      <c r="JYV373" s="652"/>
      <c r="JYW373" s="652"/>
      <c r="JYX373" s="652"/>
      <c r="JYY373" s="652"/>
      <c r="JYZ373" s="652"/>
      <c r="JZA373" s="652"/>
      <c r="JZB373" s="652"/>
      <c r="JZC373" s="629">
        <v>27.33</v>
      </c>
      <c r="JZD373" s="653">
        <f>((JZD362*JYY369)+(JZD366*JYY370)+(JZD366*JYY371))/JZD363</f>
        <v>27.332989917734402</v>
      </c>
      <c r="JZE373" s="651" t="s">
        <v>1843</v>
      </c>
      <c r="JZF373" s="627" t="s">
        <v>1844</v>
      </c>
      <c r="JZG373" s="652"/>
      <c r="JZH373" s="652"/>
      <c r="JZI373" s="652"/>
      <c r="JZJ373" s="652"/>
      <c r="JZK373" s="652"/>
      <c r="JZL373" s="652"/>
      <c r="JZM373" s="652"/>
      <c r="JZN373" s="652"/>
      <c r="JZO373" s="652"/>
      <c r="JZP373" s="652"/>
      <c r="JZQ373" s="652"/>
      <c r="JZR373" s="652"/>
      <c r="JZS373" s="629">
        <v>27.33</v>
      </c>
      <c r="JZT373" s="653">
        <f>((JZT362*JZO369)+(JZT366*JZO370)+(JZT366*JZO371))/JZT363</f>
        <v>27.332989917734402</v>
      </c>
      <c r="JZU373" s="651" t="s">
        <v>1843</v>
      </c>
      <c r="JZV373" s="627" t="s">
        <v>1844</v>
      </c>
      <c r="JZW373" s="652"/>
      <c r="JZX373" s="652"/>
      <c r="JZY373" s="652"/>
      <c r="JZZ373" s="652"/>
      <c r="KAA373" s="652"/>
      <c r="KAB373" s="652"/>
      <c r="KAC373" s="652"/>
      <c r="KAD373" s="652"/>
      <c r="KAE373" s="652"/>
      <c r="KAF373" s="652"/>
      <c r="KAG373" s="652"/>
      <c r="KAH373" s="652"/>
      <c r="KAI373" s="629">
        <v>27.33</v>
      </c>
      <c r="KAJ373" s="653">
        <f>((KAJ362*KAE369)+(KAJ366*KAE370)+(KAJ366*KAE371))/KAJ363</f>
        <v>27.332989917734402</v>
      </c>
      <c r="KAK373" s="651" t="s">
        <v>1843</v>
      </c>
      <c r="KAL373" s="627" t="s">
        <v>1844</v>
      </c>
      <c r="KAM373" s="652"/>
      <c r="KAN373" s="652"/>
      <c r="KAO373" s="652"/>
      <c r="KAP373" s="652"/>
      <c r="KAQ373" s="652"/>
      <c r="KAR373" s="652"/>
      <c r="KAS373" s="652"/>
      <c r="KAT373" s="652"/>
      <c r="KAU373" s="652"/>
      <c r="KAV373" s="652"/>
      <c r="KAW373" s="652"/>
      <c r="KAX373" s="652"/>
      <c r="KAY373" s="629">
        <v>27.33</v>
      </c>
      <c r="KAZ373" s="653">
        <f>((KAZ362*KAU369)+(KAZ366*KAU370)+(KAZ366*KAU371))/KAZ363</f>
        <v>27.332989917734402</v>
      </c>
      <c r="KBA373" s="651" t="s">
        <v>1843</v>
      </c>
      <c r="KBB373" s="627" t="s">
        <v>1844</v>
      </c>
      <c r="KBC373" s="652"/>
      <c r="KBD373" s="652"/>
      <c r="KBE373" s="652"/>
      <c r="KBF373" s="652"/>
      <c r="KBG373" s="652"/>
      <c r="KBH373" s="652"/>
      <c r="KBI373" s="652"/>
      <c r="KBJ373" s="652"/>
      <c r="KBK373" s="652"/>
      <c r="KBL373" s="652"/>
      <c r="KBM373" s="652"/>
      <c r="KBN373" s="652"/>
      <c r="KBO373" s="629">
        <v>27.33</v>
      </c>
      <c r="KBP373" s="653">
        <f>((KBP362*KBK369)+(KBP366*KBK370)+(KBP366*KBK371))/KBP363</f>
        <v>27.332989917734402</v>
      </c>
      <c r="KBQ373" s="651" t="s">
        <v>1843</v>
      </c>
      <c r="KBR373" s="627" t="s">
        <v>1844</v>
      </c>
      <c r="KBS373" s="652"/>
      <c r="KBT373" s="652"/>
      <c r="KBU373" s="652"/>
      <c r="KBV373" s="652"/>
      <c r="KBW373" s="652"/>
      <c r="KBX373" s="652"/>
      <c r="KBY373" s="652"/>
      <c r="KBZ373" s="652"/>
      <c r="KCA373" s="652"/>
      <c r="KCB373" s="652"/>
      <c r="KCC373" s="652"/>
      <c r="KCD373" s="652"/>
      <c r="KCE373" s="629">
        <v>27.33</v>
      </c>
      <c r="KCF373" s="653">
        <f>((KCF362*KCA369)+(KCF366*KCA370)+(KCF366*KCA371))/KCF363</f>
        <v>27.332989917734402</v>
      </c>
      <c r="KCG373" s="651" t="s">
        <v>1843</v>
      </c>
      <c r="KCH373" s="627" t="s">
        <v>1844</v>
      </c>
      <c r="KCI373" s="652"/>
      <c r="KCJ373" s="652"/>
      <c r="KCK373" s="652"/>
      <c r="KCL373" s="652"/>
      <c r="KCM373" s="652"/>
      <c r="KCN373" s="652"/>
      <c r="KCO373" s="652"/>
      <c r="KCP373" s="652"/>
      <c r="KCQ373" s="652"/>
      <c r="KCR373" s="652"/>
      <c r="KCS373" s="652"/>
      <c r="KCT373" s="652"/>
      <c r="KCU373" s="629">
        <v>27.33</v>
      </c>
      <c r="KCV373" s="653">
        <f>((KCV362*KCQ369)+(KCV366*KCQ370)+(KCV366*KCQ371))/KCV363</f>
        <v>27.332989917734402</v>
      </c>
      <c r="KCW373" s="651" t="s">
        <v>1843</v>
      </c>
      <c r="KCX373" s="627" t="s">
        <v>1844</v>
      </c>
      <c r="KCY373" s="652"/>
      <c r="KCZ373" s="652"/>
      <c r="KDA373" s="652"/>
      <c r="KDB373" s="652"/>
      <c r="KDC373" s="652"/>
      <c r="KDD373" s="652"/>
      <c r="KDE373" s="652"/>
      <c r="KDF373" s="652"/>
      <c r="KDG373" s="652"/>
      <c r="KDH373" s="652"/>
      <c r="KDI373" s="652"/>
      <c r="KDJ373" s="652"/>
      <c r="KDK373" s="629">
        <v>27.33</v>
      </c>
      <c r="KDL373" s="653">
        <f>((KDL362*KDG369)+(KDL366*KDG370)+(KDL366*KDG371))/KDL363</f>
        <v>27.332989917734402</v>
      </c>
      <c r="KDM373" s="651" t="s">
        <v>1843</v>
      </c>
      <c r="KDN373" s="627" t="s">
        <v>1844</v>
      </c>
      <c r="KDO373" s="652"/>
      <c r="KDP373" s="652"/>
      <c r="KDQ373" s="652"/>
      <c r="KDR373" s="652"/>
      <c r="KDS373" s="652"/>
      <c r="KDT373" s="652"/>
      <c r="KDU373" s="652"/>
      <c r="KDV373" s="652"/>
      <c r="KDW373" s="652"/>
      <c r="KDX373" s="652"/>
      <c r="KDY373" s="652"/>
      <c r="KDZ373" s="652"/>
      <c r="KEA373" s="629">
        <v>27.33</v>
      </c>
      <c r="KEB373" s="653">
        <f>((KEB362*KDW369)+(KEB366*KDW370)+(KEB366*KDW371))/KEB363</f>
        <v>27.332989917734402</v>
      </c>
      <c r="KEC373" s="651" t="s">
        <v>1843</v>
      </c>
      <c r="KED373" s="627" t="s">
        <v>1844</v>
      </c>
      <c r="KEE373" s="652"/>
      <c r="KEF373" s="652"/>
      <c r="KEG373" s="652"/>
      <c r="KEH373" s="652"/>
      <c r="KEI373" s="652"/>
      <c r="KEJ373" s="652"/>
      <c r="KEK373" s="652"/>
      <c r="KEL373" s="652"/>
      <c r="KEM373" s="652"/>
      <c r="KEN373" s="652"/>
      <c r="KEO373" s="652"/>
      <c r="KEP373" s="652"/>
      <c r="KEQ373" s="629">
        <v>27.33</v>
      </c>
      <c r="KER373" s="653">
        <f>((KER362*KEM369)+(KER366*KEM370)+(KER366*KEM371))/KER363</f>
        <v>27.332989917734402</v>
      </c>
      <c r="KES373" s="651" t="s">
        <v>1843</v>
      </c>
      <c r="KET373" s="627" t="s">
        <v>1844</v>
      </c>
      <c r="KEU373" s="652"/>
      <c r="KEV373" s="652"/>
      <c r="KEW373" s="652"/>
      <c r="KEX373" s="652"/>
      <c r="KEY373" s="652"/>
      <c r="KEZ373" s="652"/>
      <c r="KFA373" s="652"/>
      <c r="KFB373" s="652"/>
      <c r="KFC373" s="652"/>
      <c r="KFD373" s="652"/>
      <c r="KFE373" s="652"/>
      <c r="KFF373" s="652"/>
      <c r="KFG373" s="629">
        <v>27.33</v>
      </c>
      <c r="KFH373" s="653">
        <f>((KFH362*KFC369)+(KFH366*KFC370)+(KFH366*KFC371))/KFH363</f>
        <v>27.332989917734402</v>
      </c>
      <c r="KFI373" s="651" t="s">
        <v>1843</v>
      </c>
      <c r="KFJ373" s="627" t="s">
        <v>1844</v>
      </c>
      <c r="KFK373" s="652"/>
      <c r="KFL373" s="652"/>
      <c r="KFM373" s="652"/>
      <c r="KFN373" s="652"/>
      <c r="KFO373" s="652"/>
      <c r="KFP373" s="652"/>
      <c r="KFQ373" s="652"/>
      <c r="KFR373" s="652"/>
      <c r="KFS373" s="652"/>
      <c r="KFT373" s="652"/>
      <c r="KFU373" s="652"/>
      <c r="KFV373" s="652"/>
      <c r="KFW373" s="629">
        <v>27.33</v>
      </c>
      <c r="KFX373" s="653">
        <f>((KFX362*KFS369)+(KFX366*KFS370)+(KFX366*KFS371))/KFX363</f>
        <v>27.332989917734402</v>
      </c>
      <c r="KFY373" s="651" t="s">
        <v>1843</v>
      </c>
      <c r="KFZ373" s="627" t="s">
        <v>1844</v>
      </c>
      <c r="KGA373" s="652"/>
      <c r="KGB373" s="652"/>
      <c r="KGC373" s="652"/>
      <c r="KGD373" s="652"/>
      <c r="KGE373" s="652"/>
      <c r="KGF373" s="652"/>
      <c r="KGG373" s="652"/>
      <c r="KGH373" s="652"/>
      <c r="KGI373" s="652"/>
      <c r="KGJ373" s="652"/>
      <c r="KGK373" s="652"/>
      <c r="KGL373" s="652"/>
      <c r="KGM373" s="629">
        <v>27.33</v>
      </c>
      <c r="KGN373" s="653">
        <f>((KGN362*KGI369)+(KGN366*KGI370)+(KGN366*KGI371))/KGN363</f>
        <v>27.332989917734402</v>
      </c>
      <c r="KGO373" s="651" t="s">
        <v>1843</v>
      </c>
      <c r="KGP373" s="627" t="s">
        <v>1844</v>
      </c>
      <c r="KGQ373" s="652"/>
      <c r="KGR373" s="652"/>
      <c r="KGS373" s="652"/>
      <c r="KGT373" s="652"/>
      <c r="KGU373" s="652"/>
      <c r="KGV373" s="652"/>
      <c r="KGW373" s="652"/>
      <c r="KGX373" s="652"/>
      <c r="KGY373" s="652"/>
      <c r="KGZ373" s="652"/>
      <c r="KHA373" s="652"/>
      <c r="KHB373" s="652"/>
      <c r="KHC373" s="629">
        <v>27.33</v>
      </c>
      <c r="KHD373" s="653">
        <f>((KHD362*KGY369)+(KHD366*KGY370)+(KHD366*KGY371))/KHD363</f>
        <v>27.332989917734402</v>
      </c>
      <c r="KHE373" s="651" t="s">
        <v>1843</v>
      </c>
      <c r="KHF373" s="627" t="s">
        <v>1844</v>
      </c>
      <c r="KHG373" s="652"/>
      <c r="KHH373" s="652"/>
      <c r="KHI373" s="652"/>
      <c r="KHJ373" s="652"/>
      <c r="KHK373" s="652"/>
      <c r="KHL373" s="652"/>
      <c r="KHM373" s="652"/>
      <c r="KHN373" s="652"/>
      <c r="KHO373" s="652"/>
      <c r="KHP373" s="652"/>
      <c r="KHQ373" s="652"/>
      <c r="KHR373" s="652"/>
      <c r="KHS373" s="629">
        <v>27.33</v>
      </c>
      <c r="KHT373" s="653">
        <f>((KHT362*KHO369)+(KHT366*KHO370)+(KHT366*KHO371))/KHT363</f>
        <v>27.332989917734402</v>
      </c>
      <c r="KHU373" s="651" t="s">
        <v>1843</v>
      </c>
      <c r="KHV373" s="627" t="s">
        <v>1844</v>
      </c>
      <c r="KHW373" s="652"/>
      <c r="KHX373" s="652"/>
      <c r="KHY373" s="652"/>
      <c r="KHZ373" s="652"/>
      <c r="KIA373" s="652"/>
      <c r="KIB373" s="652"/>
      <c r="KIC373" s="652"/>
      <c r="KID373" s="652"/>
      <c r="KIE373" s="652"/>
      <c r="KIF373" s="652"/>
      <c r="KIG373" s="652"/>
      <c r="KIH373" s="652"/>
      <c r="KII373" s="629">
        <v>27.33</v>
      </c>
      <c r="KIJ373" s="653">
        <f>((KIJ362*KIE369)+(KIJ366*KIE370)+(KIJ366*KIE371))/KIJ363</f>
        <v>27.332989917734402</v>
      </c>
      <c r="KIK373" s="651" t="s">
        <v>1843</v>
      </c>
      <c r="KIL373" s="627" t="s">
        <v>1844</v>
      </c>
      <c r="KIM373" s="652"/>
      <c r="KIN373" s="652"/>
      <c r="KIO373" s="652"/>
      <c r="KIP373" s="652"/>
      <c r="KIQ373" s="652"/>
      <c r="KIR373" s="652"/>
      <c r="KIS373" s="652"/>
      <c r="KIT373" s="652"/>
      <c r="KIU373" s="652"/>
      <c r="KIV373" s="652"/>
      <c r="KIW373" s="652"/>
      <c r="KIX373" s="652"/>
      <c r="KIY373" s="629">
        <v>27.33</v>
      </c>
      <c r="KIZ373" s="653">
        <f>((KIZ362*KIU369)+(KIZ366*KIU370)+(KIZ366*KIU371))/KIZ363</f>
        <v>27.332989917734402</v>
      </c>
      <c r="KJA373" s="651" t="s">
        <v>1843</v>
      </c>
      <c r="KJB373" s="627" t="s">
        <v>1844</v>
      </c>
      <c r="KJC373" s="652"/>
      <c r="KJD373" s="652"/>
      <c r="KJE373" s="652"/>
      <c r="KJF373" s="652"/>
      <c r="KJG373" s="652"/>
      <c r="KJH373" s="652"/>
      <c r="KJI373" s="652"/>
      <c r="KJJ373" s="652"/>
      <c r="KJK373" s="652"/>
      <c r="KJL373" s="652"/>
      <c r="KJM373" s="652"/>
      <c r="KJN373" s="652"/>
      <c r="KJO373" s="629">
        <v>27.33</v>
      </c>
      <c r="KJP373" s="653">
        <f>((KJP362*KJK369)+(KJP366*KJK370)+(KJP366*KJK371))/KJP363</f>
        <v>27.332989917734402</v>
      </c>
      <c r="KJQ373" s="651" t="s">
        <v>1843</v>
      </c>
      <c r="KJR373" s="627" t="s">
        <v>1844</v>
      </c>
      <c r="KJS373" s="652"/>
      <c r="KJT373" s="652"/>
      <c r="KJU373" s="652"/>
      <c r="KJV373" s="652"/>
      <c r="KJW373" s="652"/>
      <c r="KJX373" s="652"/>
      <c r="KJY373" s="652"/>
      <c r="KJZ373" s="652"/>
      <c r="KKA373" s="652"/>
      <c r="KKB373" s="652"/>
      <c r="KKC373" s="652"/>
      <c r="KKD373" s="652"/>
      <c r="KKE373" s="629">
        <v>27.33</v>
      </c>
      <c r="KKF373" s="653">
        <f>((KKF362*KKA369)+(KKF366*KKA370)+(KKF366*KKA371))/KKF363</f>
        <v>27.332989917734402</v>
      </c>
      <c r="KKG373" s="651" t="s">
        <v>1843</v>
      </c>
      <c r="KKH373" s="627" t="s">
        <v>1844</v>
      </c>
      <c r="KKI373" s="652"/>
      <c r="KKJ373" s="652"/>
      <c r="KKK373" s="652"/>
      <c r="KKL373" s="652"/>
      <c r="KKM373" s="652"/>
      <c r="KKN373" s="652"/>
      <c r="KKO373" s="652"/>
      <c r="KKP373" s="652"/>
      <c r="KKQ373" s="652"/>
      <c r="KKR373" s="652"/>
      <c r="KKS373" s="652"/>
      <c r="KKT373" s="652"/>
      <c r="KKU373" s="629">
        <v>27.33</v>
      </c>
      <c r="KKV373" s="653">
        <f>((KKV362*KKQ369)+(KKV366*KKQ370)+(KKV366*KKQ371))/KKV363</f>
        <v>27.332989917734402</v>
      </c>
      <c r="KKW373" s="651" t="s">
        <v>1843</v>
      </c>
      <c r="KKX373" s="627" t="s">
        <v>1844</v>
      </c>
      <c r="KKY373" s="652"/>
      <c r="KKZ373" s="652"/>
      <c r="KLA373" s="652"/>
      <c r="KLB373" s="652"/>
      <c r="KLC373" s="652"/>
      <c r="KLD373" s="652"/>
      <c r="KLE373" s="652"/>
      <c r="KLF373" s="652"/>
      <c r="KLG373" s="652"/>
      <c r="KLH373" s="652"/>
      <c r="KLI373" s="652"/>
      <c r="KLJ373" s="652"/>
      <c r="KLK373" s="629">
        <v>27.33</v>
      </c>
      <c r="KLL373" s="653">
        <f>((KLL362*KLG369)+(KLL366*KLG370)+(KLL366*KLG371))/KLL363</f>
        <v>27.332989917734402</v>
      </c>
      <c r="KLM373" s="651" t="s">
        <v>1843</v>
      </c>
      <c r="KLN373" s="627" t="s">
        <v>1844</v>
      </c>
      <c r="KLO373" s="652"/>
      <c r="KLP373" s="652"/>
      <c r="KLQ373" s="652"/>
      <c r="KLR373" s="652"/>
      <c r="KLS373" s="652"/>
      <c r="KLT373" s="652"/>
      <c r="KLU373" s="652"/>
      <c r="KLV373" s="652"/>
      <c r="KLW373" s="652"/>
      <c r="KLX373" s="652"/>
      <c r="KLY373" s="652"/>
      <c r="KLZ373" s="652"/>
      <c r="KMA373" s="629">
        <v>27.33</v>
      </c>
      <c r="KMB373" s="653">
        <f>((KMB362*KLW369)+(KMB366*KLW370)+(KMB366*KLW371))/KMB363</f>
        <v>27.332989917734402</v>
      </c>
      <c r="KMC373" s="651" t="s">
        <v>1843</v>
      </c>
      <c r="KMD373" s="627" t="s">
        <v>1844</v>
      </c>
      <c r="KME373" s="652"/>
      <c r="KMF373" s="652"/>
      <c r="KMG373" s="652"/>
      <c r="KMH373" s="652"/>
      <c r="KMI373" s="652"/>
      <c r="KMJ373" s="652"/>
      <c r="KMK373" s="652"/>
      <c r="KML373" s="652"/>
      <c r="KMM373" s="652"/>
      <c r="KMN373" s="652"/>
      <c r="KMO373" s="652"/>
      <c r="KMP373" s="652"/>
      <c r="KMQ373" s="629">
        <v>27.33</v>
      </c>
      <c r="KMR373" s="653">
        <f>((KMR362*KMM369)+(KMR366*KMM370)+(KMR366*KMM371))/KMR363</f>
        <v>27.332989917734402</v>
      </c>
      <c r="KMS373" s="651" t="s">
        <v>1843</v>
      </c>
      <c r="KMT373" s="627" t="s">
        <v>1844</v>
      </c>
      <c r="KMU373" s="652"/>
      <c r="KMV373" s="652"/>
      <c r="KMW373" s="652"/>
      <c r="KMX373" s="652"/>
      <c r="KMY373" s="652"/>
      <c r="KMZ373" s="652"/>
      <c r="KNA373" s="652"/>
      <c r="KNB373" s="652"/>
      <c r="KNC373" s="652"/>
      <c r="KND373" s="652"/>
      <c r="KNE373" s="652"/>
      <c r="KNF373" s="652"/>
      <c r="KNG373" s="629">
        <v>27.33</v>
      </c>
      <c r="KNH373" s="653">
        <f>((KNH362*KNC369)+(KNH366*KNC370)+(KNH366*KNC371))/KNH363</f>
        <v>27.332989917734402</v>
      </c>
      <c r="KNI373" s="651" t="s">
        <v>1843</v>
      </c>
      <c r="KNJ373" s="627" t="s">
        <v>1844</v>
      </c>
      <c r="KNK373" s="652"/>
      <c r="KNL373" s="652"/>
      <c r="KNM373" s="652"/>
      <c r="KNN373" s="652"/>
      <c r="KNO373" s="652"/>
      <c r="KNP373" s="652"/>
      <c r="KNQ373" s="652"/>
      <c r="KNR373" s="652"/>
      <c r="KNS373" s="652"/>
      <c r="KNT373" s="652"/>
      <c r="KNU373" s="652"/>
      <c r="KNV373" s="652"/>
      <c r="KNW373" s="629">
        <v>27.33</v>
      </c>
      <c r="KNX373" s="653">
        <f>((KNX362*KNS369)+(KNX366*KNS370)+(KNX366*KNS371))/KNX363</f>
        <v>27.332989917734402</v>
      </c>
      <c r="KNY373" s="651" t="s">
        <v>1843</v>
      </c>
      <c r="KNZ373" s="627" t="s">
        <v>1844</v>
      </c>
      <c r="KOA373" s="652"/>
      <c r="KOB373" s="652"/>
      <c r="KOC373" s="652"/>
      <c r="KOD373" s="652"/>
      <c r="KOE373" s="652"/>
      <c r="KOF373" s="652"/>
      <c r="KOG373" s="652"/>
      <c r="KOH373" s="652"/>
      <c r="KOI373" s="652"/>
      <c r="KOJ373" s="652"/>
      <c r="KOK373" s="652"/>
      <c r="KOL373" s="652"/>
      <c r="KOM373" s="629">
        <v>27.33</v>
      </c>
      <c r="KON373" s="653">
        <f>((KON362*KOI369)+(KON366*KOI370)+(KON366*KOI371))/KON363</f>
        <v>27.332989917734402</v>
      </c>
      <c r="KOO373" s="651" t="s">
        <v>1843</v>
      </c>
      <c r="KOP373" s="627" t="s">
        <v>1844</v>
      </c>
      <c r="KOQ373" s="652"/>
      <c r="KOR373" s="652"/>
      <c r="KOS373" s="652"/>
      <c r="KOT373" s="652"/>
      <c r="KOU373" s="652"/>
      <c r="KOV373" s="652"/>
      <c r="KOW373" s="652"/>
      <c r="KOX373" s="652"/>
      <c r="KOY373" s="652"/>
      <c r="KOZ373" s="652"/>
      <c r="KPA373" s="652"/>
      <c r="KPB373" s="652"/>
      <c r="KPC373" s="629">
        <v>27.33</v>
      </c>
      <c r="KPD373" s="653">
        <f>((KPD362*KOY369)+(KPD366*KOY370)+(KPD366*KOY371))/KPD363</f>
        <v>27.332989917734402</v>
      </c>
      <c r="KPE373" s="651" t="s">
        <v>1843</v>
      </c>
      <c r="KPF373" s="627" t="s">
        <v>1844</v>
      </c>
      <c r="KPG373" s="652"/>
      <c r="KPH373" s="652"/>
      <c r="KPI373" s="652"/>
      <c r="KPJ373" s="652"/>
      <c r="KPK373" s="652"/>
      <c r="KPL373" s="652"/>
      <c r="KPM373" s="652"/>
      <c r="KPN373" s="652"/>
      <c r="KPO373" s="652"/>
      <c r="KPP373" s="652"/>
      <c r="KPQ373" s="652"/>
      <c r="KPR373" s="652"/>
      <c r="KPS373" s="629">
        <v>27.33</v>
      </c>
      <c r="KPT373" s="653">
        <f>((KPT362*KPO369)+(KPT366*KPO370)+(KPT366*KPO371))/KPT363</f>
        <v>27.332989917734402</v>
      </c>
      <c r="KPU373" s="651" t="s">
        <v>1843</v>
      </c>
      <c r="KPV373" s="627" t="s">
        <v>1844</v>
      </c>
      <c r="KPW373" s="652"/>
      <c r="KPX373" s="652"/>
      <c r="KPY373" s="652"/>
      <c r="KPZ373" s="652"/>
      <c r="KQA373" s="652"/>
      <c r="KQB373" s="652"/>
      <c r="KQC373" s="652"/>
      <c r="KQD373" s="652"/>
      <c r="KQE373" s="652"/>
      <c r="KQF373" s="652"/>
      <c r="KQG373" s="652"/>
      <c r="KQH373" s="652"/>
      <c r="KQI373" s="629">
        <v>27.33</v>
      </c>
      <c r="KQJ373" s="653">
        <f>((KQJ362*KQE369)+(KQJ366*KQE370)+(KQJ366*KQE371))/KQJ363</f>
        <v>27.332989917734402</v>
      </c>
      <c r="KQK373" s="651" t="s">
        <v>1843</v>
      </c>
      <c r="KQL373" s="627" t="s">
        <v>1844</v>
      </c>
      <c r="KQM373" s="652"/>
      <c r="KQN373" s="652"/>
      <c r="KQO373" s="652"/>
      <c r="KQP373" s="652"/>
      <c r="KQQ373" s="652"/>
      <c r="KQR373" s="652"/>
      <c r="KQS373" s="652"/>
      <c r="KQT373" s="652"/>
      <c r="KQU373" s="652"/>
      <c r="KQV373" s="652"/>
      <c r="KQW373" s="652"/>
      <c r="KQX373" s="652"/>
      <c r="KQY373" s="629">
        <v>27.33</v>
      </c>
      <c r="KQZ373" s="653">
        <f>((KQZ362*KQU369)+(KQZ366*KQU370)+(KQZ366*KQU371))/KQZ363</f>
        <v>27.332989917734402</v>
      </c>
      <c r="KRA373" s="651" t="s">
        <v>1843</v>
      </c>
      <c r="KRB373" s="627" t="s">
        <v>1844</v>
      </c>
      <c r="KRC373" s="652"/>
      <c r="KRD373" s="652"/>
      <c r="KRE373" s="652"/>
      <c r="KRF373" s="652"/>
      <c r="KRG373" s="652"/>
      <c r="KRH373" s="652"/>
      <c r="KRI373" s="652"/>
      <c r="KRJ373" s="652"/>
      <c r="KRK373" s="652"/>
      <c r="KRL373" s="652"/>
      <c r="KRM373" s="652"/>
      <c r="KRN373" s="652"/>
      <c r="KRO373" s="629">
        <v>27.33</v>
      </c>
      <c r="KRP373" s="653">
        <f>((KRP362*KRK369)+(KRP366*KRK370)+(KRP366*KRK371))/KRP363</f>
        <v>27.332989917734402</v>
      </c>
      <c r="KRQ373" s="651" t="s">
        <v>1843</v>
      </c>
      <c r="KRR373" s="627" t="s">
        <v>1844</v>
      </c>
      <c r="KRS373" s="652"/>
      <c r="KRT373" s="652"/>
      <c r="KRU373" s="652"/>
      <c r="KRV373" s="652"/>
      <c r="KRW373" s="652"/>
      <c r="KRX373" s="652"/>
      <c r="KRY373" s="652"/>
      <c r="KRZ373" s="652"/>
      <c r="KSA373" s="652"/>
      <c r="KSB373" s="652"/>
      <c r="KSC373" s="652"/>
      <c r="KSD373" s="652"/>
      <c r="KSE373" s="629">
        <v>27.33</v>
      </c>
      <c r="KSF373" s="653">
        <f>((KSF362*KSA369)+(KSF366*KSA370)+(KSF366*KSA371))/KSF363</f>
        <v>27.332989917734402</v>
      </c>
      <c r="KSG373" s="651" t="s">
        <v>1843</v>
      </c>
      <c r="KSH373" s="627" t="s">
        <v>1844</v>
      </c>
      <c r="KSI373" s="652"/>
      <c r="KSJ373" s="652"/>
      <c r="KSK373" s="652"/>
      <c r="KSL373" s="652"/>
      <c r="KSM373" s="652"/>
      <c r="KSN373" s="652"/>
      <c r="KSO373" s="652"/>
      <c r="KSP373" s="652"/>
      <c r="KSQ373" s="652"/>
      <c r="KSR373" s="652"/>
      <c r="KSS373" s="652"/>
      <c r="KST373" s="652"/>
      <c r="KSU373" s="629">
        <v>27.33</v>
      </c>
      <c r="KSV373" s="653">
        <f>((KSV362*KSQ369)+(KSV366*KSQ370)+(KSV366*KSQ371))/KSV363</f>
        <v>27.332989917734402</v>
      </c>
      <c r="KSW373" s="651" t="s">
        <v>1843</v>
      </c>
      <c r="KSX373" s="627" t="s">
        <v>1844</v>
      </c>
      <c r="KSY373" s="652"/>
      <c r="KSZ373" s="652"/>
      <c r="KTA373" s="652"/>
      <c r="KTB373" s="652"/>
      <c r="KTC373" s="652"/>
      <c r="KTD373" s="652"/>
      <c r="KTE373" s="652"/>
      <c r="KTF373" s="652"/>
      <c r="KTG373" s="652"/>
      <c r="KTH373" s="652"/>
      <c r="KTI373" s="652"/>
      <c r="KTJ373" s="652"/>
      <c r="KTK373" s="629">
        <v>27.33</v>
      </c>
      <c r="KTL373" s="653">
        <f>((KTL362*KTG369)+(KTL366*KTG370)+(KTL366*KTG371))/KTL363</f>
        <v>27.332989917734402</v>
      </c>
      <c r="KTM373" s="651" t="s">
        <v>1843</v>
      </c>
      <c r="KTN373" s="627" t="s">
        <v>1844</v>
      </c>
      <c r="KTO373" s="652"/>
      <c r="KTP373" s="652"/>
      <c r="KTQ373" s="652"/>
      <c r="KTR373" s="652"/>
      <c r="KTS373" s="652"/>
      <c r="KTT373" s="652"/>
      <c r="KTU373" s="652"/>
      <c r="KTV373" s="652"/>
      <c r="KTW373" s="652"/>
      <c r="KTX373" s="652"/>
      <c r="KTY373" s="652"/>
      <c r="KTZ373" s="652"/>
      <c r="KUA373" s="629">
        <v>27.33</v>
      </c>
      <c r="KUB373" s="653">
        <f>((KUB362*KTW369)+(KUB366*KTW370)+(KUB366*KTW371))/KUB363</f>
        <v>27.332989917734402</v>
      </c>
      <c r="KUC373" s="651" t="s">
        <v>1843</v>
      </c>
      <c r="KUD373" s="627" t="s">
        <v>1844</v>
      </c>
      <c r="KUE373" s="652"/>
      <c r="KUF373" s="652"/>
      <c r="KUG373" s="652"/>
      <c r="KUH373" s="652"/>
      <c r="KUI373" s="652"/>
      <c r="KUJ373" s="652"/>
      <c r="KUK373" s="652"/>
      <c r="KUL373" s="652"/>
      <c r="KUM373" s="652"/>
      <c r="KUN373" s="652"/>
      <c r="KUO373" s="652"/>
      <c r="KUP373" s="652"/>
      <c r="KUQ373" s="629">
        <v>27.33</v>
      </c>
      <c r="KUR373" s="653">
        <f>((KUR362*KUM369)+(KUR366*KUM370)+(KUR366*KUM371))/KUR363</f>
        <v>27.332989917734402</v>
      </c>
      <c r="KUS373" s="651" t="s">
        <v>1843</v>
      </c>
      <c r="KUT373" s="627" t="s">
        <v>1844</v>
      </c>
      <c r="KUU373" s="652"/>
      <c r="KUV373" s="652"/>
      <c r="KUW373" s="652"/>
      <c r="KUX373" s="652"/>
      <c r="KUY373" s="652"/>
      <c r="KUZ373" s="652"/>
      <c r="KVA373" s="652"/>
      <c r="KVB373" s="652"/>
      <c r="KVC373" s="652"/>
      <c r="KVD373" s="652"/>
      <c r="KVE373" s="652"/>
      <c r="KVF373" s="652"/>
      <c r="KVG373" s="629">
        <v>27.33</v>
      </c>
      <c r="KVH373" s="653">
        <f>((KVH362*KVC369)+(KVH366*KVC370)+(KVH366*KVC371))/KVH363</f>
        <v>27.332989917734402</v>
      </c>
      <c r="KVI373" s="651" t="s">
        <v>1843</v>
      </c>
      <c r="KVJ373" s="627" t="s">
        <v>1844</v>
      </c>
      <c r="KVK373" s="652"/>
      <c r="KVL373" s="652"/>
      <c r="KVM373" s="652"/>
      <c r="KVN373" s="652"/>
      <c r="KVO373" s="652"/>
      <c r="KVP373" s="652"/>
      <c r="KVQ373" s="652"/>
      <c r="KVR373" s="652"/>
      <c r="KVS373" s="652"/>
      <c r="KVT373" s="652"/>
      <c r="KVU373" s="652"/>
      <c r="KVV373" s="652"/>
      <c r="KVW373" s="629">
        <v>27.33</v>
      </c>
      <c r="KVX373" s="653">
        <f>((KVX362*KVS369)+(KVX366*KVS370)+(KVX366*KVS371))/KVX363</f>
        <v>27.332989917734402</v>
      </c>
      <c r="KVY373" s="651" t="s">
        <v>1843</v>
      </c>
      <c r="KVZ373" s="627" t="s">
        <v>1844</v>
      </c>
      <c r="KWA373" s="652"/>
      <c r="KWB373" s="652"/>
      <c r="KWC373" s="652"/>
      <c r="KWD373" s="652"/>
      <c r="KWE373" s="652"/>
      <c r="KWF373" s="652"/>
      <c r="KWG373" s="652"/>
      <c r="KWH373" s="652"/>
      <c r="KWI373" s="652"/>
      <c r="KWJ373" s="652"/>
      <c r="KWK373" s="652"/>
      <c r="KWL373" s="652"/>
      <c r="KWM373" s="629">
        <v>27.33</v>
      </c>
      <c r="KWN373" s="653">
        <f>((KWN362*KWI369)+(KWN366*KWI370)+(KWN366*KWI371))/KWN363</f>
        <v>27.332989917734402</v>
      </c>
      <c r="KWO373" s="651" t="s">
        <v>1843</v>
      </c>
      <c r="KWP373" s="627" t="s">
        <v>1844</v>
      </c>
      <c r="KWQ373" s="652"/>
      <c r="KWR373" s="652"/>
      <c r="KWS373" s="652"/>
      <c r="KWT373" s="652"/>
      <c r="KWU373" s="652"/>
      <c r="KWV373" s="652"/>
      <c r="KWW373" s="652"/>
      <c r="KWX373" s="652"/>
      <c r="KWY373" s="652"/>
      <c r="KWZ373" s="652"/>
      <c r="KXA373" s="652"/>
      <c r="KXB373" s="652"/>
      <c r="KXC373" s="629">
        <v>27.33</v>
      </c>
      <c r="KXD373" s="653">
        <f>((KXD362*KWY369)+(KXD366*KWY370)+(KXD366*KWY371))/KXD363</f>
        <v>27.332989917734402</v>
      </c>
      <c r="KXE373" s="651" t="s">
        <v>1843</v>
      </c>
      <c r="KXF373" s="627" t="s">
        <v>1844</v>
      </c>
      <c r="KXG373" s="652"/>
      <c r="KXH373" s="652"/>
      <c r="KXI373" s="652"/>
      <c r="KXJ373" s="652"/>
      <c r="KXK373" s="652"/>
      <c r="KXL373" s="652"/>
      <c r="KXM373" s="652"/>
      <c r="KXN373" s="652"/>
      <c r="KXO373" s="652"/>
      <c r="KXP373" s="652"/>
      <c r="KXQ373" s="652"/>
      <c r="KXR373" s="652"/>
      <c r="KXS373" s="629">
        <v>27.33</v>
      </c>
      <c r="KXT373" s="653">
        <f>((KXT362*KXO369)+(KXT366*KXO370)+(KXT366*KXO371))/KXT363</f>
        <v>27.332989917734402</v>
      </c>
      <c r="KXU373" s="651" t="s">
        <v>1843</v>
      </c>
      <c r="KXV373" s="627" t="s">
        <v>1844</v>
      </c>
      <c r="KXW373" s="652"/>
      <c r="KXX373" s="652"/>
      <c r="KXY373" s="652"/>
      <c r="KXZ373" s="652"/>
      <c r="KYA373" s="652"/>
      <c r="KYB373" s="652"/>
      <c r="KYC373" s="652"/>
      <c r="KYD373" s="652"/>
      <c r="KYE373" s="652"/>
      <c r="KYF373" s="652"/>
      <c r="KYG373" s="652"/>
      <c r="KYH373" s="652"/>
      <c r="KYI373" s="629">
        <v>27.33</v>
      </c>
      <c r="KYJ373" s="653">
        <f>((KYJ362*KYE369)+(KYJ366*KYE370)+(KYJ366*KYE371))/KYJ363</f>
        <v>27.332989917734402</v>
      </c>
      <c r="KYK373" s="651" t="s">
        <v>1843</v>
      </c>
      <c r="KYL373" s="627" t="s">
        <v>1844</v>
      </c>
      <c r="KYM373" s="652"/>
      <c r="KYN373" s="652"/>
      <c r="KYO373" s="652"/>
      <c r="KYP373" s="652"/>
      <c r="KYQ373" s="652"/>
      <c r="KYR373" s="652"/>
      <c r="KYS373" s="652"/>
      <c r="KYT373" s="652"/>
      <c r="KYU373" s="652"/>
      <c r="KYV373" s="652"/>
      <c r="KYW373" s="652"/>
      <c r="KYX373" s="652"/>
      <c r="KYY373" s="629">
        <v>27.33</v>
      </c>
      <c r="KYZ373" s="653">
        <f>((KYZ362*KYU369)+(KYZ366*KYU370)+(KYZ366*KYU371))/KYZ363</f>
        <v>27.332989917734402</v>
      </c>
      <c r="KZA373" s="651" t="s">
        <v>1843</v>
      </c>
      <c r="KZB373" s="627" t="s">
        <v>1844</v>
      </c>
      <c r="KZC373" s="652"/>
      <c r="KZD373" s="652"/>
      <c r="KZE373" s="652"/>
      <c r="KZF373" s="652"/>
      <c r="KZG373" s="652"/>
      <c r="KZH373" s="652"/>
      <c r="KZI373" s="652"/>
      <c r="KZJ373" s="652"/>
      <c r="KZK373" s="652"/>
      <c r="KZL373" s="652"/>
      <c r="KZM373" s="652"/>
      <c r="KZN373" s="652"/>
      <c r="KZO373" s="629">
        <v>27.33</v>
      </c>
      <c r="KZP373" s="653">
        <f>((KZP362*KZK369)+(KZP366*KZK370)+(KZP366*KZK371))/KZP363</f>
        <v>27.332989917734402</v>
      </c>
      <c r="KZQ373" s="651" t="s">
        <v>1843</v>
      </c>
      <c r="KZR373" s="627" t="s">
        <v>1844</v>
      </c>
      <c r="KZS373" s="652"/>
      <c r="KZT373" s="652"/>
      <c r="KZU373" s="652"/>
      <c r="KZV373" s="652"/>
      <c r="KZW373" s="652"/>
      <c r="KZX373" s="652"/>
      <c r="KZY373" s="652"/>
      <c r="KZZ373" s="652"/>
      <c r="LAA373" s="652"/>
      <c r="LAB373" s="652"/>
      <c r="LAC373" s="652"/>
      <c r="LAD373" s="652"/>
      <c r="LAE373" s="629">
        <v>27.33</v>
      </c>
      <c r="LAF373" s="653">
        <f>((LAF362*LAA369)+(LAF366*LAA370)+(LAF366*LAA371))/LAF363</f>
        <v>27.332989917734402</v>
      </c>
      <c r="LAG373" s="651" t="s">
        <v>1843</v>
      </c>
      <c r="LAH373" s="627" t="s">
        <v>1844</v>
      </c>
      <c r="LAI373" s="652"/>
      <c r="LAJ373" s="652"/>
      <c r="LAK373" s="652"/>
      <c r="LAL373" s="652"/>
      <c r="LAM373" s="652"/>
      <c r="LAN373" s="652"/>
      <c r="LAO373" s="652"/>
      <c r="LAP373" s="652"/>
      <c r="LAQ373" s="652"/>
      <c r="LAR373" s="652"/>
      <c r="LAS373" s="652"/>
      <c r="LAT373" s="652"/>
      <c r="LAU373" s="629">
        <v>27.33</v>
      </c>
      <c r="LAV373" s="653">
        <f>((LAV362*LAQ369)+(LAV366*LAQ370)+(LAV366*LAQ371))/LAV363</f>
        <v>27.332989917734402</v>
      </c>
      <c r="LAW373" s="651" t="s">
        <v>1843</v>
      </c>
      <c r="LAX373" s="627" t="s">
        <v>1844</v>
      </c>
      <c r="LAY373" s="652"/>
      <c r="LAZ373" s="652"/>
      <c r="LBA373" s="652"/>
      <c r="LBB373" s="652"/>
      <c r="LBC373" s="652"/>
      <c r="LBD373" s="652"/>
      <c r="LBE373" s="652"/>
      <c r="LBF373" s="652"/>
      <c r="LBG373" s="652"/>
      <c r="LBH373" s="652"/>
      <c r="LBI373" s="652"/>
      <c r="LBJ373" s="652"/>
      <c r="LBK373" s="629">
        <v>27.33</v>
      </c>
      <c r="LBL373" s="653">
        <f>((LBL362*LBG369)+(LBL366*LBG370)+(LBL366*LBG371))/LBL363</f>
        <v>27.332989917734402</v>
      </c>
      <c r="LBM373" s="651" t="s">
        <v>1843</v>
      </c>
      <c r="LBN373" s="627" t="s">
        <v>1844</v>
      </c>
      <c r="LBO373" s="652"/>
      <c r="LBP373" s="652"/>
      <c r="LBQ373" s="652"/>
      <c r="LBR373" s="652"/>
      <c r="LBS373" s="652"/>
      <c r="LBT373" s="652"/>
      <c r="LBU373" s="652"/>
      <c r="LBV373" s="652"/>
      <c r="LBW373" s="652"/>
      <c r="LBX373" s="652"/>
      <c r="LBY373" s="652"/>
      <c r="LBZ373" s="652"/>
      <c r="LCA373" s="629">
        <v>27.33</v>
      </c>
      <c r="LCB373" s="653">
        <f>((LCB362*LBW369)+(LCB366*LBW370)+(LCB366*LBW371))/LCB363</f>
        <v>27.332989917734402</v>
      </c>
      <c r="LCC373" s="651" t="s">
        <v>1843</v>
      </c>
      <c r="LCD373" s="627" t="s">
        <v>1844</v>
      </c>
      <c r="LCE373" s="652"/>
      <c r="LCF373" s="652"/>
      <c r="LCG373" s="652"/>
      <c r="LCH373" s="652"/>
      <c r="LCI373" s="652"/>
      <c r="LCJ373" s="652"/>
      <c r="LCK373" s="652"/>
      <c r="LCL373" s="652"/>
      <c r="LCM373" s="652"/>
      <c r="LCN373" s="652"/>
      <c r="LCO373" s="652"/>
      <c r="LCP373" s="652"/>
      <c r="LCQ373" s="629">
        <v>27.33</v>
      </c>
      <c r="LCR373" s="653">
        <f>((LCR362*LCM369)+(LCR366*LCM370)+(LCR366*LCM371))/LCR363</f>
        <v>27.332989917734402</v>
      </c>
      <c r="LCS373" s="651" t="s">
        <v>1843</v>
      </c>
      <c r="LCT373" s="627" t="s">
        <v>1844</v>
      </c>
      <c r="LCU373" s="652"/>
      <c r="LCV373" s="652"/>
      <c r="LCW373" s="652"/>
      <c r="LCX373" s="652"/>
      <c r="LCY373" s="652"/>
      <c r="LCZ373" s="652"/>
      <c r="LDA373" s="652"/>
      <c r="LDB373" s="652"/>
      <c r="LDC373" s="652"/>
      <c r="LDD373" s="652"/>
      <c r="LDE373" s="652"/>
      <c r="LDF373" s="652"/>
      <c r="LDG373" s="629">
        <v>27.33</v>
      </c>
      <c r="LDH373" s="653">
        <f>((LDH362*LDC369)+(LDH366*LDC370)+(LDH366*LDC371))/LDH363</f>
        <v>27.332989917734402</v>
      </c>
      <c r="LDI373" s="651" t="s">
        <v>1843</v>
      </c>
      <c r="LDJ373" s="627" t="s">
        <v>1844</v>
      </c>
      <c r="LDK373" s="652"/>
      <c r="LDL373" s="652"/>
      <c r="LDM373" s="652"/>
      <c r="LDN373" s="652"/>
      <c r="LDO373" s="652"/>
      <c r="LDP373" s="652"/>
      <c r="LDQ373" s="652"/>
      <c r="LDR373" s="652"/>
      <c r="LDS373" s="652"/>
      <c r="LDT373" s="652"/>
      <c r="LDU373" s="652"/>
      <c r="LDV373" s="652"/>
      <c r="LDW373" s="629">
        <v>27.33</v>
      </c>
      <c r="LDX373" s="653">
        <f>((LDX362*LDS369)+(LDX366*LDS370)+(LDX366*LDS371))/LDX363</f>
        <v>27.332989917734402</v>
      </c>
      <c r="LDY373" s="651" t="s">
        <v>1843</v>
      </c>
      <c r="LDZ373" s="627" t="s">
        <v>1844</v>
      </c>
      <c r="LEA373" s="652"/>
      <c r="LEB373" s="652"/>
      <c r="LEC373" s="652"/>
      <c r="LED373" s="652"/>
      <c r="LEE373" s="652"/>
      <c r="LEF373" s="652"/>
      <c r="LEG373" s="652"/>
      <c r="LEH373" s="652"/>
      <c r="LEI373" s="652"/>
      <c r="LEJ373" s="652"/>
      <c r="LEK373" s="652"/>
      <c r="LEL373" s="652"/>
      <c r="LEM373" s="629">
        <v>27.33</v>
      </c>
      <c r="LEN373" s="653">
        <f>((LEN362*LEI369)+(LEN366*LEI370)+(LEN366*LEI371))/LEN363</f>
        <v>27.332989917734402</v>
      </c>
      <c r="LEO373" s="651" t="s">
        <v>1843</v>
      </c>
      <c r="LEP373" s="627" t="s">
        <v>1844</v>
      </c>
      <c r="LEQ373" s="652"/>
      <c r="LER373" s="652"/>
      <c r="LES373" s="652"/>
      <c r="LET373" s="652"/>
      <c r="LEU373" s="652"/>
      <c r="LEV373" s="652"/>
      <c r="LEW373" s="652"/>
      <c r="LEX373" s="652"/>
      <c r="LEY373" s="652"/>
      <c r="LEZ373" s="652"/>
      <c r="LFA373" s="652"/>
      <c r="LFB373" s="652"/>
      <c r="LFC373" s="629">
        <v>27.33</v>
      </c>
      <c r="LFD373" s="653">
        <f>((LFD362*LEY369)+(LFD366*LEY370)+(LFD366*LEY371))/LFD363</f>
        <v>27.332989917734402</v>
      </c>
      <c r="LFE373" s="651" t="s">
        <v>1843</v>
      </c>
      <c r="LFF373" s="627" t="s">
        <v>1844</v>
      </c>
      <c r="LFG373" s="652"/>
      <c r="LFH373" s="652"/>
      <c r="LFI373" s="652"/>
      <c r="LFJ373" s="652"/>
      <c r="LFK373" s="652"/>
      <c r="LFL373" s="652"/>
      <c r="LFM373" s="652"/>
      <c r="LFN373" s="652"/>
      <c r="LFO373" s="652"/>
      <c r="LFP373" s="652"/>
      <c r="LFQ373" s="652"/>
      <c r="LFR373" s="652"/>
      <c r="LFS373" s="629">
        <v>27.33</v>
      </c>
      <c r="LFT373" s="653">
        <f>((LFT362*LFO369)+(LFT366*LFO370)+(LFT366*LFO371))/LFT363</f>
        <v>27.332989917734402</v>
      </c>
      <c r="LFU373" s="651" t="s">
        <v>1843</v>
      </c>
      <c r="LFV373" s="627" t="s">
        <v>1844</v>
      </c>
      <c r="LFW373" s="652"/>
      <c r="LFX373" s="652"/>
      <c r="LFY373" s="652"/>
      <c r="LFZ373" s="652"/>
      <c r="LGA373" s="652"/>
      <c r="LGB373" s="652"/>
      <c r="LGC373" s="652"/>
      <c r="LGD373" s="652"/>
      <c r="LGE373" s="652"/>
      <c r="LGF373" s="652"/>
      <c r="LGG373" s="652"/>
      <c r="LGH373" s="652"/>
      <c r="LGI373" s="629">
        <v>27.33</v>
      </c>
      <c r="LGJ373" s="653">
        <f>((LGJ362*LGE369)+(LGJ366*LGE370)+(LGJ366*LGE371))/LGJ363</f>
        <v>27.332989917734402</v>
      </c>
      <c r="LGK373" s="651" t="s">
        <v>1843</v>
      </c>
      <c r="LGL373" s="627" t="s">
        <v>1844</v>
      </c>
      <c r="LGM373" s="652"/>
      <c r="LGN373" s="652"/>
      <c r="LGO373" s="652"/>
      <c r="LGP373" s="652"/>
      <c r="LGQ373" s="652"/>
      <c r="LGR373" s="652"/>
      <c r="LGS373" s="652"/>
      <c r="LGT373" s="652"/>
      <c r="LGU373" s="652"/>
      <c r="LGV373" s="652"/>
      <c r="LGW373" s="652"/>
      <c r="LGX373" s="652"/>
      <c r="LGY373" s="629">
        <v>27.33</v>
      </c>
      <c r="LGZ373" s="653">
        <f>((LGZ362*LGU369)+(LGZ366*LGU370)+(LGZ366*LGU371))/LGZ363</f>
        <v>27.332989917734402</v>
      </c>
      <c r="LHA373" s="651" t="s">
        <v>1843</v>
      </c>
      <c r="LHB373" s="627" t="s">
        <v>1844</v>
      </c>
      <c r="LHC373" s="652"/>
      <c r="LHD373" s="652"/>
      <c r="LHE373" s="652"/>
      <c r="LHF373" s="652"/>
      <c r="LHG373" s="652"/>
      <c r="LHH373" s="652"/>
      <c r="LHI373" s="652"/>
      <c r="LHJ373" s="652"/>
      <c r="LHK373" s="652"/>
      <c r="LHL373" s="652"/>
      <c r="LHM373" s="652"/>
      <c r="LHN373" s="652"/>
      <c r="LHO373" s="629">
        <v>27.33</v>
      </c>
      <c r="LHP373" s="653">
        <f>((LHP362*LHK369)+(LHP366*LHK370)+(LHP366*LHK371))/LHP363</f>
        <v>27.332989917734402</v>
      </c>
      <c r="LHQ373" s="651" t="s">
        <v>1843</v>
      </c>
      <c r="LHR373" s="627" t="s">
        <v>1844</v>
      </c>
      <c r="LHS373" s="652"/>
      <c r="LHT373" s="652"/>
      <c r="LHU373" s="652"/>
      <c r="LHV373" s="652"/>
      <c r="LHW373" s="652"/>
      <c r="LHX373" s="652"/>
      <c r="LHY373" s="652"/>
      <c r="LHZ373" s="652"/>
      <c r="LIA373" s="652"/>
      <c r="LIB373" s="652"/>
      <c r="LIC373" s="652"/>
      <c r="LID373" s="652"/>
      <c r="LIE373" s="629">
        <v>27.33</v>
      </c>
      <c r="LIF373" s="653">
        <f>((LIF362*LIA369)+(LIF366*LIA370)+(LIF366*LIA371))/LIF363</f>
        <v>27.332989917734402</v>
      </c>
      <c r="LIG373" s="651" t="s">
        <v>1843</v>
      </c>
      <c r="LIH373" s="627" t="s">
        <v>1844</v>
      </c>
      <c r="LII373" s="652"/>
      <c r="LIJ373" s="652"/>
      <c r="LIK373" s="652"/>
      <c r="LIL373" s="652"/>
      <c r="LIM373" s="652"/>
      <c r="LIN373" s="652"/>
      <c r="LIO373" s="652"/>
      <c r="LIP373" s="652"/>
      <c r="LIQ373" s="652"/>
      <c r="LIR373" s="652"/>
      <c r="LIS373" s="652"/>
      <c r="LIT373" s="652"/>
      <c r="LIU373" s="629">
        <v>27.33</v>
      </c>
      <c r="LIV373" s="653">
        <f>((LIV362*LIQ369)+(LIV366*LIQ370)+(LIV366*LIQ371))/LIV363</f>
        <v>27.332989917734402</v>
      </c>
      <c r="LIW373" s="651" t="s">
        <v>1843</v>
      </c>
      <c r="LIX373" s="627" t="s">
        <v>1844</v>
      </c>
      <c r="LIY373" s="652"/>
      <c r="LIZ373" s="652"/>
      <c r="LJA373" s="652"/>
      <c r="LJB373" s="652"/>
      <c r="LJC373" s="652"/>
      <c r="LJD373" s="652"/>
      <c r="LJE373" s="652"/>
      <c r="LJF373" s="652"/>
      <c r="LJG373" s="652"/>
      <c r="LJH373" s="652"/>
      <c r="LJI373" s="652"/>
      <c r="LJJ373" s="652"/>
      <c r="LJK373" s="629">
        <v>27.33</v>
      </c>
      <c r="LJL373" s="653">
        <f>((LJL362*LJG369)+(LJL366*LJG370)+(LJL366*LJG371))/LJL363</f>
        <v>27.332989917734402</v>
      </c>
      <c r="LJM373" s="651" t="s">
        <v>1843</v>
      </c>
      <c r="LJN373" s="627" t="s">
        <v>1844</v>
      </c>
      <c r="LJO373" s="652"/>
      <c r="LJP373" s="652"/>
      <c r="LJQ373" s="652"/>
      <c r="LJR373" s="652"/>
      <c r="LJS373" s="652"/>
      <c r="LJT373" s="652"/>
      <c r="LJU373" s="652"/>
      <c r="LJV373" s="652"/>
      <c r="LJW373" s="652"/>
      <c r="LJX373" s="652"/>
      <c r="LJY373" s="652"/>
      <c r="LJZ373" s="652"/>
      <c r="LKA373" s="629">
        <v>27.33</v>
      </c>
      <c r="LKB373" s="653">
        <f>((LKB362*LJW369)+(LKB366*LJW370)+(LKB366*LJW371))/LKB363</f>
        <v>27.332989917734402</v>
      </c>
      <c r="LKC373" s="651" t="s">
        <v>1843</v>
      </c>
      <c r="LKD373" s="627" t="s">
        <v>1844</v>
      </c>
      <c r="LKE373" s="652"/>
      <c r="LKF373" s="652"/>
      <c r="LKG373" s="652"/>
      <c r="LKH373" s="652"/>
      <c r="LKI373" s="652"/>
      <c r="LKJ373" s="652"/>
      <c r="LKK373" s="652"/>
      <c r="LKL373" s="652"/>
      <c r="LKM373" s="652"/>
      <c r="LKN373" s="652"/>
      <c r="LKO373" s="652"/>
      <c r="LKP373" s="652"/>
      <c r="LKQ373" s="629">
        <v>27.33</v>
      </c>
      <c r="LKR373" s="653">
        <f>((LKR362*LKM369)+(LKR366*LKM370)+(LKR366*LKM371))/LKR363</f>
        <v>27.332989917734402</v>
      </c>
      <c r="LKS373" s="651" t="s">
        <v>1843</v>
      </c>
      <c r="LKT373" s="627" t="s">
        <v>1844</v>
      </c>
      <c r="LKU373" s="652"/>
      <c r="LKV373" s="652"/>
      <c r="LKW373" s="652"/>
      <c r="LKX373" s="652"/>
      <c r="LKY373" s="652"/>
      <c r="LKZ373" s="652"/>
      <c r="LLA373" s="652"/>
      <c r="LLB373" s="652"/>
      <c r="LLC373" s="652"/>
      <c r="LLD373" s="652"/>
      <c r="LLE373" s="652"/>
      <c r="LLF373" s="652"/>
      <c r="LLG373" s="629">
        <v>27.33</v>
      </c>
      <c r="LLH373" s="653">
        <f>((LLH362*LLC369)+(LLH366*LLC370)+(LLH366*LLC371))/LLH363</f>
        <v>27.332989917734402</v>
      </c>
      <c r="LLI373" s="651" t="s">
        <v>1843</v>
      </c>
      <c r="LLJ373" s="627" t="s">
        <v>1844</v>
      </c>
      <c r="LLK373" s="652"/>
      <c r="LLL373" s="652"/>
      <c r="LLM373" s="652"/>
      <c r="LLN373" s="652"/>
      <c r="LLO373" s="652"/>
      <c r="LLP373" s="652"/>
      <c r="LLQ373" s="652"/>
      <c r="LLR373" s="652"/>
      <c r="LLS373" s="652"/>
      <c r="LLT373" s="652"/>
      <c r="LLU373" s="652"/>
      <c r="LLV373" s="652"/>
      <c r="LLW373" s="629">
        <v>27.33</v>
      </c>
      <c r="LLX373" s="653">
        <f>((LLX362*LLS369)+(LLX366*LLS370)+(LLX366*LLS371))/LLX363</f>
        <v>27.332989917734402</v>
      </c>
      <c r="LLY373" s="651" t="s">
        <v>1843</v>
      </c>
      <c r="LLZ373" s="627" t="s">
        <v>1844</v>
      </c>
      <c r="LMA373" s="652"/>
      <c r="LMB373" s="652"/>
      <c r="LMC373" s="652"/>
      <c r="LMD373" s="652"/>
      <c r="LME373" s="652"/>
      <c r="LMF373" s="652"/>
      <c r="LMG373" s="652"/>
      <c r="LMH373" s="652"/>
      <c r="LMI373" s="652"/>
      <c r="LMJ373" s="652"/>
      <c r="LMK373" s="652"/>
      <c r="LML373" s="652"/>
      <c r="LMM373" s="629">
        <v>27.33</v>
      </c>
      <c r="LMN373" s="653">
        <f>((LMN362*LMI369)+(LMN366*LMI370)+(LMN366*LMI371))/LMN363</f>
        <v>27.332989917734402</v>
      </c>
      <c r="LMO373" s="651" t="s">
        <v>1843</v>
      </c>
      <c r="LMP373" s="627" t="s">
        <v>1844</v>
      </c>
      <c r="LMQ373" s="652"/>
      <c r="LMR373" s="652"/>
      <c r="LMS373" s="652"/>
      <c r="LMT373" s="652"/>
      <c r="LMU373" s="652"/>
      <c r="LMV373" s="652"/>
      <c r="LMW373" s="652"/>
      <c r="LMX373" s="652"/>
      <c r="LMY373" s="652"/>
      <c r="LMZ373" s="652"/>
      <c r="LNA373" s="652"/>
      <c r="LNB373" s="652"/>
      <c r="LNC373" s="629">
        <v>27.33</v>
      </c>
      <c r="LND373" s="653">
        <f>((LND362*LMY369)+(LND366*LMY370)+(LND366*LMY371))/LND363</f>
        <v>27.332989917734402</v>
      </c>
      <c r="LNE373" s="651" t="s">
        <v>1843</v>
      </c>
      <c r="LNF373" s="627" t="s">
        <v>1844</v>
      </c>
      <c r="LNG373" s="652"/>
      <c r="LNH373" s="652"/>
      <c r="LNI373" s="652"/>
      <c r="LNJ373" s="652"/>
      <c r="LNK373" s="652"/>
      <c r="LNL373" s="652"/>
      <c r="LNM373" s="652"/>
      <c r="LNN373" s="652"/>
      <c r="LNO373" s="652"/>
      <c r="LNP373" s="652"/>
      <c r="LNQ373" s="652"/>
      <c r="LNR373" s="652"/>
      <c r="LNS373" s="629">
        <v>27.33</v>
      </c>
      <c r="LNT373" s="653">
        <f>((LNT362*LNO369)+(LNT366*LNO370)+(LNT366*LNO371))/LNT363</f>
        <v>27.332989917734402</v>
      </c>
      <c r="LNU373" s="651" t="s">
        <v>1843</v>
      </c>
      <c r="LNV373" s="627" t="s">
        <v>1844</v>
      </c>
      <c r="LNW373" s="652"/>
      <c r="LNX373" s="652"/>
      <c r="LNY373" s="652"/>
      <c r="LNZ373" s="652"/>
      <c r="LOA373" s="652"/>
      <c r="LOB373" s="652"/>
      <c r="LOC373" s="652"/>
      <c r="LOD373" s="652"/>
      <c r="LOE373" s="652"/>
      <c r="LOF373" s="652"/>
      <c r="LOG373" s="652"/>
      <c r="LOH373" s="652"/>
      <c r="LOI373" s="629">
        <v>27.33</v>
      </c>
      <c r="LOJ373" s="653">
        <f>((LOJ362*LOE369)+(LOJ366*LOE370)+(LOJ366*LOE371))/LOJ363</f>
        <v>27.332989917734402</v>
      </c>
      <c r="LOK373" s="651" t="s">
        <v>1843</v>
      </c>
      <c r="LOL373" s="627" t="s">
        <v>1844</v>
      </c>
      <c r="LOM373" s="652"/>
      <c r="LON373" s="652"/>
      <c r="LOO373" s="652"/>
      <c r="LOP373" s="652"/>
      <c r="LOQ373" s="652"/>
      <c r="LOR373" s="652"/>
      <c r="LOS373" s="652"/>
      <c r="LOT373" s="652"/>
      <c r="LOU373" s="652"/>
      <c r="LOV373" s="652"/>
      <c r="LOW373" s="652"/>
      <c r="LOX373" s="652"/>
      <c r="LOY373" s="629">
        <v>27.33</v>
      </c>
      <c r="LOZ373" s="653">
        <f>((LOZ362*LOU369)+(LOZ366*LOU370)+(LOZ366*LOU371))/LOZ363</f>
        <v>27.332989917734402</v>
      </c>
      <c r="LPA373" s="651" t="s">
        <v>1843</v>
      </c>
      <c r="LPB373" s="627" t="s">
        <v>1844</v>
      </c>
      <c r="LPC373" s="652"/>
      <c r="LPD373" s="652"/>
      <c r="LPE373" s="652"/>
      <c r="LPF373" s="652"/>
      <c r="LPG373" s="652"/>
      <c r="LPH373" s="652"/>
      <c r="LPI373" s="652"/>
      <c r="LPJ373" s="652"/>
      <c r="LPK373" s="652"/>
      <c r="LPL373" s="652"/>
      <c r="LPM373" s="652"/>
      <c r="LPN373" s="652"/>
      <c r="LPO373" s="629">
        <v>27.33</v>
      </c>
      <c r="LPP373" s="653">
        <f>((LPP362*LPK369)+(LPP366*LPK370)+(LPP366*LPK371))/LPP363</f>
        <v>27.332989917734402</v>
      </c>
      <c r="LPQ373" s="651" t="s">
        <v>1843</v>
      </c>
      <c r="LPR373" s="627" t="s">
        <v>1844</v>
      </c>
      <c r="LPS373" s="652"/>
      <c r="LPT373" s="652"/>
      <c r="LPU373" s="652"/>
      <c r="LPV373" s="652"/>
      <c r="LPW373" s="652"/>
      <c r="LPX373" s="652"/>
      <c r="LPY373" s="652"/>
      <c r="LPZ373" s="652"/>
      <c r="LQA373" s="652"/>
      <c r="LQB373" s="652"/>
      <c r="LQC373" s="652"/>
      <c r="LQD373" s="652"/>
      <c r="LQE373" s="629">
        <v>27.33</v>
      </c>
      <c r="LQF373" s="653">
        <f>((LQF362*LQA369)+(LQF366*LQA370)+(LQF366*LQA371))/LQF363</f>
        <v>27.332989917734402</v>
      </c>
      <c r="LQG373" s="651" t="s">
        <v>1843</v>
      </c>
      <c r="LQH373" s="627" t="s">
        <v>1844</v>
      </c>
      <c r="LQI373" s="652"/>
      <c r="LQJ373" s="652"/>
      <c r="LQK373" s="652"/>
      <c r="LQL373" s="652"/>
      <c r="LQM373" s="652"/>
      <c r="LQN373" s="652"/>
      <c r="LQO373" s="652"/>
      <c r="LQP373" s="652"/>
      <c r="LQQ373" s="652"/>
      <c r="LQR373" s="652"/>
      <c r="LQS373" s="652"/>
      <c r="LQT373" s="652"/>
      <c r="LQU373" s="629">
        <v>27.33</v>
      </c>
      <c r="LQV373" s="653">
        <f>((LQV362*LQQ369)+(LQV366*LQQ370)+(LQV366*LQQ371))/LQV363</f>
        <v>27.332989917734402</v>
      </c>
      <c r="LQW373" s="651" t="s">
        <v>1843</v>
      </c>
      <c r="LQX373" s="627" t="s">
        <v>1844</v>
      </c>
      <c r="LQY373" s="652"/>
      <c r="LQZ373" s="652"/>
      <c r="LRA373" s="652"/>
      <c r="LRB373" s="652"/>
      <c r="LRC373" s="652"/>
      <c r="LRD373" s="652"/>
      <c r="LRE373" s="652"/>
      <c r="LRF373" s="652"/>
      <c r="LRG373" s="652"/>
      <c r="LRH373" s="652"/>
      <c r="LRI373" s="652"/>
      <c r="LRJ373" s="652"/>
      <c r="LRK373" s="629">
        <v>27.33</v>
      </c>
      <c r="LRL373" s="653">
        <f>((LRL362*LRG369)+(LRL366*LRG370)+(LRL366*LRG371))/LRL363</f>
        <v>27.332989917734402</v>
      </c>
      <c r="LRM373" s="651" t="s">
        <v>1843</v>
      </c>
      <c r="LRN373" s="627" t="s">
        <v>1844</v>
      </c>
      <c r="LRO373" s="652"/>
      <c r="LRP373" s="652"/>
      <c r="LRQ373" s="652"/>
      <c r="LRR373" s="652"/>
      <c r="LRS373" s="652"/>
      <c r="LRT373" s="652"/>
      <c r="LRU373" s="652"/>
      <c r="LRV373" s="652"/>
      <c r="LRW373" s="652"/>
      <c r="LRX373" s="652"/>
      <c r="LRY373" s="652"/>
      <c r="LRZ373" s="652"/>
      <c r="LSA373" s="629">
        <v>27.33</v>
      </c>
      <c r="LSB373" s="653">
        <f>((LSB362*LRW369)+(LSB366*LRW370)+(LSB366*LRW371))/LSB363</f>
        <v>27.332989917734402</v>
      </c>
      <c r="LSC373" s="651" t="s">
        <v>1843</v>
      </c>
      <c r="LSD373" s="627" t="s">
        <v>1844</v>
      </c>
      <c r="LSE373" s="652"/>
      <c r="LSF373" s="652"/>
      <c r="LSG373" s="652"/>
      <c r="LSH373" s="652"/>
      <c r="LSI373" s="652"/>
      <c r="LSJ373" s="652"/>
      <c r="LSK373" s="652"/>
      <c r="LSL373" s="652"/>
      <c r="LSM373" s="652"/>
      <c r="LSN373" s="652"/>
      <c r="LSO373" s="652"/>
      <c r="LSP373" s="652"/>
      <c r="LSQ373" s="629">
        <v>27.33</v>
      </c>
      <c r="LSR373" s="653">
        <f>((LSR362*LSM369)+(LSR366*LSM370)+(LSR366*LSM371))/LSR363</f>
        <v>27.332989917734402</v>
      </c>
      <c r="LSS373" s="651" t="s">
        <v>1843</v>
      </c>
      <c r="LST373" s="627" t="s">
        <v>1844</v>
      </c>
      <c r="LSU373" s="652"/>
      <c r="LSV373" s="652"/>
      <c r="LSW373" s="652"/>
      <c r="LSX373" s="652"/>
      <c r="LSY373" s="652"/>
      <c r="LSZ373" s="652"/>
      <c r="LTA373" s="652"/>
      <c r="LTB373" s="652"/>
      <c r="LTC373" s="652"/>
      <c r="LTD373" s="652"/>
      <c r="LTE373" s="652"/>
      <c r="LTF373" s="652"/>
      <c r="LTG373" s="629">
        <v>27.33</v>
      </c>
      <c r="LTH373" s="653">
        <f>((LTH362*LTC369)+(LTH366*LTC370)+(LTH366*LTC371))/LTH363</f>
        <v>27.332989917734402</v>
      </c>
      <c r="LTI373" s="651" t="s">
        <v>1843</v>
      </c>
      <c r="LTJ373" s="627" t="s">
        <v>1844</v>
      </c>
      <c r="LTK373" s="652"/>
      <c r="LTL373" s="652"/>
      <c r="LTM373" s="652"/>
      <c r="LTN373" s="652"/>
      <c r="LTO373" s="652"/>
      <c r="LTP373" s="652"/>
      <c r="LTQ373" s="652"/>
      <c r="LTR373" s="652"/>
      <c r="LTS373" s="652"/>
      <c r="LTT373" s="652"/>
      <c r="LTU373" s="652"/>
      <c r="LTV373" s="652"/>
      <c r="LTW373" s="629">
        <v>27.33</v>
      </c>
      <c r="LTX373" s="653">
        <f>((LTX362*LTS369)+(LTX366*LTS370)+(LTX366*LTS371))/LTX363</f>
        <v>27.332989917734402</v>
      </c>
      <c r="LTY373" s="651" t="s">
        <v>1843</v>
      </c>
      <c r="LTZ373" s="627" t="s">
        <v>1844</v>
      </c>
      <c r="LUA373" s="652"/>
      <c r="LUB373" s="652"/>
      <c r="LUC373" s="652"/>
      <c r="LUD373" s="652"/>
      <c r="LUE373" s="652"/>
      <c r="LUF373" s="652"/>
      <c r="LUG373" s="652"/>
      <c r="LUH373" s="652"/>
      <c r="LUI373" s="652"/>
      <c r="LUJ373" s="652"/>
      <c r="LUK373" s="652"/>
      <c r="LUL373" s="652"/>
      <c r="LUM373" s="629">
        <v>27.33</v>
      </c>
      <c r="LUN373" s="653">
        <f>((LUN362*LUI369)+(LUN366*LUI370)+(LUN366*LUI371))/LUN363</f>
        <v>27.332989917734402</v>
      </c>
      <c r="LUO373" s="651" t="s">
        <v>1843</v>
      </c>
      <c r="LUP373" s="627" t="s">
        <v>1844</v>
      </c>
      <c r="LUQ373" s="652"/>
      <c r="LUR373" s="652"/>
      <c r="LUS373" s="652"/>
      <c r="LUT373" s="652"/>
      <c r="LUU373" s="652"/>
      <c r="LUV373" s="652"/>
      <c r="LUW373" s="652"/>
      <c r="LUX373" s="652"/>
      <c r="LUY373" s="652"/>
      <c r="LUZ373" s="652"/>
      <c r="LVA373" s="652"/>
      <c r="LVB373" s="652"/>
      <c r="LVC373" s="629">
        <v>27.33</v>
      </c>
      <c r="LVD373" s="653">
        <f>((LVD362*LUY369)+(LVD366*LUY370)+(LVD366*LUY371))/LVD363</f>
        <v>27.332989917734402</v>
      </c>
      <c r="LVE373" s="651" t="s">
        <v>1843</v>
      </c>
      <c r="LVF373" s="627" t="s">
        <v>1844</v>
      </c>
      <c r="LVG373" s="652"/>
      <c r="LVH373" s="652"/>
      <c r="LVI373" s="652"/>
      <c r="LVJ373" s="652"/>
      <c r="LVK373" s="652"/>
      <c r="LVL373" s="652"/>
      <c r="LVM373" s="652"/>
      <c r="LVN373" s="652"/>
      <c r="LVO373" s="652"/>
      <c r="LVP373" s="652"/>
      <c r="LVQ373" s="652"/>
      <c r="LVR373" s="652"/>
      <c r="LVS373" s="629">
        <v>27.33</v>
      </c>
      <c r="LVT373" s="653">
        <f>((LVT362*LVO369)+(LVT366*LVO370)+(LVT366*LVO371))/LVT363</f>
        <v>27.332989917734402</v>
      </c>
      <c r="LVU373" s="651" t="s">
        <v>1843</v>
      </c>
      <c r="LVV373" s="627" t="s">
        <v>1844</v>
      </c>
      <c r="LVW373" s="652"/>
      <c r="LVX373" s="652"/>
      <c r="LVY373" s="652"/>
      <c r="LVZ373" s="652"/>
      <c r="LWA373" s="652"/>
      <c r="LWB373" s="652"/>
      <c r="LWC373" s="652"/>
      <c r="LWD373" s="652"/>
      <c r="LWE373" s="652"/>
      <c r="LWF373" s="652"/>
      <c r="LWG373" s="652"/>
      <c r="LWH373" s="652"/>
      <c r="LWI373" s="629">
        <v>27.33</v>
      </c>
      <c r="LWJ373" s="653">
        <f>((LWJ362*LWE369)+(LWJ366*LWE370)+(LWJ366*LWE371))/LWJ363</f>
        <v>27.332989917734402</v>
      </c>
      <c r="LWK373" s="651" t="s">
        <v>1843</v>
      </c>
      <c r="LWL373" s="627" t="s">
        <v>1844</v>
      </c>
      <c r="LWM373" s="652"/>
      <c r="LWN373" s="652"/>
      <c r="LWO373" s="652"/>
      <c r="LWP373" s="652"/>
      <c r="LWQ373" s="652"/>
      <c r="LWR373" s="652"/>
      <c r="LWS373" s="652"/>
      <c r="LWT373" s="652"/>
      <c r="LWU373" s="652"/>
      <c r="LWV373" s="652"/>
      <c r="LWW373" s="652"/>
      <c r="LWX373" s="652"/>
      <c r="LWY373" s="629">
        <v>27.33</v>
      </c>
      <c r="LWZ373" s="653">
        <f>((LWZ362*LWU369)+(LWZ366*LWU370)+(LWZ366*LWU371))/LWZ363</f>
        <v>27.332989917734402</v>
      </c>
      <c r="LXA373" s="651" t="s">
        <v>1843</v>
      </c>
      <c r="LXB373" s="627" t="s">
        <v>1844</v>
      </c>
      <c r="LXC373" s="652"/>
      <c r="LXD373" s="652"/>
      <c r="LXE373" s="652"/>
      <c r="LXF373" s="652"/>
      <c r="LXG373" s="652"/>
      <c r="LXH373" s="652"/>
      <c r="LXI373" s="652"/>
      <c r="LXJ373" s="652"/>
      <c r="LXK373" s="652"/>
      <c r="LXL373" s="652"/>
      <c r="LXM373" s="652"/>
      <c r="LXN373" s="652"/>
      <c r="LXO373" s="629">
        <v>27.33</v>
      </c>
      <c r="LXP373" s="653">
        <f>((LXP362*LXK369)+(LXP366*LXK370)+(LXP366*LXK371))/LXP363</f>
        <v>27.332989917734402</v>
      </c>
      <c r="LXQ373" s="651" t="s">
        <v>1843</v>
      </c>
      <c r="LXR373" s="627" t="s">
        <v>1844</v>
      </c>
      <c r="LXS373" s="652"/>
      <c r="LXT373" s="652"/>
      <c r="LXU373" s="652"/>
      <c r="LXV373" s="652"/>
      <c r="LXW373" s="652"/>
      <c r="LXX373" s="652"/>
      <c r="LXY373" s="652"/>
      <c r="LXZ373" s="652"/>
      <c r="LYA373" s="652"/>
      <c r="LYB373" s="652"/>
      <c r="LYC373" s="652"/>
      <c r="LYD373" s="652"/>
      <c r="LYE373" s="629">
        <v>27.33</v>
      </c>
      <c r="LYF373" s="653">
        <f>((LYF362*LYA369)+(LYF366*LYA370)+(LYF366*LYA371))/LYF363</f>
        <v>27.332989917734402</v>
      </c>
      <c r="LYG373" s="651" t="s">
        <v>1843</v>
      </c>
      <c r="LYH373" s="627" t="s">
        <v>1844</v>
      </c>
      <c r="LYI373" s="652"/>
      <c r="LYJ373" s="652"/>
      <c r="LYK373" s="652"/>
      <c r="LYL373" s="652"/>
      <c r="LYM373" s="652"/>
      <c r="LYN373" s="652"/>
      <c r="LYO373" s="652"/>
      <c r="LYP373" s="652"/>
      <c r="LYQ373" s="652"/>
      <c r="LYR373" s="652"/>
      <c r="LYS373" s="652"/>
      <c r="LYT373" s="652"/>
      <c r="LYU373" s="629">
        <v>27.33</v>
      </c>
      <c r="LYV373" s="653">
        <f>((LYV362*LYQ369)+(LYV366*LYQ370)+(LYV366*LYQ371))/LYV363</f>
        <v>27.332989917734402</v>
      </c>
      <c r="LYW373" s="651" t="s">
        <v>1843</v>
      </c>
      <c r="LYX373" s="627" t="s">
        <v>1844</v>
      </c>
      <c r="LYY373" s="652"/>
      <c r="LYZ373" s="652"/>
      <c r="LZA373" s="652"/>
      <c r="LZB373" s="652"/>
      <c r="LZC373" s="652"/>
      <c r="LZD373" s="652"/>
      <c r="LZE373" s="652"/>
      <c r="LZF373" s="652"/>
      <c r="LZG373" s="652"/>
      <c r="LZH373" s="652"/>
      <c r="LZI373" s="652"/>
      <c r="LZJ373" s="652"/>
      <c r="LZK373" s="629">
        <v>27.33</v>
      </c>
      <c r="LZL373" s="653">
        <f>((LZL362*LZG369)+(LZL366*LZG370)+(LZL366*LZG371))/LZL363</f>
        <v>27.332989917734402</v>
      </c>
      <c r="LZM373" s="651" t="s">
        <v>1843</v>
      </c>
      <c r="LZN373" s="627" t="s">
        <v>1844</v>
      </c>
      <c r="LZO373" s="652"/>
      <c r="LZP373" s="652"/>
      <c r="LZQ373" s="652"/>
      <c r="LZR373" s="652"/>
      <c r="LZS373" s="652"/>
      <c r="LZT373" s="652"/>
      <c r="LZU373" s="652"/>
      <c r="LZV373" s="652"/>
      <c r="LZW373" s="652"/>
      <c r="LZX373" s="652"/>
      <c r="LZY373" s="652"/>
      <c r="LZZ373" s="652"/>
      <c r="MAA373" s="629">
        <v>27.33</v>
      </c>
      <c r="MAB373" s="653">
        <f>((MAB362*LZW369)+(MAB366*LZW370)+(MAB366*LZW371))/MAB363</f>
        <v>27.332989917734402</v>
      </c>
      <c r="MAC373" s="651" t="s">
        <v>1843</v>
      </c>
      <c r="MAD373" s="627" t="s">
        <v>1844</v>
      </c>
      <c r="MAE373" s="652"/>
      <c r="MAF373" s="652"/>
      <c r="MAG373" s="652"/>
      <c r="MAH373" s="652"/>
      <c r="MAI373" s="652"/>
      <c r="MAJ373" s="652"/>
      <c r="MAK373" s="652"/>
      <c r="MAL373" s="652"/>
      <c r="MAM373" s="652"/>
      <c r="MAN373" s="652"/>
      <c r="MAO373" s="652"/>
      <c r="MAP373" s="652"/>
      <c r="MAQ373" s="629">
        <v>27.33</v>
      </c>
      <c r="MAR373" s="653">
        <f>((MAR362*MAM369)+(MAR366*MAM370)+(MAR366*MAM371))/MAR363</f>
        <v>27.332989917734402</v>
      </c>
      <c r="MAS373" s="651" t="s">
        <v>1843</v>
      </c>
      <c r="MAT373" s="627" t="s">
        <v>1844</v>
      </c>
      <c r="MAU373" s="652"/>
      <c r="MAV373" s="652"/>
      <c r="MAW373" s="652"/>
      <c r="MAX373" s="652"/>
      <c r="MAY373" s="652"/>
      <c r="MAZ373" s="652"/>
      <c r="MBA373" s="652"/>
      <c r="MBB373" s="652"/>
      <c r="MBC373" s="652"/>
      <c r="MBD373" s="652"/>
      <c r="MBE373" s="652"/>
      <c r="MBF373" s="652"/>
      <c r="MBG373" s="629">
        <v>27.33</v>
      </c>
      <c r="MBH373" s="653">
        <f>((MBH362*MBC369)+(MBH366*MBC370)+(MBH366*MBC371))/MBH363</f>
        <v>27.332989917734402</v>
      </c>
      <c r="MBI373" s="651" t="s">
        <v>1843</v>
      </c>
      <c r="MBJ373" s="627" t="s">
        <v>1844</v>
      </c>
      <c r="MBK373" s="652"/>
      <c r="MBL373" s="652"/>
      <c r="MBM373" s="652"/>
      <c r="MBN373" s="652"/>
      <c r="MBO373" s="652"/>
      <c r="MBP373" s="652"/>
      <c r="MBQ373" s="652"/>
      <c r="MBR373" s="652"/>
      <c r="MBS373" s="652"/>
      <c r="MBT373" s="652"/>
      <c r="MBU373" s="652"/>
      <c r="MBV373" s="652"/>
      <c r="MBW373" s="629">
        <v>27.33</v>
      </c>
      <c r="MBX373" s="653">
        <f>((MBX362*MBS369)+(MBX366*MBS370)+(MBX366*MBS371))/MBX363</f>
        <v>27.332989917734402</v>
      </c>
      <c r="MBY373" s="651" t="s">
        <v>1843</v>
      </c>
      <c r="MBZ373" s="627" t="s">
        <v>1844</v>
      </c>
      <c r="MCA373" s="652"/>
      <c r="MCB373" s="652"/>
      <c r="MCC373" s="652"/>
      <c r="MCD373" s="652"/>
      <c r="MCE373" s="652"/>
      <c r="MCF373" s="652"/>
      <c r="MCG373" s="652"/>
      <c r="MCH373" s="652"/>
      <c r="MCI373" s="652"/>
      <c r="MCJ373" s="652"/>
      <c r="MCK373" s="652"/>
      <c r="MCL373" s="652"/>
      <c r="MCM373" s="629">
        <v>27.33</v>
      </c>
      <c r="MCN373" s="653">
        <f>((MCN362*MCI369)+(MCN366*MCI370)+(MCN366*MCI371))/MCN363</f>
        <v>27.332989917734402</v>
      </c>
      <c r="MCO373" s="651" t="s">
        <v>1843</v>
      </c>
      <c r="MCP373" s="627" t="s">
        <v>1844</v>
      </c>
      <c r="MCQ373" s="652"/>
      <c r="MCR373" s="652"/>
      <c r="MCS373" s="652"/>
      <c r="MCT373" s="652"/>
      <c r="MCU373" s="652"/>
      <c r="MCV373" s="652"/>
      <c r="MCW373" s="652"/>
      <c r="MCX373" s="652"/>
      <c r="MCY373" s="652"/>
      <c r="MCZ373" s="652"/>
      <c r="MDA373" s="652"/>
      <c r="MDB373" s="652"/>
      <c r="MDC373" s="629">
        <v>27.33</v>
      </c>
      <c r="MDD373" s="653">
        <f>((MDD362*MCY369)+(MDD366*MCY370)+(MDD366*MCY371))/MDD363</f>
        <v>27.332989917734402</v>
      </c>
      <c r="MDE373" s="651" t="s">
        <v>1843</v>
      </c>
      <c r="MDF373" s="627" t="s">
        <v>1844</v>
      </c>
      <c r="MDG373" s="652"/>
      <c r="MDH373" s="652"/>
      <c r="MDI373" s="652"/>
      <c r="MDJ373" s="652"/>
      <c r="MDK373" s="652"/>
      <c r="MDL373" s="652"/>
      <c r="MDM373" s="652"/>
      <c r="MDN373" s="652"/>
      <c r="MDO373" s="652"/>
      <c r="MDP373" s="652"/>
      <c r="MDQ373" s="652"/>
      <c r="MDR373" s="652"/>
      <c r="MDS373" s="629">
        <v>27.33</v>
      </c>
      <c r="MDT373" s="653">
        <f>((MDT362*MDO369)+(MDT366*MDO370)+(MDT366*MDO371))/MDT363</f>
        <v>27.332989917734402</v>
      </c>
      <c r="MDU373" s="651" t="s">
        <v>1843</v>
      </c>
      <c r="MDV373" s="627" t="s">
        <v>1844</v>
      </c>
      <c r="MDW373" s="652"/>
      <c r="MDX373" s="652"/>
      <c r="MDY373" s="652"/>
      <c r="MDZ373" s="652"/>
      <c r="MEA373" s="652"/>
      <c r="MEB373" s="652"/>
      <c r="MEC373" s="652"/>
      <c r="MED373" s="652"/>
      <c r="MEE373" s="652"/>
      <c r="MEF373" s="652"/>
      <c r="MEG373" s="652"/>
      <c r="MEH373" s="652"/>
      <c r="MEI373" s="629">
        <v>27.33</v>
      </c>
      <c r="MEJ373" s="653">
        <f>((MEJ362*MEE369)+(MEJ366*MEE370)+(MEJ366*MEE371))/MEJ363</f>
        <v>27.332989917734402</v>
      </c>
      <c r="MEK373" s="651" t="s">
        <v>1843</v>
      </c>
      <c r="MEL373" s="627" t="s">
        <v>1844</v>
      </c>
      <c r="MEM373" s="652"/>
      <c r="MEN373" s="652"/>
      <c r="MEO373" s="652"/>
      <c r="MEP373" s="652"/>
      <c r="MEQ373" s="652"/>
      <c r="MER373" s="652"/>
      <c r="MES373" s="652"/>
      <c r="MET373" s="652"/>
      <c r="MEU373" s="652"/>
      <c r="MEV373" s="652"/>
      <c r="MEW373" s="652"/>
      <c r="MEX373" s="652"/>
      <c r="MEY373" s="629">
        <v>27.33</v>
      </c>
      <c r="MEZ373" s="653">
        <f>((MEZ362*MEU369)+(MEZ366*MEU370)+(MEZ366*MEU371))/MEZ363</f>
        <v>27.332989917734402</v>
      </c>
      <c r="MFA373" s="651" t="s">
        <v>1843</v>
      </c>
      <c r="MFB373" s="627" t="s">
        <v>1844</v>
      </c>
      <c r="MFC373" s="652"/>
      <c r="MFD373" s="652"/>
      <c r="MFE373" s="652"/>
      <c r="MFF373" s="652"/>
      <c r="MFG373" s="652"/>
      <c r="MFH373" s="652"/>
      <c r="MFI373" s="652"/>
      <c r="MFJ373" s="652"/>
      <c r="MFK373" s="652"/>
      <c r="MFL373" s="652"/>
      <c r="MFM373" s="652"/>
      <c r="MFN373" s="652"/>
      <c r="MFO373" s="629">
        <v>27.33</v>
      </c>
      <c r="MFP373" s="653">
        <f>((MFP362*MFK369)+(MFP366*MFK370)+(MFP366*MFK371))/MFP363</f>
        <v>27.332989917734402</v>
      </c>
      <c r="MFQ373" s="651" t="s">
        <v>1843</v>
      </c>
      <c r="MFR373" s="627" t="s">
        <v>1844</v>
      </c>
      <c r="MFS373" s="652"/>
      <c r="MFT373" s="652"/>
      <c r="MFU373" s="652"/>
      <c r="MFV373" s="652"/>
      <c r="MFW373" s="652"/>
      <c r="MFX373" s="652"/>
      <c r="MFY373" s="652"/>
      <c r="MFZ373" s="652"/>
      <c r="MGA373" s="652"/>
      <c r="MGB373" s="652"/>
      <c r="MGC373" s="652"/>
      <c r="MGD373" s="652"/>
      <c r="MGE373" s="629">
        <v>27.33</v>
      </c>
      <c r="MGF373" s="653">
        <f>((MGF362*MGA369)+(MGF366*MGA370)+(MGF366*MGA371))/MGF363</f>
        <v>27.332989917734402</v>
      </c>
      <c r="MGG373" s="651" t="s">
        <v>1843</v>
      </c>
      <c r="MGH373" s="627" t="s">
        <v>1844</v>
      </c>
      <c r="MGI373" s="652"/>
      <c r="MGJ373" s="652"/>
      <c r="MGK373" s="652"/>
      <c r="MGL373" s="652"/>
      <c r="MGM373" s="652"/>
      <c r="MGN373" s="652"/>
      <c r="MGO373" s="652"/>
      <c r="MGP373" s="652"/>
      <c r="MGQ373" s="652"/>
      <c r="MGR373" s="652"/>
      <c r="MGS373" s="652"/>
      <c r="MGT373" s="652"/>
      <c r="MGU373" s="629">
        <v>27.33</v>
      </c>
      <c r="MGV373" s="653">
        <f>((MGV362*MGQ369)+(MGV366*MGQ370)+(MGV366*MGQ371))/MGV363</f>
        <v>27.332989917734402</v>
      </c>
      <c r="MGW373" s="651" t="s">
        <v>1843</v>
      </c>
      <c r="MGX373" s="627" t="s">
        <v>1844</v>
      </c>
      <c r="MGY373" s="652"/>
      <c r="MGZ373" s="652"/>
      <c r="MHA373" s="652"/>
      <c r="MHB373" s="652"/>
      <c r="MHC373" s="652"/>
      <c r="MHD373" s="652"/>
      <c r="MHE373" s="652"/>
      <c r="MHF373" s="652"/>
      <c r="MHG373" s="652"/>
      <c r="MHH373" s="652"/>
      <c r="MHI373" s="652"/>
      <c r="MHJ373" s="652"/>
      <c r="MHK373" s="629">
        <v>27.33</v>
      </c>
      <c r="MHL373" s="653">
        <f>((MHL362*MHG369)+(MHL366*MHG370)+(MHL366*MHG371))/MHL363</f>
        <v>27.332989917734402</v>
      </c>
      <c r="MHM373" s="651" t="s">
        <v>1843</v>
      </c>
      <c r="MHN373" s="627" t="s">
        <v>1844</v>
      </c>
      <c r="MHO373" s="652"/>
      <c r="MHP373" s="652"/>
      <c r="MHQ373" s="652"/>
      <c r="MHR373" s="652"/>
      <c r="MHS373" s="652"/>
      <c r="MHT373" s="652"/>
      <c r="MHU373" s="652"/>
      <c r="MHV373" s="652"/>
      <c r="MHW373" s="652"/>
      <c r="MHX373" s="652"/>
      <c r="MHY373" s="652"/>
      <c r="MHZ373" s="652"/>
      <c r="MIA373" s="629">
        <v>27.33</v>
      </c>
      <c r="MIB373" s="653">
        <f>((MIB362*MHW369)+(MIB366*MHW370)+(MIB366*MHW371))/MIB363</f>
        <v>27.332989917734402</v>
      </c>
      <c r="MIC373" s="651" t="s">
        <v>1843</v>
      </c>
      <c r="MID373" s="627" t="s">
        <v>1844</v>
      </c>
      <c r="MIE373" s="652"/>
      <c r="MIF373" s="652"/>
      <c r="MIG373" s="652"/>
      <c r="MIH373" s="652"/>
      <c r="MII373" s="652"/>
      <c r="MIJ373" s="652"/>
      <c r="MIK373" s="652"/>
      <c r="MIL373" s="652"/>
      <c r="MIM373" s="652"/>
      <c r="MIN373" s="652"/>
      <c r="MIO373" s="652"/>
      <c r="MIP373" s="652"/>
      <c r="MIQ373" s="629">
        <v>27.33</v>
      </c>
      <c r="MIR373" s="653">
        <f>((MIR362*MIM369)+(MIR366*MIM370)+(MIR366*MIM371))/MIR363</f>
        <v>27.332989917734402</v>
      </c>
      <c r="MIS373" s="651" t="s">
        <v>1843</v>
      </c>
      <c r="MIT373" s="627" t="s">
        <v>1844</v>
      </c>
      <c r="MIU373" s="652"/>
      <c r="MIV373" s="652"/>
      <c r="MIW373" s="652"/>
      <c r="MIX373" s="652"/>
      <c r="MIY373" s="652"/>
      <c r="MIZ373" s="652"/>
      <c r="MJA373" s="652"/>
      <c r="MJB373" s="652"/>
      <c r="MJC373" s="652"/>
      <c r="MJD373" s="652"/>
      <c r="MJE373" s="652"/>
      <c r="MJF373" s="652"/>
      <c r="MJG373" s="629">
        <v>27.33</v>
      </c>
      <c r="MJH373" s="653">
        <f>((MJH362*MJC369)+(MJH366*MJC370)+(MJH366*MJC371))/MJH363</f>
        <v>27.332989917734402</v>
      </c>
      <c r="MJI373" s="651" t="s">
        <v>1843</v>
      </c>
      <c r="MJJ373" s="627" t="s">
        <v>1844</v>
      </c>
      <c r="MJK373" s="652"/>
      <c r="MJL373" s="652"/>
      <c r="MJM373" s="652"/>
      <c r="MJN373" s="652"/>
      <c r="MJO373" s="652"/>
      <c r="MJP373" s="652"/>
      <c r="MJQ373" s="652"/>
      <c r="MJR373" s="652"/>
      <c r="MJS373" s="652"/>
      <c r="MJT373" s="652"/>
      <c r="MJU373" s="652"/>
      <c r="MJV373" s="652"/>
      <c r="MJW373" s="629">
        <v>27.33</v>
      </c>
      <c r="MJX373" s="653">
        <f>((MJX362*MJS369)+(MJX366*MJS370)+(MJX366*MJS371))/MJX363</f>
        <v>27.332989917734402</v>
      </c>
      <c r="MJY373" s="651" t="s">
        <v>1843</v>
      </c>
      <c r="MJZ373" s="627" t="s">
        <v>1844</v>
      </c>
      <c r="MKA373" s="652"/>
      <c r="MKB373" s="652"/>
      <c r="MKC373" s="652"/>
      <c r="MKD373" s="652"/>
      <c r="MKE373" s="652"/>
      <c r="MKF373" s="652"/>
      <c r="MKG373" s="652"/>
      <c r="MKH373" s="652"/>
      <c r="MKI373" s="652"/>
      <c r="MKJ373" s="652"/>
      <c r="MKK373" s="652"/>
      <c r="MKL373" s="652"/>
      <c r="MKM373" s="629">
        <v>27.33</v>
      </c>
      <c r="MKN373" s="653">
        <f>((MKN362*MKI369)+(MKN366*MKI370)+(MKN366*MKI371))/MKN363</f>
        <v>27.332989917734402</v>
      </c>
      <c r="MKO373" s="651" t="s">
        <v>1843</v>
      </c>
      <c r="MKP373" s="627" t="s">
        <v>1844</v>
      </c>
      <c r="MKQ373" s="652"/>
      <c r="MKR373" s="652"/>
      <c r="MKS373" s="652"/>
      <c r="MKT373" s="652"/>
      <c r="MKU373" s="652"/>
      <c r="MKV373" s="652"/>
      <c r="MKW373" s="652"/>
      <c r="MKX373" s="652"/>
      <c r="MKY373" s="652"/>
      <c r="MKZ373" s="652"/>
      <c r="MLA373" s="652"/>
      <c r="MLB373" s="652"/>
      <c r="MLC373" s="629">
        <v>27.33</v>
      </c>
      <c r="MLD373" s="653">
        <f>((MLD362*MKY369)+(MLD366*MKY370)+(MLD366*MKY371))/MLD363</f>
        <v>27.332989917734402</v>
      </c>
      <c r="MLE373" s="651" t="s">
        <v>1843</v>
      </c>
      <c r="MLF373" s="627" t="s">
        <v>1844</v>
      </c>
      <c r="MLG373" s="652"/>
      <c r="MLH373" s="652"/>
      <c r="MLI373" s="652"/>
      <c r="MLJ373" s="652"/>
      <c r="MLK373" s="652"/>
      <c r="MLL373" s="652"/>
      <c r="MLM373" s="652"/>
      <c r="MLN373" s="652"/>
      <c r="MLO373" s="652"/>
      <c r="MLP373" s="652"/>
      <c r="MLQ373" s="652"/>
      <c r="MLR373" s="652"/>
      <c r="MLS373" s="629">
        <v>27.33</v>
      </c>
      <c r="MLT373" s="653">
        <f>((MLT362*MLO369)+(MLT366*MLO370)+(MLT366*MLO371))/MLT363</f>
        <v>27.332989917734402</v>
      </c>
      <c r="MLU373" s="651" t="s">
        <v>1843</v>
      </c>
      <c r="MLV373" s="627" t="s">
        <v>1844</v>
      </c>
      <c r="MLW373" s="652"/>
      <c r="MLX373" s="652"/>
      <c r="MLY373" s="652"/>
      <c r="MLZ373" s="652"/>
      <c r="MMA373" s="652"/>
      <c r="MMB373" s="652"/>
      <c r="MMC373" s="652"/>
      <c r="MMD373" s="652"/>
      <c r="MME373" s="652"/>
      <c r="MMF373" s="652"/>
      <c r="MMG373" s="652"/>
      <c r="MMH373" s="652"/>
      <c r="MMI373" s="629">
        <v>27.33</v>
      </c>
      <c r="MMJ373" s="653">
        <f>((MMJ362*MME369)+(MMJ366*MME370)+(MMJ366*MME371))/MMJ363</f>
        <v>27.332989917734402</v>
      </c>
      <c r="MMK373" s="651" t="s">
        <v>1843</v>
      </c>
      <c r="MML373" s="627" t="s">
        <v>1844</v>
      </c>
      <c r="MMM373" s="652"/>
      <c r="MMN373" s="652"/>
      <c r="MMO373" s="652"/>
      <c r="MMP373" s="652"/>
      <c r="MMQ373" s="652"/>
      <c r="MMR373" s="652"/>
      <c r="MMS373" s="652"/>
      <c r="MMT373" s="652"/>
      <c r="MMU373" s="652"/>
      <c r="MMV373" s="652"/>
      <c r="MMW373" s="652"/>
      <c r="MMX373" s="652"/>
      <c r="MMY373" s="629">
        <v>27.33</v>
      </c>
      <c r="MMZ373" s="653">
        <f>((MMZ362*MMU369)+(MMZ366*MMU370)+(MMZ366*MMU371))/MMZ363</f>
        <v>27.332989917734402</v>
      </c>
      <c r="MNA373" s="651" t="s">
        <v>1843</v>
      </c>
      <c r="MNB373" s="627" t="s">
        <v>1844</v>
      </c>
      <c r="MNC373" s="652"/>
      <c r="MND373" s="652"/>
      <c r="MNE373" s="652"/>
      <c r="MNF373" s="652"/>
      <c r="MNG373" s="652"/>
      <c r="MNH373" s="652"/>
      <c r="MNI373" s="652"/>
      <c r="MNJ373" s="652"/>
      <c r="MNK373" s="652"/>
      <c r="MNL373" s="652"/>
      <c r="MNM373" s="652"/>
      <c r="MNN373" s="652"/>
      <c r="MNO373" s="629">
        <v>27.33</v>
      </c>
      <c r="MNP373" s="653">
        <f>((MNP362*MNK369)+(MNP366*MNK370)+(MNP366*MNK371))/MNP363</f>
        <v>27.332989917734402</v>
      </c>
      <c r="MNQ373" s="651" t="s">
        <v>1843</v>
      </c>
      <c r="MNR373" s="627" t="s">
        <v>1844</v>
      </c>
      <c r="MNS373" s="652"/>
      <c r="MNT373" s="652"/>
      <c r="MNU373" s="652"/>
      <c r="MNV373" s="652"/>
      <c r="MNW373" s="652"/>
      <c r="MNX373" s="652"/>
      <c r="MNY373" s="652"/>
      <c r="MNZ373" s="652"/>
      <c r="MOA373" s="652"/>
      <c r="MOB373" s="652"/>
      <c r="MOC373" s="652"/>
      <c r="MOD373" s="652"/>
      <c r="MOE373" s="629">
        <v>27.33</v>
      </c>
      <c r="MOF373" s="653">
        <f>((MOF362*MOA369)+(MOF366*MOA370)+(MOF366*MOA371))/MOF363</f>
        <v>27.332989917734402</v>
      </c>
      <c r="MOG373" s="651" t="s">
        <v>1843</v>
      </c>
      <c r="MOH373" s="627" t="s">
        <v>1844</v>
      </c>
      <c r="MOI373" s="652"/>
      <c r="MOJ373" s="652"/>
      <c r="MOK373" s="652"/>
      <c r="MOL373" s="652"/>
      <c r="MOM373" s="652"/>
      <c r="MON373" s="652"/>
      <c r="MOO373" s="652"/>
      <c r="MOP373" s="652"/>
      <c r="MOQ373" s="652"/>
      <c r="MOR373" s="652"/>
      <c r="MOS373" s="652"/>
      <c r="MOT373" s="652"/>
      <c r="MOU373" s="629">
        <v>27.33</v>
      </c>
      <c r="MOV373" s="653">
        <f>((MOV362*MOQ369)+(MOV366*MOQ370)+(MOV366*MOQ371))/MOV363</f>
        <v>27.332989917734402</v>
      </c>
      <c r="MOW373" s="651" t="s">
        <v>1843</v>
      </c>
      <c r="MOX373" s="627" t="s">
        <v>1844</v>
      </c>
      <c r="MOY373" s="652"/>
      <c r="MOZ373" s="652"/>
      <c r="MPA373" s="652"/>
      <c r="MPB373" s="652"/>
      <c r="MPC373" s="652"/>
      <c r="MPD373" s="652"/>
      <c r="MPE373" s="652"/>
      <c r="MPF373" s="652"/>
      <c r="MPG373" s="652"/>
      <c r="MPH373" s="652"/>
      <c r="MPI373" s="652"/>
      <c r="MPJ373" s="652"/>
      <c r="MPK373" s="629">
        <v>27.33</v>
      </c>
      <c r="MPL373" s="653">
        <f>((MPL362*MPG369)+(MPL366*MPG370)+(MPL366*MPG371))/MPL363</f>
        <v>27.332989917734402</v>
      </c>
      <c r="MPM373" s="651" t="s">
        <v>1843</v>
      </c>
      <c r="MPN373" s="627" t="s">
        <v>1844</v>
      </c>
      <c r="MPO373" s="652"/>
      <c r="MPP373" s="652"/>
      <c r="MPQ373" s="652"/>
      <c r="MPR373" s="652"/>
      <c r="MPS373" s="652"/>
      <c r="MPT373" s="652"/>
      <c r="MPU373" s="652"/>
      <c r="MPV373" s="652"/>
      <c r="MPW373" s="652"/>
      <c r="MPX373" s="652"/>
      <c r="MPY373" s="652"/>
      <c r="MPZ373" s="652"/>
      <c r="MQA373" s="629">
        <v>27.33</v>
      </c>
      <c r="MQB373" s="653">
        <f>((MQB362*MPW369)+(MQB366*MPW370)+(MQB366*MPW371))/MQB363</f>
        <v>27.332989917734402</v>
      </c>
      <c r="MQC373" s="651" t="s">
        <v>1843</v>
      </c>
      <c r="MQD373" s="627" t="s">
        <v>1844</v>
      </c>
      <c r="MQE373" s="652"/>
      <c r="MQF373" s="652"/>
      <c r="MQG373" s="652"/>
      <c r="MQH373" s="652"/>
      <c r="MQI373" s="652"/>
      <c r="MQJ373" s="652"/>
      <c r="MQK373" s="652"/>
      <c r="MQL373" s="652"/>
      <c r="MQM373" s="652"/>
      <c r="MQN373" s="652"/>
      <c r="MQO373" s="652"/>
      <c r="MQP373" s="652"/>
      <c r="MQQ373" s="629">
        <v>27.33</v>
      </c>
      <c r="MQR373" s="653">
        <f>((MQR362*MQM369)+(MQR366*MQM370)+(MQR366*MQM371))/MQR363</f>
        <v>27.332989917734402</v>
      </c>
      <c r="MQS373" s="651" t="s">
        <v>1843</v>
      </c>
      <c r="MQT373" s="627" t="s">
        <v>1844</v>
      </c>
      <c r="MQU373" s="652"/>
      <c r="MQV373" s="652"/>
      <c r="MQW373" s="652"/>
      <c r="MQX373" s="652"/>
      <c r="MQY373" s="652"/>
      <c r="MQZ373" s="652"/>
      <c r="MRA373" s="652"/>
      <c r="MRB373" s="652"/>
      <c r="MRC373" s="652"/>
      <c r="MRD373" s="652"/>
      <c r="MRE373" s="652"/>
      <c r="MRF373" s="652"/>
      <c r="MRG373" s="629">
        <v>27.33</v>
      </c>
      <c r="MRH373" s="653">
        <f>((MRH362*MRC369)+(MRH366*MRC370)+(MRH366*MRC371))/MRH363</f>
        <v>27.332989917734402</v>
      </c>
      <c r="MRI373" s="651" t="s">
        <v>1843</v>
      </c>
      <c r="MRJ373" s="627" t="s">
        <v>1844</v>
      </c>
      <c r="MRK373" s="652"/>
      <c r="MRL373" s="652"/>
      <c r="MRM373" s="652"/>
      <c r="MRN373" s="652"/>
      <c r="MRO373" s="652"/>
      <c r="MRP373" s="652"/>
      <c r="MRQ373" s="652"/>
      <c r="MRR373" s="652"/>
      <c r="MRS373" s="652"/>
      <c r="MRT373" s="652"/>
      <c r="MRU373" s="652"/>
      <c r="MRV373" s="652"/>
      <c r="MRW373" s="629">
        <v>27.33</v>
      </c>
      <c r="MRX373" s="653">
        <f>((MRX362*MRS369)+(MRX366*MRS370)+(MRX366*MRS371))/MRX363</f>
        <v>27.332989917734402</v>
      </c>
      <c r="MRY373" s="651" t="s">
        <v>1843</v>
      </c>
      <c r="MRZ373" s="627" t="s">
        <v>1844</v>
      </c>
      <c r="MSA373" s="652"/>
      <c r="MSB373" s="652"/>
      <c r="MSC373" s="652"/>
      <c r="MSD373" s="652"/>
      <c r="MSE373" s="652"/>
      <c r="MSF373" s="652"/>
      <c r="MSG373" s="652"/>
      <c r="MSH373" s="652"/>
      <c r="MSI373" s="652"/>
      <c r="MSJ373" s="652"/>
      <c r="MSK373" s="652"/>
      <c r="MSL373" s="652"/>
      <c r="MSM373" s="629">
        <v>27.33</v>
      </c>
      <c r="MSN373" s="653">
        <f>((MSN362*MSI369)+(MSN366*MSI370)+(MSN366*MSI371))/MSN363</f>
        <v>27.332989917734402</v>
      </c>
      <c r="MSO373" s="651" t="s">
        <v>1843</v>
      </c>
      <c r="MSP373" s="627" t="s">
        <v>1844</v>
      </c>
      <c r="MSQ373" s="652"/>
      <c r="MSR373" s="652"/>
      <c r="MSS373" s="652"/>
      <c r="MST373" s="652"/>
      <c r="MSU373" s="652"/>
      <c r="MSV373" s="652"/>
      <c r="MSW373" s="652"/>
      <c r="MSX373" s="652"/>
      <c r="MSY373" s="652"/>
      <c r="MSZ373" s="652"/>
      <c r="MTA373" s="652"/>
      <c r="MTB373" s="652"/>
      <c r="MTC373" s="629">
        <v>27.33</v>
      </c>
      <c r="MTD373" s="653">
        <f>((MTD362*MSY369)+(MTD366*MSY370)+(MTD366*MSY371))/MTD363</f>
        <v>27.332989917734402</v>
      </c>
      <c r="MTE373" s="651" t="s">
        <v>1843</v>
      </c>
      <c r="MTF373" s="627" t="s">
        <v>1844</v>
      </c>
      <c r="MTG373" s="652"/>
      <c r="MTH373" s="652"/>
      <c r="MTI373" s="652"/>
      <c r="MTJ373" s="652"/>
      <c r="MTK373" s="652"/>
      <c r="MTL373" s="652"/>
      <c r="MTM373" s="652"/>
      <c r="MTN373" s="652"/>
      <c r="MTO373" s="652"/>
      <c r="MTP373" s="652"/>
      <c r="MTQ373" s="652"/>
      <c r="MTR373" s="652"/>
      <c r="MTS373" s="629">
        <v>27.33</v>
      </c>
      <c r="MTT373" s="653">
        <f>((MTT362*MTO369)+(MTT366*MTO370)+(MTT366*MTO371))/MTT363</f>
        <v>27.332989917734402</v>
      </c>
      <c r="MTU373" s="651" t="s">
        <v>1843</v>
      </c>
      <c r="MTV373" s="627" t="s">
        <v>1844</v>
      </c>
      <c r="MTW373" s="652"/>
      <c r="MTX373" s="652"/>
      <c r="MTY373" s="652"/>
      <c r="MTZ373" s="652"/>
      <c r="MUA373" s="652"/>
      <c r="MUB373" s="652"/>
      <c r="MUC373" s="652"/>
      <c r="MUD373" s="652"/>
      <c r="MUE373" s="652"/>
      <c r="MUF373" s="652"/>
      <c r="MUG373" s="652"/>
      <c r="MUH373" s="652"/>
      <c r="MUI373" s="629">
        <v>27.33</v>
      </c>
      <c r="MUJ373" s="653">
        <f>((MUJ362*MUE369)+(MUJ366*MUE370)+(MUJ366*MUE371))/MUJ363</f>
        <v>27.332989917734402</v>
      </c>
      <c r="MUK373" s="651" t="s">
        <v>1843</v>
      </c>
      <c r="MUL373" s="627" t="s">
        <v>1844</v>
      </c>
      <c r="MUM373" s="652"/>
      <c r="MUN373" s="652"/>
      <c r="MUO373" s="652"/>
      <c r="MUP373" s="652"/>
      <c r="MUQ373" s="652"/>
      <c r="MUR373" s="652"/>
      <c r="MUS373" s="652"/>
      <c r="MUT373" s="652"/>
      <c r="MUU373" s="652"/>
      <c r="MUV373" s="652"/>
      <c r="MUW373" s="652"/>
      <c r="MUX373" s="652"/>
      <c r="MUY373" s="629">
        <v>27.33</v>
      </c>
      <c r="MUZ373" s="653">
        <f>((MUZ362*MUU369)+(MUZ366*MUU370)+(MUZ366*MUU371))/MUZ363</f>
        <v>27.332989917734402</v>
      </c>
      <c r="MVA373" s="651" t="s">
        <v>1843</v>
      </c>
      <c r="MVB373" s="627" t="s">
        <v>1844</v>
      </c>
      <c r="MVC373" s="652"/>
      <c r="MVD373" s="652"/>
      <c r="MVE373" s="652"/>
      <c r="MVF373" s="652"/>
      <c r="MVG373" s="652"/>
      <c r="MVH373" s="652"/>
      <c r="MVI373" s="652"/>
      <c r="MVJ373" s="652"/>
      <c r="MVK373" s="652"/>
      <c r="MVL373" s="652"/>
      <c r="MVM373" s="652"/>
      <c r="MVN373" s="652"/>
      <c r="MVO373" s="629">
        <v>27.33</v>
      </c>
      <c r="MVP373" s="653">
        <f>((MVP362*MVK369)+(MVP366*MVK370)+(MVP366*MVK371))/MVP363</f>
        <v>27.332989917734402</v>
      </c>
      <c r="MVQ373" s="651" t="s">
        <v>1843</v>
      </c>
      <c r="MVR373" s="627" t="s">
        <v>1844</v>
      </c>
      <c r="MVS373" s="652"/>
      <c r="MVT373" s="652"/>
      <c r="MVU373" s="652"/>
      <c r="MVV373" s="652"/>
      <c r="MVW373" s="652"/>
      <c r="MVX373" s="652"/>
      <c r="MVY373" s="652"/>
      <c r="MVZ373" s="652"/>
      <c r="MWA373" s="652"/>
      <c r="MWB373" s="652"/>
      <c r="MWC373" s="652"/>
      <c r="MWD373" s="652"/>
      <c r="MWE373" s="629">
        <v>27.33</v>
      </c>
      <c r="MWF373" s="653">
        <f>((MWF362*MWA369)+(MWF366*MWA370)+(MWF366*MWA371))/MWF363</f>
        <v>27.332989917734402</v>
      </c>
      <c r="MWG373" s="651" t="s">
        <v>1843</v>
      </c>
      <c r="MWH373" s="627" t="s">
        <v>1844</v>
      </c>
      <c r="MWI373" s="652"/>
      <c r="MWJ373" s="652"/>
      <c r="MWK373" s="652"/>
      <c r="MWL373" s="652"/>
      <c r="MWM373" s="652"/>
      <c r="MWN373" s="652"/>
      <c r="MWO373" s="652"/>
      <c r="MWP373" s="652"/>
      <c r="MWQ373" s="652"/>
      <c r="MWR373" s="652"/>
      <c r="MWS373" s="652"/>
      <c r="MWT373" s="652"/>
      <c r="MWU373" s="629">
        <v>27.33</v>
      </c>
      <c r="MWV373" s="653">
        <f>((MWV362*MWQ369)+(MWV366*MWQ370)+(MWV366*MWQ371))/MWV363</f>
        <v>27.332989917734402</v>
      </c>
      <c r="MWW373" s="651" t="s">
        <v>1843</v>
      </c>
      <c r="MWX373" s="627" t="s">
        <v>1844</v>
      </c>
      <c r="MWY373" s="652"/>
      <c r="MWZ373" s="652"/>
      <c r="MXA373" s="652"/>
      <c r="MXB373" s="652"/>
      <c r="MXC373" s="652"/>
      <c r="MXD373" s="652"/>
      <c r="MXE373" s="652"/>
      <c r="MXF373" s="652"/>
      <c r="MXG373" s="652"/>
      <c r="MXH373" s="652"/>
      <c r="MXI373" s="652"/>
      <c r="MXJ373" s="652"/>
      <c r="MXK373" s="629">
        <v>27.33</v>
      </c>
      <c r="MXL373" s="653">
        <f>((MXL362*MXG369)+(MXL366*MXG370)+(MXL366*MXG371))/MXL363</f>
        <v>27.332989917734402</v>
      </c>
      <c r="MXM373" s="651" t="s">
        <v>1843</v>
      </c>
      <c r="MXN373" s="627" t="s">
        <v>1844</v>
      </c>
      <c r="MXO373" s="652"/>
      <c r="MXP373" s="652"/>
      <c r="MXQ373" s="652"/>
      <c r="MXR373" s="652"/>
      <c r="MXS373" s="652"/>
      <c r="MXT373" s="652"/>
      <c r="MXU373" s="652"/>
      <c r="MXV373" s="652"/>
      <c r="MXW373" s="652"/>
      <c r="MXX373" s="652"/>
      <c r="MXY373" s="652"/>
      <c r="MXZ373" s="652"/>
      <c r="MYA373" s="629">
        <v>27.33</v>
      </c>
      <c r="MYB373" s="653">
        <f>((MYB362*MXW369)+(MYB366*MXW370)+(MYB366*MXW371))/MYB363</f>
        <v>27.332989917734402</v>
      </c>
      <c r="MYC373" s="651" t="s">
        <v>1843</v>
      </c>
      <c r="MYD373" s="627" t="s">
        <v>1844</v>
      </c>
      <c r="MYE373" s="652"/>
      <c r="MYF373" s="652"/>
      <c r="MYG373" s="652"/>
      <c r="MYH373" s="652"/>
      <c r="MYI373" s="652"/>
      <c r="MYJ373" s="652"/>
      <c r="MYK373" s="652"/>
      <c r="MYL373" s="652"/>
      <c r="MYM373" s="652"/>
      <c r="MYN373" s="652"/>
      <c r="MYO373" s="652"/>
      <c r="MYP373" s="652"/>
      <c r="MYQ373" s="629">
        <v>27.33</v>
      </c>
      <c r="MYR373" s="653">
        <f>((MYR362*MYM369)+(MYR366*MYM370)+(MYR366*MYM371))/MYR363</f>
        <v>27.332989917734402</v>
      </c>
      <c r="MYS373" s="651" t="s">
        <v>1843</v>
      </c>
      <c r="MYT373" s="627" t="s">
        <v>1844</v>
      </c>
      <c r="MYU373" s="652"/>
      <c r="MYV373" s="652"/>
      <c r="MYW373" s="652"/>
      <c r="MYX373" s="652"/>
      <c r="MYY373" s="652"/>
      <c r="MYZ373" s="652"/>
      <c r="MZA373" s="652"/>
      <c r="MZB373" s="652"/>
      <c r="MZC373" s="652"/>
      <c r="MZD373" s="652"/>
      <c r="MZE373" s="652"/>
      <c r="MZF373" s="652"/>
      <c r="MZG373" s="629">
        <v>27.33</v>
      </c>
      <c r="MZH373" s="653">
        <f>((MZH362*MZC369)+(MZH366*MZC370)+(MZH366*MZC371))/MZH363</f>
        <v>27.332989917734402</v>
      </c>
      <c r="MZI373" s="651" t="s">
        <v>1843</v>
      </c>
      <c r="MZJ373" s="627" t="s">
        <v>1844</v>
      </c>
      <c r="MZK373" s="652"/>
      <c r="MZL373" s="652"/>
      <c r="MZM373" s="652"/>
      <c r="MZN373" s="652"/>
      <c r="MZO373" s="652"/>
      <c r="MZP373" s="652"/>
      <c r="MZQ373" s="652"/>
      <c r="MZR373" s="652"/>
      <c r="MZS373" s="652"/>
      <c r="MZT373" s="652"/>
      <c r="MZU373" s="652"/>
      <c r="MZV373" s="652"/>
      <c r="MZW373" s="629">
        <v>27.33</v>
      </c>
      <c r="MZX373" s="653">
        <f>((MZX362*MZS369)+(MZX366*MZS370)+(MZX366*MZS371))/MZX363</f>
        <v>27.332989917734402</v>
      </c>
      <c r="MZY373" s="651" t="s">
        <v>1843</v>
      </c>
      <c r="MZZ373" s="627" t="s">
        <v>1844</v>
      </c>
      <c r="NAA373" s="652"/>
      <c r="NAB373" s="652"/>
      <c r="NAC373" s="652"/>
      <c r="NAD373" s="652"/>
      <c r="NAE373" s="652"/>
      <c r="NAF373" s="652"/>
      <c r="NAG373" s="652"/>
      <c r="NAH373" s="652"/>
      <c r="NAI373" s="652"/>
      <c r="NAJ373" s="652"/>
      <c r="NAK373" s="652"/>
      <c r="NAL373" s="652"/>
      <c r="NAM373" s="629">
        <v>27.33</v>
      </c>
      <c r="NAN373" s="653">
        <f>((NAN362*NAI369)+(NAN366*NAI370)+(NAN366*NAI371))/NAN363</f>
        <v>27.332989917734402</v>
      </c>
      <c r="NAO373" s="651" t="s">
        <v>1843</v>
      </c>
      <c r="NAP373" s="627" t="s">
        <v>1844</v>
      </c>
      <c r="NAQ373" s="652"/>
      <c r="NAR373" s="652"/>
      <c r="NAS373" s="652"/>
      <c r="NAT373" s="652"/>
      <c r="NAU373" s="652"/>
      <c r="NAV373" s="652"/>
      <c r="NAW373" s="652"/>
      <c r="NAX373" s="652"/>
      <c r="NAY373" s="652"/>
      <c r="NAZ373" s="652"/>
      <c r="NBA373" s="652"/>
      <c r="NBB373" s="652"/>
      <c r="NBC373" s="629">
        <v>27.33</v>
      </c>
      <c r="NBD373" s="653">
        <f>((NBD362*NAY369)+(NBD366*NAY370)+(NBD366*NAY371))/NBD363</f>
        <v>27.332989917734402</v>
      </c>
      <c r="NBE373" s="651" t="s">
        <v>1843</v>
      </c>
      <c r="NBF373" s="627" t="s">
        <v>1844</v>
      </c>
      <c r="NBG373" s="652"/>
      <c r="NBH373" s="652"/>
      <c r="NBI373" s="652"/>
      <c r="NBJ373" s="652"/>
      <c r="NBK373" s="652"/>
      <c r="NBL373" s="652"/>
      <c r="NBM373" s="652"/>
      <c r="NBN373" s="652"/>
      <c r="NBO373" s="652"/>
      <c r="NBP373" s="652"/>
      <c r="NBQ373" s="652"/>
      <c r="NBR373" s="652"/>
      <c r="NBS373" s="629">
        <v>27.33</v>
      </c>
      <c r="NBT373" s="653">
        <f>((NBT362*NBO369)+(NBT366*NBO370)+(NBT366*NBO371))/NBT363</f>
        <v>27.332989917734402</v>
      </c>
      <c r="NBU373" s="651" t="s">
        <v>1843</v>
      </c>
      <c r="NBV373" s="627" t="s">
        <v>1844</v>
      </c>
      <c r="NBW373" s="652"/>
      <c r="NBX373" s="652"/>
      <c r="NBY373" s="652"/>
      <c r="NBZ373" s="652"/>
      <c r="NCA373" s="652"/>
      <c r="NCB373" s="652"/>
      <c r="NCC373" s="652"/>
      <c r="NCD373" s="652"/>
      <c r="NCE373" s="652"/>
      <c r="NCF373" s="652"/>
      <c r="NCG373" s="652"/>
      <c r="NCH373" s="652"/>
      <c r="NCI373" s="629">
        <v>27.33</v>
      </c>
      <c r="NCJ373" s="653">
        <f>((NCJ362*NCE369)+(NCJ366*NCE370)+(NCJ366*NCE371))/NCJ363</f>
        <v>27.332989917734402</v>
      </c>
      <c r="NCK373" s="651" t="s">
        <v>1843</v>
      </c>
      <c r="NCL373" s="627" t="s">
        <v>1844</v>
      </c>
      <c r="NCM373" s="652"/>
      <c r="NCN373" s="652"/>
      <c r="NCO373" s="652"/>
      <c r="NCP373" s="652"/>
      <c r="NCQ373" s="652"/>
      <c r="NCR373" s="652"/>
      <c r="NCS373" s="652"/>
      <c r="NCT373" s="652"/>
      <c r="NCU373" s="652"/>
      <c r="NCV373" s="652"/>
      <c r="NCW373" s="652"/>
      <c r="NCX373" s="652"/>
      <c r="NCY373" s="629">
        <v>27.33</v>
      </c>
      <c r="NCZ373" s="653">
        <f>((NCZ362*NCU369)+(NCZ366*NCU370)+(NCZ366*NCU371))/NCZ363</f>
        <v>27.332989917734402</v>
      </c>
      <c r="NDA373" s="651" t="s">
        <v>1843</v>
      </c>
      <c r="NDB373" s="627" t="s">
        <v>1844</v>
      </c>
      <c r="NDC373" s="652"/>
      <c r="NDD373" s="652"/>
      <c r="NDE373" s="652"/>
      <c r="NDF373" s="652"/>
      <c r="NDG373" s="652"/>
      <c r="NDH373" s="652"/>
      <c r="NDI373" s="652"/>
      <c r="NDJ373" s="652"/>
      <c r="NDK373" s="652"/>
      <c r="NDL373" s="652"/>
      <c r="NDM373" s="652"/>
      <c r="NDN373" s="652"/>
      <c r="NDO373" s="629">
        <v>27.33</v>
      </c>
      <c r="NDP373" s="653">
        <f>((NDP362*NDK369)+(NDP366*NDK370)+(NDP366*NDK371))/NDP363</f>
        <v>27.332989917734402</v>
      </c>
      <c r="NDQ373" s="651" t="s">
        <v>1843</v>
      </c>
      <c r="NDR373" s="627" t="s">
        <v>1844</v>
      </c>
      <c r="NDS373" s="652"/>
      <c r="NDT373" s="652"/>
      <c r="NDU373" s="652"/>
      <c r="NDV373" s="652"/>
      <c r="NDW373" s="652"/>
      <c r="NDX373" s="652"/>
      <c r="NDY373" s="652"/>
      <c r="NDZ373" s="652"/>
      <c r="NEA373" s="652"/>
      <c r="NEB373" s="652"/>
      <c r="NEC373" s="652"/>
      <c r="NED373" s="652"/>
      <c r="NEE373" s="629">
        <v>27.33</v>
      </c>
      <c r="NEF373" s="653">
        <f>((NEF362*NEA369)+(NEF366*NEA370)+(NEF366*NEA371))/NEF363</f>
        <v>27.332989917734402</v>
      </c>
      <c r="NEG373" s="651" t="s">
        <v>1843</v>
      </c>
      <c r="NEH373" s="627" t="s">
        <v>1844</v>
      </c>
      <c r="NEI373" s="652"/>
      <c r="NEJ373" s="652"/>
      <c r="NEK373" s="652"/>
      <c r="NEL373" s="652"/>
      <c r="NEM373" s="652"/>
      <c r="NEN373" s="652"/>
      <c r="NEO373" s="652"/>
      <c r="NEP373" s="652"/>
      <c r="NEQ373" s="652"/>
      <c r="NER373" s="652"/>
      <c r="NES373" s="652"/>
      <c r="NET373" s="652"/>
      <c r="NEU373" s="629">
        <v>27.33</v>
      </c>
      <c r="NEV373" s="653">
        <f>((NEV362*NEQ369)+(NEV366*NEQ370)+(NEV366*NEQ371))/NEV363</f>
        <v>27.332989917734402</v>
      </c>
      <c r="NEW373" s="651" t="s">
        <v>1843</v>
      </c>
      <c r="NEX373" s="627" t="s">
        <v>1844</v>
      </c>
      <c r="NEY373" s="652"/>
      <c r="NEZ373" s="652"/>
      <c r="NFA373" s="652"/>
      <c r="NFB373" s="652"/>
      <c r="NFC373" s="652"/>
      <c r="NFD373" s="652"/>
      <c r="NFE373" s="652"/>
      <c r="NFF373" s="652"/>
      <c r="NFG373" s="652"/>
      <c r="NFH373" s="652"/>
      <c r="NFI373" s="652"/>
      <c r="NFJ373" s="652"/>
      <c r="NFK373" s="629">
        <v>27.33</v>
      </c>
      <c r="NFL373" s="653">
        <f>((NFL362*NFG369)+(NFL366*NFG370)+(NFL366*NFG371))/NFL363</f>
        <v>27.332989917734402</v>
      </c>
      <c r="NFM373" s="651" t="s">
        <v>1843</v>
      </c>
      <c r="NFN373" s="627" t="s">
        <v>1844</v>
      </c>
      <c r="NFO373" s="652"/>
      <c r="NFP373" s="652"/>
      <c r="NFQ373" s="652"/>
      <c r="NFR373" s="652"/>
      <c r="NFS373" s="652"/>
      <c r="NFT373" s="652"/>
      <c r="NFU373" s="652"/>
      <c r="NFV373" s="652"/>
      <c r="NFW373" s="652"/>
      <c r="NFX373" s="652"/>
      <c r="NFY373" s="652"/>
      <c r="NFZ373" s="652"/>
      <c r="NGA373" s="629">
        <v>27.33</v>
      </c>
      <c r="NGB373" s="653">
        <f>((NGB362*NFW369)+(NGB366*NFW370)+(NGB366*NFW371))/NGB363</f>
        <v>27.332989917734402</v>
      </c>
      <c r="NGC373" s="651" t="s">
        <v>1843</v>
      </c>
      <c r="NGD373" s="627" t="s">
        <v>1844</v>
      </c>
      <c r="NGE373" s="652"/>
      <c r="NGF373" s="652"/>
      <c r="NGG373" s="652"/>
      <c r="NGH373" s="652"/>
      <c r="NGI373" s="652"/>
      <c r="NGJ373" s="652"/>
      <c r="NGK373" s="652"/>
      <c r="NGL373" s="652"/>
      <c r="NGM373" s="652"/>
      <c r="NGN373" s="652"/>
      <c r="NGO373" s="652"/>
      <c r="NGP373" s="652"/>
      <c r="NGQ373" s="629">
        <v>27.33</v>
      </c>
      <c r="NGR373" s="653">
        <f>((NGR362*NGM369)+(NGR366*NGM370)+(NGR366*NGM371))/NGR363</f>
        <v>27.332989917734402</v>
      </c>
      <c r="NGS373" s="651" t="s">
        <v>1843</v>
      </c>
      <c r="NGT373" s="627" t="s">
        <v>1844</v>
      </c>
      <c r="NGU373" s="652"/>
      <c r="NGV373" s="652"/>
      <c r="NGW373" s="652"/>
      <c r="NGX373" s="652"/>
      <c r="NGY373" s="652"/>
      <c r="NGZ373" s="652"/>
      <c r="NHA373" s="652"/>
      <c r="NHB373" s="652"/>
      <c r="NHC373" s="652"/>
      <c r="NHD373" s="652"/>
      <c r="NHE373" s="652"/>
      <c r="NHF373" s="652"/>
      <c r="NHG373" s="629">
        <v>27.33</v>
      </c>
      <c r="NHH373" s="653">
        <f>((NHH362*NHC369)+(NHH366*NHC370)+(NHH366*NHC371))/NHH363</f>
        <v>27.332989917734402</v>
      </c>
      <c r="NHI373" s="651" t="s">
        <v>1843</v>
      </c>
      <c r="NHJ373" s="627" t="s">
        <v>1844</v>
      </c>
      <c r="NHK373" s="652"/>
      <c r="NHL373" s="652"/>
      <c r="NHM373" s="652"/>
      <c r="NHN373" s="652"/>
      <c r="NHO373" s="652"/>
      <c r="NHP373" s="652"/>
      <c r="NHQ373" s="652"/>
      <c r="NHR373" s="652"/>
      <c r="NHS373" s="652"/>
      <c r="NHT373" s="652"/>
      <c r="NHU373" s="652"/>
      <c r="NHV373" s="652"/>
      <c r="NHW373" s="629">
        <v>27.33</v>
      </c>
      <c r="NHX373" s="653">
        <f>((NHX362*NHS369)+(NHX366*NHS370)+(NHX366*NHS371))/NHX363</f>
        <v>27.332989917734402</v>
      </c>
      <c r="NHY373" s="651" t="s">
        <v>1843</v>
      </c>
      <c r="NHZ373" s="627" t="s">
        <v>1844</v>
      </c>
      <c r="NIA373" s="652"/>
      <c r="NIB373" s="652"/>
      <c r="NIC373" s="652"/>
      <c r="NID373" s="652"/>
      <c r="NIE373" s="652"/>
      <c r="NIF373" s="652"/>
      <c r="NIG373" s="652"/>
      <c r="NIH373" s="652"/>
      <c r="NII373" s="652"/>
      <c r="NIJ373" s="652"/>
      <c r="NIK373" s="652"/>
      <c r="NIL373" s="652"/>
      <c r="NIM373" s="629">
        <v>27.33</v>
      </c>
      <c r="NIN373" s="653">
        <f>((NIN362*NII369)+(NIN366*NII370)+(NIN366*NII371))/NIN363</f>
        <v>27.332989917734402</v>
      </c>
      <c r="NIO373" s="651" t="s">
        <v>1843</v>
      </c>
      <c r="NIP373" s="627" t="s">
        <v>1844</v>
      </c>
      <c r="NIQ373" s="652"/>
      <c r="NIR373" s="652"/>
      <c r="NIS373" s="652"/>
      <c r="NIT373" s="652"/>
      <c r="NIU373" s="652"/>
      <c r="NIV373" s="652"/>
      <c r="NIW373" s="652"/>
      <c r="NIX373" s="652"/>
      <c r="NIY373" s="652"/>
      <c r="NIZ373" s="652"/>
      <c r="NJA373" s="652"/>
      <c r="NJB373" s="652"/>
      <c r="NJC373" s="629">
        <v>27.33</v>
      </c>
      <c r="NJD373" s="653">
        <f>((NJD362*NIY369)+(NJD366*NIY370)+(NJD366*NIY371))/NJD363</f>
        <v>27.332989917734402</v>
      </c>
      <c r="NJE373" s="651" t="s">
        <v>1843</v>
      </c>
      <c r="NJF373" s="627" t="s">
        <v>1844</v>
      </c>
      <c r="NJG373" s="652"/>
      <c r="NJH373" s="652"/>
      <c r="NJI373" s="652"/>
      <c r="NJJ373" s="652"/>
      <c r="NJK373" s="652"/>
      <c r="NJL373" s="652"/>
      <c r="NJM373" s="652"/>
      <c r="NJN373" s="652"/>
      <c r="NJO373" s="652"/>
      <c r="NJP373" s="652"/>
      <c r="NJQ373" s="652"/>
      <c r="NJR373" s="652"/>
      <c r="NJS373" s="629">
        <v>27.33</v>
      </c>
      <c r="NJT373" s="653">
        <f>((NJT362*NJO369)+(NJT366*NJO370)+(NJT366*NJO371))/NJT363</f>
        <v>27.332989917734402</v>
      </c>
      <c r="NJU373" s="651" t="s">
        <v>1843</v>
      </c>
      <c r="NJV373" s="627" t="s">
        <v>1844</v>
      </c>
      <c r="NJW373" s="652"/>
      <c r="NJX373" s="652"/>
      <c r="NJY373" s="652"/>
      <c r="NJZ373" s="652"/>
      <c r="NKA373" s="652"/>
      <c r="NKB373" s="652"/>
      <c r="NKC373" s="652"/>
      <c r="NKD373" s="652"/>
      <c r="NKE373" s="652"/>
      <c r="NKF373" s="652"/>
      <c r="NKG373" s="652"/>
      <c r="NKH373" s="652"/>
      <c r="NKI373" s="629">
        <v>27.33</v>
      </c>
      <c r="NKJ373" s="653">
        <f>((NKJ362*NKE369)+(NKJ366*NKE370)+(NKJ366*NKE371))/NKJ363</f>
        <v>27.332989917734402</v>
      </c>
      <c r="NKK373" s="651" t="s">
        <v>1843</v>
      </c>
      <c r="NKL373" s="627" t="s">
        <v>1844</v>
      </c>
      <c r="NKM373" s="652"/>
      <c r="NKN373" s="652"/>
      <c r="NKO373" s="652"/>
      <c r="NKP373" s="652"/>
      <c r="NKQ373" s="652"/>
      <c r="NKR373" s="652"/>
      <c r="NKS373" s="652"/>
      <c r="NKT373" s="652"/>
      <c r="NKU373" s="652"/>
      <c r="NKV373" s="652"/>
      <c r="NKW373" s="652"/>
      <c r="NKX373" s="652"/>
      <c r="NKY373" s="629">
        <v>27.33</v>
      </c>
      <c r="NKZ373" s="653">
        <f>((NKZ362*NKU369)+(NKZ366*NKU370)+(NKZ366*NKU371))/NKZ363</f>
        <v>27.332989917734402</v>
      </c>
      <c r="NLA373" s="651" t="s">
        <v>1843</v>
      </c>
      <c r="NLB373" s="627" t="s">
        <v>1844</v>
      </c>
      <c r="NLC373" s="652"/>
      <c r="NLD373" s="652"/>
      <c r="NLE373" s="652"/>
      <c r="NLF373" s="652"/>
      <c r="NLG373" s="652"/>
      <c r="NLH373" s="652"/>
      <c r="NLI373" s="652"/>
      <c r="NLJ373" s="652"/>
      <c r="NLK373" s="652"/>
      <c r="NLL373" s="652"/>
      <c r="NLM373" s="652"/>
      <c r="NLN373" s="652"/>
      <c r="NLO373" s="629">
        <v>27.33</v>
      </c>
      <c r="NLP373" s="653">
        <f>((NLP362*NLK369)+(NLP366*NLK370)+(NLP366*NLK371))/NLP363</f>
        <v>27.332989917734402</v>
      </c>
      <c r="NLQ373" s="651" t="s">
        <v>1843</v>
      </c>
      <c r="NLR373" s="627" t="s">
        <v>1844</v>
      </c>
      <c r="NLS373" s="652"/>
      <c r="NLT373" s="652"/>
      <c r="NLU373" s="652"/>
      <c r="NLV373" s="652"/>
      <c r="NLW373" s="652"/>
      <c r="NLX373" s="652"/>
      <c r="NLY373" s="652"/>
      <c r="NLZ373" s="652"/>
      <c r="NMA373" s="652"/>
      <c r="NMB373" s="652"/>
      <c r="NMC373" s="652"/>
      <c r="NMD373" s="652"/>
      <c r="NME373" s="629">
        <v>27.33</v>
      </c>
      <c r="NMF373" s="653">
        <f>((NMF362*NMA369)+(NMF366*NMA370)+(NMF366*NMA371))/NMF363</f>
        <v>27.332989917734402</v>
      </c>
      <c r="NMG373" s="651" t="s">
        <v>1843</v>
      </c>
      <c r="NMH373" s="627" t="s">
        <v>1844</v>
      </c>
      <c r="NMI373" s="652"/>
      <c r="NMJ373" s="652"/>
      <c r="NMK373" s="652"/>
      <c r="NML373" s="652"/>
      <c r="NMM373" s="652"/>
      <c r="NMN373" s="652"/>
      <c r="NMO373" s="652"/>
      <c r="NMP373" s="652"/>
      <c r="NMQ373" s="652"/>
      <c r="NMR373" s="652"/>
      <c r="NMS373" s="652"/>
      <c r="NMT373" s="652"/>
      <c r="NMU373" s="629">
        <v>27.33</v>
      </c>
      <c r="NMV373" s="653">
        <f>((NMV362*NMQ369)+(NMV366*NMQ370)+(NMV366*NMQ371))/NMV363</f>
        <v>27.332989917734402</v>
      </c>
      <c r="NMW373" s="651" t="s">
        <v>1843</v>
      </c>
      <c r="NMX373" s="627" t="s">
        <v>1844</v>
      </c>
      <c r="NMY373" s="652"/>
      <c r="NMZ373" s="652"/>
      <c r="NNA373" s="652"/>
      <c r="NNB373" s="652"/>
      <c r="NNC373" s="652"/>
      <c r="NND373" s="652"/>
      <c r="NNE373" s="652"/>
      <c r="NNF373" s="652"/>
      <c r="NNG373" s="652"/>
      <c r="NNH373" s="652"/>
      <c r="NNI373" s="652"/>
      <c r="NNJ373" s="652"/>
      <c r="NNK373" s="629">
        <v>27.33</v>
      </c>
      <c r="NNL373" s="653">
        <f>((NNL362*NNG369)+(NNL366*NNG370)+(NNL366*NNG371))/NNL363</f>
        <v>27.332989917734402</v>
      </c>
      <c r="NNM373" s="651" t="s">
        <v>1843</v>
      </c>
      <c r="NNN373" s="627" t="s">
        <v>1844</v>
      </c>
      <c r="NNO373" s="652"/>
      <c r="NNP373" s="652"/>
      <c r="NNQ373" s="652"/>
      <c r="NNR373" s="652"/>
      <c r="NNS373" s="652"/>
      <c r="NNT373" s="652"/>
      <c r="NNU373" s="652"/>
      <c r="NNV373" s="652"/>
      <c r="NNW373" s="652"/>
      <c r="NNX373" s="652"/>
      <c r="NNY373" s="652"/>
      <c r="NNZ373" s="652"/>
      <c r="NOA373" s="629">
        <v>27.33</v>
      </c>
      <c r="NOB373" s="653">
        <f>((NOB362*NNW369)+(NOB366*NNW370)+(NOB366*NNW371))/NOB363</f>
        <v>27.332989917734402</v>
      </c>
      <c r="NOC373" s="651" t="s">
        <v>1843</v>
      </c>
      <c r="NOD373" s="627" t="s">
        <v>1844</v>
      </c>
      <c r="NOE373" s="652"/>
      <c r="NOF373" s="652"/>
      <c r="NOG373" s="652"/>
      <c r="NOH373" s="652"/>
      <c r="NOI373" s="652"/>
      <c r="NOJ373" s="652"/>
      <c r="NOK373" s="652"/>
      <c r="NOL373" s="652"/>
      <c r="NOM373" s="652"/>
      <c r="NON373" s="652"/>
      <c r="NOO373" s="652"/>
      <c r="NOP373" s="652"/>
      <c r="NOQ373" s="629">
        <v>27.33</v>
      </c>
      <c r="NOR373" s="653">
        <f>((NOR362*NOM369)+(NOR366*NOM370)+(NOR366*NOM371))/NOR363</f>
        <v>27.332989917734402</v>
      </c>
      <c r="NOS373" s="651" t="s">
        <v>1843</v>
      </c>
      <c r="NOT373" s="627" t="s">
        <v>1844</v>
      </c>
      <c r="NOU373" s="652"/>
      <c r="NOV373" s="652"/>
      <c r="NOW373" s="652"/>
      <c r="NOX373" s="652"/>
      <c r="NOY373" s="652"/>
      <c r="NOZ373" s="652"/>
      <c r="NPA373" s="652"/>
      <c r="NPB373" s="652"/>
      <c r="NPC373" s="652"/>
      <c r="NPD373" s="652"/>
      <c r="NPE373" s="652"/>
      <c r="NPF373" s="652"/>
      <c r="NPG373" s="629">
        <v>27.33</v>
      </c>
      <c r="NPH373" s="653">
        <f>((NPH362*NPC369)+(NPH366*NPC370)+(NPH366*NPC371))/NPH363</f>
        <v>27.332989917734402</v>
      </c>
      <c r="NPI373" s="651" t="s">
        <v>1843</v>
      </c>
      <c r="NPJ373" s="627" t="s">
        <v>1844</v>
      </c>
      <c r="NPK373" s="652"/>
      <c r="NPL373" s="652"/>
      <c r="NPM373" s="652"/>
      <c r="NPN373" s="652"/>
      <c r="NPO373" s="652"/>
      <c r="NPP373" s="652"/>
      <c r="NPQ373" s="652"/>
      <c r="NPR373" s="652"/>
      <c r="NPS373" s="652"/>
      <c r="NPT373" s="652"/>
      <c r="NPU373" s="652"/>
      <c r="NPV373" s="652"/>
      <c r="NPW373" s="629">
        <v>27.33</v>
      </c>
      <c r="NPX373" s="653">
        <f>((NPX362*NPS369)+(NPX366*NPS370)+(NPX366*NPS371))/NPX363</f>
        <v>27.332989917734402</v>
      </c>
      <c r="NPY373" s="651" t="s">
        <v>1843</v>
      </c>
      <c r="NPZ373" s="627" t="s">
        <v>1844</v>
      </c>
      <c r="NQA373" s="652"/>
      <c r="NQB373" s="652"/>
      <c r="NQC373" s="652"/>
      <c r="NQD373" s="652"/>
      <c r="NQE373" s="652"/>
      <c r="NQF373" s="652"/>
      <c r="NQG373" s="652"/>
      <c r="NQH373" s="652"/>
      <c r="NQI373" s="652"/>
      <c r="NQJ373" s="652"/>
      <c r="NQK373" s="652"/>
      <c r="NQL373" s="652"/>
      <c r="NQM373" s="629">
        <v>27.33</v>
      </c>
      <c r="NQN373" s="653">
        <f>((NQN362*NQI369)+(NQN366*NQI370)+(NQN366*NQI371))/NQN363</f>
        <v>27.332989917734402</v>
      </c>
      <c r="NQO373" s="651" t="s">
        <v>1843</v>
      </c>
      <c r="NQP373" s="627" t="s">
        <v>1844</v>
      </c>
      <c r="NQQ373" s="652"/>
      <c r="NQR373" s="652"/>
      <c r="NQS373" s="652"/>
      <c r="NQT373" s="652"/>
      <c r="NQU373" s="652"/>
      <c r="NQV373" s="652"/>
      <c r="NQW373" s="652"/>
      <c r="NQX373" s="652"/>
      <c r="NQY373" s="652"/>
      <c r="NQZ373" s="652"/>
      <c r="NRA373" s="652"/>
      <c r="NRB373" s="652"/>
      <c r="NRC373" s="629">
        <v>27.33</v>
      </c>
      <c r="NRD373" s="653">
        <f>((NRD362*NQY369)+(NRD366*NQY370)+(NRD366*NQY371))/NRD363</f>
        <v>27.332989917734402</v>
      </c>
      <c r="NRE373" s="651" t="s">
        <v>1843</v>
      </c>
      <c r="NRF373" s="627" t="s">
        <v>1844</v>
      </c>
      <c r="NRG373" s="652"/>
      <c r="NRH373" s="652"/>
      <c r="NRI373" s="652"/>
      <c r="NRJ373" s="652"/>
      <c r="NRK373" s="652"/>
      <c r="NRL373" s="652"/>
      <c r="NRM373" s="652"/>
      <c r="NRN373" s="652"/>
      <c r="NRO373" s="652"/>
      <c r="NRP373" s="652"/>
      <c r="NRQ373" s="652"/>
      <c r="NRR373" s="652"/>
      <c r="NRS373" s="629">
        <v>27.33</v>
      </c>
      <c r="NRT373" s="653">
        <f>((NRT362*NRO369)+(NRT366*NRO370)+(NRT366*NRO371))/NRT363</f>
        <v>27.332989917734402</v>
      </c>
      <c r="NRU373" s="651" t="s">
        <v>1843</v>
      </c>
      <c r="NRV373" s="627" t="s">
        <v>1844</v>
      </c>
      <c r="NRW373" s="652"/>
      <c r="NRX373" s="652"/>
      <c r="NRY373" s="652"/>
      <c r="NRZ373" s="652"/>
      <c r="NSA373" s="652"/>
      <c r="NSB373" s="652"/>
      <c r="NSC373" s="652"/>
      <c r="NSD373" s="652"/>
      <c r="NSE373" s="652"/>
      <c r="NSF373" s="652"/>
      <c r="NSG373" s="652"/>
      <c r="NSH373" s="652"/>
      <c r="NSI373" s="629">
        <v>27.33</v>
      </c>
      <c r="NSJ373" s="653">
        <f>((NSJ362*NSE369)+(NSJ366*NSE370)+(NSJ366*NSE371))/NSJ363</f>
        <v>27.332989917734402</v>
      </c>
      <c r="NSK373" s="651" t="s">
        <v>1843</v>
      </c>
      <c r="NSL373" s="627" t="s">
        <v>1844</v>
      </c>
      <c r="NSM373" s="652"/>
      <c r="NSN373" s="652"/>
      <c r="NSO373" s="652"/>
      <c r="NSP373" s="652"/>
      <c r="NSQ373" s="652"/>
      <c r="NSR373" s="652"/>
      <c r="NSS373" s="652"/>
      <c r="NST373" s="652"/>
      <c r="NSU373" s="652"/>
      <c r="NSV373" s="652"/>
      <c r="NSW373" s="652"/>
      <c r="NSX373" s="652"/>
      <c r="NSY373" s="629">
        <v>27.33</v>
      </c>
      <c r="NSZ373" s="653">
        <f>((NSZ362*NSU369)+(NSZ366*NSU370)+(NSZ366*NSU371))/NSZ363</f>
        <v>27.332989917734402</v>
      </c>
      <c r="NTA373" s="651" t="s">
        <v>1843</v>
      </c>
      <c r="NTB373" s="627" t="s">
        <v>1844</v>
      </c>
      <c r="NTC373" s="652"/>
      <c r="NTD373" s="652"/>
      <c r="NTE373" s="652"/>
      <c r="NTF373" s="652"/>
      <c r="NTG373" s="652"/>
      <c r="NTH373" s="652"/>
      <c r="NTI373" s="652"/>
      <c r="NTJ373" s="652"/>
      <c r="NTK373" s="652"/>
      <c r="NTL373" s="652"/>
      <c r="NTM373" s="652"/>
      <c r="NTN373" s="652"/>
      <c r="NTO373" s="629">
        <v>27.33</v>
      </c>
      <c r="NTP373" s="653">
        <f>((NTP362*NTK369)+(NTP366*NTK370)+(NTP366*NTK371))/NTP363</f>
        <v>27.332989917734402</v>
      </c>
      <c r="NTQ373" s="651" t="s">
        <v>1843</v>
      </c>
      <c r="NTR373" s="627" t="s">
        <v>1844</v>
      </c>
      <c r="NTS373" s="652"/>
      <c r="NTT373" s="652"/>
      <c r="NTU373" s="652"/>
      <c r="NTV373" s="652"/>
      <c r="NTW373" s="652"/>
      <c r="NTX373" s="652"/>
      <c r="NTY373" s="652"/>
      <c r="NTZ373" s="652"/>
      <c r="NUA373" s="652"/>
      <c r="NUB373" s="652"/>
      <c r="NUC373" s="652"/>
      <c r="NUD373" s="652"/>
      <c r="NUE373" s="629">
        <v>27.33</v>
      </c>
      <c r="NUF373" s="653">
        <f>((NUF362*NUA369)+(NUF366*NUA370)+(NUF366*NUA371))/NUF363</f>
        <v>27.332989917734402</v>
      </c>
      <c r="NUG373" s="651" t="s">
        <v>1843</v>
      </c>
      <c r="NUH373" s="627" t="s">
        <v>1844</v>
      </c>
      <c r="NUI373" s="652"/>
      <c r="NUJ373" s="652"/>
      <c r="NUK373" s="652"/>
      <c r="NUL373" s="652"/>
      <c r="NUM373" s="652"/>
      <c r="NUN373" s="652"/>
      <c r="NUO373" s="652"/>
      <c r="NUP373" s="652"/>
      <c r="NUQ373" s="652"/>
      <c r="NUR373" s="652"/>
      <c r="NUS373" s="652"/>
      <c r="NUT373" s="652"/>
      <c r="NUU373" s="629">
        <v>27.33</v>
      </c>
      <c r="NUV373" s="653">
        <f>((NUV362*NUQ369)+(NUV366*NUQ370)+(NUV366*NUQ371))/NUV363</f>
        <v>27.332989917734402</v>
      </c>
      <c r="NUW373" s="651" t="s">
        <v>1843</v>
      </c>
      <c r="NUX373" s="627" t="s">
        <v>1844</v>
      </c>
      <c r="NUY373" s="652"/>
      <c r="NUZ373" s="652"/>
      <c r="NVA373" s="652"/>
      <c r="NVB373" s="652"/>
      <c r="NVC373" s="652"/>
      <c r="NVD373" s="652"/>
      <c r="NVE373" s="652"/>
      <c r="NVF373" s="652"/>
      <c r="NVG373" s="652"/>
      <c r="NVH373" s="652"/>
      <c r="NVI373" s="652"/>
      <c r="NVJ373" s="652"/>
      <c r="NVK373" s="629">
        <v>27.33</v>
      </c>
      <c r="NVL373" s="653">
        <f>((NVL362*NVG369)+(NVL366*NVG370)+(NVL366*NVG371))/NVL363</f>
        <v>27.332989917734402</v>
      </c>
      <c r="NVM373" s="651" t="s">
        <v>1843</v>
      </c>
      <c r="NVN373" s="627" t="s">
        <v>1844</v>
      </c>
      <c r="NVO373" s="652"/>
      <c r="NVP373" s="652"/>
      <c r="NVQ373" s="652"/>
      <c r="NVR373" s="652"/>
      <c r="NVS373" s="652"/>
      <c r="NVT373" s="652"/>
      <c r="NVU373" s="652"/>
      <c r="NVV373" s="652"/>
      <c r="NVW373" s="652"/>
      <c r="NVX373" s="652"/>
      <c r="NVY373" s="652"/>
      <c r="NVZ373" s="652"/>
      <c r="NWA373" s="629">
        <v>27.33</v>
      </c>
      <c r="NWB373" s="653">
        <f>((NWB362*NVW369)+(NWB366*NVW370)+(NWB366*NVW371))/NWB363</f>
        <v>27.332989917734402</v>
      </c>
      <c r="NWC373" s="651" t="s">
        <v>1843</v>
      </c>
      <c r="NWD373" s="627" t="s">
        <v>1844</v>
      </c>
      <c r="NWE373" s="652"/>
      <c r="NWF373" s="652"/>
      <c r="NWG373" s="652"/>
      <c r="NWH373" s="652"/>
      <c r="NWI373" s="652"/>
      <c r="NWJ373" s="652"/>
      <c r="NWK373" s="652"/>
      <c r="NWL373" s="652"/>
      <c r="NWM373" s="652"/>
      <c r="NWN373" s="652"/>
      <c r="NWO373" s="652"/>
      <c r="NWP373" s="652"/>
      <c r="NWQ373" s="629">
        <v>27.33</v>
      </c>
      <c r="NWR373" s="653">
        <f>((NWR362*NWM369)+(NWR366*NWM370)+(NWR366*NWM371))/NWR363</f>
        <v>27.332989917734402</v>
      </c>
      <c r="NWS373" s="651" t="s">
        <v>1843</v>
      </c>
      <c r="NWT373" s="627" t="s">
        <v>1844</v>
      </c>
      <c r="NWU373" s="652"/>
      <c r="NWV373" s="652"/>
      <c r="NWW373" s="652"/>
      <c r="NWX373" s="652"/>
      <c r="NWY373" s="652"/>
      <c r="NWZ373" s="652"/>
      <c r="NXA373" s="652"/>
      <c r="NXB373" s="652"/>
      <c r="NXC373" s="652"/>
      <c r="NXD373" s="652"/>
      <c r="NXE373" s="652"/>
      <c r="NXF373" s="652"/>
      <c r="NXG373" s="629">
        <v>27.33</v>
      </c>
      <c r="NXH373" s="653">
        <f>((NXH362*NXC369)+(NXH366*NXC370)+(NXH366*NXC371))/NXH363</f>
        <v>27.332989917734402</v>
      </c>
      <c r="NXI373" s="651" t="s">
        <v>1843</v>
      </c>
      <c r="NXJ373" s="627" t="s">
        <v>1844</v>
      </c>
      <c r="NXK373" s="652"/>
      <c r="NXL373" s="652"/>
      <c r="NXM373" s="652"/>
      <c r="NXN373" s="652"/>
      <c r="NXO373" s="652"/>
      <c r="NXP373" s="652"/>
      <c r="NXQ373" s="652"/>
      <c r="NXR373" s="652"/>
      <c r="NXS373" s="652"/>
      <c r="NXT373" s="652"/>
      <c r="NXU373" s="652"/>
      <c r="NXV373" s="652"/>
      <c r="NXW373" s="629">
        <v>27.33</v>
      </c>
      <c r="NXX373" s="653">
        <f>((NXX362*NXS369)+(NXX366*NXS370)+(NXX366*NXS371))/NXX363</f>
        <v>27.332989917734402</v>
      </c>
      <c r="NXY373" s="651" t="s">
        <v>1843</v>
      </c>
      <c r="NXZ373" s="627" t="s">
        <v>1844</v>
      </c>
      <c r="NYA373" s="652"/>
      <c r="NYB373" s="652"/>
      <c r="NYC373" s="652"/>
      <c r="NYD373" s="652"/>
      <c r="NYE373" s="652"/>
      <c r="NYF373" s="652"/>
      <c r="NYG373" s="652"/>
      <c r="NYH373" s="652"/>
      <c r="NYI373" s="652"/>
      <c r="NYJ373" s="652"/>
      <c r="NYK373" s="652"/>
      <c r="NYL373" s="652"/>
      <c r="NYM373" s="629">
        <v>27.33</v>
      </c>
      <c r="NYN373" s="653">
        <f>((NYN362*NYI369)+(NYN366*NYI370)+(NYN366*NYI371))/NYN363</f>
        <v>27.332989917734402</v>
      </c>
      <c r="NYO373" s="651" t="s">
        <v>1843</v>
      </c>
      <c r="NYP373" s="627" t="s">
        <v>1844</v>
      </c>
      <c r="NYQ373" s="652"/>
      <c r="NYR373" s="652"/>
      <c r="NYS373" s="652"/>
      <c r="NYT373" s="652"/>
      <c r="NYU373" s="652"/>
      <c r="NYV373" s="652"/>
      <c r="NYW373" s="652"/>
      <c r="NYX373" s="652"/>
      <c r="NYY373" s="652"/>
      <c r="NYZ373" s="652"/>
      <c r="NZA373" s="652"/>
      <c r="NZB373" s="652"/>
      <c r="NZC373" s="629">
        <v>27.33</v>
      </c>
      <c r="NZD373" s="653">
        <f>((NZD362*NYY369)+(NZD366*NYY370)+(NZD366*NYY371))/NZD363</f>
        <v>27.332989917734402</v>
      </c>
      <c r="NZE373" s="651" t="s">
        <v>1843</v>
      </c>
      <c r="NZF373" s="627" t="s">
        <v>1844</v>
      </c>
      <c r="NZG373" s="652"/>
      <c r="NZH373" s="652"/>
      <c r="NZI373" s="652"/>
      <c r="NZJ373" s="652"/>
      <c r="NZK373" s="652"/>
      <c r="NZL373" s="652"/>
      <c r="NZM373" s="652"/>
      <c r="NZN373" s="652"/>
      <c r="NZO373" s="652"/>
      <c r="NZP373" s="652"/>
      <c r="NZQ373" s="652"/>
      <c r="NZR373" s="652"/>
      <c r="NZS373" s="629">
        <v>27.33</v>
      </c>
      <c r="NZT373" s="653">
        <f>((NZT362*NZO369)+(NZT366*NZO370)+(NZT366*NZO371))/NZT363</f>
        <v>27.332989917734402</v>
      </c>
      <c r="NZU373" s="651" t="s">
        <v>1843</v>
      </c>
      <c r="NZV373" s="627" t="s">
        <v>1844</v>
      </c>
      <c r="NZW373" s="652"/>
      <c r="NZX373" s="652"/>
      <c r="NZY373" s="652"/>
      <c r="NZZ373" s="652"/>
      <c r="OAA373" s="652"/>
      <c r="OAB373" s="652"/>
      <c r="OAC373" s="652"/>
      <c r="OAD373" s="652"/>
      <c r="OAE373" s="652"/>
      <c r="OAF373" s="652"/>
      <c r="OAG373" s="652"/>
      <c r="OAH373" s="652"/>
      <c r="OAI373" s="629">
        <v>27.33</v>
      </c>
      <c r="OAJ373" s="653">
        <f>((OAJ362*OAE369)+(OAJ366*OAE370)+(OAJ366*OAE371))/OAJ363</f>
        <v>27.332989917734402</v>
      </c>
      <c r="OAK373" s="651" t="s">
        <v>1843</v>
      </c>
      <c r="OAL373" s="627" t="s">
        <v>1844</v>
      </c>
      <c r="OAM373" s="652"/>
      <c r="OAN373" s="652"/>
      <c r="OAO373" s="652"/>
      <c r="OAP373" s="652"/>
      <c r="OAQ373" s="652"/>
      <c r="OAR373" s="652"/>
      <c r="OAS373" s="652"/>
      <c r="OAT373" s="652"/>
      <c r="OAU373" s="652"/>
      <c r="OAV373" s="652"/>
      <c r="OAW373" s="652"/>
      <c r="OAX373" s="652"/>
      <c r="OAY373" s="629">
        <v>27.33</v>
      </c>
      <c r="OAZ373" s="653">
        <f>((OAZ362*OAU369)+(OAZ366*OAU370)+(OAZ366*OAU371))/OAZ363</f>
        <v>27.332989917734402</v>
      </c>
      <c r="OBA373" s="651" t="s">
        <v>1843</v>
      </c>
      <c r="OBB373" s="627" t="s">
        <v>1844</v>
      </c>
      <c r="OBC373" s="652"/>
      <c r="OBD373" s="652"/>
      <c r="OBE373" s="652"/>
      <c r="OBF373" s="652"/>
      <c r="OBG373" s="652"/>
      <c r="OBH373" s="652"/>
      <c r="OBI373" s="652"/>
      <c r="OBJ373" s="652"/>
      <c r="OBK373" s="652"/>
      <c r="OBL373" s="652"/>
      <c r="OBM373" s="652"/>
      <c r="OBN373" s="652"/>
      <c r="OBO373" s="629">
        <v>27.33</v>
      </c>
      <c r="OBP373" s="653">
        <f>((OBP362*OBK369)+(OBP366*OBK370)+(OBP366*OBK371))/OBP363</f>
        <v>27.332989917734402</v>
      </c>
      <c r="OBQ373" s="651" t="s">
        <v>1843</v>
      </c>
      <c r="OBR373" s="627" t="s">
        <v>1844</v>
      </c>
      <c r="OBS373" s="652"/>
      <c r="OBT373" s="652"/>
      <c r="OBU373" s="652"/>
      <c r="OBV373" s="652"/>
      <c r="OBW373" s="652"/>
      <c r="OBX373" s="652"/>
      <c r="OBY373" s="652"/>
      <c r="OBZ373" s="652"/>
      <c r="OCA373" s="652"/>
      <c r="OCB373" s="652"/>
      <c r="OCC373" s="652"/>
      <c r="OCD373" s="652"/>
      <c r="OCE373" s="629">
        <v>27.33</v>
      </c>
      <c r="OCF373" s="653">
        <f>((OCF362*OCA369)+(OCF366*OCA370)+(OCF366*OCA371))/OCF363</f>
        <v>27.332989917734402</v>
      </c>
      <c r="OCG373" s="651" t="s">
        <v>1843</v>
      </c>
      <c r="OCH373" s="627" t="s">
        <v>1844</v>
      </c>
      <c r="OCI373" s="652"/>
      <c r="OCJ373" s="652"/>
      <c r="OCK373" s="652"/>
      <c r="OCL373" s="652"/>
      <c r="OCM373" s="652"/>
      <c r="OCN373" s="652"/>
      <c r="OCO373" s="652"/>
      <c r="OCP373" s="652"/>
      <c r="OCQ373" s="652"/>
      <c r="OCR373" s="652"/>
      <c r="OCS373" s="652"/>
      <c r="OCT373" s="652"/>
      <c r="OCU373" s="629">
        <v>27.33</v>
      </c>
      <c r="OCV373" s="653">
        <f>((OCV362*OCQ369)+(OCV366*OCQ370)+(OCV366*OCQ371))/OCV363</f>
        <v>27.332989917734402</v>
      </c>
      <c r="OCW373" s="651" t="s">
        <v>1843</v>
      </c>
      <c r="OCX373" s="627" t="s">
        <v>1844</v>
      </c>
      <c r="OCY373" s="652"/>
      <c r="OCZ373" s="652"/>
      <c r="ODA373" s="652"/>
      <c r="ODB373" s="652"/>
      <c r="ODC373" s="652"/>
      <c r="ODD373" s="652"/>
      <c r="ODE373" s="652"/>
      <c r="ODF373" s="652"/>
      <c r="ODG373" s="652"/>
      <c r="ODH373" s="652"/>
      <c r="ODI373" s="652"/>
      <c r="ODJ373" s="652"/>
      <c r="ODK373" s="629">
        <v>27.33</v>
      </c>
      <c r="ODL373" s="653">
        <f>((ODL362*ODG369)+(ODL366*ODG370)+(ODL366*ODG371))/ODL363</f>
        <v>27.332989917734402</v>
      </c>
      <c r="ODM373" s="651" t="s">
        <v>1843</v>
      </c>
      <c r="ODN373" s="627" t="s">
        <v>1844</v>
      </c>
      <c r="ODO373" s="652"/>
      <c r="ODP373" s="652"/>
      <c r="ODQ373" s="652"/>
      <c r="ODR373" s="652"/>
      <c r="ODS373" s="652"/>
      <c r="ODT373" s="652"/>
      <c r="ODU373" s="652"/>
      <c r="ODV373" s="652"/>
      <c r="ODW373" s="652"/>
      <c r="ODX373" s="652"/>
      <c r="ODY373" s="652"/>
      <c r="ODZ373" s="652"/>
      <c r="OEA373" s="629">
        <v>27.33</v>
      </c>
      <c r="OEB373" s="653">
        <f>((OEB362*ODW369)+(OEB366*ODW370)+(OEB366*ODW371))/OEB363</f>
        <v>27.332989917734402</v>
      </c>
      <c r="OEC373" s="651" t="s">
        <v>1843</v>
      </c>
      <c r="OED373" s="627" t="s">
        <v>1844</v>
      </c>
      <c r="OEE373" s="652"/>
      <c r="OEF373" s="652"/>
      <c r="OEG373" s="652"/>
      <c r="OEH373" s="652"/>
      <c r="OEI373" s="652"/>
      <c r="OEJ373" s="652"/>
      <c r="OEK373" s="652"/>
      <c r="OEL373" s="652"/>
      <c r="OEM373" s="652"/>
      <c r="OEN373" s="652"/>
      <c r="OEO373" s="652"/>
      <c r="OEP373" s="652"/>
      <c r="OEQ373" s="629">
        <v>27.33</v>
      </c>
      <c r="OER373" s="653">
        <f>((OER362*OEM369)+(OER366*OEM370)+(OER366*OEM371))/OER363</f>
        <v>27.332989917734402</v>
      </c>
      <c r="OES373" s="651" t="s">
        <v>1843</v>
      </c>
      <c r="OET373" s="627" t="s">
        <v>1844</v>
      </c>
      <c r="OEU373" s="652"/>
      <c r="OEV373" s="652"/>
      <c r="OEW373" s="652"/>
      <c r="OEX373" s="652"/>
      <c r="OEY373" s="652"/>
      <c r="OEZ373" s="652"/>
      <c r="OFA373" s="652"/>
      <c r="OFB373" s="652"/>
      <c r="OFC373" s="652"/>
      <c r="OFD373" s="652"/>
      <c r="OFE373" s="652"/>
      <c r="OFF373" s="652"/>
      <c r="OFG373" s="629">
        <v>27.33</v>
      </c>
      <c r="OFH373" s="653">
        <f>((OFH362*OFC369)+(OFH366*OFC370)+(OFH366*OFC371))/OFH363</f>
        <v>27.332989917734402</v>
      </c>
      <c r="OFI373" s="651" t="s">
        <v>1843</v>
      </c>
      <c r="OFJ373" s="627" t="s">
        <v>1844</v>
      </c>
      <c r="OFK373" s="652"/>
      <c r="OFL373" s="652"/>
      <c r="OFM373" s="652"/>
      <c r="OFN373" s="652"/>
      <c r="OFO373" s="652"/>
      <c r="OFP373" s="652"/>
      <c r="OFQ373" s="652"/>
      <c r="OFR373" s="652"/>
      <c r="OFS373" s="652"/>
      <c r="OFT373" s="652"/>
      <c r="OFU373" s="652"/>
      <c r="OFV373" s="652"/>
      <c r="OFW373" s="629">
        <v>27.33</v>
      </c>
      <c r="OFX373" s="653">
        <f>((OFX362*OFS369)+(OFX366*OFS370)+(OFX366*OFS371))/OFX363</f>
        <v>27.332989917734402</v>
      </c>
      <c r="OFY373" s="651" t="s">
        <v>1843</v>
      </c>
      <c r="OFZ373" s="627" t="s">
        <v>1844</v>
      </c>
      <c r="OGA373" s="652"/>
      <c r="OGB373" s="652"/>
      <c r="OGC373" s="652"/>
      <c r="OGD373" s="652"/>
      <c r="OGE373" s="652"/>
      <c r="OGF373" s="652"/>
      <c r="OGG373" s="652"/>
      <c r="OGH373" s="652"/>
      <c r="OGI373" s="652"/>
      <c r="OGJ373" s="652"/>
      <c r="OGK373" s="652"/>
      <c r="OGL373" s="652"/>
      <c r="OGM373" s="629">
        <v>27.33</v>
      </c>
      <c r="OGN373" s="653">
        <f>((OGN362*OGI369)+(OGN366*OGI370)+(OGN366*OGI371))/OGN363</f>
        <v>27.332989917734402</v>
      </c>
      <c r="OGO373" s="651" t="s">
        <v>1843</v>
      </c>
      <c r="OGP373" s="627" t="s">
        <v>1844</v>
      </c>
      <c r="OGQ373" s="652"/>
      <c r="OGR373" s="652"/>
      <c r="OGS373" s="652"/>
      <c r="OGT373" s="652"/>
      <c r="OGU373" s="652"/>
      <c r="OGV373" s="652"/>
      <c r="OGW373" s="652"/>
      <c r="OGX373" s="652"/>
      <c r="OGY373" s="652"/>
      <c r="OGZ373" s="652"/>
      <c r="OHA373" s="652"/>
      <c r="OHB373" s="652"/>
      <c r="OHC373" s="629">
        <v>27.33</v>
      </c>
      <c r="OHD373" s="653">
        <f>((OHD362*OGY369)+(OHD366*OGY370)+(OHD366*OGY371))/OHD363</f>
        <v>27.332989917734402</v>
      </c>
      <c r="OHE373" s="651" t="s">
        <v>1843</v>
      </c>
      <c r="OHF373" s="627" t="s">
        <v>1844</v>
      </c>
      <c r="OHG373" s="652"/>
      <c r="OHH373" s="652"/>
      <c r="OHI373" s="652"/>
      <c r="OHJ373" s="652"/>
      <c r="OHK373" s="652"/>
      <c r="OHL373" s="652"/>
      <c r="OHM373" s="652"/>
      <c r="OHN373" s="652"/>
      <c r="OHO373" s="652"/>
      <c r="OHP373" s="652"/>
      <c r="OHQ373" s="652"/>
      <c r="OHR373" s="652"/>
      <c r="OHS373" s="629">
        <v>27.33</v>
      </c>
      <c r="OHT373" s="653">
        <f>((OHT362*OHO369)+(OHT366*OHO370)+(OHT366*OHO371))/OHT363</f>
        <v>27.332989917734402</v>
      </c>
      <c r="OHU373" s="651" t="s">
        <v>1843</v>
      </c>
      <c r="OHV373" s="627" t="s">
        <v>1844</v>
      </c>
      <c r="OHW373" s="652"/>
      <c r="OHX373" s="652"/>
      <c r="OHY373" s="652"/>
      <c r="OHZ373" s="652"/>
      <c r="OIA373" s="652"/>
      <c r="OIB373" s="652"/>
      <c r="OIC373" s="652"/>
      <c r="OID373" s="652"/>
      <c r="OIE373" s="652"/>
      <c r="OIF373" s="652"/>
      <c r="OIG373" s="652"/>
      <c r="OIH373" s="652"/>
      <c r="OII373" s="629">
        <v>27.33</v>
      </c>
      <c r="OIJ373" s="653">
        <f>((OIJ362*OIE369)+(OIJ366*OIE370)+(OIJ366*OIE371))/OIJ363</f>
        <v>27.332989917734402</v>
      </c>
      <c r="OIK373" s="651" t="s">
        <v>1843</v>
      </c>
      <c r="OIL373" s="627" t="s">
        <v>1844</v>
      </c>
      <c r="OIM373" s="652"/>
      <c r="OIN373" s="652"/>
      <c r="OIO373" s="652"/>
      <c r="OIP373" s="652"/>
      <c r="OIQ373" s="652"/>
      <c r="OIR373" s="652"/>
      <c r="OIS373" s="652"/>
      <c r="OIT373" s="652"/>
      <c r="OIU373" s="652"/>
      <c r="OIV373" s="652"/>
      <c r="OIW373" s="652"/>
      <c r="OIX373" s="652"/>
      <c r="OIY373" s="629">
        <v>27.33</v>
      </c>
      <c r="OIZ373" s="653">
        <f>((OIZ362*OIU369)+(OIZ366*OIU370)+(OIZ366*OIU371))/OIZ363</f>
        <v>27.332989917734402</v>
      </c>
      <c r="OJA373" s="651" t="s">
        <v>1843</v>
      </c>
      <c r="OJB373" s="627" t="s">
        <v>1844</v>
      </c>
      <c r="OJC373" s="652"/>
      <c r="OJD373" s="652"/>
      <c r="OJE373" s="652"/>
      <c r="OJF373" s="652"/>
      <c r="OJG373" s="652"/>
      <c r="OJH373" s="652"/>
      <c r="OJI373" s="652"/>
      <c r="OJJ373" s="652"/>
      <c r="OJK373" s="652"/>
      <c r="OJL373" s="652"/>
      <c r="OJM373" s="652"/>
      <c r="OJN373" s="652"/>
      <c r="OJO373" s="629">
        <v>27.33</v>
      </c>
      <c r="OJP373" s="653">
        <f>((OJP362*OJK369)+(OJP366*OJK370)+(OJP366*OJK371))/OJP363</f>
        <v>27.332989917734402</v>
      </c>
      <c r="OJQ373" s="651" t="s">
        <v>1843</v>
      </c>
      <c r="OJR373" s="627" t="s">
        <v>1844</v>
      </c>
      <c r="OJS373" s="652"/>
      <c r="OJT373" s="652"/>
      <c r="OJU373" s="652"/>
      <c r="OJV373" s="652"/>
      <c r="OJW373" s="652"/>
      <c r="OJX373" s="652"/>
      <c r="OJY373" s="652"/>
      <c r="OJZ373" s="652"/>
      <c r="OKA373" s="652"/>
      <c r="OKB373" s="652"/>
      <c r="OKC373" s="652"/>
      <c r="OKD373" s="652"/>
      <c r="OKE373" s="629">
        <v>27.33</v>
      </c>
      <c r="OKF373" s="653">
        <f>((OKF362*OKA369)+(OKF366*OKA370)+(OKF366*OKA371))/OKF363</f>
        <v>27.332989917734402</v>
      </c>
      <c r="OKG373" s="651" t="s">
        <v>1843</v>
      </c>
      <c r="OKH373" s="627" t="s">
        <v>1844</v>
      </c>
      <c r="OKI373" s="652"/>
      <c r="OKJ373" s="652"/>
      <c r="OKK373" s="652"/>
      <c r="OKL373" s="652"/>
      <c r="OKM373" s="652"/>
      <c r="OKN373" s="652"/>
      <c r="OKO373" s="652"/>
      <c r="OKP373" s="652"/>
      <c r="OKQ373" s="652"/>
      <c r="OKR373" s="652"/>
      <c r="OKS373" s="652"/>
      <c r="OKT373" s="652"/>
      <c r="OKU373" s="629">
        <v>27.33</v>
      </c>
      <c r="OKV373" s="653">
        <f>((OKV362*OKQ369)+(OKV366*OKQ370)+(OKV366*OKQ371))/OKV363</f>
        <v>27.332989917734402</v>
      </c>
      <c r="OKW373" s="651" t="s">
        <v>1843</v>
      </c>
      <c r="OKX373" s="627" t="s">
        <v>1844</v>
      </c>
      <c r="OKY373" s="652"/>
      <c r="OKZ373" s="652"/>
      <c r="OLA373" s="652"/>
      <c r="OLB373" s="652"/>
      <c r="OLC373" s="652"/>
      <c r="OLD373" s="652"/>
      <c r="OLE373" s="652"/>
      <c r="OLF373" s="652"/>
      <c r="OLG373" s="652"/>
      <c r="OLH373" s="652"/>
      <c r="OLI373" s="652"/>
      <c r="OLJ373" s="652"/>
      <c r="OLK373" s="629">
        <v>27.33</v>
      </c>
      <c r="OLL373" s="653">
        <f>((OLL362*OLG369)+(OLL366*OLG370)+(OLL366*OLG371))/OLL363</f>
        <v>27.332989917734402</v>
      </c>
      <c r="OLM373" s="651" t="s">
        <v>1843</v>
      </c>
      <c r="OLN373" s="627" t="s">
        <v>1844</v>
      </c>
      <c r="OLO373" s="652"/>
      <c r="OLP373" s="652"/>
      <c r="OLQ373" s="652"/>
      <c r="OLR373" s="652"/>
      <c r="OLS373" s="652"/>
      <c r="OLT373" s="652"/>
      <c r="OLU373" s="652"/>
      <c r="OLV373" s="652"/>
      <c r="OLW373" s="652"/>
      <c r="OLX373" s="652"/>
      <c r="OLY373" s="652"/>
      <c r="OLZ373" s="652"/>
      <c r="OMA373" s="629">
        <v>27.33</v>
      </c>
      <c r="OMB373" s="653">
        <f>((OMB362*OLW369)+(OMB366*OLW370)+(OMB366*OLW371))/OMB363</f>
        <v>27.332989917734402</v>
      </c>
      <c r="OMC373" s="651" t="s">
        <v>1843</v>
      </c>
      <c r="OMD373" s="627" t="s">
        <v>1844</v>
      </c>
      <c r="OME373" s="652"/>
      <c r="OMF373" s="652"/>
      <c r="OMG373" s="652"/>
      <c r="OMH373" s="652"/>
      <c r="OMI373" s="652"/>
      <c r="OMJ373" s="652"/>
      <c r="OMK373" s="652"/>
      <c r="OML373" s="652"/>
      <c r="OMM373" s="652"/>
      <c r="OMN373" s="652"/>
      <c r="OMO373" s="652"/>
      <c r="OMP373" s="652"/>
      <c r="OMQ373" s="629">
        <v>27.33</v>
      </c>
      <c r="OMR373" s="653">
        <f>((OMR362*OMM369)+(OMR366*OMM370)+(OMR366*OMM371))/OMR363</f>
        <v>27.332989917734402</v>
      </c>
      <c r="OMS373" s="651" t="s">
        <v>1843</v>
      </c>
      <c r="OMT373" s="627" t="s">
        <v>1844</v>
      </c>
      <c r="OMU373" s="652"/>
      <c r="OMV373" s="652"/>
      <c r="OMW373" s="652"/>
      <c r="OMX373" s="652"/>
      <c r="OMY373" s="652"/>
      <c r="OMZ373" s="652"/>
      <c r="ONA373" s="652"/>
      <c r="ONB373" s="652"/>
      <c r="ONC373" s="652"/>
      <c r="OND373" s="652"/>
      <c r="ONE373" s="652"/>
      <c r="ONF373" s="652"/>
      <c r="ONG373" s="629">
        <v>27.33</v>
      </c>
      <c r="ONH373" s="653">
        <f>((ONH362*ONC369)+(ONH366*ONC370)+(ONH366*ONC371))/ONH363</f>
        <v>27.332989917734402</v>
      </c>
      <c r="ONI373" s="651" t="s">
        <v>1843</v>
      </c>
      <c r="ONJ373" s="627" t="s">
        <v>1844</v>
      </c>
      <c r="ONK373" s="652"/>
      <c r="ONL373" s="652"/>
      <c r="ONM373" s="652"/>
      <c r="ONN373" s="652"/>
      <c r="ONO373" s="652"/>
      <c r="ONP373" s="652"/>
      <c r="ONQ373" s="652"/>
      <c r="ONR373" s="652"/>
      <c r="ONS373" s="652"/>
      <c r="ONT373" s="652"/>
      <c r="ONU373" s="652"/>
      <c r="ONV373" s="652"/>
      <c r="ONW373" s="629">
        <v>27.33</v>
      </c>
      <c r="ONX373" s="653">
        <f>((ONX362*ONS369)+(ONX366*ONS370)+(ONX366*ONS371))/ONX363</f>
        <v>27.332989917734402</v>
      </c>
      <c r="ONY373" s="651" t="s">
        <v>1843</v>
      </c>
      <c r="ONZ373" s="627" t="s">
        <v>1844</v>
      </c>
      <c r="OOA373" s="652"/>
      <c r="OOB373" s="652"/>
      <c r="OOC373" s="652"/>
      <c r="OOD373" s="652"/>
      <c r="OOE373" s="652"/>
      <c r="OOF373" s="652"/>
      <c r="OOG373" s="652"/>
      <c r="OOH373" s="652"/>
      <c r="OOI373" s="652"/>
      <c r="OOJ373" s="652"/>
      <c r="OOK373" s="652"/>
      <c r="OOL373" s="652"/>
      <c r="OOM373" s="629">
        <v>27.33</v>
      </c>
      <c r="OON373" s="653">
        <f>((OON362*OOI369)+(OON366*OOI370)+(OON366*OOI371))/OON363</f>
        <v>27.332989917734402</v>
      </c>
      <c r="OOO373" s="651" t="s">
        <v>1843</v>
      </c>
      <c r="OOP373" s="627" t="s">
        <v>1844</v>
      </c>
      <c r="OOQ373" s="652"/>
      <c r="OOR373" s="652"/>
      <c r="OOS373" s="652"/>
      <c r="OOT373" s="652"/>
      <c r="OOU373" s="652"/>
      <c r="OOV373" s="652"/>
      <c r="OOW373" s="652"/>
      <c r="OOX373" s="652"/>
      <c r="OOY373" s="652"/>
      <c r="OOZ373" s="652"/>
      <c r="OPA373" s="652"/>
      <c r="OPB373" s="652"/>
      <c r="OPC373" s="629">
        <v>27.33</v>
      </c>
      <c r="OPD373" s="653">
        <f>((OPD362*OOY369)+(OPD366*OOY370)+(OPD366*OOY371))/OPD363</f>
        <v>27.332989917734402</v>
      </c>
      <c r="OPE373" s="651" t="s">
        <v>1843</v>
      </c>
      <c r="OPF373" s="627" t="s">
        <v>1844</v>
      </c>
      <c r="OPG373" s="652"/>
      <c r="OPH373" s="652"/>
      <c r="OPI373" s="652"/>
      <c r="OPJ373" s="652"/>
      <c r="OPK373" s="652"/>
      <c r="OPL373" s="652"/>
      <c r="OPM373" s="652"/>
      <c r="OPN373" s="652"/>
      <c r="OPO373" s="652"/>
      <c r="OPP373" s="652"/>
      <c r="OPQ373" s="652"/>
      <c r="OPR373" s="652"/>
      <c r="OPS373" s="629">
        <v>27.33</v>
      </c>
      <c r="OPT373" s="653">
        <f>((OPT362*OPO369)+(OPT366*OPO370)+(OPT366*OPO371))/OPT363</f>
        <v>27.332989917734402</v>
      </c>
      <c r="OPU373" s="651" t="s">
        <v>1843</v>
      </c>
      <c r="OPV373" s="627" t="s">
        <v>1844</v>
      </c>
      <c r="OPW373" s="652"/>
      <c r="OPX373" s="652"/>
      <c r="OPY373" s="652"/>
      <c r="OPZ373" s="652"/>
      <c r="OQA373" s="652"/>
      <c r="OQB373" s="652"/>
      <c r="OQC373" s="652"/>
      <c r="OQD373" s="652"/>
      <c r="OQE373" s="652"/>
      <c r="OQF373" s="652"/>
      <c r="OQG373" s="652"/>
      <c r="OQH373" s="652"/>
      <c r="OQI373" s="629">
        <v>27.33</v>
      </c>
      <c r="OQJ373" s="653">
        <f>((OQJ362*OQE369)+(OQJ366*OQE370)+(OQJ366*OQE371))/OQJ363</f>
        <v>27.332989917734402</v>
      </c>
      <c r="OQK373" s="651" t="s">
        <v>1843</v>
      </c>
      <c r="OQL373" s="627" t="s">
        <v>1844</v>
      </c>
      <c r="OQM373" s="652"/>
      <c r="OQN373" s="652"/>
      <c r="OQO373" s="652"/>
      <c r="OQP373" s="652"/>
      <c r="OQQ373" s="652"/>
      <c r="OQR373" s="652"/>
      <c r="OQS373" s="652"/>
      <c r="OQT373" s="652"/>
      <c r="OQU373" s="652"/>
      <c r="OQV373" s="652"/>
      <c r="OQW373" s="652"/>
      <c r="OQX373" s="652"/>
      <c r="OQY373" s="629">
        <v>27.33</v>
      </c>
      <c r="OQZ373" s="653">
        <f>((OQZ362*OQU369)+(OQZ366*OQU370)+(OQZ366*OQU371))/OQZ363</f>
        <v>27.332989917734402</v>
      </c>
      <c r="ORA373" s="651" t="s">
        <v>1843</v>
      </c>
      <c r="ORB373" s="627" t="s">
        <v>1844</v>
      </c>
      <c r="ORC373" s="652"/>
      <c r="ORD373" s="652"/>
      <c r="ORE373" s="652"/>
      <c r="ORF373" s="652"/>
      <c r="ORG373" s="652"/>
      <c r="ORH373" s="652"/>
      <c r="ORI373" s="652"/>
      <c r="ORJ373" s="652"/>
      <c r="ORK373" s="652"/>
      <c r="ORL373" s="652"/>
      <c r="ORM373" s="652"/>
      <c r="ORN373" s="652"/>
      <c r="ORO373" s="629">
        <v>27.33</v>
      </c>
      <c r="ORP373" s="653">
        <f>((ORP362*ORK369)+(ORP366*ORK370)+(ORP366*ORK371))/ORP363</f>
        <v>27.332989917734402</v>
      </c>
      <c r="ORQ373" s="651" t="s">
        <v>1843</v>
      </c>
      <c r="ORR373" s="627" t="s">
        <v>1844</v>
      </c>
      <c r="ORS373" s="652"/>
      <c r="ORT373" s="652"/>
      <c r="ORU373" s="652"/>
      <c r="ORV373" s="652"/>
      <c r="ORW373" s="652"/>
      <c r="ORX373" s="652"/>
      <c r="ORY373" s="652"/>
      <c r="ORZ373" s="652"/>
      <c r="OSA373" s="652"/>
      <c r="OSB373" s="652"/>
      <c r="OSC373" s="652"/>
      <c r="OSD373" s="652"/>
      <c r="OSE373" s="629">
        <v>27.33</v>
      </c>
      <c r="OSF373" s="653">
        <f>((OSF362*OSA369)+(OSF366*OSA370)+(OSF366*OSA371))/OSF363</f>
        <v>27.332989917734402</v>
      </c>
      <c r="OSG373" s="651" t="s">
        <v>1843</v>
      </c>
      <c r="OSH373" s="627" t="s">
        <v>1844</v>
      </c>
      <c r="OSI373" s="652"/>
      <c r="OSJ373" s="652"/>
      <c r="OSK373" s="652"/>
      <c r="OSL373" s="652"/>
      <c r="OSM373" s="652"/>
      <c r="OSN373" s="652"/>
      <c r="OSO373" s="652"/>
      <c r="OSP373" s="652"/>
      <c r="OSQ373" s="652"/>
      <c r="OSR373" s="652"/>
      <c r="OSS373" s="652"/>
      <c r="OST373" s="652"/>
      <c r="OSU373" s="629">
        <v>27.33</v>
      </c>
      <c r="OSV373" s="653">
        <f>((OSV362*OSQ369)+(OSV366*OSQ370)+(OSV366*OSQ371))/OSV363</f>
        <v>27.332989917734402</v>
      </c>
      <c r="OSW373" s="651" t="s">
        <v>1843</v>
      </c>
      <c r="OSX373" s="627" t="s">
        <v>1844</v>
      </c>
      <c r="OSY373" s="652"/>
      <c r="OSZ373" s="652"/>
      <c r="OTA373" s="652"/>
      <c r="OTB373" s="652"/>
      <c r="OTC373" s="652"/>
      <c r="OTD373" s="652"/>
      <c r="OTE373" s="652"/>
      <c r="OTF373" s="652"/>
      <c r="OTG373" s="652"/>
      <c r="OTH373" s="652"/>
      <c r="OTI373" s="652"/>
      <c r="OTJ373" s="652"/>
      <c r="OTK373" s="629">
        <v>27.33</v>
      </c>
      <c r="OTL373" s="653">
        <f>((OTL362*OTG369)+(OTL366*OTG370)+(OTL366*OTG371))/OTL363</f>
        <v>27.332989917734402</v>
      </c>
      <c r="OTM373" s="651" t="s">
        <v>1843</v>
      </c>
      <c r="OTN373" s="627" t="s">
        <v>1844</v>
      </c>
      <c r="OTO373" s="652"/>
      <c r="OTP373" s="652"/>
      <c r="OTQ373" s="652"/>
      <c r="OTR373" s="652"/>
      <c r="OTS373" s="652"/>
      <c r="OTT373" s="652"/>
      <c r="OTU373" s="652"/>
      <c r="OTV373" s="652"/>
      <c r="OTW373" s="652"/>
      <c r="OTX373" s="652"/>
      <c r="OTY373" s="652"/>
      <c r="OTZ373" s="652"/>
      <c r="OUA373" s="629">
        <v>27.33</v>
      </c>
      <c r="OUB373" s="653">
        <f>((OUB362*OTW369)+(OUB366*OTW370)+(OUB366*OTW371))/OUB363</f>
        <v>27.332989917734402</v>
      </c>
      <c r="OUC373" s="651" t="s">
        <v>1843</v>
      </c>
      <c r="OUD373" s="627" t="s">
        <v>1844</v>
      </c>
      <c r="OUE373" s="652"/>
      <c r="OUF373" s="652"/>
      <c r="OUG373" s="652"/>
      <c r="OUH373" s="652"/>
      <c r="OUI373" s="652"/>
      <c r="OUJ373" s="652"/>
      <c r="OUK373" s="652"/>
      <c r="OUL373" s="652"/>
      <c r="OUM373" s="652"/>
      <c r="OUN373" s="652"/>
      <c r="OUO373" s="652"/>
      <c r="OUP373" s="652"/>
      <c r="OUQ373" s="629">
        <v>27.33</v>
      </c>
      <c r="OUR373" s="653">
        <f>((OUR362*OUM369)+(OUR366*OUM370)+(OUR366*OUM371))/OUR363</f>
        <v>27.332989917734402</v>
      </c>
      <c r="OUS373" s="651" t="s">
        <v>1843</v>
      </c>
      <c r="OUT373" s="627" t="s">
        <v>1844</v>
      </c>
      <c r="OUU373" s="652"/>
      <c r="OUV373" s="652"/>
      <c r="OUW373" s="652"/>
      <c r="OUX373" s="652"/>
      <c r="OUY373" s="652"/>
      <c r="OUZ373" s="652"/>
      <c r="OVA373" s="652"/>
      <c r="OVB373" s="652"/>
      <c r="OVC373" s="652"/>
      <c r="OVD373" s="652"/>
      <c r="OVE373" s="652"/>
      <c r="OVF373" s="652"/>
      <c r="OVG373" s="629">
        <v>27.33</v>
      </c>
      <c r="OVH373" s="653">
        <f>((OVH362*OVC369)+(OVH366*OVC370)+(OVH366*OVC371))/OVH363</f>
        <v>27.332989917734402</v>
      </c>
      <c r="OVI373" s="651" t="s">
        <v>1843</v>
      </c>
      <c r="OVJ373" s="627" t="s">
        <v>1844</v>
      </c>
      <c r="OVK373" s="652"/>
      <c r="OVL373" s="652"/>
      <c r="OVM373" s="652"/>
      <c r="OVN373" s="652"/>
      <c r="OVO373" s="652"/>
      <c r="OVP373" s="652"/>
      <c r="OVQ373" s="652"/>
      <c r="OVR373" s="652"/>
      <c r="OVS373" s="652"/>
      <c r="OVT373" s="652"/>
      <c r="OVU373" s="652"/>
      <c r="OVV373" s="652"/>
      <c r="OVW373" s="629">
        <v>27.33</v>
      </c>
      <c r="OVX373" s="653">
        <f>((OVX362*OVS369)+(OVX366*OVS370)+(OVX366*OVS371))/OVX363</f>
        <v>27.332989917734402</v>
      </c>
      <c r="OVY373" s="651" t="s">
        <v>1843</v>
      </c>
      <c r="OVZ373" s="627" t="s">
        <v>1844</v>
      </c>
      <c r="OWA373" s="652"/>
      <c r="OWB373" s="652"/>
      <c r="OWC373" s="652"/>
      <c r="OWD373" s="652"/>
      <c r="OWE373" s="652"/>
      <c r="OWF373" s="652"/>
      <c r="OWG373" s="652"/>
      <c r="OWH373" s="652"/>
      <c r="OWI373" s="652"/>
      <c r="OWJ373" s="652"/>
      <c r="OWK373" s="652"/>
      <c r="OWL373" s="652"/>
      <c r="OWM373" s="629">
        <v>27.33</v>
      </c>
      <c r="OWN373" s="653">
        <f>((OWN362*OWI369)+(OWN366*OWI370)+(OWN366*OWI371))/OWN363</f>
        <v>27.332989917734402</v>
      </c>
      <c r="OWO373" s="651" t="s">
        <v>1843</v>
      </c>
      <c r="OWP373" s="627" t="s">
        <v>1844</v>
      </c>
      <c r="OWQ373" s="652"/>
      <c r="OWR373" s="652"/>
      <c r="OWS373" s="652"/>
      <c r="OWT373" s="652"/>
      <c r="OWU373" s="652"/>
      <c r="OWV373" s="652"/>
      <c r="OWW373" s="652"/>
      <c r="OWX373" s="652"/>
      <c r="OWY373" s="652"/>
      <c r="OWZ373" s="652"/>
      <c r="OXA373" s="652"/>
      <c r="OXB373" s="652"/>
      <c r="OXC373" s="629">
        <v>27.33</v>
      </c>
      <c r="OXD373" s="653">
        <f>((OXD362*OWY369)+(OXD366*OWY370)+(OXD366*OWY371))/OXD363</f>
        <v>27.332989917734402</v>
      </c>
      <c r="OXE373" s="651" t="s">
        <v>1843</v>
      </c>
      <c r="OXF373" s="627" t="s">
        <v>1844</v>
      </c>
      <c r="OXG373" s="652"/>
      <c r="OXH373" s="652"/>
      <c r="OXI373" s="652"/>
      <c r="OXJ373" s="652"/>
      <c r="OXK373" s="652"/>
      <c r="OXL373" s="652"/>
      <c r="OXM373" s="652"/>
      <c r="OXN373" s="652"/>
      <c r="OXO373" s="652"/>
      <c r="OXP373" s="652"/>
      <c r="OXQ373" s="652"/>
      <c r="OXR373" s="652"/>
      <c r="OXS373" s="629">
        <v>27.33</v>
      </c>
      <c r="OXT373" s="653">
        <f>((OXT362*OXO369)+(OXT366*OXO370)+(OXT366*OXO371))/OXT363</f>
        <v>27.332989917734402</v>
      </c>
      <c r="OXU373" s="651" t="s">
        <v>1843</v>
      </c>
      <c r="OXV373" s="627" t="s">
        <v>1844</v>
      </c>
      <c r="OXW373" s="652"/>
      <c r="OXX373" s="652"/>
      <c r="OXY373" s="652"/>
      <c r="OXZ373" s="652"/>
      <c r="OYA373" s="652"/>
      <c r="OYB373" s="652"/>
      <c r="OYC373" s="652"/>
      <c r="OYD373" s="652"/>
      <c r="OYE373" s="652"/>
      <c r="OYF373" s="652"/>
      <c r="OYG373" s="652"/>
      <c r="OYH373" s="652"/>
      <c r="OYI373" s="629">
        <v>27.33</v>
      </c>
      <c r="OYJ373" s="653">
        <f>((OYJ362*OYE369)+(OYJ366*OYE370)+(OYJ366*OYE371))/OYJ363</f>
        <v>27.332989917734402</v>
      </c>
      <c r="OYK373" s="651" t="s">
        <v>1843</v>
      </c>
      <c r="OYL373" s="627" t="s">
        <v>1844</v>
      </c>
      <c r="OYM373" s="652"/>
      <c r="OYN373" s="652"/>
      <c r="OYO373" s="652"/>
      <c r="OYP373" s="652"/>
      <c r="OYQ373" s="652"/>
      <c r="OYR373" s="652"/>
      <c r="OYS373" s="652"/>
      <c r="OYT373" s="652"/>
      <c r="OYU373" s="652"/>
      <c r="OYV373" s="652"/>
      <c r="OYW373" s="652"/>
      <c r="OYX373" s="652"/>
      <c r="OYY373" s="629">
        <v>27.33</v>
      </c>
      <c r="OYZ373" s="653">
        <f>((OYZ362*OYU369)+(OYZ366*OYU370)+(OYZ366*OYU371))/OYZ363</f>
        <v>27.332989917734402</v>
      </c>
      <c r="OZA373" s="651" t="s">
        <v>1843</v>
      </c>
      <c r="OZB373" s="627" t="s">
        <v>1844</v>
      </c>
      <c r="OZC373" s="652"/>
      <c r="OZD373" s="652"/>
      <c r="OZE373" s="652"/>
      <c r="OZF373" s="652"/>
      <c r="OZG373" s="652"/>
      <c r="OZH373" s="652"/>
      <c r="OZI373" s="652"/>
      <c r="OZJ373" s="652"/>
      <c r="OZK373" s="652"/>
      <c r="OZL373" s="652"/>
      <c r="OZM373" s="652"/>
      <c r="OZN373" s="652"/>
      <c r="OZO373" s="629">
        <v>27.33</v>
      </c>
      <c r="OZP373" s="653">
        <f>((OZP362*OZK369)+(OZP366*OZK370)+(OZP366*OZK371))/OZP363</f>
        <v>27.332989917734402</v>
      </c>
      <c r="OZQ373" s="651" t="s">
        <v>1843</v>
      </c>
      <c r="OZR373" s="627" t="s">
        <v>1844</v>
      </c>
      <c r="OZS373" s="652"/>
      <c r="OZT373" s="652"/>
      <c r="OZU373" s="652"/>
      <c r="OZV373" s="652"/>
      <c r="OZW373" s="652"/>
      <c r="OZX373" s="652"/>
      <c r="OZY373" s="652"/>
      <c r="OZZ373" s="652"/>
      <c r="PAA373" s="652"/>
      <c r="PAB373" s="652"/>
      <c r="PAC373" s="652"/>
      <c r="PAD373" s="652"/>
      <c r="PAE373" s="629">
        <v>27.33</v>
      </c>
      <c r="PAF373" s="653">
        <f>((PAF362*PAA369)+(PAF366*PAA370)+(PAF366*PAA371))/PAF363</f>
        <v>27.332989917734402</v>
      </c>
      <c r="PAG373" s="651" t="s">
        <v>1843</v>
      </c>
      <c r="PAH373" s="627" t="s">
        <v>1844</v>
      </c>
      <c r="PAI373" s="652"/>
      <c r="PAJ373" s="652"/>
      <c r="PAK373" s="652"/>
      <c r="PAL373" s="652"/>
      <c r="PAM373" s="652"/>
      <c r="PAN373" s="652"/>
      <c r="PAO373" s="652"/>
      <c r="PAP373" s="652"/>
      <c r="PAQ373" s="652"/>
      <c r="PAR373" s="652"/>
      <c r="PAS373" s="652"/>
      <c r="PAT373" s="652"/>
      <c r="PAU373" s="629">
        <v>27.33</v>
      </c>
      <c r="PAV373" s="653">
        <f>((PAV362*PAQ369)+(PAV366*PAQ370)+(PAV366*PAQ371))/PAV363</f>
        <v>27.332989917734402</v>
      </c>
      <c r="PAW373" s="651" t="s">
        <v>1843</v>
      </c>
      <c r="PAX373" s="627" t="s">
        <v>1844</v>
      </c>
      <c r="PAY373" s="652"/>
      <c r="PAZ373" s="652"/>
      <c r="PBA373" s="652"/>
      <c r="PBB373" s="652"/>
      <c r="PBC373" s="652"/>
      <c r="PBD373" s="652"/>
      <c r="PBE373" s="652"/>
      <c r="PBF373" s="652"/>
      <c r="PBG373" s="652"/>
      <c r="PBH373" s="652"/>
      <c r="PBI373" s="652"/>
      <c r="PBJ373" s="652"/>
      <c r="PBK373" s="629">
        <v>27.33</v>
      </c>
      <c r="PBL373" s="653">
        <f>((PBL362*PBG369)+(PBL366*PBG370)+(PBL366*PBG371))/PBL363</f>
        <v>27.332989917734402</v>
      </c>
      <c r="PBM373" s="651" t="s">
        <v>1843</v>
      </c>
      <c r="PBN373" s="627" t="s">
        <v>1844</v>
      </c>
      <c r="PBO373" s="652"/>
      <c r="PBP373" s="652"/>
      <c r="PBQ373" s="652"/>
      <c r="PBR373" s="652"/>
      <c r="PBS373" s="652"/>
      <c r="PBT373" s="652"/>
      <c r="PBU373" s="652"/>
      <c r="PBV373" s="652"/>
      <c r="PBW373" s="652"/>
      <c r="PBX373" s="652"/>
      <c r="PBY373" s="652"/>
      <c r="PBZ373" s="652"/>
      <c r="PCA373" s="629">
        <v>27.33</v>
      </c>
      <c r="PCB373" s="653">
        <f>((PCB362*PBW369)+(PCB366*PBW370)+(PCB366*PBW371))/PCB363</f>
        <v>27.332989917734402</v>
      </c>
      <c r="PCC373" s="651" t="s">
        <v>1843</v>
      </c>
      <c r="PCD373" s="627" t="s">
        <v>1844</v>
      </c>
      <c r="PCE373" s="652"/>
      <c r="PCF373" s="652"/>
      <c r="PCG373" s="652"/>
      <c r="PCH373" s="652"/>
      <c r="PCI373" s="652"/>
      <c r="PCJ373" s="652"/>
      <c r="PCK373" s="652"/>
      <c r="PCL373" s="652"/>
      <c r="PCM373" s="652"/>
      <c r="PCN373" s="652"/>
      <c r="PCO373" s="652"/>
      <c r="PCP373" s="652"/>
      <c r="PCQ373" s="629">
        <v>27.33</v>
      </c>
      <c r="PCR373" s="653">
        <f>((PCR362*PCM369)+(PCR366*PCM370)+(PCR366*PCM371))/PCR363</f>
        <v>27.332989917734402</v>
      </c>
      <c r="PCS373" s="651" t="s">
        <v>1843</v>
      </c>
      <c r="PCT373" s="627" t="s">
        <v>1844</v>
      </c>
      <c r="PCU373" s="652"/>
      <c r="PCV373" s="652"/>
      <c r="PCW373" s="652"/>
      <c r="PCX373" s="652"/>
      <c r="PCY373" s="652"/>
      <c r="PCZ373" s="652"/>
      <c r="PDA373" s="652"/>
      <c r="PDB373" s="652"/>
      <c r="PDC373" s="652"/>
      <c r="PDD373" s="652"/>
      <c r="PDE373" s="652"/>
      <c r="PDF373" s="652"/>
      <c r="PDG373" s="629">
        <v>27.33</v>
      </c>
      <c r="PDH373" s="653">
        <f>((PDH362*PDC369)+(PDH366*PDC370)+(PDH366*PDC371))/PDH363</f>
        <v>27.332989917734402</v>
      </c>
      <c r="PDI373" s="651" t="s">
        <v>1843</v>
      </c>
      <c r="PDJ373" s="627" t="s">
        <v>1844</v>
      </c>
      <c r="PDK373" s="652"/>
      <c r="PDL373" s="652"/>
      <c r="PDM373" s="652"/>
      <c r="PDN373" s="652"/>
      <c r="PDO373" s="652"/>
      <c r="PDP373" s="652"/>
      <c r="PDQ373" s="652"/>
      <c r="PDR373" s="652"/>
      <c r="PDS373" s="652"/>
      <c r="PDT373" s="652"/>
      <c r="PDU373" s="652"/>
      <c r="PDV373" s="652"/>
      <c r="PDW373" s="629">
        <v>27.33</v>
      </c>
      <c r="PDX373" s="653">
        <f>((PDX362*PDS369)+(PDX366*PDS370)+(PDX366*PDS371))/PDX363</f>
        <v>27.332989917734402</v>
      </c>
      <c r="PDY373" s="651" t="s">
        <v>1843</v>
      </c>
      <c r="PDZ373" s="627" t="s">
        <v>1844</v>
      </c>
      <c r="PEA373" s="652"/>
      <c r="PEB373" s="652"/>
      <c r="PEC373" s="652"/>
      <c r="PED373" s="652"/>
      <c r="PEE373" s="652"/>
      <c r="PEF373" s="652"/>
      <c r="PEG373" s="652"/>
      <c r="PEH373" s="652"/>
      <c r="PEI373" s="652"/>
      <c r="PEJ373" s="652"/>
      <c r="PEK373" s="652"/>
      <c r="PEL373" s="652"/>
      <c r="PEM373" s="629">
        <v>27.33</v>
      </c>
      <c r="PEN373" s="653">
        <f>((PEN362*PEI369)+(PEN366*PEI370)+(PEN366*PEI371))/PEN363</f>
        <v>27.332989917734402</v>
      </c>
      <c r="PEO373" s="651" t="s">
        <v>1843</v>
      </c>
      <c r="PEP373" s="627" t="s">
        <v>1844</v>
      </c>
      <c r="PEQ373" s="652"/>
      <c r="PER373" s="652"/>
      <c r="PES373" s="652"/>
      <c r="PET373" s="652"/>
      <c r="PEU373" s="652"/>
      <c r="PEV373" s="652"/>
      <c r="PEW373" s="652"/>
      <c r="PEX373" s="652"/>
      <c r="PEY373" s="652"/>
      <c r="PEZ373" s="652"/>
      <c r="PFA373" s="652"/>
      <c r="PFB373" s="652"/>
      <c r="PFC373" s="629">
        <v>27.33</v>
      </c>
      <c r="PFD373" s="653">
        <f>((PFD362*PEY369)+(PFD366*PEY370)+(PFD366*PEY371))/PFD363</f>
        <v>27.332989917734402</v>
      </c>
      <c r="PFE373" s="651" t="s">
        <v>1843</v>
      </c>
      <c r="PFF373" s="627" t="s">
        <v>1844</v>
      </c>
      <c r="PFG373" s="652"/>
      <c r="PFH373" s="652"/>
      <c r="PFI373" s="652"/>
      <c r="PFJ373" s="652"/>
      <c r="PFK373" s="652"/>
      <c r="PFL373" s="652"/>
      <c r="PFM373" s="652"/>
      <c r="PFN373" s="652"/>
      <c r="PFO373" s="652"/>
      <c r="PFP373" s="652"/>
      <c r="PFQ373" s="652"/>
      <c r="PFR373" s="652"/>
      <c r="PFS373" s="629">
        <v>27.33</v>
      </c>
      <c r="PFT373" s="653">
        <f>((PFT362*PFO369)+(PFT366*PFO370)+(PFT366*PFO371))/PFT363</f>
        <v>27.332989917734402</v>
      </c>
      <c r="PFU373" s="651" t="s">
        <v>1843</v>
      </c>
      <c r="PFV373" s="627" t="s">
        <v>1844</v>
      </c>
      <c r="PFW373" s="652"/>
      <c r="PFX373" s="652"/>
      <c r="PFY373" s="652"/>
      <c r="PFZ373" s="652"/>
      <c r="PGA373" s="652"/>
      <c r="PGB373" s="652"/>
      <c r="PGC373" s="652"/>
      <c r="PGD373" s="652"/>
      <c r="PGE373" s="652"/>
      <c r="PGF373" s="652"/>
      <c r="PGG373" s="652"/>
      <c r="PGH373" s="652"/>
      <c r="PGI373" s="629">
        <v>27.33</v>
      </c>
      <c r="PGJ373" s="653">
        <f>((PGJ362*PGE369)+(PGJ366*PGE370)+(PGJ366*PGE371))/PGJ363</f>
        <v>27.332989917734402</v>
      </c>
      <c r="PGK373" s="651" t="s">
        <v>1843</v>
      </c>
      <c r="PGL373" s="627" t="s">
        <v>1844</v>
      </c>
      <c r="PGM373" s="652"/>
      <c r="PGN373" s="652"/>
      <c r="PGO373" s="652"/>
      <c r="PGP373" s="652"/>
      <c r="PGQ373" s="652"/>
      <c r="PGR373" s="652"/>
      <c r="PGS373" s="652"/>
      <c r="PGT373" s="652"/>
      <c r="PGU373" s="652"/>
      <c r="PGV373" s="652"/>
      <c r="PGW373" s="652"/>
      <c r="PGX373" s="652"/>
      <c r="PGY373" s="629">
        <v>27.33</v>
      </c>
      <c r="PGZ373" s="653">
        <f>((PGZ362*PGU369)+(PGZ366*PGU370)+(PGZ366*PGU371))/PGZ363</f>
        <v>27.332989917734402</v>
      </c>
      <c r="PHA373" s="651" t="s">
        <v>1843</v>
      </c>
      <c r="PHB373" s="627" t="s">
        <v>1844</v>
      </c>
      <c r="PHC373" s="652"/>
      <c r="PHD373" s="652"/>
      <c r="PHE373" s="652"/>
      <c r="PHF373" s="652"/>
      <c r="PHG373" s="652"/>
      <c r="PHH373" s="652"/>
      <c r="PHI373" s="652"/>
      <c r="PHJ373" s="652"/>
      <c r="PHK373" s="652"/>
      <c r="PHL373" s="652"/>
      <c r="PHM373" s="652"/>
      <c r="PHN373" s="652"/>
      <c r="PHO373" s="629">
        <v>27.33</v>
      </c>
      <c r="PHP373" s="653">
        <f>((PHP362*PHK369)+(PHP366*PHK370)+(PHP366*PHK371))/PHP363</f>
        <v>27.332989917734402</v>
      </c>
      <c r="PHQ373" s="651" t="s">
        <v>1843</v>
      </c>
      <c r="PHR373" s="627" t="s">
        <v>1844</v>
      </c>
      <c r="PHS373" s="652"/>
      <c r="PHT373" s="652"/>
      <c r="PHU373" s="652"/>
      <c r="PHV373" s="652"/>
      <c r="PHW373" s="652"/>
      <c r="PHX373" s="652"/>
      <c r="PHY373" s="652"/>
      <c r="PHZ373" s="652"/>
      <c r="PIA373" s="652"/>
      <c r="PIB373" s="652"/>
      <c r="PIC373" s="652"/>
      <c r="PID373" s="652"/>
      <c r="PIE373" s="629">
        <v>27.33</v>
      </c>
      <c r="PIF373" s="653">
        <f>((PIF362*PIA369)+(PIF366*PIA370)+(PIF366*PIA371))/PIF363</f>
        <v>27.332989917734402</v>
      </c>
      <c r="PIG373" s="651" t="s">
        <v>1843</v>
      </c>
      <c r="PIH373" s="627" t="s">
        <v>1844</v>
      </c>
      <c r="PII373" s="652"/>
      <c r="PIJ373" s="652"/>
      <c r="PIK373" s="652"/>
      <c r="PIL373" s="652"/>
      <c r="PIM373" s="652"/>
      <c r="PIN373" s="652"/>
      <c r="PIO373" s="652"/>
      <c r="PIP373" s="652"/>
      <c r="PIQ373" s="652"/>
      <c r="PIR373" s="652"/>
      <c r="PIS373" s="652"/>
      <c r="PIT373" s="652"/>
      <c r="PIU373" s="629">
        <v>27.33</v>
      </c>
      <c r="PIV373" s="653">
        <f>((PIV362*PIQ369)+(PIV366*PIQ370)+(PIV366*PIQ371))/PIV363</f>
        <v>27.332989917734402</v>
      </c>
      <c r="PIW373" s="651" t="s">
        <v>1843</v>
      </c>
      <c r="PIX373" s="627" t="s">
        <v>1844</v>
      </c>
      <c r="PIY373" s="652"/>
      <c r="PIZ373" s="652"/>
      <c r="PJA373" s="652"/>
      <c r="PJB373" s="652"/>
      <c r="PJC373" s="652"/>
      <c r="PJD373" s="652"/>
      <c r="PJE373" s="652"/>
      <c r="PJF373" s="652"/>
      <c r="PJG373" s="652"/>
      <c r="PJH373" s="652"/>
      <c r="PJI373" s="652"/>
      <c r="PJJ373" s="652"/>
      <c r="PJK373" s="629">
        <v>27.33</v>
      </c>
      <c r="PJL373" s="653">
        <f>((PJL362*PJG369)+(PJL366*PJG370)+(PJL366*PJG371))/PJL363</f>
        <v>27.332989917734402</v>
      </c>
      <c r="PJM373" s="651" t="s">
        <v>1843</v>
      </c>
      <c r="PJN373" s="627" t="s">
        <v>1844</v>
      </c>
      <c r="PJO373" s="652"/>
      <c r="PJP373" s="652"/>
      <c r="PJQ373" s="652"/>
      <c r="PJR373" s="652"/>
      <c r="PJS373" s="652"/>
      <c r="PJT373" s="652"/>
      <c r="PJU373" s="652"/>
      <c r="PJV373" s="652"/>
      <c r="PJW373" s="652"/>
      <c r="PJX373" s="652"/>
      <c r="PJY373" s="652"/>
      <c r="PJZ373" s="652"/>
      <c r="PKA373" s="629">
        <v>27.33</v>
      </c>
      <c r="PKB373" s="653">
        <f>((PKB362*PJW369)+(PKB366*PJW370)+(PKB366*PJW371))/PKB363</f>
        <v>27.332989917734402</v>
      </c>
      <c r="PKC373" s="651" t="s">
        <v>1843</v>
      </c>
      <c r="PKD373" s="627" t="s">
        <v>1844</v>
      </c>
      <c r="PKE373" s="652"/>
      <c r="PKF373" s="652"/>
      <c r="PKG373" s="652"/>
      <c r="PKH373" s="652"/>
      <c r="PKI373" s="652"/>
      <c r="PKJ373" s="652"/>
      <c r="PKK373" s="652"/>
      <c r="PKL373" s="652"/>
      <c r="PKM373" s="652"/>
      <c r="PKN373" s="652"/>
      <c r="PKO373" s="652"/>
      <c r="PKP373" s="652"/>
      <c r="PKQ373" s="629">
        <v>27.33</v>
      </c>
      <c r="PKR373" s="653">
        <f>((PKR362*PKM369)+(PKR366*PKM370)+(PKR366*PKM371))/PKR363</f>
        <v>27.332989917734402</v>
      </c>
      <c r="PKS373" s="651" t="s">
        <v>1843</v>
      </c>
      <c r="PKT373" s="627" t="s">
        <v>1844</v>
      </c>
      <c r="PKU373" s="652"/>
      <c r="PKV373" s="652"/>
      <c r="PKW373" s="652"/>
      <c r="PKX373" s="652"/>
      <c r="PKY373" s="652"/>
      <c r="PKZ373" s="652"/>
      <c r="PLA373" s="652"/>
      <c r="PLB373" s="652"/>
      <c r="PLC373" s="652"/>
      <c r="PLD373" s="652"/>
      <c r="PLE373" s="652"/>
      <c r="PLF373" s="652"/>
      <c r="PLG373" s="629">
        <v>27.33</v>
      </c>
      <c r="PLH373" s="653">
        <f>((PLH362*PLC369)+(PLH366*PLC370)+(PLH366*PLC371))/PLH363</f>
        <v>27.332989917734402</v>
      </c>
      <c r="PLI373" s="651" t="s">
        <v>1843</v>
      </c>
      <c r="PLJ373" s="627" t="s">
        <v>1844</v>
      </c>
      <c r="PLK373" s="652"/>
      <c r="PLL373" s="652"/>
      <c r="PLM373" s="652"/>
      <c r="PLN373" s="652"/>
      <c r="PLO373" s="652"/>
      <c r="PLP373" s="652"/>
      <c r="PLQ373" s="652"/>
      <c r="PLR373" s="652"/>
      <c r="PLS373" s="652"/>
      <c r="PLT373" s="652"/>
      <c r="PLU373" s="652"/>
      <c r="PLV373" s="652"/>
      <c r="PLW373" s="629">
        <v>27.33</v>
      </c>
      <c r="PLX373" s="653">
        <f>((PLX362*PLS369)+(PLX366*PLS370)+(PLX366*PLS371))/PLX363</f>
        <v>27.332989917734402</v>
      </c>
      <c r="PLY373" s="651" t="s">
        <v>1843</v>
      </c>
      <c r="PLZ373" s="627" t="s">
        <v>1844</v>
      </c>
      <c r="PMA373" s="652"/>
      <c r="PMB373" s="652"/>
      <c r="PMC373" s="652"/>
      <c r="PMD373" s="652"/>
      <c r="PME373" s="652"/>
      <c r="PMF373" s="652"/>
      <c r="PMG373" s="652"/>
      <c r="PMH373" s="652"/>
      <c r="PMI373" s="652"/>
      <c r="PMJ373" s="652"/>
      <c r="PMK373" s="652"/>
      <c r="PML373" s="652"/>
      <c r="PMM373" s="629">
        <v>27.33</v>
      </c>
      <c r="PMN373" s="653">
        <f>((PMN362*PMI369)+(PMN366*PMI370)+(PMN366*PMI371))/PMN363</f>
        <v>27.332989917734402</v>
      </c>
      <c r="PMO373" s="651" t="s">
        <v>1843</v>
      </c>
      <c r="PMP373" s="627" t="s">
        <v>1844</v>
      </c>
      <c r="PMQ373" s="652"/>
      <c r="PMR373" s="652"/>
      <c r="PMS373" s="652"/>
      <c r="PMT373" s="652"/>
      <c r="PMU373" s="652"/>
      <c r="PMV373" s="652"/>
      <c r="PMW373" s="652"/>
      <c r="PMX373" s="652"/>
      <c r="PMY373" s="652"/>
      <c r="PMZ373" s="652"/>
      <c r="PNA373" s="652"/>
      <c r="PNB373" s="652"/>
      <c r="PNC373" s="629">
        <v>27.33</v>
      </c>
      <c r="PND373" s="653">
        <f>((PND362*PMY369)+(PND366*PMY370)+(PND366*PMY371))/PND363</f>
        <v>27.332989917734402</v>
      </c>
      <c r="PNE373" s="651" t="s">
        <v>1843</v>
      </c>
      <c r="PNF373" s="627" t="s">
        <v>1844</v>
      </c>
      <c r="PNG373" s="652"/>
      <c r="PNH373" s="652"/>
      <c r="PNI373" s="652"/>
      <c r="PNJ373" s="652"/>
      <c r="PNK373" s="652"/>
      <c r="PNL373" s="652"/>
      <c r="PNM373" s="652"/>
      <c r="PNN373" s="652"/>
      <c r="PNO373" s="652"/>
      <c r="PNP373" s="652"/>
      <c r="PNQ373" s="652"/>
      <c r="PNR373" s="652"/>
      <c r="PNS373" s="629">
        <v>27.33</v>
      </c>
      <c r="PNT373" s="653">
        <f>((PNT362*PNO369)+(PNT366*PNO370)+(PNT366*PNO371))/PNT363</f>
        <v>27.332989917734402</v>
      </c>
      <c r="PNU373" s="651" t="s">
        <v>1843</v>
      </c>
      <c r="PNV373" s="627" t="s">
        <v>1844</v>
      </c>
      <c r="PNW373" s="652"/>
      <c r="PNX373" s="652"/>
      <c r="PNY373" s="652"/>
      <c r="PNZ373" s="652"/>
      <c r="POA373" s="652"/>
      <c r="POB373" s="652"/>
      <c r="POC373" s="652"/>
      <c r="POD373" s="652"/>
      <c r="POE373" s="652"/>
      <c r="POF373" s="652"/>
      <c r="POG373" s="652"/>
      <c r="POH373" s="652"/>
      <c r="POI373" s="629">
        <v>27.33</v>
      </c>
      <c r="POJ373" s="653">
        <f>((POJ362*POE369)+(POJ366*POE370)+(POJ366*POE371))/POJ363</f>
        <v>27.332989917734402</v>
      </c>
      <c r="POK373" s="651" t="s">
        <v>1843</v>
      </c>
      <c r="POL373" s="627" t="s">
        <v>1844</v>
      </c>
      <c r="POM373" s="652"/>
      <c r="PON373" s="652"/>
      <c r="POO373" s="652"/>
      <c r="POP373" s="652"/>
      <c r="POQ373" s="652"/>
      <c r="POR373" s="652"/>
      <c r="POS373" s="652"/>
      <c r="POT373" s="652"/>
      <c r="POU373" s="652"/>
      <c r="POV373" s="652"/>
      <c r="POW373" s="652"/>
      <c r="POX373" s="652"/>
      <c r="POY373" s="629">
        <v>27.33</v>
      </c>
      <c r="POZ373" s="653">
        <f>((POZ362*POU369)+(POZ366*POU370)+(POZ366*POU371))/POZ363</f>
        <v>27.332989917734402</v>
      </c>
      <c r="PPA373" s="651" t="s">
        <v>1843</v>
      </c>
      <c r="PPB373" s="627" t="s">
        <v>1844</v>
      </c>
      <c r="PPC373" s="652"/>
      <c r="PPD373" s="652"/>
      <c r="PPE373" s="652"/>
      <c r="PPF373" s="652"/>
      <c r="PPG373" s="652"/>
      <c r="PPH373" s="652"/>
      <c r="PPI373" s="652"/>
      <c r="PPJ373" s="652"/>
      <c r="PPK373" s="652"/>
      <c r="PPL373" s="652"/>
      <c r="PPM373" s="652"/>
      <c r="PPN373" s="652"/>
      <c r="PPO373" s="629">
        <v>27.33</v>
      </c>
      <c r="PPP373" s="653">
        <f>((PPP362*PPK369)+(PPP366*PPK370)+(PPP366*PPK371))/PPP363</f>
        <v>27.332989917734402</v>
      </c>
      <c r="PPQ373" s="651" t="s">
        <v>1843</v>
      </c>
      <c r="PPR373" s="627" t="s">
        <v>1844</v>
      </c>
      <c r="PPS373" s="652"/>
      <c r="PPT373" s="652"/>
      <c r="PPU373" s="652"/>
      <c r="PPV373" s="652"/>
      <c r="PPW373" s="652"/>
      <c r="PPX373" s="652"/>
      <c r="PPY373" s="652"/>
      <c r="PPZ373" s="652"/>
      <c r="PQA373" s="652"/>
      <c r="PQB373" s="652"/>
      <c r="PQC373" s="652"/>
      <c r="PQD373" s="652"/>
      <c r="PQE373" s="629">
        <v>27.33</v>
      </c>
      <c r="PQF373" s="653">
        <f>((PQF362*PQA369)+(PQF366*PQA370)+(PQF366*PQA371))/PQF363</f>
        <v>27.332989917734402</v>
      </c>
      <c r="PQG373" s="651" t="s">
        <v>1843</v>
      </c>
      <c r="PQH373" s="627" t="s">
        <v>1844</v>
      </c>
      <c r="PQI373" s="652"/>
      <c r="PQJ373" s="652"/>
      <c r="PQK373" s="652"/>
      <c r="PQL373" s="652"/>
      <c r="PQM373" s="652"/>
      <c r="PQN373" s="652"/>
      <c r="PQO373" s="652"/>
      <c r="PQP373" s="652"/>
      <c r="PQQ373" s="652"/>
      <c r="PQR373" s="652"/>
      <c r="PQS373" s="652"/>
      <c r="PQT373" s="652"/>
      <c r="PQU373" s="629">
        <v>27.33</v>
      </c>
      <c r="PQV373" s="653">
        <f>((PQV362*PQQ369)+(PQV366*PQQ370)+(PQV366*PQQ371))/PQV363</f>
        <v>27.332989917734402</v>
      </c>
      <c r="PQW373" s="651" t="s">
        <v>1843</v>
      </c>
      <c r="PQX373" s="627" t="s">
        <v>1844</v>
      </c>
      <c r="PQY373" s="652"/>
      <c r="PQZ373" s="652"/>
      <c r="PRA373" s="652"/>
      <c r="PRB373" s="652"/>
      <c r="PRC373" s="652"/>
      <c r="PRD373" s="652"/>
      <c r="PRE373" s="652"/>
      <c r="PRF373" s="652"/>
      <c r="PRG373" s="652"/>
      <c r="PRH373" s="652"/>
      <c r="PRI373" s="652"/>
      <c r="PRJ373" s="652"/>
      <c r="PRK373" s="629">
        <v>27.33</v>
      </c>
      <c r="PRL373" s="653">
        <f>((PRL362*PRG369)+(PRL366*PRG370)+(PRL366*PRG371))/PRL363</f>
        <v>27.332989917734402</v>
      </c>
      <c r="PRM373" s="651" t="s">
        <v>1843</v>
      </c>
      <c r="PRN373" s="627" t="s">
        <v>1844</v>
      </c>
      <c r="PRO373" s="652"/>
      <c r="PRP373" s="652"/>
      <c r="PRQ373" s="652"/>
      <c r="PRR373" s="652"/>
      <c r="PRS373" s="652"/>
      <c r="PRT373" s="652"/>
      <c r="PRU373" s="652"/>
      <c r="PRV373" s="652"/>
      <c r="PRW373" s="652"/>
      <c r="PRX373" s="652"/>
      <c r="PRY373" s="652"/>
      <c r="PRZ373" s="652"/>
      <c r="PSA373" s="629">
        <v>27.33</v>
      </c>
      <c r="PSB373" s="653">
        <f>((PSB362*PRW369)+(PSB366*PRW370)+(PSB366*PRW371))/PSB363</f>
        <v>27.332989917734402</v>
      </c>
      <c r="PSC373" s="651" t="s">
        <v>1843</v>
      </c>
      <c r="PSD373" s="627" t="s">
        <v>1844</v>
      </c>
      <c r="PSE373" s="652"/>
      <c r="PSF373" s="652"/>
      <c r="PSG373" s="652"/>
      <c r="PSH373" s="652"/>
      <c r="PSI373" s="652"/>
      <c r="PSJ373" s="652"/>
      <c r="PSK373" s="652"/>
      <c r="PSL373" s="652"/>
      <c r="PSM373" s="652"/>
      <c r="PSN373" s="652"/>
      <c r="PSO373" s="652"/>
      <c r="PSP373" s="652"/>
      <c r="PSQ373" s="629">
        <v>27.33</v>
      </c>
      <c r="PSR373" s="653">
        <f>((PSR362*PSM369)+(PSR366*PSM370)+(PSR366*PSM371))/PSR363</f>
        <v>27.332989917734402</v>
      </c>
      <c r="PSS373" s="651" t="s">
        <v>1843</v>
      </c>
      <c r="PST373" s="627" t="s">
        <v>1844</v>
      </c>
      <c r="PSU373" s="652"/>
      <c r="PSV373" s="652"/>
      <c r="PSW373" s="652"/>
      <c r="PSX373" s="652"/>
      <c r="PSY373" s="652"/>
      <c r="PSZ373" s="652"/>
      <c r="PTA373" s="652"/>
      <c r="PTB373" s="652"/>
      <c r="PTC373" s="652"/>
      <c r="PTD373" s="652"/>
      <c r="PTE373" s="652"/>
      <c r="PTF373" s="652"/>
      <c r="PTG373" s="629">
        <v>27.33</v>
      </c>
      <c r="PTH373" s="653">
        <f>((PTH362*PTC369)+(PTH366*PTC370)+(PTH366*PTC371))/PTH363</f>
        <v>27.332989917734402</v>
      </c>
      <c r="PTI373" s="651" t="s">
        <v>1843</v>
      </c>
      <c r="PTJ373" s="627" t="s">
        <v>1844</v>
      </c>
      <c r="PTK373" s="652"/>
      <c r="PTL373" s="652"/>
      <c r="PTM373" s="652"/>
      <c r="PTN373" s="652"/>
      <c r="PTO373" s="652"/>
      <c r="PTP373" s="652"/>
      <c r="PTQ373" s="652"/>
      <c r="PTR373" s="652"/>
      <c r="PTS373" s="652"/>
      <c r="PTT373" s="652"/>
      <c r="PTU373" s="652"/>
      <c r="PTV373" s="652"/>
      <c r="PTW373" s="629">
        <v>27.33</v>
      </c>
      <c r="PTX373" s="653">
        <f>((PTX362*PTS369)+(PTX366*PTS370)+(PTX366*PTS371))/PTX363</f>
        <v>27.332989917734402</v>
      </c>
      <c r="PTY373" s="651" t="s">
        <v>1843</v>
      </c>
      <c r="PTZ373" s="627" t="s">
        <v>1844</v>
      </c>
      <c r="PUA373" s="652"/>
      <c r="PUB373" s="652"/>
      <c r="PUC373" s="652"/>
      <c r="PUD373" s="652"/>
      <c r="PUE373" s="652"/>
      <c r="PUF373" s="652"/>
      <c r="PUG373" s="652"/>
      <c r="PUH373" s="652"/>
      <c r="PUI373" s="652"/>
      <c r="PUJ373" s="652"/>
      <c r="PUK373" s="652"/>
      <c r="PUL373" s="652"/>
      <c r="PUM373" s="629">
        <v>27.33</v>
      </c>
      <c r="PUN373" s="653">
        <f>((PUN362*PUI369)+(PUN366*PUI370)+(PUN366*PUI371))/PUN363</f>
        <v>27.332989917734402</v>
      </c>
      <c r="PUO373" s="651" t="s">
        <v>1843</v>
      </c>
      <c r="PUP373" s="627" t="s">
        <v>1844</v>
      </c>
      <c r="PUQ373" s="652"/>
      <c r="PUR373" s="652"/>
      <c r="PUS373" s="652"/>
      <c r="PUT373" s="652"/>
      <c r="PUU373" s="652"/>
      <c r="PUV373" s="652"/>
      <c r="PUW373" s="652"/>
      <c r="PUX373" s="652"/>
      <c r="PUY373" s="652"/>
      <c r="PUZ373" s="652"/>
      <c r="PVA373" s="652"/>
      <c r="PVB373" s="652"/>
      <c r="PVC373" s="629">
        <v>27.33</v>
      </c>
      <c r="PVD373" s="653">
        <f>((PVD362*PUY369)+(PVD366*PUY370)+(PVD366*PUY371))/PVD363</f>
        <v>27.332989917734402</v>
      </c>
      <c r="PVE373" s="651" t="s">
        <v>1843</v>
      </c>
      <c r="PVF373" s="627" t="s">
        <v>1844</v>
      </c>
      <c r="PVG373" s="652"/>
      <c r="PVH373" s="652"/>
      <c r="PVI373" s="652"/>
      <c r="PVJ373" s="652"/>
      <c r="PVK373" s="652"/>
      <c r="PVL373" s="652"/>
      <c r="PVM373" s="652"/>
      <c r="PVN373" s="652"/>
      <c r="PVO373" s="652"/>
      <c r="PVP373" s="652"/>
      <c r="PVQ373" s="652"/>
      <c r="PVR373" s="652"/>
      <c r="PVS373" s="629">
        <v>27.33</v>
      </c>
      <c r="PVT373" s="653">
        <f>((PVT362*PVO369)+(PVT366*PVO370)+(PVT366*PVO371))/PVT363</f>
        <v>27.332989917734402</v>
      </c>
      <c r="PVU373" s="651" t="s">
        <v>1843</v>
      </c>
      <c r="PVV373" s="627" t="s">
        <v>1844</v>
      </c>
      <c r="PVW373" s="652"/>
      <c r="PVX373" s="652"/>
      <c r="PVY373" s="652"/>
      <c r="PVZ373" s="652"/>
      <c r="PWA373" s="652"/>
      <c r="PWB373" s="652"/>
      <c r="PWC373" s="652"/>
      <c r="PWD373" s="652"/>
      <c r="PWE373" s="652"/>
      <c r="PWF373" s="652"/>
      <c r="PWG373" s="652"/>
      <c r="PWH373" s="652"/>
      <c r="PWI373" s="629">
        <v>27.33</v>
      </c>
      <c r="PWJ373" s="653">
        <f>((PWJ362*PWE369)+(PWJ366*PWE370)+(PWJ366*PWE371))/PWJ363</f>
        <v>27.332989917734402</v>
      </c>
      <c r="PWK373" s="651" t="s">
        <v>1843</v>
      </c>
      <c r="PWL373" s="627" t="s">
        <v>1844</v>
      </c>
      <c r="PWM373" s="652"/>
      <c r="PWN373" s="652"/>
      <c r="PWO373" s="652"/>
      <c r="PWP373" s="652"/>
      <c r="PWQ373" s="652"/>
      <c r="PWR373" s="652"/>
      <c r="PWS373" s="652"/>
      <c r="PWT373" s="652"/>
      <c r="PWU373" s="652"/>
      <c r="PWV373" s="652"/>
      <c r="PWW373" s="652"/>
      <c r="PWX373" s="652"/>
      <c r="PWY373" s="629">
        <v>27.33</v>
      </c>
      <c r="PWZ373" s="653">
        <f>((PWZ362*PWU369)+(PWZ366*PWU370)+(PWZ366*PWU371))/PWZ363</f>
        <v>27.332989917734402</v>
      </c>
      <c r="PXA373" s="651" t="s">
        <v>1843</v>
      </c>
      <c r="PXB373" s="627" t="s">
        <v>1844</v>
      </c>
      <c r="PXC373" s="652"/>
      <c r="PXD373" s="652"/>
      <c r="PXE373" s="652"/>
      <c r="PXF373" s="652"/>
      <c r="PXG373" s="652"/>
      <c r="PXH373" s="652"/>
      <c r="PXI373" s="652"/>
      <c r="PXJ373" s="652"/>
      <c r="PXK373" s="652"/>
      <c r="PXL373" s="652"/>
      <c r="PXM373" s="652"/>
      <c r="PXN373" s="652"/>
      <c r="PXO373" s="629">
        <v>27.33</v>
      </c>
      <c r="PXP373" s="653">
        <f>((PXP362*PXK369)+(PXP366*PXK370)+(PXP366*PXK371))/PXP363</f>
        <v>27.332989917734402</v>
      </c>
      <c r="PXQ373" s="651" t="s">
        <v>1843</v>
      </c>
      <c r="PXR373" s="627" t="s">
        <v>1844</v>
      </c>
      <c r="PXS373" s="652"/>
      <c r="PXT373" s="652"/>
      <c r="PXU373" s="652"/>
      <c r="PXV373" s="652"/>
      <c r="PXW373" s="652"/>
      <c r="PXX373" s="652"/>
      <c r="PXY373" s="652"/>
      <c r="PXZ373" s="652"/>
      <c r="PYA373" s="652"/>
      <c r="PYB373" s="652"/>
      <c r="PYC373" s="652"/>
      <c r="PYD373" s="652"/>
      <c r="PYE373" s="629">
        <v>27.33</v>
      </c>
      <c r="PYF373" s="653">
        <f>((PYF362*PYA369)+(PYF366*PYA370)+(PYF366*PYA371))/PYF363</f>
        <v>27.332989917734402</v>
      </c>
      <c r="PYG373" s="651" t="s">
        <v>1843</v>
      </c>
      <c r="PYH373" s="627" t="s">
        <v>1844</v>
      </c>
      <c r="PYI373" s="652"/>
      <c r="PYJ373" s="652"/>
      <c r="PYK373" s="652"/>
      <c r="PYL373" s="652"/>
      <c r="PYM373" s="652"/>
      <c r="PYN373" s="652"/>
      <c r="PYO373" s="652"/>
      <c r="PYP373" s="652"/>
      <c r="PYQ373" s="652"/>
      <c r="PYR373" s="652"/>
      <c r="PYS373" s="652"/>
      <c r="PYT373" s="652"/>
      <c r="PYU373" s="629">
        <v>27.33</v>
      </c>
      <c r="PYV373" s="653">
        <f>((PYV362*PYQ369)+(PYV366*PYQ370)+(PYV366*PYQ371))/PYV363</f>
        <v>27.332989917734402</v>
      </c>
      <c r="PYW373" s="651" t="s">
        <v>1843</v>
      </c>
      <c r="PYX373" s="627" t="s">
        <v>1844</v>
      </c>
      <c r="PYY373" s="652"/>
      <c r="PYZ373" s="652"/>
      <c r="PZA373" s="652"/>
      <c r="PZB373" s="652"/>
      <c r="PZC373" s="652"/>
      <c r="PZD373" s="652"/>
      <c r="PZE373" s="652"/>
      <c r="PZF373" s="652"/>
      <c r="PZG373" s="652"/>
      <c r="PZH373" s="652"/>
      <c r="PZI373" s="652"/>
      <c r="PZJ373" s="652"/>
      <c r="PZK373" s="629">
        <v>27.33</v>
      </c>
      <c r="PZL373" s="653">
        <f>((PZL362*PZG369)+(PZL366*PZG370)+(PZL366*PZG371))/PZL363</f>
        <v>27.332989917734402</v>
      </c>
      <c r="PZM373" s="651" t="s">
        <v>1843</v>
      </c>
      <c r="PZN373" s="627" t="s">
        <v>1844</v>
      </c>
      <c r="PZO373" s="652"/>
      <c r="PZP373" s="652"/>
      <c r="PZQ373" s="652"/>
      <c r="PZR373" s="652"/>
      <c r="PZS373" s="652"/>
      <c r="PZT373" s="652"/>
      <c r="PZU373" s="652"/>
      <c r="PZV373" s="652"/>
      <c r="PZW373" s="652"/>
      <c r="PZX373" s="652"/>
      <c r="PZY373" s="652"/>
      <c r="PZZ373" s="652"/>
      <c r="QAA373" s="629">
        <v>27.33</v>
      </c>
      <c r="QAB373" s="653">
        <f>((QAB362*PZW369)+(QAB366*PZW370)+(QAB366*PZW371))/QAB363</f>
        <v>27.332989917734402</v>
      </c>
      <c r="QAC373" s="651" t="s">
        <v>1843</v>
      </c>
      <c r="QAD373" s="627" t="s">
        <v>1844</v>
      </c>
      <c r="QAE373" s="652"/>
      <c r="QAF373" s="652"/>
      <c r="QAG373" s="652"/>
      <c r="QAH373" s="652"/>
      <c r="QAI373" s="652"/>
      <c r="QAJ373" s="652"/>
      <c r="QAK373" s="652"/>
      <c r="QAL373" s="652"/>
      <c r="QAM373" s="652"/>
      <c r="QAN373" s="652"/>
      <c r="QAO373" s="652"/>
      <c r="QAP373" s="652"/>
      <c r="QAQ373" s="629">
        <v>27.33</v>
      </c>
      <c r="QAR373" s="653">
        <f>((QAR362*QAM369)+(QAR366*QAM370)+(QAR366*QAM371))/QAR363</f>
        <v>27.332989917734402</v>
      </c>
      <c r="QAS373" s="651" t="s">
        <v>1843</v>
      </c>
      <c r="QAT373" s="627" t="s">
        <v>1844</v>
      </c>
      <c r="QAU373" s="652"/>
      <c r="QAV373" s="652"/>
      <c r="QAW373" s="652"/>
      <c r="QAX373" s="652"/>
      <c r="QAY373" s="652"/>
      <c r="QAZ373" s="652"/>
      <c r="QBA373" s="652"/>
      <c r="QBB373" s="652"/>
      <c r="QBC373" s="652"/>
      <c r="QBD373" s="652"/>
      <c r="QBE373" s="652"/>
      <c r="QBF373" s="652"/>
      <c r="QBG373" s="629">
        <v>27.33</v>
      </c>
      <c r="QBH373" s="653">
        <f>((QBH362*QBC369)+(QBH366*QBC370)+(QBH366*QBC371))/QBH363</f>
        <v>27.332989917734402</v>
      </c>
      <c r="QBI373" s="651" t="s">
        <v>1843</v>
      </c>
      <c r="QBJ373" s="627" t="s">
        <v>1844</v>
      </c>
      <c r="QBK373" s="652"/>
      <c r="QBL373" s="652"/>
      <c r="QBM373" s="652"/>
      <c r="QBN373" s="652"/>
      <c r="QBO373" s="652"/>
      <c r="QBP373" s="652"/>
      <c r="QBQ373" s="652"/>
      <c r="QBR373" s="652"/>
      <c r="QBS373" s="652"/>
      <c r="QBT373" s="652"/>
      <c r="QBU373" s="652"/>
      <c r="QBV373" s="652"/>
      <c r="QBW373" s="629">
        <v>27.33</v>
      </c>
      <c r="QBX373" s="653">
        <f>((QBX362*QBS369)+(QBX366*QBS370)+(QBX366*QBS371))/QBX363</f>
        <v>27.332989917734402</v>
      </c>
      <c r="QBY373" s="651" t="s">
        <v>1843</v>
      </c>
      <c r="QBZ373" s="627" t="s">
        <v>1844</v>
      </c>
      <c r="QCA373" s="652"/>
      <c r="QCB373" s="652"/>
      <c r="QCC373" s="652"/>
      <c r="QCD373" s="652"/>
      <c r="QCE373" s="652"/>
      <c r="QCF373" s="652"/>
      <c r="QCG373" s="652"/>
      <c r="QCH373" s="652"/>
      <c r="QCI373" s="652"/>
      <c r="QCJ373" s="652"/>
      <c r="QCK373" s="652"/>
      <c r="QCL373" s="652"/>
      <c r="QCM373" s="629">
        <v>27.33</v>
      </c>
      <c r="QCN373" s="653">
        <f>((QCN362*QCI369)+(QCN366*QCI370)+(QCN366*QCI371))/QCN363</f>
        <v>27.332989917734402</v>
      </c>
      <c r="QCO373" s="651" t="s">
        <v>1843</v>
      </c>
      <c r="QCP373" s="627" t="s">
        <v>1844</v>
      </c>
      <c r="QCQ373" s="652"/>
      <c r="QCR373" s="652"/>
      <c r="QCS373" s="652"/>
      <c r="QCT373" s="652"/>
      <c r="QCU373" s="652"/>
      <c r="QCV373" s="652"/>
      <c r="QCW373" s="652"/>
      <c r="QCX373" s="652"/>
      <c r="QCY373" s="652"/>
      <c r="QCZ373" s="652"/>
      <c r="QDA373" s="652"/>
      <c r="QDB373" s="652"/>
      <c r="QDC373" s="629">
        <v>27.33</v>
      </c>
      <c r="QDD373" s="653">
        <f>((QDD362*QCY369)+(QDD366*QCY370)+(QDD366*QCY371))/QDD363</f>
        <v>27.332989917734402</v>
      </c>
      <c r="QDE373" s="651" t="s">
        <v>1843</v>
      </c>
      <c r="QDF373" s="627" t="s">
        <v>1844</v>
      </c>
      <c r="QDG373" s="652"/>
      <c r="QDH373" s="652"/>
      <c r="QDI373" s="652"/>
      <c r="QDJ373" s="652"/>
      <c r="QDK373" s="652"/>
      <c r="QDL373" s="652"/>
      <c r="QDM373" s="652"/>
      <c r="QDN373" s="652"/>
      <c r="QDO373" s="652"/>
      <c r="QDP373" s="652"/>
      <c r="QDQ373" s="652"/>
      <c r="QDR373" s="652"/>
      <c r="QDS373" s="629">
        <v>27.33</v>
      </c>
      <c r="QDT373" s="653">
        <f>((QDT362*QDO369)+(QDT366*QDO370)+(QDT366*QDO371))/QDT363</f>
        <v>27.332989917734402</v>
      </c>
      <c r="QDU373" s="651" t="s">
        <v>1843</v>
      </c>
      <c r="QDV373" s="627" t="s">
        <v>1844</v>
      </c>
      <c r="QDW373" s="652"/>
      <c r="QDX373" s="652"/>
      <c r="QDY373" s="652"/>
      <c r="QDZ373" s="652"/>
      <c r="QEA373" s="652"/>
      <c r="QEB373" s="652"/>
      <c r="QEC373" s="652"/>
      <c r="QED373" s="652"/>
      <c r="QEE373" s="652"/>
      <c r="QEF373" s="652"/>
      <c r="QEG373" s="652"/>
      <c r="QEH373" s="652"/>
      <c r="QEI373" s="629">
        <v>27.33</v>
      </c>
      <c r="QEJ373" s="653">
        <f>((QEJ362*QEE369)+(QEJ366*QEE370)+(QEJ366*QEE371))/QEJ363</f>
        <v>27.332989917734402</v>
      </c>
      <c r="QEK373" s="651" t="s">
        <v>1843</v>
      </c>
      <c r="QEL373" s="627" t="s">
        <v>1844</v>
      </c>
      <c r="QEM373" s="652"/>
      <c r="QEN373" s="652"/>
      <c r="QEO373" s="652"/>
      <c r="QEP373" s="652"/>
      <c r="QEQ373" s="652"/>
      <c r="QER373" s="652"/>
      <c r="QES373" s="652"/>
      <c r="QET373" s="652"/>
      <c r="QEU373" s="652"/>
      <c r="QEV373" s="652"/>
      <c r="QEW373" s="652"/>
      <c r="QEX373" s="652"/>
      <c r="QEY373" s="629">
        <v>27.33</v>
      </c>
      <c r="QEZ373" s="653">
        <f>((QEZ362*QEU369)+(QEZ366*QEU370)+(QEZ366*QEU371))/QEZ363</f>
        <v>27.332989917734402</v>
      </c>
      <c r="QFA373" s="651" t="s">
        <v>1843</v>
      </c>
      <c r="QFB373" s="627" t="s">
        <v>1844</v>
      </c>
      <c r="QFC373" s="652"/>
      <c r="QFD373" s="652"/>
      <c r="QFE373" s="652"/>
      <c r="QFF373" s="652"/>
      <c r="QFG373" s="652"/>
      <c r="QFH373" s="652"/>
      <c r="QFI373" s="652"/>
      <c r="QFJ373" s="652"/>
      <c r="QFK373" s="652"/>
      <c r="QFL373" s="652"/>
      <c r="QFM373" s="652"/>
      <c r="QFN373" s="652"/>
      <c r="QFO373" s="629">
        <v>27.33</v>
      </c>
      <c r="QFP373" s="653">
        <f>((QFP362*QFK369)+(QFP366*QFK370)+(QFP366*QFK371))/QFP363</f>
        <v>27.332989917734402</v>
      </c>
      <c r="QFQ373" s="651" t="s">
        <v>1843</v>
      </c>
      <c r="QFR373" s="627" t="s">
        <v>1844</v>
      </c>
      <c r="QFS373" s="652"/>
      <c r="QFT373" s="652"/>
      <c r="QFU373" s="652"/>
      <c r="QFV373" s="652"/>
      <c r="QFW373" s="652"/>
      <c r="QFX373" s="652"/>
      <c r="QFY373" s="652"/>
      <c r="QFZ373" s="652"/>
      <c r="QGA373" s="652"/>
      <c r="QGB373" s="652"/>
      <c r="QGC373" s="652"/>
      <c r="QGD373" s="652"/>
      <c r="QGE373" s="629">
        <v>27.33</v>
      </c>
      <c r="QGF373" s="653">
        <f>((QGF362*QGA369)+(QGF366*QGA370)+(QGF366*QGA371))/QGF363</f>
        <v>27.332989917734402</v>
      </c>
      <c r="QGG373" s="651" t="s">
        <v>1843</v>
      </c>
      <c r="QGH373" s="627" t="s">
        <v>1844</v>
      </c>
      <c r="QGI373" s="652"/>
      <c r="QGJ373" s="652"/>
      <c r="QGK373" s="652"/>
      <c r="QGL373" s="652"/>
      <c r="QGM373" s="652"/>
      <c r="QGN373" s="652"/>
      <c r="QGO373" s="652"/>
      <c r="QGP373" s="652"/>
      <c r="QGQ373" s="652"/>
      <c r="QGR373" s="652"/>
      <c r="QGS373" s="652"/>
      <c r="QGT373" s="652"/>
      <c r="QGU373" s="629">
        <v>27.33</v>
      </c>
      <c r="QGV373" s="653">
        <f>((QGV362*QGQ369)+(QGV366*QGQ370)+(QGV366*QGQ371))/QGV363</f>
        <v>27.332989917734402</v>
      </c>
      <c r="QGW373" s="651" t="s">
        <v>1843</v>
      </c>
      <c r="QGX373" s="627" t="s">
        <v>1844</v>
      </c>
      <c r="QGY373" s="652"/>
      <c r="QGZ373" s="652"/>
      <c r="QHA373" s="652"/>
      <c r="QHB373" s="652"/>
      <c r="QHC373" s="652"/>
      <c r="QHD373" s="652"/>
      <c r="QHE373" s="652"/>
      <c r="QHF373" s="652"/>
      <c r="QHG373" s="652"/>
      <c r="QHH373" s="652"/>
      <c r="QHI373" s="652"/>
      <c r="QHJ373" s="652"/>
      <c r="QHK373" s="629">
        <v>27.33</v>
      </c>
      <c r="QHL373" s="653">
        <f>((QHL362*QHG369)+(QHL366*QHG370)+(QHL366*QHG371))/QHL363</f>
        <v>27.332989917734402</v>
      </c>
      <c r="QHM373" s="651" t="s">
        <v>1843</v>
      </c>
      <c r="QHN373" s="627" t="s">
        <v>1844</v>
      </c>
      <c r="QHO373" s="652"/>
      <c r="QHP373" s="652"/>
      <c r="QHQ373" s="652"/>
      <c r="QHR373" s="652"/>
      <c r="QHS373" s="652"/>
      <c r="QHT373" s="652"/>
      <c r="QHU373" s="652"/>
      <c r="QHV373" s="652"/>
      <c r="QHW373" s="652"/>
      <c r="QHX373" s="652"/>
      <c r="QHY373" s="652"/>
      <c r="QHZ373" s="652"/>
      <c r="QIA373" s="629">
        <v>27.33</v>
      </c>
      <c r="QIB373" s="653">
        <f>((QIB362*QHW369)+(QIB366*QHW370)+(QIB366*QHW371))/QIB363</f>
        <v>27.332989917734402</v>
      </c>
      <c r="QIC373" s="651" t="s">
        <v>1843</v>
      </c>
      <c r="QID373" s="627" t="s">
        <v>1844</v>
      </c>
      <c r="QIE373" s="652"/>
      <c r="QIF373" s="652"/>
      <c r="QIG373" s="652"/>
      <c r="QIH373" s="652"/>
      <c r="QII373" s="652"/>
      <c r="QIJ373" s="652"/>
      <c r="QIK373" s="652"/>
      <c r="QIL373" s="652"/>
      <c r="QIM373" s="652"/>
      <c r="QIN373" s="652"/>
      <c r="QIO373" s="652"/>
      <c r="QIP373" s="652"/>
      <c r="QIQ373" s="629">
        <v>27.33</v>
      </c>
      <c r="QIR373" s="653">
        <f>((QIR362*QIM369)+(QIR366*QIM370)+(QIR366*QIM371))/QIR363</f>
        <v>27.332989917734402</v>
      </c>
      <c r="QIS373" s="651" t="s">
        <v>1843</v>
      </c>
      <c r="QIT373" s="627" t="s">
        <v>1844</v>
      </c>
      <c r="QIU373" s="652"/>
      <c r="QIV373" s="652"/>
      <c r="QIW373" s="652"/>
      <c r="QIX373" s="652"/>
      <c r="QIY373" s="652"/>
      <c r="QIZ373" s="652"/>
      <c r="QJA373" s="652"/>
      <c r="QJB373" s="652"/>
      <c r="QJC373" s="652"/>
      <c r="QJD373" s="652"/>
      <c r="QJE373" s="652"/>
      <c r="QJF373" s="652"/>
      <c r="QJG373" s="629">
        <v>27.33</v>
      </c>
      <c r="QJH373" s="653">
        <f>((QJH362*QJC369)+(QJH366*QJC370)+(QJH366*QJC371))/QJH363</f>
        <v>27.332989917734402</v>
      </c>
      <c r="QJI373" s="651" t="s">
        <v>1843</v>
      </c>
      <c r="QJJ373" s="627" t="s">
        <v>1844</v>
      </c>
      <c r="QJK373" s="652"/>
      <c r="QJL373" s="652"/>
      <c r="QJM373" s="652"/>
      <c r="QJN373" s="652"/>
      <c r="QJO373" s="652"/>
      <c r="QJP373" s="652"/>
      <c r="QJQ373" s="652"/>
      <c r="QJR373" s="652"/>
      <c r="QJS373" s="652"/>
      <c r="QJT373" s="652"/>
      <c r="QJU373" s="652"/>
      <c r="QJV373" s="652"/>
      <c r="QJW373" s="629">
        <v>27.33</v>
      </c>
      <c r="QJX373" s="653">
        <f>((QJX362*QJS369)+(QJX366*QJS370)+(QJX366*QJS371))/QJX363</f>
        <v>27.332989917734402</v>
      </c>
      <c r="QJY373" s="651" t="s">
        <v>1843</v>
      </c>
      <c r="QJZ373" s="627" t="s">
        <v>1844</v>
      </c>
      <c r="QKA373" s="652"/>
      <c r="QKB373" s="652"/>
      <c r="QKC373" s="652"/>
      <c r="QKD373" s="652"/>
      <c r="QKE373" s="652"/>
      <c r="QKF373" s="652"/>
      <c r="QKG373" s="652"/>
      <c r="QKH373" s="652"/>
      <c r="QKI373" s="652"/>
      <c r="QKJ373" s="652"/>
      <c r="QKK373" s="652"/>
      <c r="QKL373" s="652"/>
      <c r="QKM373" s="629">
        <v>27.33</v>
      </c>
      <c r="QKN373" s="653">
        <f>((QKN362*QKI369)+(QKN366*QKI370)+(QKN366*QKI371))/QKN363</f>
        <v>27.332989917734402</v>
      </c>
      <c r="QKO373" s="651" t="s">
        <v>1843</v>
      </c>
      <c r="QKP373" s="627" t="s">
        <v>1844</v>
      </c>
      <c r="QKQ373" s="652"/>
      <c r="QKR373" s="652"/>
      <c r="QKS373" s="652"/>
      <c r="QKT373" s="652"/>
      <c r="QKU373" s="652"/>
      <c r="QKV373" s="652"/>
      <c r="QKW373" s="652"/>
      <c r="QKX373" s="652"/>
      <c r="QKY373" s="652"/>
      <c r="QKZ373" s="652"/>
      <c r="QLA373" s="652"/>
      <c r="QLB373" s="652"/>
      <c r="QLC373" s="629">
        <v>27.33</v>
      </c>
      <c r="QLD373" s="653">
        <f>((QLD362*QKY369)+(QLD366*QKY370)+(QLD366*QKY371))/QLD363</f>
        <v>27.332989917734402</v>
      </c>
      <c r="QLE373" s="651" t="s">
        <v>1843</v>
      </c>
      <c r="QLF373" s="627" t="s">
        <v>1844</v>
      </c>
      <c r="QLG373" s="652"/>
      <c r="QLH373" s="652"/>
      <c r="QLI373" s="652"/>
      <c r="QLJ373" s="652"/>
      <c r="QLK373" s="652"/>
      <c r="QLL373" s="652"/>
      <c r="QLM373" s="652"/>
      <c r="QLN373" s="652"/>
      <c r="QLO373" s="652"/>
      <c r="QLP373" s="652"/>
      <c r="QLQ373" s="652"/>
      <c r="QLR373" s="652"/>
      <c r="QLS373" s="629">
        <v>27.33</v>
      </c>
      <c r="QLT373" s="653">
        <f>((QLT362*QLO369)+(QLT366*QLO370)+(QLT366*QLO371))/QLT363</f>
        <v>27.332989917734402</v>
      </c>
      <c r="QLU373" s="651" t="s">
        <v>1843</v>
      </c>
      <c r="QLV373" s="627" t="s">
        <v>1844</v>
      </c>
      <c r="QLW373" s="652"/>
      <c r="QLX373" s="652"/>
      <c r="QLY373" s="652"/>
      <c r="QLZ373" s="652"/>
      <c r="QMA373" s="652"/>
      <c r="QMB373" s="652"/>
      <c r="QMC373" s="652"/>
      <c r="QMD373" s="652"/>
      <c r="QME373" s="652"/>
      <c r="QMF373" s="652"/>
      <c r="QMG373" s="652"/>
      <c r="QMH373" s="652"/>
      <c r="QMI373" s="629">
        <v>27.33</v>
      </c>
      <c r="QMJ373" s="653">
        <f>((QMJ362*QME369)+(QMJ366*QME370)+(QMJ366*QME371))/QMJ363</f>
        <v>27.332989917734402</v>
      </c>
      <c r="QMK373" s="651" t="s">
        <v>1843</v>
      </c>
      <c r="QML373" s="627" t="s">
        <v>1844</v>
      </c>
      <c r="QMM373" s="652"/>
      <c r="QMN373" s="652"/>
      <c r="QMO373" s="652"/>
      <c r="QMP373" s="652"/>
      <c r="QMQ373" s="652"/>
      <c r="QMR373" s="652"/>
      <c r="QMS373" s="652"/>
      <c r="QMT373" s="652"/>
      <c r="QMU373" s="652"/>
      <c r="QMV373" s="652"/>
      <c r="QMW373" s="652"/>
      <c r="QMX373" s="652"/>
      <c r="QMY373" s="629">
        <v>27.33</v>
      </c>
      <c r="QMZ373" s="653">
        <f>((QMZ362*QMU369)+(QMZ366*QMU370)+(QMZ366*QMU371))/QMZ363</f>
        <v>27.332989917734402</v>
      </c>
      <c r="QNA373" s="651" t="s">
        <v>1843</v>
      </c>
      <c r="QNB373" s="627" t="s">
        <v>1844</v>
      </c>
      <c r="QNC373" s="652"/>
      <c r="QND373" s="652"/>
      <c r="QNE373" s="652"/>
      <c r="QNF373" s="652"/>
      <c r="QNG373" s="652"/>
      <c r="QNH373" s="652"/>
      <c r="QNI373" s="652"/>
      <c r="QNJ373" s="652"/>
      <c r="QNK373" s="652"/>
      <c r="QNL373" s="652"/>
      <c r="QNM373" s="652"/>
      <c r="QNN373" s="652"/>
      <c r="QNO373" s="629">
        <v>27.33</v>
      </c>
      <c r="QNP373" s="653">
        <f>((QNP362*QNK369)+(QNP366*QNK370)+(QNP366*QNK371))/QNP363</f>
        <v>27.332989917734402</v>
      </c>
      <c r="QNQ373" s="651" t="s">
        <v>1843</v>
      </c>
      <c r="QNR373" s="627" t="s">
        <v>1844</v>
      </c>
      <c r="QNS373" s="652"/>
      <c r="QNT373" s="652"/>
      <c r="QNU373" s="652"/>
      <c r="QNV373" s="652"/>
      <c r="QNW373" s="652"/>
      <c r="QNX373" s="652"/>
      <c r="QNY373" s="652"/>
      <c r="QNZ373" s="652"/>
      <c r="QOA373" s="652"/>
      <c r="QOB373" s="652"/>
      <c r="QOC373" s="652"/>
      <c r="QOD373" s="652"/>
      <c r="QOE373" s="629">
        <v>27.33</v>
      </c>
      <c r="QOF373" s="653">
        <f>((QOF362*QOA369)+(QOF366*QOA370)+(QOF366*QOA371))/QOF363</f>
        <v>27.332989917734402</v>
      </c>
      <c r="QOG373" s="651" t="s">
        <v>1843</v>
      </c>
      <c r="QOH373" s="627" t="s">
        <v>1844</v>
      </c>
      <c r="QOI373" s="652"/>
      <c r="QOJ373" s="652"/>
      <c r="QOK373" s="652"/>
      <c r="QOL373" s="652"/>
      <c r="QOM373" s="652"/>
      <c r="QON373" s="652"/>
      <c r="QOO373" s="652"/>
      <c r="QOP373" s="652"/>
      <c r="QOQ373" s="652"/>
      <c r="QOR373" s="652"/>
      <c r="QOS373" s="652"/>
      <c r="QOT373" s="652"/>
      <c r="QOU373" s="629">
        <v>27.33</v>
      </c>
      <c r="QOV373" s="653">
        <f>((QOV362*QOQ369)+(QOV366*QOQ370)+(QOV366*QOQ371))/QOV363</f>
        <v>27.332989917734402</v>
      </c>
      <c r="QOW373" s="651" t="s">
        <v>1843</v>
      </c>
      <c r="QOX373" s="627" t="s">
        <v>1844</v>
      </c>
      <c r="QOY373" s="652"/>
      <c r="QOZ373" s="652"/>
      <c r="QPA373" s="652"/>
      <c r="QPB373" s="652"/>
      <c r="QPC373" s="652"/>
      <c r="QPD373" s="652"/>
      <c r="QPE373" s="652"/>
      <c r="QPF373" s="652"/>
      <c r="QPG373" s="652"/>
      <c r="QPH373" s="652"/>
      <c r="QPI373" s="652"/>
      <c r="QPJ373" s="652"/>
      <c r="QPK373" s="629">
        <v>27.33</v>
      </c>
      <c r="QPL373" s="653">
        <f>((QPL362*QPG369)+(QPL366*QPG370)+(QPL366*QPG371))/QPL363</f>
        <v>27.332989917734402</v>
      </c>
      <c r="QPM373" s="651" t="s">
        <v>1843</v>
      </c>
      <c r="QPN373" s="627" t="s">
        <v>1844</v>
      </c>
      <c r="QPO373" s="652"/>
      <c r="QPP373" s="652"/>
      <c r="QPQ373" s="652"/>
      <c r="QPR373" s="652"/>
      <c r="QPS373" s="652"/>
      <c r="QPT373" s="652"/>
      <c r="QPU373" s="652"/>
      <c r="QPV373" s="652"/>
      <c r="QPW373" s="652"/>
      <c r="QPX373" s="652"/>
      <c r="QPY373" s="652"/>
      <c r="QPZ373" s="652"/>
      <c r="QQA373" s="629">
        <v>27.33</v>
      </c>
      <c r="QQB373" s="653">
        <f>((QQB362*QPW369)+(QQB366*QPW370)+(QQB366*QPW371))/QQB363</f>
        <v>27.332989917734402</v>
      </c>
      <c r="QQC373" s="651" t="s">
        <v>1843</v>
      </c>
      <c r="QQD373" s="627" t="s">
        <v>1844</v>
      </c>
      <c r="QQE373" s="652"/>
      <c r="QQF373" s="652"/>
      <c r="QQG373" s="652"/>
      <c r="QQH373" s="652"/>
      <c r="QQI373" s="652"/>
      <c r="QQJ373" s="652"/>
      <c r="QQK373" s="652"/>
      <c r="QQL373" s="652"/>
      <c r="QQM373" s="652"/>
      <c r="QQN373" s="652"/>
      <c r="QQO373" s="652"/>
      <c r="QQP373" s="652"/>
      <c r="QQQ373" s="629">
        <v>27.33</v>
      </c>
      <c r="QQR373" s="653">
        <f>((QQR362*QQM369)+(QQR366*QQM370)+(QQR366*QQM371))/QQR363</f>
        <v>27.332989917734402</v>
      </c>
      <c r="QQS373" s="651" t="s">
        <v>1843</v>
      </c>
      <c r="QQT373" s="627" t="s">
        <v>1844</v>
      </c>
      <c r="QQU373" s="652"/>
      <c r="QQV373" s="652"/>
      <c r="QQW373" s="652"/>
      <c r="QQX373" s="652"/>
      <c r="QQY373" s="652"/>
      <c r="QQZ373" s="652"/>
      <c r="QRA373" s="652"/>
      <c r="QRB373" s="652"/>
      <c r="QRC373" s="652"/>
      <c r="QRD373" s="652"/>
      <c r="QRE373" s="652"/>
      <c r="QRF373" s="652"/>
      <c r="QRG373" s="629">
        <v>27.33</v>
      </c>
      <c r="QRH373" s="653">
        <f>((QRH362*QRC369)+(QRH366*QRC370)+(QRH366*QRC371))/QRH363</f>
        <v>27.332989917734402</v>
      </c>
      <c r="QRI373" s="651" t="s">
        <v>1843</v>
      </c>
      <c r="QRJ373" s="627" t="s">
        <v>1844</v>
      </c>
      <c r="QRK373" s="652"/>
      <c r="QRL373" s="652"/>
      <c r="QRM373" s="652"/>
      <c r="QRN373" s="652"/>
      <c r="QRO373" s="652"/>
      <c r="QRP373" s="652"/>
      <c r="QRQ373" s="652"/>
      <c r="QRR373" s="652"/>
      <c r="QRS373" s="652"/>
      <c r="QRT373" s="652"/>
      <c r="QRU373" s="652"/>
      <c r="QRV373" s="652"/>
      <c r="QRW373" s="629">
        <v>27.33</v>
      </c>
      <c r="QRX373" s="653">
        <f>((QRX362*QRS369)+(QRX366*QRS370)+(QRX366*QRS371))/QRX363</f>
        <v>27.332989917734402</v>
      </c>
      <c r="QRY373" s="651" t="s">
        <v>1843</v>
      </c>
      <c r="QRZ373" s="627" t="s">
        <v>1844</v>
      </c>
      <c r="QSA373" s="652"/>
      <c r="QSB373" s="652"/>
      <c r="QSC373" s="652"/>
      <c r="QSD373" s="652"/>
      <c r="QSE373" s="652"/>
      <c r="QSF373" s="652"/>
      <c r="QSG373" s="652"/>
      <c r="QSH373" s="652"/>
      <c r="QSI373" s="652"/>
      <c r="QSJ373" s="652"/>
      <c r="QSK373" s="652"/>
      <c r="QSL373" s="652"/>
      <c r="QSM373" s="629">
        <v>27.33</v>
      </c>
      <c r="QSN373" s="653">
        <f>((QSN362*QSI369)+(QSN366*QSI370)+(QSN366*QSI371))/QSN363</f>
        <v>27.332989917734402</v>
      </c>
      <c r="QSO373" s="651" t="s">
        <v>1843</v>
      </c>
      <c r="QSP373" s="627" t="s">
        <v>1844</v>
      </c>
      <c r="QSQ373" s="652"/>
      <c r="QSR373" s="652"/>
      <c r="QSS373" s="652"/>
      <c r="QST373" s="652"/>
      <c r="QSU373" s="652"/>
      <c r="QSV373" s="652"/>
      <c r="QSW373" s="652"/>
      <c r="QSX373" s="652"/>
      <c r="QSY373" s="652"/>
      <c r="QSZ373" s="652"/>
      <c r="QTA373" s="652"/>
      <c r="QTB373" s="652"/>
      <c r="QTC373" s="629">
        <v>27.33</v>
      </c>
      <c r="QTD373" s="653">
        <f>((QTD362*QSY369)+(QTD366*QSY370)+(QTD366*QSY371))/QTD363</f>
        <v>27.332989917734402</v>
      </c>
      <c r="QTE373" s="651" t="s">
        <v>1843</v>
      </c>
      <c r="QTF373" s="627" t="s">
        <v>1844</v>
      </c>
      <c r="QTG373" s="652"/>
      <c r="QTH373" s="652"/>
      <c r="QTI373" s="652"/>
      <c r="QTJ373" s="652"/>
      <c r="QTK373" s="652"/>
      <c r="QTL373" s="652"/>
      <c r="QTM373" s="652"/>
      <c r="QTN373" s="652"/>
      <c r="QTO373" s="652"/>
      <c r="QTP373" s="652"/>
      <c r="QTQ373" s="652"/>
      <c r="QTR373" s="652"/>
      <c r="QTS373" s="629">
        <v>27.33</v>
      </c>
      <c r="QTT373" s="653">
        <f>((QTT362*QTO369)+(QTT366*QTO370)+(QTT366*QTO371))/QTT363</f>
        <v>27.332989917734402</v>
      </c>
      <c r="QTU373" s="651" t="s">
        <v>1843</v>
      </c>
      <c r="QTV373" s="627" t="s">
        <v>1844</v>
      </c>
      <c r="QTW373" s="652"/>
      <c r="QTX373" s="652"/>
      <c r="QTY373" s="652"/>
      <c r="QTZ373" s="652"/>
      <c r="QUA373" s="652"/>
      <c r="QUB373" s="652"/>
      <c r="QUC373" s="652"/>
      <c r="QUD373" s="652"/>
      <c r="QUE373" s="652"/>
      <c r="QUF373" s="652"/>
      <c r="QUG373" s="652"/>
      <c r="QUH373" s="652"/>
      <c r="QUI373" s="629">
        <v>27.33</v>
      </c>
      <c r="QUJ373" s="653">
        <f>((QUJ362*QUE369)+(QUJ366*QUE370)+(QUJ366*QUE371))/QUJ363</f>
        <v>27.332989917734402</v>
      </c>
      <c r="QUK373" s="651" t="s">
        <v>1843</v>
      </c>
      <c r="QUL373" s="627" t="s">
        <v>1844</v>
      </c>
      <c r="QUM373" s="652"/>
      <c r="QUN373" s="652"/>
      <c r="QUO373" s="652"/>
      <c r="QUP373" s="652"/>
      <c r="QUQ373" s="652"/>
      <c r="QUR373" s="652"/>
      <c r="QUS373" s="652"/>
      <c r="QUT373" s="652"/>
      <c r="QUU373" s="652"/>
      <c r="QUV373" s="652"/>
      <c r="QUW373" s="652"/>
      <c r="QUX373" s="652"/>
      <c r="QUY373" s="629">
        <v>27.33</v>
      </c>
      <c r="QUZ373" s="653">
        <f>((QUZ362*QUU369)+(QUZ366*QUU370)+(QUZ366*QUU371))/QUZ363</f>
        <v>27.332989917734402</v>
      </c>
      <c r="QVA373" s="651" t="s">
        <v>1843</v>
      </c>
      <c r="QVB373" s="627" t="s">
        <v>1844</v>
      </c>
      <c r="QVC373" s="652"/>
      <c r="QVD373" s="652"/>
      <c r="QVE373" s="652"/>
      <c r="QVF373" s="652"/>
      <c r="QVG373" s="652"/>
      <c r="QVH373" s="652"/>
      <c r="QVI373" s="652"/>
      <c r="QVJ373" s="652"/>
      <c r="QVK373" s="652"/>
      <c r="QVL373" s="652"/>
      <c r="QVM373" s="652"/>
      <c r="QVN373" s="652"/>
      <c r="QVO373" s="629">
        <v>27.33</v>
      </c>
      <c r="QVP373" s="653">
        <f>((QVP362*QVK369)+(QVP366*QVK370)+(QVP366*QVK371))/QVP363</f>
        <v>27.332989917734402</v>
      </c>
      <c r="QVQ373" s="651" t="s">
        <v>1843</v>
      </c>
      <c r="QVR373" s="627" t="s">
        <v>1844</v>
      </c>
      <c r="QVS373" s="652"/>
      <c r="QVT373" s="652"/>
      <c r="QVU373" s="652"/>
      <c r="QVV373" s="652"/>
      <c r="QVW373" s="652"/>
      <c r="QVX373" s="652"/>
      <c r="QVY373" s="652"/>
      <c r="QVZ373" s="652"/>
      <c r="QWA373" s="652"/>
      <c r="QWB373" s="652"/>
      <c r="QWC373" s="652"/>
      <c r="QWD373" s="652"/>
      <c r="QWE373" s="629">
        <v>27.33</v>
      </c>
      <c r="QWF373" s="653">
        <f>((QWF362*QWA369)+(QWF366*QWA370)+(QWF366*QWA371))/QWF363</f>
        <v>27.332989917734402</v>
      </c>
      <c r="QWG373" s="651" t="s">
        <v>1843</v>
      </c>
      <c r="QWH373" s="627" t="s">
        <v>1844</v>
      </c>
      <c r="QWI373" s="652"/>
      <c r="QWJ373" s="652"/>
      <c r="QWK373" s="652"/>
      <c r="QWL373" s="652"/>
      <c r="QWM373" s="652"/>
      <c r="QWN373" s="652"/>
      <c r="QWO373" s="652"/>
      <c r="QWP373" s="652"/>
      <c r="QWQ373" s="652"/>
      <c r="QWR373" s="652"/>
      <c r="QWS373" s="652"/>
      <c r="QWT373" s="652"/>
      <c r="QWU373" s="629">
        <v>27.33</v>
      </c>
      <c r="QWV373" s="653">
        <f>((QWV362*QWQ369)+(QWV366*QWQ370)+(QWV366*QWQ371))/QWV363</f>
        <v>27.332989917734402</v>
      </c>
      <c r="QWW373" s="651" t="s">
        <v>1843</v>
      </c>
      <c r="QWX373" s="627" t="s">
        <v>1844</v>
      </c>
      <c r="QWY373" s="652"/>
      <c r="QWZ373" s="652"/>
      <c r="QXA373" s="652"/>
      <c r="QXB373" s="652"/>
      <c r="QXC373" s="652"/>
      <c r="QXD373" s="652"/>
      <c r="QXE373" s="652"/>
      <c r="QXF373" s="652"/>
      <c r="QXG373" s="652"/>
      <c r="QXH373" s="652"/>
      <c r="QXI373" s="652"/>
      <c r="QXJ373" s="652"/>
      <c r="QXK373" s="629">
        <v>27.33</v>
      </c>
      <c r="QXL373" s="653">
        <f>((QXL362*QXG369)+(QXL366*QXG370)+(QXL366*QXG371))/QXL363</f>
        <v>27.332989917734402</v>
      </c>
      <c r="QXM373" s="651" t="s">
        <v>1843</v>
      </c>
      <c r="QXN373" s="627" t="s">
        <v>1844</v>
      </c>
      <c r="QXO373" s="652"/>
      <c r="QXP373" s="652"/>
      <c r="QXQ373" s="652"/>
      <c r="QXR373" s="652"/>
      <c r="QXS373" s="652"/>
      <c r="QXT373" s="652"/>
      <c r="QXU373" s="652"/>
      <c r="QXV373" s="652"/>
      <c r="QXW373" s="652"/>
      <c r="QXX373" s="652"/>
      <c r="QXY373" s="652"/>
      <c r="QXZ373" s="652"/>
      <c r="QYA373" s="629">
        <v>27.33</v>
      </c>
      <c r="QYB373" s="653">
        <f>((QYB362*QXW369)+(QYB366*QXW370)+(QYB366*QXW371))/QYB363</f>
        <v>27.332989917734402</v>
      </c>
      <c r="QYC373" s="651" t="s">
        <v>1843</v>
      </c>
      <c r="QYD373" s="627" t="s">
        <v>1844</v>
      </c>
      <c r="QYE373" s="652"/>
      <c r="QYF373" s="652"/>
      <c r="QYG373" s="652"/>
      <c r="QYH373" s="652"/>
      <c r="QYI373" s="652"/>
      <c r="QYJ373" s="652"/>
      <c r="QYK373" s="652"/>
      <c r="QYL373" s="652"/>
      <c r="QYM373" s="652"/>
      <c r="QYN373" s="652"/>
      <c r="QYO373" s="652"/>
      <c r="QYP373" s="652"/>
      <c r="QYQ373" s="629">
        <v>27.33</v>
      </c>
      <c r="QYR373" s="653">
        <f>((QYR362*QYM369)+(QYR366*QYM370)+(QYR366*QYM371))/QYR363</f>
        <v>27.332989917734402</v>
      </c>
      <c r="QYS373" s="651" t="s">
        <v>1843</v>
      </c>
      <c r="QYT373" s="627" t="s">
        <v>1844</v>
      </c>
      <c r="QYU373" s="652"/>
      <c r="QYV373" s="652"/>
      <c r="QYW373" s="652"/>
      <c r="QYX373" s="652"/>
      <c r="QYY373" s="652"/>
      <c r="QYZ373" s="652"/>
      <c r="QZA373" s="652"/>
      <c r="QZB373" s="652"/>
      <c r="QZC373" s="652"/>
      <c r="QZD373" s="652"/>
      <c r="QZE373" s="652"/>
      <c r="QZF373" s="652"/>
      <c r="QZG373" s="629">
        <v>27.33</v>
      </c>
      <c r="QZH373" s="653">
        <f>((QZH362*QZC369)+(QZH366*QZC370)+(QZH366*QZC371))/QZH363</f>
        <v>27.332989917734402</v>
      </c>
      <c r="QZI373" s="651" t="s">
        <v>1843</v>
      </c>
      <c r="QZJ373" s="627" t="s">
        <v>1844</v>
      </c>
      <c r="QZK373" s="652"/>
      <c r="QZL373" s="652"/>
      <c r="QZM373" s="652"/>
      <c r="QZN373" s="652"/>
      <c r="QZO373" s="652"/>
      <c r="QZP373" s="652"/>
      <c r="QZQ373" s="652"/>
      <c r="QZR373" s="652"/>
      <c r="QZS373" s="652"/>
      <c r="QZT373" s="652"/>
      <c r="QZU373" s="652"/>
      <c r="QZV373" s="652"/>
      <c r="QZW373" s="629">
        <v>27.33</v>
      </c>
      <c r="QZX373" s="653">
        <f>((QZX362*QZS369)+(QZX366*QZS370)+(QZX366*QZS371))/QZX363</f>
        <v>27.332989917734402</v>
      </c>
      <c r="QZY373" s="651" t="s">
        <v>1843</v>
      </c>
      <c r="QZZ373" s="627" t="s">
        <v>1844</v>
      </c>
      <c r="RAA373" s="652"/>
      <c r="RAB373" s="652"/>
      <c r="RAC373" s="652"/>
      <c r="RAD373" s="652"/>
      <c r="RAE373" s="652"/>
      <c r="RAF373" s="652"/>
      <c r="RAG373" s="652"/>
      <c r="RAH373" s="652"/>
      <c r="RAI373" s="652"/>
      <c r="RAJ373" s="652"/>
      <c r="RAK373" s="652"/>
      <c r="RAL373" s="652"/>
      <c r="RAM373" s="629">
        <v>27.33</v>
      </c>
      <c r="RAN373" s="653">
        <f>((RAN362*RAI369)+(RAN366*RAI370)+(RAN366*RAI371))/RAN363</f>
        <v>27.332989917734402</v>
      </c>
      <c r="RAO373" s="651" t="s">
        <v>1843</v>
      </c>
      <c r="RAP373" s="627" t="s">
        <v>1844</v>
      </c>
      <c r="RAQ373" s="652"/>
      <c r="RAR373" s="652"/>
      <c r="RAS373" s="652"/>
      <c r="RAT373" s="652"/>
      <c r="RAU373" s="652"/>
      <c r="RAV373" s="652"/>
      <c r="RAW373" s="652"/>
      <c r="RAX373" s="652"/>
      <c r="RAY373" s="652"/>
      <c r="RAZ373" s="652"/>
      <c r="RBA373" s="652"/>
      <c r="RBB373" s="652"/>
      <c r="RBC373" s="629">
        <v>27.33</v>
      </c>
      <c r="RBD373" s="653">
        <f>((RBD362*RAY369)+(RBD366*RAY370)+(RBD366*RAY371))/RBD363</f>
        <v>27.332989917734402</v>
      </c>
      <c r="RBE373" s="651" t="s">
        <v>1843</v>
      </c>
      <c r="RBF373" s="627" t="s">
        <v>1844</v>
      </c>
      <c r="RBG373" s="652"/>
      <c r="RBH373" s="652"/>
      <c r="RBI373" s="652"/>
      <c r="RBJ373" s="652"/>
      <c r="RBK373" s="652"/>
      <c r="RBL373" s="652"/>
      <c r="RBM373" s="652"/>
      <c r="RBN373" s="652"/>
      <c r="RBO373" s="652"/>
      <c r="RBP373" s="652"/>
      <c r="RBQ373" s="652"/>
      <c r="RBR373" s="652"/>
      <c r="RBS373" s="629">
        <v>27.33</v>
      </c>
      <c r="RBT373" s="653">
        <f>((RBT362*RBO369)+(RBT366*RBO370)+(RBT366*RBO371))/RBT363</f>
        <v>27.332989917734402</v>
      </c>
      <c r="RBU373" s="651" t="s">
        <v>1843</v>
      </c>
      <c r="RBV373" s="627" t="s">
        <v>1844</v>
      </c>
      <c r="RBW373" s="652"/>
      <c r="RBX373" s="652"/>
      <c r="RBY373" s="652"/>
      <c r="RBZ373" s="652"/>
      <c r="RCA373" s="652"/>
      <c r="RCB373" s="652"/>
      <c r="RCC373" s="652"/>
      <c r="RCD373" s="652"/>
      <c r="RCE373" s="652"/>
      <c r="RCF373" s="652"/>
      <c r="RCG373" s="652"/>
      <c r="RCH373" s="652"/>
      <c r="RCI373" s="629">
        <v>27.33</v>
      </c>
      <c r="RCJ373" s="653">
        <f>((RCJ362*RCE369)+(RCJ366*RCE370)+(RCJ366*RCE371))/RCJ363</f>
        <v>27.332989917734402</v>
      </c>
      <c r="RCK373" s="651" t="s">
        <v>1843</v>
      </c>
      <c r="RCL373" s="627" t="s">
        <v>1844</v>
      </c>
      <c r="RCM373" s="652"/>
      <c r="RCN373" s="652"/>
      <c r="RCO373" s="652"/>
      <c r="RCP373" s="652"/>
      <c r="RCQ373" s="652"/>
      <c r="RCR373" s="652"/>
      <c r="RCS373" s="652"/>
      <c r="RCT373" s="652"/>
      <c r="RCU373" s="652"/>
      <c r="RCV373" s="652"/>
      <c r="RCW373" s="652"/>
      <c r="RCX373" s="652"/>
      <c r="RCY373" s="629">
        <v>27.33</v>
      </c>
      <c r="RCZ373" s="653">
        <f>((RCZ362*RCU369)+(RCZ366*RCU370)+(RCZ366*RCU371))/RCZ363</f>
        <v>27.332989917734402</v>
      </c>
      <c r="RDA373" s="651" t="s">
        <v>1843</v>
      </c>
      <c r="RDB373" s="627" t="s">
        <v>1844</v>
      </c>
      <c r="RDC373" s="652"/>
      <c r="RDD373" s="652"/>
      <c r="RDE373" s="652"/>
      <c r="RDF373" s="652"/>
      <c r="RDG373" s="652"/>
      <c r="RDH373" s="652"/>
      <c r="RDI373" s="652"/>
      <c r="RDJ373" s="652"/>
      <c r="RDK373" s="652"/>
      <c r="RDL373" s="652"/>
      <c r="RDM373" s="652"/>
      <c r="RDN373" s="652"/>
      <c r="RDO373" s="629">
        <v>27.33</v>
      </c>
      <c r="RDP373" s="653">
        <f>((RDP362*RDK369)+(RDP366*RDK370)+(RDP366*RDK371))/RDP363</f>
        <v>27.332989917734402</v>
      </c>
      <c r="RDQ373" s="651" t="s">
        <v>1843</v>
      </c>
      <c r="RDR373" s="627" t="s">
        <v>1844</v>
      </c>
      <c r="RDS373" s="652"/>
      <c r="RDT373" s="652"/>
      <c r="RDU373" s="652"/>
      <c r="RDV373" s="652"/>
      <c r="RDW373" s="652"/>
      <c r="RDX373" s="652"/>
      <c r="RDY373" s="652"/>
      <c r="RDZ373" s="652"/>
      <c r="REA373" s="652"/>
      <c r="REB373" s="652"/>
      <c r="REC373" s="652"/>
      <c r="RED373" s="652"/>
      <c r="REE373" s="629">
        <v>27.33</v>
      </c>
      <c r="REF373" s="653">
        <f>((REF362*REA369)+(REF366*REA370)+(REF366*REA371))/REF363</f>
        <v>27.332989917734402</v>
      </c>
      <c r="REG373" s="651" t="s">
        <v>1843</v>
      </c>
      <c r="REH373" s="627" t="s">
        <v>1844</v>
      </c>
      <c r="REI373" s="652"/>
      <c r="REJ373" s="652"/>
      <c r="REK373" s="652"/>
      <c r="REL373" s="652"/>
      <c r="REM373" s="652"/>
      <c r="REN373" s="652"/>
      <c r="REO373" s="652"/>
      <c r="REP373" s="652"/>
      <c r="REQ373" s="652"/>
      <c r="RER373" s="652"/>
      <c r="RES373" s="652"/>
      <c r="RET373" s="652"/>
      <c r="REU373" s="629">
        <v>27.33</v>
      </c>
      <c r="REV373" s="653">
        <f>((REV362*REQ369)+(REV366*REQ370)+(REV366*REQ371))/REV363</f>
        <v>27.332989917734402</v>
      </c>
      <c r="REW373" s="651" t="s">
        <v>1843</v>
      </c>
      <c r="REX373" s="627" t="s">
        <v>1844</v>
      </c>
      <c r="REY373" s="652"/>
      <c r="REZ373" s="652"/>
      <c r="RFA373" s="652"/>
      <c r="RFB373" s="652"/>
      <c r="RFC373" s="652"/>
      <c r="RFD373" s="652"/>
      <c r="RFE373" s="652"/>
      <c r="RFF373" s="652"/>
      <c r="RFG373" s="652"/>
      <c r="RFH373" s="652"/>
      <c r="RFI373" s="652"/>
      <c r="RFJ373" s="652"/>
      <c r="RFK373" s="629">
        <v>27.33</v>
      </c>
      <c r="RFL373" s="653">
        <f>((RFL362*RFG369)+(RFL366*RFG370)+(RFL366*RFG371))/RFL363</f>
        <v>27.332989917734402</v>
      </c>
      <c r="RFM373" s="651" t="s">
        <v>1843</v>
      </c>
      <c r="RFN373" s="627" t="s">
        <v>1844</v>
      </c>
      <c r="RFO373" s="652"/>
      <c r="RFP373" s="652"/>
      <c r="RFQ373" s="652"/>
      <c r="RFR373" s="652"/>
      <c r="RFS373" s="652"/>
      <c r="RFT373" s="652"/>
      <c r="RFU373" s="652"/>
      <c r="RFV373" s="652"/>
      <c r="RFW373" s="652"/>
      <c r="RFX373" s="652"/>
      <c r="RFY373" s="652"/>
      <c r="RFZ373" s="652"/>
      <c r="RGA373" s="629">
        <v>27.33</v>
      </c>
      <c r="RGB373" s="653">
        <f>((RGB362*RFW369)+(RGB366*RFW370)+(RGB366*RFW371))/RGB363</f>
        <v>27.332989917734402</v>
      </c>
      <c r="RGC373" s="651" t="s">
        <v>1843</v>
      </c>
      <c r="RGD373" s="627" t="s">
        <v>1844</v>
      </c>
      <c r="RGE373" s="652"/>
      <c r="RGF373" s="652"/>
      <c r="RGG373" s="652"/>
      <c r="RGH373" s="652"/>
      <c r="RGI373" s="652"/>
      <c r="RGJ373" s="652"/>
      <c r="RGK373" s="652"/>
      <c r="RGL373" s="652"/>
      <c r="RGM373" s="652"/>
      <c r="RGN373" s="652"/>
      <c r="RGO373" s="652"/>
      <c r="RGP373" s="652"/>
      <c r="RGQ373" s="629">
        <v>27.33</v>
      </c>
      <c r="RGR373" s="653">
        <f>((RGR362*RGM369)+(RGR366*RGM370)+(RGR366*RGM371))/RGR363</f>
        <v>27.332989917734402</v>
      </c>
      <c r="RGS373" s="651" t="s">
        <v>1843</v>
      </c>
      <c r="RGT373" s="627" t="s">
        <v>1844</v>
      </c>
      <c r="RGU373" s="652"/>
      <c r="RGV373" s="652"/>
      <c r="RGW373" s="652"/>
      <c r="RGX373" s="652"/>
      <c r="RGY373" s="652"/>
      <c r="RGZ373" s="652"/>
      <c r="RHA373" s="652"/>
      <c r="RHB373" s="652"/>
      <c r="RHC373" s="652"/>
      <c r="RHD373" s="652"/>
      <c r="RHE373" s="652"/>
      <c r="RHF373" s="652"/>
      <c r="RHG373" s="629">
        <v>27.33</v>
      </c>
      <c r="RHH373" s="653">
        <f>((RHH362*RHC369)+(RHH366*RHC370)+(RHH366*RHC371))/RHH363</f>
        <v>27.332989917734402</v>
      </c>
      <c r="RHI373" s="651" t="s">
        <v>1843</v>
      </c>
      <c r="RHJ373" s="627" t="s">
        <v>1844</v>
      </c>
      <c r="RHK373" s="652"/>
      <c r="RHL373" s="652"/>
      <c r="RHM373" s="652"/>
      <c r="RHN373" s="652"/>
      <c r="RHO373" s="652"/>
      <c r="RHP373" s="652"/>
      <c r="RHQ373" s="652"/>
      <c r="RHR373" s="652"/>
      <c r="RHS373" s="652"/>
      <c r="RHT373" s="652"/>
      <c r="RHU373" s="652"/>
      <c r="RHV373" s="652"/>
      <c r="RHW373" s="629">
        <v>27.33</v>
      </c>
      <c r="RHX373" s="653">
        <f>((RHX362*RHS369)+(RHX366*RHS370)+(RHX366*RHS371))/RHX363</f>
        <v>27.332989917734402</v>
      </c>
      <c r="RHY373" s="651" t="s">
        <v>1843</v>
      </c>
      <c r="RHZ373" s="627" t="s">
        <v>1844</v>
      </c>
      <c r="RIA373" s="652"/>
      <c r="RIB373" s="652"/>
      <c r="RIC373" s="652"/>
      <c r="RID373" s="652"/>
      <c r="RIE373" s="652"/>
      <c r="RIF373" s="652"/>
      <c r="RIG373" s="652"/>
      <c r="RIH373" s="652"/>
      <c r="RII373" s="652"/>
      <c r="RIJ373" s="652"/>
      <c r="RIK373" s="652"/>
      <c r="RIL373" s="652"/>
      <c r="RIM373" s="629">
        <v>27.33</v>
      </c>
      <c r="RIN373" s="653">
        <f>((RIN362*RII369)+(RIN366*RII370)+(RIN366*RII371))/RIN363</f>
        <v>27.332989917734402</v>
      </c>
      <c r="RIO373" s="651" t="s">
        <v>1843</v>
      </c>
      <c r="RIP373" s="627" t="s">
        <v>1844</v>
      </c>
      <c r="RIQ373" s="652"/>
      <c r="RIR373" s="652"/>
      <c r="RIS373" s="652"/>
      <c r="RIT373" s="652"/>
      <c r="RIU373" s="652"/>
      <c r="RIV373" s="652"/>
      <c r="RIW373" s="652"/>
      <c r="RIX373" s="652"/>
      <c r="RIY373" s="652"/>
      <c r="RIZ373" s="652"/>
      <c r="RJA373" s="652"/>
      <c r="RJB373" s="652"/>
      <c r="RJC373" s="629">
        <v>27.33</v>
      </c>
      <c r="RJD373" s="653">
        <f>((RJD362*RIY369)+(RJD366*RIY370)+(RJD366*RIY371))/RJD363</f>
        <v>27.332989917734402</v>
      </c>
      <c r="RJE373" s="651" t="s">
        <v>1843</v>
      </c>
      <c r="RJF373" s="627" t="s">
        <v>1844</v>
      </c>
      <c r="RJG373" s="652"/>
      <c r="RJH373" s="652"/>
      <c r="RJI373" s="652"/>
      <c r="RJJ373" s="652"/>
      <c r="RJK373" s="652"/>
      <c r="RJL373" s="652"/>
      <c r="RJM373" s="652"/>
      <c r="RJN373" s="652"/>
      <c r="RJO373" s="652"/>
      <c r="RJP373" s="652"/>
      <c r="RJQ373" s="652"/>
      <c r="RJR373" s="652"/>
      <c r="RJS373" s="629">
        <v>27.33</v>
      </c>
      <c r="RJT373" s="653">
        <f>((RJT362*RJO369)+(RJT366*RJO370)+(RJT366*RJO371))/RJT363</f>
        <v>27.332989917734402</v>
      </c>
      <c r="RJU373" s="651" t="s">
        <v>1843</v>
      </c>
      <c r="RJV373" s="627" t="s">
        <v>1844</v>
      </c>
      <c r="RJW373" s="652"/>
      <c r="RJX373" s="652"/>
      <c r="RJY373" s="652"/>
      <c r="RJZ373" s="652"/>
      <c r="RKA373" s="652"/>
      <c r="RKB373" s="652"/>
      <c r="RKC373" s="652"/>
      <c r="RKD373" s="652"/>
      <c r="RKE373" s="652"/>
      <c r="RKF373" s="652"/>
      <c r="RKG373" s="652"/>
      <c r="RKH373" s="652"/>
      <c r="RKI373" s="629">
        <v>27.33</v>
      </c>
      <c r="RKJ373" s="653">
        <f>((RKJ362*RKE369)+(RKJ366*RKE370)+(RKJ366*RKE371))/RKJ363</f>
        <v>27.332989917734402</v>
      </c>
      <c r="RKK373" s="651" t="s">
        <v>1843</v>
      </c>
      <c r="RKL373" s="627" t="s">
        <v>1844</v>
      </c>
      <c r="RKM373" s="652"/>
      <c r="RKN373" s="652"/>
      <c r="RKO373" s="652"/>
      <c r="RKP373" s="652"/>
      <c r="RKQ373" s="652"/>
      <c r="RKR373" s="652"/>
      <c r="RKS373" s="652"/>
      <c r="RKT373" s="652"/>
      <c r="RKU373" s="652"/>
      <c r="RKV373" s="652"/>
      <c r="RKW373" s="652"/>
      <c r="RKX373" s="652"/>
      <c r="RKY373" s="629">
        <v>27.33</v>
      </c>
      <c r="RKZ373" s="653">
        <f>((RKZ362*RKU369)+(RKZ366*RKU370)+(RKZ366*RKU371))/RKZ363</f>
        <v>27.332989917734402</v>
      </c>
      <c r="RLA373" s="651" t="s">
        <v>1843</v>
      </c>
      <c r="RLB373" s="627" t="s">
        <v>1844</v>
      </c>
      <c r="RLC373" s="652"/>
      <c r="RLD373" s="652"/>
      <c r="RLE373" s="652"/>
      <c r="RLF373" s="652"/>
      <c r="RLG373" s="652"/>
      <c r="RLH373" s="652"/>
      <c r="RLI373" s="652"/>
      <c r="RLJ373" s="652"/>
      <c r="RLK373" s="652"/>
      <c r="RLL373" s="652"/>
      <c r="RLM373" s="652"/>
      <c r="RLN373" s="652"/>
      <c r="RLO373" s="629">
        <v>27.33</v>
      </c>
      <c r="RLP373" s="653">
        <f>((RLP362*RLK369)+(RLP366*RLK370)+(RLP366*RLK371))/RLP363</f>
        <v>27.332989917734402</v>
      </c>
      <c r="RLQ373" s="651" t="s">
        <v>1843</v>
      </c>
      <c r="RLR373" s="627" t="s">
        <v>1844</v>
      </c>
      <c r="RLS373" s="652"/>
      <c r="RLT373" s="652"/>
      <c r="RLU373" s="652"/>
      <c r="RLV373" s="652"/>
      <c r="RLW373" s="652"/>
      <c r="RLX373" s="652"/>
      <c r="RLY373" s="652"/>
      <c r="RLZ373" s="652"/>
      <c r="RMA373" s="652"/>
      <c r="RMB373" s="652"/>
      <c r="RMC373" s="652"/>
      <c r="RMD373" s="652"/>
      <c r="RME373" s="629">
        <v>27.33</v>
      </c>
      <c r="RMF373" s="653">
        <f>((RMF362*RMA369)+(RMF366*RMA370)+(RMF366*RMA371))/RMF363</f>
        <v>27.332989917734402</v>
      </c>
      <c r="RMG373" s="651" t="s">
        <v>1843</v>
      </c>
      <c r="RMH373" s="627" t="s">
        <v>1844</v>
      </c>
      <c r="RMI373" s="652"/>
      <c r="RMJ373" s="652"/>
      <c r="RMK373" s="652"/>
      <c r="RML373" s="652"/>
      <c r="RMM373" s="652"/>
      <c r="RMN373" s="652"/>
      <c r="RMO373" s="652"/>
      <c r="RMP373" s="652"/>
      <c r="RMQ373" s="652"/>
      <c r="RMR373" s="652"/>
      <c r="RMS373" s="652"/>
      <c r="RMT373" s="652"/>
      <c r="RMU373" s="629">
        <v>27.33</v>
      </c>
      <c r="RMV373" s="653">
        <f>((RMV362*RMQ369)+(RMV366*RMQ370)+(RMV366*RMQ371))/RMV363</f>
        <v>27.332989917734402</v>
      </c>
      <c r="RMW373" s="651" t="s">
        <v>1843</v>
      </c>
      <c r="RMX373" s="627" t="s">
        <v>1844</v>
      </c>
      <c r="RMY373" s="652"/>
      <c r="RMZ373" s="652"/>
      <c r="RNA373" s="652"/>
      <c r="RNB373" s="652"/>
      <c r="RNC373" s="652"/>
      <c r="RND373" s="652"/>
      <c r="RNE373" s="652"/>
      <c r="RNF373" s="652"/>
      <c r="RNG373" s="652"/>
      <c r="RNH373" s="652"/>
      <c r="RNI373" s="652"/>
      <c r="RNJ373" s="652"/>
      <c r="RNK373" s="629">
        <v>27.33</v>
      </c>
      <c r="RNL373" s="653">
        <f>((RNL362*RNG369)+(RNL366*RNG370)+(RNL366*RNG371))/RNL363</f>
        <v>27.332989917734402</v>
      </c>
      <c r="RNM373" s="651" t="s">
        <v>1843</v>
      </c>
      <c r="RNN373" s="627" t="s">
        <v>1844</v>
      </c>
      <c r="RNO373" s="652"/>
      <c r="RNP373" s="652"/>
      <c r="RNQ373" s="652"/>
      <c r="RNR373" s="652"/>
      <c r="RNS373" s="652"/>
      <c r="RNT373" s="652"/>
      <c r="RNU373" s="652"/>
      <c r="RNV373" s="652"/>
      <c r="RNW373" s="652"/>
      <c r="RNX373" s="652"/>
      <c r="RNY373" s="652"/>
      <c r="RNZ373" s="652"/>
      <c r="ROA373" s="629">
        <v>27.33</v>
      </c>
      <c r="ROB373" s="653">
        <f>((ROB362*RNW369)+(ROB366*RNW370)+(ROB366*RNW371))/ROB363</f>
        <v>27.332989917734402</v>
      </c>
      <c r="ROC373" s="651" t="s">
        <v>1843</v>
      </c>
      <c r="ROD373" s="627" t="s">
        <v>1844</v>
      </c>
      <c r="ROE373" s="652"/>
      <c r="ROF373" s="652"/>
      <c r="ROG373" s="652"/>
      <c r="ROH373" s="652"/>
      <c r="ROI373" s="652"/>
      <c r="ROJ373" s="652"/>
      <c r="ROK373" s="652"/>
      <c r="ROL373" s="652"/>
      <c r="ROM373" s="652"/>
      <c r="RON373" s="652"/>
      <c r="ROO373" s="652"/>
      <c r="ROP373" s="652"/>
      <c r="ROQ373" s="629">
        <v>27.33</v>
      </c>
      <c r="ROR373" s="653">
        <f>((ROR362*ROM369)+(ROR366*ROM370)+(ROR366*ROM371))/ROR363</f>
        <v>27.332989917734402</v>
      </c>
      <c r="ROS373" s="651" t="s">
        <v>1843</v>
      </c>
      <c r="ROT373" s="627" t="s">
        <v>1844</v>
      </c>
      <c r="ROU373" s="652"/>
      <c r="ROV373" s="652"/>
      <c r="ROW373" s="652"/>
      <c r="ROX373" s="652"/>
      <c r="ROY373" s="652"/>
      <c r="ROZ373" s="652"/>
      <c r="RPA373" s="652"/>
      <c r="RPB373" s="652"/>
      <c r="RPC373" s="652"/>
      <c r="RPD373" s="652"/>
      <c r="RPE373" s="652"/>
      <c r="RPF373" s="652"/>
      <c r="RPG373" s="629">
        <v>27.33</v>
      </c>
      <c r="RPH373" s="653">
        <f>((RPH362*RPC369)+(RPH366*RPC370)+(RPH366*RPC371))/RPH363</f>
        <v>27.332989917734402</v>
      </c>
      <c r="RPI373" s="651" t="s">
        <v>1843</v>
      </c>
      <c r="RPJ373" s="627" t="s">
        <v>1844</v>
      </c>
      <c r="RPK373" s="652"/>
      <c r="RPL373" s="652"/>
      <c r="RPM373" s="652"/>
      <c r="RPN373" s="652"/>
      <c r="RPO373" s="652"/>
      <c r="RPP373" s="652"/>
      <c r="RPQ373" s="652"/>
      <c r="RPR373" s="652"/>
      <c r="RPS373" s="652"/>
      <c r="RPT373" s="652"/>
      <c r="RPU373" s="652"/>
      <c r="RPV373" s="652"/>
      <c r="RPW373" s="629">
        <v>27.33</v>
      </c>
      <c r="RPX373" s="653">
        <f>((RPX362*RPS369)+(RPX366*RPS370)+(RPX366*RPS371))/RPX363</f>
        <v>27.332989917734402</v>
      </c>
      <c r="RPY373" s="651" t="s">
        <v>1843</v>
      </c>
      <c r="RPZ373" s="627" t="s">
        <v>1844</v>
      </c>
      <c r="RQA373" s="652"/>
      <c r="RQB373" s="652"/>
      <c r="RQC373" s="652"/>
      <c r="RQD373" s="652"/>
      <c r="RQE373" s="652"/>
      <c r="RQF373" s="652"/>
      <c r="RQG373" s="652"/>
      <c r="RQH373" s="652"/>
      <c r="RQI373" s="652"/>
      <c r="RQJ373" s="652"/>
      <c r="RQK373" s="652"/>
      <c r="RQL373" s="652"/>
      <c r="RQM373" s="629">
        <v>27.33</v>
      </c>
      <c r="RQN373" s="653">
        <f>((RQN362*RQI369)+(RQN366*RQI370)+(RQN366*RQI371))/RQN363</f>
        <v>27.332989917734402</v>
      </c>
      <c r="RQO373" s="651" t="s">
        <v>1843</v>
      </c>
      <c r="RQP373" s="627" t="s">
        <v>1844</v>
      </c>
      <c r="RQQ373" s="652"/>
      <c r="RQR373" s="652"/>
      <c r="RQS373" s="652"/>
      <c r="RQT373" s="652"/>
      <c r="RQU373" s="652"/>
      <c r="RQV373" s="652"/>
      <c r="RQW373" s="652"/>
      <c r="RQX373" s="652"/>
      <c r="RQY373" s="652"/>
      <c r="RQZ373" s="652"/>
      <c r="RRA373" s="652"/>
      <c r="RRB373" s="652"/>
      <c r="RRC373" s="629">
        <v>27.33</v>
      </c>
      <c r="RRD373" s="653">
        <f>((RRD362*RQY369)+(RRD366*RQY370)+(RRD366*RQY371))/RRD363</f>
        <v>27.332989917734402</v>
      </c>
      <c r="RRE373" s="651" t="s">
        <v>1843</v>
      </c>
      <c r="RRF373" s="627" t="s">
        <v>1844</v>
      </c>
      <c r="RRG373" s="652"/>
      <c r="RRH373" s="652"/>
      <c r="RRI373" s="652"/>
      <c r="RRJ373" s="652"/>
      <c r="RRK373" s="652"/>
      <c r="RRL373" s="652"/>
      <c r="RRM373" s="652"/>
      <c r="RRN373" s="652"/>
      <c r="RRO373" s="652"/>
      <c r="RRP373" s="652"/>
      <c r="RRQ373" s="652"/>
      <c r="RRR373" s="652"/>
      <c r="RRS373" s="629">
        <v>27.33</v>
      </c>
      <c r="RRT373" s="653">
        <f>((RRT362*RRO369)+(RRT366*RRO370)+(RRT366*RRO371))/RRT363</f>
        <v>27.332989917734402</v>
      </c>
      <c r="RRU373" s="651" t="s">
        <v>1843</v>
      </c>
      <c r="RRV373" s="627" t="s">
        <v>1844</v>
      </c>
      <c r="RRW373" s="652"/>
      <c r="RRX373" s="652"/>
      <c r="RRY373" s="652"/>
      <c r="RRZ373" s="652"/>
      <c r="RSA373" s="652"/>
      <c r="RSB373" s="652"/>
      <c r="RSC373" s="652"/>
      <c r="RSD373" s="652"/>
      <c r="RSE373" s="652"/>
      <c r="RSF373" s="652"/>
      <c r="RSG373" s="652"/>
      <c r="RSH373" s="652"/>
      <c r="RSI373" s="629">
        <v>27.33</v>
      </c>
      <c r="RSJ373" s="653">
        <f>((RSJ362*RSE369)+(RSJ366*RSE370)+(RSJ366*RSE371))/RSJ363</f>
        <v>27.332989917734402</v>
      </c>
      <c r="RSK373" s="651" t="s">
        <v>1843</v>
      </c>
      <c r="RSL373" s="627" t="s">
        <v>1844</v>
      </c>
      <c r="RSM373" s="652"/>
      <c r="RSN373" s="652"/>
      <c r="RSO373" s="652"/>
      <c r="RSP373" s="652"/>
      <c r="RSQ373" s="652"/>
      <c r="RSR373" s="652"/>
      <c r="RSS373" s="652"/>
      <c r="RST373" s="652"/>
      <c r="RSU373" s="652"/>
      <c r="RSV373" s="652"/>
      <c r="RSW373" s="652"/>
      <c r="RSX373" s="652"/>
      <c r="RSY373" s="629">
        <v>27.33</v>
      </c>
      <c r="RSZ373" s="653">
        <f>((RSZ362*RSU369)+(RSZ366*RSU370)+(RSZ366*RSU371))/RSZ363</f>
        <v>27.332989917734402</v>
      </c>
      <c r="RTA373" s="651" t="s">
        <v>1843</v>
      </c>
      <c r="RTB373" s="627" t="s">
        <v>1844</v>
      </c>
      <c r="RTC373" s="652"/>
      <c r="RTD373" s="652"/>
      <c r="RTE373" s="652"/>
      <c r="RTF373" s="652"/>
      <c r="RTG373" s="652"/>
      <c r="RTH373" s="652"/>
      <c r="RTI373" s="652"/>
      <c r="RTJ373" s="652"/>
      <c r="RTK373" s="652"/>
      <c r="RTL373" s="652"/>
      <c r="RTM373" s="652"/>
      <c r="RTN373" s="652"/>
      <c r="RTO373" s="629">
        <v>27.33</v>
      </c>
      <c r="RTP373" s="653">
        <f>((RTP362*RTK369)+(RTP366*RTK370)+(RTP366*RTK371))/RTP363</f>
        <v>27.332989917734402</v>
      </c>
      <c r="RTQ373" s="651" t="s">
        <v>1843</v>
      </c>
      <c r="RTR373" s="627" t="s">
        <v>1844</v>
      </c>
      <c r="RTS373" s="652"/>
      <c r="RTT373" s="652"/>
      <c r="RTU373" s="652"/>
      <c r="RTV373" s="652"/>
      <c r="RTW373" s="652"/>
      <c r="RTX373" s="652"/>
      <c r="RTY373" s="652"/>
      <c r="RTZ373" s="652"/>
      <c r="RUA373" s="652"/>
      <c r="RUB373" s="652"/>
      <c r="RUC373" s="652"/>
      <c r="RUD373" s="652"/>
      <c r="RUE373" s="629">
        <v>27.33</v>
      </c>
      <c r="RUF373" s="653">
        <f>((RUF362*RUA369)+(RUF366*RUA370)+(RUF366*RUA371))/RUF363</f>
        <v>27.332989917734402</v>
      </c>
      <c r="RUG373" s="651" t="s">
        <v>1843</v>
      </c>
      <c r="RUH373" s="627" t="s">
        <v>1844</v>
      </c>
      <c r="RUI373" s="652"/>
      <c r="RUJ373" s="652"/>
      <c r="RUK373" s="652"/>
      <c r="RUL373" s="652"/>
      <c r="RUM373" s="652"/>
      <c r="RUN373" s="652"/>
      <c r="RUO373" s="652"/>
      <c r="RUP373" s="652"/>
      <c r="RUQ373" s="652"/>
      <c r="RUR373" s="652"/>
      <c r="RUS373" s="652"/>
      <c r="RUT373" s="652"/>
      <c r="RUU373" s="629">
        <v>27.33</v>
      </c>
      <c r="RUV373" s="653">
        <f>((RUV362*RUQ369)+(RUV366*RUQ370)+(RUV366*RUQ371))/RUV363</f>
        <v>27.332989917734402</v>
      </c>
      <c r="RUW373" s="651" t="s">
        <v>1843</v>
      </c>
      <c r="RUX373" s="627" t="s">
        <v>1844</v>
      </c>
      <c r="RUY373" s="652"/>
      <c r="RUZ373" s="652"/>
      <c r="RVA373" s="652"/>
      <c r="RVB373" s="652"/>
      <c r="RVC373" s="652"/>
      <c r="RVD373" s="652"/>
      <c r="RVE373" s="652"/>
      <c r="RVF373" s="652"/>
      <c r="RVG373" s="652"/>
      <c r="RVH373" s="652"/>
      <c r="RVI373" s="652"/>
      <c r="RVJ373" s="652"/>
      <c r="RVK373" s="629">
        <v>27.33</v>
      </c>
      <c r="RVL373" s="653">
        <f>((RVL362*RVG369)+(RVL366*RVG370)+(RVL366*RVG371))/RVL363</f>
        <v>27.332989917734402</v>
      </c>
      <c r="RVM373" s="651" t="s">
        <v>1843</v>
      </c>
      <c r="RVN373" s="627" t="s">
        <v>1844</v>
      </c>
      <c r="RVO373" s="652"/>
      <c r="RVP373" s="652"/>
      <c r="RVQ373" s="652"/>
      <c r="RVR373" s="652"/>
      <c r="RVS373" s="652"/>
      <c r="RVT373" s="652"/>
      <c r="RVU373" s="652"/>
      <c r="RVV373" s="652"/>
      <c r="RVW373" s="652"/>
      <c r="RVX373" s="652"/>
      <c r="RVY373" s="652"/>
      <c r="RVZ373" s="652"/>
      <c r="RWA373" s="629">
        <v>27.33</v>
      </c>
      <c r="RWB373" s="653">
        <f>((RWB362*RVW369)+(RWB366*RVW370)+(RWB366*RVW371))/RWB363</f>
        <v>27.332989917734402</v>
      </c>
      <c r="RWC373" s="651" t="s">
        <v>1843</v>
      </c>
      <c r="RWD373" s="627" t="s">
        <v>1844</v>
      </c>
      <c r="RWE373" s="652"/>
      <c r="RWF373" s="652"/>
      <c r="RWG373" s="652"/>
      <c r="RWH373" s="652"/>
      <c r="RWI373" s="652"/>
      <c r="RWJ373" s="652"/>
      <c r="RWK373" s="652"/>
      <c r="RWL373" s="652"/>
      <c r="RWM373" s="652"/>
      <c r="RWN373" s="652"/>
      <c r="RWO373" s="652"/>
      <c r="RWP373" s="652"/>
      <c r="RWQ373" s="629">
        <v>27.33</v>
      </c>
      <c r="RWR373" s="653">
        <f>((RWR362*RWM369)+(RWR366*RWM370)+(RWR366*RWM371))/RWR363</f>
        <v>27.332989917734402</v>
      </c>
      <c r="RWS373" s="651" t="s">
        <v>1843</v>
      </c>
      <c r="RWT373" s="627" t="s">
        <v>1844</v>
      </c>
      <c r="RWU373" s="652"/>
      <c r="RWV373" s="652"/>
      <c r="RWW373" s="652"/>
      <c r="RWX373" s="652"/>
      <c r="RWY373" s="652"/>
      <c r="RWZ373" s="652"/>
      <c r="RXA373" s="652"/>
      <c r="RXB373" s="652"/>
      <c r="RXC373" s="652"/>
      <c r="RXD373" s="652"/>
      <c r="RXE373" s="652"/>
      <c r="RXF373" s="652"/>
      <c r="RXG373" s="629">
        <v>27.33</v>
      </c>
      <c r="RXH373" s="653">
        <f>((RXH362*RXC369)+(RXH366*RXC370)+(RXH366*RXC371))/RXH363</f>
        <v>27.332989917734402</v>
      </c>
      <c r="RXI373" s="651" t="s">
        <v>1843</v>
      </c>
      <c r="RXJ373" s="627" t="s">
        <v>1844</v>
      </c>
      <c r="RXK373" s="652"/>
      <c r="RXL373" s="652"/>
      <c r="RXM373" s="652"/>
      <c r="RXN373" s="652"/>
      <c r="RXO373" s="652"/>
      <c r="RXP373" s="652"/>
      <c r="RXQ373" s="652"/>
      <c r="RXR373" s="652"/>
      <c r="RXS373" s="652"/>
      <c r="RXT373" s="652"/>
      <c r="RXU373" s="652"/>
      <c r="RXV373" s="652"/>
      <c r="RXW373" s="629">
        <v>27.33</v>
      </c>
      <c r="RXX373" s="653">
        <f>((RXX362*RXS369)+(RXX366*RXS370)+(RXX366*RXS371))/RXX363</f>
        <v>27.332989917734402</v>
      </c>
      <c r="RXY373" s="651" t="s">
        <v>1843</v>
      </c>
      <c r="RXZ373" s="627" t="s">
        <v>1844</v>
      </c>
      <c r="RYA373" s="652"/>
      <c r="RYB373" s="652"/>
      <c r="RYC373" s="652"/>
      <c r="RYD373" s="652"/>
      <c r="RYE373" s="652"/>
      <c r="RYF373" s="652"/>
      <c r="RYG373" s="652"/>
      <c r="RYH373" s="652"/>
      <c r="RYI373" s="652"/>
      <c r="RYJ373" s="652"/>
      <c r="RYK373" s="652"/>
      <c r="RYL373" s="652"/>
      <c r="RYM373" s="629">
        <v>27.33</v>
      </c>
      <c r="RYN373" s="653">
        <f>((RYN362*RYI369)+(RYN366*RYI370)+(RYN366*RYI371))/RYN363</f>
        <v>27.332989917734402</v>
      </c>
      <c r="RYO373" s="651" t="s">
        <v>1843</v>
      </c>
      <c r="RYP373" s="627" t="s">
        <v>1844</v>
      </c>
      <c r="RYQ373" s="652"/>
      <c r="RYR373" s="652"/>
      <c r="RYS373" s="652"/>
      <c r="RYT373" s="652"/>
      <c r="RYU373" s="652"/>
      <c r="RYV373" s="652"/>
      <c r="RYW373" s="652"/>
      <c r="RYX373" s="652"/>
      <c r="RYY373" s="652"/>
      <c r="RYZ373" s="652"/>
      <c r="RZA373" s="652"/>
      <c r="RZB373" s="652"/>
      <c r="RZC373" s="629">
        <v>27.33</v>
      </c>
      <c r="RZD373" s="653">
        <f>((RZD362*RYY369)+(RZD366*RYY370)+(RZD366*RYY371))/RZD363</f>
        <v>27.332989917734402</v>
      </c>
      <c r="RZE373" s="651" t="s">
        <v>1843</v>
      </c>
      <c r="RZF373" s="627" t="s">
        <v>1844</v>
      </c>
      <c r="RZG373" s="652"/>
      <c r="RZH373" s="652"/>
      <c r="RZI373" s="652"/>
      <c r="RZJ373" s="652"/>
      <c r="RZK373" s="652"/>
      <c r="RZL373" s="652"/>
      <c r="RZM373" s="652"/>
      <c r="RZN373" s="652"/>
      <c r="RZO373" s="652"/>
      <c r="RZP373" s="652"/>
      <c r="RZQ373" s="652"/>
      <c r="RZR373" s="652"/>
      <c r="RZS373" s="629">
        <v>27.33</v>
      </c>
      <c r="RZT373" s="653">
        <f>((RZT362*RZO369)+(RZT366*RZO370)+(RZT366*RZO371))/RZT363</f>
        <v>27.332989917734402</v>
      </c>
      <c r="RZU373" s="651" t="s">
        <v>1843</v>
      </c>
      <c r="RZV373" s="627" t="s">
        <v>1844</v>
      </c>
      <c r="RZW373" s="652"/>
      <c r="RZX373" s="652"/>
      <c r="RZY373" s="652"/>
      <c r="RZZ373" s="652"/>
      <c r="SAA373" s="652"/>
      <c r="SAB373" s="652"/>
      <c r="SAC373" s="652"/>
      <c r="SAD373" s="652"/>
      <c r="SAE373" s="652"/>
      <c r="SAF373" s="652"/>
      <c r="SAG373" s="652"/>
      <c r="SAH373" s="652"/>
      <c r="SAI373" s="629">
        <v>27.33</v>
      </c>
      <c r="SAJ373" s="653">
        <f>((SAJ362*SAE369)+(SAJ366*SAE370)+(SAJ366*SAE371))/SAJ363</f>
        <v>27.332989917734402</v>
      </c>
      <c r="SAK373" s="651" t="s">
        <v>1843</v>
      </c>
      <c r="SAL373" s="627" t="s">
        <v>1844</v>
      </c>
      <c r="SAM373" s="652"/>
      <c r="SAN373" s="652"/>
      <c r="SAO373" s="652"/>
      <c r="SAP373" s="652"/>
      <c r="SAQ373" s="652"/>
      <c r="SAR373" s="652"/>
      <c r="SAS373" s="652"/>
      <c r="SAT373" s="652"/>
      <c r="SAU373" s="652"/>
      <c r="SAV373" s="652"/>
      <c r="SAW373" s="652"/>
      <c r="SAX373" s="652"/>
      <c r="SAY373" s="629">
        <v>27.33</v>
      </c>
      <c r="SAZ373" s="653">
        <f>((SAZ362*SAU369)+(SAZ366*SAU370)+(SAZ366*SAU371))/SAZ363</f>
        <v>27.332989917734402</v>
      </c>
      <c r="SBA373" s="651" t="s">
        <v>1843</v>
      </c>
      <c r="SBB373" s="627" t="s">
        <v>1844</v>
      </c>
      <c r="SBC373" s="652"/>
      <c r="SBD373" s="652"/>
      <c r="SBE373" s="652"/>
      <c r="SBF373" s="652"/>
      <c r="SBG373" s="652"/>
      <c r="SBH373" s="652"/>
      <c r="SBI373" s="652"/>
      <c r="SBJ373" s="652"/>
      <c r="SBK373" s="652"/>
      <c r="SBL373" s="652"/>
      <c r="SBM373" s="652"/>
      <c r="SBN373" s="652"/>
      <c r="SBO373" s="629">
        <v>27.33</v>
      </c>
      <c r="SBP373" s="653">
        <f>((SBP362*SBK369)+(SBP366*SBK370)+(SBP366*SBK371))/SBP363</f>
        <v>27.332989917734402</v>
      </c>
      <c r="SBQ373" s="651" t="s">
        <v>1843</v>
      </c>
      <c r="SBR373" s="627" t="s">
        <v>1844</v>
      </c>
      <c r="SBS373" s="652"/>
      <c r="SBT373" s="652"/>
      <c r="SBU373" s="652"/>
      <c r="SBV373" s="652"/>
      <c r="SBW373" s="652"/>
      <c r="SBX373" s="652"/>
      <c r="SBY373" s="652"/>
      <c r="SBZ373" s="652"/>
      <c r="SCA373" s="652"/>
      <c r="SCB373" s="652"/>
      <c r="SCC373" s="652"/>
      <c r="SCD373" s="652"/>
      <c r="SCE373" s="629">
        <v>27.33</v>
      </c>
      <c r="SCF373" s="653">
        <f>((SCF362*SCA369)+(SCF366*SCA370)+(SCF366*SCA371))/SCF363</f>
        <v>27.332989917734402</v>
      </c>
      <c r="SCG373" s="651" t="s">
        <v>1843</v>
      </c>
      <c r="SCH373" s="627" t="s">
        <v>1844</v>
      </c>
      <c r="SCI373" s="652"/>
      <c r="SCJ373" s="652"/>
      <c r="SCK373" s="652"/>
      <c r="SCL373" s="652"/>
      <c r="SCM373" s="652"/>
      <c r="SCN373" s="652"/>
      <c r="SCO373" s="652"/>
      <c r="SCP373" s="652"/>
      <c r="SCQ373" s="652"/>
      <c r="SCR373" s="652"/>
      <c r="SCS373" s="652"/>
      <c r="SCT373" s="652"/>
      <c r="SCU373" s="629">
        <v>27.33</v>
      </c>
      <c r="SCV373" s="653">
        <f>((SCV362*SCQ369)+(SCV366*SCQ370)+(SCV366*SCQ371))/SCV363</f>
        <v>27.332989917734402</v>
      </c>
      <c r="SCW373" s="651" t="s">
        <v>1843</v>
      </c>
      <c r="SCX373" s="627" t="s">
        <v>1844</v>
      </c>
      <c r="SCY373" s="652"/>
      <c r="SCZ373" s="652"/>
      <c r="SDA373" s="652"/>
      <c r="SDB373" s="652"/>
      <c r="SDC373" s="652"/>
      <c r="SDD373" s="652"/>
      <c r="SDE373" s="652"/>
      <c r="SDF373" s="652"/>
      <c r="SDG373" s="652"/>
      <c r="SDH373" s="652"/>
      <c r="SDI373" s="652"/>
      <c r="SDJ373" s="652"/>
      <c r="SDK373" s="629">
        <v>27.33</v>
      </c>
      <c r="SDL373" s="653">
        <f>((SDL362*SDG369)+(SDL366*SDG370)+(SDL366*SDG371))/SDL363</f>
        <v>27.332989917734402</v>
      </c>
      <c r="SDM373" s="651" t="s">
        <v>1843</v>
      </c>
      <c r="SDN373" s="627" t="s">
        <v>1844</v>
      </c>
      <c r="SDO373" s="652"/>
      <c r="SDP373" s="652"/>
      <c r="SDQ373" s="652"/>
      <c r="SDR373" s="652"/>
      <c r="SDS373" s="652"/>
      <c r="SDT373" s="652"/>
      <c r="SDU373" s="652"/>
      <c r="SDV373" s="652"/>
      <c r="SDW373" s="652"/>
      <c r="SDX373" s="652"/>
      <c r="SDY373" s="652"/>
      <c r="SDZ373" s="652"/>
      <c r="SEA373" s="629">
        <v>27.33</v>
      </c>
      <c r="SEB373" s="653">
        <f>((SEB362*SDW369)+(SEB366*SDW370)+(SEB366*SDW371))/SEB363</f>
        <v>27.332989917734402</v>
      </c>
      <c r="SEC373" s="651" t="s">
        <v>1843</v>
      </c>
      <c r="SED373" s="627" t="s">
        <v>1844</v>
      </c>
      <c r="SEE373" s="652"/>
      <c r="SEF373" s="652"/>
      <c r="SEG373" s="652"/>
      <c r="SEH373" s="652"/>
      <c r="SEI373" s="652"/>
      <c r="SEJ373" s="652"/>
      <c r="SEK373" s="652"/>
      <c r="SEL373" s="652"/>
      <c r="SEM373" s="652"/>
      <c r="SEN373" s="652"/>
      <c r="SEO373" s="652"/>
      <c r="SEP373" s="652"/>
      <c r="SEQ373" s="629">
        <v>27.33</v>
      </c>
      <c r="SER373" s="653">
        <f>((SER362*SEM369)+(SER366*SEM370)+(SER366*SEM371))/SER363</f>
        <v>27.332989917734402</v>
      </c>
      <c r="SES373" s="651" t="s">
        <v>1843</v>
      </c>
      <c r="SET373" s="627" t="s">
        <v>1844</v>
      </c>
      <c r="SEU373" s="652"/>
      <c r="SEV373" s="652"/>
      <c r="SEW373" s="652"/>
      <c r="SEX373" s="652"/>
      <c r="SEY373" s="652"/>
      <c r="SEZ373" s="652"/>
      <c r="SFA373" s="652"/>
      <c r="SFB373" s="652"/>
      <c r="SFC373" s="652"/>
      <c r="SFD373" s="652"/>
      <c r="SFE373" s="652"/>
      <c r="SFF373" s="652"/>
      <c r="SFG373" s="629">
        <v>27.33</v>
      </c>
      <c r="SFH373" s="653">
        <f>((SFH362*SFC369)+(SFH366*SFC370)+(SFH366*SFC371))/SFH363</f>
        <v>27.332989917734402</v>
      </c>
      <c r="SFI373" s="651" t="s">
        <v>1843</v>
      </c>
      <c r="SFJ373" s="627" t="s">
        <v>1844</v>
      </c>
      <c r="SFK373" s="652"/>
      <c r="SFL373" s="652"/>
      <c r="SFM373" s="652"/>
      <c r="SFN373" s="652"/>
      <c r="SFO373" s="652"/>
      <c r="SFP373" s="652"/>
      <c r="SFQ373" s="652"/>
      <c r="SFR373" s="652"/>
      <c r="SFS373" s="652"/>
      <c r="SFT373" s="652"/>
      <c r="SFU373" s="652"/>
      <c r="SFV373" s="652"/>
      <c r="SFW373" s="629">
        <v>27.33</v>
      </c>
      <c r="SFX373" s="653">
        <f>((SFX362*SFS369)+(SFX366*SFS370)+(SFX366*SFS371))/SFX363</f>
        <v>27.332989917734402</v>
      </c>
      <c r="SFY373" s="651" t="s">
        <v>1843</v>
      </c>
      <c r="SFZ373" s="627" t="s">
        <v>1844</v>
      </c>
      <c r="SGA373" s="652"/>
      <c r="SGB373" s="652"/>
      <c r="SGC373" s="652"/>
      <c r="SGD373" s="652"/>
      <c r="SGE373" s="652"/>
      <c r="SGF373" s="652"/>
      <c r="SGG373" s="652"/>
      <c r="SGH373" s="652"/>
      <c r="SGI373" s="652"/>
      <c r="SGJ373" s="652"/>
      <c r="SGK373" s="652"/>
      <c r="SGL373" s="652"/>
      <c r="SGM373" s="629">
        <v>27.33</v>
      </c>
      <c r="SGN373" s="653">
        <f>((SGN362*SGI369)+(SGN366*SGI370)+(SGN366*SGI371))/SGN363</f>
        <v>27.332989917734402</v>
      </c>
      <c r="SGO373" s="651" t="s">
        <v>1843</v>
      </c>
      <c r="SGP373" s="627" t="s">
        <v>1844</v>
      </c>
      <c r="SGQ373" s="652"/>
      <c r="SGR373" s="652"/>
      <c r="SGS373" s="652"/>
      <c r="SGT373" s="652"/>
      <c r="SGU373" s="652"/>
      <c r="SGV373" s="652"/>
      <c r="SGW373" s="652"/>
      <c r="SGX373" s="652"/>
      <c r="SGY373" s="652"/>
      <c r="SGZ373" s="652"/>
      <c r="SHA373" s="652"/>
      <c r="SHB373" s="652"/>
      <c r="SHC373" s="629">
        <v>27.33</v>
      </c>
      <c r="SHD373" s="653">
        <f>((SHD362*SGY369)+(SHD366*SGY370)+(SHD366*SGY371))/SHD363</f>
        <v>27.332989917734402</v>
      </c>
      <c r="SHE373" s="651" t="s">
        <v>1843</v>
      </c>
      <c r="SHF373" s="627" t="s">
        <v>1844</v>
      </c>
      <c r="SHG373" s="652"/>
      <c r="SHH373" s="652"/>
      <c r="SHI373" s="652"/>
      <c r="SHJ373" s="652"/>
      <c r="SHK373" s="652"/>
      <c r="SHL373" s="652"/>
      <c r="SHM373" s="652"/>
      <c r="SHN373" s="652"/>
      <c r="SHO373" s="652"/>
      <c r="SHP373" s="652"/>
      <c r="SHQ373" s="652"/>
      <c r="SHR373" s="652"/>
      <c r="SHS373" s="629">
        <v>27.33</v>
      </c>
      <c r="SHT373" s="653">
        <f>((SHT362*SHO369)+(SHT366*SHO370)+(SHT366*SHO371))/SHT363</f>
        <v>27.332989917734402</v>
      </c>
      <c r="SHU373" s="651" t="s">
        <v>1843</v>
      </c>
      <c r="SHV373" s="627" t="s">
        <v>1844</v>
      </c>
      <c r="SHW373" s="652"/>
      <c r="SHX373" s="652"/>
      <c r="SHY373" s="652"/>
      <c r="SHZ373" s="652"/>
      <c r="SIA373" s="652"/>
      <c r="SIB373" s="652"/>
      <c r="SIC373" s="652"/>
      <c r="SID373" s="652"/>
      <c r="SIE373" s="652"/>
      <c r="SIF373" s="652"/>
      <c r="SIG373" s="652"/>
      <c r="SIH373" s="652"/>
      <c r="SII373" s="629">
        <v>27.33</v>
      </c>
      <c r="SIJ373" s="653">
        <f>((SIJ362*SIE369)+(SIJ366*SIE370)+(SIJ366*SIE371))/SIJ363</f>
        <v>27.332989917734402</v>
      </c>
      <c r="SIK373" s="651" t="s">
        <v>1843</v>
      </c>
      <c r="SIL373" s="627" t="s">
        <v>1844</v>
      </c>
      <c r="SIM373" s="652"/>
      <c r="SIN373" s="652"/>
      <c r="SIO373" s="652"/>
      <c r="SIP373" s="652"/>
      <c r="SIQ373" s="652"/>
      <c r="SIR373" s="652"/>
      <c r="SIS373" s="652"/>
      <c r="SIT373" s="652"/>
      <c r="SIU373" s="652"/>
      <c r="SIV373" s="652"/>
      <c r="SIW373" s="652"/>
      <c r="SIX373" s="652"/>
      <c r="SIY373" s="629">
        <v>27.33</v>
      </c>
      <c r="SIZ373" s="653">
        <f>((SIZ362*SIU369)+(SIZ366*SIU370)+(SIZ366*SIU371))/SIZ363</f>
        <v>27.332989917734402</v>
      </c>
      <c r="SJA373" s="651" t="s">
        <v>1843</v>
      </c>
      <c r="SJB373" s="627" t="s">
        <v>1844</v>
      </c>
      <c r="SJC373" s="652"/>
      <c r="SJD373" s="652"/>
      <c r="SJE373" s="652"/>
      <c r="SJF373" s="652"/>
      <c r="SJG373" s="652"/>
      <c r="SJH373" s="652"/>
      <c r="SJI373" s="652"/>
      <c r="SJJ373" s="652"/>
      <c r="SJK373" s="652"/>
      <c r="SJL373" s="652"/>
      <c r="SJM373" s="652"/>
      <c r="SJN373" s="652"/>
      <c r="SJO373" s="629">
        <v>27.33</v>
      </c>
      <c r="SJP373" s="653">
        <f>((SJP362*SJK369)+(SJP366*SJK370)+(SJP366*SJK371))/SJP363</f>
        <v>27.332989917734402</v>
      </c>
      <c r="SJQ373" s="651" t="s">
        <v>1843</v>
      </c>
      <c r="SJR373" s="627" t="s">
        <v>1844</v>
      </c>
      <c r="SJS373" s="652"/>
      <c r="SJT373" s="652"/>
      <c r="SJU373" s="652"/>
      <c r="SJV373" s="652"/>
      <c r="SJW373" s="652"/>
      <c r="SJX373" s="652"/>
      <c r="SJY373" s="652"/>
      <c r="SJZ373" s="652"/>
      <c r="SKA373" s="652"/>
      <c r="SKB373" s="652"/>
      <c r="SKC373" s="652"/>
      <c r="SKD373" s="652"/>
      <c r="SKE373" s="629">
        <v>27.33</v>
      </c>
      <c r="SKF373" s="653">
        <f>((SKF362*SKA369)+(SKF366*SKA370)+(SKF366*SKA371))/SKF363</f>
        <v>27.332989917734402</v>
      </c>
      <c r="SKG373" s="651" t="s">
        <v>1843</v>
      </c>
      <c r="SKH373" s="627" t="s">
        <v>1844</v>
      </c>
      <c r="SKI373" s="652"/>
      <c r="SKJ373" s="652"/>
      <c r="SKK373" s="652"/>
      <c r="SKL373" s="652"/>
      <c r="SKM373" s="652"/>
      <c r="SKN373" s="652"/>
      <c r="SKO373" s="652"/>
      <c r="SKP373" s="652"/>
      <c r="SKQ373" s="652"/>
      <c r="SKR373" s="652"/>
      <c r="SKS373" s="652"/>
      <c r="SKT373" s="652"/>
      <c r="SKU373" s="629">
        <v>27.33</v>
      </c>
      <c r="SKV373" s="653">
        <f>((SKV362*SKQ369)+(SKV366*SKQ370)+(SKV366*SKQ371))/SKV363</f>
        <v>27.332989917734402</v>
      </c>
      <c r="SKW373" s="651" t="s">
        <v>1843</v>
      </c>
      <c r="SKX373" s="627" t="s">
        <v>1844</v>
      </c>
      <c r="SKY373" s="652"/>
      <c r="SKZ373" s="652"/>
      <c r="SLA373" s="652"/>
      <c r="SLB373" s="652"/>
      <c r="SLC373" s="652"/>
      <c r="SLD373" s="652"/>
      <c r="SLE373" s="652"/>
      <c r="SLF373" s="652"/>
      <c r="SLG373" s="652"/>
      <c r="SLH373" s="652"/>
      <c r="SLI373" s="652"/>
      <c r="SLJ373" s="652"/>
      <c r="SLK373" s="629">
        <v>27.33</v>
      </c>
      <c r="SLL373" s="653">
        <f>((SLL362*SLG369)+(SLL366*SLG370)+(SLL366*SLG371))/SLL363</f>
        <v>27.332989917734402</v>
      </c>
      <c r="SLM373" s="651" t="s">
        <v>1843</v>
      </c>
      <c r="SLN373" s="627" t="s">
        <v>1844</v>
      </c>
      <c r="SLO373" s="652"/>
      <c r="SLP373" s="652"/>
      <c r="SLQ373" s="652"/>
      <c r="SLR373" s="652"/>
      <c r="SLS373" s="652"/>
      <c r="SLT373" s="652"/>
      <c r="SLU373" s="652"/>
      <c r="SLV373" s="652"/>
      <c r="SLW373" s="652"/>
      <c r="SLX373" s="652"/>
      <c r="SLY373" s="652"/>
      <c r="SLZ373" s="652"/>
      <c r="SMA373" s="629">
        <v>27.33</v>
      </c>
      <c r="SMB373" s="653">
        <f>((SMB362*SLW369)+(SMB366*SLW370)+(SMB366*SLW371))/SMB363</f>
        <v>27.332989917734402</v>
      </c>
      <c r="SMC373" s="651" t="s">
        <v>1843</v>
      </c>
      <c r="SMD373" s="627" t="s">
        <v>1844</v>
      </c>
      <c r="SME373" s="652"/>
      <c r="SMF373" s="652"/>
      <c r="SMG373" s="652"/>
      <c r="SMH373" s="652"/>
      <c r="SMI373" s="652"/>
      <c r="SMJ373" s="652"/>
      <c r="SMK373" s="652"/>
      <c r="SML373" s="652"/>
      <c r="SMM373" s="652"/>
      <c r="SMN373" s="652"/>
      <c r="SMO373" s="652"/>
      <c r="SMP373" s="652"/>
      <c r="SMQ373" s="629">
        <v>27.33</v>
      </c>
      <c r="SMR373" s="653">
        <f>((SMR362*SMM369)+(SMR366*SMM370)+(SMR366*SMM371))/SMR363</f>
        <v>27.332989917734402</v>
      </c>
      <c r="SMS373" s="651" t="s">
        <v>1843</v>
      </c>
      <c r="SMT373" s="627" t="s">
        <v>1844</v>
      </c>
      <c r="SMU373" s="652"/>
      <c r="SMV373" s="652"/>
      <c r="SMW373" s="652"/>
      <c r="SMX373" s="652"/>
      <c r="SMY373" s="652"/>
      <c r="SMZ373" s="652"/>
      <c r="SNA373" s="652"/>
      <c r="SNB373" s="652"/>
      <c r="SNC373" s="652"/>
      <c r="SND373" s="652"/>
      <c r="SNE373" s="652"/>
      <c r="SNF373" s="652"/>
      <c r="SNG373" s="629">
        <v>27.33</v>
      </c>
      <c r="SNH373" s="653">
        <f>((SNH362*SNC369)+(SNH366*SNC370)+(SNH366*SNC371))/SNH363</f>
        <v>27.332989917734402</v>
      </c>
      <c r="SNI373" s="651" t="s">
        <v>1843</v>
      </c>
      <c r="SNJ373" s="627" t="s">
        <v>1844</v>
      </c>
      <c r="SNK373" s="652"/>
      <c r="SNL373" s="652"/>
      <c r="SNM373" s="652"/>
      <c r="SNN373" s="652"/>
      <c r="SNO373" s="652"/>
      <c r="SNP373" s="652"/>
      <c r="SNQ373" s="652"/>
      <c r="SNR373" s="652"/>
      <c r="SNS373" s="652"/>
      <c r="SNT373" s="652"/>
      <c r="SNU373" s="652"/>
      <c r="SNV373" s="652"/>
      <c r="SNW373" s="629">
        <v>27.33</v>
      </c>
      <c r="SNX373" s="653">
        <f>((SNX362*SNS369)+(SNX366*SNS370)+(SNX366*SNS371))/SNX363</f>
        <v>27.332989917734402</v>
      </c>
      <c r="SNY373" s="651" t="s">
        <v>1843</v>
      </c>
      <c r="SNZ373" s="627" t="s">
        <v>1844</v>
      </c>
      <c r="SOA373" s="652"/>
      <c r="SOB373" s="652"/>
      <c r="SOC373" s="652"/>
      <c r="SOD373" s="652"/>
      <c r="SOE373" s="652"/>
      <c r="SOF373" s="652"/>
      <c r="SOG373" s="652"/>
      <c r="SOH373" s="652"/>
      <c r="SOI373" s="652"/>
      <c r="SOJ373" s="652"/>
      <c r="SOK373" s="652"/>
      <c r="SOL373" s="652"/>
      <c r="SOM373" s="629">
        <v>27.33</v>
      </c>
      <c r="SON373" s="653">
        <f>((SON362*SOI369)+(SON366*SOI370)+(SON366*SOI371))/SON363</f>
        <v>27.332989917734402</v>
      </c>
      <c r="SOO373" s="651" t="s">
        <v>1843</v>
      </c>
      <c r="SOP373" s="627" t="s">
        <v>1844</v>
      </c>
      <c r="SOQ373" s="652"/>
      <c r="SOR373" s="652"/>
      <c r="SOS373" s="652"/>
      <c r="SOT373" s="652"/>
      <c r="SOU373" s="652"/>
      <c r="SOV373" s="652"/>
      <c r="SOW373" s="652"/>
      <c r="SOX373" s="652"/>
      <c r="SOY373" s="652"/>
      <c r="SOZ373" s="652"/>
      <c r="SPA373" s="652"/>
      <c r="SPB373" s="652"/>
      <c r="SPC373" s="629">
        <v>27.33</v>
      </c>
      <c r="SPD373" s="653">
        <f>((SPD362*SOY369)+(SPD366*SOY370)+(SPD366*SOY371))/SPD363</f>
        <v>27.332989917734402</v>
      </c>
      <c r="SPE373" s="651" t="s">
        <v>1843</v>
      </c>
      <c r="SPF373" s="627" t="s">
        <v>1844</v>
      </c>
      <c r="SPG373" s="652"/>
      <c r="SPH373" s="652"/>
      <c r="SPI373" s="652"/>
      <c r="SPJ373" s="652"/>
      <c r="SPK373" s="652"/>
      <c r="SPL373" s="652"/>
      <c r="SPM373" s="652"/>
      <c r="SPN373" s="652"/>
      <c r="SPO373" s="652"/>
      <c r="SPP373" s="652"/>
      <c r="SPQ373" s="652"/>
      <c r="SPR373" s="652"/>
      <c r="SPS373" s="629">
        <v>27.33</v>
      </c>
      <c r="SPT373" s="653">
        <f>((SPT362*SPO369)+(SPT366*SPO370)+(SPT366*SPO371))/SPT363</f>
        <v>27.332989917734402</v>
      </c>
      <c r="SPU373" s="651" t="s">
        <v>1843</v>
      </c>
      <c r="SPV373" s="627" t="s">
        <v>1844</v>
      </c>
      <c r="SPW373" s="652"/>
      <c r="SPX373" s="652"/>
      <c r="SPY373" s="652"/>
      <c r="SPZ373" s="652"/>
      <c r="SQA373" s="652"/>
      <c r="SQB373" s="652"/>
      <c r="SQC373" s="652"/>
      <c r="SQD373" s="652"/>
      <c r="SQE373" s="652"/>
      <c r="SQF373" s="652"/>
      <c r="SQG373" s="652"/>
      <c r="SQH373" s="652"/>
      <c r="SQI373" s="629">
        <v>27.33</v>
      </c>
      <c r="SQJ373" s="653">
        <f>((SQJ362*SQE369)+(SQJ366*SQE370)+(SQJ366*SQE371))/SQJ363</f>
        <v>27.332989917734402</v>
      </c>
      <c r="SQK373" s="651" t="s">
        <v>1843</v>
      </c>
      <c r="SQL373" s="627" t="s">
        <v>1844</v>
      </c>
      <c r="SQM373" s="652"/>
      <c r="SQN373" s="652"/>
      <c r="SQO373" s="652"/>
      <c r="SQP373" s="652"/>
      <c r="SQQ373" s="652"/>
      <c r="SQR373" s="652"/>
      <c r="SQS373" s="652"/>
      <c r="SQT373" s="652"/>
      <c r="SQU373" s="652"/>
      <c r="SQV373" s="652"/>
      <c r="SQW373" s="652"/>
      <c r="SQX373" s="652"/>
      <c r="SQY373" s="629">
        <v>27.33</v>
      </c>
      <c r="SQZ373" s="653">
        <f>((SQZ362*SQU369)+(SQZ366*SQU370)+(SQZ366*SQU371))/SQZ363</f>
        <v>27.332989917734402</v>
      </c>
      <c r="SRA373" s="651" t="s">
        <v>1843</v>
      </c>
      <c r="SRB373" s="627" t="s">
        <v>1844</v>
      </c>
      <c r="SRC373" s="652"/>
      <c r="SRD373" s="652"/>
      <c r="SRE373" s="652"/>
      <c r="SRF373" s="652"/>
      <c r="SRG373" s="652"/>
      <c r="SRH373" s="652"/>
      <c r="SRI373" s="652"/>
      <c r="SRJ373" s="652"/>
      <c r="SRK373" s="652"/>
      <c r="SRL373" s="652"/>
      <c r="SRM373" s="652"/>
      <c r="SRN373" s="652"/>
      <c r="SRO373" s="629">
        <v>27.33</v>
      </c>
      <c r="SRP373" s="653">
        <f>((SRP362*SRK369)+(SRP366*SRK370)+(SRP366*SRK371))/SRP363</f>
        <v>27.332989917734402</v>
      </c>
      <c r="SRQ373" s="651" t="s">
        <v>1843</v>
      </c>
      <c r="SRR373" s="627" t="s">
        <v>1844</v>
      </c>
      <c r="SRS373" s="652"/>
      <c r="SRT373" s="652"/>
      <c r="SRU373" s="652"/>
      <c r="SRV373" s="652"/>
      <c r="SRW373" s="652"/>
      <c r="SRX373" s="652"/>
      <c r="SRY373" s="652"/>
      <c r="SRZ373" s="652"/>
      <c r="SSA373" s="652"/>
      <c r="SSB373" s="652"/>
      <c r="SSC373" s="652"/>
      <c r="SSD373" s="652"/>
      <c r="SSE373" s="629">
        <v>27.33</v>
      </c>
      <c r="SSF373" s="653">
        <f>((SSF362*SSA369)+(SSF366*SSA370)+(SSF366*SSA371))/SSF363</f>
        <v>27.332989917734402</v>
      </c>
      <c r="SSG373" s="651" t="s">
        <v>1843</v>
      </c>
      <c r="SSH373" s="627" t="s">
        <v>1844</v>
      </c>
      <c r="SSI373" s="652"/>
      <c r="SSJ373" s="652"/>
      <c r="SSK373" s="652"/>
      <c r="SSL373" s="652"/>
      <c r="SSM373" s="652"/>
      <c r="SSN373" s="652"/>
      <c r="SSO373" s="652"/>
      <c r="SSP373" s="652"/>
      <c r="SSQ373" s="652"/>
      <c r="SSR373" s="652"/>
      <c r="SSS373" s="652"/>
      <c r="SST373" s="652"/>
      <c r="SSU373" s="629">
        <v>27.33</v>
      </c>
      <c r="SSV373" s="653">
        <f>((SSV362*SSQ369)+(SSV366*SSQ370)+(SSV366*SSQ371))/SSV363</f>
        <v>27.332989917734402</v>
      </c>
      <c r="SSW373" s="651" t="s">
        <v>1843</v>
      </c>
      <c r="SSX373" s="627" t="s">
        <v>1844</v>
      </c>
      <c r="SSY373" s="652"/>
      <c r="SSZ373" s="652"/>
      <c r="STA373" s="652"/>
      <c r="STB373" s="652"/>
      <c r="STC373" s="652"/>
      <c r="STD373" s="652"/>
      <c r="STE373" s="652"/>
      <c r="STF373" s="652"/>
      <c r="STG373" s="652"/>
      <c r="STH373" s="652"/>
      <c r="STI373" s="652"/>
      <c r="STJ373" s="652"/>
      <c r="STK373" s="629">
        <v>27.33</v>
      </c>
      <c r="STL373" s="653">
        <f>((STL362*STG369)+(STL366*STG370)+(STL366*STG371))/STL363</f>
        <v>27.332989917734402</v>
      </c>
      <c r="STM373" s="651" t="s">
        <v>1843</v>
      </c>
      <c r="STN373" s="627" t="s">
        <v>1844</v>
      </c>
      <c r="STO373" s="652"/>
      <c r="STP373" s="652"/>
      <c r="STQ373" s="652"/>
      <c r="STR373" s="652"/>
      <c r="STS373" s="652"/>
      <c r="STT373" s="652"/>
      <c r="STU373" s="652"/>
      <c r="STV373" s="652"/>
      <c r="STW373" s="652"/>
      <c r="STX373" s="652"/>
      <c r="STY373" s="652"/>
      <c r="STZ373" s="652"/>
      <c r="SUA373" s="629">
        <v>27.33</v>
      </c>
      <c r="SUB373" s="653">
        <f>((SUB362*STW369)+(SUB366*STW370)+(SUB366*STW371))/SUB363</f>
        <v>27.332989917734402</v>
      </c>
    </row>
    <row r="374" spans="1:13392" s="57" customFormat="1">
      <c r="A374" s="314"/>
      <c r="B374" s="314"/>
      <c r="C374" s="304"/>
      <c r="D374" s="304"/>
      <c r="E374" s="304"/>
      <c r="F374" s="304"/>
      <c r="G374" s="304"/>
      <c r="H374" s="304"/>
      <c r="I374" s="304"/>
      <c r="J374" s="304"/>
      <c r="K374" s="304"/>
      <c r="L374" s="304"/>
      <c r="M374" s="304"/>
      <c r="N374" s="304"/>
      <c r="O374" s="306"/>
      <c r="P374" s="56"/>
      <c r="Q374" s="56"/>
      <c r="R374" s="56"/>
      <c r="S374" s="56"/>
      <c r="T374" s="56"/>
      <c r="U374" s="56"/>
      <c r="V374" s="56"/>
    </row>
    <row r="375" spans="1:13392" s="57" customFormat="1">
      <c r="A375" s="60"/>
      <c r="B375" s="60"/>
      <c r="C375" s="56"/>
      <c r="D375" s="56"/>
      <c r="E375" s="56"/>
      <c r="F375" s="56"/>
      <c r="G375" s="56"/>
      <c r="H375" s="56"/>
      <c r="I375" s="56"/>
      <c r="J375" s="56"/>
      <c r="K375" s="56"/>
      <c r="L375" s="56"/>
      <c r="M375" s="56"/>
      <c r="N375" s="56"/>
      <c r="O375" s="56"/>
      <c r="P375" s="56"/>
      <c r="Q375" s="56"/>
      <c r="R375" s="56"/>
      <c r="S375" s="56"/>
      <c r="T375" s="56"/>
      <c r="U375" s="56"/>
    </row>
    <row r="376" spans="1:13392" s="57" customFormat="1" ht="36.75" customHeight="1">
      <c r="A376" s="2120" t="s">
        <v>1871</v>
      </c>
      <c r="B376" s="2120"/>
      <c r="C376" s="2120"/>
      <c r="D376" s="2120"/>
      <c r="E376" s="2120"/>
      <c r="F376" s="2120"/>
      <c r="G376" s="2120"/>
      <c r="H376" s="2120"/>
      <c r="I376" s="2120"/>
      <c r="J376" s="2120"/>
      <c r="K376" s="2120"/>
      <c r="L376" s="2120"/>
      <c r="M376" s="2120"/>
      <c r="N376" s="2120"/>
      <c r="O376" s="2120"/>
      <c r="P376" s="56"/>
      <c r="Q376" s="56"/>
      <c r="R376" s="56"/>
      <c r="S376" s="56"/>
      <c r="T376" s="56"/>
      <c r="U376" s="56"/>
      <c r="V376" s="56"/>
    </row>
    <row r="377" spans="1:13392" s="57" customFormat="1">
      <c r="A377" s="60"/>
      <c r="B377" s="60" t="s">
        <v>1872</v>
      </c>
      <c r="C377" s="59"/>
      <c r="D377" s="59"/>
      <c r="E377" s="59"/>
      <c r="F377" s="59"/>
      <c r="G377" s="59"/>
      <c r="H377" s="59"/>
      <c r="I377" s="59"/>
      <c r="J377" s="59"/>
      <c r="K377" s="59"/>
      <c r="L377" s="59"/>
      <c r="M377" s="59"/>
      <c r="N377" s="59"/>
      <c r="O377" s="56"/>
      <c r="P377" s="56"/>
      <c r="Q377" s="56"/>
      <c r="R377" s="56"/>
      <c r="S377" s="56"/>
      <c r="T377" s="56"/>
      <c r="U377" s="56"/>
      <c r="V377" s="56"/>
    </row>
    <row r="378" spans="1:13392" s="57" customFormat="1" ht="18">
      <c r="A378" s="2121" t="s">
        <v>90</v>
      </c>
      <c r="B378" s="913" t="s">
        <v>12</v>
      </c>
      <c r="C378" s="926">
        <f>'Fuel 2022'!E48</f>
        <v>2.6481564193656544</v>
      </c>
      <c r="D378" s="56"/>
      <c r="E378" s="56"/>
      <c r="F378" s="56"/>
      <c r="G378" s="56"/>
      <c r="H378" s="56"/>
      <c r="I378" s="56"/>
      <c r="J378" s="56"/>
      <c r="K378" s="56"/>
      <c r="L378" s="56"/>
      <c r="M378" s="56"/>
      <c r="N378" s="56"/>
      <c r="O378" s="56"/>
      <c r="P378" s="56"/>
      <c r="Q378" s="56"/>
      <c r="R378" s="56"/>
      <c r="S378" s="56"/>
      <c r="T378" s="56"/>
      <c r="U378" s="56"/>
      <c r="V378" s="56"/>
    </row>
    <row r="379" spans="1:13392" s="57" customFormat="1" ht="18">
      <c r="A379" s="2122"/>
      <c r="B379" s="927" t="s">
        <v>13</v>
      </c>
      <c r="C379" s="926">
        <f>'Fuel 2022'!F48</f>
        <v>3.5391836589202625E-3</v>
      </c>
      <c r="D379" s="58"/>
      <c r="E379" s="58"/>
      <c r="F379" s="58"/>
      <c r="G379" s="58"/>
      <c r="H379" s="58"/>
      <c r="I379" s="58"/>
      <c r="J379" s="58"/>
      <c r="K379" s="58"/>
      <c r="L379" s="58"/>
      <c r="M379" s="58"/>
      <c r="N379" s="58"/>
      <c r="O379" s="56"/>
      <c r="P379" s="56"/>
      <c r="Q379" s="56"/>
      <c r="R379" s="56"/>
      <c r="S379" s="56"/>
      <c r="T379" s="56"/>
      <c r="U379" s="56"/>
      <c r="V379" s="56"/>
    </row>
    <row r="380" spans="1:13392" s="57" customFormat="1" ht="18">
      <c r="A380" s="2123"/>
      <c r="B380" s="928" t="s">
        <v>14</v>
      </c>
      <c r="C380" s="926">
        <f>'Fuel 2022'!G48</f>
        <v>4.2187069214329527E-2</v>
      </c>
      <c r="D380" s="58"/>
      <c r="E380" s="58"/>
      <c r="F380" s="58"/>
      <c r="G380" s="58"/>
      <c r="H380" s="58"/>
      <c r="I380" s="58"/>
      <c r="J380" s="58"/>
      <c r="K380" s="58"/>
      <c r="L380" s="58"/>
      <c r="M380" s="58"/>
      <c r="N380" s="58"/>
      <c r="O380" s="56"/>
      <c r="P380" s="56"/>
      <c r="Q380" s="56"/>
      <c r="R380" s="56"/>
      <c r="S380" s="56"/>
      <c r="T380" s="56"/>
      <c r="U380" s="56"/>
      <c r="V380" s="56"/>
    </row>
    <row r="381" spans="1:13392" s="57" customFormat="1" ht="18">
      <c r="A381" s="2121" t="s">
        <v>265</v>
      </c>
      <c r="B381" s="913" t="s">
        <v>12</v>
      </c>
      <c r="C381" s="929" t="e">
        <f>electricity_2020_CO2</f>
        <v>#REF!</v>
      </c>
      <c r="D381" s="58"/>
      <c r="E381" s="58"/>
      <c r="F381" s="58"/>
      <c r="G381" s="58"/>
      <c r="H381" s="58"/>
      <c r="I381" s="58"/>
      <c r="J381" s="58"/>
      <c r="K381" s="58"/>
      <c r="L381" s="58"/>
      <c r="M381" s="58"/>
      <c r="N381" s="58"/>
      <c r="O381" s="56"/>
      <c r="P381" s="56"/>
      <c r="Q381" s="56"/>
      <c r="R381" s="56"/>
      <c r="S381" s="56"/>
      <c r="T381" s="56"/>
      <c r="U381" s="56"/>
      <c r="V381" s="56"/>
    </row>
    <row r="382" spans="1:13392" s="57" customFormat="1" ht="18">
      <c r="A382" s="2122"/>
      <c r="B382" s="927" t="s">
        <v>13</v>
      </c>
      <c r="C382" s="929" t="e">
        <f>electricity_2020_CH4</f>
        <v>#REF!</v>
      </c>
      <c r="D382" s="56"/>
      <c r="E382" s="56"/>
      <c r="F382" s="56"/>
      <c r="G382" s="56"/>
      <c r="H382" s="56"/>
      <c r="I382" s="56"/>
      <c r="J382" s="56"/>
      <c r="K382" s="56"/>
      <c r="L382" s="56"/>
      <c r="M382" s="56"/>
      <c r="N382" s="56"/>
      <c r="O382" s="56"/>
      <c r="P382" s="56"/>
      <c r="Q382" s="56"/>
      <c r="R382" s="56"/>
      <c r="S382" s="56"/>
      <c r="T382" s="56"/>
      <c r="U382" s="56"/>
      <c r="V382" s="56"/>
    </row>
    <row r="383" spans="1:13392" s="57" customFormat="1" ht="18">
      <c r="A383" s="2123"/>
      <c r="B383" s="928" t="s">
        <v>14</v>
      </c>
      <c r="C383" s="929" t="e">
        <f>electricity_2020_N2O</f>
        <v>#REF!</v>
      </c>
      <c r="D383" s="58"/>
      <c r="E383" s="58"/>
      <c r="F383" s="58"/>
      <c r="G383" s="58"/>
      <c r="H383" s="58"/>
      <c r="I383" s="58"/>
      <c r="J383" s="58"/>
      <c r="K383" s="58"/>
      <c r="L383" s="58"/>
      <c r="M383" s="58"/>
      <c r="N383" s="58"/>
      <c r="O383" s="56"/>
      <c r="P383" s="56"/>
      <c r="Q383" s="56"/>
      <c r="R383" s="56"/>
      <c r="S383" s="56"/>
      <c r="T383" s="56"/>
      <c r="U383" s="56"/>
      <c r="V383" s="56"/>
    </row>
    <row r="384" spans="1:13392" s="57" customFormat="1" ht="20.25" customHeight="1">
      <c r="A384" s="2121" t="s">
        <v>1842</v>
      </c>
      <c r="B384" s="913" t="s">
        <v>12</v>
      </c>
      <c r="C384" s="930">
        <f>'T&amp;D losses 2022'!F20</f>
        <v>7.1925000000000001E-3</v>
      </c>
      <c r="D384" s="58"/>
      <c r="E384" s="58"/>
      <c r="F384" s="58"/>
      <c r="G384" s="58"/>
      <c r="H384" s="58"/>
      <c r="I384" s="58"/>
      <c r="J384" s="58"/>
      <c r="K384" s="58"/>
      <c r="L384" s="58"/>
      <c r="M384" s="58"/>
      <c r="N384" s="58"/>
      <c r="O384" s="56"/>
      <c r="P384" s="56"/>
      <c r="Q384" s="56"/>
      <c r="R384" s="56"/>
      <c r="S384" s="56"/>
      <c r="T384" s="56"/>
      <c r="U384" s="56"/>
      <c r="V384" s="56"/>
    </row>
    <row r="385" spans="1:22" s="57" customFormat="1" ht="18">
      <c r="A385" s="2122"/>
      <c r="B385" s="927" t="s">
        <v>13</v>
      </c>
      <c r="C385" s="931">
        <f>'T&amp;D losses 2022'!G20</f>
        <v>3.0229999999999998E-4</v>
      </c>
      <c r="D385" s="58"/>
      <c r="E385" s="58"/>
      <c r="F385" s="58"/>
      <c r="G385" s="58"/>
      <c r="H385" s="58"/>
      <c r="I385" s="58"/>
      <c r="J385" s="58"/>
      <c r="K385" s="58"/>
      <c r="L385" s="58"/>
      <c r="M385" s="58"/>
      <c r="N385" s="58"/>
      <c r="O385" s="56"/>
      <c r="P385" s="56"/>
      <c r="Q385" s="56"/>
      <c r="R385" s="56"/>
      <c r="S385" s="56"/>
      <c r="T385" s="56"/>
      <c r="U385" s="56"/>
      <c r="V385" s="56"/>
    </row>
    <row r="386" spans="1:22" s="57" customFormat="1" ht="18">
      <c r="A386" s="2122"/>
      <c r="B386" s="928" t="s">
        <v>14</v>
      </c>
      <c r="C386" s="931">
        <f>'T&amp;D losses 2022'!H20</f>
        <v>6.8000000000000001E-6</v>
      </c>
      <c r="D386" s="56"/>
      <c r="E386" s="56"/>
      <c r="F386" s="56"/>
      <c r="G386" s="56"/>
      <c r="H386" s="56"/>
      <c r="I386" s="56"/>
      <c r="J386" s="56"/>
      <c r="K386" s="56"/>
      <c r="L386" s="56"/>
      <c r="M386" s="56"/>
      <c r="N386" s="56"/>
      <c r="O386" s="56"/>
      <c r="P386" s="56"/>
      <c r="Q386" s="56"/>
      <c r="R386" s="56"/>
      <c r="S386" s="56"/>
      <c r="T386" s="56"/>
      <c r="U386" s="56"/>
      <c r="V386" s="56"/>
    </row>
    <row r="387" spans="1:22" s="57" customFormat="1" ht="18">
      <c r="A387" s="2123"/>
      <c r="B387" s="913" t="s">
        <v>1873</v>
      </c>
      <c r="C387" s="926">
        <f>'T&amp;D losses 2022'!E20</f>
        <v>7.5015209999999997E-3</v>
      </c>
      <c r="D387" s="56"/>
      <c r="E387" s="56"/>
      <c r="F387" s="56"/>
      <c r="G387" s="56"/>
      <c r="H387" s="56"/>
      <c r="I387" s="56"/>
      <c r="J387" s="56"/>
      <c r="K387" s="56"/>
      <c r="L387" s="56"/>
      <c r="M387" s="56"/>
      <c r="N387" s="56"/>
      <c r="O387" s="56"/>
      <c r="P387" s="56"/>
      <c r="Q387" s="56"/>
      <c r="R387" s="56"/>
      <c r="S387" s="56"/>
      <c r="T387" s="56"/>
      <c r="U387" s="56"/>
      <c r="V387" s="56"/>
    </row>
    <row r="388" spans="1:22" s="57" customFormat="1">
      <c r="A388" s="60"/>
      <c r="B388" s="60"/>
      <c r="C388" s="56"/>
      <c r="D388" s="56"/>
      <c r="E388" s="56"/>
      <c r="F388" s="56"/>
      <c r="G388" s="56"/>
      <c r="H388" s="56"/>
      <c r="I388" s="56"/>
      <c r="J388" s="56"/>
      <c r="K388" s="56"/>
      <c r="L388" s="56"/>
      <c r="M388" s="56"/>
      <c r="N388" s="56"/>
      <c r="O388" s="56"/>
      <c r="P388" s="56"/>
      <c r="Q388" s="56"/>
      <c r="R388" s="56"/>
      <c r="S388" s="56"/>
      <c r="T388" s="56"/>
      <c r="U388" s="56"/>
      <c r="V388" s="56"/>
    </row>
    <row r="389" spans="1:22" s="57" customFormat="1" ht="18">
      <c r="A389" s="60"/>
      <c r="B389" s="1651" t="s">
        <v>1873</v>
      </c>
      <c r="C389" s="1651" t="s">
        <v>1874</v>
      </c>
      <c r="D389" s="1652" t="s">
        <v>1875</v>
      </c>
      <c r="E389" s="1653" t="s">
        <v>1876</v>
      </c>
      <c r="F389" s="56"/>
      <c r="G389" s="56"/>
      <c r="H389" s="56"/>
      <c r="I389" s="56"/>
      <c r="J389" s="56"/>
      <c r="K389" s="56"/>
      <c r="L389" s="56"/>
      <c r="M389" s="56"/>
      <c r="N389" s="56"/>
      <c r="O389" s="56"/>
      <c r="P389" s="56"/>
      <c r="Q389" s="56"/>
      <c r="R389" s="56"/>
      <c r="S389" s="56"/>
      <c r="T389" s="56"/>
      <c r="U389" s="56"/>
      <c r="V389" s="56"/>
    </row>
    <row r="390" spans="1:22" s="57" customFormat="1">
      <c r="A390" s="913" t="s">
        <v>1877</v>
      </c>
      <c r="B390" s="932">
        <v>2.69</v>
      </c>
      <c r="C390" s="933">
        <f>O345*C378</f>
        <v>114905103.97672211</v>
      </c>
      <c r="D390" s="933">
        <f>C379*O345</f>
        <v>153567.31322478424</v>
      </c>
      <c r="E390" s="933">
        <f>C380*O345</f>
        <v>1830522.3736394281</v>
      </c>
      <c r="F390" s="56"/>
      <c r="G390" s="56"/>
      <c r="H390" s="56"/>
      <c r="I390" s="56"/>
      <c r="J390" s="56"/>
      <c r="K390" s="56"/>
      <c r="L390" s="56"/>
      <c r="M390" s="56"/>
      <c r="N390" s="56"/>
      <c r="O390" s="56"/>
      <c r="P390" s="56"/>
      <c r="Q390" s="56"/>
      <c r="R390" s="56"/>
      <c r="S390" s="56"/>
      <c r="T390" s="56"/>
      <c r="U390" s="56"/>
      <c r="V390" s="56"/>
    </row>
    <row r="391" spans="1:22" s="57" customFormat="1" ht="30">
      <c r="A391" s="913" t="s">
        <v>1878</v>
      </c>
      <c r="B391" s="932">
        <v>0.10100000000000001</v>
      </c>
      <c r="C391" s="933" t="e">
        <f>C381*O349</f>
        <v>#REF!</v>
      </c>
      <c r="D391" s="933" t="e">
        <f>C382*O349</f>
        <v>#REF!</v>
      </c>
      <c r="E391" s="933" t="e">
        <f>C383*O349</f>
        <v>#REF!</v>
      </c>
      <c r="F391" s="56"/>
      <c r="G391" s="56"/>
      <c r="H391" s="56"/>
      <c r="I391" s="56"/>
      <c r="J391" s="56"/>
      <c r="K391" s="56"/>
      <c r="L391" s="56"/>
      <c r="M391" s="56"/>
      <c r="N391" s="56"/>
      <c r="O391" s="56"/>
      <c r="P391" s="56"/>
      <c r="Q391" s="56"/>
      <c r="R391" s="56"/>
      <c r="S391" s="56"/>
      <c r="T391" s="56"/>
      <c r="U391" s="56"/>
      <c r="V391" s="56"/>
    </row>
    <row r="392" spans="1:22" s="57" customFormat="1">
      <c r="A392" s="913" t="s">
        <v>1879</v>
      </c>
      <c r="B392" s="932">
        <v>8.6999999999999994E-3</v>
      </c>
      <c r="C392" s="934">
        <f>204*C384</f>
        <v>1.4672700000000001</v>
      </c>
      <c r="D392" s="934">
        <f>O349*C385</f>
        <v>3104.3232344999997</v>
      </c>
      <c r="E392" s="934">
        <f>204*C386</f>
        <v>1.3872000000000001E-3</v>
      </c>
      <c r="F392" s="56"/>
      <c r="G392" s="56"/>
      <c r="H392" s="56"/>
      <c r="I392" s="56"/>
      <c r="J392" s="56"/>
      <c r="K392" s="56"/>
      <c r="L392" s="56"/>
      <c r="M392" s="56"/>
      <c r="N392" s="56"/>
      <c r="O392" s="56"/>
      <c r="P392" s="56"/>
      <c r="Q392" s="56"/>
      <c r="R392" s="56"/>
      <c r="S392" s="56"/>
      <c r="T392" s="56"/>
      <c r="U392" s="56"/>
      <c r="V392" s="56"/>
    </row>
    <row r="393" spans="1:22" s="57" customFormat="1">
      <c r="A393" s="60" t="s">
        <v>1880</v>
      </c>
      <c r="B393" s="60" t="e">
        <f>SUM(C393:E393)</f>
        <v>#REF!</v>
      </c>
      <c r="C393" s="56" t="e">
        <f>(C390+C391+C392)/(O346*1000)</f>
        <v>#REF!</v>
      </c>
      <c r="D393" s="63" t="e">
        <f>(D390+D391)/(O346*1000)</f>
        <v>#REF!</v>
      </c>
      <c r="E393" s="56" t="e">
        <f>(E390+E391)/(O346*1000)</f>
        <v>#REF!</v>
      </c>
      <c r="F393" s="56"/>
      <c r="G393" s="56"/>
      <c r="H393" s="56"/>
      <c r="I393" s="56"/>
      <c r="J393" s="56"/>
      <c r="K393" s="56"/>
      <c r="L393" s="56"/>
      <c r="M393" s="56"/>
      <c r="N393" s="56"/>
      <c r="O393" s="56"/>
      <c r="P393" s="56"/>
      <c r="Q393" s="56"/>
      <c r="R393" s="56"/>
      <c r="S393" s="56"/>
      <c r="T393" s="56"/>
      <c r="U393" s="56"/>
      <c r="V393" s="56"/>
    </row>
    <row r="396" spans="1:22">
      <c r="A396" s="60"/>
    </row>
    <row r="397" spans="1:22">
      <c r="A397" s="2119" t="s">
        <v>1881</v>
      </c>
      <c r="B397" s="2119"/>
      <c r="C397" s="2119"/>
      <c r="D397" s="2119"/>
      <c r="E397" s="2119"/>
      <c r="F397" s="2119"/>
      <c r="G397" s="2119"/>
      <c r="H397" s="2119"/>
      <c r="I397" s="2119"/>
      <c r="J397" s="2119"/>
      <c r="K397" s="2119"/>
      <c r="L397" s="2119"/>
      <c r="M397" s="2119"/>
      <c r="N397" s="2119"/>
      <c r="O397" s="2119"/>
      <c r="P397" s="2119"/>
    </row>
    <row r="398" spans="1:22">
      <c r="C398" t="s">
        <v>1882</v>
      </c>
      <c r="D398" t="s">
        <v>1883</v>
      </c>
      <c r="E398" t="s">
        <v>1884</v>
      </c>
      <c r="F398" t="s">
        <v>1593</v>
      </c>
      <c r="K398" t="s">
        <v>1807</v>
      </c>
      <c r="L398" t="s">
        <v>1808</v>
      </c>
      <c r="M398" t="s">
        <v>1809</v>
      </c>
    </row>
    <row r="399" spans="1:22" ht="23.25">
      <c r="A399" s="259" t="s">
        <v>1495</v>
      </c>
      <c r="B399" s="260" t="s">
        <v>1497</v>
      </c>
      <c r="C399" s="100">
        <v>8.4285714285714325E-2</v>
      </c>
      <c r="D399" s="100">
        <v>7.9469201714285731E-2</v>
      </c>
      <c r="E399" s="100">
        <v>7.4757653940584867E-2</v>
      </c>
      <c r="F399">
        <v>8.4285714285714325E-2</v>
      </c>
      <c r="I399" s="254" t="s">
        <v>1496</v>
      </c>
      <c r="J399" s="261" t="s">
        <v>1546</v>
      </c>
      <c r="K399" s="1654">
        <v>15.640585695271039</v>
      </c>
      <c r="L399" s="1773">
        <v>14.841592421307411</v>
      </c>
      <c r="M399" s="1774">
        <v>14.638743160036441</v>
      </c>
    </row>
    <row r="400" spans="1:22" ht="23.25">
      <c r="A400" s="259" t="s">
        <v>1495</v>
      </c>
      <c r="B400" s="260" t="s">
        <v>1498</v>
      </c>
      <c r="C400" s="100">
        <v>9.0501785714285632E-2</v>
      </c>
      <c r="D400" s="100">
        <v>8.533005534071425E-2</v>
      </c>
      <c r="E400" s="100">
        <v>8.0271030918702982E-2</v>
      </c>
      <c r="F400">
        <v>9.0501785714285632E-2</v>
      </c>
      <c r="I400" s="254" t="s">
        <v>1496</v>
      </c>
      <c r="J400" s="261" t="s">
        <v>1547</v>
      </c>
      <c r="K400" s="477">
        <v>17.822800738028715</v>
      </c>
      <c r="L400" s="100">
        <v>16.912329852198365</v>
      </c>
      <c r="M400" s="478">
        <v>16.681178536389147</v>
      </c>
      <c r="Q400" s="657"/>
    </row>
    <row r="401" spans="1:19" ht="23.25">
      <c r="A401" s="259" t="s">
        <v>1495</v>
      </c>
      <c r="B401" s="260" t="s">
        <v>1499</v>
      </c>
      <c r="C401" s="100">
        <v>0.12210892857142869</v>
      </c>
      <c r="D401" s="100">
        <v>0.11513100598357152</v>
      </c>
      <c r="E401" s="100">
        <v>0.10830515114642231</v>
      </c>
      <c r="F401">
        <v>0.12210892857142869</v>
      </c>
      <c r="I401" s="254" t="s">
        <v>1496</v>
      </c>
      <c r="J401" s="261" t="s">
        <v>1548</v>
      </c>
      <c r="K401" s="477">
        <v>24.520444346592846</v>
      </c>
      <c r="L401" s="100">
        <v>23.267826926169072</v>
      </c>
      <c r="M401" s="478">
        <v>22.949811084649372</v>
      </c>
      <c r="Q401" s="658"/>
    </row>
    <row r="402" spans="1:19" ht="23.25">
      <c r="A402" s="259" t="s">
        <v>1495</v>
      </c>
      <c r="B402" s="260" t="s">
        <v>1500</v>
      </c>
      <c r="C402" s="100">
        <v>0.12916785714285731</v>
      </c>
      <c r="D402" s="100">
        <v>0.12178655162714301</v>
      </c>
      <c r="E402" s="100">
        <v>0.11456610466394627</v>
      </c>
      <c r="F402">
        <v>0.12916785714285731</v>
      </c>
      <c r="I402" s="254" t="s">
        <v>1496</v>
      </c>
      <c r="J402" s="261" t="s">
        <v>1549</v>
      </c>
      <c r="K402" s="477">
        <v>27.940051374842007</v>
      </c>
      <c r="L402" s="100">
        <v>26.512744651319075</v>
      </c>
      <c r="M402" s="478">
        <v>26.150378503932814</v>
      </c>
      <c r="Q402" s="658"/>
    </row>
    <row r="403" spans="1:19" ht="23.25">
      <c r="A403" s="259" t="s">
        <v>1495</v>
      </c>
      <c r="B403" s="260" t="s">
        <v>1501</v>
      </c>
      <c r="C403" s="100">
        <v>0.14750000000000005</v>
      </c>
      <c r="D403" s="100">
        <v>0.13907110300000003</v>
      </c>
      <c r="E403" s="100">
        <v>0.13082589439602349</v>
      </c>
      <c r="F403">
        <v>0.14750000000000005</v>
      </c>
      <c r="I403" s="254" t="s">
        <v>1496</v>
      </c>
      <c r="J403" s="261" t="s">
        <v>1550</v>
      </c>
      <c r="K403" s="477">
        <v>33.211156112463726</v>
      </c>
      <c r="L403" s="100">
        <v>31.514577041103415</v>
      </c>
      <c r="M403" s="478">
        <v>31.083847743964334</v>
      </c>
      <c r="Q403" s="658"/>
    </row>
    <row r="404" spans="1:19" ht="23.25">
      <c r="A404" s="259" t="s">
        <v>1495</v>
      </c>
      <c r="B404" s="260" t="s">
        <v>1502</v>
      </c>
      <c r="C404" s="100">
        <v>7.9995578274732082E-2</v>
      </c>
      <c r="D404" s="100">
        <v>7.3710639605558001E-2</v>
      </c>
      <c r="E404" s="100">
        <v>7.0017294148033218E-2</v>
      </c>
      <c r="F404">
        <v>7.9995578274732082E-2</v>
      </c>
      <c r="I404" s="254" t="s">
        <v>1496</v>
      </c>
      <c r="J404" s="261" t="s">
        <v>1551</v>
      </c>
      <c r="K404" s="477">
        <v>37.63560008093944</v>
      </c>
      <c r="L404" s="100">
        <v>36.679983104971249</v>
      </c>
      <c r="M404" s="478">
        <v>36.609846571487623</v>
      </c>
      <c r="Q404" s="658"/>
    </row>
    <row r="405" spans="1:19" ht="23.25">
      <c r="A405" s="259" t="s">
        <v>1495</v>
      </c>
      <c r="B405" s="260" t="s">
        <v>1503</v>
      </c>
      <c r="C405" s="100">
        <v>7.6980848214285733E-2</v>
      </c>
      <c r="D405" s="100">
        <v>7.0932765055661776E-2</v>
      </c>
      <c r="E405" s="100">
        <v>6.7378607785966202E-2</v>
      </c>
      <c r="F405">
        <v>7.6980848214285733E-2</v>
      </c>
      <c r="I405" s="254" t="s">
        <v>1496</v>
      </c>
      <c r="J405" s="261" t="s">
        <v>1552</v>
      </c>
      <c r="K405" s="477">
        <v>47.95130550235983</v>
      </c>
      <c r="L405" s="100">
        <v>46.733759310473815</v>
      </c>
      <c r="M405" s="478">
        <v>46.644398749283837</v>
      </c>
      <c r="Q405" s="658"/>
    </row>
    <row r="406" spans="1:19" ht="23.25">
      <c r="A406" s="259" t="s">
        <v>1495</v>
      </c>
      <c r="B406" s="260" t="s">
        <v>1504</v>
      </c>
      <c r="C406" s="100">
        <v>0.10247835714285705</v>
      </c>
      <c r="D406" s="100">
        <v>9.4427034764154774E-2</v>
      </c>
      <c r="E406" s="100">
        <v>8.9695673568810752E-2</v>
      </c>
      <c r="F406">
        <v>0.10247835714285705</v>
      </c>
      <c r="I406" s="254" t="s">
        <v>1496</v>
      </c>
      <c r="J406" s="261" t="s">
        <v>1553</v>
      </c>
      <c r="K406" s="477">
        <v>52.458508890135704</v>
      </c>
      <c r="L406" s="100">
        <v>51.126518925273146</v>
      </c>
      <c r="M406" s="478">
        <v>51.028758880066938</v>
      </c>
      <c r="Q406" s="658"/>
    </row>
    <row r="407" spans="1:19" ht="23.25">
      <c r="A407" s="259" t="s">
        <v>1495</v>
      </c>
      <c r="B407" s="260" t="s">
        <v>1505</v>
      </c>
      <c r="C407" s="100">
        <v>0.10988312500000004</v>
      </c>
      <c r="D407" s="100">
        <v>0.10125003906829504</v>
      </c>
      <c r="E407" s="100">
        <v>9.6176804405453953E-2</v>
      </c>
      <c r="F407">
        <v>0.10988312500000004</v>
      </c>
      <c r="I407" s="254" t="s">
        <v>1496</v>
      </c>
      <c r="J407" s="261" t="s">
        <v>1554</v>
      </c>
      <c r="K407" s="479">
        <v>56.947052244363633</v>
      </c>
      <c r="L407" s="480">
        <v>55.50109230911545</v>
      </c>
      <c r="M407" s="481">
        <v>55.394967554150867</v>
      </c>
      <c r="Q407" s="658"/>
    </row>
    <row r="408" spans="1:19" ht="23.25">
      <c r="A408" s="259" t="s">
        <v>1495</v>
      </c>
      <c r="B408" s="260" t="s">
        <v>1506</v>
      </c>
      <c r="C408" s="100">
        <v>0.11126598214285696</v>
      </c>
      <c r="D408" s="100">
        <v>0.10252425055199772</v>
      </c>
      <c r="E408" s="100">
        <v>9.7387170245970933E-2</v>
      </c>
      <c r="F408">
        <v>0.11126598214285696</v>
      </c>
      <c r="I408" s="254" t="s">
        <v>1496</v>
      </c>
      <c r="J408" s="261" t="s">
        <v>1555</v>
      </c>
      <c r="K408" s="477">
        <v>12.605845187233374</v>
      </c>
      <c r="L408" s="100">
        <v>11.947993101956049</v>
      </c>
      <c r="M408" s="478">
        <v>11.684280732073821</v>
      </c>
      <c r="Q408" s="658"/>
    </row>
    <row r="409" spans="1:19" ht="23.25">
      <c r="A409" s="259" t="s">
        <v>1495</v>
      </c>
      <c r="B409" s="260" t="s">
        <v>1507</v>
      </c>
      <c r="C409" s="100">
        <v>6.6541353383458721E-2</v>
      </c>
      <c r="D409" s="100">
        <v>6.2697549690225618E-2</v>
      </c>
      <c r="E409" s="100">
        <v>5.8692738650084397E-2</v>
      </c>
      <c r="F409">
        <v>6.6541353383458721E-2</v>
      </c>
      <c r="I409" s="254" t="s">
        <v>1496</v>
      </c>
      <c r="J409" s="261" t="s">
        <v>1556</v>
      </c>
      <c r="K409" s="477">
        <v>14.364645370948523</v>
      </c>
      <c r="L409" s="100">
        <v>13.615008058162982</v>
      </c>
      <c r="M409" s="478">
        <v>13.314501855125522</v>
      </c>
      <c r="Q409" s="658"/>
    </row>
    <row r="410" spans="1:19" ht="23.25">
      <c r="A410" s="259" t="s">
        <v>1495</v>
      </c>
      <c r="B410" s="260" t="s">
        <v>1508</v>
      </c>
      <c r="C410" s="100">
        <v>7.1448778195488782E-2</v>
      </c>
      <c r="D410" s="100">
        <v>6.7321493979879743E-2</v>
      </c>
      <c r="E410" s="100">
        <v>6.3021328125528117E-2</v>
      </c>
      <c r="F410">
        <v>7.1448778195488782E-2</v>
      </c>
      <c r="I410" s="254" t="s">
        <v>1496</v>
      </c>
      <c r="J410" s="261" t="s">
        <v>1557</v>
      </c>
      <c r="K410" s="477">
        <v>19.76274618979124</v>
      </c>
      <c r="L410" s="100">
        <v>18.731402111019957</v>
      </c>
      <c r="M410" s="478">
        <v>18.317968457371069</v>
      </c>
      <c r="Q410" s="658"/>
    </row>
    <row r="411" spans="1:19" ht="23.25">
      <c r="A411" s="259" t="s">
        <v>1495</v>
      </c>
      <c r="B411" s="260" t="s">
        <v>1509</v>
      </c>
      <c r="C411" s="100">
        <v>9.640178571428569E-2</v>
      </c>
      <c r="D411" s="100">
        <v>9.0833075113714259E-2</v>
      </c>
      <c r="E411" s="100">
        <v>8.5031105119309794E-2</v>
      </c>
      <c r="F411">
        <v>9.640178571428569E-2</v>
      </c>
      <c r="I411" s="254" t="s">
        <v>1496</v>
      </c>
      <c r="J411" s="261" t="s">
        <v>1558</v>
      </c>
      <c r="K411" s="477">
        <v>22.518847376738325</v>
      </c>
      <c r="L411" s="100">
        <v>21.343672647491879</v>
      </c>
      <c r="M411" s="478">
        <v>20.872581774921635</v>
      </c>
      <c r="Q411" s="658"/>
    </row>
    <row r="412" spans="1:19" ht="23.25">
      <c r="A412" s="259" t="s">
        <v>1495</v>
      </c>
      <c r="B412" s="260" t="s">
        <v>1510</v>
      </c>
      <c r="C412" s="100">
        <v>0.10197462406015052</v>
      </c>
      <c r="D412" s="100">
        <v>9.6083994900270794E-2</v>
      </c>
      <c r="E412" s="100">
        <v>8.994662198125436E-2</v>
      </c>
      <c r="F412">
        <v>0.10197462406015052</v>
      </c>
      <c r="I412" s="254" t="s">
        <v>1496</v>
      </c>
      <c r="J412" s="261" t="s">
        <v>1559</v>
      </c>
      <c r="K412" s="477">
        <v>26.767200448851355</v>
      </c>
      <c r="L412" s="100">
        <v>25.370320004044139</v>
      </c>
      <c r="M412" s="478">
        <v>24.810354229386562</v>
      </c>
      <c r="O412" t="s">
        <v>1885</v>
      </c>
      <c r="Q412" s="658"/>
      <c r="R412" s="658"/>
      <c r="S412" s="658"/>
    </row>
    <row r="413" spans="1:19" ht="23.25">
      <c r="A413" s="259" t="s">
        <v>1495</v>
      </c>
      <c r="B413" s="260" t="s">
        <v>1511</v>
      </c>
      <c r="C413" s="100">
        <v>0.11644736842105248</v>
      </c>
      <c r="D413" s="100">
        <v>0.10972071195789464</v>
      </c>
      <c r="E413" s="100">
        <v>0.10271229263764772</v>
      </c>
      <c r="F413">
        <v>0.11644736842105248</v>
      </c>
      <c r="I413" s="254" t="s">
        <v>1496</v>
      </c>
      <c r="J413" s="261" t="s">
        <v>1560</v>
      </c>
      <c r="K413" s="477">
        <v>34.208667922078767</v>
      </c>
      <c r="L413" s="100">
        <v>33.340065223535547</v>
      </c>
      <c r="M413" s="478">
        <v>33.276315014212756</v>
      </c>
      <c r="P413" t="s">
        <v>1813</v>
      </c>
      <c r="Q413" s="665" t="s">
        <v>1822</v>
      </c>
      <c r="R413" s="665" t="s">
        <v>1823</v>
      </c>
      <c r="S413" s="665" t="s">
        <v>1824</v>
      </c>
    </row>
    <row r="414" spans="1:19" ht="23.25">
      <c r="A414" s="259" t="s">
        <v>1495</v>
      </c>
      <c r="B414" s="260" t="s">
        <v>1512</v>
      </c>
      <c r="C414" s="100">
        <v>7.1710321953420628E-2</v>
      </c>
      <c r="D414" s="100">
        <v>6.6102023377625566E-2</v>
      </c>
      <c r="E414" s="100">
        <v>6.2971161632665931E-2</v>
      </c>
      <c r="F414">
        <v>7.1710321953420628E-2</v>
      </c>
      <c r="I414" s="254" t="s">
        <v>1496</v>
      </c>
      <c r="J414" s="261" t="s">
        <v>1561</v>
      </c>
      <c r="K414" s="477">
        <v>43.585070593603476</v>
      </c>
      <c r="L414" s="100">
        <v>42.478388801139786</v>
      </c>
      <c r="M414" s="478">
        <v>42.397165019494096</v>
      </c>
      <c r="O414" t="s">
        <v>1886</v>
      </c>
      <c r="P414" s="273">
        <v>4.2503103083508645E-2</v>
      </c>
      <c r="Q414" s="351">
        <v>4.08199611978192E-2</v>
      </c>
      <c r="R414" s="351">
        <v>1.6248195553679185E-3</v>
      </c>
      <c r="S414" s="352">
        <v>5.8322330321524977E-5</v>
      </c>
    </row>
    <row r="415" spans="1:19" ht="23.25">
      <c r="A415" s="259" t="s">
        <v>1495</v>
      </c>
      <c r="B415" s="260" t="s">
        <v>1513</v>
      </c>
      <c r="C415" s="100">
        <v>6.9007831792091925E-2</v>
      </c>
      <c r="D415" s="100">
        <v>6.3610888727051978E-2</v>
      </c>
      <c r="E415" s="100">
        <v>6.0598017291321776E-2</v>
      </c>
      <c r="F415">
        <v>6.9007831792091925E-2</v>
      </c>
      <c r="I415" s="254" t="s">
        <v>1496</v>
      </c>
      <c r="J415" s="261" t="s">
        <v>1562</v>
      </c>
      <c r="K415" s="477">
        <v>49.308748527897464</v>
      </c>
      <c r="L415" s="100">
        <v>48.056735087015184</v>
      </c>
      <c r="M415" s="478">
        <v>47.96484483723232</v>
      </c>
      <c r="O415" t="s">
        <v>1887</v>
      </c>
      <c r="P415" s="273">
        <v>4.8433246156140253E-2</v>
      </c>
      <c r="Q415" s="351">
        <v>4.6515267953345527E-2</v>
      </c>
      <c r="R415" s="351">
        <v>1.8515185898268873E-3</v>
      </c>
      <c r="S415" s="352">
        <v>6.6459612967838822E-5</v>
      </c>
    </row>
    <row r="416" spans="1:19" ht="23.25">
      <c r="A416" s="259" t="s">
        <v>1495</v>
      </c>
      <c r="B416" s="260" t="s">
        <v>1514</v>
      </c>
      <c r="C416" s="100">
        <v>9.1864527295918513E-2</v>
      </c>
      <c r="D416" s="100">
        <v>8.4680014891491767E-2</v>
      </c>
      <c r="E416" s="100">
        <v>8.0669223607966009E-2</v>
      </c>
      <c r="F416">
        <v>9.1864527295918513E-2</v>
      </c>
      <c r="I416" s="254" t="s">
        <v>1496</v>
      </c>
      <c r="J416" s="261" t="s">
        <v>1563</v>
      </c>
      <c r="K416" s="477">
        <v>53.527786777225344</v>
      </c>
      <c r="L416" s="100">
        <v>52.168646452099267</v>
      </c>
      <c r="M416" s="478">
        <v>52.068893733887343</v>
      </c>
      <c r="O416" t="s">
        <v>1888</v>
      </c>
      <c r="P416" s="273">
        <v>6.6634011923976805E-2</v>
      </c>
      <c r="Q416" s="351">
        <v>6.3995275259022766E-2</v>
      </c>
      <c r="R416" s="351">
        <v>2.5473021443628433E-3</v>
      </c>
      <c r="S416" s="352">
        <v>9.1434520591191553E-5</v>
      </c>
    </row>
    <row r="417" spans="1:19" ht="23.25">
      <c r="A417" s="259" t="s">
        <v>1495</v>
      </c>
      <c r="B417" s="260" t="s">
        <v>1515</v>
      </c>
      <c r="C417" s="100">
        <v>9.8502372767857019E-2</v>
      </c>
      <c r="D417" s="100">
        <v>9.0798729807430228E-2</v>
      </c>
      <c r="E417" s="100">
        <v>8.6498131200622247E-2</v>
      </c>
      <c r="F417">
        <v>9.8502372767857019E-2</v>
      </c>
      <c r="I417" s="254" t="s">
        <v>1496</v>
      </c>
      <c r="J417" s="261" t="s">
        <v>1564</v>
      </c>
      <c r="K417" s="1654">
        <v>6.4955128509897992</v>
      </c>
      <c r="L417" s="1773">
        <v>6.1636920880081218</v>
      </c>
      <c r="M417" s="1774">
        <v>6.0794490801648973</v>
      </c>
      <c r="O417" t="s">
        <v>1889</v>
      </c>
      <c r="P417" s="273">
        <v>7.5926752800727276E-2</v>
      </c>
      <c r="Q417" s="351">
        <v>7.2920019442172163E-2</v>
      </c>
      <c r="R417" s="351">
        <v>2.9025474324502793E-3</v>
      </c>
      <c r="S417" s="352">
        <v>1.0418592610483904E-4</v>
      </c>
    </row>
    <row r="418" spans="1:19" ht="23.25">
      <c r="A418" s="259" t="s">
        <v>1495</v>
      </c>
      <c r="B418" s="260" t="s">
        <v>1516</v>
      </c>
      <c r="C418" s="100">
        <v>9.9742005420918253E-2</v>
      </c>
      <c r="D418" s="100">
        <v>9.1941413655169044E-2</v>
      </c>
      <c r="E418" s="100">
        <v>8.7586692875352326E-2</v>
      </c>
      <c r="F418">
        <v>9.9742005420918253E-2</v>
      </c>
      <c r="I418" s="254" t="s">
        <v>1496</v>
      </c>
      <c r="J418" s="261" t="s">
        <v>1565</v>
      </c>
      <c r="K418" s="477">
        <v>7.4017836345795356</v>
      </c>
      <c r="L418" s="100">
        <v>7.0236663789609564</v>
      </c>
      <c r="M418" s="478">
        <v>6.9276695683801437</v>
      </c>
      <c r="O418" t="s">
        <v>1890</v>
      </c>
      <c r="P418" s="273">
        <v>9.0250916383351046E-2</v>
      </c>
      <c r="Q418" s="351">
        <v>8.6676939742440492E-2</v>
      </c>
      <c r="R418" s="351">
        <v>3.4501352416887662E-3</v>
      </c>
      <c r="S418" s="352">
        <v>1.2384139922180042E-4</v>
      </c>
    </row>
    <row r="419" spans="1:19" ht="23.25">
      <c r="A419" s="259" t="s">
        <v>1495</v>
      </c>
      <c r="B419" s="260" t="s">
        <v>1517</v>
      </c>
      <c r="C419" s="100">
        <v>3.4823308270676659E-2</v>
      </c>
      <c r="D419" s="100">
        <v>3.2811717671218023E-2</v>
      </c>
      <c r="E419" s="100">
        <v>3.0715866560210827E-2</v>
      </c>
      <c r="F419">
        <v>3.4823308270676659E-2</v>
      </c>
      <c r="I419" s="254" t="s">
        <v>1496</v>
      </c>
      <c r="J419" s="261" t="s">
        <v>1566</v>
      </c>
      <c r="K419" s="477">
        <v>10.183305438071297</v>
      </c>
      <c r="L419" s="100">
        <v>9.663095216391671</v>
      </c>
      <c r="M419" s="478">
        <v>9.5310236926229734</v>
      </c>
      <c r="Q419" s="658"/>
      <c r="R419" s="658"/>
      <c r="S419" s="658"/>
    </row>
    <row r="420" spans="1:19" ht="23.25">
      <c r="A420" s="259" t="s">
        <v>1495</v>
      </c>
      <c r="B420" s="260" t="s">
        <v>1518</v>
      </c>
      <c r="C420" s="100">
        <v>3.7391527255639108E-2</v>
      </c>
      <c r="D420" s="100">
        <v>3.5231581849470388E-2</v>
      </c>
      <c r="E420" s="100">
        <v>3.2981161719026375E-2</v>
      </c>
      <c r="F420">
        <v>3.7391527255639108E-2</v>
      </c>
      <c r="I420" s="254" t="s">
        <v>1496</v>
      </c>
      <c r="J420" s="261" t="s">
        <v>1567</v>
      </c>
      <c r="K420" s="477">
        <v>11.603463342007316</v>
      </c>
      <c r="L420" s="100">
        <v>11.010704902804463</v>
      </c>
      <c r="M420" s="478">
        <v>10.860214760493314</v>
      </c>
      <c r="O420" t="s">
        <v>1891</v>
      </c>
    </row>
    <row r="421" spans="1:19" ht="23.25">
      <c r="A421" s="259" t="s">
        <v>1495</v>
      </c>
      <c r="B421" s="260" t="s">
        <v>1519</v>
      </c>
      <c r="C421" s="100">
        <v>5.0450267857142829E-2</v>
      </c>
      <c r="D421" s="100">
        <v>4.7535975976177119E-2</v>
      </c>
      <c r="E421" s="100">
        <v>4.449961167910544E-2</v>
      </c>
      <c r="F421">
        <v>5.0450267857142829E-2</v>
      </c>
      <c r="I421" s="254" t="s">
        <v>1496</v>
      </c>
      <c r="J421" s="261" t="s">
        <v>1568</v>
      </c>
      <c r="K421" s="477">
        <v>13.792545594373838</v>
      </c>
      <c r="L421" s="100">
        <v>13.087958734556096</v>
      </c>
      <c r="M421" s="478">
        <v>12.909077474008996</v>
      </c>
      <c r="O421" t="s">
        <v>1886</v>
      </c>
      <c r="P421" s="273">
        <v>4.1664067646115729E-2</v>
      </c>
      <c r="Q421" s="351">
        <v>4.0014151938888576E-2</v>
      </c>
      <c r="R421" s="351">
        <v>1.5927446928891917E-3</v>
      </c>
      <c r="S421" s="352">
        <v>5.7171014337961372E-5</v>
      </c>
    </row>
    <row r="422" spans="1:19" ht="23.25">
      <c r="A422" s="259" t="s">
        <v>1495</v>
      </c>
      <c r="B422" s="260" t="s">
        <v>1520</v>
      </c>
      <c r="C422" s="100">
        <v>5.3366719924811949E-2</v>
      </c>
      <c r="D422" s="100">
        <v>5.028395733114159E-2</v>
      </c>
      <c r="E422" s="100">
        <v>4.7072065503523094E-2</v>
      </c>
      <c r="F422">
        <v>5.3366719924811949E-2</v>
      </c>
      <c r="I422" s="254" t="s">
        <v>1496</v>
      </c>
      <c r="J422" s="261" t="s">
        <v>1569</v>
      </c>
      <c r="K422" s="477">
        <v>15.423597858961847</v>
      </c>
      <c r="L422" s="100">
        <v>15.03197259158647</v>
      </c>
      <c r="M422" s="478">
        <v>15.003229654437927</v>
      </c>
      <c r="O422" t="s">
        <v>1887</v>
      </c>
      <c r="P422" s="273">
        <v>4.7477146320485136E-2</v>
      </c>
      <c r="Q422" s="351">
        <v>4.5597030098664601E-2</v>
      </c>
      <c r="R422" s="351">
        <v>1.8149685594254777E-3</v>
      </c>
      <c r="S422" s="352">
        <v>6.5147662395056549E-5</v>
      </c>
    </row>
    <row r="423" spans="1:19" ht="23.25">
      <c r="A423" s="259" t="s">
        <v>1495</v>
      </c>
      <c r="B423" s="260" t="s">
        <v>1521</v>
      </c>
      <c r="C423" s="100">
        <v>6.0940789473684177E-2</v>
      </c>
      <c r="D423" s="100">
        <v>5.7420505924631556E-2</v>
      </c>
      <c r="E423" s="100">
        <v>5.3752766480368953E-2</v>
      </c>
      <c r="F423">
        <v>6.0940789473684177E-2</v>
      </c>
      <c r="I423" s="254" t="s">
        <v>1496</v>
      </c>
      <c r="J423" s="261" t="s">
        <v>1570</v>
      </c>
      <c r="K423" s="477">
        <v>19.651118921714239</v>
      </c>
      <c r="L423" s="100">
        <v>19.152151380397672</v>
      </c>
      <c r="M423" s="478">
        <v>19.115530166512958</v>
      </c>
      <c r="O423" t="s">
        <v>1888</v>
      </c>
      <c r="P423" s="273">
        <v>6.5318618616574425E-2</v>
      </c>
      <c r="Q423" s="351">
        <v>6.2731972114719647E-2</v>
      </c>
      <c r="R423" s="351">
        <v>2.4970169507225531E-3</v>
      </c>
      <c r="S423" s="352">
        <v>8.9629551132224919E-5</v>
      </c>
    </row>
    <row r="424" spans="1:19" ht="23.25">
      <c r="A424" s="259" t="s">
        <v>1495</v>
      </c>
      <c r="B424" s="260" t="s">
        <v>1522</v>
      </c>
      <c r="C424" s="100">
        <v>0.10658414889146814</v>
      </c>
      <c r="D424" s="100">
        <v>0.10087919545477585</v>
      </c>
      <c r="E424" s="100">
        <v>9.7628864781854674E-2</v>
      </c>
      <c r="F424">
        <v>0.10658414889146814</v>
      </c>
      <c r="I424" s="254" t="s">
        <v>1496</v>
      </c>
      <c r="J424" s="261" t="s">
        <v>1571</v>
      </c>
      <c r="K424" s="477">
        <v>21.640023451107719</v>
      </c>
      <c r="L424" s="100">
        <v>21.090555029566552</v>
      </c>
      <c r="M424" s="478">
        <v>21.050227355074792</v>
      </c>
      <c r="O424" t="s">
        <v>1889</v>
      </c>
      <c r="P424" s="273">
        <v>7.4427915501229056E-2</v>
      </c>
      <c r="Q424" s="351">
        <v>7.1480536769879921E-2</v>
      </c>
      <c r="R424" s="351">
        <v>2.8452494947031298E-3</v>
      </c>
      <c r="S424" s="352">
        <v>1.0212923664600573E-4</v>
      </c>
    </row>
    <row r="425" spans="1:19" ht="23.25">
      <c r="A425" s="259" t="s">
        <v>1495</v>
      </c>
      <c r="B425" s="260" t="s">
        <v>1523</v>
      </c>
      <c r="C425" s="100">
        <v>0.11444472987221374</v>
      </c>
      <c r="D425" s="100">
        <v>0.10831903611956543</v>
      </c>
      <c r="E425" s="100">
        <v>0.10482899355951648</v>
      </c>
      <c r="F425">
        <v>0.11444472987221374</v>
      </c>
      <c r="I425" s="254" t="s">
        <v>1496</v>
      </c>
      <c r="J425" s="261" t="s">
        <v>1572</v>
      </c>
      <c r="K425" s="479">
        <v>23.49162361096414</v>
      </c>
      <c r="L425" s="480">
        <v>22.895140646233578</v>
      </c>
      <c r="M425" s="481">
        <v>22.851362387286379</v>
      </c>
      <c r="O425" t="s">
        <v>1890</v>
      </c>
      <c r="P425" s="273">
        <v>8.8469311944869691E-2</v>
      </c>
      <c r="Q425" s="351">
        <v>8.4965887636296991E-2</v>
      </c>
      <c r="R425" s="351">
        <v>3.3820276090322232E-3</v>
      </c>
      <c r="S425" s="352">
        <v>1.2139669954047946E-4</v>
      </c>
    </row>
    <row r="426" spans="1:19">
      <c r="A426" s="259" t="s">
        <v>1495</v>
      </c>
      <c r="B426" s="260" t="s">
        <v>1524</v>
      </c>
      <c r="C426" s="100">
        <v>0.12948075026392847</v>
      </c>
      <c r="D426" s="100">
        <v>0.12255024831887966</v>
      </c>
      <c r="E426" s="100">
        <v>0.11860167567920671</v>
      </c>
      <c r="F426">
        <v>0.12948075026392847</v>
      </c>
      <c r="I426" s="254" t="s">
        <v>1496</v>
      </c>
      <c r="J426" s="261" t="s">
        <v>1573</v>
      </c>
      <c r="K426" s="477">
        <v>44.207626305667148</v>
      </c>
      <c r="L426" s="100">
        <v>41.914132830675797</v>
      </c>
      <c r="M426" s="478">
        <v>41.086724001173749</v>
      </c>
    </row>
    <row r="427" spans="1:19">
      <c r="A427" s="259" t="s">
        <v>1495</v>
      </c>
      <c r="B427" s="260" t="s">
        <v>1525</v>
      </c>
      <c r="C427" s="100">
        <v>0.15947236723417238</v>
      </c>
      <c r="D427" s="100">
        <v>0.15093655361674177</v>
      </c>
      <c r="E427" s="100">
        <v>0.14607337337750786</v>
      </c>
      <c r="F427">
        <v>0.15947236723417238</v>
      </c>
      <c r="I427" s="254" t="s">
        <v>1496</v>
      </c>
      <c r="J427" s="261" t="s">
        <v>1574</v>
      </c>
      <c r="K427" s="477">
        <v>50.37558887486972</v>
      </c>
      <c r="L427" s="100">
        <v>47.762101247542617</v>
      </c>
      <c r="M427" s="478">
        <v>46.819250194237171</v>
      </c>
      <c r="O427" s="94" t="s">
        <v>1892</v>
      </c>
      <c r="P427" s="94"/>
      <c r="Q427" s="94"/>
      <c r="R427" s="94"/>
      <c r="S427" s="94"/>
    </row>
    <row r="428" spans="1:19">
      <c r="A428" s="259" t="s">
        <v>1495</v>
      </c>
      <c r="B428" s="260" t="s">
        <v>1526</v>
      </c>
      <c r="C428" s="100">
        <v>0.18641337601585353</v>
      </c>
      <c r="D428" s="100">
        <v>0.17643553558453409</v>
      </c>
      <c r="E428" s="100">
        <v>0.17075077738916597</v>
      </c>
      <c r="F428">
        <v>0.18641337601585353</v>
      </c>
      <c r="I428" s="254" t="s">
        <v>1496</v>
      </c>
      <c r="J428" s="261" t="s">
        <v>1575</v>
      </c>
      <c r="K428" s="477">
        <v>69.306269064516613</v>
      </c>
      <c r="L428" s="100">
        <v>65.710656968621578</v>
      </c>
      <c r="M428" s="478">
        <v>64.413491213389065</v>
      </c>
      <c r="O428" t="s">
        <v>1885</v>
      </c>
      <c r="Q428" s="658"/>
      <c r="R428" s="658"/>
      <c r="S428" s="658"/>
    </row>
    <row r="429" spans="1:19" ht="23.25">
      <c r="A429" s="259" t="s">
        <v>1495</v>
      </c>
      <c r="B429" s="260" t="s">
        <v>1527</v>
      </c>
      <c r="C429" s="100">
        <v>3.7528401822290142E-2</v>
      </c>
      <c r="D429" s="100">
        <v>3.4593392234290726E-2</v>
      </c>
      <c r="E429" s="100">
        <v>3.2954907921095171E-2</v>
      </c>
      <c r="F429">
        <v>3.7528401822290142E-2</v>
      </c>
      <c r="I429" s="254" t="s">
        <v>1496</v>
      </c>
      <c r="J429" s="261" t="s">
        <v>1576</v>
      </c>
      <c r="K429" s="477">
        <v>78.971681381062965</v>
      </c>
      <c r="L429" s="100">
        <v>74.874627295773919</v>
      </c>
      <c r="M429" s="478">
        <v>73.39655955235979</v>
      </c>
      <c r="P429" t="s">
        <v>1813</v>
      </c>
      <c r="Q429" s="665" t="s">
        <v>1822</v>
      </c>
      <c r="R429" s="665" t="s">
        <v>1823</v>
      </c>
      <c r="S429" s="665" t="s">
        <v>1824</v>
      </c>
    </row>
    <row r="430" spans="1:19">
      <c r="A430" s="259" t="s">
        <v>1495</v>
      </c>
      <c r="B430" s="260" t="s">
        <v>1528</v>
      </c>
      <c r="C430" s="100">
        <v>3.6114098637861386E-2</v>
      </c>
      <c r="D430" s="100">
        <v>3.3289698433823817E-2</v>
      </c>
      <c r="E430" s="100">
        <v>3.1712962382458396E-2</v>
      </c>
      <c r="F430">
        <v>3.6114098637861386E-2</v>
      </c>
      <c r="I430" s="254" t="s">
        <v>1496</v>
      </c>
      <c r="J430" s="261" t="s">
        <v>1577</v>
      </c>
      <c r="K430" s="479">
        <v>93.87029406724055</v>
      </c>
      <c r="L430" s="480">
        <v>89.000299341666803</v>
      </c>
      <c r="M430" s="481">
        <v>87.243382795138146</v>
      </c>
      <c r="O430" t="s">
        <v>1886</v>
      </c>
      <c r="P430">
        <f>(P414*100)/L426</f>
        <v>0.10140518296110805</v>
      </c>
      <c r="Q430">
        <f>(Q414*100)/L426</f>
        <v>9.7389492376528886E-2</v>
      </c>
      <c r="R430">
        <f>(R414*100)/L426</f>
        <v>3.8765434130102242E-3</v>
      </c>
      <c r="S430">
        <f>(S414*100)/L426</f>
        <v>1.3914717156891882E-4</v>
      </c>
    </row>
    <row r="431" spans="1:19">
      <c r="A431" s="259" t="s">
        <v>1495</v>
      </c>
      <c r="B431" s="260" t="s">
        <v>1529</v>
      </c>
      <c r="C431" s="100">
        <v>4.8075769284863908E-2</v>
      </c>
      <c r="D431" s="100">
        <v>4.431587445988059E-2</v>
      </c>
      <c r="E431" s="100">
        <v>4.2216893688168888E-2</v>
      </c>
      <c r="F431">
        <v>4.8075769284863908E-2</v>
      </c>
      <c r="O431" t="s">
        <v>1887</v>
      </c>
      <c r="P431">
        <f>(P415*100)/L427</f>
        <v>0.10140518296110804</v>
      </c>
      <c r="Q431">
        <f>(Q415*100)/L427</f>
        <v>9.7389492376528886E-2</v>
      </c>
      <c r="R431">
        <f>(R415*100)/L427</f>
        <v>3.8765434130102242E-3</v>
      </c>
      <c r="S431">
        <f>(S415*100)/L427</f>
        <v>1.3914717156891877E-4</v>
      </c>
    </row>
    <row r="432" spans="1:19">
      <c r="A432" s="259" t="s">
        <v>1495</v>
      </c>
      <c r="B432" s="260" t="s">
        <v>1530</v>
      </c>
      <c r="C432" s="100">
        <v>5.1549575081845184E-2</v>
      </c>
      <c r="D432" s="100">
        <v>4.7518001932555176E-2</v>
      </c>
      <c r="E432" s="100">
        <v>4.526735532832564E-2</v>
      </c>
      <c r="F432">
        <v>5.1549575081845184E-2</v>
      </c>
      <c r="O432" t="s">
        <v>1888</v>
      </c>
      <c r="P432">
        <f>(P416*100)/L428</f>
        <v>0.10140518296110805</v>
      </c>
      <c r="Q432">
        <f>(Q416*100)/L428</f>
        <v>9.7389492376528899E-2</v>
      </c>
      <c r="R432">
        <f>(R416*100)/L428</f>
        <v>3.8765434130102242E-3</v>
      </c>
      <c r="S432">
        <f>(S416*100)/L428</f>
        <v>1.391471715689188E-4</v>
      </c>
    </row>
    <row r="433" spans="1:19">
      <c r="A433" s="259" t="s">
        <v>1495</v>
      </c>
      <c r="B433" s="260" t="s">
        <v>1531</v>
      </c>
      <c r="C433" s="100">
        <v>5.2198316170280507E-2</v>
      </c>
      <c r="D433" s="100">
        <v>4.811600647953844E-2</v>
      </c>
      <c r="E433" s="100">
        <v>4.5837035938101026E-2</v>
      </c>
      <c r="F433">
        <v>5.2198316170280507E-2</v>
      </c>
      <c r="O433" t="s">
        <v>1889</v>
      </c>
      <c r="P433">
        <f>(P417*100)/L429</f>
        <v>0.10140518296110802</v>
      </c>
      <c r="Q433">
        <f>(Q417*100)/L429</f>
        <v>9.7389492376528899E-2</v>
      </c>
      <c r="R433">
        <f>(R417*100)/L429</f>
        <v>3.8765434130102242E-3</v>
      </c>
      <c r="S433">
        <f>(S417*100)/L429</f>
        <v>1.391471715689188E-4</v>
      </c>
    </row>
    <row r="434" spans="1:19">
      <c r="A434" s="259" t="s">
        <v>1495</v>
      </c>
      <c r="B434" s="260" t="s">
        <v>1532</v>
      </c>
      <c r="C434" s="100">
        <v>0.11086091690059441</v>
      </c>
      <c r="D434" s="100">
        <v>0.10239884739359251</v>
      </c>
      <c r="E434" s="100">
        <v>9.9028618630664519E-2</v>
      </c>
      <c r="F434">
        <v>0.11086091690059441</v>
      </c>
      <c r="O434" t="s">
        <v>1890</v>
      </c>
      <c r="P434">
        <f>(P418*100)/L430</f>
        <v>0.10140518296110804</v>
      </c>
      <c r="Q434">
        <f>(Q418*100)/L430</f>
        <v>9.7389492376528899E-2</v>
      </c>
      <c r="R434">
        <f>(R418*100)/L430</f>
        <v>3.8765434130102242E-3</v>
      </c>
      <c r="S434">
        <f>(S418*100)/L430</f>
        <v>1.391471715689188E-4</v>
      </c>
    </row>
    <row r="435" spans="1:19">
      <c r="A435" s="259" t="s">
        <v>1495</v>
      </c>
      <c r="B435" s="260" t="s">
        <v>1533</v>
      </c>
      <c r="C435" s="100">
        <v>0.10647823089350718</v>
      </c>
      <c r="D435" s="100">
        <v>9.8350694012214926E-2</v>
      </c>
      <c r="E435" s="100">
        <v>9.5113701152912136E-2</v>
      </c>
      <c r="F435">
        <v>0.10647823089350718</v>
      </c>
      <c r="O435" t="s">
        <v>1891</v>
      </c>
    </row>
    <row r="436" spans="1:19">
      <c r="A436" s="259" t="s">
        <v>1495</v>
      </c>
      <c r="B436" s="260" t="s">
        <v>1534</v>
      </c>
      <c r="C436" s="100">
        <v>0.11666715615561934</v>
      </c>
      <c r="D436" s="100">
        <v>0.10776189348799842</v>
      </c>
      <c r="E436" s="100">
        <v>0.10421515207220057</v>
      </c>
      <c r="F436">
        <v>0.11666715615561934</v>
      </c>
      <c r="O436" t="s">
        <v>1886</v>
      </c>
      <c r="P436">
        <f>(P421*100)/M426</f>
        <v>0.10140518296110802</v>
      </c>
      <c r="Q436">
        <f>(Q421*100)/M426</f>
        <v>9.7389492376528899E-2</v>
      </c>
      <c r="R436">
        <f>(R421*100)/M426</f>
        <v>3.8765434130102238E-3</v>
      </c>
      <c r="S436">
        <f>(S421*100)/M426</f>
        <v>1.391471715689188E-4</v>
      </c>
    </row>
    <row r="437" spans="1:19">
      <c r="A437" s="259" t="s">
        <v>1495</v>
      </c>
      <c r="B437" s="260" t="s">
        <v>1535</v>
      </c>
      <c r="C437" s="100">
        <v>0.13205027474658035</v>
      </c>
      <c r="D437" s="100">
        <v>0.12197081090517789</v>
      </c>
      <c r="E437" s="100">
        <v>0.11795641479024659</v>
      </c>
      <c r="F437">
        <v>0.13205027474658035</v>
      </c>
      <c r="O437" t="s">
        <v>1887</v>
      </c>
      <c r="P437">
        <f>(P422*100)/M427</f>
        <v>0.10140518296110804</v>
      </c>
      <c r="Q437">
        <f>(Q422*100)/M427</f>
        <v>9.7389492376528899E-2</v>
      </c>
      <c r="R437">
        <f>(R422*100)/M427</f>
        <v>3.8765434130102246E-3</v>
      </c>
      <c r="S437">
        <f>(S422*100)/M427</f>
        <v>1.3914717156891882E-4</v>
      </c>
    </row>
    <row r="438" spans="1:19">
      <c r="A438" s="259" t="s">
        <v>1495</v>
      </c>
      <c r="B438" s="260" t="s">
        <v>1536</v>
      </c>
      <c r="C438" s="100">
        <v>0.15618100509046454</v>
      </c>
      <c r="D438" s="100">
        <v>0.14425963047352927</v>
      </c>
      <c r="E438" s="100">
        <v>0.13951164777327033</v>
      </c>
      <c r="F438">
        <v>0.15618100509046454</v>
      </c>
      <c r="O438" t="s">
        <v>1888</v>
      </c>
      <c r="P438">
        <f>(P423*100)/M428</f>
        <v>0.10140518296110802</v>
      </c>
      <c r="Q438" s="658">
        <f>(Q423*100)/M428</f>
        <v>9.7389492376528886E-2</v>
      </c>
      <c r="R438">
        <f>(R423*100)/M428</f>
        <v>3.8765434130102238E-3</v>
      </c>
      <c r="S438">
        <f>(S423*100)/M428</f>
        <v>1.391471715689188E-4</v>
      </c>
    </row>
    <row r="439" spans="1:19">
      <c r="A439" s="259" t="s">
        <v>1495</v>
      </c>
      <c r="B439" s="260" t="s">
        <v>1537</v>
      </c>
      <c r="C439" s="100">
        <v>0.22360310956252036</v>
      </c>
      <c r="D439" s="100">
        <v>0.2116346757792498</v>
      </c>
      <c r="E439" s="100">
        <v>0.20481580024165313</v>
      </c>
      <c r="F439">
        <v>0.22360310956252036</v>
      </c>
      <c r="O439" t="s">
        <v>1889</v>
      </c>
      <c r="P439">
        <f>(P424*100)/M429</f>
        <v>0.10140518296110802</v>
      </c>
      <c r="Q439" s="658">
        <f>(Q424*100)/M429</f>
        <v>9.7389492376528886E-2</v>
      </c>
      <c r="R439">
        <f>(R424*100)/M429</f>
        <v>3.8765434130102242E-3</v>
      </c>
      <c r="S439">
        <f>(S424*100)/M429</f>
        <v>1.391471715689188E-4</v>
      </c>
    </row>
    <row r="440" spans="1:19">
      <c r="A440" s="259" t="s">
        <v>1495</v>
      </c>
      <c r="B440" s="260" t="s">
        <v>1538</v>
      </c>
      <c r="C440" s="100">
        <v>0.24009383889275646</v>
      </c>
      <c r="D440" s="100">
        <v>0.22724273311796964</v>
      </c>
      <c r="E440" s="100">
        <v>0.21992096550947507</v>
      </c>
      <c r="F440">
        <v>0.24009383889275646</v>
      </c>
      <c r="O440" t="s">
        <v>1890</v>
      </c>
      <c r="P440">
        <f>(P425*100)/M430</f>
        <v>0.10140518296110804</v>
      </c>
      <c r="Q440">
        <f>(Q425*100)/M430</f>
        <v>9.7389492376528899E-2</v>
      </c>
      <c r="R440">
        <f>(R425*100)/M430</f>
        <v>3.8765434130102246E-3</v>
      </c>
      <c r="S440">
        <f>(S425*100)/M430</f>
        <v>1.391471715689188E-4</v>
      </c>
    </row>
    <row r="441" spans="1:19">
      <c r="A441" s="259" t="s">
        <v>1495</v>
      </c>
      <c r="B441" s="260" t="s">
        <v>1539</v>
      </c>
      <c r="C441" s="100">
        <v>0.27163793761663318</v>
      </c>
      <c r="D441" s="100">
        <v>0.25709842304660063</v>
      </c>
      <c r="E441" s="100">
        <v>0.24881470422211191</v>
      </c>
      <c r="F441">
        <v>0.27163793761663318</v>
      </c>
    </row>
    <row r="442" spans="1:19">
      <c r="A442" s="259" t="s">
        <v>1495</v>
      </c>
      <c r="B442" s="260" t="s">
        <v>1540</v>
      </c>
      <c r="C442" s="100">
        <v>0.33455741377798359</v>
      </c>
      <c r="D442" s="100">
        <v>0.31665011248267472</v>
      </c>
      <c r="E442" s="100">
        <v>0.30644763645631018</v>
      </c>
      <c r="F442">
        <v>0.33455741377798359</v>
      </c>
    </row>
    <row r="443" spans="1:19">
      <c r="A443" s="259" t="s">
        <v>1495</v>
      </c>
      <c r="B443" s="260" t="s">
        <v>1541</v>
      </c>
      <c r="C443" s="100">
        <v>0.39107701262067091</v>
      </c>
      <c r="D443" s="100">
        <v>0.3701444802472737</v>
      </c>
      <c r="E443" s="100">
        <v>0.35821841410314531</v>
      </c>
      <c r="F443">
        <v>0.39107701262067091</v>
      </c>
    </row>
    <row r="445" spans="1:19" s="394" customFormat="1" ht="18" customHeight="1">
      <c r="A445" s="393" t="s">
        <v>1893</v>
      </c>
    </row>
    <row r="447" spans="1:19">
      <c r="A447" t="s">
        <v>1894</v>
      </c>
    </row>
    <row r="448" spans="1:19">
      <c r="A448" s="395"/>
      <c r="B448" s="396"/>
      <c r="C448" s="195"/>
      <c r="D448" s="2117" t="s">
        <v>1483</v>
      </c>
      <c r="E448" s="2117"/>
      <c r="F448" s="2117"/>
      <c r="G448" s="2117"/>
      <c r="H448" s="2117" t="s">
        <v>1484</v>
      </c>
      <c r="I448" s="2117"/>
      <c r="J448" s="2117"/>
      <c r="K448" s="2117"/>
    </row>
    <row r="449" spans="1:11" ht="18">
      <c r="A449" s="397" t="s">
        <v>447</v>
      </c>
      <c r="B449" s="398" t="s">
        <v>1827</v>
      </c>
      <c r="C449" s="399" t="s">
        <v>70</v>
      </c>
      <c r="D449" s="400" t="s">
        <v>1485</v>
      </c>
      <c r="E449" s="400" t="s">
        <v>1486</v>
      </c>
      <c r="F449" s="400" t="s">
        <v>1487</v>
      </c>
      <c r="G449" s="400" t="s">
        <v>1488</v>
      </c>
      <c r="H449" s="400" t="s">
        <v>1485</v>
      </c>
      <c r="I449" s="400" t="s">
        <v>1486</v>
      </c>
      <c r="J449" s="400" t="s">
        <v>1487</v>
      </c>
      <c r="K449" s="400" t="s">
        <v>1488</v>
      </c>
    </row>
    <row r="450" spans="1:11">
      <c r="A450" s="2017" t="s">
        <v>1753</v>
      </c>
      <c r="B450" s="401" t="s">
        <v>1828</v>
      </c>
      <c r="C450" s="400" t="s">
        <v>1712</v>
      </c>
      <c r="D450" s="402">
        <v>4.7671899999999994</v>
      </c>
      <c r="E450" s="402">
        <v>4.7413400000000001</v>
      </c>
      <c r="F450" s="402">
        <v>2.2399999999999998E-3</v>
      </c>
      <c r="G450" s="402">
        <v>2.3609999999999999E-2</v>
      </c>
      <c r="H450" s="402">
        <v>2.52129</v>
      </c>
      <c r="I450" s="402">
        <v>2.4954399999999999</v>
      </c>
      <c r="J450" s="402">
        <v>2.2399999999999998E-3</v>
      </c>
      <c r="K450" s="402">
        <v>2.3609999999999999E-2</v>
      </c>
    </row>
    <row r="451" spans="1:11">
      <c r="A451" s="2017"/>
      <c r="B451" s="401" t="s">
        <v>1353</v>
      </c>
      <c r="C451" s="400" t="s">
        <v>1712</v>
      </c>
      <c r="D451" s="402">
        <v>2.20946</v>
      </c>
      <c r="E451" s="402">
        <v>2.1984300000000001</v>
      </c>
      <c r="F451" s="402">
        <v>8.0000000000000007E-5</v>
      </c>
      <c r="G451" s="402">
        <v>1.095E-2</v>
      </c>
      <c r="H451" s="402">
        <v>1.1681000000000001</v>
      </c>
      <c r="I451" s="402">
        <v>1.15707</v>
      </c>
      <c r="J451" s="402">
        <v>8.0000000000000007E-5</v>
      </c>
      <c r="K451" s="402">
        <v>1.095E-2</v>
      </c>
    </row>
    <row r="452" spans="1:11">
      <c r="A452" s="2017"/>
      <c r="B452" s="401" t="s">
        <v>1354</v>
      </c>
      <c r="C452" s="400" t="s">
        <v>1712</v>
      </c>
      <c r="D452" s="402">
        <v>1.1338200000000001</v>
      </c>
      <c r="E452" s="402">
        <v>1.1281600000000001</v>
      </c>
      <c r="F452" s="402">
        <v>4.0000000000000003E-5</v>
      </c>
      <c r="G452" s="402">
        <v>5.62E-3</v>
      </c>
      <c r="H452" s="402">
        <v>0.59943000000000002</v>
      </c>
      <c r="I452" s="402">
        <v>0.59377000000000002</v>
      </c>
      <c r="J452" s="402">
        <v>4.0000000000000003E-5</v>
      </c>
      <c r="K452" s="402">
        <v>5.62E-3</v>
      </c>
    </row>
    <row r="455" spans="1:11" ht="18">
      <c r="A455" s="397" t="s">
        <v>447</v>
      </c>
      <c r="B455" s="398" t="s">
        <v>1827</v>
      </c>
      <c r="C455" s="399" t="s">
        <v>1833</v>
      </c>
      <c r="D455" s="399" t="s">
        <v>70</v>
      </c>
      <c r="E455" s="400" t="s">
        <v>1485</v>
      </c>
      <c r="F455" s="400" t="s">
        <v>1486</v>
      </c>
      <c r="G455" s="400" t="s">
        <v>1487</v>
      </c>
      <c r="H455" s="400" t="s">
        <v>1488</v>
      </c>
    </row>
    <row r="456" spans="1:11">
      <c r="A456" s="2017" t="s">
        <v>1834</v>
      </c>
      <c r="B456" s="2118" t="s">
        <v>1765</v>
      </c>
      <c r="C456" s="400" t="s">
        <v>1766</v>
      </c>
      <c r="D456" s="400" t="s">
        <v>1712</v>
      </c>
      <c r="E456" s="403">
        <v>2.5350000000000004E-3</v>
      </c>
      <c r="F456" s="403">
        <v>2.5000000000000001E-3</v>
      </c>
      <c r="G456" s="403">
        <v>9.9999999999999995E-7</v>
      </c>
      <c r="H456" s="403">
        <v>3.4E-5</v>
      </c>
    </row>
    <row r="457" spans="1:11">
      <c r="A457" s="2017"/>
      <c r="B457" s="2118"/>
      <c r="C457" s="400" t="s">
        <v>1768</v>
      </c>
      <c r="D457" s="400" t="s">
        <v>1712</v>
      </c>
      <c r="E457" s="403">
        <v>3.042E-3</v>
      </c>
      <c r="F457" s="403">
        <v>3.0000000000000001E-3</v>
      </c>
      <c r="G457" s="403">
        <v>9.9999999999999995E-7</v>
      </c>
      <c r="H457" s="403">
        <v>4.1E-5</v>
      </c>
    </row>
    <row r="458" spans="1:11">
      <c r="A458" s="2017"/>
      <c r="B458" s="2118"/>
      <c r="C458" s="400" t="s">
        <v>1769</v>
      </c>
      <c r="D458" s="400" t="s">
        <v>1712</v>
      </c>
      <c r="E458" s="403">
        <v>4.1569999999999992E-3</v>
      </c>
      <c r="F458" s="403">
        <v>4.0999999999999995E-3</v>
      </c>
      <c r="G458" s="403">
        <v>9.9999999999999995E-7</v>
      </c>
      <c r="H458" s="403">
        <v>5.5999999999999999E-5</v>
      </c>
    </row>
    <row r="459" spans="1:11">
      <c r="A459" s="2017"/>
      <c r="B459" s="2118"/>
      <c r="C459" s="400" t="s">
        <v>1770</v>
      </c>
      <c r="D459" s="400" t="s">
        <v>1712</v>
      </c>
      <c r="E459" s="403">
        <v>5.7800000000000004E-3</v>
      </c>
      <c r="F459" s="403">
        <v>5.7000000000000002E-3</v>
      </c>
      <c r="G459" s="403">
        <v>1.9999999999999999E-6</v>
      </c>
      <c r="H459" s="403">
        <v>7.7999999999999999E-5</v>
      </c>
    </row>
    <row r="460" spans="1:11">
      <c r="A460" s="2017"/>
      <c r="B460" s="2118"/>
      <c r="C460" s="400" t="s">
        <v>1771</v>
      </c>
      <c r="D460" s="400" t="s">
        <v>1712</v>
      </c>
      <c r="E460" s="403">
        <v>8.0100000000000015E-3</v>
      </c>
      <c r="F460" s="403">
        <v>7.9000000000000008E-3</v>
      </c>
      <c r="G460" s="403">
        <v>1.9999999999999999E-6</v>
      </c>
      <c r="H460" s="403">
        <v>1.08E-4</v>
      </c>
    </row>
    <row r="461" spans="1:11">
      <c r="A461" s="2017"/>
      <c r="B461" s="2118"/>
      <c r="C461" s="400" t="s">
        <v>1772</v>
      </c>
      <c r="D461" s="400" t="s">
        <v>1712</v>
      </c>
      <c r="E461" s="403">
        <v>2.9606999999999998E-2</v>
      </c>
      <c r="F461" s="403">
        <v>2.92E-2</v>
      </c>
      <c r="G461" s="403">
        <v>9.0000000000000002E-6</v>
      </c>
      <c r="H461" s="403">
        <v>3.9800000000000002E-4</v>
      </c>
    </row>
    <row r="462" spans="1:11">
      <c r="A462" s="2017"/>
      <c r="B462" s="2118"/>
      <c r="C462" s="400" t="s">
        <v>1773</v>
      </c>
      <c r="D462" s="400" t="s">
        <v>1712</v>
      </c>
      <c r="E462" s="403">
        <f>E459</f>
        <v>5.7800000000000004E-3</v>
      </c>
      <c r="F462" s="403">
        <f t="shared" ref="F462:H462" si="0">F459</f>
        <v>5.7000000000000002E-3</v>
      </c>
      <c r="G462" s="403">
        <f t="shared" si="0"/>
        <v>1.9999999999999999E-6</v>
      </c>
      <c r="H462" s="403">
        <f t="shared" si="0"/>
        <v>7.7999999999999999E-5</v>
      </c>
    </row>
    <row r="463" spans="1:11">
      <c r="A463" s="2017"/>
      <c r="B463" s="2118" t="s">
        <v>1774</v>
      </c>
      <c r="C463" s="400" t="s">
        <v>1775</v>
      </c>
      <c r="D463" s="400" t="s">
        <v>1712</v>
      </c>
      <c r="E463" s="403">
        <v>1.2066000000000002E-2</v>
      </c>
      <c r="F463" s="403">
        <v>1.1900000000000001E-2</v>
      </c>
      <c r="G463" s="403">
        <v>3.9999999999999998E-6</v>
      </c>
      <c r="H463" s="403">
        <v>1.6200000000000001E-4</v>
      </c>
    </row>
    <row r="464" spans="1:11">
      <c r="A464" s="2017"/>
      <c r="B464" s="2118"/>
      <c r="C464" s="400" t="s">
        <v>1776</v>
      </c>
      <c r="D464" s="400" t="s">
        <v>1712</v>
      </c>
      <c r="E464" s="403">
        <v>1.6020000000000003E-2</v>
      </c>
      <c r="F464" s="403">
        <v>1.5800000000000002E-2</v>
      </c>
      <c r="G464" s="403">
        <v>5.0000000000000004E-6</v>
      </c>
      <c r="H464" s="403">
        <v>2.1499999999999999E-4</v>
      </c>
    </row>
    <row r="465" spans="1:8">
      <c r="A465" s="2017"/>
      <c r="B465" s="2118"/>
      <c r="C465" s="400" t="s">
        <v>1777</v>
      </c>
      <c r="D465" s="400" t="s">
        <v>1712</v>
      </c>
      <c r="E465" s="403">
        <v>1.4093000000000001E-2</v>
      </c>
      <c r="F465" s="403">
        <v>1.3900000000000001E-2</v>
      </c>
      <c r="G465" s="403">
        <v>3.9999999999999998E-6</v>
      </c>
      <c r="H465" s="403">
        <v>1.8900000000000001E-4</v>
      </c>
    </row>
    <row r="466" spans="1:8">
      <c r="A466" s="2017"/>
      <c r="B466" s="2118"/>
      <c r="C466" s="400" t="s">
        <v>1778</v>
      </c>
      <c r="D466" s="400" t="s">
        <v>1712</v>
      </c>
      <c r="E466" s="403">
        <v>1.1153E-2</v>
      </c>
      <c r="F466" s="403">
        <v>1.0999999999999999E-2</v>
      </c>
      <c r="G466" s="403">
        <v>3.0000000000000001E-6</v>
      </c>
      <c r="H466" s="403">
        <v>1.4999999999999999E-4</v>
      </c>
    </row>
    <row r="467" spans="1:8">
      <c r="A467" s="2017"/>
      <c r="B467" s="2118"/>
      <c r="C467" s="400" t="s">
        <v>1779</v>
      </c>
      <c r="D467" s="400" t="s">
        <v>1712</v>
      </c>
      <c r="E467" s="403">
        <v>1.7744000000000003E-2</v>
      </c>
      <c r="F467" s="403">
        <v>1.7500000000000002E-2</v>
      </c>
      <c r="G467" s="403">
        <v>5.0000000000000004E-6</v>
      </c>
      <c r="H467" s="403">
        <v>2.3900000000000001E-4</v>
      </c>
    </row>
    <row r="468" spans="1:8">
      <c r="A468" s="2017"/>
      <c r="B468" s="2118"/>
      <c r="C468" s="400" t="s">
        <v>1780</v>
      </c>
      <c r="D468" s="400" t="s">
        <v>1712</v>
      </c>
      <c r="E468" s="403">
        <v>2.0076E-2</v>
      </c>
      <c r="F468" s="403">
        <v>1.9800000000000002E-2</v>
      </c>
      <c r="G468" s="403">
        <v>6.0000000000000002E-6</v>
      </c>
      <c r="H468" s="403">
        <v>2.7E-4</v>
      </c>
    </row>
    <row r="469" spans="1:8">
      <c r="A469" s="2017"/>
      <c r="B469" s="2118"/>
      <c r="C469" s="400" t="s">
        <v>1773</v>
      </c>
      <c r="D469" s="400" t="s">
        <v>1712</v>
      </c>
      <c r="E469" s="403">
        <f>E463</f>
        <v>1.2066000000000002E-2</v>
      </c>
      <c r="F469" s="403">
        <f t="shared" ref="F469:H469" si="1">F463</f>
        <v>1.1900000000000001E-2</v>
      </c>
      <c r="G469" s="403">
        <f t="shared" si="1"/>
        <v>3.9999999999999998E-6</v>
      </c>
      <c r="H469" s="403">
        <f t="shared" si="1"/>
        <v>1.6200000000000001E-4</v>
      </c>
    </row>
    <row r="470" spans="1:8">
      <c r="A470" s="2017"/>
      <c r="B470" s="2118" t="s">
        <v>1781</v>
      </c>
      <c r="C470" s="400" t="s">
        <v>1782</v>
      </c>
      <c r="D470" s="400" t="s">
        <v>1712</v>
      </c>
      <c r="E470" s="403">
        <v>1.2674000000000001E-2</v>
      </c>
      <c r="F470" s="403">
        <v>1.2500000000000001E-2</v>
      </c>
      <c r="G470" s="403">
        <v>3.9999999999999998E-6</v>
      </c>
      <c r="H470" s="403">
        <v>1.7000000000000001E-4</v>
      </c>
    </row>
    <row r="471" spans="1:8">
      <c r="A471" s="2017"/>
      <c r="B471" s="2118"/>
      <c r="C471" s="400" t="s">
        <v>1783</v>
      </c>
      <c r="D471" s="400" t="s">
        <v>1712</v>
      </c>
      <c r="E471" s="403">
        <v>1.6831000000000002E-2</v>
      </c>
      <c r="F471" s="403">
        <v>1.66E-2</v>
      </c>
      <c r="G471" s="403">
        <v>5.0000000000000004E-6</v>
      </c>
      <c r="H471" s="403">
        <v>2.2599999999999999E-4</v>
      </c>
    </row>
    <row r="472" spans="1:8">
      <c r="A472" s="2017"/>
      <c r="B472" s="2118"/>
      <c r="C472" s="400" t="s">
        <v>1784</v>
      </c>
      <c r="D472" s="400" t="s">
        <v>1712</v>
      </c>
      <c r="E472" s="403">
        <v>1.6831000000000002E-2</v>
      </c>
      <c r="F472" s="403">
        <v>1.66E-2</v>
      </c>
      <c r="G472" s="403">
        <v>5.0000000000000004E-6</v>
      </c>
      <c r="H472" s="403">
        <v>2.2599999999999999E-4</v>
      </c>
    </row>
    <row r="473" spans="1:8">
      <c r="A473" s="2017"/>
      <c r="B473" s="2118"/>
      <c r="C473" s="400" t="s">
        <v>1785</v>
      </c>
      <c r="D473" s="400" t="s">
        <v>1712</v>
      </c>
      <c r="E473" s="403">
        <v>2.0278999999999998E-2</v>
      </c>
      <c r="F473" s="403">
        <v>0.02</v>
      </c>
      <c r="G473" s="403">
        <v>6.0000000000000002E-6</v>
      </c>
      <c r="H473" s="403">
        <v>2.7300000000000002E-4</v>
      </c>
    </row>
    <row r="474" spans="1:8">
      <c r="A474" s="2017"/>
      <c r="B474" s="2118"/>
      <c r="C474" s="400" t="s">
        <v>1786</v>
      </c>
      <c r="D474" s="400" t="s">
        <v>1712</v>
      </c>
      <c r="E474" s="403">
        <v>3.2548000000000007E-2</v>
      </c>
      <c r="F474" s="403">
        <v>3.2100000000000004E-2</v>
      </c>
      <c r="G474" s="403">
        <v>1.0000000000000001E-5</v>
      </c>
      <c r="H474" s="403">
        <v>4.3800000000000002E-4</v>
      </c>
    </row>
    <row r="475" spans="1:8">
      <c r="A475" s="2017"/>
      <c r="B475" s="2118"/>
      <c r="C475" s="400" t="s">
        <v>1787</v>
      </c>
      <c r="D475" s="400" t="s">
        <v>1712</v>
      </c>
      <c r="E475" s="403">
        <v>3.6805999999999998E-2</v>
      </c>
      <c r="F475" s="403">
        <v>3.6299999999999999E-2</v>
      </c>
      <c r="G475" s="403">
        <v>1.1E-5</v>
      </c>
      <c r="H475" s="403">
        <v>4.95E-4</v>
      </c>
    </row>
    <row r="476" spans="1:8">
      <c r="A476" s="2017"/>
      <c r="B476" s="2118"/>
      <c r="C476" s="400" t="s">
        <v>1773</v>
      </c>
      <c r="D476" s="400" t="s">
        <v>1712</v>
      </c>
      <c r="E476" s="403">
        <f>E473</f>
        <v>2.0278999999999998E-2</v>
      </c>
      <c r="F476" s="403">
        <f>F473</f>
        <v>0.02</v>
      </c>
      <c r="G476" s="403">
        <f t="shared" ref="G476:H476" si="2">G473</f>
        <v>6.0000000000000002E-6</v>
      </c>
      <c r="H476" s="403">
        <f t="shared" si="2"/>
        <v>2.7300000000000002E-4</v>
      </c>
    </row>
    <row r="477" spans="1:8">
      <c r="A477" s="2017"/>
      <c r="B477" s="2118" t="s">
        <v>1788</v>
      </c>
      <c r="C477" s="400" t="s">
        <v>1789</v>
      </c>
      <c r="D477" s="400" t="s">
        <v>1712</v>
      </c>
      <c r="E477" s="403">
        <v>3.2446000000000003E-2</v>
      </c>
      <c r="F477" s="403">
        <v>3.2000000000000001E-2</v>
      </c>
      <c r="G477" s="403">
        <v>1.0000000000000001E-5</v>
      </c>
      <c r="H477" s="403">
        <v>4.3600000000000003E-4</v>
      </c>
    </row>
    <row r="478" spans="1:8">
      <c r="A478" s="2017"/>
      <c r="B478" s="2118"/>
      <c r="C478" s="400" t="s">
        <v>1790</v>
      </c>
      <c r="D478" s="400" t="s">
        <v>1712</v>
      </c>
      <c r="E478" s="403">
        <v>5.8402000000000003E-2</v>
      </c>
      <c r="F478" s="403">
        <v>5.7599999999999998E-2</v>
      </c>
      <c r="G478" s="403">
        <v>1.7E-5</v>
      </c>
      <c r="H478" s="403">
        <v>7.85E-4</v>
      </c>
    </row>
    <row r="479" spans="1:8">
      <c r="A479" s="2017"/>
      <c r="B479" s="2118"/>
      <c r="C479" s="400" t="s">
        <v>1773</v>
      </c>
      <c r="D479" s="400" t="s">
        <v>1712</v>
      </c>
      <c r="E479" s="403">
        <v>3.8580999999999997E-2</v>
      </c>
      <c r="F479" s="403">
        <v>3.805E-2</v>
      </c>
      <c r="G479" s="403">
        <v>1.2E-5</v>
      </c>
      <c r="H479" s="403">
        <v>5.1900000000000004E-4</v>
      </c>
    </row>
    <row r="480" spans="1:8">
      <c r="A480" s="2017"/>
      <c r="B480" s="2118" t="s">
        <v>1791</v>
      </c>
      <c r="C480" s="400" t="s">
        <v>1792</v>
      </c>
      <c r="D480" s="400" t="s">
        <v>1712</v>
      </c>
      <c r="E480" s="403">
        <v>5.0190000000000005E-2</v>
      </c>
      <c r="F480" s="403">
        <v>4.9500000000000002E-2</v>
      </c>
      <c r="G480" s="403">
        <v>1.5E-5</v>
      </c>
      <c r="H480" s="403">
        <v>6.7500000000000004E-4</v>
      </c>
    </row>
    <row r="481" spans="1:8">
      <c r="A481" s="2017"/>
      <c r="B481" s="2118"/>
      <c r="C481" s="400" t="s">
        <v>1793</v>
      </c>
      <c r="D481" s="400" t="s">
        <v>1712</v>
      </c>
      <c r="E481" s="403">
        <v>6.114E-2</v>
      </c>
      <c r="F481" s="403">
        <v>6.0299999999999999E-2</v>
      </c>
      <c r="G481" s="403">
        <v>1.8E-5</v>
      </c>
      <c r="H481" s="403">
        <v>8.2200000000000003E-4</v>
      </c>
    </row>
    <row r="482" spans="1:8">
      <c r="A482" s="2017"/>
      <c r="B482" s="2118"/>
      <c r="C482" s="400" t="s">
        <v>1773</v>
      </c>
      <c r="D482" s="400" t="s">
        <v>1712</v>
      </c>
      <c r="E482" s="403">
        <v>5.1659000000000004E-2</v>
      </c>
      <c r="F482" s="403">
        <v>5.0950000000000002E-2</v>
      </c>
      <c r="G482" s="403">
        <v>1.5E-5</v>
      </c>
      <c r="H482" s="403">
        <v>6.9399999999999996E-4</v>
      </c>
    </row>
    <row r="483" spans="1:8">
      <c r="A483" s="2017"/>
      <c r="B483" s="401" t="s">
        <v>1795</v>
      </c>
      <c r="C483" s="400" t="s">
        <v>1796</v>
      </c>
      <c r="D483" s="400" t="s">
        <v>1712</v>
      </c>
      <c r="E483" s="403">
        <v>1.3080000000000001E-2</v>
      </c>
      <c r="F483" s="403">
        <v>1.29E-2</v>
      </c>
      <c r="G483" s="403">
        <v>3.9999999999999998E-6</v>
      </c>
      <c r="H483" s="403">
        <v>1.76E-4</v>
      </c>
    </row>
  </sheetData>
  <mergeCells count="962">
    <mergeCell ref="SFI359:SFX359"/>
    <mergeCell ref="SFY359:SGN359"/>
    <mergeCell ref="SGO359:SHD359"/>
    <mergeCell ref="SHE359:SHT359"/>
    <mergeCell ref="SHU359:SIJ359"/>
    <mergeCell ref="SIK359:SIZ359"/>
    <mergeCell ref="SJA359:SJP359"/>
    <mergeCell ref="SJQ359:SKF359"/>
    <mergeCell ref="SKG359:SKV359"/>
    <mergeCell ref="SQK359:SQZ359"/>
    <mergeCell ref="SRA359:SRP359"/>
    <mergeCell ref="SRQ359:SSF359"/>
    <mergeCell ref="SSG359:SSV359"/>
    <mergeCell ref="SSW359:STL359"/>
    <mergeCell ref="STM359:SUB359"/>
    <mergeCell ref="SKW359:SLL359"/>
    <mergeCell ref="SLM359:SMB359"/>
    <mergeCell ref="SMC359:SMR359"/>
    <mergeCell ref="SMS359:SNH359"/>
    <mergeCell ref="SNI359:SNX359"/>
    <mergeCell ref="SNY359:SON359"/>
    <mergeCell ref="SOO359:SPD359"/>
    <mergeCell ref="SPE359:SPT359"/>
    <mergeCell ref="SPU359:SQJ359"/>
    <mergeCell ref="RUG359:RUV359"/>
    <mergeCell ref="RUW359:RVL359"/>
    <mergeCell ref="RVM359:RWB359"/>
    <mergeCell ref="RWC359:RWR359"/>
    <mergeCell ref="RWS359:RXH359"/>
    <mergeCell ref="RXI359:RXX359"/>
    <mergeCell ref="RXY359:RYN359"/>
    <mergeCell ref="RYO359:RZD359"/>
    <mergeCell ref="RZE359:RZT359"/>
    <mergeCell ref="RZU359:SAJ359"/>
    <mergeCell ref="SAK359:SAZ359"/>
    <mergeCell ref="SBA359:SBP359"/>
    <mergeCell ref="SBQ359:SCF359"/>
    <mergeCell ref="SCG359:SCV359"/>
    <mergeCell ref="SCW359:SDL359"/>
    <mergeCell ref="SDM359:SEB359"/>
    <mergeCell ref="SEC359:SER359"/>
    <mergeCell ref="SES359:SFH359"/>
    <mergeCell ref="RJE359:RJT359"/>
    <mergeCell ref="RJU359:RKJ359"/>
    <mergeCell ref="RKK359:RKZ359"/>
    <mergeCell ref="RLA359:RLP359"/>
    <mergeCell ref="RLQ359:RMF359"/>
    <mergeCell ref="RMG359:RMV359"/>
    <mergeCell ref="RMW359:RNL359"/>
    <mergeCell ref="RNM359:ROB359"/>
    <mergeCell ref="ROC359:ROR359"/>
    <mergeCell ref="ROS359:RPH359"/>
    <mergeCell ref="RPI359:RPX359"/>
    <mergeCell ref="RPY359:RQN359"/>
    <mergeCell ref="RQO359:RRD359"/>
    <mergeCell ref="RRE359:RRT359"/>
    <mergeCell ref="RRU359:RSJ359"/>
    <mergeCell ref="RSK359:RSZ359"/>
    <mergeCell ref="RTA359:RTP359"/>
    <mergeCell ref="RTQ359:RUF359"/>
    <mergeCell ref="QYC359:QYR359"/>
    <mergeCell ref="QYS359:QZH359"/>
    <mergeCell ref="QZI359:QZX359"/>
    <mergeCell ref="QZY359:RAN359"/>
    <mergeCell ref="RAO359:RBD359"/>
    <mergeCell ref="RBE359:RBT359"/>
    <mergeCell ref="RBU359:RCJ359"/>
    <mergeCell ref="RCK359:RCZ359"/>
    <mergeCell ref="RDA359:RDP359"/>
    <mergeCell ref="RDQ359:REF359"/>
    <mergeCell ref="REG359:REV359"/>
    <mergeCell ref="REW359:RFL359"/>
    <mergeCell ref="RFM359:RGB359"/>
    <mergeCell ref="RGC359:RGR359"/>
    <mergeCell ref="RGS359:RHH359"/>
    <mergeCell ref="RHI359:RHX359"/>
    <mergeCell ref="RHY359:RIN359"/>
    <mergeCell ref="RIO359:RJD359"/>
    <mergeCell ref="QNA359:QNP359"/>
    <mergeCell ref="QNQ359:QOF359"/>
    <mergeCell ref="QOG359:QOV359"/>
    <mergeCell ref="QOW359:QPL359"/>
    <mergeCell ref="QPM359:QQB359"/>
    <mergeCell ref="QQC359:QQR359"/>
    <mergeCell ref="QQS359:QRH359"/>
    <mergeCell ref="QRI359:QRX359"/>
    <mergeCell ref="QRY359:QSN359"/>
    <mergeCell ref="QSO359:QTD359"/>
    <mergeCell ref="QTE359:QTT359"/>
    <mergeCell ref="QTU359:QUJ359"/>
    <mergeCell ref="QUK359:QUZ359"/>
    <mergeCell ref="QVA359:QVP359"/>
    <mergeCell ref="QVQ359:QWF359"/>
    <mergeCell ref="QWG359:QWV359"/>
    <mergeCell ref="QWW359:QXL359"/>
    <mergeCell ref="QXM359:QYB359"/>
    <mergeCell ref="QBY359:QCN359"/>
    <mergeCell ref="QCO359:QDD359"/>
    <mergeCell ref="QDE359:QDT359"/>
    <mergeCell ref="QDU359:QEJ359"/>
    <mergeCell ref="QEK359:QEZ359"/>
    <mergeCell ref="QFA359:QFP359"/>
    <mergeCell ref="QFQ359:QGF359"/>
    <mergeCell ref="QGG359:QGV359"/>
    <mergeCell ref="QGW359:QHL359"/>
    <mergeCell ref="QHM359:QIB359"/>
    <mergeCell ref="QIC359:QIR359"/>
    <mergeCell ref="QIS359:QJH359"/>
    <mergeCell ref="QJI359:QJX359"/>
    <mergeCell ref="QJY359:QKN359"/>
    <mergeCell ref="QKO359:QLD359"/>
    <mergeCell ref="QLE359:QLT359"/>
    <mergeCell ref="QLU359:QMJ359"/>
    <mergeCell ref="QMK359:QMZ359"/>
    <mergeCell ref="PQW359:PRL359"/>
    <mergeCell ref="PRM359:PSB359"/>
    <mergeCell ref="PSC359:PSR359"/>
    <mergeCell ref="PSS359:PTH359"/>
    <mergeCell ref="PTI359:PTX359"/>
    <mergeCell ref="PTY359:PUN359"/>
    <mergeCell ref="PUO359:PVD359"/>
    <mergeCell ref="PVE359:PVT359"/>
    <mergeCell ref="PVU359:PWJ359"/>
    <mergeCell ref="PWK359:PWZ359"/>
    <mergeCell ref="PXA359:PXP359"/>
    <mergeCell ref="PXQ359:PYF359"/>
    <mergeCell ref="PYG359:PYV359"/>
    <mergeCell ref="PYW359:PZL359"/>
    <mergeCell ref="PZM359:QAB359"/>
    <mergeCell ref="QAC359:QAR359"/>
    <mergeCell ref="QAS359:QBH359"/>
    <mergeCell ref="QBI359:QBX359"/>
    <mergeCell ref="PFU359:PGJ359"/>
    <mergeCell ref="PGK359:PGZ359"/>
    <mergeCell ref="PHA359:PHP359"/>
    <mergeCell ref="PHQ359:PIF359"/>
    <mergeCell ref="PIG359:PIV359"/>
    <mergeCell ref="PIW359:PJL359"/>
    <mergeCell ref="PJM359:PKB359"/>
    <mergeCell ref="PKC359:PKR359"/>
    <mergeCell ref="PKS359:PLH359"/>
    <mergeCell ref="PLI359:PLX359"/>
    <mergeCell ref="PLY359:PMN359"/>
    <mergeCell ref="PMO359:PND359"/>
    <mergeCell ref="PNE359:PNT359"/>
    <mergeCell ref="PNU359:POJ359"/>
    <mergeCell ref="POK359:POZ359"/>
    <mergeCell ref="PPA359:PPP359"/>
    <mergeCell ref="PPQ359:PQF359"/>
    <mergeCell ref="PQG359:PQV359"/>
    <mergeCell ref="OUS359:OVH359"/>
    <mergeCell ref="OVI359:OVX359"/>
    <mergeCell ref="OVY359:OWN359"/>
    <mergeCell ref="OWO359:OXD359"/>
    <mergeCell ref="OXE359:OXT359"/>
    <mergeCell ref="OXU359:OYJ359"/>
    <mergeCell ref="OYK359:OYZ359"/>
    <mergeCell ref="OZA359:OZP359"/>
    <mergeCell ref="OZQ359:PAF359"/>
    <mergeCell ref="PAG359:PAV359"/>
    <mergeCell ref="PAW359:PBL359"/>
    <mergeCell ref="PBM359:PCB359"/>
    <mergeCell ref="PCC359:PCR359"/>
    <mergeCell ref="PCS359:PDH359"/>
    <mergeCell ref="PDI359:PDX359"/>
    <mergeCell ref="PDY359:PEN359"/>
    <mergeCell ref="PEO359:PFD359"/>
    <mergeCell ref="PFE359:PFT359"/>
    <mergeCell ref="OJQ359:OKF359"/>
    <mergeCell ref="OKG359:OKV359"/>
    <mergeCell ref="OKW359:OLL359"/>
    <mergeCell ref="OLM359:OMB359"/>
    <mergeCell ref="OMC359:OMR359"/>
    <mergeCell ref="OMS359:ONH359"/>
    <mergeCell ref="ONI359:ONX359"/>
    <mergeCell ref="ONY359:OON359"/>
    <mergeCell ref="OOO359:OPD359"/>
    <mergeCell ref="OPE359:OPT359"/>
    <mergeCell ref="OPU359:OQJ359"/>
    <mergeCell ref="OQK359:OQZ359"/>
    <mergeCell ref="ORA359:ORP359"/>
    <mergeCell ref="ORQ359:OSF359"/>
    <mergeCell ref="OSG359:OSV359"/>
    <mergeCell ref="OSW359:OTL359"/>
    <mergeCell ref="OTM359:OUB359"/>
    <mergeCell ref="OUC359:OUR359"/>
    <mergeCell ref="NYO359:NZD359"/>
    <mergeCell ref="NZE359:NZT359"/>
    <mergeCell ref="NZU359:OAJ359"/>
    <mergeCell ref="OAK359:OAZ359"/>
    <mergeCell ref="OBA359:OBP359"/>
    <mergeCell ref="OBQ359:OCF359"/>
    <mergeCell ref="OCG359:OCV359"/>
    <mergeCell ref="OCW359:ODL359"/>
    <mergeCell ref="ODM359:OEB359"/>
    <mergeCell ref="OEC359:OER359"/>
    <mergeCell ref="OES359:OFH359"/>
    <mergeCell ref="OFI359:OFX359"/>
    <mergeCell ref="OFY359:OGN359"/>
    <mergeCell ref="OGO359:OHD359"/>
    <mergeCell ref="OHE359:OHT359"/>
    <mergeCell ref="OHU359:OIJ359"/>
    <mergeCell ref="OIK359:OIZ359"/>
    <mergeCell ref="OJA359:OJP359"/>
    <mergeCell ref="NNM359:NOB359"/>
    <mergeCell ref="NOC359:NOR359"/>
    <mergeCell ref="NOS359:NPH359"/>
    <mergeCell ref="NPI359:NPX359"/>
    <mergeCell ref="NPY359:NQN359"/>
    <mergeCell ref="NQO359:NRD359"/>
    <mergeCell ref="NRE359:NRT359"/>
    <mergeCell ref="NRU359:NSJ359"/>
    <mergeCell ref="NSK359:NSZ359"/>
    <mergeCell ref="NTA359:NTP359"/>
    <mergeCell ref="NTQ359:NUF359"/>
    <mergeCell ref="NUG359:NUV359"/>
    <mergeCell ref="NUW359:NVL359"/>
    <mergeCell ref="NVM359:NWB359"/>
    <mergeCell ref="NWC359:NWR359"/>
    <mergeCell ref="NWS359:NXH359"/>
    <mergeCell ref="NXI359:NXX359"/>
    <mergeCell ref="NXY359:NYN359"/>
    <mergeCell ref="NCK359:NCZ359"/>
    <mergeCell ref="NDA359:NDP359"/>
    <mergeCell ref="NDQ359:NEF359"/>
    <mergeCell ref="NEG359:NEV359"/>
    <mergeCell ref="NEW359:NFL359"/>
    <mergeCell ref="NFM359:NGB359"/>
    <mergeCell ref="NGC359:NGR359"/>
    <mergeCell ref="NGS359:NHH359"/>
    <mergeCell ref="NHI359:NHX359"/>
    <mergeCell ref="NHY359:NIN359"/>
    <mergeCell ref="NIO359:NJD359"/>
    <mergeCell ref="NJE359:NJT359"/>
    <mergeCell ref="NJU359:NKJ359"/>
    <mergeCell ref="NKK359:NKZ359"/>
    <mergeCell ref="NLA359:NLP359"/>
    <mergeCell ref="NLQ359:NMF359"/>
    <mergeCell ref="NMG359:NMV359"/>
    <mergeCell ref="NMW359:NNL359"/>
    <mergeCell ref="MRI359:MRX359"/>
    <mergeCell ref="MRY359:MSN359"/>
    <mergeCell ref="MSO359:MTD359"/>
    <mergeCell ref="MTE359:MTT359"/>
    <mergeCell ref="MTU359:MUJ359"/>
    <mergeCell ref="MUK359:MUZ359"/>
    <mergeCell ref="MVA359:MVP359"/>
    <mergeCell ref="MVQ359:MWF359"/>
    <mergeCell ref="MWG359:MWV359"/>
    <mergeCell ref="MWW359:MXL359"/>
    <mergeCell ref="MXM359:MYB359"/>
    <mergeCell ref="MYC359:MYR359"/>
    <mergeCell ref="MYS359:MZH359"/>
    <mergeCell ref="MZI359:MZX359"/>
    <mergeCell ref="MZY359:NAN359"/>
    <mergeCell ref="NAO359:NBD359"/>
    <mergeCell ref="NBE359:NBT359"/>
    <mergeCell ref="NBU359:NCJ359"/>
    <mergeCell ref="MGG359:MGV359"/>
    <mergeCell ref="MGW359:MHL359"/>
    <mergeCell ref="MHM359:MIB359"/>
    <mergeCell ref="MIC359:MIR359"/>
    <mergeCell ref="MIS359:MJH359"/>
    <mergeCell ref="MJI359:MJX359"/>
    <mergeCell ref="MJY359:MKN359"/>
    <mergeCell ref="MKO359:MLD359"/>
    <mergeCell ref="MLE359:MLT359"/>
    <mergeCell ref="MLU359:MMJ359"/>
    <mergeCell ref="MMK359:MMZ359"/>
    <mergeCell ref="MNA359:MNP359"/>
    <mergeCell ref="MNQ359:MOF359"/>
    <mergeCell ref="MOG359:MOV359"/>
    <mergeCell ref="MOW359:MPL359"/>
    <mergeCell ref="MPM359:MQB359"/>
    <mergeCell ref="MQC359:MQR359"/>
    <mergeCell ref="MQS359:MRH359"/>
    <mergeCell ref="LVE359:LVT359"/>
    <mergeCell ref="LVU359:LWJ359"/>
    <mergeCell ref="LWK359:LWZ359"/>
    <mergeCell ref="LXA359:LXP359"/>
    <mergeCell ref="LXQ359:LYF359"/>
    <mergeCell ref="LYG359:LYV359"/>
    <mergeCell ref="LYW359:LZL359"/>
    <mergeCell ref="LZM359:MAB359"/>
    <mergeCell ref="MAC359:MAR359"/>
    <mergeCell ref="MAS359:MBH359"/>
    <mergeCell ref="MBI359:MBX359"/>
    <mergeCell ref="MBY359:MCN359"/>
    <mergeCell ref="MCO359:MDD359"/>
    <mergeCell ref="MDE359:MDT359"/>
    <mergeCell ref="MDU359:MEJ359"/>
    <mergeCell ref="MEK359:MEZ359"/>
    <mergeCell ref="MFA359:MFP359"/>
    <mergeCell ref="MFQ359:MGF359"/>
    <mergeCell ref="LKC359:LKR359"/>
    <mergeCell ref="LKS359:LLH359"/>
    <mergeCell ref="LLI359:LLX359"/>
    <mergeCell ref="LLY359:LMN359"/>
    <mergeCell ref="LMO359:LND359"/>
    <mergeCell ref="LNE359:LNT359"/>
    <mergeCell ref="LNU359:LOJ359"/>
    <mergeCell ref="LOK359:LOZ359"/>
    <mergeCell ref="LPA359:LPP359"/>
    <mergeCell ref="LPQ359:LQF359"/>
    <mergeCell ref="LQG359:LQV359"/>
    <mergeCell ref="LQW359:LRL359"/>
    <mergeCell ref="LRM359:LSB359"/>
    <mergeCell ref="LSC359:LSR359"/>
    <mergeCell ref="LSS359:LTH359"/>
    <mergeCell ref="LTI359:LTX359"/>
    <mergeCell ref="LTY359:LUN359"/>
    <mergeCell ref="LUO359:LVD359"/>
    <mergeCell ref="KZA359:KZP359"/>
    <mergeCell ref="KZQ359:LAF359"/>
    <mergeCell ref="LAG359:LAV359"/>
    <mergeCell ref="LAW359:LBL359"/>
    <mergeCell ref="LBM359:LCB359"/>
    <mergeCell ref="LCC359:LCR359"/>
    <mergeCell ref="LCS359:LDH359"/>
    <mergeCell ref="LDI359:LDX359"/>
    <mergeCell ref="LDY359:LEN359"/>
    <mergeCell ref="LEO359:LFD359"/>
    <mergeCell ref="LFE359:LFT359"/>
    <mergeCell ref="LFU359:LGJ359"/>
    <mergeCell ref="LGK359:LGZ359"/>
    <mergeCell ref="LHA359:LHP359"/>
    <mergeCell ref="LHQ359:LIF359"/>
    <mergeCell ref="LIG359:LIV359"/>
    <mergeCell ref="LIW359:LJL359"/>
    <mergeCell ref="LJM359:LKB359"/>
    <mergeCell ref="KNY359:KON359"/>
    <mergeCell ref="KOO359:KPD359"/>
    <mergeCell ref="KPE359:KPT359"/>
    <mergeCell ref="KPU359:KQJ359"/>
    <mergeCell ref="KQK359:KQZ359"/>
    <mergeCell ref="KRA359:KRP359"/>
    <mergeCell ref="KRQ359:KSF359"/>
    <mergeCell ref="KSG359:KSV359"/>
    <mergeCell ref="KSW359:KTL359"/>
    <mergeCell ref="KTM359:KUB359"/>
    <mergeCell ref="KUC359:KUR359"/>
    <mergeCell ref="KUS359:KVH359"/>
    <mergeCell ref="KVI359:KVX359"/>
    <mergeCell ref="KVY359:KWN359"/>
    <mergeCell ref="KWO359:KXD359"/>
    <mergeCell ref="KXE359:KXT359"/>
    <mergeCell ref="KXU359:KYJ359"/>
    <mergeCell ref="KYK359:KYZ359"/>
    <mergeCell ref="KCW359:KDL359"/>
    <mergeCell ref="KDM359:KEB359"/>
    <mergeCell ref="KEC359:KER359"/>
    <mergeCell ref="KES359:KFH359"/>
    <mergeCell ref="KFI359:KFX359"/>
    <mergeCell ref="KFY359:KGN359"/>
    <mergeCell ref="KGO359:KHD359"/>
    <mergeCell ref="KHE359:KHT359"/>
    <mergeCell ref="KHU359:KIJ359"/>
    <mergeCell ref="KIK359:KIZ359"/>
    <mergeCell ref="KJA359:KJP359"/>
    <mergeCell ref="KJQ359:KKF359"/>
    <mergeCell ref="KKG359:KKV359"/>
    <mergeCell ref="KKW359:KLL359"/>
    <mergeCell ref="KLM359:KMB359"/>
    <mergeCell ref="KMC359:KMR359"/>
    <mergeCell ref="KMS359:KNH359"/>
    <mergeCell ref="KNI359:KNX359"/>
    <mergeCell ref="JRU359:JSJ359"/>
    <mergeCell ref="JSK359:JSZ359"/>
    <mergeCell ref="JTA359:JTP359"/>
    <mergeCell ref="JTQ359:JUF359"/>
    <mergeCell ref="JUG359:JUV359"/>
    <mergeCell ref="JUW359:JVL359"/>
    <mergeCell ref="JVM359:JWB359"/>
    <mergeCell ref="JWC359:JWR359"/>
    <mergeCell ref="JWS359:JXH359"/>
    <mergeCell ref="JXI359:JXX359"/>
    <mergeCell ref="JXY359:JYN359"/>
    <mergeCell ref="JYO359:JZD359"/>
    <mergeCell ref="JZE359:JZT359"/>
    <mergeCell ref="JZU359:KAJ359"/>
    <mergeCell ref="KAK359:KAZ359"/>
    <mergeCell ref="KBA359:KBP359"/>
    <mergeCell ref="KBQ359:KCF359"/>
    <mergeCell ref="KCG359:KCV359"/>
    <mergeCell ref="JGS359:JHH359"/>
    <mergeCell ref="JHI359:JHX359"/>
    <mergeCell ref="JHY359:JIN359"/>
    <mergeCell ref="JIO359:JJD359"/>
    <mergeCell ref="JJE359:JJT359"/>
    <mergeCell ref="JJU359:JKJ359"/>
    <mergeCell ref="JKK359:JKZ359"/>
    <mergeCell ref="JLA359:JLP359"/>
    <mergeCell ref="JLQ359:JMF359"/>
    <mergeCell ref="JMG359:JMV359"/>
    <mergeCell ref="JMW359:JNL359"/>
    <mergeCell ref="JNM359:JOB359"/>
    <mergeCell ref="JOC359:JOR359"/>
    <mergeCell ref="JOS359:JPH359"/>
    <mergeCell ref="JPI359:JPX359"/>
    <mergeCell ref="JPY359:JQN359"/>
    <mergeCell ref="JQO359:JRD359"/>
    <mergeCell ref="JRE359:JRT359"/>
    <mergeCell ref="IVQ359:IWF359"/>
    <mergeCell ref="IWG359:IWV359"/>
    <mergeCell ref="IWW359:IXL359"/>
    <mergeCell ref="IXM359:IYB359"/>
    <mergeCell ref="IYC359:IYR359"/>
    <mergeCell ref="IYS359:IZH359"/>
    <mergeCell ref="IZI359:IZX359"/>
    <mergeCell ref="IZY359:JAN359"/>
    <mergeCell ref="JAO359:JBD359"/>
    <mergeCell ref="JBE359:JBT359"/>
    <mergeCell ref="JBU359:JCJ359"/>
    <mergeCell ref="JCK359:JCZ359"/>
    <mergeCell ref="JDA359:JDP359"/>
    <mergeCell ref="JDQ359:JEF359"/>
    <mergeCell ref="JEG359:JEV359"/>
    <mergeCell ref="JEW359:JFL359"/>
    <mergeCell ref="JFM359:JGB359"/>
    <mergeCell ref="JGC359:JGR359"/>
    <mergeCell ref="IKO359:ILD359"/>
    <mergeCell ref="ILE359:ILT359"/>
    <mergeCell ref="ILU359:IMJ359"/>
    <mergeCell ref="IMK359:IMZ359"/>
    <mergeCell ref="INA359:INP359"/>
    <mergeCell ref="INQ359:IOF359"/>
    <mergeCell ref="IOG359:IOV359"/>
    <mergeCell ref="IOW359:IPL359"/>
    <mergeCell ref="IPM359:IQB359"/>
    <mergeCell ref="IQC359:IQR359"/>
    <mergeCell ref="IQS359:IRH359"/>
    <mergeCell ref="IRI359:IRX359"/>
    <mergeCell ref="IRY359:ISN359"/>
    <mergeCell ref="ISO359:ITD359"/>
    <mergeCell ref="ITE359:ITT359"/>
    <mergeCell ref="ITU359:IUJ359"/>
    <mergeCell ref="IUK359:IUZ359"/>
    <mergeCell ref="IVA359:IVP359"/>
    <mergeCell ref="HZM359:IAB359"/>
    <mergeCell ref="IAC359:IAR359"/>
    <mergeCell ref="IAS359:IBH359"/>
    <mergeCell ref="IBI359:IBX359"/>
    <mergeCell ref="IBY359:ICN359"/>
    <mergeCell ref="ICO359:IDD359"/>
    <mergeCell ref="IDE359:IDT359"/>
    <mergeCell ref="IDU359:IEJ359"/>
    <mergeCell ref="IEK359:IEZ359"/>
    <mergeCell ref="IFA359:IFP359"/>
    <mergeCell ref="IFQ359:IGF359"/>
    <mergeCell ref="IGG359:IGV359"/>
    <mergeCell ref="IGW359:IHL359"/>
    <mergeCell ref="IHM359:IIB359"/>
    <mergeCell ref="IIC359:IIR359"/>
    <mergeCell ref="IIS359:IJH359"/>
    <mergeCell ref="IJI359:IJX359"/>
    <mergeCell ref="IJY359:IKN359"/>
    <mergeCell ref="HOK359:HOZ359"/>
    <mergeCell ref="HPA359:HPP359"/>
    <mergeCell ref="HPQ359:HQF359"/>
    <mergeCell ref="HQG359:HQV359"/>
    <mergeCell ref="HQW359:HRL359"/>
    <mergeCell ref="HRM359:HSB359"/>
    <mergeCell ref="HSC359:HSR359"/>
    <mergeCell ref="HSS359:HTH359"/>
    <mergeCell ref="HTI359:HTX359"/>
    <mergeCell ref="HTY359:HUN359"/>
    <mergeCell ref="HUO359:HVD359"/>
    <mergeCell ref="HVE359:HVT359"/>
    <mergeCell ref="HVU359:HWJ359"/>
    <mergeCell ref="HWK359:HWZ359"/>
    <mergeCell ref="HXA359:HXP359"/>
    <mergeCell ref="HXQ359:HYF359"/>
    <mergeCell ref="HYG359:HYV359"/>
    <mergeCell ref="HYW359:HZL359"/>
    <mergeCell ref="HMO359:HND359"/>
    <mergeCell ref="HNE359:HNT359"/>
    <mergeCell ref="HNU359:HOJ359"/>
    <mergeCell ref="HDI359:HDX359"/>
    <mergeCell ref="HDY359:HEN359"/>
    <mergeCell ref="HEO359:HFD359"/>
    <mergeCell ref="HFE359:HFT359"/>
    <mergeCell ref="HFU359:HGJ359"/>
    <mergeCell ref="HGK359:HGZ359"/>
    <mergeCell ref="HHA359:HHP359"/>
    <mergeCell ref="HHQ359:HIF359"/>
    <mergeCell ref="HIG359:HIV359"/>
    <mergeCell ref="HBM359:HCB359"/>
    <mergeCell ref="HCC359:HCR359"/>
    <mergeCell ref="HCS359:HDH359"/>
    <mergeCell ref="HIW359:HJL359"/>
    <mergeCell ref="HJM359:HKB359"/>
    <mergeCell ref="HKC359:HKR359"/>
    <mergeCell ref="HKS359:HLH359"/>
    <mergeCell ref="HLI359:HLX359"/>
    <mergeCell ref="HLY359:HMN359"/>
    <mergeCell ref="GVY359:GWN359"/>
    <mergeCell ref="GWO359:GXD359"/>
    <mergeCell ref="GXE359:GXT359"/>
    <mergeCell ref="GXU359:GYJ359"/>
    <mergeCell ref="GYK359:GYZ359"/>
    <mergeCell ref="GZA359:GZP359"/>
    <mergeCell ref="GZQ359:HAF359"/>
    <mergeCell ref="HAG359:HAV359"/>
    <mergeCell ref="HAW359:HBL359"/>
    <mergeCell ref="GKW359:GLL359"/>
    <mergeCell ref="GLM359:GMB359"/>
    <mergeCell ref="GMC359:GMR359"/>
    <mergeCell ref="GMS359:GNH359"/>
    <mergeCell ref="GNI359:GNX359"/>
    <mergeCell ref="GNY359:GON359"/>
    <mergeCell ref="GOO359:GPD359"/>
    <mergeCell ref="GPE359:GPT359"/>
    <mergeCell ref="GPU359:GQJ359"/>
    <mergeCell ref="GQK359:GQZ359"/>
    <mergeCell ref="GRA359:GRP359"/>
    <mergeCell ref="GRQ359:GSF359"/>
    <mergeCell ref="GSG359:GSV359"/>
    <mergeCell ref="GSW359:GTL359"/>
    <mergeCell ref="GTM359:GUB359"/>
    <mergeCell ref="GUC359:GUR359"/>
    <mergeCell ref="GUS359:GVH359"/>
    <mergeCell ref="GVI359:GVX359"/>
    <mergeCell ref="FZU359:GAJ359"/>
    <mergeCell ref="GAK359:GAZ359"/>
    <mergeCell ref="GBA359:GBP359"/>
    <mergeCell ref="GBQ359:GCF359"/>
    <mergeCell ref="GCG359:GCV359"/>
    <mergeCell ref="GCW359:GDL359"/>
    <mergeCell ref="GDM359:GEB359"/>
    <mergeCell ref="GEC359:GER359"/>
    <mergeCell ref="GES359:GFH359"/>
    <mergeCell ref="GFI359:GFX359"/>
    <mergeCell ref="GFY359:GGN359"/>
    <mergeCell ref="GGO359:GHD359"/>
    <mergeCell ref="GHE359:GHT359"/>
    <mergeCell ref="GHU359:GIJ359"/>
    <mergeCell ref="GIK359:GIZ359"/>
    <mergeCell ref="GJA359:GJP359"/>
    <mergeCell ref="GJQ359:GKF359"/>
    <mergeCell ref="GKG359:GKV359"/>
    <mergeCell ref="FUW359:FVL359"/>
    <mergeCell ref="FVM359:FWB359"/>
    <mergeCell ref="FWC359:FWR359"/>
    <mergeCell ref="FWS359:FXH359"/>
    <mergeCell ref="FXI359:FXX359"/>
    <mergeCell ref="FXY359:FYN359"/>
    <mergeCell ref="FYO359:FZD359"/>
    <mergeCell ref="FZE359:FZT359"/>
    <mergeCell ref="FOS359:FPH359"/>
    <mergeCell ref="FPI359:FPX359"/>
    <mergeCell ref="FPY359:FQN359"/>
    <mergeCell ref="FQO359:FRD359"/>
    <mergeCell ref="FRE359:FRT359"/>
    <mergeCell ref="FRU359:FSJ359"/>
    <mergeCell ref="FSK359:FSZ359"/>
    <mergeCell ref="FTA359:FTP359"/>
    <mergeCell ref="FTQ359:FUF359"/>
    <mergeCell ref="FJU359:FKJ359"/>
    <mergeCell ref="FKK359:FKZ359"/>
    <mergeCell ref="FLA359:FLP359"/>
    <mergeCell ref="FLQ359:FMF359"/>
    <mergeCell ref="FMG359:FMV359"/>
    <mergeCell ref="FMW359:FNL359"/>
    <mergeCell ref="FNM359:FOB359"/>
    <mergeCell ref="FOC359:FOR359"/>
    <mergeCell ref="FUG359:FUV359"/>
    <mergeCell ref="FEG359:FEV359"/>
    <mergeCell ref="FEW359:FFL359"/>
    <mergeCell ref="FFM359:FGB359"/>
    <mergeCell ref="FGC359:FGR359"/>
    <mergeCell ref="FGS359:FHH359"/>
    <mergeCell ref="FHI359:FHX359"/>
    <mergeCell ref="FHY359:FIN359"/>
    <mergeCell ref="FIO359:FJD359"/>
    <mergeCell ref="FJE359:FJT359"/>
    <mergeCell ref="ETE359:ETT359"/>
    <mergeCell ref="ETU359:EUJ359"/>
    <mergeCell ref="EUK359:EUZ359"/>
    <mergeCell ref="EVA359:EVP359"/>
    <mergeCell ref="EVQ359:EWF359"/>
    <mergeCell ref="EWG359:EWV359"/>
    <mergeCell ref="EWW359:EXL359"/>
    <mergeCell ref="EXM359:EYB359"/>
    <mergeCell ref="EYC359:EYR359"/>
    <mergeCell ref="EYS359:EZH359"/>
    <mergeCell ref="EZI359:EZX359"/>
    <mergeCell ref="EZY359:FAN359"/>
    <mergeCell ref="FAO359:FBD359"/>
    <mergeCell ref="FBE359:FBT359"/>
    <mergeCell ref="FBU359:FCJ359"/>
    <mergeCell ref="FCK359:FCZ359"/>
    <mergeCell ref="FDA359:FDP359"/>
    <mergeCell ref="FDQ359:FEF359"/>
    <mergeCell ref="EIC359:EIR359"/>
    <mergeCell ref="EIS359:EJH359"/>
    <mergeCell ref="EJI359:EJX359"/>
    <mergeCell ref="EJY359:EKN359"/>
    <mergeCell ref="EKO359:ELD359"/>
    <mergeCell ref="ELE359:ELT359"/>
    <mergeCell ref="ELU359:EMJ359"/>
    <mergeCell ref="EMK359:EMZ359"/>
    <mergeCell ref="ENA359:ENP359"/>
    <mergeCell ref="ENQ359:EOF359"/>
    <mergeCell ref="EOG359:EOV359"/>
    <mergeCell ref="EOW359:EPL359"/>
    <mergeCell ref="EPM359:EQB359"/>
    <mergeCell ref="EQC359:EQR359"/>
    <mergeCell ref="EQS359:ERH359"/>
    <mergeCell ref="ERI359:ERX359"/>
    <mergeCell ref="ERY359:ESN359"/>
    <mergeCell ref="ESO359:ETD359"/>
    <mergeCell ref="DXA359:DXP359"/>
    <mergeCell ref="DXQ359:DYF359"/>
    <mergeCell ref="DYG359:DYV359"/>
    <mergeCell ref="DYW359:DZL359"/>
    <mergeCell ref="DZM359:EAB359"/>
    <mergeCell ref="EAC359:EAR359"/>
    <mergeCell ref="EAS359:EBH359"/>
    <mergeCell ref="EBI359:EBX359"/>
    <mergeCell ref="EBY359:ECN359"/>
    <mergeCell ref="ECO359:EDD359"/>
    <mergeCell ref="EDE359:EDT359"/>
    <mergeCell ref="EDU359:EEJ359"/>
    <mergeCell ref="EEK359:EEZ359"/>
    <mergeCell ref="EFA359:EFP359"/>
    <mergeCell ref="EFQ359:EGF359"/>
    <mergeCell ref="EGG359:EGV359"/>
    <mergeCell ref="EGW359:EHL359"/>
    <mergeCell ref="EHM359:EIB359"/>
    <mergeCell ref="DLY359:DMN359"/>
    <mergeCell ref="DMO359:DND359"/>
    <mergeCell ref="DNE359:DNT359"/>
    <mergeCell ref="DNU359:DOJ359"/>
    <mergeCell ref="DOK359:DOZ359"/>
    <mergeCell ref="DPA359:DPP359"/>
    <mergeCell ref="DPQ359:DQF359"/>
    <mergeCell ref="DQG359:DQV359"/>
    <mergeCell ref="DQW359:DRL359"/>
    <mergeCell ref="DRM359:DSB359"/>
    <mergeCell ref="DSC359:DSR359"/>
    <mergeCell ref="DSS359:DTH359"/>
    <mergeCell ref="DTI359:DTX359"/>
    <mergeCell ref="DTY359:DUN359"/>
    <mergeCell ref="DUO359:DVD359"/>
    <mergeCell ref="DVE359:DVT359"/>
    <mergeCell ref="DVU359:DWJ359"/>
    <mergeCell ref="DWK359:DWZ359"/>
    <mergeCell ref="DAW359:DBL359"/>
    <mergeCell ref="DBM359:DCB359"/>
    <mergeCell ref="DCC359:DCR359"/>
    <mergeCell ref="DCS359:DDH359"/>
    <mergeCell ref="DDI359:DDX359"/>
    <mergeCell ref="DDY359:DEN359"/>
    <mergeCell ref="DEO359:DFD359"/>
    <mergeCell ref="DFE359:DFT359"/>
    <mergeCell ref="DFU359:DGJ359"/>
    <mergeCell ref="DGK359:DGZ359"/>
    <mergeCell ref="DHA359:DHP359"/>
    <mergeCell ref="DHQ359:DIF359"/>
    <mergeCell ref="DIG359:DIV359"/>
    <mergeCell ref="DIW359:DJL359"/>
    <mergeCell ref="DJM359:DKB359"/>
    <mergeCell ref="DKC359:DKR359"/>
    <mergeCell ref="DKS359:DLH359"/>
    <mergeCell ref="DLI359:DLX359"/>
    <mergeCell ref="CPU359:CQJ359"/>
    <mergeCell ref="CQK359:CQZ359"/>
    <mergeCell ref="CRA359:CRP359"/>
    <mergeCell ref="CRQ359:CSF359"/>
    <mergeCell ref="CSG359:CSV359"/>
    <mergeCell ref="CSW359:CTL359"/>
    <mergeCell ref="CTM359:CUB359"/>
    <mergeCell ref="CUC359:CUR359"/>
    <mergeCell ref="CUS359:CVH359"/>
    <mergeCell ref="CVI359:CVX359"/>
    <mergeCell ref="CVY359:CWN359"/>
    <mergeCell ref="CWO359:CXD359"/>
    <mergeCell ref="CXE359:CXT359"/>
    <mergeCell ref="CXU359:CYJ359"/>
    <mergeCell ref="CYK359:CYZ359"/>
    <mergeCell ref="CZA359:CZP359"/>
    <mergeCell ref="CZQ359:DAF359"/>
    <mergeCell ref="DAG359:DAV359"/>
    <mergeCell ref="CES359:CFH359"/>
    <mergeCell ref="CFI359:CFX359"/>
    <mergeCell ref="CFY359:CGN359"/>
    <mergeCell ref="CGO359:CHD359"/>
    <mergeCell ref="CHE359:CHT359"/>
    <mergeCell ref="CHU359:CIJ359"/>
    <mergeCell ref="CIK359:CIZ359"/>
    <mergeCell ref="CJA359:CJP359"/>
    <mergeCell ref="CJQ359:CKF359"/>
    <mergeCell ref="CKG359:CKV359"/>
    <mergeCell ref="CKW359:CLL359"/>
    <mergeCell ref="CLM359:CMB359"/>
    <mergeCell ref="CMC359:CMR359"/>
    <mergeCell ref="CMS359:CNH359"/>
    <mergeCell ref="CNI359:CNX359"/>
    <mergeCell ref="CNY359:CON359"/>
    <mergeCell ref="COO359:CPD359"/>
    <mergeCell ref="CPE359:CPT359"/>
    <mergeCell ref="BTQ359:BUF359"/>
    <mergeCell ref="BUG359:BUV359"/>
    <mergeCell ref="BUW359:BVL359"/>
    <mergeCell ref="BVM359:BWB359"/>
    <mergeCell ref="BWC359:BWR359"/>
    <mergeCell ref="BWS359:BXH359"/>
    <mergeCell ref="BXI359:BXX359"/>
    <mergeCell ref="BXY359:BYN359"/>
    <mergeCell ref="BYO359:BZD359"/>
    <mergeCell ref="BZE359:BZT359"/>
    <mergeCell ref="BZU359:CAJ359"/>
    <mergeCell ref="CAK359:CAZ359"/>
    <mergeCell ref="CBA359:CBP359"/>
    <mergeCell ref="CBQ359:CCF359"/>
    <mergeCell ref="CCG359:CCV359"/>
    <mergeCell ref="CCW359:CDL359"/>
    <mergeCell ref="CDM359:CEB359"/>
    <mergeCell ref="CEC359:CER359"/>
    <mergeCell ref="BIO359:BJD359"/>
    <mergeCell ref="BJE359:BJT359"/>
    <mergeCell ref="BJU359:BKJ359"/>
    <mergeCell ref="BKK359:BKZ359"/>
    <mergeCell ref="BLA359:BLP359"/>
    <mergeCell ref="BLQ359:BMF359"/>
    <mergeCell ref="BMG359:BMV359"/>
    <mergeCell ref="BMW359:BNL359"/>
    <mergeCell ref="BNM359:BOB359"/>
    <mergeCell ref="BOC359:BOR359"/>
    <mergeCell ref="BOS359:BPH359"/>
    <mergeCell ref="BPI359:BPX359"/>
    <mergeCell ref="BPY359:BQN359"/>
    <mergeCell ref="BQO359:BRD359"/>
    <mergeCell ref="BRE359:BRT359"/>
    <mergeCell ref="BRU359:BSJ359"/>
    <mergeCell ref="BSK359:BSZ359"/>
    <mergeCell ref="BTA359:BTP359"/>
    <mergeCell ref="AXM359:AYB359"/>
    <mergeCell ref="AYC359:AYR359"/>
    <mergeCell ref="AYS359:AZH359"/>
    <mergeCell ref="AZI359:AZX359"/>
    <mergeCell ref="AZY359:BAN359"/>
    <mergeCell ref="BAO359:BBD359"/>
    <mergeCell ref="BBE359:BBT359"/>
    <mergeCell ref="BBU359:BCJ359"/>
    <mergeCell ref="BCK359:BCZ359"/>
    <mergeCell ref="BDA359:BDP359"/>
    <mergeCell ref="BDQ359:BEF359"/>
    <mergeCell ref="BEG359:BEV359"/>
    <mergeCell ref="BEW359:BFL359"/>
    <mergeCell ref="BFM359:BGB359"/>
    <mergeCell ref="BGC359:BGR359"/>
    <mergeCell ref="BGS359:BHH359"/>
    <mergeCell ref="BHI359:BHX359"/>
    <mergeCell ref="BHY359:BIN359"/>
    <mergeCell ref="AMK359:AMZ359"/>
    <mergeCell ref="ANA359:ANP359"/>
    <mergeCell ref="ANQ359:AOF359"/>
    <mergeCell ref="AOG359:AOV359"/>
    <mergeCell ref="AOW359:APL359"/>
    <mergeCell ref="APM359:AQB359"/>
    <mergeCell ref="AQC359:AQR359"/>
    <mergeCell ref="AQS359:ARH359"/>
    <mergeCell ref="ARI359:ARX359"/>
    <mergeCell ref="ARY359:ASN359"/>
    <mergeCell ref="ASO359:ATD359"/>
    <mergeCell ref="ATE359:ATT359"/>
    <mergeCell ref="ATU359:AUJ359"/>
    <mergeCell ref="AUK359:AUZ359"/>
    <mergeCell ref="AVA359:AVP359"/>
    <mergeCell ref="AVQ359:AWF359"/>
    <mergeCell ref="AWG359:AWV359"/>
    <mergeCell ref="AWW359:AXL359"/>
    <mergeCell ref="ABI359:ABX359"/>
    <mergeCell ref="ABY359:ACN359"/>
    <mergeCell ref="ACO359:ADD359"/>
    <mergeCell ref="ADE359:ADT359"/>
    <mergeCell ref="ADU359:AEJ359"/>
    <mergeCell ref="AEK359:AEZ359"/>
    <mergeCell ref="AFA359:AFP359"/>
    <mergeCell ref="AFQ359:AGF359"/>
    <mergeCell ref="AGG359:AGV359"/>
    <mergeCell ref="AGW359:AHL359"/>
    <mergeCell ref="AHM359:AIB359"/>
    <mergeCell ref="AIC359:AIR359"/>
    <mergeCell ref="AIS359:AJH359"/>
    <mergeCell ref="AJI359:AJX359"/>
    <mergeCell ref="AJY359:AKN359"/>
    <mergeCell ref="AKO359:ALD359"/>
    <mergeCell ref="ALE359:ALT359"/>
    <mergeCell ref="ALU359:AMJ359"/>
    <mergeCell ref="QG359:QV359"/>
    <mergeCell ref="QW359:RL359"/>
    <mergeCell ref="RM359:SB359"/>
    <mergeCell ref="SC359:SR359"/>
    <mergeCell ref="SS359:TH359"/>
    <mergeCell ref="TI359:TX359"/>
    <mergeCell ref="TY359:UN359"/>
    <mergeCell ref="UO359:VD359"/>
    <mergeCell ref="VE359:VT359"/>
    <mergeCell ref="VU359:WJ359"/>
    <mergeCell ref="WK359:WZ359"/>
    <mergeCell ref="XA359:XP359"/>
    <mergeCell ref="XQ359:YF359"/>
    <mergeCell ref="YG359:YV359"/>
    <mergeCell ref="YW359:ZL359"/>
    <mergeCell ref="ZM359:AAB359"/>
    <mergeCell ref="AAC359:AAR359"/>
    <mergeCell ref="AAS359:ABH359"/>
    <mergeCell ref="FE359:FT359"/>
    <mergeCell ref="FU359:GJ359"/>
    <mergeCell ref="GK359:GZ359"/>
    <mergeCell ref="HA359:HP359"/>
    <mergeCell ref="HQ359:IF359"/>
    <mergeCell ref="IG359:IV359"/>
    <mergeCell ref="IW359:JL359"/>
    <mergeCell ref="JM359:KB359"/>
    <mergeCell ref="KC359:KR359"/>
    <mergeCell ref="KS359:LH359"/>
    <mergeCell ref="LI359:LX359"/>
    <mergeCell ref="LY359:MN359"/>
    <mergeCell ref="MO359:ND359"/>
    <mergeCell ref="NE359:NT359"/>
    <mergeCell ref="NU359:OJ359"/>
    <mergeCell ref="OK359:OZ359"/>
    <mergeCell ref="PA359:PP359"/>
    <mergeCell ref="PQ359:QF359"/>
    <mergeCell ref="B260:B262"/>
    <mergeCell ref="D448:G448"/>
    <mergeCell ref="H448:K448"/>
    <mergeCell ref="A450:A452"/>
    <mergeCell ref="A456:A483"/>
    <mergeCell ref="B456:B462"/>
    <mergeCell ref="B463:B469"/>
    <mergeCell ref="B470:B476"/>
    <mergeCell ref="B477:B479"/>
    <mergeCell ref="B480:B482"/>
    <mergeCell ref="A397:P397"/>
    <mergeCell ref="A342:P342"/>
    <mergeCell ref="A376:O376"/>
    <mergeCell ref="A378:A380"/>
    <mergeCell ref="A381:A383"/>
    <mergeCell ref="A384:A387"/>
    <mergeCell ref="A359:P359"/>
    <mergeCell ref="A268:P268"/>
    <mergeCell ref="Q359:AF359"/>
    <mergeCell ref="AG359:AV359"/>
    <mergeCell ref="AW359:BL359"/>
    <mergeCell ref="BM359:CB359"/>
    <mergeCell ref="CC359:CR359"/>
    <mergeCell ref="CS359:DH359"/>
    <mergeCell ref="DI359:DX359"/>
    <mergeCell ref="DY359:EN359"/>
    <mergeCell ref="EO359:FD359"/>
    <mergeCell ref="D73:G73"/>
    <mergeCell ref="H73:K73"/>
    <mergeCell ref="L73:O73"/>
    <mergeCell ref="A65:B65"/>
    <mergeCell ref="A64:C64"/>
    <mergeCell ref="A16:B16"/>
    <mergeCell ref="A5:I5"/>
    <mergeCell ref="A6:I6"/>
    <mergeCell ref="A8:N8"/>
    <mergeCell ref="A9:B9"/>
    <mergeCell ref="I9:N9"/>
    <mergeCell ref="I12:N12"/>
    <mergeCell ref="A14:N14"/>
    <mergeCell ref="A15:C15"/>
    <mergeCell ref="D15:G15"/>
    <mergeCell ref="H15:K15"/>
    <mergeCell ref="L15:O15"/>
    <mergeCell ref="I11:N11"/>
    <mergeCell ref="I10:N10"/>
    <mergeCell ref="A17:A21"/>
    <mergeCell ref="A22:A26"/>
    <mergeCell ref="A27:A31"/>
    <mergeCell ref="I125:M125"/>
    <mergeCell ref="I126:M126"/>
    <mergeCell ref="A32:A36"/>
    <mergeCell ref="A37:A41"/>
    <mergeCell ref="A42:A46"/>
    <mergeCell ref="A47:A51"/>
    <mergeCell ref="A52:A56"/>
    <mergeCell ref="A57:A61"/>
    <mergeCell ref="A74:B74"/>
    <mergeCell ref="A75:A83"/>
    <mergeCell ref="A84:A92"/>
    <mergeCell ref="A93:A97"/>
    <mergeCell ref="A100:C100"/>
    <mergeCell ref="A101:B101"/>
    <mergeCell ref="A102:B102"/>
    <mergeCell ref="A103:B103"/>
    <mergeCell ref="D64:G64"/>
    <mergeCell ref="D100:G100"/>
    <mergeCell ref="A66:B66"/>
    <mergeCell ref="A67:B67"/>
    <mergeCell ref="A68:B68"/>
    <mergeCell ref="A69:B69"/>
    <mergeCell ref="A72:O72"/>
    <mergeCell ref="A73:C73"/>
    <mergeCell ref="A141:A143"/>
    <mergeCell ref="I141:M141"/>
    <mergeCell ref="I142:M142"/>
    <mergeCell ref="I143:M143"/>
    <mergeCell ref="D106:G106"/>
    <mergeCell ref="H106:K106"/>
    <mergeCell ref="A108:A110"/>
    <mergeCell ref="A112:K112"/>
    <mergeCell ref="A113:B113"/>
    <mergeCell ref="I113:K113"/>
    <mergeCell ref="A114:A116"/>
    <mergeCell ref="I114:K114"/>
    <mergeCell ref="I115:K115"/>
    <mergeCell ref="I116:K116"/>
    <mergeCell ref="A107:B107"/>
    <mergeCell ref="A118:M118"/>
    <mergeCell ref="A119:B119"/>
    <mergeCell ref="I119:M119"/>
    <mergeCell ref="A120:A126"/>
    <mergeCell ref="I120:M120"/>
    <mergeCell ref="I121:M121"/>
    <mergeCell ref="I122:M122"/>
    <mergeCell ref="I123:M123"/>
    <mergeCell ref="I124:M124"/>
    <mergeCell ref="A127:A133"/>
    <mergeCell ref="I127:M127"/>
    <mergeCell ref="I128:M128"/>
    <mergeCell ref="I129:M129"/>
    <mergeCell ref="I130:M130"/>
    <mergeCell ref="I131:M131"/>
    <mergeCell ref="I132:M132"/>
    <mergeCell ref="I133:M133"/>
    <mergeCell ref="A134:A140"/>
    <mergeCell ref="I134:M134"/>
    <mergeCell ref="I135:M135"/>
    <mergeCell ref="I136:M136"/>
    <mergeCell ref="I137:M137"/>
    <mergeCell ref="I138:M138"/>
    <mergeCell ref="I139:M139"/>
    <mergeCell ref="I140:M140"/>
    <mergeCell ref="A225:A227"/>
    <mergeCell ref="B236:B242"/>
    <mergeCell ref="B243:B249"/>
    <mergeCell ref="B250:B256"/>
    <mergeCell ref="B257:B259"/>
    <mergeCell ref="A160:C160"/>
    <mergeCell ref="D160:G160"/>
    <mergeCell ref="H160:K160"/>
    <mergeCell ref="L160:O160"/>
    <mergeCell ref="A162:A170"/>
    <mergeCell ref="A171:A179"/>
    <mergeCell ref="A180:A184"/>
    <mergeCell ref="I144:M144"/>
    <mergeCell ref="I145:M145"/>
    <mergeCell ref="I146:M146"/>
    <mergeCell ref="I148:M148"/>
    <mergeCell ref="A150:I150"/>
    <mergeCell ref="A151:B151"/>
    <mergeCell ref="D223:G223"/>
    <mergeCell ref="H223:K223"/>
    <mergeCell ref="I147:M147"/>
    <mergeCell ref="A144:A147"/>
  </mergeCells>
  <conditionalFormatting sqref="T17:V61">
    <cfRule type="cellIs" dxfId="59" priority="22" operator="greaterThan">
      <formula>0.25</formula>
    </cfRule>
    <cfRule type="cellIs" dxfId="58" priority="23" operator="greaterThan">
      <formula>0.1</formula>
    </cfRule>
    <cfRule type="cellIs" dxfId="57" priority="24" operator="greaterThan">
      <formula>10</formula>
    </cfRule>
  </conditionalFormatting>
  <conditionalFormatting sqref="R66:R69">
    <cfRule type="cellIs" dxfId="56" priority="19" operator="greaterThan">
      <formula>0.25</formula>
    </cfRule>
    <cfRule type="cellIs" dxfId="55" priority="20" operator="greaterThan">
      <formula>0.1</formula>
    </cfRule>
    <cfRule type="cellIs" dxfId="54" priority="21" operator="greaterThan">
      <formula>10</formula>
    </cfRule>
  </conditionalFormatting>
  <conditionalFormatting sqref="T75:V97">
    <cfRule type="cellIs" dxfId="53" priority="13" operator="lessThan">
      <formula>-0.25</formula>
    </cfRule>
    <cfRule type="cellIs" dxfId="52" priority="14" operator="lessThan">
      <formula>-0.1</formula>
    </cfRule>
    <cfRule type="cellIs" dxfId="51" priority="15" operator="lessThan">
      <formula>-0.25</formula>
    </cfRule>
    <cfRule type="cellIs" dxfId="50" priority="16" operator="greaterThan">
      <formula>0.25</formula>
    </cfRule>
    <cfRule type="cellIs" dxfId="49" priority="17" operator="greaterThan">
      <formula>0.1</formula>
    </cfRule>
    <cfRule type="cellIs" dxfId="48" priority="18" operator="greaterThan">
      <formula>10</formula>
    </cfRule>
  </conditionalFormatting>
  <conditionalFormatting sqref="S108:T110">
    <cfRule type="cellIs" dxfId="47" priority="7" operator="lessThan">
      <formula>-0.25</formula>
    </cfRule>
    <cfRule type="cellIs" dxfId="46" priority="8" operator="lessThan">
      <formula>-0.1</formula>
    </cfRule>
    <cfRule type="cellIs" dxfId="45" priority="9" operator="lessThan">
      <formula>-0.25</formula>
    </cfRule>
    <cfRule type="cellIs" dxfId="44" priority="10" operator="greaterThan">
      <formula>0.25</formula>
    </cfRule>
    <cfRule type="cellIs" dxfId="43" priority="11" operator="greaterThan">
      <formula>0.1</formula>
    </cfRule>
    <cfRule type="cellIs" dxfId="42" priority="12" operator="greaterThan">
      <formula>10</formula>
    </cfRule>
  </conditionalFormatting>
  <conditionalFormatting sqref="R120:R148">
    <cfRule type="cellIs" dxfId="41" priority="1" operator="lessThan">
      <formula>-0.25</formula>
    </cfRule>
    <cfRule type="cellIs" dxfId="40" priority="2" operator="lessThan">
      <formula>-0.1</formula>
    </cfRule>
    <cfRule type="cellIs" dxfId="39" priority="3" operator="lessThan">
      <formula>-0.25</formula>
    </cfRule>
    <cfRule type="cellIs" dxfId="38" priority="4" operator="greaterThan">
      <formula>0.25</formula>
    </cfRule>
    <cfRule type="cellIs" dxfId="37" priority="5" operator="greaterThan">
      <formula>0.1</formula>
    </cfRule>
    <cfRule type="cellIs" dxfId="36" priority="6" operator="greaterThan">
      <formula>10</formula>
    </cfRule>
  </conditionalFormatting>
  <hyperlinks>
    <hyperlink ref="B313" r:id="rId1" xr:uid="{00000000-0004-0000-0E00-000000000000}"/>
    <hyperlink ref="B222" r:id="rId2" display="Source: UK BEIS 2021" xr:uid="{603415FB-2341-423C-AD74-783523FA393F}"/>
    <hyperlink ref="B234" r:id="rId3" display="Source: UK BEIS 2021" xr:uid="{6A8960E0-C3EA-4C9D-A592-7F40C06E5ED6}"/>
    <hyperlink ref="A187" r:id="rId4" xr:uid="{FBEDF0B2-CC16-4B80-994E-0666ABA3B07B}"/>
    <hyperlink ref="J327" r:id="rId5" xr:uid="{4B1002E3-917C-4E3A-AA66-FBD7DD72E78C}"/>
  </hyperlinks>
  <pageMargins left="0.7" right="0.7" top="0.75" bottom="0.75" header="0.3" footer="0.3"/>
  <pageSetup paperSize="9" orientation="portrait" r:id="rId6"/>
  <drawing r:id="rId7"/>
  <legacyDrawing r:id="rId8"/>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8" tint="-0.499984740745262"/>
  </sheetPr>
  <dimension ref="A1:R185"/>
  <sheetViews>
    <sheetView topLeftCell="A4" workbookViewId="0">
      <selection activeCell="D19" sqref="D19"/>
    </sheetView>
  </sheetViews>
  <sheetFormatPr defaultColWidth="9.140625" defaultRowHeight="15"/>
  <cols>
    <col min="1" max="1" width="15.42578125" customWidth="1"/>
    <col min="2" max="2" width="24.85546875" customWidth="1"/>
    <col min="3" max="3" width="12" customWidth="1"/>
    <col min="4" max="4" width="24.85546875" customWidth="1"/>
    <col min="5" max="5" width="27.7109375" customWidth="1"/>
    <col min="6" max="6" width="27.85546875" customWidth="1"/>
    <col min="7" max="7" width="26.140625" customWidth="1"/>
    <col min="8" max="8" width="27.5703125" customWidth="1"/>
    <col min="9" max="9" width="24.5703125" customWidth="1"/>
    <col min="10" max="10" width="26.7109375" customWidth="1"/>
    <col min="11" max="11" width="23.85546875" customWidth="1"/>
    <col min="12" max="12" width="16.5703125" customWidth="1"/>
    <col min="13" max="17" width="27.42578125" customWidth="1"/>
    <col min="18" max="18" width="24.42578125" customWidth="1"/>
  </cols>
  <sheetData>
    <row r="1" spans="1:18" ht="31.5">
      <c r="A1" s="64" t="s">
        <v>63</v>
      </c>
    </row>
    <row r="2" spans="1:18" ht="23.25">
      <c r="A2" s="65" t="s">
        <v>420</v>
      </c>
    </row>
    <row r="3" spans="1:18" ht="23.25">
      <c r="A3" s="65"/>
    </row>
    <row r="4" spans="1:18">
      <c r="A4" t="s">
        <v>421</v>
      </c>
    </row>
    <row r="6" spans="1:18" ht="31.5">
      <c r="A6" s="64" t="s">
        <v>1895</v>
      </c>
    </row>
    <row r="7" spans="1:18">
      <c r="A7" s="2140" t="s">
        <v>66</v>
      </c>
      <c r="B7" s="2140"/>
      <c r="C7" s="2140"/>
      <c r="D7" s="2140"/>
      <c r="E7" s="2140"/>
      <c r="F7" s="2140"/>
      <c r="G7" s="2140"/>
      <c r="H7" s="2140"/>
      <c r="I7" s="2140"/>
      <c r="J7" s="2140"/>
      <c r="K7" s="2140"/>
      <c r="L7" s="2140"/>
      <c r="M7" s="2140"/>
      <c r="N7" s="2140"/>
      <c r="O7" s="2140"/>
      <c r="P7" s="2140"/>
      <c r="Q7" s="2140"/>
      <c r="R7" s="2140"/>
    </row>
    <row r="8" spans="1:18" ht="21" customHeight="1">
      <c r="A8" s="1856" t="s">
        <v>433</v>
      </c>
      <c r="B8" s="1907"/>
      <c r="C8" s="1907"/>
      <c r="D8" s="1907"/>
      <c r="E8" s="1907"/>
      <c r="F8" s="1907"/>
      <c r="G8" s="1907"/>
      <c r="H8" s="1907"/>
      <c r="I8" s="1907"/>
      <c r="J8" s="1907"/>
      <c r="K8" s="1907"/>
      <c r="L8" s="1907"/>
      <c r="M8" s="1907"/>
      <c r="N8" s="1907"/>
      <c r="O8" s="1907"/>
      <c r="P8" s="1907"/>
      <c r="Q8" s="1907"/>
      <c r="R8" s="1908"/>
    </row>
    <row r="9" spans="1:18" ht="21" customHeight="1">
      <c r="A9" s="499"/>
      <c r="B9" s="499"/>
      <c r="C9" s="499"/>
      <c r="D9" s="499"/>
      <c r="E9" s="1449"/>
      <c r="F9" s="1449"/>
      <c r="G9" s="1449"/>
      <c r="H9" s="1449"/>
      <c r="I9" s="499"/>
    </row>
    <row r="10" spans="1:18" ht="21" customHeight="1">
      <c r="A10" s="2067" t="s">
        <v>1896</v>
      </c>
      <c r="B10" s="2067"/>
      <c r="C10" s="2067"/>
      <c r="D10" s="2061"/>
      <c r="E10" s="1458" t="s">
        <v>59</v>
      </c>
      <c r="F10" s="1459" t="s">
        <v>425</v>
      </c>
      <c r="G10" s="1459" t="s">
        <v>426</v>
      </c>
      <c r="H10" s="1459" t="s">
        <v>427</v>
      </c>
      <c r="I10" s="499"/>
    </row>
    <row r="11" spans="1:18" ht="21" customHeight="1">
      <c r="A11" s="2068"/>
      <c r="B11" s="2068"/>
      <c r="C11" s="2068"/>
      <c r="D11" s="2062"/>
      <c r="E11" s="1450">
        <f>E22+E31+N31+E40+E47+E81+E135+E145+E175+E183</f>
        <v>0</v>
      </c>
      <c r="F11" s="1378">
        <f>F22+F31+O31+F40+F47+F81+F135+F145+F175+F183</f>
        <v>0</v>
      </c>
      <c r="G11" s="1378">
        <f>G22+G31+P31+G40+G47+G81+G135+G145+G175+G183</f>
        <v>0</v>
      </c>
      <c r="H11" s="1378">
        <f>H22+H31+Q31+H40+H47+H81+H135+H145+H175+H183</f>
        <v>0</v>
      </c>
      <c r="I11" s="499"/>
    </row>
    <row r="14" spans="1:18" ht="19.5" customHeight="1">
      <c r="A14" s="65" t="s">
        <v>1897</v>
      </c>
    </row>
    <row r="16" spans="1:18">
      <c r="A16" s="496" t="s">
        <v>1898</v>
      </c>
      <c r="B16" s="66"/>
      <c r="C16" s="66"/>
      <c r="D16" s="66"/>
      <c r="E16" s="66"/>
      <c r="F16" s="66"/>
      <c r="G16" s="66"/>
      <c r="H16" s="497"/>
    </row>
    <row r="17" spans="1:17">
      <c r="A17" s="1473"/>
      <c r="B17" s="172"/>
      <c r="C17" s="172"/>
      <c r="D17" s="172"/>
      <c r="E17" s="2142" t="s">
        <v>423</v>
      </c>
      <c r="F17" s="2142"/>
      <c r="G17" s="2142"/>
      <c r="H17" s="2143"/>
    </row>
    <row r="18" spans="1:17" ht="18" customHeight="1" thickBot="1">
      <c r="A18" s="2144" t="s">
        <v>69</v>
      </c>
      <c r="B18" s="2144"/>
      <c r="C18" s="1474" t="s">
        <v>70</v>
      </c>
      <c r="D18" s="1457" t="s">
        <v>424</v>
      </c>
      <c r="E18" s="1458" t="s">
        <v>59</v>
      </c>
      <c r="F18" s="1459" t="s">
        <v>425</v>
      </c>
      <c r="G18" s="1459" t="s">
        <v>426</v>
      </c>
      <c r="H18" s="1459" t="s">
        <v>427</v>
      </c>
    </row>
    <row r="19" spans="1:17" ht="17.25" customHeight="1" thickBot="1">
      <c r="A19" s="2141" t="s">
        <v>1711</v>
      </c>
      <c r="B19" s="2141"/>
      <c r="C19" s="876" t="s">
        <v>1712</v>
      </c>
      <c r="D19" s="526"/>
      <c r="E19" s="1355">
        <f>SUM(F19:H19)</f>
        <v>0</v>
      </c>
      <c r="F19" s="1452">
        <f>$D19*'Freight 2022'!E10</f>
        <v>0</v>
      </c>
      <c r="G19" s="1452">
        <f>$D19*'Freight 2022'!F10</f>
        <v>0</v>
      </c>
      <c r="H19" s="1452">
        <f>$D19*'Freight 2022'!G10</f>
        <v>0</v>
      </c>
    </row>
    <row r="20" spans="1:17" ht="17.25" customHeight="1" thickBot="1">
      <c r="A20" s="2141" t="s">
        <v>1714</v>
      </c>
      <c r="B20" s="2141"/>
      <c r="C20" s="876" t="s">
        <v>1712</v>
      </c>
      <c r="D20" s="526"/>
      <c r="E20" s="1355">
        <f t="shared" ref="E20:E21" si="0">SUM(F20:H20)</f>
        <v>0</v>
      </c>
      <c r="F20" s="1452">
        <f>$D20*'Freight 2022'!E11</f>
        <v>0</v>
      </c>
      <c r="G20" s="1452">
        <f>$D20*'Freight 2022'!F11</f>
        <v>0</v>
      </c>
      <c r="H20" s="1452">
        <f>$D20*'Freight 2022'!G11</f>
        <v>0</v>
      </c>
    </row>
    <row r="21" spans="1:17" ht="15.75" customHeight="1">
      <c r="A21" s="2141" t="s">
        <v>1716</v>
      </c>
      <c r="B21" s="2141"/>
      <c r="C21" s="876" t="s">
        <v>1712</v>
      </c>
      <c r="D21" s="1343"/>
      <c r="E21" s="1355">
        <f t="shared" si="0"/>
        <v>0</v>
      </c>
      <c r="F21" s="1452">
        <f>$D21*'Freight 2022'!E12</f>
        <v>0</v>
      </c>
      <c r="G21" s="1452">
        <f>$D21*'Freight 2022'!F12</f>
        <v>0</v>
      </c>
      <c r="H21" s="1452">
        <f>$D21*'Freight 2022'!G12</f>
        <v>0</v>
      </c>
    </row>
    <row r="22" spans="1:17" ht="15" customHeight="1">
      <c r="A22" s="219"/>
      <c r="B22" s="219"/>
      <c r="C22" s="62"/>
      <c r="D22" s="1444" t="s">
        <v>247</v>
      </c>
      <c r="E22" s="1475">
        <f>SUM(E19:E21)</f>
        <v>0</v>
      </c>
      <c r="F22" s="1476">
        <f t="shared" ref="F22:H22" si="1">SUM(F19:F21)</f>
        <v>0</v>
      </c>
      <c r="G22" s="1476">
        <f t="shared" si="1"/>
        <v>0</v>
      </c>
      <c r="H22" s="1476">
        <f t="shared" si="1"/>
        <v>0</v>
      </c>
    </row>
    <row r="25" spans="1:17">
      <c r="A25" s="1477" t="s">
        <v>1899</v>
      </c>
      <c r="B25" s="1478"/>
      <c r="C25" s="1478"/>
      <c r="D25" s="1478"/>
      <c r="E25" s="1478"/>
      <c r="F25" s="1478"/>
      <c r="G25" s="1478"/>
      <c r="H25" s="1479"/>
      <c r="I25" s="66"/>
      <c r="J25" s="496" t="s">
        <v>1900</v>
      </c>
      <c r="K25" s="66"/>
      <c r="L25" s="66"/>
      <c r="M25" s="66"/>
      <c r="N25" s="66"/>
      <c r="O25" s="66"/>
      <c r="P25" s="66"/>
      <c r="Q25" s="497"/>
    </row>
    <row r="26" spans="1:17">
      <c r="A26" s="496"/>
      <c r="B26" s="66"/>
      <c r="C26" s="66"/>
      <c r="D26" s="172"/>
      <c r="E26" s="2045" t="s">
        <v>423</v>
      </c>
      <c r="F26" s="2045"/>
      <c r="G26" s="2045"/>
      <c r="H26" s="1890"/>
      <c r="I26" s="66"/>
      <c r="J26" s="1473"/>
      <c r="K26" s="172"/>
      <c r="L26" s="66"/>
      <c r="M26" s="172"/>
      <c r="N26" s="2045" t="s">
        <v>423</v>
      </c>
      <c r="O26" s="2045"/>
      <c r="P26" s="2045"/>
      <c r="Q26" s="1890"/>
    </row>
    <row r="27" spans="1:17" ht="18.75" thickBot="1">
      <c r="A27" s="2047" t="s">
        <v>69</v>
      </c>
      <c r="B27" s="2135"/>
      <c r="C27" s="1480" t="s">
        <v>70</v>
      </c>
      <c r="D27" s="1457" t="s">
        <v>424</v>
      </c>
      <c r="E27" s="1458" t="s">
        <v>59</v>
      </c>
      <c r="F27" s="1459" t="s">
        <v>425</v>
      </c>
      <c r="G27" s="1459" t="s">
        <v>426</v>
      </c>
      <c r="H27" s="1459" t="s">
        <v>427</v>
      </c>
      <c r="J27" s="2137" t="s">
        <v>69</v>
      </c>
      <c r="K27" s="2138"/>
      <c r="L27" s="1481" t="s">
        <v>70</v>
      </c>
      <c r="M27" s="1457" t="s">
        <v>424</v>
      </c>
      <c r="N27" s="1458" t="s">
        <v>59</v>
      </c>
      <c r="O27" s="1459" t="s">
        <v>425</v>
      </c>
      <c r="P27" s="1459" t="s">
        <v>426</v>
      </c>
      <c r="Q27" s="1459" t="s">
        <v>427</v>
      </c>
    </row>
    <row r="28" spans="1:17" ht="15.75" thickBot="1">
      <c r="A28" s="2047" t="s">
        <v>1753</v>
      </c>
      <c r="B28" s="164" t="s">
        <v>1754</v>
      </c>
      <c r="C28" s="490" t="s">
        <v>1712</v>
      </c>
      <c r="D28" s="526"/>
      <c r="E28" s="1475">
        <f>SUM(F28:H28)</f>
        <v>0</v>
      </c>
      <c r="F28" s="1482">
        <f>$D$28*'Freight 2022'!E108</f>
        <v>0</v>
      </c>
      <c r="G28" s="1482">
        <f>$D$28*'Freight 2022'!F108</f>
        <v>0</v>
      </c>
      <c r="H28" s="1482">
        <f>$D$28*'Freight 2022'!G108</f>
        <v>0</v>
      </c>
      <c r="J28" s="2139" t="s">
        <v>1753</v>
      </c>
      <c r="K28" s="1417" t="s">
        <v>1754</v>
      </c>
      <c r="L28" s="490" t="s">
        <v>1712</v>
      </c>
      <c r="M28" s="526"/>
      <c r="N28" s="1450">
        <f>SUM(O28:Q28)</f>
        <v>0</v>
      </c>
      <c r="O28" s="1379">
        <f>M28*'Freight 2022'!I108</f>
        <v>0</v>
      </c>
      <c r="P28" s="1379">
        <f>$M$28*'Freight 2022'!J108</f>
        <v>0</v>
      </c>
      <c r="Q28" s="1379">
        <f>$M$28*'Freight 2022'!K108</f>
        <v>0</v>
      </c>
    </row>
    <row r="29" spans="1:17" ht="15" customHeight="1" thickBot="1">
      <c r="A29" s="2047"/>
      <c r="B29" s="164" t="s">
        <v>1901</v>
      </c>
      <c r="C29" s="137" t="s">
        <v>1712</v>
      </c>
      <c r="D29" s="526"/>
      <c r="E29" s="1475">
        <f t="shared" ref="E29:E30" si="2">SUM(F29:H29)</f>
        <v>0</v>
      </c>
      <c r="F29" s="1482">
        <f>$D$29*'Freight 2022'!E109</f>
        <v>0</v>
      </c>
      <c r="G29" s="1482">
        <f>$D$29*'Freight 2022'!F109</f>
        <v>0</v>
      </c>
      <c r="H29" s="1482">
        <f>$D$29*'Freight 2022'!G109</f>
        <v>0</v>
      </c>
      <c r="J29" s="2049"/>
      <c r="K29" s="1410" t="s">
        <v>1901</v>
      </c>
      <c r="L29" s="137" t="s">
        <v>1712</v>
      </c>
      <c r="M29" s="526"/>
      <c r="N29" s="1450">
        <f t="shared" ref="N29:N30" si="3">SUM(O29:Q29)</f>
        <v>0</v>
      </c>
      <c r="O29" s="1379">
        <f>$M$29*'Freight 2022'!I109</f>
        <v>0</v>
      </c>
      <c r="P29" s="1379">
        <f>$M$29*'Freight 2022'!J109</f>
        <v>0</v>
      </c>
      <c r="Q29" s="1379">
        <f>$M$29*'Freight 2022'!K109</f>
        <v>0</v>
      </c>
    </row>
    <row r="30" spans="1:17" ht="15" customHeight="1" thickBot="1">
      <c r="A30" s="2047"/>
      <c r="B30" s="164" t="s">
        <v>1902</v>
      </c>
      <c r="C30" s="490" t="s">
        <v>1712</v>
      </c>
      <c r="D30" s="526"/>
      <c r="E30" s="1475">
        <f t="shared" si="2"/>
        <v>0</v>
      </c>
      <c r="F30" s="1482">
        <f>$D$30*'Freight 2022'!E110</f>
        <v>0</v>
      </c>
      <c r="G30" s="1482">
        <f>$D$30*'Freight 2022'!F110</f>
        <v>0</v>
      </c>
      <c r="H30" s="1482">
        <f>$D$30*'Freight 2022'!G110</f>
        <v>0</v>
      </c>
      <c r="J30" s="2050"/>
      <c r="K30" s="1410" t="s">
        <v>1902</v>
      </c>
      <c r="L30" s="490" t="s">
        <v>1712</v>
      </c>
      <c r="M30" s="526"/>
      <c r="N30" s="1450">
        <f t="shared" si="3"/>
        <v>0</v>
      </c>
      <c r="O30" s="1379">
        <f>$M$30*'Freight 2022'!I110</f>
        <v>0</v>
      </c>
      <c r="P30" s="1379">
        <f>$M$30*'Freight 2022'!J110</f>
        <v>0</v>
      </c>
      <c r="Q30" s="1379">
        <f>$M$30*'Freight 2022'!K110</f>
        <v>0</v>
      </c>
    </row>
    <row r="31" spans="1:17" ht="15" customHeight="1">
      <c r="D31" s="1444" t="s">
        <v>247</v>
      </c>
      <c r="E31" s="1475">
        <f>SUM(E28:E30)</f>
        <v>0</v>
      </c>
      <c r="F31" s="1476">
        <f t="shared" ref="F31:H31" si="4">SUM(F28:F30)</f>
        <v>0</v>
      </c>
      <c r="G31" s="1476">
        <f t="shared" si="4"/>
        <v>0</v>
      </c>
      <c r="H31" s="1476">
        <f t="shared" si="4"/>
        <v>0</v>
      </c>
      <c r="M31" s="1444" t="s">
        <v>247</v>
      </c>
      <c r="N31" s="1450">
        <f>SUM(N28:N30)</f>
        <v>0</v>
      </c>
      <c r="O31" s="175">
        <f t="shared" ref="O31:Q31" si="5">SUM(O28:O30)</f>
        <v>0</v>
      </c>
      <c r="P31" s="175">
        <f t="shared" si="5"/>
        <v>0</v>
      </c>
      <c r="Q31" s="175">
        <f t="shared" si="5"/>
        <v>0</v>
      </c>
    </row>
    <row r="34" spans="1:8">
      <c r="A34" s="496" t="s">
        <v>1903</v>
      </c>
      <c r="B34" s="66"/>
      <c r="C34" s="66"/>
      <c r="D34" s="66"/>
      <c r="E34" s="66"/>
      <c r="F34" s="66"/>
      <c r="G34" s="66"/>
      <c r="H34" s="497"/>
    </row>
    <row r="35" spans="1:8">
      <c r="A35" s="496"/>
      <c r="B35" s="66"/>
      <c r="C35" s="66"/>
      <c r="D35" s="172"/>
      <c r="E35" s="2045" t="s">
        <v>423</v>
      </c>
      <c r="F35" s="2045"/>
      <c r="G35" s="2045"/>
      <c r="H35" s="1890"/>
    </row>
    <row r="36" spans="1:8" ht="18.75" thickBot="1">
      <c r="A36" s="2047" t="s">
        <v>69</v>
      </c>
      <c r="B36" s="2135"/>
      <c r="C36" s="1480" t="s">
        <v>70</v>
      </c>
      <c r="D36" s="1457" t="s">
        <v>424</v>
      </c>
      <c r="E36" s="1375" t="s">
        <v>59</v>
      </c>
      <c r="F36" s="485" t="s">
        <v>425</v>
      </c>
      <c r="G36" s="485" t="s">
        <v>426</v>
      </c>
      <c r="H36" s="485" t="s">
        <v>427</v>
      </c>
    </row>
    <row r="37" spans="1:8" ht="21" customHeight="1" thickBot="1">
      <c r="A37" s="1962" t="s">
        <v>1759</v>
      </c>
      <c r="B37" s="169" t="s">
        <v>1760</v>
      </c>
      <c r="C37" s="169" t="s">
        <v>1712</v>
      </c>
      <c r="D37" s="526"/>
      <c r="E37" s="1483">
        <f>SUM(F37:H37)</f>
        <v>0</v>
      </c>
      <c r="F37" s="1379">
        <f>$D$37*'Freight 2022'!E114</f>
        <v>0</v>
      </c>
      <c r="G37" s="1379">
        <f>$D$37*'Freight 2022'!F114</f>
        <v>0</v>
      </c>
      <c r="H37" s="1379">
        <f>$D$37*'Freight 2022'!G114</f>
        <v>0</v>
      </c>
    </row>
    <row r="38" spans="1:8" ht="19.5" customHeight="1" thickBot="1">
      <c r="A38" s="1963"/>
      <c r="B38" s="169" t="s">
        <v>1762</v>
      </c>
      <c r="C38" s="169" t="s">
        <v>1712</v>
      </c>
      <c r="D38" s="526"/>
      <c r="E38" s="1483">
        <f t="shared" ref="E38:E39" si="6">SUM(F38:H38)</f>
        <v>0</v>
      </c>
      <c r="F38" s="1379">
        <f>$D$38*'Freight 2022'!E115</f>
        <v>0</v>
      </c>
      <c r="G38" s="1379">
        <f>$D$38*'Freight 2022'!F115</f>
        <v>0</v>
      </c>
      <c r="H38" s="1379">
        <f>$D$38*'Freight 2022'!G115</f>
        <v>0</v>
      </c>
    </row>
    <row r="39" spans="1:8" ht="17.25" customHeight="1">
      <c r="A39" s="2136"/>
      <c r="B39" s="169" t="s">
        <v>1763</v>
      </c>
      <c r="C39" s="169" t="s">
        <v>1712</v>
      </c>
      <c r="D39" s="1343"/>
      <c r="E39" s="1483">
        <f t="shared" si="6"/>
        <v>0</v>
      </c>
      <c r="F39" s="1379">
        <f>$D$39*'Freight 2022'!E116</f>
        <v>0</v>
      </c>
      <c r="G39" s="1379">
        <f>$D$39*'Freight 2022'!F116</f>
        <v>0</v>
      </c>
      <c r="H39" s="1379">
        <f>$D$39*'Freight 2022'!G116</f>
        <v>0</v>
      </c>
    </row>
    <row r="40" spans="1:8" ht="17.25" customHeight="1">
      <c r="A40" s="166"/>
      <c r="B40" s="166"/>
      <c r="C40" s="166"/>
      <c r="D40" s="1444" t="s">
        <v>247</v>
      </c>
      <c r="E40" s="1450">
        <f>SUM(E37:E39)</f>
        <v>0</v>
      </c>
      <c r="F40" s="175">
        <f t="shared" ref="F40:G40" si="7">SUM(F37:F39)</f>
        <v>0</v>
      </c>
      <c r="G40" s="175">
        <f t="shared" si="7"/>
        <v>0</v>
      </c>
      <c r="H40" s="175">
        <f>SUM(H37:H39)</f>
        <v>0</v>
      </c>
    </row>
    <row r="43" spans="1:8">
      <c r="A43" s="496" t="s">
        <v>1797</v>
      </c>
      <c r="B43" s="66"/>
      <c r="C43" s="66"/>
      <c r="D43" s="66"/>
      <c r="E43" s="66"/>
      <c r="F43" s="66"/>
      <c r="G43" s="66"/>
      <c r="H43" s="497"/>
    </row>
    <row r="44" spans="1:8">
      <c r="A44" s="496"/>
      <c r="B44" s="66"/>
      <c r="C44" s="66"/>
      <c r="D44" s="172"/>
      <c r="E44" s="2045" t="s">
        <v>423</v>
      </c>
      <c r="F44" s="2045"/>
      <c r="G44" s="2045"/>
      <c r="H44" s="1890"/>
    </row>
    <row r="45" spans="1:8" ht="18.75" thickBot="1">
      <c r="A45" s="2047" t="s">
        <v>69</v>
      </c>
      <c r="B45" s="2135"/>
      <c r="C45" s="1480" t="s">
        <v>70</v>
      </c>
      <c r="D45" s="1457" t="s">
        <v>424</v>
      </c>
      <c r="E45" s="1458" t="s">
        <v>59</v>
      </c>
      <c r="F45" s="1459" t="s">
        <v>425</v>
      </c>
      <c r="G45" s="1459" t="s">
        <v>426</v>
      </c>
      <c r="H45" s="1459" t="s">
        <v>427</v>
      </c>
    </row>
    <row r="46" spans="1:8" ht="15.75" thickBot="1">
      <c r="A46" s="495" t="s">
        <v>1798</v>
      </c>
      <c r="B46" s="164" t="s">
        <v>1799</v>
      </c>
      <c r="C46" s="490" t="s">
        <v>1712</v>
      </c>
      <c r="D46" s="528"/>
      <c r="E46" s="1450">
        <f>SUM(F46:H46)</f>
        <v>0</v>
      </c>
      <c r="F46" s="1379">
        <f>$D$46*'Freight 2022'!E152</f>
        <v>0</v>
      </c>
      <c r="G46" s="1379">
        <f>$D$46*'Freight 2022'!F152</f>
        <v>0</v>
      </c>
      <c r="H46" s="1379">
        <f>$D$46*'Freight 2022'!G152</f>
        <v>0</v>
      </c>
    </row>
    <row r="47" spans="1:8">
      <c r="D47" s="1444" t="s">
        <v>247</v>
      </c>
      <c r="E47" s="1450">
        <f>SUM(E44:E46)</f>
        <v>0</v>
      </c>
      <c r="F47" s="175">
        <f t="shared" ref="F47:G47" si="8">SUM(F44:F46)</f>
        <v>0</v>
      </c>
      <c r="G47" s="175">
        <f t="shared" si="8"/>
        <v>0</v>
      </c>
      <c r="H47" s="175">
        <f>SUM(H44:H46)</f>
        <v>0</v>
      </c>
    </row>
    <row r="48" spans="1:8">
      <c r="D48" s="1461"/>
      <c r="E48" s="456"/>
      <c r="F48" s="456"/>
      <c r="G48" s="456"/>
      <c r="H48" s="456"/>
    </row>
    <row r="50" spans="1:8">
      <c r="A50" s="496" t="s">
        <v>1904</v>
      </c>
      <c r="B50" s="66"/>
      <c r="C50" s="66"/>
      <c r="D50" s="66"/>
      <c r="E50" s="66"/>
      <c r="F50" s="66"/>
      <c r="G50" s="66"/>
      <c r="H50" s="497"/>
    </row>
    <row r="51" spans="1:8">
      <c r="A51" s="496"/>
      <c r="B51" s="66"/>
      <c r="C51" s="66"/>
      <c r="D51" s="172"/>
      <c r="E51" s="2045" t="s">
        <v>423</v>
      </c>
      <c r="F51" s="2045"/>
      <c r="G51" s="2045"/>
      <c r="H51" s="1890"/>
    </row>
    <row r="52" spans="1:8" ht="18.75" thickBot="1">
      <c r="A52" s="2047" t="s">
        <v>69</v>
      </c>
      <c r="B52" s="2135"/>
      <c r="C52" s="1480" t="s">
        <v>70</v>
      </c>
      <c r="D52" s="1457" t="s">
        <v>424</v>
      </c>
      <c r="E52" s="1458" t="s">
        <v>59</v>
      </c>
      <c r="F52" s="1459" t="s">
        <v>425</v>
      </c>
      <c r="G52" s="1459" t="s">
        <v>426</v>
      </c>
      <c r="H52" s="1459" t="s">
        <v>427</v>
      </c>
    </row>
    <row r="53" spans="1:8" ht="15" customHeight="1" thickBot="1">
      <c r="A53" s="2047" t="s">
        <v>1765</v>
      </c>
      <c r="B53" s="164" t="s">
        <v>1766</v>
      </c>
      <c r="C53" s="490" t="s">
        <v>1712</v>
      </c>
      <c r="D53" s="524"/>
      <c r="E53" s="1450">
        <f t="shared" ref="E53:E79" si="9">SUM(F53:H53)</f>
        <v>0</v>
      </c>
      <c r="F53" s="1379">
        <f>$D$53*'Freight 2022'!E120</f>
        <v>0</v>
      </c>
      <c r="G53" s="1379">
        <f>$D$53*'Freight 2022'!F120</f>
        <v>0</v>
      </c>
      <c r="H53" s="1379">
        <f>$D$53*'Freight 2022'!G120</f>
        <v>0</v>
      </c>
    </row>
    <row r="54" spans="1:8" ht="15" customHeight="1" thickBot="1">
      <c r="A54" s="2047"/>
      <c r="B54" s="164" t="s">
        <v>1768</v>
      </c>
      <c r="C54" s="490" t="s">
        <v>1712</v>
      </c>
      <c r="D54" s="524"/>
      <c r="E54" s="1450">
        <f t="shared" si="9"/>
        <v>0</v>
      </c>
      <c r="F54" s="1379">
        <f>$D$54*'Freight 2022'!E121</f>
        <v>0</v>
      </c>
      <c r="G54" s="1379">
        <f>$D$54*'Freight 2022'!F121</f>
        <v>0</v>
      </c>
      <c r="H54" s="1379">
        <f>$D$54*'Freight 2022'!G121</f>
        <v>0</v>
      </c>
    </row>
    <row r="55" spans="1:8" ht="15" customHeight="1" thickBot="1">
      <c r="A55" s="2047"/>
      <c r="B55" s="164" t="s">
        <v>1769</v>
      </c>
      <c r="C55" s="490" t="s">
        <v>1712</v>
      </c>
      <c r="D55" s="524"/>
      <c r="E55" s="1450">
        <f t="shared" si="9"/>
        <v>0</v>
      </c>
      <c r="F55" s="1379">
        <f>$D$55*'Freight 2022'!E122</f>
        <v>0</v>
      </c>
      <c r="G55" s="1379">
        <f>$D$55*'Freight 2022'!F122</f>
        <v>0</v>
      </c>
      <c r="H55" s="1379">
        <f>$D$55*'Freight 2022'!G122</f>
        <v>0</v>
      </c>
    </row>
    <row r="56" spans="1:8" ht="15" customHeight="1" thickBot="1">
      <c r="A56" s="2047"/>
      <c r="B56" s="164" t="s">
        <v>1770</v>
      </c>
      <c r="C56" s="490" t="s">
        <v>1712</v>
      </c>
      <c r="D56" s="524"/>
      <c r="E56" s="1450">
        <f t="shared" si="9"/>
        <v>0</v>
      </c>
      <c r="F56" s="1379">
        <f>$D$56*'Freight 2022'!E123</f>
        <v>0</v>
      </c>
      <c r="G56" s="1379">
        <f>$D$56*'Freight 2022'!F123</f>
        <v>0</v>
      </c>
      <c r="H56" s="1379">
        <f>$D$56*'Freight 2022'!G123</f>
        <v>0</v>
      </c>
    </row>
    <row r="57" spans="1:8" ht="15" customHeight="1" thickBot="1">
      <c r="A57" s="2047"/>
      <c r="B57" s="164" t="s">
        <v>1771</v>
      </c>
      <c r="C57" s="490" t="s">
        <v>1712</v>
      </c>
      <c r="D57" s="524"/>
      <c r="E57" s="1450">
        <f t="shared" si="9"/>
        <v>0</v>
      </c>
      <c r="F57" s="1379">
        <f>$D$57*'Freight 2022'!E124</f>
        <v>0</v>
      </c>
      <c r="G57" s="1379">
        <f>$D$57*'Freight 2022'!F124</f>
        <v>0</v>
      </c>
      <c r="H57" s="1379">
        <f>$D$57*'Freight 2022'!G124</f>
        <v>0</v>
      </c>
    </row>
    <row r="58" spans="1:8" ht="15" customHeight="1" thickBot="1">
      <c r="A58" s="2047"/>
      <c r="B58" s="164" t="s">
        <v>1772</v>
      </c>
      <c r="C58" s="490" t="s">
        <v>1712</v>
      </c>
      <c r="D58" s="524"/>
      <c r="E58" s="1450">
        <f t="shared" si="9"/>
        <v>0</v>
      </c>
      <c r="F58" s="1379">
        <f>$D$58*'Freight 2022'!E125</f>
        <v>0</v>
      </c>
      <c r="G58" s="1379">
        <f>$D$58*'Freight 2022'!F125</f>
        <v>0</v>
      </c>
      <c r="H58" s="1379">
        <f>$D$58*'Freight 2022'!G125</f>
        <v>0</v>
      </c>
    </row>
    <row r="59" spans="1:8" ht="15" customHeight="1" thickBot="1">
      <c r="A59" s="2047"/>
      <c r="B59" s="164" t="s">
        <v>1773</v>
      </c>
      <c r="C59" s="490" t="s">
        <v>1712</v>
      </c>
      <c r="D59" s="524"/>
      <c r="E59" s="1450">
        <f t="shared" si="9"/>
        <v>0</v>
      </c>
      <c r="F59" s="1379">
        <f>$D$59*'Freight 2022'!E126</f>
        <v>0</v>
      </c>
      <c r="G59" s="1379">
        <f>$D$59*'Freight 2022'!F126</f>
        <v>0</v>
      </c>
      <c r="H59" s="1379">
        <f>$D$59*'Freight 2022'!G126</f>
        <v>0</v>
      </c>
    </row>
    <row r="60" spans="1:8" ht="15" customHeight="1" thickBot="1">
      <c r="A60" s="2047" t="s">
        <v>1774</v>
      </c>
      <c r="B60" s="164" t="s">
        <v>1775</v>
      </c>
      <c r="C60" s="490" t="s">
        <v>1712</v>
      </c>
      <c r="D60" s="524"/>
      <c r="E60" s="1450">
        <f t="shared" si="9"/>
        <v>0</v>
      </c>
      <c r="F60" s="1379">
        <f>$D$60*'Freight 2022'!E127</f>
        <v>0</v>
      </c>
      <c r="G60" s="1379">
        <f>$D$60*'Freight 2022'!F127</f>
        <v>0</v>
      </c>
      <c r="H60" s="1379">
        <f>$D$60*'Freight 2022'!G127</f>
        <v>0</v>
      </c>
    </row>
    <row r="61" spans="1:8" ht="15" customHeight="1" thickBot="1">
      <c r="A61" s="2047"/>
      <c r="B61" s="164" t="s">
        <v>1776</v>
      </c>
      <c r="C61" s="490" t="s">
        <v>1712</v>
      </c>
      <c r="D61" s="524"/>
      <c r="E61" s="1450">
        <f t="shared" si="9"/>
        <v>0</v>
      </c>
      <c r="F61" s="1379">
        <f>$D$61*'Freight 2022'!E128</f>
        <v>0</v>
      </c>
      <c r="G61" s="1379">
        <f>$D$61*'Freight 2022'!F128</f>
        <v>0</v>
      </c>
      <c r="H61" s="1379">
        <f>$D$61*'Freight 2022'!G128</f>
        <v>0</v>
      </c>
    </row>
    <row r="62" spans="1:8" ht="15" customHeight="1" thickBot="1">
      <c r="A62" s="2047"/>
      <c r="B62" s="164" t="s">
        <v>1777</v>
      </c>
      <c r="C62" s="490" t="s">
        <v>1712</v>
      </c>
      <c r="D62" s="524"/>
      <c r="E62" s="1450">
        <f t="shared" si="9"/>
        <v>0</v>
      </c>
      <c r="F62" s="1379">
        <f>$D$62*'Freight 2022'!E129</f>
        <v>0</v>
      </c>
      <c r="G62" s="1379">
        <f>$D$62*'Freight 2022'!F129</f>
        <v>0</v>
      </c>
      <c r="H62" s="1379">
        <f>$D$62*'Freight 2022'!G129</f>
        <v>0</v>
      </c>
    </row>
    <row r="63" spans="1:8" ht="15" customHeight="1" thickBot="1">
      <c r="A63" s="2047"/>
      <c r="B63" s="164" t="s">
        <v>1778</v>
      </c>
      <c r="C63" s="490" t="s">
        <v>1712</v>
      </c>
      <c r="D63" s="524"/>
      <c r="E63" s="1450">
        <f t="shared" si="9"/>
        <v>0</v>
      </c>
      <c r="F63" s="1379">
        <f>$D$63*'Freight 2022'!E130</f>
        <v>0</v>
      </c>
      <c r="G63" s="1379">
        <f>$D$63*'Freight 2022'!F130</f>
        <v>0</v>
      </c>
      <c r="H63" s="1379">
        <f>$D$63*'Freight 2022'!G130</f>
        <v>0</v>
      </c>
    </row>
    <row r="64" spans="1:8" ht="15" customHeight="1" thickBot="1">
      <c r="A64" s="2047"/>
      <c r="B64" s="164" t="s">
        <v>1779</v>
      </c>
      <c r="C64" s="490" t="s">
        <v>1712</v>
      </c>
      <c r="D64" s="524"/>
      <c r="E64" s="1450">
        <f t="shared" si="9"/>
        <v>0</v>
      </c>
      <c r="F64" s="1379">
        <f>$D$64*'Freight 2022'!E131</f>
        <v>0</v>
      </c>
      <c r="G64" s="1379">
        <f>$D$64*'Freight 2022'!F131</f>
        <v>0</v>
      </c>
      <c r="H64" s="1379">
        <f>$D$64*'Freight 2022'!G131</f>
        <v>0</v>
      </c>
    </row>
    <row r="65" spans="1:8" ht="15" customHeight="1" thickBot="1">
      <c r="A65" s="2047"/>
      <c r="B65" s="164" t="s">
        <v>1780</v>
      </c>
      <c r="C65" s="490" t="s">
        <v>1712</v>
      </c>
      <c r="D65" s="524"/>
      <c r="E65" s="1450">
        <f t="shared" si="9"/>
        <v>0</v>
      </c>
      <c r="F65" s="1379">
        <f>$D$65*'Freight 2022'!E132</f>
        <v>0</v>
      </c>
      <c r="G65" s="1379">
        <f>$D$65*'Freight 2022'!F132</f>
        <v>0</v>
      </c>
      <c r="H65" s="1379">
        <f>$D$65*'Freight 2022'!G132</f>
        <v>0</v>
      </c>
    </row>
    <row r="66" spans="1:8" ht="15" customHeight="1" thickBot="1">
      <c r="A66" s="2047"/>
      <c r="B66" s="164" t="s">
        <v>1773</v>
      </c>
      <c r="C66" s="490" t="s">
        <v>1712</v>
      </c>
      <c r="D66" s="524"/>
      <c r="E66" s="1450">
        <f t="shared" si="9"/>
        <v>0</v>
      </c>
      <c r="F66" s="1379">
        <f>$D$66*'Freight 2022'!E133</f>
        <v>0</v>
      </c>
      <c r="G66" s="1379">
        <f>$D$66*'Freight 2022'!F133</f>
        <v>0</v>
      </c>
      <c r="H66" s="1379">
        <f>$D$66*'Freight 2022'!G133</f>
        <v>0</v>
      </c>
    </row>
    <row r="67" spans="1:8" ht="15" customHeight="1" thickBot="1">
      <c r="A67" s="2047" t="s">
        <v>1781</v>
      </c>
      <c r="B67" s="164" t="s">
        <v>1782</v>
      </c>
      <c r="C67" s="490" t="s">
        <v>1712</v>
      </c>
      <c r="D67" s="524"/>
      <c r="E67" s="1450">
        <f t="shared" si="9"/>
        <v>0</v>
      </c>
      <c r="F67" s="1379">
        <f>$D$67*'Freight 2022'!E134</f>
        <v>0</v>
      </c>
      <c r="G67" s="1379">
        <f>$D$67*'Freight 2022'!F134</f>
        <v>0</v>
      </c>
      <c r="H67" s="1379">
        <f>$D$67*'Freight 2022'!G134</f>
        <v>0</v>
      </c>
    </row>
    <row r="68" spans="1:8" ht="15" customHeight="1" thickBot="1">
      <c r="A68" s="2047"/>
      <c r="B68" s="164" t="s">
        <v>1783</v>
      </c>
      <c r="C68" s="490" t="s">
        <v>1712</v>
      </c>
      <c r="D68" s="524"/>
      <c r="E68" s="1450">
        <f t="shared" si="9"/>
        <v>0</v>
      </c>
      <c r="F68" s="1379">
        <f>$D$68*'Freight 2022'!E135</f>
        <v>0</v>
      </c>
      <c r="G68" s="1379">
        <f>$D$68*'Freight 2022'!F135</f>
        <v>0</v>
      </c>
      <c r="H68" s="1379">
        <f>$D$68*'Freight 2022'!G135</f>
        <v>0</v>
      </c>
    </row>
    <row r="69" spans="1:8" ht="15" customHeight="1" thickBot="1">
      <c r="A69" s="2047"/>
      <c r="B69" s="164" t="s">
        <v>1784</v>
      </c>
      <c r="C69" s="490" t="s">
        <v>1712</v>
      </c>
      <c r="D69" s="524"/>
      <c r="E69" s="1450">
        <f t="shared" si="9"/>
        <v>0</v>
      </c>
      <c r="F69" s="1379">
        <f>$D$69*'Freight 2022'!E136</f>
        <v>0</v>
      </c>
      <c r="G69" s="1379">
        <f>$D$69*'Freight 2022'!F136</f>
        <v>0</v>
      </c>
      <c r="H69" s="1379">
        <f>$D$69*'Freight 2022'!G136</f>
        <v>0</v>
      </c>
    </row>
    <row r="70" spans="1:8" ht="15" customHeight="1" thickBot="1">
      <c r="A70" s="2047"/>
      <c r="B70" s="164" t="s">
        <v>1785</v>
      </c>
      <c r="C70" s="490" t="s">
        <v>1712</v>
      </c>
      <c r="D70" s="524"/>
      <c r="E70" s="1450">
        <f t="shared" si="9"/>
        <v>0</v>
      </c>
      <c r="F70" s="1379">
        <f>$D$70*'Freight 2022'!E137</f>
        <v>0</v>
      </c>
      <c r="G70" s="1379">
        <f>$D$70*'Freight 2022'!F137</f>
        <v>0</v>
      </c>
      <c r="H70" s="1379">
        <f>$D$70*'Freight 2022'!G137</f>
        <v>0</v>
      </c>
    </row>
    <row r="71" spans="1:8" ht="15" customHeight="1" thickBot="1">
      <c r="A71" s="2047"/>
      <c r="B71" s="164" t="s">
        <v>1786</v>
      </c>
      <c r="C71" s="490" t="s">
        <v>1712</v>
      </c>
      <c r="D71" s="524"/>
      <c r="E71" s="1450">
        <f t="shared" si="9"/>
        <v>0</v>
      </c>
      <c r="F71" s="1379">
        <f>$D$71*'Freight 2022'!E138</f>
        <v>0</v>
      </c>
      <c r="G71" s="1379">
        <f>$D$71*'Freight 2022'!F138</f>
        <v>0</v>
      </c>
      <c r="H71" s="1379">
        <f>$D$71*'Freight 2022'!G138</f>
        <v>0</v>
      </c>
    </row>
    <row r="72" spans="1:8" ht="15" customHeight="1" thickBot="1">
      <c r="A72" s="2047"/>
      <c r="B72" s="164" t="s">
        <v>1787</v>
      </c>
      <c r="C72" s="490" t="s">
        <v>1712</v>
      </c>
      <c r="D72" s="524"/>
      <c r="E72" s="1450">
        <f t="shared" si="9"/>
        <v>0</v>
      </c>
      <c r="F72" s="1379">
        <f>$D$72*'Freight 2022'!E139</f>
        <v>0</v>
      </c>
      <c r="G72" s="1379">
        <f>$D$72*'Freight 2022'!F139</f>
        <v>0</v>
      </c>
      <c r="H72" s="1379">
        <f>$D$72*'Freight 2022'!G139</f>
        <v>0</v>
      </c>
    </row>
    <row r="73" spans="1:8" ht="15" customHeight="1" thickBot="1">
      <c r="A73" s="2047"/>
      <c r="B73" s="164" t="s">
        <v>1773</v>
      </c>
      <c r="C73" s="490" t="s">
        <v>1712</v>
      </c>
      <c r="D73" s="524"/>
      <c r="E73" s="1450">
        <f t="shared" si="9"/>
        <v>0</v>
      </c>
      <c r="F73" s="1379">
        <f>$D$73*'Freight 2022'!E140</f>
        <v>0</v>
      </c>
      <c r="G73" s="1379">
        <f>$D$73*'Freight 2022'!F140</f>
        <v>0</v>
      </c>
      <c r="H73" s="1379">
        <f>$D$73*'Freight 2022'!G140</f>
        <v>0</v>
      </c>
    </row>
    <row r="74" spans="1:8" ht="15" customHeight="1" thickBot="1">
      <c r="A74" s="2047" t="s">
        <v>1788</v>
      </c>
      <c r="B74" s="164" t="s">
        <v>1789</v>
      </c>
      <c r="C74" s="490" t="s">
        <v>1712</v>
      </c>
      <c r="D74" s="524"/>
      <c r="E74" s="1450">
        <f t="shared" si="9"/>
        <v>0</v>
      </c>
      <c r="F74" s="1379">
        <f>$D$74*'Freight 2022'!E141</f>
        <v>0</v>
      </c>
      <c r="G74" s="1379">
        <f>$D$74*'Freight 2022'!F141</f>
        <v>0</v>
      </c>
      <c r="H74" s="1379">
        <f>$D$74*'Freight 2022'!G141</f>
        <v>0</v>
      </c>
    </row>
    <row r="75" spans="1:8" ht="15" customHeight="1" thickBot="1">
      <c r="A75" s="2047"/>
      <c r="B75" s="164" t="s">
        <v>1790</v>
      </c>
      <c r="C75" s="490" t="s">
        <v>1712</v>
      </c>
      <c r="D75" s="524"/>
      <c r="E75" s="1450">
        <f t="shared" si="9"/>
        <v>0</v>
      </c>
      <c r="F75" s="1379">
        <f>$D$75*'Freight 2022'!E142</f>
        <v>0</v>
      </c>
      <c r="G75" s="1379">
        <f>$D$75*'Freight 2022'!F142</f>
        <v>0</v>
      </c>
      <c r="H75" s="1379">
        <f>$D$75*'Freight 2022'!G142</f>
        <v>0</v>
      </c>
    </row>
    <row r="76" spans="1:8" ht="15" customHeight="1" thickBot="1">
      <c r="A76" s="2047"/>
      <c r="B76" s="164" t="s">
        <v>1773</v>
      </c>
      <c r="C76" s="490" t="s">
        <v>1712</v>
      </c>
      <c r="D76" s="524"/>
      <c r="E76" s="1450">
        <f t="shared" si="9"/>
        <v>0</v>
      </c>
      <c r="F76" s="1379">
        <f>$D$76*'Freight 2022'!E143</f>
        <v>0</v>
      </c>
      <c r="G76" s="1379">
        <f>$D$76*'Freight 2022'!F143</f>
        <v>0</v>
      </c>
      <c r="H76" s="1379">
        <f>$D$76*'Freight 2022'!G143</f>
        <v>0</v>
      </c>
    </row>
    <row r="77" spans="1:8" ht="15" customHeight="1" thickBot="1">
      <c r="A77" s="2047" t="s">
        <v>1791</v>
      </c>
      <c r="B77" s="164" t="s">
        <v>1792</v>
      </c>
      <c r="C77" s="490" t="s">
        <v>1712</v>
      </c>
      <c r="D77" s="524"/>
      <c r="E77" s="1450">
        <f t="shared" si="9"/>
        <v>0</v>
      </c>
      <c r="F77" s="1379">
        <f>$D$77*'Freight 2022'!E144</f>
        <v>0</v>
      </c>
      <c r="G77" s="1379">
        <f>$D$77*'Freight 2022'!F144</f>
        <v>0</v>
      </c>
      <c r="H77" s="1379">
        <f>$D$77*'Freight 2022'!G144</f>
        <v>0</v>
      </c>
    </row>
    <row r="78" spans="1:8" ht="15" customHeight="1" thickBot="1">
      <c r="A78" s="2047"/>
      <c r="B78" s="164" t="s">
        <v>1793</v>
      </c>
      <c r="C78" s="490" t="s">
        <v>1712</v>
      </c>
      <c r="D78" s="524"/>
      <c r="E78" s="1450">
        <f t="shared" si="9"/>
        <v>0</v>
      </c>
      <c r="F78" s="1379">
        <f>$D$78*'Freight 2022'!E145</f>
        <v>0</v>
      </c>
      <c r="G78" s="1379">
        <f>$D$78*'Freight 2022'!F145</f>
        <v>0</v>
      </c>
      <c r="H78" s="1379">
        <f>$D$78*'Freight 2022'!G145</f>
        <v>0</v>
      </c>
    </row>
    <row r="79" spans="1:8" ht="15" customHeight="1" thickBot="1">
      <c r="A79" s="2047"/>
      <c r="B79" s="164" t="s">
        <v>1773</v>
      </c>
      <c r="C79" s="490" t="s">
        <v>1712</v>
      </c>
      <c r="D79" s="524"/>
      <c r="E79" s="1450">
        <f t="shared" si="9"/>
        <v>0</v>
      </c>
      <c r="F79" s="1379">
        <f>$D$79*'Freight 2022'!E146</f>
        <v>0</v>
      </c>
      <c r="G79" s="1379">
        <f>$D$79*'Freight 2022'!F146</f>
        <v>0</v>
      </c>
      <c r="H79" s="1379">
        <f>$D$79*'Freight 2022'!G146</f>
        <v>0</v>
      </c>
    </row>
    <row r="80" spans="1:8" ht="15" customHeight="1">
      <c r="A80" s="495" t="s">
        <v>1795</v>
      </c>
      <c r="B80" s="169" t="s">
        <v>1796</v>
      </c>
      <c r="C80" s="169" t="s">
        <v>1712</v>
      </c>
      <c r="D80" s="524"/>
      <c r="E80" s="1450">
        <f t="shared" ref="E80" si="10">SUM(F80:H80)</f>
        <v>0</v>
      </c>
      <c r="F80" s="1379">
        <f>$D$80*'Freight 2022'!E148</f>
        <v>0</v>
      </c>
      <c r="G80" s="1379">
        <f>$D$80*'Freight 2022'!F148</f>
        <v>0</v>
      </c>
      <c r="H80" s="1379">
        <f>$D$80*'Freight 2022'!G148</f>
        <v>0</v>
      </c>
    </row>
    <row r="81" spans="1:18">
      <c r="D81" s="1382" t="s">
        <v>247</v>
      </c>
      <c r="E81" s="175">
        <f>SUM(E53:E79)</f>
        <v>0</v>
      </c>
      <c r="F81" s="175">
        <f>SUM(F53:F79)</f>
        <v>0</v>
      </c>
      <c r="G81" s="175">
        <f>SUM(G53:G79)</f>
        <v>0</v>
      </c>
      <c r="H81" s="175">
        <f>SUM(H53:H79)</f>
        <v>0</v>
      </c>
    </row>
    <row r="84" spans="1:18" ht="23.25">
      <c r="A84" s="65" t="s">
        <v>1905</v>
      </c>
    </row>
    <row r="86" spans="1:18">
      <c r="A86" s="2055" t="s">
        <v>1718</v>
      </c>
      <c r="B86" s="2056"/>
      <c r="C86" s="2056"/>
      <c r="D86" s="2056"/>
      <c r="E86" s="2056"/>
      <c r="F86" s="2056"/>
      <c r="G86" s="2056"/>
      <c r="H86" s="2056"/>
      <c r="I86" s="2056"/>
      <c r="J86" s="2056"/>
      <c r="K86" s="2056"/>
      <c r="L86" s="2056"/>
      <c r="M86" s="2056"/>
      <c r="N86" s="2056"/>
      <c r="O86" s="2056"/>
      <c r="P86" s="2056"/>
      <c r="Q86" s="2056"/>
      <c r="R86" s="2057"/>
    </row>
    <row r="87" spans="1:18">
      <c r="A87" s="1454"/>
      <c r="B87" s="1455"/>
      <c r="C87" s="1456"/>
      <c r="D87" s="2131" t="s">
        <v>1202</v>
      </c>
      <c r="E87" s="2131"/>
      <c r="F87" s="2131"/>
      <c r="G87" s="2131"/>
      <c r="H87" s="2131"/>
      <c r="I87" s="2131" t="s">
        <v>1906</v>
      </c>
      <c r="J87" s="2131"/>
      <c r="K87" s="2131"/>
      <c r="L87" s="2131"/>
      <c r="M87" s="2131"/>
      <c r="N87" s="2131" t="s">
        <v>1204</v>
      </c>
      <c r="O87" s="2131"/>
      <c r="P87" s="2131"/>
      <c r="Q87" s="2131"/>
      <c r="R87" s="2058"/>
    </row>
    <row r="88" spans="1:18">
      <c r="A88" s="1454"/>
      <c r="B88" s="1455"/>
      <c r="C88" s="1456"/>
      <c r="D88" s="172"/>
      <c r="E88" s="2045" t="s">
        <v>423</v>
      </c>
      <c r="F88" s="2045"/>
      <c r="G88" s="2045"/>
      <c r="H88" s="2045"/>
      <c r="I88" s="172"/>
      <c r="J88" s="2045" t="s">
        <v>423</v>
      </c>
      <c r="K88" s="2045"/>
      <c r="L88" s="2045"/>
      <c r="M88" s="2045"/>
      <c r="N88" s="172"/>
      <c r="O88" s="2045" t="s">
        <v>423</v>
      </c>
      <c r="P88" s="2045"/>
      <c r="Q88" s="2045"/>
      <c r="R88" s="1890"/>
    </row>
    <row r="89" spans="1:18" ht="24" customHeight="1" thickBot="1">
      <c r="A89" s="1892" t="s">
        <v>69</v>
      </c>
      <c r="B89" s="1893"/>
      <c r="C89" s="1373" t="s">
        <v>70</v>
      </c>
      <c r="D89" s="1457" t="s">
        <v>424</v>
      </c>
      <c r="E89" s="1458" t="s">
        <v>59</v>
      </c>
      <c r="F89" s="1459" t="s">
        <v>425</v>
      </c>
      <c r="G89" s="1459" t="s">
        <v>426</v>
      </c>
      <c r="H89" s="1459" t="s">
        <v>427</v>
      </c>
      <c r="I89" s="1457" t="s">
        <v>424</v>
      </c>
      <c r="J89" s="1458" t="s">
        <v>59</v>
      </c>
      <c r="K89" s="1459" t="s">
        <v>425</v>
      </c>
      <c r="L89" s="1459" t="s">
        <v>426</v>
      </c>
      <c r="M89" s="1459" t="s">
        <v>427</v>
      </c>
      <c r="N89" s="1457" t="s">
        <v>424</v>
      </c>
      <c r="O89" s="1458" t="s">
        <v>59</v>
      </c>
      <c r="P89" s="1459" t="s">
        <v>425</v>
      </c>
      <c r="Q89" s="1459" t="s">
        <v>426</v>
      </c>
      <c r="R89" s="1459" t="s">
        <v>427</v>
      </c>
    </row>
    <row r="90" spans="1:18" ht="15" customHeight="1" thickBot="1">
      <c r="A90" s="2047" t="s">
        <v>1907</v>
      </c>
      <c r="B90" s="169" t="s">
        <v>1720</v>
      </c>
      <c r="C90" s="490" t="s">
        <v>1211</v>
      </c>
      <c r="D90" s="524"/>
      <c r="E90" s="1450">
        <f>SUM(F90:H90)</f>
        <v>0</v>
      </c>
      <c r="F90" s="1379">
        <f>$D$90*'Freight 2022'!E17</f>
        <v>0</v>
      </c>
      <c r="G90" s="1379">
        <f>$D$90*'Freight 2022'!F17</f>
        <v>0</v>
      </c>
      <c r="H90" s="1379">
        <f>$D$90*'Freight 2022'!G17</f>
        <v>0</v>
      </c>
      <c r="I90" s="524"/>
      <c r="J90" s="1378">
        <f>SUM(K90:M90)</f>
        <v>0</v>
      </c>
      <c r="K90" s="1379">
        <f>$I$90*'Freight 2022'!I17</f>
        <v>0</v>
      </c>
      <c r="L90" s="1379">
        <f>$I$90*'Freight 2022'!J17</f>
        <v>0</v>
      </c>
      <c r="M90" s="1379">
        <f>$I$90*'Freight 2022'!K17</f>
        <v>0</v>
      </c>
      <c r="N90" s="524"/>
      <c r="O90" s="1378">
        <f>SUM(P90:R90)</f>
        <v>0</v>
      </c>
      <c r="P90" s="1379">
        <f>$N$90*'Freight 2022'!M17</f>
        <v>0</v>
      </c>
      <c r="Q90" s="1379">
        <f>$N$90*'Freight 2022'!N17</f>
        <v>0</v>
      </c>
      <c r="R90" s="1379">
        <f>$N$90*'Freight 2022'!O17</f>
        <v>0</v>
      </c>
    </row>
    <row r="91" spans="1:18" ht="15" customHeight="1" thickBot="1">
      <c r="A91" s="2047"/>
      <c r="B91" s="169" t="s">
        <v>1908</v>
      </c>
      <c r="C91" s="490" t="s">
        <v>1211</v>
      </c>
      <c r="D91" s="524"/>
      <c r="E91" s="1450">
        <f t="shared" ref="E91:E109" si="11">SUM(F91:H91)</f>
        <v>0</v>
      </c>
      <c r="F91" s="1379">
        <f>$D$91*'Freight 2022'!E18</f>
        <v>0</v>
      </c>
      <c r="G91" s="1379">
        <f>$D$91*'Freight 2022'!F18</f>
        <v>0</v>
      </c>
      <c r="H91" s="1379">
        <f>$D$91*'Freight 2022'!G18</f>
        <v>0</v>
      </c>
      <c r="I91" s="524"/>
      <c r="J91" s="1378">
        <f t="shared" ref="J91:J134" si="12">SUM(K91:M91)</f>
        <v>0</v>
      </c>
      <c r="K91" s="1379">
        <f>$I$91*'Freight 2022'!I18</f>
        <v>0</v>
      </c>
      <c r="L91" s="1379">
        <f>$I$91*'Freight 2022'!J18</f>
        <v>0</v>
      </c>
      <c r="M91" s="1379">
        <f>$I$91*'Freight 2022'!K18</f>
        <v>0</v>
      </c>
      <c r="N91" s="524"/>
      <c r="O91" s="1378">
        <f t="shared" ref="O91:O134" si="13">SUM(P91:R91)</f>
        <v>0</v>
      </c>
      <c r="P91" s="1379">
        <f>$N$91*'Freight 2022'!M18</f>
        <v>0</v>
      </c>
      <c r="Q91" s="1379">
        <f>$N$91*'Freight 2022'!N18</f>
        <v>0</v>
      </c>
      <c r="R91" s="1379">
        <f>$N$91*'Freight 2022'!O18</f>
        <v>0</v>
      </c>
    </row>
    <row r="92" spans="1:18" ht="15.75" thickBot="1">
      <c r="A92" s="2047"/>
      <c r="B92" s="169" t="s">
        <v>1909</v>
      </c>
      <c r="C92" s="490" t="s">
        <v>1211</v>
      </c>
      <c r="D92" s="524"/>
      <c r="E92" s="1450">
        <f t="shared" si="11"/>
        <v>0</v>
      </c>
      <c r="F92" s="1379">
        <f>$D$92*'Freight 2022'!E19</f>
        <v>0</v>
      </c>
      <c r="G92" s="1379">
        <f>$D$92*'Freight 2022'!F19</f>
        <v>0</v>
      </c>
      <c r="H92" s="1379">
        <f>$D$92*'Freight 2022'!G19</f>
        <v>0</v>
      </c>
      <c r="I92" s="524"/>
      <c r="J92" s="1378">
        <f t="shared" si="12"/>
        <v>0</v>
      </c>
      <c r="K92" s="1379">
        <f>$I$92*'Freight 2022'!I19</f>
        <v>0</v>
      </c>
      <c r="L92" s="1379">
        <f>$I$92*'Freight 2022'!J19</f>
        <v>0</v>
      </c>
      <c r="M92" s="1379">
        <f>$I$92*'Freight 2022'!K19</f>
        <v>0</v>
      </c>
      <c r="N92" s="524"/>
      <c r="O92" s="1378">
        <f t="shared" si="13"/>
        <v>0</v>
      </c>
      <c r="P92" s="1379">
        <f>$N$92*'Freight 2022'!M19</f>
        <v>0</v>
      </c>
      <c r="Q92" s="1379">
        <f>$N$92*'Freight 2022'!N19</f>
        <v>0</v>
      </c>
      <c r="R92" s="1379">
        <f>$N$92*'Freight 2022'!O19</f>
        <v>0</v>
      </c>
    </row>
    <row r="93" spans="1:18" ht="15.75" thickBot="1">
      <c r="A93" s="2047"/>
      <c r="B93" s="169" t="s">
        <v>1910</v>
      </c>
      <c r="C93" s="490" t="s">
        <v>1211</v>
      </c>
      <c r="D93" s="524"/>
      <c r="E93" s="1450">
        <f t="shared" si="11"/>
        <v>0</v>
      </c>
      <c r="F93" s="1379">
        <f>$D$93*'Freight 2022'!E20</f>
        <v>0</v>
      </c>
      <c r="G93" s="1379">
        <f>$D$93*'Freight 2022'!F20</f>
        <v>0</v>
      </c>
      <c r="H93" s="1379">
        <f>$D$93*'Freight 2022'!G20</f>
        <v>0</v>
      </c>
      <c r="I93" s="524"/>
      <c r="J93" s="1378">
        <f t="shared" si="12"/>
        <v>0</v>
      </c>
      <c r="K93" s="1379">
        <f>$I$93*'Freight 2022'!I20</f>
        <v>0</v>
      </c>
      <c r="L93" s="1379">
        <f>$I$93*'Freight 2022'!J20</f>
        <v>0</v>
      </c>
      <c r="M93" s="1379">
        <f>$I$93*'Freight 2022'!K20</f>
        <v>0</v>
      </c>
      <c r="N93" s="524"/>
      <c r="O93" s="1378">
        <f t="shared" si="13"/>
        <v>0</v>
      </c>
      <c r="P93" s="1379">
        <f>$N$93*'Freight 2022'!M20</f>
        <v>0</v>
      </c>
      <c r="Q93" s="1379">
        <f>$N$93*'Freight 2022'!N20</f>
        <v>0</v>
      </c>
      <c r="R93" s="1379">
        <f>$N$93*'Freight 2022'!O20</f>
        <v>0</v>
      </c>
    </row>
    <row r="94" spans="1:18" ht="15.75" thickBot="1">
      <c r="A94" s="2047"/>
      <c r="B94" s="169" t="s">
        <v>1215</v>
      </c>
      <c r="C94" s="490" t="s">
        <v>1211</v>
      </c>
      <c r="D94" s="524"/>
      <c r="E94" s="1450">
        <f t="shared" si="11"/>
        <v>0</v>
      </c>
      <c r="F94" s="1379">
        <f>$D$94*'Freight 2022'!E21</f>
        <v>0</v>
      </c>
      <c r="G94" s="1379">
        <f>$D$94*'Freight 2022'!F21</f>
        <v>0</v>
      </c>
      <c r="H94" s="1379">
        <f>$D$94*'Freight 2022'!G21</f>
        <v>0</v>
      </c>
      <c r="I94" s="524"/>
      <c r="J94" s="1378">
        <f t="shared" si="12"/>
        <v>0</v>
      </c>
      <c r="K94" s="1379">
        <f>$I$94*'Freight 2022'!I21</f>
        <v>0</v>
      </c>
      <c r="L94" s="1379">
        <f>$I$94*'Freight 2022'!J21</f>
        <v>0</v>
      </c>
      <c r="M94" s="1379">
        <f>$I$94*'Freight 2022'!K21</f>
        <v>0</v>
      </c>
      <c r="N94" s="524"/>
      <c r="O94" s="1378">
        <f t="shared" si="13"/>
        <v>0</v>
      </c>
      <c r="P94" s="1379">
        <f>$N$94*'Freight 2022'!M21</f>
        <v>0</v>
      </c>
      <c r="Q94" s="1379">
        <f>$N$94*'Freight 2022'!N21</f>
        <v>0</v>
      </c>
      <c r="R94" s="1379">
        <f>$N$94*'Freight 2022'!O21</f>
        <v>0</v>
      </c>
    </row>
    <row r="95" spans="1:18" ht="15.75" thickBot="1">
      <c r="A95" s="2047" t="s">
        <v>1911</v>
      </c>
      <c r="B95" s="169" t="s">
        <v>1720</v>
      </c>
      <c r="C95" s="490" t="s">
        <v>1211</v>
      </c>
      <c r="D95" s="524"/>
      <c r="E95" s="1450">
        <f t="shared" si="11"/>
        <v>0</v>
      </c>
      <c r="F95" s="1379">
        <f>$D$95*'Freight 2022'!E22</f>
        <v>0</v>
      </c>
      <c r="G95" s="1379">
        <f>$D$95*'Freight 2022'!F22</f>
        <v>0</v>
      </c>
      <c r="H95" s="1379">
        <f>$D$95*'Freight 2022'!G22</f>
        <v>0</v>
      </c>
      <c r="I95" s="524"/>
      <c r="J95" s="1378">
        <f t="shared" si="12"/>
        <v>0</v>
      </c>
      <c r="K95" s="1379">
        <f>$I$95*'Freight 2022'!I22</f>
        <v>0</v>
      </c>
      <c r="L95" s="1379">
        <f>$I$95*'Freight 2022'!J22</f>
        <v>0</v>
      </c>
      <c r="M95" s="1379">
        <f>$I$95*'Freight 2022'!K22</f>
        <v>0</v>
      </c>
      <c r="N95" s="524"/>
      <c r="O95" s="1378">
        <f t="shared" si="13"/>
        <v>0</v>
      </c>
      <c r="P95" s="1379">
        <f>$N$95*'Freight 2022'!M22</f>
        <v>0</v>
      </c>
      <c r="Q95" s="1379">
        <f>$N$95*'Freight 2022'!N22</f>
        <v>0</v>
      </c>
      <c r="R95" s="1379">
        <f>$N$95*'Freight 2022'!O22</f>
        <v>0</v>
      </c>
    </row>
    <row r="96" spans="1:18" ht="15.75" thickBot="1">
      <c r="A96" s="2047"/>
      <c r="B96" s="169" t="s">
        <v>1908</v>
      </c>
      <c r="C96" s="490" t="s">
        <v>1211</v>
      </c>
      <c r="D96" s="524"/>
      <c r="E96" s="1450">
        <f t="shared" si="11"/>
        <v>0</v>
      </c>
      <c r="F96" s="1379">
        <f>$D$96*'Freight 2022'!E23</f>
        <v>0</v>
      </c>
      <c r="G96" s="1379">
        <f>$D$96*'Freight 2022'!F23</f>
        <v>0</v>
      </c>
      <c r="H96" s="1379">
        <f>$D$96*'Freight 2022'!G23</f>
        <v>0</v>
      </c>
      <c r="I96" s="524"/>
      <c r="J96" s="1378">
        <f t="shared" si="12"/>
        <v>0</v>
      </c>
      <c r="K96" s="1379">
        <f>$I$96*'Freight 2022'!I23</f>
        <v>0</v>
      </c>
      <c r="L96" s="1379">
        <f>$I$96*'Freight 2022'!J23</f>
        <v>0</v>
      </c>
      <c r="M96" s="1379">
        <f>$I$96*'Freight 2022'!K23</f>
        <v>0</v>
      </c>
      <c r="N96" s="524"/>
      <c r="O96" s="1378">
        <f t="shared" si="13"/>
        <v>0</v>
      </c>
      <c r="P96" s="1379">
        <f>$N$96*'Freight 2022'!M23</f>
        <v>0</v>
      </c>
      <c r="Q96" s="1379">
        <f>$N$96*'Freight 2022'!N23</f>
        <v>0</v>
      </c>
      <c r="R96" s="1379">
        <f>$N$96*'Freight 2022'!O23</f>
        <v>0</v>
      </c>
    </row>
    <row r="97" spans="1:18" ht="15.75" thickBot="1">
      <c r="A97" s="2047"/>
      <c r="B97" s="169" t="s">
        <v>1909</v>
      </c>
      <c r="C97" s="490" t="s">
        <v>1211</v>
      </c>
      <c r="D97" s="524"/>
      <c r="E97" s="1450">
        <f t="shared" si="11"/>
        <v>0</v>
      </c>
      <c r="F97" s="1379">
        <f>$D$97*'Freight 2022'!E24</f>
        <v>0</v>
      </c>
      <c r="G97" s="1379">
        <f>$D$97*'Freight 2022'!F24</f>
        <v>0</v>
      </c>
      <c r="H97" s="1379">
        <f>$D$97*'Freight 2022'!G24</f>
        <v>0</v>
      </c>
      <c r="I97" s="524"/>
      <c r="J97" s="1378">
        <f t="shared" si="12"/>
        <v>0</v>
      </c>
      <c r="K97" s="1379">
        <f>$I$97*'Freight 2022'!I24</f>
        <v>0</v>
      </c>
      <c r="L97" s="1379">
        <f>$I$97*'Freight 2022'!J24</f>
        <v>0</v>
      </c>
      <c r="M97" s="1379">
        <f>$I$97*'Freight 2022'!K24</f>
        <v>0</v>
      </c>
      <c r="N97" s="524"/>
      <c r="O97" s="1378">
        <f t="shared" si="13"/>
        <v>0</v>
      </c>
      <c r="P97" s="1379">
        <f>$N$97*'Freight 2022'!M24</f>
        <v>0</v>
      </c>
      <c r="Q97" s="1379">
        <f>$N$97*'Freight 2022'!N24</f>
        <v>0</v>
      </c>
      <c r="R97" s="1379">
        <f>$N$97*'Freight 2022'!O24</f>
        <v>0</v>
      </c>
    </row>
    <row r="98" spans="1:18" ht="15.75" thickBot="1">
      <c r="A98" s="2047"/>
      <c r="B98" s="169" t="s">
        <v>1910</v>
      </c>
      <c r="C98" s="490" t="s">
        <v>1211</v>
      </c>
      <c r="D98" s="524"/>
      <c r="E98" s="1450">
        <f t="shared" si="11"/>
        <v>0</v>
      </c>
      <c r="F98" s="1379">
        <f>$D$98*'Freight 2022'!E25</f>
        <v>0</v>
      </c>
      <c r="G98" s="1379">
        <f>$D$98*'Freight 2022'!F25</f>
        <v>0</v>
      </c>
      <c r="H98" s="1379">
        <f>$D$98*'Freight 2022'!G25</f>
        <v>0</v>
      </c>
      <c r="I98" s="524"/>
      <c r="J98" s="1378">
        <f t="shared" si="12"/>
        <v>0</v>
      </c>
      <c r="K98" s="1379">
        <f>$I$98*'Freight 2022'!I25</f>
        <v>0</v>
      </c>
      <c r="L98" s="1379">
        <f>$I$98*'Freight 2022'!J25</f>
        <v>0</v>
      </c>
      <c r="M98" s="1379">
        <f>$I$98*'Freight 2022'!K25</f>
        <v>0</v>
      </c>
      <c r="N98" s="524"/>
      <c r="O98" s="1378">
        <f t="shared" si="13"/>
        <v>0</v>
      </c>
      <c r="P98" s="1379">
        <f>$N$98*'Freight 2022'!M25</f>
        <v>0</v>
      </c>
      <c r="Q98" s="1379">
        <f>$N$98*'Freight 2022'!N25</f>
        <v>0</v>
      </c>
      <c r="R98" s="1379">
        <f>$N$98*'Freight 2022'!O25</f>
        <v>0</v>
      </c>
    </row>
    <row r="99" spans="1:18" ht="15" customHeight="1" thickBot="1">
      <c r="A99" s="2047"/>
      <c r="B99" s="169" t="s">
        <v>1215</v>
      </c>
      <c r="C99" s="490" t="s">
        <v>1211</v>
      </c>
      <c r="D99" s="524"/>
      <c r="E99" s="1450">
        <f t="shared" si="11"/>
        <v>0</v>
      </c>
      <c r="F99" s="1379">
        <f>$D$99*'Freight 2022'!E26</f>
        <v>0</v>
      </c>
      <c r="G99" s="1379">
        <f>$D$99*'Freight 2022'!F26</f>
        <v>0</v>
      </c>
      <c r="H99" s="1379">
        <f>$D$99*'Freight 2022'!G26</f>
        <v>0</v>
      </c>
      <c r="I99" s="524"/>
      <c r="J99" s="1378">
        <f t="shared" si="12"/>
        <v>0</v>
      </c>
      <c r="K99" s="1379">
        <f>$I$99*'Freight 2022'!I26</f>
        <v>0</v>
      </c>
      <c r="L99" s="1379">
        <f>$I$99*'Freight 2022'!J26</f>
        <v>0</v>
      </c>
      <c r="M99" s="1379">
        <f>$I$99*'Freight 2022'!K26</f>
        <v>0</v>
      </c>
      <c r="N99" s="524"/>
      <c r="O99" s="1378">
        <f t="shared" si="13"/>
        <v>0</v>
      </c>
      <c r="P99" s="1379">
        <f>$N$99*'Freight 2022'!M26</f>
        <v>0</v>
      </c>
      <c r="Q99" s="1379">
        <f>$N$99*'Freight 2022'!N26</f>
        <v>0</v>
      </c>
      <c r="R99" s="1379">
        <f>$N$99*'Freight 2022'!O26</f>
        <v>0</v>
      </c>
    </row>
    <row r="100" spans="1:18" ht="15" customHeight="1" thickBot="1">
      <c r="A100" s="2047" t="s">
        <v>1912</v>
      </c>
      <c r="B100" s="169" t="s">
        <v>1720</v>
      </c>
      <c r="C100" s="490" t="s">
        <v>1211</v>
      </c>
      <c r="D100" s="524"/>
      <c r="E100" s="1450">
        <f t="shared" si="11"/>
        <v>0</v>
      </c>
      <c r="F100" s="1379">
        <f>$D$100*'Freight 2022'!E27</f>
        <v>0</v>
      </c>
      <c r="G100" s="1379">
        <f>$D$100*'Freight 2022'!F27</f>
        <v>0</v>
      </c>
      <c r="H100" s="1379">
        <f>$D$100*'Freight 2022'!G27</f>
        <v>0</v>
      </c>
      <c r="I100" s="524"/>
      <c r="J100" s="1378">
        <f t="shared" si="12"/>
        <v>0</v>
      </c>
      <c r="K100" s="1379">
        <f>$I$100*'Freight 2022'!I27</f>
        <v>0</v>
      </c>
      <c r="L100" s="1379">
        <f>$I$100*'Freight 2022'!J27</f>
        <v>0</v>
      </c>
      <c r="M100" s="1379">
        <f>$I$100*'Freight 2022'!K27</f>
        <v>0</v>
      </c>
      <c r="N100" s="524"/>
      <c r="O100" s="1378">
        <f t="shared" si="13"/>
        <v>0</v>
      </c>
      <c r="P100" s="1379">
        <f>$N$100*'Freight 2022'!M27</f>
        <v>0</v>
      </c>
      <c r="Q100" s="1379">
        <f>$N$100*'Freight 2022'!N27</f>
        <v>0</v>
      </c>
      <c r="R100" s="1379">
        <f>$N$100*'Freight 2022'!O27</f>
        <v>0</v>
      </c>
    </row>
    <row r="101" spans="1:18" ht="15" customHeight="1" thickBot="1">
      <c r="A101" s="2047"/>
      <c r="B101" s="169" t="s">
        <v>1908</v>
      </c>
      <c r="C101" s="490" t="s">
        <v>1211</v>
      </c>
      <c r="D101" s="524"/>
      <c r="E101" s="1450">
        <f t="shared" si="11"/>
        <v>0</v>
      </c>
      <c r="F101" s="1379">
        <f>$D$101*'Freight 2022'!E28</f>
        <v>0</v>
      </c>
      <c r="G101" s="1379">
        <f>$D$101*'Freight 2022'!F28</f>
        <v>0</v>
      </c>
      <c r="H101" s="1379">
        <f>$D$101*'Freight 2022'!G28</f>
        <v>0</v>
      </c>
      <c r="I101" s="524"/>
      <c r="J101" s="1378">
        <f t="shared" si="12"/>
        <v>0</v>
      </c>
      <c r="K101" s="1379">
        <f>$I$101*'Freight 2022'!I28</f>
        <v>0</v>
      </c>
      <c r="L101" s="1379">
        <f>$I$101*'Freight 2022'!J28</f>
        <v>0</v>
      </c>
      <c r="M101" s="1379">
        <f>$I$101*'Freight 2022'!K28</f>
        <v>0</v>
      </c>
      <c r="N101" s="524"/>
      <c r="O101" s="1378">
        <f t="shared" si="13"/>
        <v>0</v>
      </c>
      <c r="P101" s="1379">
        <f>$N$101*'Freight 2022'!M28</f>
        <v>0</v>
      </c>
      <c r="Q101" s="1379">
        <f>$N$101*'Freight 2022'!N28</f>
        <v>0</v>
      </c>
      <c r="R101" s="1379">
        <f>$N$101*'Freight 2022'!O28</f>
        <v>0</v>
      </c>
    </row>
    <row r="102" spans="1:18" ht="15" customHeight="1" thickBot="1">
      <c r="A102" s="2047"/>
      <c r="B102" s="169" t="s">
        <v>1909</v>
      </c>
      <c r="C102" s="490" t="s">
        <v>1211</v>
      </c>
      <c r="D102" s="524"/>
      <c r="E102" s="1450">
        <f t="shared" si="11"/>
        <v>0</v>
      </c>
      <c r="F102" s="1379">
        <f>$D$102*'Freight 2022'!E29</f>
        <v>0</v>
      </c>
      <c r="G102" s="1379">
        <f>$D$102*'Freight 2022'!F29</f>
        <v>0</v>
      </c>
      <c r="H102" s="1379">
        <f>$D$102*'Freight 2022'!G29</f>
        <v>0</v>
      </c>
      <c r="I102" s="524"/>
      <c r="J102" s="1378">
        <f t="shared" si="12"/>
        <v>0</v>
      </c>
      <c r="K102" s="1379">
        <f>$I$102*'Freight 2022'!I29</f>
        <v>0</v>
      </c>
      <c r="L102" s="1379">
        <f>$I$102*'Freight 2022'!J29</f>
        <v>0</v>
      </c>
      <c r="M102" s="1379">
        <f>$I$102*'Freight 2022'!K29</f>
        <v>0</v>
      </c>
      <c r="N102" s="524"/>
      <c r="O102" s="1378">
        <f t="shared" si="13"/>
        <v>0</v>
      </c>
      <c r="P102" s="1379">
        <f>$N$102*'Freight 2022'!M29</f>
        <v>0</v>
      </c>
      <c r="Q102" s="1379">
        <f>$N$102*'Freight 2022'!N29</f>
        <v>0</v>
      </c>
      <c r="R102" s="1379">
        <f>$N$102*'Freight 2022'!O29</f>
        <v>0</v>
      </c>
    </row>
    <row r="103" spans="1:18" ht="15" customHeight="1" thickBot="1">
      <c r="A103" s="2047"/>
      <c r="B103" s="169" t="s">
        <v>1910</v>
      </c>
      <c r="C103" s="490" t="s">
        <v>1211</v>
      </c>
      <c r="D103" s="524"/>
      <c r="E103" s="1450">
        <f t="shared" si="11"/>
        <v>0</v>
      </c>
      <c r="F103" s="1379">
        <f>$D$103*'Freight 2022'!E30</f>
        <v>0</v>
      </c>
      <c r="G103" s="1379">
        <f>$D$103*'Freight 2022'!F30</f>
        <v>0</v>
      </c>
      <c r="H103" s="1379">
        <f>$D$103*'Freight 2022'!G30</f>
        <v>0</v>
      </c>
      <c r="I103" s="524"/>
      <c r="J103" s="1378">
        <f t="shared" si="12"/>
        <v>0</v>
      </c>
      <c r="K103" s="1379">
        <f>$I$103*'Freight 2022'!I30</f>
        <v>0</v>
      </c>
      <c r="L103" s="1379">
        <f>$I$103*'Freight 2022'!J30</f>
        <v>0</v>
      </c>
      <c r="M103" s="1379">
        <f>$I$103*'Freight 2022'!K30</f>
        <v>0</v>
      </c>
      <c r="N103" s="524"/>
      <c r="O103" s="1378">
        <f t="shared" si="13"/>
        <v>0</v>
      </c>
      <c r="P103" s="1379">
        <f>$N$103*'Freight 2022'!M30</f>
        <v>0</v>
      </c>
      <c r="Q103" s="1379">
        <f>$N$103*'Freight 2022'!N30</f>
        <v>0</v>
      </c>
      <c r="R103" s="1379">
        <f>$N$103*'Freight 2022'!O30</f>
        <v>0</v>
      </c>
    </row>
    <row r="104" spans="1:18" ht="15" customHeight="1" thickBot="1">
      <c r="A104" s="2047"/>
      <c r="B104" s="169" t="s">
        <v>1215</v>
      </c>
      <c r="C104" s="490" t="s">
        <v>1211</v>
      </c>
      <c r="D104" s="524"/>
      <c r="E104" s="1450">
        <f t="shared" si="11"/>
        <v>0</v>
      </c>
      <c r="F104" s="1379">
        <f>$D$104*'Freight 2022'!E31</f>
        <v>0</v>
      </c>
      <c r="G104" s="1379">
        <f>$D$104*'Freight 2022'!F31</f>
        <v>0</v>
      </c>
      <c r="H104" s="1379">
        <f>$D$104*'Freight 2022'!G31</f>
        <v>0</v>
      </c>
      <c r="I104" s="524"/>
      <c r="J104" s="1378">
        <f t="shared" si="12"/>
        <v>0</v>
      </c>
      <c r="K104" s="1379">
        <f>$I$104*'Freight 2022'!I31</f>
        <v>0</v>
      </c>
      <c r="L104" s="1379">
        <f>$I$104*'Freight 2022'!J31</f>
        <v>0</v>
      </c>
      <c r="M104" s="1379">
        <f>$I$104*'Freight 2022'!K31</f>
        <v>0</v>
      </c>
      <c r="N104" s="524"/>
      <c r="O104" s="1378">
        <f t="shared" si="13"/>
        <v>0</v>
      </c>
      <c r="P104" s="1379">
        <f>$N$104*'Freight 2022'!M31</f>
        <v>0</v>
      </c>
      <c r="Q104" s="1379">
        <f>$N$104*'Freight 2022'!N31</f>
        <v>0</v>
      </c>
      <c r="R104" s="1379">
        <f>$N$104*'Freight 2022'!O31</f>
        <v>0</v>
      </c>
    </row>
    <row r="105" spans="1:18" ht="15" customHeight="1" thickBot="1">
      <c r="A105" s="2047" t="s">
        <v>1913</v>
      </c>
      <c r="B105" s="169" t="s">
        <v>1720</v>
      </c>
      <c r="C105" s="490" t="s">
        <v>1211</v>
      </c>
      <c r="D105" s="524"/>
      <c r="E105" s="1450">
        <f t="shared" si="11"/>
        <v>0</v>
      </c>
      <c r="F105" s="1379">
        <f>$D$105*'Freight 2022'!E32</f>
        <v>0</v>
      </c>
      <c r="G105" s="1379">
        <f>$D$105*'Freight 2022'!F32</f>
        <v>0</v>
      </c>
      <c r="H105" s="1379">
        <f>$D$105*'Freight 2022'!G32</f>
        <v>0</v>
      </c>
      <c r="I105" s="524"/>
      <c r="J105" s="1378">
        <f t="shared" si="12"/>
        <v>0</v>
      </c>
      <c r="K105" s="1379">
        <f>$I$105*'Freight 2022'!I32</f>
        <v>0</v>
      </c>
      <c r="L105" s="1379">
        <f>$I$105*'Freight 2022'!J32</f>
        <v>0</v>
      </c>
      <c r="M105" s="1379">
        <f>$I$105*'Freight 2022'!K32</f>
        <v>0</v>
      </c>
      <c r="N105" s="524"/>
      <c r="O105" s="1378">
        <f t="shared" si="13"/>
        <v>0</v>
      </c>
      <c r="P105" s="1379">
        <f>$N$105*'Freight 2022'!M32</f>
        <v>0</v>
      </c>
      <c r="Q105" s="1379">
        <f>$N$105*'Freight 2022'!N32</f>
        <v>0</v>
      </c>
      <c r="R105" s="1379">
        <f>$N$105*'Freight 2022'!O32</f>
        <v>0</v>
      </c>
    </row>
    <row r="106" spans="1:18" ht="15" customHeight="1" thickBot="1">
      <c r="A106" s="2047"/>
      <c r="B106" s="169" t="s">
        <v>1908</v>
      </c>
      <c r="C106" s="490" t="s">
        <v>1211</v>
      </c>
      <c r="D106" s="524"/>
      <c r="E106" s="1450">
        <f t="shared" si="11"/>
        <v>0</v>
      </c>
      <c r="F106" s="1379">
        <f>$D$106*'Freight 2022'!E33</f>
        <v>0</v>
      </c>
      <c r="G106" s="1379">
        <f>$D$106*'Freight 2022'!F33</f>
        <v>0</v>
      </c>
      <c r="H106" s="1379">
        <f>$D$106*'Freight 2022'!G33</f>
        <v>0</v>
      </c>
      <c r="I106" s="524"/>
      <c r="J106" s="1378">
        <f t="shared" si="12"/>
        <v>0</v>
      </c>
      <c r="K106" s="1379">
        <f>$I$106*'Freight 2022'!I33</f>
        <v>0</v>
      </c>
      <c r="L106" s="1379">
        <f>$I$106*'Freight 2022'!J33</f>
        <v>0</v>
      </c>
      <c r="M106" s="1379">
        <f>$I$106*'Freight 2022'!K33</f>
        <v>0</v>
      </c>
      <c r="N106" s="524"/>
      <c r="O106" s="1378">
        <f t="shared" si="13"/>
        <v>0</v>
      </c>
      <c r="P106" s="1379">
        <f>$N$106*'Freight 2022'!M33</f>
        <v>0</v>
      </c>
      <c r="Q106" s="1379">
        <f>$N$106*'Freight 2022'!N33</f>
        <v>0</v>
      </c>
      <c r="R106" s="1379">
        <f>$N$106*'Freight 2022'!O33</f>
        <v>0</v>
      </c>
    </row>
    <row r="107" spans="1:18" ht="15" customHeight="1" thickBot="1">
      <c r="A107" s="2047"/>
      <c r="B107" s="169" t="s">
        <v>1909</v>
      </c>
      <c r="C107" s="490" t="s">
        <v>1211</v>
      </c>
      <c r="D107" s="524"/>
      <c r="E107" s="1450">
        <f t="shared" si="11"/>
        <v>0</v>
      </c>
      <c r="F107" s="1379">
        <f>$D$107*'Freight 2022'!E34</f>
        <v>0</v>
      </c>
      <c r="G107" s="1379">
        <f>$D$107*'Freight 2022'!F34</f>
        <v>0</v>
      </c>
      <c r="H107" s="1379">
        <f>$D$107*'Freight 2022'!G34</f>
        <v>0</v>
      </c>
      <c r="I107" s="524"/>
      <c r="J107" s="1378">
        <f t="shared" si="12"/>
        <v>0</v>
      </c>
      <c r="K107" s="1379">
        <f>$I$107*'Freight 2022'!I34</f>
        <v>0</v>
      </c>
      <c r="L107" s="1379">
        <f>$I$107*'Freight 2022'!J34</f>
        <v>0</v>
      </c>
      <c r="M107" s="1379">
        <f>$I$107*'Freight 2022'!K34</f>
        <v>0</v>
      </c>
      <c r="N107" s="524"/>
      <c r="O107" s="1378">
        <f t="shared" si="13"/>
        <v>0</v>
      </c>
      <c r="P107" s="1379">
        <f>$N$107*'Freight 2022'!M34</f>
        <v>0</v>
      </c>
      <c r="Q107" s="1379">
        <f>$N$107*'Freight 2022'!N34</f>
        <v>0</v>
      </c>
      <c r="R107" s="1379">
        <f>$N$107*'Freight 2022'!O34</f>
        <v>0</v>
      </c>
    </row>
    <row r="108" spans="1:18" ht="15" customHeight="1" thickBot="1">
      <c r="A108" s="2047"/>
      <c r="B108" s="169" t="s">
        <v>1910</v>
      </c>
      <c r="C108" s="490" t="s">
        <v>1211</v>
      </c>
      <c r="D108" s="524"/>
      <c r="E108" s="1450">
        <f t="shared" si="11"/>
        <v>0</v>
      </c>
      <c r="F108" s="1379">
        <f>$D$108*'Freight 2022'!E35</f>
        <v>0</v>
      </c>
      <c r="G108" s="1379">
        <f>$D$108*'Freight 2022'!F35</f>
        <v>0</v>
      </c>
      <c r="H108" s="1379">
        <f>$D$108*'Freight 2022'!G35</f>
        <v>0</v>
      </c>
      <c r="I108" s="524"/>
      <c r="J108" s="1378">
        <f t="shared" si="12"/>
        <v>0</v>
      </c>
      <c r="K108" s="1379">
        <f>$I$108*'Freight 2022'!I35</f>
        <v>0</v>
      </c>
      <c r="L108" s="1379">
        <f>$I$108*'Freight 2022'!J35</f>
        <v>0</v>
      </c>
      <c r="M108" s="1379">
        <f>$I$108*'Freight 2022'!K35</f>
        <v>0</v>
      </c>
      <c r="N108" s="524"/>
      <c r="O108" s="1378">
        <f t="shared" si="13"/>
        <v>0</v>
      </c>
      <c r="P108" s="1379">
        <f>$N$108*'Freight 2022'!M35</f>
        <v>0</v>
      </c>
      <c r="Q108" s="1379">
        <f>$N$108*'Freight 2022'!N35</f>
        <v>0</v>
      </c>
      <c r="R108" s="1379">
        <f>$N$108*'Freight 2022'!O35</f>
        <v>0</v>
      </c>
    </row>
    <row r="109" spans="1:18" ht="15" customHeight="1" thickBot="1">
      <c r="A109" s="2047"/>
      <c r="B109" s="169" t="s">
        <v>1215</v>
      </c>
      <c r="C109" s="490" t="s">
        <v>1211</v>
      </c>
      <c r="D109" s="524"/>
      <c r="E109" s="1450">
        <f t="shared" si="11"/>
        <v>0</v>
      </c>
      <c r="F109" s="1379">
        <f>$D$109*'Freight 2022'!E36</f>
        <v>0</v>
      </c>
      <c r="G109" s="1379">
        <f>$D$109*'Freight 2022'!F36</f>
        <v>0</v>
      </c>
      <c r="H109" s="1379">
        <f>$D$109*'Freight 2022'!G36</f>
        <v>0</v>
      </c>
      <c r="I109" s="524"/>
      <c r="J109" s="1378">
        <f t="shared" si="12"/>
        <v>0</v>
      </c>
      <c r="K109" s="1379">
        <f>$I$109*'Freight 2022'!I36</f>
        <v>0</v>
      </c>
      <c r="L109" s="1379">
        <f>$I$109*'Freight 2022'!J36</f>
        <v>0</v>
      </c>
      <c r="M109" s="1379">
        <f>$I$109*'Freight 2022'!K36</f>
        <v>0</v>
      </c>
      <c r="N109" s="524"/>
      <c r="O109" s="1378">
        <f t="shared" si="13"/>
        <v>0</v>
      </c>
      <c r="P109" s="1379">
        <f>$N$109*'Freight 2022'!M36</f>
        <v>0</v>
      </c>
      <c r="Q109" s="1379">
        <f>$N$109*'Freight 2022'!N36</f>
        <v>0</v>
      </c>
      <c r="R109" s="1379">
        <f>$N$109*'Freight 2022'!O36</f>
        <v>0</v>
      </c>
    </row>
    <row r="110" spans="1:18" ht="15" customHeight="1" thickBot="1">
      <c r="A110" s="2047" t="s">
        <v>1725</v>
      </c>
      <c r="B110" s="169" t="s">
        <v>1720</v>
      </c>
      <c r="C110" s="164" t="s">
        <v>1211</v>
      </c>
      <c r="D110" s="1484"/>
      <c r="E110" s="1485"/>
      <c r="F110" s="1486"/>
      <c r="G110" s="1486"/>
      <c r="H110" s="1486"/>
      <c r="I110" s="524"/>
      <c r="J110" s="1378">
        <f t="shared" si="12"/>
        <v>0</v>
      </c>
      <c r="K110" s="1379">
        <f>$I$110*'Freight 2022'!I37</f>
        <v>0</v>
      </c>
      <c r="L110" s="1379">
        <f>$I$110*'Freight 2022'!J37</f>
        <v>0</v>
      </c>
      <c r="M110" s="1379">
        <f>$I$110*'Freight 2022'!K37</f>
        <v>0</v>
      </c>
      <c r="N110" s="524"/>
      <c r="O110" s="1378">
        <f t="shared" si="13"/>
        <v>0</v>
      </c>
      <c r="P110" s="1379">
        <f>$N$110*'Freight 2022'!M37</f>
        <v>0</v>
      </c>
      <c r="Q110" s="1379">
        <f>$N$110*'Freight 2022'!N37</f>
        <v>0</v>
      </c>
      <c r="R110" s="1379">
        <f>$N$110*'Freight 2022'!O37</f>
        <v>0</v>
      </c>
    </row>
    <row r="111" spans="1:18" ht="15" customHeight="1" thickBot="1">
      <c r="A111" s="2047"/>
      <c r="B111" s="169" t="s">
        <v>1908</v>
      </c>
      <c r="C111" s="164" t="s">
        <v>1211</v>
      </c>
      <c r="D111" s="1484"/>
      <c r="E111" s="1487"/>
      <c r="F111" s="1488"/>
      <c r="G111" s="1488"/>
      <c r="H111" s="1488"/>
      <c r="I111" s="524"/>
      <c r="J111" s="1378">
        <f t="shared" si="12"/>
        <v>0</v>
      </c>
      <c r="K111" s="1379">
        <f>$I$111*'Freight 2022'!I38</f>
        <v>0</v>
      </c>
      <c r="L111" s="1379">
        <f>$I$111*'Freight 2022'!J38</f>
        <v>0</v>
      </c>
      <c r="M111" s="1379">
        <f>$I$111*'Freight 2022'!K38</f>
        <v>0</v>
      </c>
      <c r="N111" s="524"/>
      <c r="O111" s="1378">
        <f t="shared" si="13"/>
        <v>0</v>
      </c>
      <c r="P111" s="1379">
        <f>$N$111*'Freight 2022'!M38</f>
        <v>0</v>
      </c>
      <c r="Q111" s="1379">
        <f>$N$111*'Freight 2022'!N38</f>
        <v>0</v>
      </c>
      <c r="R111" s="1379">
        <f>$N$111*'Freight 2022'!O38</f>
        <v>0</v>
      </c>
    </row>
    <row r="112" spans="1:18" ht="15" customHeight="1" thickBot="1">
      <c r="A112" s="2047"/>
      <c r="B112" s="169" t="s">
        <v>1909</v>
      </c>
      <c r="C112" s="164" t="s">
        <v>1211</v>
      </c>
      <c r="D112" s="1484"/>
      <c r="E112" s="1487"/>
      <c r="F112" s="1488"/>
      <c r="G112" s="1488"/>
      <c r="H112" s="1488"/>
      <c r="I112" s="524"/>
      <c r="J112" s="1378">
        <f t="shared" si="12"/>
        <v>0</v>
      </c>
      <c r="K112" s="1379">
        <f>$I$112*'Freight 2022'!I39</f>
        <v>0</v>
      </c>
      <c r="L112" s="1379">
        <f>$I$112*'Freight 2022'!J39</f>
        <v>0</v>
      </c>
      <c r="M112" s="1379">
        <f>$I$112*'Freight 2022'!K39</f>
        <v>0</v>
      </c>
      <c r="N112" s="524"/>
      <c r="O112" s="1378">
        <f t="shared" si="13"/>
        <v>0</v>
      </c>
      <c r="P112" s="1379">
        <f>$N$112*'Freight 2022'!M39</f>
        <v>0</v>
      </c>
      <c r="Q112" s="1379">
        <f>$N$112*'Freight 2022'!N39</f>
        <v>0</v>
      </c>
      <c r="R112" s="1379">
        <f>$N$112*'Freight 2022'!O39</f>
        <v>0</v>
      </c>
    </row>
    <row r="113" spans="1:18" ht="15" customHeight="1" thickBot="1">
      <c r="A113" s="2047"/>
      <c r="B113" s="169" t="s">
        <v>1910</v>
      </c>
      <c r="C113" s="164" t="s">
        <v>1211</v>
      </c>
      <c r="D113" s="1484"/>
      <c r="E113" s="1487"/>
      <c r="F113" s="1488"/>
      <c r="G113" s="1488"/>
      <c r="H113" s="1488"/>
      <c r="I113" s="524"/>
      <c r="J113" s="1378">
        <f t="shared" si="12"/>
        <v>0</v>
      </c>
      <c r="K113" s="1379">
        <f>$I$113*'Freight 2022'!I40</f>
        <v>0</v>
      </c>
      <c r="L113" s="1379">
        <f>$I$113*'Freight 2022'!J40</f>
        <v>0</v>
      </c>
      <c r="M113" s="1379">
        <f>$I$113*'Freight 2022'!K40</f>
        <v>0</v>
      </c>
      <c r="N113" s="524"/>
      <c r="O113" s="1378">
        <f t="shared" si="13"/>
        <v>0</v>
      </c>
      <c r="P113" s="1379">
        <f>$N$113*'Freight 2022'!M40</f>
        <v>0</v>
      </c>
      <c r="Q113" s="1379">
        <f>$N$113*'Freight 2022'!N40</f>
        <v>0</v>
      </c>
      <c r="R113" s="1379">
        <f>$N$113*'Freight 2022'!O40</f>
        <v>0</v>
      </c>
    </row>
    <row r="114" spans="1:18" ht="15" customHeight="1" thickBot="1">
      <c r="A114" s="2047"/>
      <c r="B114" s="169" t="s">
        <v>1215</v>
      </c>
      <c r="C114" s="164" t="s">
        <v>1211</v>
      </c>
      <c r="D114" s="1484"/>
      <c r="E114" s="1487"/>
      <c r="F114" s="1488"/>
      <c r="G114" s="1488"/>
      <c r="H114" s="1488"/>
      <c r="I114" s="524"/>
      <c r="J114" s="1378">
        <f t="shared" si="12"/>
        <v>0</v>
      </c>
      <c r="K114" s="1379">
        <f>$I$114*'Freight 2022'!I41</f>
        <v>0</v>
      </c>
      <c r="L114" s="1379">
        <f>$I$114*'Freight 2022'!J41</f>
        <v>0</v>
      </c>
      <c r="M114" s="1379">
        <f>$I$114*'Freight 2022'!K41</f>
        <v>0</v>
      </c>
      <c r="N114" s="524"/>
      <c r="O114" s="1378">
        <f t="shared" si="13"/>
        <v>0</v>
      </c>
      <c r="P114" s="1379">
        <f>$N$114*'Freight 2022'!M41</f>
        <v>0</v>
      </c>
      <c r="Q114" s="1379">
        <f>$N$114*'Freight 2022'!N41</f>
        <v>0</v>
      </c>
      <c r="R114" s="1379">
        <f>$N$114*'Freight 2022'!O41</f>
        <v>0</v>
      </c>
    </row>
    <row r="115" spans="1:18" ht="15" customHeight="1" thickBot="1">
      <c r="A115" s="2047" t="s">
        <v>1914</v>
      </c>
      <c r="B115" s="169" t="s">
        <v>1720</v>
      </c>
      <c r="C115" s="164" t="s">
        <v>1211</v>
      </c>
      <c r="D115" s="1484"/>
      <c r="E115" s="1487"/>
      <c r="F115" s="1488"/>
      <c r="G115" s="1488"/>
      <c r="H115" s="1488"/>
      <c r="I115" s="524"/>
      <c r="J115" s="1378">
        <f t="shared" si="12"/>
        <v>0</v>
      </c>
      <c r="K115" s="1379">
        <f>$I$115*'Freight 2022'!I42</f>
        <v>0</v>
      </c>
      <c r="L115" s="1379">
        <f>$I$115*'Freight 2022'!J42</f>
        <v>0</v>
      </c>
      <c r="M115" s="1379">
        <f>$I$115*'Freight 2022'!K42</f>
        <v>0</v>
      </c>
      <c r="N115" s="524"/>
      <c r="O115" s="1378">
        <f t="shared" si="13"/>
        <v>0</v>
      </c>
      <c r="P115" s="1379">
        <f>$N$115*'Freight 2022'!M42</f>
        <v>0</v>
      </c>
      <c r="Q115" s="1379">
        <f>$N$115*'Freight 2022'!N42</f>
        <v>0</v>
      </c>
      <c r="R115" s="1379">
        <f>$N$115*'Freight 2022'!O42</f>
        <v>0</v>
      </c>
    </row>
    <row r="116" spans="1:18" ht="15" customHeight="1" thickBot="1">
      <c r="A116" s="2047"/>
      <c r="B116" s="169" t="s">
        <v>1908</v>
      </c>
      <c r="C116" s="164" t="s">
        <v>1211</v>
      </c>
      <c r="D116" s="1484"/>
      <c r="E116" s="1487"/>
      <c r="F116" s="1488"/>
      <c r="G116" s="1488"/>
      <c r="H116" s="1488"/>
      <c r="I116" s="524"/>
      <c r="J116" s="1378">
        <f t="shared" si="12"/>
        <v>0</v>
      </c>
      <c r="K116" s="1379">
        <f>$I$116*'Freight 2022'!I43</f>
        <v>0</v>
      </c>
      <c r="L116" s="1379">
        <f>$I$116*'Freight 2022'!J43</f>
        <v>0</v>
      </c>
      <c r="M116" s="1379">
        <f>$I$116*'Freight 2022'!K43</f>
        <v>0</v>
      </c>
      <c r="N116" s="524"/>
      <c r="O116" s="1378">
        <f t="shared" si="13"/>
        <v>0</v>
      </c>
      <c r="P116" s="1379">
        <f>$N$116*'Freight 2022'!M43</f>
        <v>0</v>
      </c>
      <c r="Q116" s="1379">
        <f>$N$116*'Freight 2022'!N43</f>
        <v>0</v>
      </c>
      <c r="R116" s="1379">
        <f>$N$116*'Freight 2022'!O43</f>
        <v>0</v>
      </c>
    </row>
    <row r="117" spans="1:18" ht="15" customHeight="1" thickBot="1">
      <c r="A117" s="2047"/>
      <c r="B117" s="169" t="s">
        <v>1909</v>
      </c>
      <c r="C117" s="164" t="s">
        <v>1211</v>
      </c>
      <c r="D117" s="1484"/>
      <c r="E117" s="1487"/>
      <c r="F117" s="1488"/>
      <c r="G117" s="1488"/>
      <c r="H117" s="1488"/>
      <c r="I117" s="524"/>
      <c r="J117" s="1378">
        <f t="shared" si="12"/>
        <v>0</v>
      </c>
      <c r="K117" s="1379">
        <f>$I$117*'Freight 2022'!I44</f>
        <v>0</v>
      </c>
      <c r="L117" s="1379">
        <f>$I$117*'Freight 2022'!J44</f>
        <v>0</v>
      </c>
      <c r="M117" s="1379">
        <f>$I$117*'Freight 2022'!K44</f>
        <v>0</v>
      </c>
      <c r="N117" s="524"/>
      <c r="O117" s="1378">
        <f t="shared" si="13"/>
        <v>0</v>
      </c>
      <c r="P117" s="1379">
        <f>$N$117*'Freight 2022'!M44</f>
        <v>0</v>
      </c>
      <c r="Q117" s="1379">
        <f>$N$117*'Freight 2022'!N44</f>
        <v>0</v>
      </c>
      <c r="R117" s="1379">
        <f>$N$117*'Freight 2022'!O44</f>
        <v>0</v>
      </c>
    </row>
    <row r="118" spans="1:18" ht="15" customHeight="1" thickBot="1">
      <c r="A118" s="2047"/>
      <c r="B118" s="169" t="s">
        <v>1910</v>
      </c>
      <c r="C118" s="164" t="s">
        <v>1211</v>
      </c>
      <c r="D118" s="1484"/>
      <c r="E118" s="1487"/>
      <c r="F118" s="1488"/>
      <c r="G118" s="1488"/>
      <c r="H118" s="1488"/>
      <c r="I118" s="524"/>
      <c r="J118" s="1378">
        <f t="shared" si="12"/>
        <v>0</v>
      </c>
      <c r="K118" s="1379">
        <f>$I$118*'Freight 2022'!I45</f>
        <v>0</v>
      </c>
      <c r="L118" s="1379">
        <f>$I$118*'Freight 2022'!J45</f>
        <v>0</v>
      </c>
      <c r="M118" s="1379">
        <f>$I$118*'Freight 2022'!K45</f>
        <v>0</v>
      </c>
      <c r="N118" s="524"/>
      <c r="O118" s="1378">
        <f t="shared" si="13"/>
        <v>0</v>
      </c>
      <c r="P118" s="1379">
        <f>$N$118*'Freight 2022'!M45</f>
        <v>0</v>
      </c>
      <c r="Q118" s="1379">
        <f>$N$118*'Freight 2022'!N45</f>
        <v>0</v>
      </c>
      <c r="R118" s="1379">
        <f>$N$118*'Freight 2022'!O45</f>
        <v>0</v>
      </c>
    </row>
    <row r="119" spans="1:18" ht="15" customHeight="1" thickBot="1">
      <c r="A119" s="2047"/>
      <c r="B119" s="169" t="s">
        <v>1215</v>
      </c>
      <c r="C119" s="164" t="s">
        <v>1211</v>
      </c>
      <c r="D119" s="1484"/>
      <c r="E119" s="1487"/>
      <c r="F119" s="1488"/>
      <c r="G119" s="1488"/>
      <c r="H119" s="1488"/>
      <c r="I119" s="524"/>
      <c r="J119" s="1378">
        <f t="shared" si="12"/>
        <v>0</v>
      </c>
      <c r="K119" s="1379">
        <f>$I$119*'Freight 2022'!I46</f>
        <v>0</v>
      </c>
      <c r="L119" s="1379">
        <f>$I$119*'Freight 2022'!J46</f>
        <v>0</v>
      </c>
      <c r="M119" s="1379">
        <f>$I$119*'Freight 2022'!K46</f>
        <v>0</v>
      </c>
      <c r="N119" s="524"/>
      <c r="O119" s="1378">
        <f t="shared" si="13"/>
        <v>0</v>
      </c>
      <c r="P119" s="1379">
        <f>$N$119*'Freight 2022'!M46</f>
        <v>0</v>
      </c>
      <c r="Q119" s="1379">
        <f>$N$119*'Freight 2022'!N46</f>
        <v>0</v>
      </c>
      <c r="R119" s="1379">
        <f>$N$119*'Freight 2022'!O46</f>
        <v>0</v>
      </c>
    </row>
    <row r="120" spans="1:18" ht="15" customHeight="1" thickBot="1">
      <c r="A120" s="2047" t="s">
        <v>1727</v>
      </c>
      <c r="B120" s="169" t="s">
        <v>1720</v>
      </c>
      <c r="C120" s="164" t="s">
        <v>1211</v>
      </c>
      <c r="D120" s="1484"/>
      <c r="E120" s="1487"/>
      <c r="F120" s="1488"/>
      <c r="G120" s="1488"/>
      <c r="H120" s="1488"/>
      <c r="I120" s="524"/>
      <c r="J120" s="1378">
        <f t="shared" si="12"/>
        <v>0</v>
      </c>
      <c r="K120" s="1379">
        <f>$I$120*'Freight 2022'!I47</f>
        <v>0</v>
      </c>
      <c r="L120" s="1379">
        <f>$I$120*'Freight 2022'!J47</f>
        <v>0</v>
      </c>
      <c r="M120" s="1379">
        <f>$I$120*'Freight 2022'!K47</f>
        <v>0</v>
      </c>
      <c r="N120" s="524"/>
      <c r="O120" s="1378">
        <f t="shared" si="13"/>
        <v>0</v>
      </c>
      <c r="P120" s="1379">
        <f>$N$120*'Freight 2022'!M47</f>
        <v>0</v>
      </c>
      <c r="Q120" s="1379">
        <f>$N$120*'Freight 2022'!N47</f>
        <v>0</v>
      </c>
      <c r="R120" s="1379">
        <f>$N$120*'Freight 2022'!O47</f>
        <v>0</v>
      </c>
    </row>
    <row r="121" spans="1:18" ht="15" customHeight="1" thickBot="1">
      <c r="A121" s="2047"/>
      <c r="B121" s="169" t="s">
        <v>1908</v>
      </c>
      <c r="C121" s="164" t="s">
        <v>1211</v>
      </c>
      <c r="D121" s="1484"/>
      <c r="E121" s="1487"/>
      <c r="F121" s="1488"/>
      <c r="G121" s="1488"/>
      <c r="H121" s="1488"/>
      <c r="I121" s="524"/>
      <c r="J121" s="1378">
        <f t="shared" si="12"/>
        <v>0</v>
      </c>
      <c r="K121" s="1379">
        <f>$I$121*'Freight 2022'!I48</f>
        <v>0</v>
      </c>
      <c r="L121" s="1379">
        <f>$I$121*'Freight 2022'!J48</f>
        <v>0</v>
      </c>
      <c r="M121" s="1379">
        <f>$I$121*'Freight 2022'!K48</f>
        <v>0</v>
      </c>
      <c r="N121" s="524"/>
      <c r="O121" s="1378">
        <f t="shared" si="13"/>
        <v>0</v>
      </c>
      <c r="P121" s="1379">
        <f>$N$121*'Freight 2022'!M48</f>
        <v>0</v>
      </c>
      <c r="Q121" s="1379">
        <f>$N$121*'Freight 2022'!N48</f>
        <v>0</v>
      </c>
      <c r="R121" s="1379">
        <f>$N$121*'Freight 2022'!O48</f>
        <v>0</v>
      </c>
    </row>
    <row r="122" spans="1:18" ht="15" customHeight="1" thickBot="1">
      <c r="A122" s="2047"/>
      <c r="B122" s="169" t="s">
        <v>1909</v>
      </c>
      <c r="C122" s="164" t="s">
        <v>1211</v>
      </c>
      <c r="D122" s="1484"/>
      <c r="E122" s="1487"/>
      <c r="F122" s="1488"/>
      <c r="G122" s="1488"/>
      <c r="H122" s="1488"/>
      <c r="I122" s="524"/>
      <c r="J122" s="1378">
        <f t="shared" si="12"/>
        <v>0</v>
      </c>
      <c r="K122" s="1379">
        <f>$I$122*'Freight 2022'!I49</f>
        <v>0</v>
      </c>
      <c r="L122" s="1379">
        <f>$I$122*'Freight 2022'!J49</f>
        <v>0</v>
      </c>
      <c r="M122" s="1379">
        <f>$I$122*'Freight 2022'!K49</f>
        <v>0</v>
      </c>
      <c r="N122" s="524"/>
      <c r="O122" s="1378">
        <f t="shared" si="13"/>
        <v>0</v>
      </c>
      <c r="P122" s="1379">
        <f>$N$122*'Freight 2022'!M49</f>
        <v>0</v>
      </c>
      <c r="Q122" s="1379">
        <f>$N$122*'Freight 2022'!N49</f>
        <v>0</v>
      </c>
      <c r="R122" s="1379">
        <f>$N$122*'Freight 2022'!O49</f>
        <v>0</v>
      </c>
    </row>
    <row r="123" spans="1:18" ht="15" customHeight="1" thickBot="1">
      <c r="A123" s="2047"/>
      <c r="B123" s="169" t="s">
        <v>1910</v>
      </c>
      <c r="C123" s="164" t="s">
        <v>1211</v>
      </c>
      <c r="D123" s="1484"/>
      <c r="E123" s="1487"/>
      <c r="F123" s="1488"/>
      <c r="G123" s="1488"/>
      <c r="H123" s="1488"/>
      <c r="I123" s="524"/>
      <c r="J123" s="1378">
        <f t="shared" si="12"/>
        <v>0</v>
      </c>
      <c r="K123" s="1379">
        <f>$I$123*'Freight 2022'!I50</f>
        <v>0</v>
      </c>
      <c r="L123" s="1379">
        <f>$I$123*'Freight 2022'!J50</f>
        <v>0</v>
      </c>
      <c r="M123" s="1379">
        <f>$I$123*'Freight 2022'!K50</f>
        <v>0</v>
      </c>
      <c r="N123" s="524"/>
      <c r="O123" s="1378">
        <f t="shared" si="13"/>
        <v>0</v>
      </c>
      <c r="P123" s="1379">
        <f>$N$123*'Freight 2022'!M50</f>
        <v>0</v>
      </c>
      <c r="Q123" s="1379">
        <f>$N$123*'Freight 2022'!N50</f>
        <v>0</v>
      </c>
      <c r="R123" s="1379">
        <f>$N$123*'Freight 2022'!O50</f>
        <v>0</v>
      </c>
    </row>
    <row r="124" spans="1:18" ht="15" customHeight="1" thickBot="1">
      <c r="A124" s="2047"/>
      <c r="B124" s="169" t="s">
        <v>1215</v>
      </c>
      <c r="C124" s="164" t="s">
        <v>1211</v>
      </c>
      <c r="D124" s="1484"/>
      <c r="E124" s="1487"/>
      <c r="F124" s="1488"/>
      <c r="G124" s="1488"/>
      <c r="H124" s="1488"/>
      <c r="I124" s="524"/>
      <c r="J124" s="1378">
        <f t="shared" si="12"/>
        <v>0</v>
      </c>
      <c r="K124" s="1379">
        <f>$I$124*'Freight 2022'!I51</f>
        <v>0</v>
      </c>
      <c r="L124" s="1379">
        <f>$I$124*'Freight 2022'!J51</f>
        <v>0</v>
      </c>
      <c r="M124" s="1379">
        <f>$I$124*'Freight 2022'!K51</f>
        <v>0</v>
      </c>
      <c r="N124" s="524"/>
      <c r="O124" s="1378">
        <f t="shared" si="13"/>
        <v>0</v>
      </c>
      <c r="P124" s="1379">
        <f>$N$124*'Freight 2022'!M51</f>
        <v>0</v>
      </c>
      <c r="Q124" s="1379">
        <f>$N$124*'Freight 2022'!N51</f>
        <v>0</v>
      </c>
      <c r="R124" s="1379">
        <f>$N$124*'Freight 2022'!O51</f>
        <v>0</v>
      </c>
    </row>
    <row r="125" spans="1:18" ht="15.75" customHeight="1" thickBot="1">
      <c r="A125" s="2047" t="s">
        <v>1915</v>
      </c>
      <c r="B125" s="169" t="s">
        <v>1720</v>
      </c>
      <c r="C125" s="164" t="s">
        <v>1211</v>
      </c>
      <c r="D125" s="1484"/>
      <c r="E125" s="1487"/>
      <c r="F125" s="1488"/>
      <c r="G125" s="1488"/>
      <c r="H125" s="1488"/>
      <c r="I125" s="524"/>
      <c r="J125" s="1378">
        <f t="shared" si="12"/>
        <v>0</v>
      </c>
      <c r="K125" s="1379">
        <f>$I$125*'Freight 2022'!I52</f>
        <v>0</v>
      </c>
      <c r="L125" s="1379">
        <f>$I$125*'Freight 2022'!J52</f>
        <v>0</v>
      </c>
      <c r="M125" s="1379">
        <f>$I$125*'Freight 2022'!K52</f>
        <v>0</v>
      </c>
      <c r="N125" s="524"/>
      <c r="O125" s="1378">
        <f t="shared" si="13"/>
        <v>0</v>
      </c>
      <c r="P125" s="1379">
        <f>$N$125*'Freight 2022'!M52</f>
        <v>0</v>
      </c>
      <c r="Q125" s="1379">
        <f>$N$125*'Freight 2022'!N52</f>
        <v>0</v>
      </c>
      <c r="R125" s="1379">
        <f>$N$125*'Freight 2022'!O52</f>
        <v>0</v>
      </c>
    </row>
    <row r="126" spans="1:18" ht="15.75" thickBot="1">
      <c r="A126" s="2047"/>
      <c r="B126" s="169" t="s">
        <v>1908</v>
      </c>
      <c r="C126" s="164" t="s">
        <v>1211</v>
      </c>
      <c r="D126" s="1484"/>
      <c r="E126" s="1487"/>
      <c r="F126" s="1488"/>
      <c r="G126" s="1488"/>
      <c r="H126" s="1488"/>
      <c r="I126" s="524"/>
      <c r="J126" s="1378">
        <f t="shared" si="12"/>
        <v>0</v>
      </c>
      <c r="K126" s="1379">
        <f>$I$126*'Freight 2022'!I53</f>
        <v>0</v>
      </c>
      <c r="L126" s="1379">
        <f>$I$126*'Freight 2022'!J53</f>
        <v>0</v>
      </c>
      <c r="M126" s="1379">
        <f>$I$126*'Freight 2022'!K53</f>
        <v>0</v>
      </c>
      <c r="N126" s="524"/>
      <c r="O126" s="1378">
        <f t="shared" si="13"/>
        <v>0</v>
      </c>
      <c r="P126" s="1379">
        <f>$N$126*'Freight 2022'!M53</f>
        <v>0</v>
      </c>
      <c r="Q126" s="1379">
        <f>$N$126*'Freight 2022'!N53</f>
        <v>0</v>
      </c>
      <c r="R126" s="1379">
        <f>$N$126*'Freight 2022'!O53</f>
        <v>0</v>
      </c>
    </row>
    <row r="127" spans="1:18" ht="15.75" thickBot="1">
      <c r="A127" s="2047"/>
      <c r="B127" s="169" t="s">
        <v>1909</v>
      </c>
      <c r="C127" s="164" t="s">
        <v>1211</v>
      </c>
      <c r="D127" s="1484"/>
      <c r="E127" s="1487"/>
      <c r="F127" s="1488"/>
      <c r="G127" s="1488"/>
      <c r="H127" s="1488"/>
      <c r="I127" s="524"/>
      <c r="J127" s="1378">
        <f t="shared" si="12"/>
        <v>0</v>
      </c>
      <c r="K127" s="1379">
        <f>$I$127*'Freight 2022'!I54</f>
        <v>0</v>
      </c>
      <c r="L127" s="1379">
        <f>$I$127*'Freight 2022'!J54</f>
        <v>0</v>
      </c>
      <c r="M127" s="1379">
        <f>$I$127*'Freight 2022'!K54</f>
        <v>0</v>
      </c>
      <c r="N127" s="524"/>
      <c r="O127" s="1378">
        <f t="shared" si="13"/>
        <v>0</v>
      </c>
      <c r="P127" s="1379">
        <f>$N$127*'Freight 2022'!M54</f>
        <v>0</v>
      </c>
      <c r="Q127" s="1379">
        <f>$N$127*'Freight 2022'!N54</f>
        <v>0</v>
      </c>
      <c r="R127" s="1379">
        <f>$N$127*'Freight 2022'!O54</f>
        <v>0</v>
      </c>
    </row>
    <row r="128" spans="1:18" ht="15.75" thickBot="1">
      <c r="A128" s="2047"/>
      <c r="B128" s="169" t="s">
        <v>1910</v>
      </c>
      <c r="C128" s="164" t="s">
        <v>1211</v>
      </c>
      <c r="D128" s="1484"/>
      <c r="E128" s="1487"/>
      <c r="F128" s="1488"/>
      <c r="G128" s="1488"/>
      <c r="H128" s="1488"/>
      <c r="I128" s="524"/>
      <c r="J128" s="1378">
        <f t="shared" si="12"/>
        <v>0</v>
      </c>
      <c r="K128" s="1379">
        <f>$I$128*'Freight 2022'!I55</f>
        <v>0</v>
      </c>
      <c r="L128" s="1379">
        <f>$I$128*'Freight 2022'!J55</f>
        <v>0</v>
      </c>
      <c r="M128" s="1379">
        <f>$I$128*'Freight 2022'!K55</f>
        <v>0</v>
      </c>
      <c r="N128" s="524"/>
      <c r="O128" s="1378">
        <f t="shared" si="13"/>
        <v>0</v>
      </c>
      <c r="P128" s="1379">
        <f>$N$128*'Freight 2022'!M55</f>
        <v>0</v>
      </c>
      <c r="Q128" s="1379">
        <f>$N$128*'Freight 2022'!N55</f>
        <v>0</v>
      </c>
      <c r="R128" s="1379">
        <f>$N$128*'Freight 2022'!O55</f>
        <v>0</v>
      </c>
    </row>
    <row r="129" spans="1:18" ht="15.75" thickBot="1">
      <c r="A129" s="2047"/>
      <c r="B129" s="169" t="s">
        <v>1215</v>
      </c>
      <c r="C129" s="164" t="s">
        <v>1211</v>
      </c>
      <c r="D129" s="1484"/>
      <c r="E129" s="1487"/>
      <c r="F129" s="1488"/>
      <c r="G129" s="1488"/>
      <c r="H129" s="1488"/>
      <c r="I129" s="524"/>
      <c r="J129" s="1378">
        <f t="shared" si="12"/>
        <v>0</v>
      </c>
      <c r="K129" s="1379">
        <f>$I$129*'Freight 2022'!I56</f>
        <v>0</v>
      </c>
      <c r="L129" s="1379">
        <f>$I$129*'Freight 2022'!J56</f>
        <v>0</v>
      </c>
      <c r="M129" s="1379">
        <f>$I$129*'Freight 2022'!K56</f>
        <v>0</v>
      </c>
      <c r="N129" s="524"/>
      <c r="O129" s="1378">
        <f t="shared" si="13"/>
        <v>0</v>
      </c>
      <c r="P129" s="1379">
        <f>$N$129*'Freight 2022'!M56</f>
        <v>0</v>
      </c>
      <c r="Q129" s="1379">
        <f>$N$129*'Freight 2022'!N56</f>
        <v>0</v>
      </c>
      <c r="R129" s="1379">
        <f>$N$129*'Freight 2022'!O56</f>
        <v>0</v>
      </c>
    </row>
    <row r="130" spans="1:18" ht="15.75" thickBot="1">
      <c r="A130" s="2047" t="s">
        <v>1916</v>
      </c>
      <c r="B130" s="169" t="s">
        <v>1720</v>
      </c>
      <c r="C130" s="164" t="s">
        <v>1211</v>
      </c>
      <c r="D130" s="1484"/>
      <c r="E130" s="1487"/>
      <c r="F130" s="1488"/>
      <c r="G130" s="1488"/>
      <c r="H130" s="1488"/>
      <c r="I130" s="524"/>
      <c r="J130" s="1378">
        <f t="shared" si="12"/>
        <v>0</v>
      </c>
      <c r="K130" s="1379">
        <f>$I$130*'Freight 2022'!I57</f>
        <v>0</v>
      </c>
      <c r="L130" s="1379">
        <f>$I$130*'Freight 2022'!J57</f>
        <v>0</v>
      </c>
      <c r="M130" s="1379">
        <f>$I$130*'Freight 2022'!K57</f>
        <v>0</v>
      </c>
      <c r="N130" s="524"/>
      <c r="O130" s="1378">
        <f t="shared" si="13"/>
        <v>0</v>
      </c>
      <c r="P130" s="1379">
        <f>$N$130*'Freight 2022'!M57</f>
        <v>0</v>
      </c>
      <c r="Q130" s="1379">
        <f>$N$130*'Freight 2022'!N57</f>
        <v>0</v>
      </c>
      <c r="R130" s="1379">
        <f>$N$130*'Freight 2022'!O57</f>
        <v>0</v>
      </c>
    </row>
    <row r="131" spans="1:18" ht="15.75" thickBot="1">
      <c r="A131" s="2047"/>
      <c r="B131" s="169" t="s">
        <v>1908</v>
      </c>
      <c r="C131" s="164" t="s">
        <v>1211</v>
      </c>
      <c r="D131" s="1484"/>
      <c r="E131" s="1487"/>
      <c r="F131" s="1488"/>
      <c r="G131" s="1488"/>
      <c r="H131" s="1488"/>
      <c r="I131" s="524"/>
      <c r="J131" s="1378">
        <f t="shared" si="12"/>
        <v>0</v>
      </c>
      <c r="K131" s="1379">
        <f>$I$131*'Freight 2022'!I58</f>
        <v>0</v>
      </c>
      <c r="L131" s="1379">
        <f>$I$131*'Freight 2022'!J58</f>
        <v>0</v>
      </c>
      <c r="M131" s="1379">
        <f>$I$131*'Freight 2022'!K58</f>
        <v>0</v>
      </c>
      <c r="N131" s="524"/>
      <c r="O131" s="1378">
        <f t="shared" si="13"/>
        <v>0</v>
      </c>
      <c r="P131" s="1379">
        <f>$N$131*'Freight 2022'!M58</f>
        <v>0</v>
      </c>
      <c r="Q131" s="1379">
        <f>$N$131*'Freight 2022'!N58</f>
        <v>0</v>
      </c>
      <c r="R131" s="1379">
        <f>$N$131*'Freight 2022'!O58</f>
        <v>0</v>
      </c>
    </row>
    <row r="132" spans="1:18" ht="15.75" thickBot="1">
      <c r="A132" s="2047"/>
      <c r="B132" s="169" t="s">
        <v>1909</v>
      </c>
      <c r="C132" s="164" t="s">
        <v>1211</v>
      </c>
      <c r="D132" s="1484"/>
      <c r="E132" s="1487"/>
      <c r="F132" s="1488"/>
      <c r="G132" s="1488"/>
      <c r="H132" s="1488"/>
      <c r="I132" s="524"/>
      <c r="J132" s="1378">
        <f t="shared" si="12"/>
        <v>0</v>
      </c>
      <c r="K132" s="1379">
        <f>$I$132*'Freight 2022'!I59</f>
        <v>0</v>
      </c>
      <c r="L132" s="1379">
        <f>$I$132*'Freight 2022'!J59</f>
        <v>0</v>
      </c>
      <c r="M132" s="1379">
        <f>$I$132*'Freight 2022'!K59</f>
        <v>0</v>
      </c>
      <c r="N132" s="524"/>
      <c r="O132" s="1378">
        <f t="shared" si="13"/>
        <v>0</v>
      </c>
      <c r="P132" s="1379">
        <f>$N$132*'Freight 2022'!M59</f>
        <v>0</v>
      </c>
      <c r="Q132" s="1379">
        <f>$N$132*'Freight 2022'!N59</f>
        <v>0</v>
      </c>
      <c r="R132" s="1379">
        <f>$N$132*'Freight 2022'!O59</f>
        <v>0</v>
      </c>
    </row>
    <row r="133" spans="1:18" ht="15.75" thickBot="1">
      <c r="A133" s="2047"/>
      <c r="B133" s="169" t="s">
        <v>1910</v>
      </c>
      <c r="C133" s="164" t="s">
        <v>1211</v>
      </c>
      <c r="D133" s="1484"/>
      <c r="E133" s="1487"/>
      <c r="F133" s="1488"/>
      <c r="G133" s="1488"/>
      <c r="H133" s="1488"/>
      <c r="I133" s="524"/>
      <c r="J133" s="1378">
        <f t="shared" si="12"/>
        <v>0</v>
      </c>
      <c r="K133" s="1379">
        <f>$I$133*'Freight 2022'!I60</f>
        <v>0</v>
      </c>
      <c r="L133" s="1379">
        <f>$I$133*'Freight 2022'!J60</f>
        <v>0</v>
      </c>
      <c r="M133" s="1379">
        <f>$I$133*'Freight 2022'!K60</f>
        <v>0</v>
      </c>
      <c r="N133" s="524"/>
      <c r="O133" s="1378">
        <f t="shared" si="13"/>
        <v>0</v>
      </c>
      <c r="P133" s="1379">
        <f>$N$133*'Freight 2022'!M60</f>
        <v>0</v>
      </c>
      <c r="Q133" s="1379">
        <f>$N$133*'Freight 2022'!N60</f>
        <v>0</v>
      </c>
      <c r="R133" s="1379">
        <f>$N$133*'Freight 2022'!O60</f>
        <v>0</v>
      </c>
    </row>
    <row r="134" spans="1:18">
      <c r="A134" s="2047"/>
      <c r="B134" s="169" t="s">
        <v>1215</v>
      </c>
      <c r="C134" s="164" t="s">
        <v>1211</v>
      </c>
      <c r="D134" s="1489"/>
      <c r="E134" s="1490"/>
      <c r="F134" s="1491"/>
      <c r="G134" s="1491"/>
      <c r="H134" s="1491"/>
      <c r="I134" s="524"/>
      <c r="J134" s="1378">
        <f t="shared" si="12"/>
        <v>0</v>
      </c>
      <c r="K134" s="1379">
        <f>$I$134*'Freight 2022'!I61</f>
        <v>0</v>
      </c>
      <c r="L134" s="1379">
        <f>$I$134*'Freight 2022'!J61</f>
        <v>0</v>
      </c>
      <c r="M134" s="1379">
        <f>$I$134*'Freight 2022'!K61</f>
        <v>0</v>
      </c>
      <c r="N134" s="524"/>
      <c r="O134" s="1378">
        <f t="shared" si="13"/>
        <v>0</v>
      </c>
      <c r="P134" s="1379">
        <f>$N$134*'Freight 2022'!M61</f>
        <v>0</v>
      </c>
      <c r="Q134" s="1379">
        <f>$N$134*'Freight 2022'!N61</f>
        <v>0</v>
      </c>
      <c r="R134" s="1379">
        <f>$N$134*'Freight 2022'!O61</f>
        <v>0</v>
      </c>
    </row>
    <row r="135" spans="1:18">
      <c r="A135" s="1492"/>
      <c r="B135" s="1492"/>
      <c r="C135" s="1492"/>
      <c r="D135" s="1444" t="s">
        <v>247</v>
      </c>
      <c r="E135" s="175">
        <f>SUM(E90:E134,J90:J134,O90:O134)</f>
        <v>0</v>
      </c>
      <c r="F135" s="175">
        <f t="shared" ref="F135:H135" si="14">SUM(F90:F134,K90:K134,P90:P134)</f>
        <v>0</v>
      </c>
      <c r="G135" s="175">
        <f t="shared" si="14"/>
        <v>0</v>
      </c>
      <c r="H135" s="175">
        <f t="shared" si="14"/>
        <v>0</v>
      </c>
    </row>
    <row r="138" spans="1:18">
      <c r="A138" s="1961" t="s">
        <v>1730</v>
      </c>
      <c r="B138" s="1961"/>
      <c r="C138" s="1961"/>
      <c r="D138" s="1961"/>
      <c r="E138" s="1961"/>
      <c r="F138" s="1961"/>
      <c r="G138" s="1961"/>
      <c r="H138" s="1961"/>
    </row>
    <row r="139" spans="1:18">
      <c r="A139" s="2124"/>
      <c r="B139" s="2125"/>
      <c r="C139" s="2125"/>
      <c r="D139" s="1493"/>
      <c r="E139" s="1494" t="s">
        <v>423</v>
      </c>
      <c r="F139" s="1494"/>
      <c r="G139" s="1494"/>
      <c r="H139" s="1494"/>
    </row>
    <row r="140" spans="1:18" ht="24" customHeight="1" thickBot="1">
      <c r="A140" s="2027" t="s">
        <v>69</v>
      </c>
      <c r="B140" s="2028"/>
      <c r="C140" s="494" t="s">
        <v>70</v>
      </c>
      <c r="D140" s="1457" t="s">
        <v>424</v>
      </c>
      <c r="E140" s="1458" t="s">
        <v>59</v>
      </c>
      <c r="F140" s="1459" t="s">
        <v>425</v>
      </c>
      <c r="G140" s="1459" t="s">
        <v>426</v>
      </c>
      <c r="H140" s="1459" t="s">
        <v>427</v>
      </c>
    </row>
    <row r="141" spans="1:18" ht="15.75" thickBot="1">
      <c r="A141" s="2132" t="s">
        <v>1600</v>
      </c>
      <c r="B141" s="1495" t="s">
        <v>222</v>
      </c>
      <c r="C141" s="918" t="s">
        <v>1211</v>
      </c>
      <c r="D141" s="524"/>
      <c r="E141" s="1450">
        <f>SUM(F141:H141)</f>
        <v>0</v>
      </c>
      <c r="F141" s="1379">
        <f>$D$141*'Freight 2022'!E66</f>
        <v>0</v>
      </c>
      <c r="G141" s="1379">
        <f>$D$141*'Freight 2022'!F66</f>
        <v>0</v>
      </c>
      <c r="H141" s="1379">
        <f>$D$141*'Freight 2022'!G66</f>
        <v>0</v>
      </c>
      <c r="I141" s="176"/>
      <c r="J141" s="176"/>
      <c r="K141" s="176"/>
      <c r="L141" s="176"/>
      <c r="M141" s="176"/>
      <c r="N141" s="176"/>
      <c r="O141" s="176"/>
    </row>
    <row r="142" spans="1:18" ht="15.75" thickBot="1">
      <c r="A142" s="2133"/>
      <c r="B142" s="1495" t="s">
        <v>90</v>
      </c>
      <c r="C142" s="918" t="s">
        <v>1211</v>
      </c>
      <c r="D142" s="524"/>
      <c r="E142" s="1450">
        <f t="shared" ref="E142:E144" si="15">SUM(F142:H142)</f>
        <v>0</v>
      </c>
      <c r="F142" s="1379">
        <f>$D$142*'Freight 2022'!E67</f>
        <v>0</v>
      </c>
      <c r="G142" s="1379">
        <f>$D$142*'Freight 2022'!F67</f>
        <v>0</v>
      </c>
      <c r="H142" s="1379">
        <f>$D$142*'Freight 2022'!G67</f>
        <v>0</v>
      </c>
      <c r="I142" s="176"/>
      <c r="J142" s="176"/>
      <c r="K142" s="176"/>
      <c r="L142" s="176"/>
      <c r="M142" s="176"/>
      <c r="N142" s="176"/>
      <c r="O142" s="176"/>
    </row>
    <row r="143" spans="1:18" ht="15.75" thickBot="1">
      <c r="A143" s="2133"/>
      <c r="B143" s="1495" t="s">
        <v>1732</v>
      </c>
      <c r="C143" s="918" t="s">
        <v>1211</v>
      </c>
      <c r="D143" s="524"/>
      <c r="E143" s="1450">
        <f t="shared" si="15"/>
        <v>0</v>
      </c>
      <c r="F143" s="1379">
        <f>$D$143*'Freight 2022'!E68</f>
        <v>0</v>
      </c>
      <c r="G143" s="1379">
        <f>$D$143*'Freight 2022'!F68</f>
        <v>0</v>
      </c>
      <c r="H143" s="1379">
        <f>$D$143*'Freight 2022'!G68</f>
        <v>0</v>
      </c>
      <c r="I143" s="176"/>
      <c r="J143" s="176"/>
      <c r="K143" s="176"/>
      <c r="L143" s="176"/>
      <c r="M143" s="176"/>
      <c r="N143" s="176"/>
      <c r="O143" s="176"/>
    </row>
    <row r="144" spans="1:18">
      <c r="A144" s="2134"/>
      <c r="B144" s="1495" t="s">
        <v>1733</v>
      </c>
      <c r="C144" s="918" t="s">
        <v>1211</v>
      </c>
      <c r="D144" s="524"/>
      <c r="E144" s="1450">
        <f t="shared" si="15"/>
        <v>0</v>
      </c>
      <c r="F144" s="1379">
        <f>$D$144*'Freight 2022'!E69</f>
        <v>0</v>
      </c>
      <c r="G144" s="1379">
        <f>$D$144*'Freight 2022'!F69</f>
        <v>0</v>
      </c>
      <c r="H144" s="1379">
        <f>$D$144*'Freight 2022'!G69</f>
        <v>0</v>
      </c>
      <c r="I144" s="176"/>
      <c r="J144" s="176"/>
      <c r="K144" s="176"/>
      <c r="L144" s="176"/>
      <c r="M144" s="176"/>
      <c r="N144" s="176"/>
      <c r="O144" s="176"/>
    </row>
    <row r="145" spans="1:18">
      <c r="A145" s="1141"/>
      <c r="B145" s="1492"/>
      <c r="C145" s="1492"/>
      <c r="D145" s="1444" t="s">
        <v>247</v>
      </c>
      <c r="E145" s="1450">
        <f>SUM(F145:H145)</f>
        <v>0</v>
      </c>
      <c r="F145" s="175">
        <f>SUM(F141:F144)</f>
        <v>0</v>
      </c>
      <c r="G145" s="175">
        <f>SUM(G141:G144)</f>
        <v>0</v>
      </c>
      <c r="H145" s="175">
        <f>SUM(H141:H144)</f>
        <v>0</v>
      </c>
      <c r="I145" s="176"/>
      <c r="J145" s="176"/>
      <c r="K145" s="176"/>
      <c r="L145" s="176"/>
      <c r="M145" s="176"/>
      <c r="N145" s="176"/>
      <c r="O145" s="176"/>
    </row>
    <row r="148" spans="1:18">
      <c r="A148" s="2055" t="s">
        <v>1917</v>
      </c>
      <c r="B148" s="2056"/>
      <c r="C148" s="2056"/>
      <c r="D148" s="2056"/>
      <c r="E148" s="2056"/>
      <c r="F148" s="2056"/>
      <c r="G148" s="2056"/>
      <c r="H148" s="2056"/>
      <c r="I148" s="2056"/>
      <c r="J148" s="2056"/>
      <c r="K148" s="2056"/>
      <c r="L148" s="2056"/>
      <c r="M148" s="2056"/>
      <c r="N148" s="2056"/>
      <c r="O148" s="2056"/>
      <c r="P148" s="2056"/>
      <c r="Q148" s="2056"/>
      <c r="R148" s="2057"/>
    </row>
    <row r="149" spans="1:18">
      <c r="A149" s="1454"/>
      <c r="B149" s="1455"/>
      <c r="C149" s="1456"/>
      <c r="D149" s="2131" t="s">
        <v>1202</v>
      </c>
      <c r="E149" s="2131"/>
      <c r="F149" s="2131"/>
      <c r="G149" s="2131"/>
      <c r="H149" s="2131"/>
      <c r="I149" s="2131" t="s">
        <v>1690</v>
      </c>
      <c r="J149" s="2131"/>
      <c r="K149" s="2131"/>
      <c r="L149" s="2131"/>
      <c r="M149" s="2131"/>
      <c r="N149" s="2131" t="s">
        <v>1204</v>
      </c>
      <c r="O149" s="2131"/>
      <c r="P149" s="2131"/>
      <c r="Q149" s="2131"/>
      <c r="R149" s="2058"/>
    </row>
    <row r="150" spans="1:18">
      <c r="A150" s="1454"/>
      <c r="B150" s="1455"/>
      <c r="C150" s="1456"/>
      <c r="D150" s="172"/>
      <c r="E150" s="2045" t="s">
        <v>423</v>
      </c>
      <c r="F150" s="2045"/>
      <c r="G150" s="2045"/>
      <c r="H150" s="2045"/>
      <c r="I150" s="172"/>
      <c r="J150" s="2045" t="s">
        <v>423</v>
      </c>
      <c r="K150" s="2045"/>
      <c r="L150" s="2045"/>
      <c r="M150" s="2045"/>
      <c r="N150" s="172"/>
      <c r="O150" s="2045" t="s">
        <v>423</v>
      </c>
      <c r="P150" s="2045"/>
      <c r="Q150" s="2045"/>
      <c r="R150" s="1890"/>
    </row>
    <row r="151" spans="1:18" ht="19.5" customHeight="1" thickBot="1">
      <c r="A151" s="1892" t="s">
        <v>69</v>
      </c>
      <c r="B151" s="1893"/>
      <c r="C151" s="1373" t="s">
        <v>70</v>
      </c>
      <c r="D151" s="1457" t="s">
        <v>424</v>
      </c>
      <c r="E151" s="1458" t="s">
        <v>59</v>
      </c>
      <c r="F151" s="1459" t="s">
        <v>425</v>
      </c>
      <c r="G151" s="1459" t="s">
        <v>426</v>
      </c>
      <c r="H151" s="1459" t="s">
        <v>427</v>
      </c>
      <c r="I151" s="1457" t="s">
        <v>424</v>
      </c>
      <c r="J151" s="1458" t="s">
        <v>59</v>
      </c>
      <c r="K151" s="1459" t="s">
        <v>425</v>
      </c>
      <c r="L151" s="1459" t="s">
        <v>426</v>
      </c>
      <c r="M151" s="1459" t="s">
        <v>427</v>
      </c>
      <c r="N151" s="1457" t="s">
        <v>424</v>
      </c>
      <c r="O151" s="1458" t="s">
        <v>59</v>
      </c>
      <c r="P151" s="1459" t="s">
        <v>425</v>
      </c>
      <c r="Q151" s="1459" t="s">
        <v>426</v>
      </c>
      <c r="R151" s="1459" t="s">
        <v>427</v>
      </c>
    </row>
    <row r="152" spans="1:18" ht="15.75" thickBot="1">
      <c r="A152" s="2047" t="s">
        <v>1735</v>
      </c>
      <c r="B152" s="169" t="s">
        <v>1736</v>
      </c>
      <c r="C152" s="490" t="s">
        <v>1211</v>
      </c>
      <c r="D152" s="524"/>
      <c r="E152" s="1450">
        <f>SUM(F152:H152)</f>
        <v>0</v>
      </c>
      <c r="F152" s="1379">
        <f>$D$152*'Freight 2022'!E75</f>
        <v>0</v>
      </c>
      <c r="G152" s="1379">
        <f>$D$152*'Freight 2022'!F75</f>
        <v>0</v>
      </c>
      <c r="H152" s="1379">
        <f>$D$152*'Freight 2022'!G75</f>
        <v>0</v>
      </c>
      <c r="I152" s="524"/>
      <c r="J152" s="1450">
        <f>SUM(K152:M152)</f>
        <v>0</v>
      </c>
      <c r="K152" s="1379">
        <f>$I$152*'Freight 2022'!I75</f>
        <v>0</v>
      </c>
      <c r="L152" s="1379">
        <f>$I$152*'Freight 2022'!J75</f>
        <v>0</v>
      </c>
      <c r="M152" s="1379">
        <f>$I$152*'Freight 2022'!K75</f>
        <v>0</v>
      </c>
      <c r="N152" s="529"/>
      <c r="O152" s="1378">
        <f>SUM(P152:R152)</f>
        <v>0</v>
      </c>
      <c r="P152" s="1379">
        <f>$N$152*'Freight 2022'!M75</f>
        <v>0</v>
      </c>
      <c r="Q152" s="1379">
        <f>$N$152*'Freight 2022'!N75</f>
        <v>0</v>
      </c>
      <c r="R152" s="1379">
        <f>$N$152*'Freight 2022'!O75</f>
        <v>0</v>
      </c>
    </row>
    <row r="153" spans="1:18" ht="15.75" thickBot="1">
      <c r="A153" s="2047"/>
      <c r="B153" s="169" t="s">
        <v>1737</v>
      </c>
      <c r="C153" s="490" t="s">
        <v>1211</v>
      </c>
      <c r="D153" s="524"/>
      <c r="E153" s="1450">
        <f t="shared" ref="E153:E169" si="16">SUM(F153:H153)</f>
        <v>0</v>
      </c>
      <c r="F153" s="1379">
        <f>$D$153*'Freight 2022'!E76</f>
        <v>0</v>
      </c>
      <c r="G153" s="1379">
        <f>$D$153*'Freight 2022'!F76</f>
        <v>0</v>
      </c>
      <c r="H153" s="1379">
        <f>$D$153*'Freight 2022'!G76</f>
        <v>0</v>
      </c>
      <c r="I153" s="524"/>
      <c r="J153" s="1450">
        <f t="shared" ref="J153:J174" si="17">SUM(K153:M153)</f>
        <v>0</v>
      </c>
      <c r="K153" s="1379">
        <f>$I$153*'Freight 2022'!I76</f>
        <v>0</v>
      </c>
      <c r="L153" s="1379">
        <f>$I$153*'Freight 2022'!J76</f>
        <v>0</v>
      </c>
      <c r="M153" s="1379">
        <f>$I$153*'Freight 2022'!K76</f>
        <v>0</v>
      </c>
      <c r="N153" s="529"/>
      <c r="O153" s="1378">
        <f t="shared" ref="O153:O174" si="18">SUM(P153:R153)</f>
        <v>0</v>
      </c>
      <c r="P153" s="1379">
        <f>$N$153*'Freight 2022'!M76</f>
        <v>0</v>
      </c>
      <c r="Q153" s="1379">
        <f>$N$153*'Freight 2022'!N76</f>
        <v>0</v>
      </c>
      <c r="R153" s="1379">
        <f>$N$153*'Freight 2022'!O76</f>
        <v>0</v>
      </c>
    </row>
    <row r="154" spans="1:18" ht="15.75" thickBot="1">
      <c r="A154" s="2047"/>
      <c r="B154" s="169" t="s">
        <v>1738</v>
      </c>
      <c r="C154" s="490" t="s">
        <v>1211</v>
      </c>
      <c r="D154" s="524"/>
      <c r="E154" s="1450">
        <f t="shared" si="16"/>
        <v>0</v>
      </c>
      <c r="F154" s="1379">
        <f>$D$154*'Freight 2022'!E77</f>
        <v>0</v>
      </c>
      <c r="G154" s="1379">
        <f>$D$154*'Freight 2022'!F77</f>
        <v>0</v>
      </c>
      <c r="H154" s="1379">
        <f>$D$154*'Freight 2022'!G77</f>
        <v>0</v>
      </c>
      <c r="I154" s="524"/>
      <c r="J154" s="1450">
        <f t="shared" si="17"/>
        <v>0</v>
      </c>
      <c r="K154" s="1379">
        <f>$I$154*'Freight 2022'!I77</f>
        <v>0</v>
      </c>
      <c r="L154" s="1379">
        <f>$I$154*'Freight 2022'!J77</f>
        <v>0</v>
      </c>
      <c r="M154" s="1379">
        <f>$I$154*'Freight 2022'!K77</f>
        <v>0</v>
      </c>
      <c r="N154" s="529"/>
      <c r="O154" s="1378">
        <f t="shared" si="18"/>
        <v>0</v>
      </c>
      <c r="P154" s="1379">
        <f>$N$154*'Freight 2022'!M77</f>
        <v>0</v>
      </c>
      <c r="Q154" s="1379">
        <f>$N$154*'Freight 2022'!N77</f>
        <v>0</v>
      </c>
      <c r="R154" s="1379">
        <f>$N$154*'Freight 2022'!O77</f>
        <v>0</v>
      </c>
    </row>
    <row r="155" spans="1:18" ht="15.75" thickBot="1">
      <c r="A155" s="2047"/>
      <c r="B155" s="169" t="s">
        <v>1739</v>
      </c>
      <c r="C155" s="490" t="s">
        <v>1211</v>
      </c>
      <c r="D155" s="524"/>
      <c r="E155" s="1450">
        <f t="shared" si="16"/>
        <v>0</v>
      </c>
      <c r="F155" s="1379">
        <f>$D$155*'Freight 2022'!E78</f>
        <v>0</v>
      </c>
      <c r="G155" s="1379">
        <f>$D$155*'Freight 2022'!F78</f>
        <v>0</v>
      </c>
      <c r="H155" s="1379">
        <f>$D$155*'Freight 2022'!G78</f>
        <v>0</v>
      </c>
      <c r="I155" s="524"/>
      <c r="J155" s="1450">
        <f t="shared" si="17"/>
        <v>0</v>
      </c>
      <c r="K155" s="1379">
        <f>$I$155*'Freight 2022'!I78</f>
        <v>0</v>
      </c>
      <c r="L155" s="1379">
        <f>$I$155*'Freight 2022'!J78</f>
        <v>0</v>
      </c>
      <c r="M155" s="1379">
        <f>$I$155*'Freight 2022'!K78</f>
        <v>0</v>
      </c>
      <c r="N155" s="529"/>
      <c r="O155" s="1378">
        <f t="shared" si="18"/>
        <v>0</v>
      </c>
      <c r="P155" s="1379">
        <f>$N$155*'Freight 2022'!M78</f>
        <v>0</v>
      </c>
      <c r="Q155" s="1379">
        <f>$N$155*'Freight 2022'!N78</f>
        <v>0</v>
      </c>
      <c r="R155" s="1379">
        <f>$N$155*'Freight 2022'!O78</f>
        <v>0</v>
      </c>
    </row>
    <row r="156" spans="1:18" ht="15.75" thickBot="1">
      <c r="A156" s="2047"/>
      <c r="B156" s="169" t="s">
        <v>1740</v>
      </c>
      <c r="C156" s="490" t="s">
        <v>1211</v>
      </c>
      <c r="D156" s="524"/>
      <c r="E156" s="1450">
        <f t="shared" si="16"/>
        <v>0</v>
      </c>
      <c r="F156" s="1379">
        <f>$D$156*'Freight 2022'!E79</f>
        <v>0</v>
      </c>
      <c r="G156" s="1379">
        <f>$D$156*'Freight 2022'!F79</f>
        <v>0</v>
      </c>
      <c r="H156" s="1379">
        <f>$D$156*'Freight 2022'!G79</f>
        <v>0</v>
      </c>
      <c r="I156" s="524"/>
      <c r="J156" s="1450">
        <f t="shared" si="17"/>
        <v>0</v>
      </c>
      <c r="K156" s="1379">
        <f>$I$156*'Freight 2022'!I79</f>
        <v>0</v>
      </c>
      <c r="L156" s="1379">
        <f>$I$156*'Freight 2022'!J79</f>
        <v>0</v>
      </c>
      <c r="M156" s="1379">
        <f>$I$156*'Freight 2022'!K79</f>
        <v>0</v>
      </c>
      <c r="N156" s="529"/>
      <c r="O156" s="1378">
        <f t="shared" si="18"/>
        <v>0</v>
      </c>
      <c r="P156" s="1379">
        <f>$N$156*'Freight 2022'!M79</f>
        <v>0</v>
      </c>
      <c r="Q156" s="1379">
        <f>$N$156*'Freight 2022'!N79</f>
        <v>0</v>
      </c>
      <c r="R156" s="1379">
        <f>$N$156*'Freight 2022'!O79</f>
        <v>0</v>
      </c>
    </row>
    <row r="157" spans="1:18" ht="15.75" thickBot="1">
      <c r="A157" s="2047"/>
      <c r="B157" s="169" t="s">
        <v>1741</v>
      </c>
      <c r="C157" s="490" t="s">
        <v>1211</v>
      </c>
      <c r="D157" s="524"/>
      <c r="E157" s="1450">
        <f t="shared" si="16"/>
        <v>0</v>
      </c>
      <c r="F157" s="1379">
        <f>$D$157*'Freight 2022'!E80</f>
        <v>0</v>
      </c>
      <c r="G157" s="1379">
        <f>$D$157*'Freight 2022'!F80</f>
        <v>0</v>
      </c>
      <c r="H157" s="1379">
        <f>$D$157*'Freight 2022'!G80</f>
        <v>0</v>
      </c>
      <c r="I157" s="524"/>
      <c r="J157" s="1450">
        <f t="shared" si="17"/>
        <v>0</v>
      </c>
      <c r="K157" s="1379">
        <f>$I$157*'Freight 2022'!I80</f>
        <v>0</v>
      </c>
      <c r="L157" s="1379">
        <f>$I$157*'Freight 2022'!J80</f>
        <v>0</v>
      </c>
      <c r="M157" s="1379">
        <f>$I$157*'Freight 2022'!K80</f>
        <v>0</v>
      </c>
      <c r="N157" s="529"/>
      <c r="O157" s="1378">
        <f t="shared" si="18"/>
        <v>0</v>
      </c>
      <c r="P157" s="1379">
        <f>$N$157*'Freight 2022'!M80</f>
        <v>0</v>
      </c>
      <c r="Q157" s="1379">
        <f>$N$157*'Freight 2022'!N80</f>
        <v>0</v>
      </c>
      <c r="R157" s="1379">
        <f>$N$157*'Freight 2022'!O80</f>
        <v>0</v>
      </c>
    </row>
    <row r="158" spans="1:18" ht="15.75" thickBot="1">
      <c r="A158" s="2047"/>
      <c r="B158" s="169" t="s">
        <v>1742</v>
      </c>
      <c r="C158" s="490" t="s">
        <v>1211</v>
      </c>
      <c r="D158" s="524"/>
      <c r="E158" s="1450">
        <f t="shared" si="16"/>
        <v>0</v>
      </c>
      <c r="F158" s="1379">
        <f>$D$158*'Freight 2022'!E81</f>
        <v>0</v>
      </c>
      <c r="G158" s="1379">
        <f>$D$158*'Freight 2022'!F81</f>
        <v>0</v>
      </c>
      <c r="H158" s="1379">
        <f>$D$158*'Freight 2022'!G81</f>
        <v>0</v>
      </c>
      <c r="I158" s="524"/>
      <c r="J158" s="1450">
        <f t="shared" si="17"/>
        <v>0</v>
      </c>
      <c r="K158" s="1379">
        <f>$I$158*'Freight 2022'!I81</f>
        <v>0</v>
      </c>
      <c r="L158" s="1379">
        <f>$I$158*'Freight 2022'!J81</f>
        <v>0</v>
      </c>
      <c r="M158" s="1379">
        <f>$I$158*'Freight 2022'!K81</f>
        <v>0</v>
      </c>
      <c r="N158" s="529"/>
      <c r="O158" s="1378">
        <f t="shared" si="18"/>
        <v>0</v>
      </c>
      <c r="P158" s="1379">
        <f>$N$158*'Freight 2022'!M81</f>
        <v>0</v>
      </c>
      <c r="Q158" s="1379">
        <f>$N$158*'Freight 2022'!N81</f>
        <v>0</v>
      </c>
      <c r="R158" s="1379">
        <f>$N$158*'Freight 2022'!O81</f>
        <v>0</v>
      </c>
    </row>
    <row r="159" spans="1:18" ht="15.75" thickBot="1">
      <c r="A159" s="2047"/>
      <c r="B159" s="169" t="s">
        <v>1743</v>
      </c>
      <c r="C159" s="490" t="s">
        <v>1211</v>
      </c>
      <c r="D159" s="524"/>
      <c r="E159" s="1450">
        <f t="shared" si="16"/>
        <v>0</v>
      </c>
      <c r="F159" s="1379">
        <f>$D$159*'Freight 2022'!E82</f>
        <v>0</v>
      </c>
      <c r="G159" s="1379">
        <f>$D$159*'Freight 2022'!F82</f>
        <v>0</v>
      </c>
      <c r="H159" s="1379">
        <f>$D$159*'Freight 2022'!G82</f>
        <v>0</v>
      </c>
      <c r="I159" s="524"/>
      <c r="J159" s="1450">
        <f t="shared" si="17"/>
        <v>0</v>
      </c>
      <c r="K159" s="1379">
        <f>$I$159*'Freight 2022'!I82</f>
        <v>0</v>
      </c>
      <c r="L159" s="1379">
        <f>$I$159*'Freight 2022'!J82</f>
        <v>0</v>
      </c>
      <c r="M159" s="1379">
        <f>$I$159*'Freight 2022'!K82</f>
        <v>0</v>
      </c>
      <c r="N159" s="529"/>
      <c r="O159" s="1378">
        <f t="shared" si="18"/>
        <v>0</v>
      </c>
      <c r="P159" s="1379">
        <f>$N$159*'Freight 2022'!M82</f>
        <v>0</v>
      </c>
      <c r="Q159" s="1379">
        <f>$N$159*'Freight 2022'!N82</f>
        <v>0</v>
      </c>
      <c r="R159" s="1379">
        <f>$N$159*'Freight 2022'!O82</f>
        <v>0</v>
      </c>
    </row>
    <row r="160" spans="1:18" ht="15.75" thickBot="1">
      <c r="A160" s="2047"/>
      <c r="B160" s="169" t="s">
        <v>1744</v>
      </c>
      <c r="C160" s="490" t="s">
        <v>1211</v>
      </c>
      <c r="D160" s="524"/>
      <c r="E160" s="1450">
        <f t="shared" si="16"/>
        <v>0</v>
      </c>
      <c r="F160" s="1379">
        <f>$D$160*'Freight 2022'!E83</f>
        <v>0</v>
      </c>
      <c r="G160" s="1379">
        <f>$D$160*'Freight 2022'!F83</f>
        <v>0</v>
      </c>
      <c r="H160" s="1379">
        <f>$D$160*'Freight 2022'!G83</f>
        <v>0</v>
      </c>
      <c r="I160" s="524"/>
      <c r="J160" s="1450">
        <f t="shared" si="17"/>
        <v>0</v>
      </c>
      <c r="K160" s="1379">
        <f>$I$160*'Freight 2022'!I83</f>
        <v>0</v>
      </c>
      <c r="L160" s="1379">
        <f>$I$160*'Freight 2022'!J83</f>
        <v>0</v>
      </c>
      <c r="M160" s="1379">
        <f>$I$160*'Freight 2022'!K83</f>
        <v>0</v>
      </c>
      <c r="N160" s="529"/>
      <c r="O160" s="1378">
        <f t="shared" si="18"/>
        <v>0</v>
      </c>
      <c r="P160" s="1379">
        <f>$N$160*'Freight 2022'!M83</f>
        <v>0</v>
      </c>
      <c r="Q160" s="1379">
        <f>$N$160*'Freight 2022'!N83</f>
        <v>0</v>
      </c>
      <c r="R160" s="1379">
        <f>$N$160*'Freight 2022'!O83</f>
        <v>0</v>
      </c>
    </row>
    <row r="161" spans="1:18" ht="15.75" customHeight="1" thickBot="1">
      <c r="A161" s="2047" t="s">
        <v>1745</v>
      </c>
      <c r="B161" s="169" t="s">
        <v>1736</v>
      </c>
      <c r="C161" s="490" t="s">
        <v>1211</v>
      </c>
      <c r="D161" s="524"/>
      <c r="E161" s="1450">
        <f t="shared" si="16"/>
        <v>0</v>
      </c>
      <c r="F161" s="1379">
        <f>$D$161*'Freight 2022'!E84</f>
        <v>0</v>
      </c>
      <c r="G161" s="1379">
        <f>$D$161*'Freight 2022'!F84</f>
        <v>0</v>
      </c>
      <c r="H161" s="1379">
        <f>$D$161*'Freight 2022'!G84</f>
        <v>0</v>
      </c>
      <c r="I161" s="524"/>
      <c r="J161" s="1450">
        <f t="shared" si="17"/>
        <v>0</v>
      </c>
      <c r="K161" s="1379">
        <f>$I$161*'Freight 2022'!I84</f>
        <v>0</v>
      </c>
      <c r="L161" s="1379">
        <f>$I$161*'Freight 2022'!J84</f>
        <v>0</v>
      </c>
      <c r="M161" s="1379">
        <f>$I$161*'Freight 2022'!K84</f>
        <v>0</v>
      </c>
      <c r="N161" s="529"/>
      <c r="O161" s="1378">
        <f t="shared" si="18"/>
        <v>0</v>
      </c>
      <c r="P161" s="1379">
        <f>$N$161*'Freight 2022'!M84</f>
        <v>0</v>
      </c>
      <c r="Q161" s="1379">
        <f>$N$161*'Freight 2022'!N84</f>
        <v>0</v>
      </c>
      <c r="R161" s="1379">
        <f>$N$161*'Freight 2022'!O84</f>
        <v>0</v>
      </c>
    </row>
    <row r="162" spans="1:18" ht="15.75" thickBot="1">
      <c r="A162" s="2047"/>
      <c r="B162" s="169" t="s">
        <v>1737</v>
      </c>
      <c r="C162" s="490" t="s">
        <v>1211</v>
      </c>
      <c r="D162" s="524"/>
      <c r="E162" s="1450">
        <f t="shared" si="16"/>
        <v>0</v>
      </c>
      <c r="F162" s="1379">
        <f>$D$162*'Freight 2022'!E85</f>
        <v>0</v>
      </c>
      <c r="G162" s="1379">
        <f>$D$162*'Freight 2022'!F85</f>
        <v>0</v>
      </c>
      <c r="H162" s="1379">
        <f>$D$162*'Freight 2022'!G85</f>
        <v>0</v>
      </c>
      <c r="I162" s="524"/>
      <c r="J162" s="1450">
        <f t="shared" si="17"/>
        <v>0</v>
      </c>
      <c r="K162" s="1379">
        <f>$I$162*'Freight 2022'!I85</f>
        <v>0</v>
      </c>
      <c r="L162" s="1379">
        <f>$I$162*'Freight 2022'!J85</f>
        <v>0</v>
      </c>
      <c r="M162" s="1379">
        <f>$I$162*'Freight 2022'!K85</f>
        <v>0</v>
      </c>
      <c r="N162" s="529"/>
      <c r="O162" s="1378">
        <f t="shared" si="18"/>
        <v>0</v>
      </c>
      <c r="P162" s="1379">
        <f>$N$162*'Freight 2022'!M85</f>
        <v>0</v>
      </c>
      <c r="Q162" s="1379">
        <f>$N$162*'Freight 2022'!N85</f>
        <v>0</v>
      </c>
      <c r="R162" s="1379">
        <f>$N$162*'Freight 2022'!O85</f>
        <v>0</v>
      </c>
    </row>
    <row r="163" spans="1:18" ht="15.75" thickBot="1">
      <c r="A163" s="2047"/>
      <c r="B163" s="169" t="s">
        <v>1738</v>
      </c>
      <c r="C163" s="490" t="s">
        <v>1211</v>
      </c>
      <c r="D163" s="524"/>
      <c r="E163" s="1450">
        <f t="shared" si="16"/>
        <v>0</v>
      </c>
      <c r="F163" s="1379">
        <f>$D$163*'Freight 2022'!E86</f>
        <v>0</v>
      </c>
      <c r="G163" s="1379">
        <f>$D$163*'Freight 2022'!F86</f>
        <v>0</v>
      </c>
      <c r="H163" s="1379">
        <f>$D$163*'Freight 2022'!G86</f>
        <v>0</v>
      </c>
      <c r="I163" s="524"/>
      <c r="J163" s="1450">
        <f t="shared" si="17"/>
        <v>0</v>
      </c>
      <c r="K163" s="1379">
        <f>$I$163*'Freight 2022'!I86</f>
        <v>0</v>
      </c>
      <c r="L163" s="1379">
        <f>$I$163*'Freight 2022'!J86</f>
        <v>0</v>
      </c>
      <c r="M163" s="1379">
        <f>$I$163*'Freight 2022'!K86</f>
        <v>0</v>
      </c>
      <c r="N163" s="529"/>
      <c r="O163" s="1378">
        <f t="shared" si="18"/>
        <v>0</v>
      </c>
      <c r="P163" s="1379">
        <f>$N$163*'Freight 2022'!M86</f>
        <v>0</v>
      </c>
      <c r="Q163" s="1379">
        <f>$N$163*'Freight 2022'!N86</f>
        <v>0</v>
      </c>
      <c r="R163" s="1379">
        <f>$N$163*'Freight 2022'!O86</f>
        <v>0</v>
      </c>
    </row>
    <row r="164" spans="1:18" ht="15.75" thickBot="1">
      <c r="A164" s="2047"/>
      <c r="B164" s="169" t="s">
        <v>1739</v>
      </c>
      <c r="C164" s="490" t="s">
        <v>1211</v>
      </c>
      <c r="D164" s="524"/>
      <c r="E164" s="1450">
        <f t="shared" si="16"/>
        <v>0</v>
      </c>
      <c r="F164" s="1379">
        <f>$D$164*'Freight 2022'!E87</f>
        <v>0</v>
      </c>
      <c r="G164" s="1379">
        <f>$D$164*'Freight 2022'!F87</f>
        <v>0</v>
      </c>
      <c r="H164" s="1379">
        <f>$D$164*'Freight 2022'!G87</f>
        <v>0</v>
      </c>
      <c r="I164" s="524"/>
      <c r="J164" s="1450">
        <f t="shared" si="17"/>
        <v>0</v>
      </c>
      <c r="K164" s="1379">
        <f>$I$164*'Freight 2022'!I87</f>
        <v>0</v>
      </c>
      <c r="L164" s="1379">
        <f>$I$164*'Freight 2022'!J87</f>
        <v>0</v>
      </c>
      <c r="M164" s="1379">
        <f>$I$164*'Freight 2022'!K87</f>
        <v>0</v>
      </c>
      <c r="N164" s="529"/>
      <c r="O164" s="1378">
        <f t="shared" si="18"/>
        <v>0</v>
      </c>
      <c r="P164" s="1379">
        <f>$N$164*'Freight 2022'!M87</f>
        <v>0</v>
      </c>
      <c r="Q164" s="1379">
        <f>$N$164*'Freight 2022'!N87</f>
        <v>0</v>
      </c>
      <c r="R164" s="1379">
        <f>$N$164*'Freight 2022'!O87</f>
        <v>0</v>
      </c>
    </row>
    <row r="165" spans="1:18" ht="15.75" thickBot="1">
      <c r="A165" s="2047"/>
      <c r="B165" s="169" t="s">
        <v>1740</v>
      </c>
      <c r="C165" s="490" t="s">
        <v>1211</v>
      </c>
      <c r="D165" s="524"/>
      <c r="E165" s="1450">
        <f t="shared" si="16"/>
        <v>0</v>
      </c>
      <c r="F165" s="1379">
        <f>$D$165*'Freight 2022'!E88</f>
        <v>0</v>
      </c>
      <c r="G165" s="1379">
        <f>$D$165*'Freight 2022'!F88</f>
        <v>0</v>
      </c>
      <c r="H165" s="1379">
        <f>$D$165*'Freight 2022'!G88</f>
        <v>0</v>
      </c>
      <c r="I165" s="524"/>
      <c r="J165" s="1450">
        <f t="shared" si="17"/>
        <v>0</v>
      </c>
      <c r="K165" s="1379">
        <f>$I$165*'Freight 2022'!I88</f>
        <v>0</v>
      </c>
      <c r="L165" s="1379">
        <f>$I$165*'Freight 2022'!J88</f>
        <v>0</v>
      </c>
      <c r="M165" s="1379">
        <f>$I$165*'Freight 2022'!K88</f>
        <v>0</v>
      </c>
      <c r="N165" s="529"/>
      <c r="O165" s="1378">
        <f t="shared" si="18"/>
        <v>0</v>
      </c>
      <c r="P165" s="1379">
        <f>$N$165*'Freight 2022'!M88</f>
        <v>0</v>
      </c>
      <c r="Q165" s="1379">
        <f>$N$165*'Freight 2022'!N88</f>
        <v>0</v>
      </c>
      <c r="R165" s="1379">
        <f>$N$165*'Freight 2022'!O88</f>
        <v>0</v>
      </c>
    </row>
    <row r="166" spans="1:18" ht="15.75" thickBot="1">
      <c r="A166" s="2047"/>
      <c r="B166" s="169" t="s">
        <v>1741</v>
      </c>
      <c r="C166" s="490" t="s">
        <v>1211</v>
      </c>
      <c r="D166" s="524"/>
      <c r="E166" s="1450">
        <f t="shared" si="16"/>
        <v>0</v>
      </c>
      <c r="F166" s="1379">
        <f>$D$166*'Freight 2022'!E89</f>
        <v>0</v>
      </c>
      <c r="G166" s="1379">
        <f>$D$166*'Freight 2022'!F89</f>
        <v>0</v>
      </c>
      <c r="H166" s="1379">
        <f>$D$166*'Freight 2022'!G89</f>
        <v>0</v>
      </c>
      <c r="I166" s="524"/>
      <c r="J166" s="1450">
        <f t="shared" si="17"/>
        <v>0</v>
      </c>
      <c r="K166" s="1379">
        <f>$I$166*'Freight 2022'!I89</f>
        <v>0</v>
      </c>
      <c r="L166" s="1379">
        <f>$I$166*'Freight 2022'!J89</f>
        <v>0</v>
      </c>
      <c r="M166" s="1379">
        <f>$I$166*'Freight 2022'!K89</f>
        <v>0</v>
      </c>
      <c r="N166" s="529"/>
      <c r="O166" s="1378">
        <f t="shared" si="18"/>
        <v>0</v>
      </c>
      <c r="P166" s="1379">
        <f>$N$166*'Freight 2022'!M89</f>
        <v>0</v>
      </c>
      <c r="Q166" s="1379">
        <f>$N$166*'Freight 2022'!N89</f>
        <v>0</v>
      </c>
      <c r="R166" s="1379">
        <f>$N$166*'Freight 2022'!O89</f>
        <v>0</v>
      </c>
    </row>
    <row r="167" spans="1:18" ht="15.75" thickBot="1">
      <c r="A167" s="2047"/>
      <c r="B167" s="169" t="s">
        <v>1742</v>
      </c>
      <c r="C167" s="490" t="s">
        <v>1211</v>
      </c>
      <c r="D167" s="524"/>
      <c r="E167" s="1450">
        <f t="shared" si="16"/>
        <v>0</v>
      </c>
      <c r="F167" s="1379">
        <f>$D$167*'Freight 2022'!E90</f>
        <v>0</v>
      </c>
      <c r="G167" s="1379">
        <f>$D$167*'Freight 2022'!F90</f>
        <v>0</v>
      </c>
      <c r="H167" s="1379">
        <f>$D$167*'Freight 2022'!G90</f>
        <v>0</v>
      </c>
      <c r="I167" s="524"/>
      <c r="J167" s="1450">
        <f t="shared" si="17"/>
        <v>0</v>
      </c>
      <c r="K167" s="1379">
        <f>$I$167*'Freight 2022'!I90</f>
        <v>0</v>
      </c>
      <c r="L167" s="1379">
        <f>$I$167*'Freight 2022'!J90</f>
        <v>0</v>
      </c>
      <c r="M167" s="1379">
        <f>$I$167*'Freight 2022'!K90</f>
        <v>0</v>
      </c>
      <c r="N167" s="529"/>
      <c r="O167" s="1378">
        <f t="shared" si="18"/>
        <v>0</v>
      </c>
      <c r="P167" s="1379">
        <f>$N$167*'Freight 2022'!M90</f>
        <v>0</v>
      </c>
      <c r="Q167" s="1379">
        <f>$N$167*'Freight 2022'!N90</f>
        <v>0</v>
      </c>
      <c r="R167" s="1379">
        <f>$N$167*'Freight 2022'!O90</f>
        <v>0</v>
      </c>
    </row>
    <row r="168" spans="1:18" ht="15.75" thickBot="1">
      <c r="A168" s="2047"/>
      <c r="B168" s="169" t="s">
        <v>1743</v>
      </c>
      <c r="C168" s="490" t="s">
        <v>1211</v>
      </c>
      <c r="D168" s="524"/>
      <c r="E168" s="1450">
        <f t="shared" si="16"/>
        <v>0</v>
      </c>
      <c r="F168" s="1379">
        <f>$D$168*'Freight 2022'!E91</f>
        <v>0</v>
      </c>
      <c r="G168" s="1379">
        <f>$D$168*'Freight 2022'!F91</f>
        <v>0</v>
      </c>
      <c r="H168" s="1379">
        <f>$D$168*'Freight 2022'!G91</f>
        <v>0</v>
      </c>
      <c r="I168" s="524"/>
      <c r="J168" s="1450">
        <f t="shared" si="17"/>
        <v>0</v>
      </c>
      <c r="K168" s="1379">
        <f>$I$168*'Freight 2022'!I91</f>
        <v>0</v>
      </c>
      <c r="L168" s="1379">
        <f>$I$168*'Freight 2022'!J91</f>
        <v>0</v>
      </c>
      <c r="M168" s="1379">
        <f>$I$168*'Freight 2022'!K91</f>
        <v>0</v>
      </c>
      <c r="N168" s="529"/>
      <c r="O168" s="1378">
        <f t="shared" si="18"/>
        <v>0</v>
      </c>
      <c r="P168" s="1379">
        <f>$N$168*'Freight 2022'!M91</f>
        <v>0</v>
      </c>
      <c r="Q168" s="1379">
        <f>$N$168*'Freight 2022'!N91</f>
        <v>0</v>
      </c>
      <c r="R168" s="1379">
        <f>$N$168*'Freight 2022'!O91</f>
        <v>0</v>
      </c>
    </row>
    <row r="169" spans="1:18" ht="15.75" thickBot="1">
      <c r="A169" s="2047"/>
      <c r="B169" s="169" t="s">
        <v>1744</v>
      </c>
      <c r="C169" s="490" t="s">
        <v>1211</v>
      </c>
      <c r="D169" s="524"/>
      <c r="E169" s="1483">
        <f t="shared" si="16"/>
        <v>0</v>
      </c>
      <c r="F169" s="1379">
        <f>$D$169*'Freight 2022'!E92</f>
        <v>0</v>
      </c>
      <c r="G169" s="1379">
        <f>$D$169*'Freight 2022'!F92</f>
        <v>0</v>
      </c>
      <c r="H169" s="1379">
        <f>$D$169*'Freight 2022'!G92</f>
        <v>0</v>
      </c>
      <c r="I169" s="524"/>
      <c r="J169" s="1450">
        <f t="shared" si="17"/>
        <v>0</v>
      </c>
      <c r="K169" s="1379">
        <f>$I$169*'Freight 2022'!I92</f>
        <v>0</v>
      </c>
      <c r="L169" s="1379">
        <f>$I$169*'Freight 2022'!J92</f>
        <v>0</v>
      </c>
      <c r="M169" s="1379">
        <f>$I$169*'Freight 2022'!K92</f>
        <v>0</v>
      </c>
      <c r="N169" s="529"/>
      <c r="O169" s="1378">
        <f t="shared" si="18"/>
        <v>0</v>
      </c>
      <c r="P169" s="1379">
        <f>$N$169*'Freight 2022'!M92</f>
        <v>0</v>
      </c>
      <c r="Q169" s="1379">
        <f>$N$169*'Freight 2022'!N92</f>
        <v>0</v>
      </c>
      <c r="R169" s="1379">
        <f>$N$169*'Freight 2022'!O92</f>
        <v>0</v>
      </c>
    </row>
    <row r="170" spans="1:18" ht="15.75" thickBot="1">
      <c r="A170" s="2047" t="s">
        <v>1746</v>
      </c>
      <c r="B170" s="169" t="s">
        <v>1736</v>
      </c>
      <c r="C170" s="490" t="s">
        <v>1211</v>
      </c>
      <c r="D170" s="1484"/>
      <c r="E170" s="1485"/>
      <c r="F170" s="1485"/>
      <c r="G170" s="1485"/>
      <c r="H170" s="1485"/>
      <c r="I170" s="524"/>
      <c r="J170" s="1450">
        <f t="shared" si="17"/>
        <v>0</v>
      </c>
      <c r="K170" s="1379">
        <f>$I$170*'Freight 2022'!I93</f>
        <v>0</v>
      </c>
      <c r="L170" s="1379">
        <f>$I$170*'Freight 2022'!J93</f>
        <v>0</v>
      </c>
      <c r="M170" s="1379">
        <f>$I$170*'Freight 2022'!K93</f>
        <v>0</v>
      </c>
      <c r="N170" s="529"/>
      <c r="O170" s="1378">
        <f t="shared" si="18"/>
        <v>0</v>
      </c>
      <c r="P170" s="1379">
        <f>$N$170*'Freight 2022'!M93</f>
        <v>0</v>
      </c>
      <c r="Q170" s="1379">
        <f>$N$170*'Freight 2022'!N93</f>
        <v>0</v>
      </c>
      <c r="R170" s="1379">
        <f>$N$170*'Freight 2022'!O93</f>
        <v>0</v>
      </c>
    </row>
    <row r="171" spans="1:18" ht="15.75" thickBot="1">
      <c r="A171" s="2047"/>
      <c r="B171" s="169" t="s">
        <v>1737</v>
      </c>
      <c r="C171" s="490" t="s">
        <v>1211</v>
      </c>
      <c r="D171" s="1484"/>
      <c r="E171" s="1487"/>
      <c r="F171" s="1487"/>
      <c r="G171" s="1487"/>
      <c r="H171" s="1487"/>
      <c r="I171" s="524"/>
      <c r="J171" s="1450">
        <f t="shared" si="17"/>
        <v>0</v>
      </c>
      <c r="K171" s="1379">
        <f>$I$171*'Freight 2022'!I94</f>
        <v>0</v>
      </c>
      <c r="L171" s="1379">
        <f>$I$171*'Freight 2022'!J94</f>
        <v>0</v>
      </c>
      <c r="M171" s="1379">
        <f>$I$171*'Freight 2022'!K94</f>
        <v>0</v>
      </c>
      <c r="N171" s="529"/>
      <c r="O171" s="1378">
        <f t="shared" si="18"/>
        <v>0</v>
      </c>
      <c r="P171" s="1379">
        <f>$N$171*'Freight 2022'!M94</f>
        <v>0</v>
      </c>
      <c r="Q171" s="1379">
        <f>$N$171*'Freight 2022'!N94</f>
        <v>0</v>
      </c>
      <c r="R171" s="1379">
        <f>$N$171*'Freight 2022'!O94</f>
        <v>0</v>
      </c>
    </row>
    <row r="172" spans="1:18" ht="15.75" thickBot="1">
      <c r="A172" s="2047"/>
      <c r="B172" s="169" t="s">
        <v>1738</v>
      </c>
      <c r="C172" s="490" t="s">
        <v>1211</v>
      </c>
      <c r="D172" s="1484"/>
      <c r="E172" s="1487"/>
      <c r="F172" s="1487"/>
      <c r="G172" s="1487"/>
      <c r="H172" s="1487"/>
      <c r="I172" s="524"/>
      <c r="J172" s="1450">
        <f t="shared" si="17"/>
        <v>0</v>
      </c>
      <c r="K172" s="1379">
        <f>$I$172*'Freight 2022'!I95</f>
        <v>0</v>
      </c>
      <c r="L172" s="1379">
        <f>$I$172*'Freight 2022'!J95</f>
        <v>0</v>
      </c>
      <c r="M172" s="1379">
        <f>$I$172*'Freight 2022'!K95</f>
        <v>0</v>
      </c>
      <c r="N172" s="529"/>
      <c r="O172" s="1378">
        <f t="shared" si="18"/>
        <v>0</v>
      </c>
      <c r="P172" s="1379">
        <f>$N$172*'Freight 2022'!M95</f>
        <v>0</v>
      </c>
      <c r="Q172" s="1379">
        <f>$N$172*'Freight 2022'!N95</f>
        <v>0</v>
      </c>
      <c r="R172" s="1379">
        <f>$N$172*'Freight 2022'!O95</f>
        <v>0</v>
      </c>
    </row>
    <row r="173" spans="1:18" ht="15.75" thickBot="1">
      <c r="A173" s="2047"/>
      <c r="B173" s="169" t="s">
        <v>1739</v>
      </c>
      <c r="C173" s="490" t="s">
        <v>1211</v>
      </c>
      <c r="D173" s="1484"/>
      <c r="E173" s="1487"/>
      <c r="F173" s="1487"/>
      <c r="G173" s="1487"/>
      <c r="H173" s="1487"/>
      <c r="I173" s="524"/>
      <c r="J173" s="1450">
        <f t="shared" si="17"/>
        <v>0</v>
      </c>
      <c r="K173" s="1379">
        <f>$I$173*'Freight 2022'!I96</f>
        <v>0</v>
      </c>
      <c r="L173" s="1379">
        <f>$I$173*'Freight 2022'!J96</f>
        <v>0</v>
      </c>
      <c r="M173" s="1379">
        <f>$I$173*'Freight 2022'!K96</f>
        <v>0</v>
      </c>
      <c r="N173" s="529"/>
      <c r="O173" s="1378">
        <f t="shared" si="18"/>
        <v>0</v>
      </c>
      <c r="P173" s="1379">
        <f>$N$173*'Freight 2022'!M96</f>
        <v>0</v>
      </c>
      <c r="Q173" s="1379">
        <f>$N$173*'Freight 2022'!N96</f>
        <v>0</v>
      </c>
      <c r="R173" s="1379">
        <f>$N$173*'Freight 2022'!O96</f>
        <v>0</v>
      </c>
    </row>
    <row r="174" spans="1:18">
      <c r="A174" s="2047"/>
      <c r="B174" s="169" t="s">
        <v>1740</v>
      </c>
      <c r="C174" s="490" t="s">
        <v>1211</v>
      </c>
      <c r="D174" s="1489"/>
      <c r="E174" s="1490"/>
      <c r="F174" s="1490"/>
      <c r="G174" s="1490"/>
      <c r="H174" s="1490"/>
      <c r="I174" s="524"/>
      <c r="J174" s="1450">
        <f t="shared" si="17"/>
        <v>0</v>
      </c>
      <c r="K174" s="1379">
        <f>$I$174*'Freight 2022'!I97</f>
        <v>0</v>
      </c>
      <c r="L174" s="1379">
        <f>$I$174*'Freight 2022'!J97</f>
        <v>0</v>
      </c>
      <c r="M174" s="1379">
        <f>$I$174*'Freight 2022'!K97</f>
        <v>0</v>
      </c>
      <c r="N174" s="529"/>
      <c r="O174" s="1378">
        <f t="shared" si="18"/>
        <v>0</v>
      </c>
      <c r="P174" s="1379">
        <f>$N$174*'Freight 2022'!M97</f>
        <v>0</v>
      </c>
      <c r="Q174" s="1379">
        <f>$N$174*'Freight 2022'!N97</f>
        <v>0</v>
      </c>
      <c r="R174" s="1379">
        <f>$N$174*'Freight 2022'!O97</f>
        <v>0</v>
      </c>
    </row>
    <row r="175" spans="1:18">
      <c r="A175" s="1492"/>
      <c r="B175" s="1492"/>
      <c r="C175" s="1492"/>
      <c r="D175" s="1444" t="s">
        <v>247</v>
      </c>
      <c r="E175" s="175">
        <f>SUM(E152:E174,J152:J174,O152:O174)</f>
        <v>0</v>
      </c>
      <c r="F175" s="175">
        <f t="shared" ref="F175:H175" si="19">SUM(F152:F174,K152:K174,P152:P174)</f>
        <v>0</v>
      </c>
      <c r="G175" s="175">
        <f t="shared" si="19"/>
        <v>0</v>
      </c>
      <c r="H175" s="175">
        <f t="shared" si="19"/>
        <v>0</v>
      </c>
    </row>
    <row r="178" spans="1:15">
      <c r="A178" s="1961" t="s">
        <v>1918</v>
      </c>
      <c r="B178" s="1961"/>
      <c r="C178" s="1961"/>
      <c r="D178" s="1961"/>
      <c r="E178" s="1961"/>
      <c r="F178" s="1961"/>
      <c r="G178" s="1961"/>
      <c r="H178" s="1961"/>
    </row>
    <row r="179" spans="1:15">
      <c r="A179" s="2124"/>
      <c r="B179" s="2125"/>
      <c r="C179" s="2125"/>
      <c r="D179" s="1493"/>
      <c r="E179" s="2126" t="s">
        <v>423</v>
      </c>
      <c r="F179" s="2127"/>
      <c r="G179" s="2127"/>
      <c r="H179" s="2128"/>
    </row>
    <row r="180" spans="1:15" ht="24" customHeight="1" thickBot="1">
      <c r="A180" s="2027" t="s">
        <v>69</v>
      </c>
      <c r="B180" s="2028"/>
      <c r="C180" s="494" t="s">
        <v>70</v>
      </c>
      <c r="D180" s="1457" t="s">
        <v>424</v>
      </c>
      <c r="E180" s="1458" t="s">
        <v>59</v>
      </c>
      <c r="F180" s="1459" t="s">
        <v>425</v>
      </c>
      <c r="G180" s="1459" t="s">
        <v>426</v>
      </c>
      <c r="H180" s="1459" t="s">
        <v>427</v>
      </c>
    </row>
    <row r="181" spans="1:15" ht="15.75" thickBot="1">
      <c r="A181" s="2129" t="s">
        <v>1919</v>
      </c>
      <c r="B181" s="1495" t="s">
        <v>1748</v>
      </c>
      <c r="C181" s="918" t="s">
        <v>1211</v>
      </c>
      <c r="D181" s="524"/>
      <c r="E181" s="1450">
        <f>SUM(F181:H181)</f>
        <v>0</v>
      </c>
      <c r="F181" s="1379">
        <f>$D$181*'Freight 2022'!E102</f>
        <v>0</v>
      </c>
      <c r="G181" s="1379">
        <f>$D$181*'Freight 2022'!F102</f>
        <v>0</v>
      </c>
      <c r="H181" s="1379">
        <f>$D$181*'Freight 2022'!G102</f>
        <v>0</v>
      </c>
      <c r="I181" s="176"/>
      <c r="J181" s="176"/>
      <c r="K181" s="176"/>
      <c r="L181" s="176"/>
      <c r="M181" s="176"/>
      <c r="N181" s="176"/>
      <c r="O181" s="176"/>
    </row>
    <row r="182" spans="1:15">
      <c r="A182" s="2130"/>
      <c r="B182" s="1495" t="s">
        <v>1920</v>
      </c>
      <c r="C182" s="918" t="s">
        <v>1211</v>
      </c>
      <c r="D182" s="524"/>
      <c r="E182" s="1450">
        <f>SUM(F182:H182)</f>
        <v>0</v>
      </c>
      <c r="F182" s="1379">
        <f>$D$182*'Freight 2022'!E103</f>
        <v>0</v>
      </c>
      <c r="G182" s="1379">
        <f>$D$182*'Freight 2022'!F103</f>
        <v>0</v>
      </c>
      <c r="H182" s="1379">
        <f>$D$182*'Freight 2022'!G103</f>
        <v>0</v>
      </c>
      <c r="I182" s="176"/>
      <c r="J182" s="176"/>
      <c r="K182" s="176"/>
      <c r="L182" s="176"/>
      <c r="M182" s="176"/>
      <c r="N182" s="176"/>
      <c r="O182" s="176"/>
    </row>
    <row r="183" spans="1:15">
      <c r="A183" s="470"/>
      <c r="B183" s="1492"/>
      <c r="C183" s="1492"/>
      <c r="D183" s="1444" t="s">
        <v>247</v>
      </c>
      <c r="E183" s="175">
        <f>SUM(E181:E182)</f>
        <v>0</v>
      </c>
      <c r="F183" s="175">
        <f>SUM(F181:F182)</f>
        <v>0</v>
      </c>
      <c r="G183" s="175">
        <f t="shared" ref="G183:H183" si="20">SUM(G181:G182)</f>
        <v>0</v>
      </c>
      <c r="H183" s="175">
        <f t="shared" si="20"/>
        <v>0</v>
      </c>
    </row>
    <row r="185" spans="1:15" s="102" customFormat="1" ht="15.75" thickBot="1"/>
  </sheetData>
  <sheetProtection sheet="1" objects="1" scenarios="1" selectLockedCells="1"/>
  <mergeCells count="64">
    <mergeCell ref="A8:R8"/>
    <mergeCell ref="A7:R7"/>
    <mergeCell ref="A20:B20"/>
    <mergeCell ref="A21:B21"/>
    <mergeCell ref="A19:B19"/>
    <mergeCell ref="A10:C11"/>
    <mergeCell ref="E17:H17"/>
    <mergeCell ref="A18:B18"/>
    <mergeCell ref="D10:D11"/>
    <mergeCell ref="E26:H26"/>
    <mergeCell ref="N26:Q26"/>
    <mergeCell ref="A27:B27"/>
    <mergeCell ref="J27:K27"/>
    <mergeCell ref="A28:A30"/>
    <mergeCell ref="J28:J30"/>
    <mergeCell ref="A77:A79"/>
    <mergeCell ref="E35:H35"/>
    <mergeCell ref="A36:B36"/>
    <mergeCell ref="A37:A39"/>
    <mergeCell ref="E44:H44"/>
    <mergeCell ref="A45:B45"/>
    <mergeCell ref="E51:H51"/>
    <mergeCell ref="A52:B52"/>
    <mergeCell ref="A53:A59"/>
    <mergeCell ref="A60:A66"/>
    <mergeCell ref="A67:A73"/>
    <mergeCell ref="A74:A76"/>
    <mergeCell ref="A86:R86"/>
    <mergeCell ref="D87:H87"/>
    <mergeCell ref="I87:M87"/>
    <mergeCell ref="N87:R87"/>
    <mergeCell ref="E88:H88"/>
    <mergeCell ref="J88:M88"/>
    <mergeCell ref="O88:R88"/>
    <mergeCell ref="A138:H138"/>
    <mergeCell ref="A89:B89"/>
    <mergeCell ref="A90:A94"/>
    <mergeCell ref="A95:A99"/>
    <mergeCell ref="A100:A104"/>
    <mergeCell ref="A105:A109"/>
    <mergeCell ref="A110:A114"/>
    <mergeCell ref="A115:A119"/>
    <mergeCell ref="A120:A124"/>
    <mergeCell ref="A125:A129"/>
    <mergeCell ref="A130:A134"/>
    <mergeCell ref="J150:M150"/>
    <mergeCell ref="O150:R150"/>
    <mergeCell ref="A139:C139"/>
    <mergeCell ref="A140:B140"/>
    <mergeCell ref="A148:R148"/>
    <mergeCell ref="D149:H149"/>
    <mergeCell ref="I149:M149"/>
    <mergeCell ref="N149:R149"/>
    <mergeCell ref="A141:A144"/>
    <mergeCell ref="A179:C179"/>
    <mergeCell ref="E179:H179"/>
    <mergeCell ref="A180:B180"/>
    <mergeCell ref="A181:A182"/>
    <mergeCell ref="E150:H150"/>
    <mergeCell ref="A151:B151"/>
    <mergeCell ref="A152:A160"/>
    <mergeCell ref="A161:A169"/>
    <mergeCell ref="A170:A174"/>
    <mergeCell ref="A178:H178"/>
  </mergeCell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D323"/>
  <sheetViews>
    <sheetView topLeftCell="A3" zoomScale="80" zoomScaleNormal="80" workbookViewId="0">
      <selection activeCell="F27" sqref="F27"/>
    </sheetView>
  </sheetViews>
  <sheetFormatPr defaultRowHeight="15"/>
  <cols>
    <col min="1" max="1" width="23.140625" customWidth="1"/>
    <col min="2" max="2" width="27" customWidth="1"/>
    <col min="3" max="3" width="22.28515625" customWidth="1"/>
    <col min="4" max="4" width="20.85546875" customWidth="1"/>
    <col min="5" max="5" width="18.5703125" customWidth="1"/>
    <col min="6" max="6" width="20" customWidth="1"/>
    <col min="7" max="7" width="19.42578125" customWidth="1"/>
    <col min="8" max="8" width="92" customWidth="1"/>
    <col min="9" max="9" width="67.42578125" customWidth="1"/>
    <col min="10" max="10" width="16.28515625" customWidth="1"/>
  </cols>
  <sheetData>
    <row r="1" spans="1:17" s="979" customFormat="1" ht="35.25" customHeight="1">
      <c r="A1" s="979" t="s">
        <v>63</v>
      </c>
    </row>
    <row r="2" spans="1:17" s="625" customFormat="1" ht="23.25" customHeight="1">
      <c r="A2" s="980" t="s">
        <v>431</v>
      </c>
    </row>
    <row r="3" spans="1:17" s="625" customFormat="1" ht="15.75" customHeight="1">
      <c r="A3" s="980"/>
      <c r="G3" s="981"/>
      <c r="H3" s="1058"/>
    </row>
    <row r="4" spans="1:17">
      <c r="A4" s="625"/>
      <c r="B4" s="625"/>
      <c r="C4" s="625"/>
      <c r="D4" s="625"/>
      <c r="E4" s="625"/>
      <c r="F4" s="625"/>
      <c r="G4" s="625"/>
      <c r="H4" s="470"/>
      <c r="I4" s="625"/>
      <c r="J4" s="625"/>
      <c r="K4" s="625"/>
      <c r="L4" s="625"/>
      <c r="M4" s="625"/>
      <c r="N4" s="625"/>
      <c r="O4" s="625"/>
      <c r="P4" s="625"/>
      <c r="Q4" s="625"/>
    </row>
    <row r="5" spans="1:17" s="979" customFormat="1" ht="31.5">
      <c r="A5" s="979" t="s">
        <v>1921</v>
      </c>
    </row>
    <row r="6" spans="1:17">
      <c r="A6" s="2151" t="s">
        <v>66</v>
      </c>
      <c r="B6" s="2151"/>
      <c r="C6" s="2151"/>
      <c r="D6" s="2151"/>
      <c r="E6" s="2151"/>
      <c r="F6" s="2151"/>
      <c r="G6" s="2151"/>
      <c r="H6" s="2151"/>
      <c r="I6" s="2151"/>
      <c r="J6" s="625"/>
      <c r="K6" s="625"/>
      <c r="L6" s="625"/>
      <c r="M6" s="625"/>
      <c r="N6" s="625"/>
      <c r="O6" s="625"/>
      <c r="P6" s="625"/>
      <c r="Q6" s="625"/>
    </row>
    <row r="7" spans="1:17" ht="17.25" customHeight="1">
      <c r="A7" s="2172" t="s">
        <v>1922</v>
      </c>
      <c r="B7" s="2172"/>
      <c r="C7" s="2172"/>
      <c r="D7" s="2172"/>
      <c r="E7" s="2172"/>
      <c r="F7" s="2172"/>
      <c r="G7" s="2172"/>
      <c r="H7" s="2172"/>
      <c r="I7" s="2173"/>
      <c r="J7" s="625"/>
      <c r="K7" s="625"/>
      <c r="L7" s="625"/>
      <c r="M7" s="625"/>
      <c r="N7" s="625"/>
      <c r="O7" s="625"/>
      <c r="P7" s="625"/>
      <c r="Q7" s="625"/>
    </row>
    <row r="8" spans="1:17">
      <c r="A8" s="1059"/>
      <c r="B8" s="1059"/>
      <c r="C8" s="1059"/>
      <c r="D8" s="1059"/>
      <c r="E8" s="1059"/>
      <c r="F8" s="1059"/>
      <c r="G8" s="1059"/>
      <c r="H8" s="1059"/>
      <c r="I8" s="1059"/>
      <c r="J8" s="625"/>
      <c r="K8" s="625"/>
      <c r="L8" s="625"/>
      <c r="M8" s="625"/>
      <c r="N8" s="625"/>
      <c r="O8" s="625"/>
      <c r="P8" s="625"/>
      <c r="Q8" s="625"/>
    </row>
    <row r="9" spans="1:17">
      <c r="A9" s="2152" t="s">
        <v>1923</v>
      </c>
      <c r="B9" s="2152"/>
      <c r="C9" s="2152"/>
      <c r="D9" s="2152"/>
      <c r="E9" s="2152"/>
      <c r="F9" s="2152"/>
      <c r="G9" s="2152"/>
      <c r="H9" s="2152"/>
      <c r="I9" s="2153"/>
      <c r="J9" s="625"/>
      <c r="K9" s="625"/>
      <c r="L9" s="625"/>
      <c r="M9" s="1060"/>
      <c r="N9" s="625"/>
      <c r="O9" s="625"/>
      <c r="P9" s="625"/>
      <c r="Q9" s="625"/>
    </row>
    <row r="10" spans="1:17" ht="18">
      <c r="A10" s="2154" t="s">
        <v>69</v>
      </c>
      <c r="B10" s="2155"/>
      <c r="C10" s="982" t="s">
        <v>70</v>
      </c>
      <c r="D10" s="983" t="s">
        <v>435</v>
      </c>
      <c r="E10" s="984" t="s">
        <v>436</v>
      </c>
      <c r="F10" s="984" t="s">
        <v>437</v>
      </c>
      <c r="G10" s="984" t="s">
        <v>438</v>
      </c>
      <c r="H10" s="984" t="s">
        <v>75</v>
      </c>
      <c r="I10" s="1061" t="s">
        <v>76</v>
      </c>
      <c r="K10" s="625"/>
      <c r="L10" s="625"/>
      <c r="M10" s="625"/>
      <c r="N10" s="625"/>
      <c r="O10" s="625"/>
      <c r="P10" s="625"/>
      <c r="Q10" s="625"/>
    </row>
    <row r="11" spans="1:17" ht="15.75" customHeight="1">
      <c r="A11" s="2174" t="s">
        <v>1924</v>
      </c>
      <c r="B11" s="2176" t="s">
        <v>1925</v>
      </c>
      <c r="C11" s="2179" t="s">
        <v>1926</v>
      </c>
      <c r="D11" s="2181">
        <v>0.47962981213149791</v>
      </c>
      <c r="E11" s="2183">
        <v>7.7474433236332005E-2</v>
      </c>
      <c r="F11" s="2183">
        <v>0.16712659879816333</v>
      </c>
      <c r="G11" s="2183">
        <v>0.23502878009700257</v>
      </c>
      <c r="H11" s="1062" t="s">
        <v>1927</v>
      </c>
      <c r="I11" s="2162" t="s">
        <v>1928</v>
      </c>
      <c r="J11" s="625"/>
      <c r="K11" s="625"/>
      <c r="L11" s="1026"/>
      <c r="M11" s="1026"/>
      <c r="N11" s="1026"/>
      <c r="O11" s="1063"/>
      <c r="P11" s="625"/>
      <c r="Q11" s="625"/>
    </row>
    <row r="12" spans="1:17" ht="15.75" customHeight="1">
      <c r="A12" s="2175"/>
      <c r="B12" s="2177"/>
      <c r="C12" s="2180"/>
      <c r="D12" s="2182"/>
      <c r="E12" s="2184"/>
      <c r="F12" s="2184"/>
      <c r="G12" s="2184"/>
      <c r="H12" s="1064" t="s">
        <v>1929</v>
      </c>
      <c r="I12" s="2163"/>
      <c r="J12" s="625"/>
      <c r="K12" s="625"/>
      <c r="L12" s="625"/>
      <c r="M12" s="625"/>
      <c r="N12" s="625"/>
      <c r="O12" s="625"/>
      <c r="P12" s="625"/>
      <c r="Q12" s="625"/>
    </row>
    <row r="13" spans="1:17" ht="15.75" customHeight="1">
      <c r="A13" s="2175"/>
      <c r="B13" s="2177"/>
      <c r="C13" s="2179" t="s">
        <v>1930</v>
      </c>
      <c r="D13" s="2181">
        <v>48.36</v>
      </c>
      <c r="E13" s="2183">
        <v>7.8120000000000003</v>
      </c>
      <c r="F13" s="2183">
        <v>16.850999999999999</v>
      </c>
      <c r="G13" s="2183">
        <v>23.696999999999999</v>
      </c>
      <c r="H13" s="1062" t="s">
        <v>1927</v>
      </c>
      <c r="I13" s="2162" t="s">
        <v>1928</v>
      </c>
      <c r="J13" s="625"/>
      <c r="K13" s="625"/>
      <c r="P13" s="625"/>
      <c r="Q13" s="625"/>
    </row>
    <row r="14" spans="1:17">
      <c r="A14" s="2175"/>
      <c r="B14" s="2178"/>
      <c r="C14" s="2180"/>
      <c r="D14" s="2182"/>
      <c r="E14" s="2184"/>
      <c r="F14" s="2184"/>
      <c r="G14" s="2184"/>
      <c r="H14" s="1064" t="s">
        <v>1929</v>
      </c>
      <c r="I14" s="2163"/>
      <c r="J14" s="625"/>
      <c r="K14" s="625"/>
      <c r="L14" s="625"/>
      <c r="M14" s="625"/>
      <c r="N14" s="625"/>
      <c r="O14" s="625"/>
      <c r="P14" s="625"/>
      <c r="Q14" s="625"/>
    </row>
    <row r="15" spans="1:17">
      <c r="A15" s="2175"/>
      <c r="B15" s="2170" t="s">
        <v>1931</v>
      </c>
      <c r="C15" s="2179" t="s">
        <v>1930</v>
      </c>
      <c r="D15" s="2190">
        <v>175.2</v>
      </c>
      <c r="E15" s="2192" t="str">
        <f>F56</f>
        <v>n/a</v>
      </c>
      <c r="F15" s="2194">
        <v>175.2</v>
      </c>
      <c r="G15" s="2192" t="str">
        <f>H56</f>
        <v>n/a</v>
      </c>
      <c r="H15" s="1062" t="s">
        <v>1927</v>
      </c>
      <c r="I15" s="2162" t="s">
        <v>1928</v>
      </c>
      <c r="J15" s="625"/>
      <c r="K15" s="625"/>
      <c r="L15" s="625"/>
      <c r="M15" s="625"/>
      <c r="N15" s="625"/>
      <c r="O15" s="625"/>
      <c r="P15" s="625"/>
      <c r="Q15" s="625"/>
    </row>
    <row r="16" spans="1:17" ht="16.5" customHeight="1">
      <c r="A16" s="2175"/>
      <c r="B16" s="2171"/>
      <c r="C16" s="2180"/>
      <c r="D16" s="2191"/>
      <c r="E16" s="2193"/>
      <c r="F16" s="2195"/>
      <c r="G16" s="2193"/>
      <c r="H16" s="1064" t="s">
        <v>1929</v>
      </c>
      <c r="I16" s="2163"/>
      <c r="J16" s="625"/>
      <c r="K16" s="625"/>
      <c r="L16" s="625"/>
      <c r="M16" s="625"/>
      <c r="N16" s="625"/>
      <c r="O16" s="625"/>
      <c r="P16" s="625"/>
      <c r="Q16" s="625"/>
    </row>
    <row r="17" spans="1:17">
      <c r="A17" s="2185" t="s">
        <v>1932</v>
      </c>
      <c r="B17" s="2188" t="s">
        <v>1933</v>
      </c>
      <c r="C17" s="2166" t="s">
        <v>1934</v>
      </c>
      <c r="D17" s="2168">
        <v>47.528121142857145</v>
      </c>
      <c r="E17" s="2160" t="str">
        <f>G213</f>
        <v>n/a</v>
      </c>
      <c r="F17" s="1655">
        <v>44.688000000000002</v>
      </c>
      <c r="G17" s="1655">
        <v>2.8140000000000001</v>
      </c>
      <c r="H17" s="1062" t="s">
        <v>1927</v>
      </c>
      <c r="I17" s="2162" t="s">
        <v>1928</v>
      </c>
      <c r="J17" s="625"/>
      <c r="K17" s="625"/>
      <c r="L17" s="625"/>
      <c r="M17" s="625"/>
      <c r="N17" s="625"/>
      <c r="O17" s="625"/>
      <c r="P17" s="625"/>
      <c r="Q17" s="625"/>
    </row>
    <row r="18" spans="1:17">
      <c r="A18" s="2186"/>
      <c r="B18" s="2189"/>
      <c r="C18" s="2167"/>
      <c r="D18" s="2169"/>
      <c r="E18" s="2161"/>
      <c r="F18" s="1101"/>
      <c r="G18" s="1101"/>
      <c r="H18" s="1064" t="s">
        <v>1929</v>
      </c>
      <c r="I18" s="2163"/>
      <c r="J18" s="625"/>
      <c r="K18" s="625"/>
      <c r="L18" s="625"/>
      <c r="M18" s="625"/>
      <c r="N18" s="625"/>
      <c r="O18" s="625"/>
      <c r="P18" s="625"/>
      <c r="Q18" s="625"/>
    </row>
    <row r="19" spans="1:17">
      <c r="A19" s="2186"/>
      <c r="B19" s="2164" t="s">
        <v>1935</v>
      </c>
      <c r="C19" s="2166" t="s">
        <v>1934</v>
      </c>
      <c r="D19" s="2168">
        <v>47.025275000000008</v>
      </c>
      <c r="E19" s="2160" t="str">
        <f>G214</f>
        <v>n/a</v>
      </c>
      <c r="F19" s="1655">
        <v>42.969000000000001</v>
      </c>
      <c r="G19" s="1655">
        <v>4.0570000000000004</v>
      </c>
      <c r="H19" s="1062" t="s">
        <v>1927</v>
      </c>
      <c r="I19" s="2162" t="s">
        <v>1928</v>
      </c>
      <c r="J19" s="625"/>
      <c r="K19" s="625"/>
      <c r="L19" s="625"/>
      <c r="M19" s="625"/>
      <c r="N19" s="625"/>
      <c r="O19" s="625"/>
      <c r="P19" s="625"/>
      <c r="Q19" s="625"/>
    </row>
    <row r="20" spans="1:17">
      <c r="A20" s="2186"/>
      <c r="B20" s="2165"/>
      <c r="C20" s="2167"/>
      <c r="D20" s="2169"/>
      <c r="E20" s="2161"/>
      <c r="F20" s="1101"/>
      <c r="G20" s="1101"/>
      <c r="H20" s="1064" t="s">
        <v>1929</v>
      </c>
      <c r="I20" s="2163"/>
      <c r="J20" s="625"/>
      <c r="K20" s="625"/>
      <c r="L20" s="625"/>
      <c r="M20" s="625"/>
      <c r="N20" s="625"/>
      <c r="O20" s="625"/>
      <c r="P20" s="625"/>
      <c r="Q20" s="625"/>
    </row>
    <row r="21" spans="1:17">
      <c r="A21" s="2186"/>
      <c r="B21" s="2164" t="s">
        <v>1936</v>
      </c>
      <c r="C21" s="2166" t="s">
        <v>1937</v>
      </c>
      <c r="D21" s="2168">
        <v>10.530000000000001</v>
      </c>
      <c r="E21" s="2160" t="str">
        <f>G215</f>
        <v>n/a</v>
      </c>
      <c r="F21" s="1655">
        <v>10.53</v>
      </c>
      <c r="G21" s="2160" t="str">
        <f>I215</f>
        <v>n/a</v>
      </c>
      <c r="H21" s="1062" t="s">
        <v>1927</v>
      </c>
      <c r="I21" s="2162" t="s">
        <v>1928</v>
      </c>
      <c r="J21" s="625"/>
      <c r="K21" s="625"/>
      <c r="L21" s="625"/>
      <c r="M21" s="625"/>
      <c r="N21" s="625"/>
      <c r="O21" s="625"/>
      <c r="P21" s="625"/>
      <c r="Q21" s="625"/>
    </row>
    <row r="22" spans="1:17">
      <c r="A22" s="2186"/>
      <c r="B22" s="2165"/>
      <c r="C22" s="2167"/>
      <c r="D22" s="2169"/>
      <c r="E22" s="2161"/>
      <c r="F22" s="1101"/>
      <c r="G22" s="2161"/>
      <c r="H22" s="1064" t="s">
        <v>1929</v>
      </c>
      <c r="I22" s="2163"/>
      <c r="J22" s="625"/>
      <c r="K22" s="625"/>
      <c r="L22" s="625"/>
      <c r="M22" s="625"/>
      <c r="N22" s="625"/>
      <c r="O22" s="625"/>
      <c r="P22" s="625"/>
      <c r="Q22" s="625"/>
    </row>
    <row r="23" spans="1:17">
      <c r="A23" s="2186"/>
      <c r="B23" s="2164" t="s">
        <v>1938</v>
      </c>
      <c r="C23" s="2166" t="s">
        <v>1939</v>
      </c>
      <c r="D23" s="2168">
        <v>5.1732404999999995</v>
      </c>
      <c r="E23" s="2160" t="str">
        <f>G216</f>
        <v>n/a</v>
      </c>
      <c r="F23" s="1655">
        <v>5.173</v>
      </c>
      <c r="G23" s="2160" t="str">
        <f>I216</f>
        <v>n/a</v>
      </c>
      <c r="H23" s="1062" t="s">
        <v>1927</v>
      </c>
      <c r="I23" s="2162" t="s">
        <v>1928</v>
      </c>
      <c r="J23" s="625"/>
      <c r="K23" s="625"/>
      <c r="L23" s="625"/>
      <c r="M23" s="625"/>
      <c r="N23" s="625"/>
      <c r="O23" s="625"/>
      <c r="P23" s="625"/>
      <c r="Q23" s="625"/>
    </row>
    <row r="24" spans="1:17">
      <c r="A24" s="2186"/>
      <c r="B24" s="2165"/>
      <c r="C24" s="2167"/>
      <c r="D24" s="2169"/>
      <c r="E24" s="2161"/>
      <c r="F24" s="1101"/>
      <c r="G24" s="2161"/>
      <c r="H24" s="1064" t="s">
        <v>1929</v>
      </c>
      <c r="I24" s="2163"/>
      <c r="J24" s="625"/>
      <c r="K24" s="625"/>
      <c r="L24" s="625"/>
      <c r="M24" s="625"/>
      <c r="N24" s="625"/>
      <c r="O24" s="625"/>
      <c r="P24" s="625"/>
      <c r="Q24" s="625"/>
    </row>
    <row r="25" spans="1:17">
      <c r="A25" s="2186"/>
      <c r="B25" s="2164" t="s">
        <v>1940</v>
      </c>
      <c r="C25" s="2166" t="s">
        <v>1941</v>
      </c>
      <c r="D25" s="2168">
        <v>0.11497350857142856</v>
      </c>
      <c r="E25" s="2160" t="str">
        <f>G217</f>
        <v>n/a</v>
      </c>
      <c r="F25" s="2160" t="str">
        <f>H217</f>
        <v>n/a</v>
      </c>
      <c r="G25" s="1655">
        <v>0.115</v>
      </c>
      <c r="H25" s="1062" t="s">
        <v>1927</v>
      </c>
      <c r="I25" s="2162" t="s">
        <v>1928</v>
      </c>
      <c r="J25" s="625"/>
      <c r="K25" s="625"/>
      <c r="L25" s="625"/>
      <c r="M25" s="625"/>
      <c r="N25" s="625"/>
      <c r="O25" s="625"/>
      <c r="P25" s="625"/>
      <c r="Q25" s="625"/>
    </row>
    <row r="26" spans="1:17">
      <c r="A26" s="2187"/>
      <c r="B26" s="2165"/>
      <c r="C26" s="2167"/>
      <c r="D26" s="2196"/>
      <c r="E26" s="2161"/>
      <c r="F26" s="2161"/>
      <c r="G26" s="1101"/>
      <c r="H26" s="1064" t="s">
        <v>1929</v>
      </c>
      <c r="I26" s="2163"/>
      <c r="J26" s="625"/>
      <c r="K26" s="625"/>
      <c r="L26" s="625"/>
      <c r="M26" s="625"/>
      <c r="N26" s="625"/>
      <c r="O26" s="625"/>
      <c r="P26" s="625"/>
      <c r="Q26" s="625"/>
    </row>
    <row r="27" spans="1:17">
      <c r="A27" s="1065"/>
      <c r="B27" s="1065"/>
      <c r="C27" s="625"/>
      <c r="D27" s="625"/>
      <c r="E27" s="625"/>
      <c r="F27" s="625"/>
      <c r="G27" s="625"/>
      <c r="H27" s="625"/>
      <c r="I27" s="625"/>
      <c r="J27" s="625"/>
      <c r="K27" s="625"/>
      <c r="L27" s="625"/>
      <c r="M27" s="625"/>
      <c r="N27" s="625"/>
      <c r="O27" s="625"/>
      <c r="P27" s="625"/>
      <c r="Q27" s="625"/>
    </row>
    <row r="28" spans="1:17">
      <c r="A28" s="625"/>
      <c r="B28" s="625"/>
      <c r="C28" s="625"/>
      <c r="D28" s="625"/>
      <c r="E28" s="625"/>
      <c r="F28" s="625"/>
      <c r="G28" s="625"/>
      <c r="H28" s="625"/>
      <c r="I28" s="625"/>
      <c r="J28" s="625"/>
      <c r="K28" s="625"/>
      <c r="L28" s="625"/>
      <c r="M28" s="625"/>
      <c r="N28" s="625"/>
      <c r="O28" s="625"/>
      <c r="P28" s="625"/>
      <c r="Q28" s="625"/>
    </row>
    <row r="29" spans="1:17">
      <c r="A29" s="2152" t="s">
        <v>1942</v>
      </c>
      <c r="B29" s="2152"/>
      <c r="C29" s="2152"/>
      <c r="D29" s="2152"/>
      <c r="E29" s="2152"/>
      <c r="F29" s="2152"/>
      <c r="G29" s="2152"/>
      <c r="H29" s="2152"/>
      <c r="I29" s="2153"/>
      <c r="J29" s="625"/>
      <c r="K29" s="625"/>
      <c r="L29" s="625"/>
      <c r="M29" s="625"/>
      <c r="N29" s="625"/>
      <c r="O29" s="625"/>
      <c r="P29" s="625"/>
      <c r="Q29" s="625"/>
    </row>
    <row r="30" spans="1:17" ht="18">
      <c r="A30" s="2154" t="s">
        <v>69</v>
      </c>
      <c r="B30" s="2155"/>
      <c r="C30" s="982" t="s">
        <v>70</v>
      </c>
      <c r="D30" s="1066" t="s">
        <v>1205</v>
      </c>
      <c r="E30" s="1104" t="s">
        <v>436</v>
      </c>
      <c r="F30" s="1104" t="s">
        <v>437</v>
      </c>
      <c r="G30" s="1104" t="s">
        <v>438</v>
      </c>
      <c r="H30" s="982" t="s">
        <v>75</v>
      </c>
      <c r="I30" s="985" t="s">
        <v>76</v>
      </c>
      <c r="J30" s="625"/>
      <c r="K30" s="625"/>
      <c r="L30" s="625"/>
      <c r="M30" s="625"/>
      <c r="N30" s="625"/>
      <c r="O30" s="625"/>
      <c r="P30" s="625"/>
      <c r="Q30" s="625"/>
    </row>
    <row r="31" spans="1:17" ht="17.25">
      <c r="A31" s="2197" t="s">
        <v>1942</v>
      </c>
      <c r="B31" s="2198"/>
      <c r="C31" s="987" t="s">
        <v>1943</v>
      </c>
      <c r="D31" s="1102">
        <v>3.1288278893775903E-2</v>
      </c>
      <c r="E31" s="1105">
        <v>2.9853520328300048E-2</v>
      </c>
      <c r="F31" s="808">
        <v>1.4071740690848173E-3</v>
      </c>
      <c r="G31" s="808">
        <v>2.758449639103633E-5</v>
      </c>
      <c r="H31" s="1103" t="s">
        <v>441</v>
      </c>
      <c r="I31" s="1055" t="s">
        <v>1944</v>
      </c>
      <c r="J31" s="625"/>
      <c r="K31" s="625"/>
      <c r="L31" s="625"/>
      <c r="M31" s="625"/>
      <c r="N31" s="625"/>
      <c r="O31" s="625"/>
      <c r="P31" s="625"/>
      <c r="Q31" s="625"/>
    </row>
    <row r="32" spans="1:17">
      <c r="A32" s="2199"/>
      <c r="B32" s="2200"/>
      <c r="C32" s="987" t="s">
        <v>1930</v>
      </c>
      <c r="D32" s="1102">
        <v>3.7850000000000001</v>
      </c>
      <c r="E32" s="808">
        <v>3.6110000000000002</v>
      </c>
      <c r="F32" s="808">
        <v>0.17</v>
      </c>
      <c r="G32" s="808">
        <v>3.3E-3</v>
      </c>
      <c r="H32" s="1103" t="s">
        <v>441</v>
      </c>
      <c r="I32" s="1055" t="s">
        <v>1945</v>
      </c>
      <c r="J32" s="625"/>
      <c r="K32" s="625"/>
      <c r="L32" s="625"/>
      <c r="M32" s="625"/>
      <c r="N32" s="625"/>
      <c r="O32" s="625"/>
      <c r="P32" s="625"/>
      <c r="Q32" s="625"/>
    </row>
    <row r="33" spans="1:56">
      <c r="J33" s="625"/>
      <c r="K33" s="625"/>
      <c r="L33" s="625"/>
      <c r="M33" s="625"/>
      <c r="N33" s="625"/>
      <c r="O33" s="625"/>
      <c r="P33" s="625"/>
      <c r="Q33" s="625"/>
    </row>
    <row r="34" spans="1:56">
      <c r="J34" s="625"/>
      <c r="K34" s="625"/>
      <c r="L34" s="1067"/>
      <c r="M34" s="1067"/>
      <c r="N34" s="1067"/>
      <c r="O34" s="1067"/>
      <c r="P34" s="625"/>
      <c r="Q34" s="625"/>
    </row>
    <row r="35" spans="1:56">
      <c r="J35" s="625"/>
      <c r="K35" s="625"/>
      <c r="L35" s="625"/>
      <c r="M35" s="625"/>
      <c r="N35" s="625"/>
      <c r="O35" s="625"/>
      <c r="P35" s="625"/>
      <c r="Q35" s="625"/>
    </row>
    <row r="36" spans="1:56" s="594" customFormat="1" ht="21">
      <c r="A36" s="1004" t="s">
        <v>1946</v>
      </c>
      <c r="B36" s="1006"/>
      <c r="C36" s="1007" t="s">
        <v>275</v>
      </c>
      <c r="D36" s="1007"/>
      <c r="E36" s="1007"/>
      <c r="F36" s="1007"/>
      <c r="G36" s="1007"/>
      <c r="H36" s="1007"/>
      <c r="I36" s="1007"/>
      <c r="J36" s="1067"/>
      <c r="K36" s="1067"/>
      <c r="L36" s="625"/>
      <c r="M36" s="625"/>
      <c r="N36" s="625"/>
      <c r="O36" s="625"/>
      <c r="P36" s="1067"/>
      <c r="Q36" s="1067"/>
      <c r="Z36"/>
      <c r="AA36"/>
      <c r="AB36"/>
      <c r="AC36"/>
      <c r="AD36"/>
      <c r="AE36"/>
      <c r="AF36"/>
      <c r="AG36"/>
      <c r="AH36"/>
      <c r="AI36"/>
      <c r="AJ36"/>
      <c r="AK36"/>
      <c r="AL36"/>
      <c r="AM36"/>
      <c r="AN36"/>
      <c r="AO36"/>
      <c r="AP36"/>
      <c r="AQ36"/>
      <c r="AR36"/>
      <c r="AS36"/>
      <c r="AT36"/>
      <c r="AU36"/>
      <c r="AV36"/>
      <c r="AW36"/>
      <c r="AX36"/>
      <c r="AY36"/>
      <c r="AZ36"/>
      <c r="BA36"/>
      <c r="BB36"/>
      <c r="BC36"/>
      <c r="BD36"/>
    </row>
    <row r="37" spans="1:56">
      <c r="A37" s="625"/>
      <c r="B37" s="625"/>
      <c r="C37" s="625"/>
      <c r="D37" s="625"/>
      <c r="E37" s="625"/>
      <c r="F37" s="625"/>
      <c r="G37" s="625"/>
      <c r="H37" s="625"/>
      <c r="I37" s="625"/>
      <c r="J37" s="625"/>
      <c r="K37" s="625"/>
      <c r="L37" s="625"/>
      <c r="M37" s="625"/>
      <c r="N37" s="625"/>
      <c r="O37" s="625"/>
      <c r="P37" s="625"/>
      <c r="Q37" s="625"/>
    </row>
    <row r="38" spans="1:56">
      <c r="A38" s="625"/>
      <c r="B38" s="1008" t="s">
        <v>1947</v>
      </c>
      <c r="C38" s="625"/>
      <c r="D38" s="625"/>
      <c r="E38" s="625"/>
      <c r="F38" s="625"/>
      <c r="G38" s="625"/>
      <c r="H38" s="625"/>
      <c r="I38" s="625"/>
      <c r="J38" s="625"/>
      <c r="K38" s="625"/>
      <c r="L38" s="1010"/>
      <c r="M38" s="1010"/>
      <c r="N38" s="1010"/>
      <c r="O38" s="1010"/>
      <c r="P38" s="625"/>
      <c r="Q38" s="625"/>
    </row>
    <row r="39" spans="1:56">
      <c r="A39" s="625"/>
      <c r="B39" s="625"/>
      <c r="C39" s="625"/>
      <c r="D39" s="625"/>
      <c r="E39" s="625"/>
      <c r="F39" s="625"/>
      <c r="G39" s="625"/>
      <c r="H39" s="625"/>
      <c r="I39" s="625"/>
      <c r="J39" s="625"/>
      <c r="K39" s="625"/>
      <c r="L39" s="625"/>
      <c r="M39" s="625"/>
      <c r="N39" s="625"/>
      <c r="O39" s="625"/>
      <c r="P39" s="625"/>
      <c r="Q39" s="625"/>
    </row>
    <row r="40" spans="1:56" s="1011" customFormat="1" ht="21">
      <c r="A40" s="1009" t="s">
        <v>1924</v>
      </c>
      <c r="B40" s="1009"/>
      <c r="C40" s="1009"/>
      <c r="D40" s="1009"/>
      <c r="E40" s="1009"/>
      <c r="F40" s="1009"/>
      <c r="G40" s="1009"/>
      <c r="H40" s="1009"/>
      <c r="I40" s="1009"/>
      <c r="J40" s="1010"/>
      <c r="K40" s="1010"/>
      <c r="L40" s="625"/>
      <c r="M40" s="625"/>
      <c r="N40" s="625"/>
      <c r="O40" s="625"/>
      <c r="P40" s="1010"/>
      <c r="Q40" s="1010"/>
      <c r="Z40"/>
      <c r="AA40"/>
      <c r="AB40"/>
      <c r="AC40"/>
      <c r="AD40"/>
      <c r="AE40"/>
      <c r="AF40"/>
      <c r="AG40"/>
      <c r="AH40"/>
      <c r="AI40"/>
      <c r="AJ40"/>
      <c r="AK40"/>
      <c r="AL40"/>
      <c r="AM40"/>
      <c r="AN40"/>
      <c r="AO40"/>
      <c r="AP40"/>
      <c r="AQ40"/>
      <c r="AR40"/>
      <c r="AS40"/>
      <c r="AT40"/>
      <c r="AU40"/>
      <c r="AV40"/>
      <c r="AW40"/>
      <c r="AX40"/>
      <c r="AY40"/>
      <c r="AZ40"/>
      <c r="BA40"/>
      <c r="BB40"/>
      <c r="BC40"/>
      <c r="BD40"/>
    </row>
    <row r="41" spans="1:56">
      <c r="A41" s="625"/>
      <c r="B41" s="625"/>
      <c r="C41" s="625"/>
      <c r="D41" s="625"/>
      <c r="E41" s="625"/>
      <c r="F41" s="625"/>
      <c r="G41" s="625"/>
      <c r="H41" s="625"/>
      <c r="I41" s="625"/>
      <c r="J41" s="625"/>
      <c r="K41" s="625"/>
      <c r="L41" s="625"/>
      <c r="M41" s="625"/>
      <c r="N41" s="625"/>
      <c r="O41" s="625"/>
      <c r="P41" s="625"/>
      <c r="Q41" s="625"/>
    </row>
    <row r="42" spans="1:56">
      <c r="A42" s="625"/>
      <c r="B42" s="625"/>
      <c r="C42" s="625"/>
      <c r="D42" s="625"/>
      <c r="E42" s="625"/>
      <c r="F42" s="625"/>
      <c r="G42" s="625"/>
      <c r="H42" s="625"/>
      <c r="I42" s="625"/>
      <c r="J42" s="625"/>
      <c r="K42" s="625"/>
      <c r="L42" s="625"/>
      <c r="M42" s="625"/>
      <c r="N42" s="625"/>
      <c r="O42" s="625"/>
      <c r="P42" s="625"/>
      <c r="Q42" s="625"/>
    </row>
    <row r="43" spans="1:56">
      <c r="A43" s="625"/>
      <c r="B43" s="1068" t="s">
        <v>1948</v>
      </c>
      <c r="C43" s="755"/>
      <c r="D43" s="755" t="s">
        <v>335</v>
      </c>
      <c r="E43" s="755" t="s">
        <v>355</v>
      </c>
      <c r="F43" s="755" t="s">
        <v>356</v>
      </c>
      <c r="G43" s="755" t="s">
        <v>1949</v>
      </c>
      <c r="H43" s="755" t="s">
        <v>1950</v>
      </c>
      <c r="I43" s="625"/>
      <c r="J43" s="625"/>
      <c r="K43" s="625"/>
      <c r="L43" s="625"/>
      <c r="M43" s="625"/>
      <c r="N43" s="625"/>
      <c r="O43" s="625"/>
      <c r="P43" s="625"/>
      <c r="Q43" s="625"/>
    </row>
    <row r="44" spans="1:56">
      <c r="A44" s="625"/>
      <c r="B44" s="2201" t="s">
        <v>772</v>
      </c>
      <c r="C44" s="2202"/>
      <c r="D44" s="755" t="s">
        <v>1951</v>
      </c>
      <c r="E44" s="1346">
        <f>SUM(F44:H44)</f>
        <v>3.1288278893775903E-2</v>
      </c>
      <c r="F44" s="1347">
        <f>J190</f>
        <v>2.9853520328300048E-2</v>
      </c>
      <c r="G44" s="1347">
        <f>J191</f>
        <v>1.4071740690848173E-3</v>
      </c>
      <c r="H44" s="1347">
        <f>J192</f>
        <v>2.758449639103633E-5</v>
      </c>
      <c r="I44" s="625"/>
      <c r="J44" s="625"/>
      <c r="K44" s="625"/>
      <c r="L44" s="625"/>
      <c r="M44" s="625"/>
      <c r="N44" s="625"/>
      <c r="O44" s="625"/>
      <c r="P44" s="625"/>
      <c r="Q44" s="625"/>
    </row>
    <row r="45" spans="1:56">
      <c r="A45" s="625"/>
      <c r="B45" s="2203"/>
      <c r="C45" s="2204"/>
      <c r="D45" s="755" t="s">
        <v>1930</v>
      </c>
      <c r="E45" s="935">
        <f>SUM(F45:H45)</f>
        <v>3.7846011743029919</v>
      </c>
      <c r="F45" s="1069">
        <f>F44*$C$86</f>
        <v>3.6110541099158433</v>
      </c>
      <c r="G45" s="1069">
        <f>G44*$C$86</f>
        <v>0.17021046930665545</v>
      </c>
      <c r="H45" s="1070">
        <f>H44*$C$86</f>
        <v>3.336595080493227E-3</v>
      </c>
      <c r="I45" s="625" t="s">
        <v>1952</v>
      </c>
      <c r="J45" s="625"/>
      <c r="K45" s="625"/>
      <c r="L45" s="625"/>
      <c r="M45" s="625"/>
      <c r="N45" s="625"/>
      <c r="O45" s="625"/>
      <c r="P45" s="625"/>
      <c r="Q45" s="625"/>
    </row>
    <row r="46" spans="1:56">
      <c r="A46" s="625"/>
      <c r="B46" s="625"/>
      <c r="C46" s="625"/>
      <c r="D46" s="625"/>
      <c r="E46" s="625"/>
      <c r="F46" s="625"/>
      <c r="G46" s="625"/>
      <c r="H46" s="625"/>
      <c r="I46" s="625"/>
      <c r="J46" s="625"/>
      <c r="K46" s="625"/>
      <c r="L46" s="625"/>
      <c r="M46" s="625"/>
      <c r="N46" s="625"/>
      <c r="O46" s="625"/>
      <c r="P46" s="625"/>
      <c r="Q46" s="625"/>
    </row>
    <row r="47" spans="1:56">
      <c r="A47" s="625"/>
      <c r="B47" s="1068" t="s">
        <v>1953</v>
      </c>
      <c r="C47" s="755"/>
      <c r="D47" s="755" t="s">
        <v>335</v>
      </c>
      <c r="E47" s="755" t="s">
        <v>355</v>
      </c>
      <c r="F47" s="755" t="s">
        <v>356</v>
      </c>
      <c r="G47" s="755" t="s">
        <v>1949</v>
      </c>
      <c r="H47" s="755" t="s">
        <v>1950</v>
      </c>
      <c r="I47" s="625"/>
      <c r="J47" s="625"/>
      <c r="K47" s="625"/>
      <c r="L47" s="625"/>
      <c r="M47" s="625"/>
      <c r="N47" s="625"/>
      <c r="O47" s="625"/>
      <c r="P47" s="625"/>
      <c r="Q47" s="625"/>
    </row>
    <row r="48" spans="1:56">
      <c r="A48" s="625"/>
      <c r="B48" s="2201" t="s">
        <v>772</v>
      </c>
      <c r="C48" s="2202"/>
      <c r="D48" s="755" t="s">
        <v>1954</v>
      </c>
      <c r="E48" s="1071">
        <f t="shared" ref="E48:E53" si="0">SUM(F48:H48)</f>
        <v>8.1197850289624771E-2</v>
      </c>
      <c r="F48" s="1072">
        <f>D191</f>
        <v>7.7474433236332005E-2</v>
      </c>
      <c r="G48" s="1072">
        <f>D192</f>
        <v>3.6518310828442674E-3</v>
      </c>
      <c r="H48" s="1073">
        <f>D193</f>
        <v>7.1585970448493442E-5</v>
      </c>
      <c r="I48" s="625"/>
      <c r="J48" s="625"/>
      <c r="K48" s="625"/>
      <c r="L48" s="625"/>
      <c r="M48" s="625"/>
      <c r="N48" s="625"/>
      <c r="O48" s="625"/>
      <c r="P48" s="625"/>
      <c r="Q48" s="625"/>
    </row>
    <row r="49" spans="1:56">
      <c r="A49" s="625"/>
      <c r="B49" s="2205"/>
      <c r="C49" s="2206"/>
      <c r="D49" s="755" t="s">
        <v>1930</v>
      </c>
      <c r="E49" s="1071">
        <f t="shared" si="0"/>
        <v>8.1869622570366918</v>
      </c>
      <c r="F49" s="1072">
        <f>F48*$C$85</f>
        <v>7.8115400657621317</v>
      </c>
      <c r="G49" s="1072">
        <f>G48*$C$85</f>
        <v>0.36820436917576449</v>
      </c>
      <c r="H49" s="1072">
        <f>H48*$C$85</f>
        <v>7.2178220987957169E-3</v>
      </c>
      <c r="I49" s="625"/>
      <c r="J49" s="625"/>
      <c r="K49" s="625"/>
      <c r="L49" s="625"/>
      <c r="M49" s="625"/>
      <c r="N49" s="625"/>
      <c r="O49" s="625"/>
      <c r="P49" s="625"/>
      <c r="Q49" s="625"/>
    </row>
    <row r="50" spans="1:56">
      <c r="A50" s="625"/>
      <c r="B50" s="2156" t="s">
        <v>1955</v>
      </c>
      <c r="C50" s="2157"/>
      <c r="D50" s="755" t="s">
        <v>1954</v>
      </c>
      <c r="E50" s="1071">
        <f t="shared" si="0"/>
        <v>0.39843196184187313</v>
      </c>
      <c r="F50" s="1074" t="s">
        <v>48</v>
      </c>
      <c r="G50" s="1071">
        <f>G51/$C$85</f>
        <v>0.16347476771531905</v>
      </c>
      <c r="H50" s="1071">
        <f>H51/$C$85</f>
        <v>0.23495719412655408</v>
      </c>
      <c r="I50" s="625"/>
      <c r="J50" s="625"/>
      <c r="K50" s="625"/>
      <c r="L50" s="625"/>
      <c r="M50" s="625"/>
      <c r="N50" s="625"/>
      <c r="O50" s="625"/>
      <c r="P50" s="625"/>
      <c r="Q50" s="625"/>
    </row>
    <row r="51" spans="1:56">
      <c r="A51" s="625"/>
      <c r="B51" s="2158" t="s">
        <v>1956</v>
      </c>
      <c r="C51" s="2159"/>
      <c r="D51" s="755" t="s">
        <v>1930</v>
      </c>
      <c r="E51" s="1071">
        <f t="shared" si="0"/>
        <v>40.172829969776942</v>
      </c>
      <c r="F51" s="1074" t="s">
        <v>48</v>
      </c>
      <c r="G51" s="1071">
        <f>1000*C112</f>
        <v>16.482723969776938</v>
      </c>
      <c r="H51" s="1071">
        <f>1000*$C$148</f>
        <v>23.690106</v>
      </c>
      <c r="I51" s="625"/>
      <c r="J51" s="625"/>
      <c r="K51" s="625"/>
      <c r="L51" s="625"/>
      <c r="M51" s="625"/>
      <c r="N51" s="625"/>
      <c r="O51" s="625"/>
      <c r="P51" s="625"/>
      <c r="Q51" s="625"/>
    </row>
    <row r="52" spans="1:56">
      <c r="A52" s="625"/>
      <c r="B52" s="2145" t="s">
        <v>247</v>
      </c>
      <c r="C52" s="2146"/>
      <c r="D52" s="755" t="s">
        <v>1954</v>
      </c>
      <c r="E52" s="935">
        <f t="shared" si="0"/>
        <v>0.47962981213149791</v>
      </c>
      <c r="F52" s="1069">
        <f>F48</f>
        <v>7.7474433236332005E-2</v>
      </c>
      <c r="G52" s="935">
        <f>G50+G48</f>
        <v>0.16712659879816333</v>
      </c>
      <c r="H52" s="935">
        <f>H50+H48</f>
        <v>0.23502878009700257</v>
      </c>
      <c r="I52" s="625"/>
      <c r="J52" s="625"/>
      <c r="K52" s="625"/>
      <c r="L52" s="625"/>
      <c r="M52" s="625"/>
      <c r="N52" s="625"/>
      <c r="O52" s="625"/>
      <c r="P52" s="625"/>
      <c r="Q52" s="625"/>
    </row>
    <row r="53" spans="1:56">
      <c r="A53" s="625"/>
      <c r="B53" s="2147"/>
      <c r="C53" s="2148"/>
      <c r="D53" s="755" t="s">
        <v>1930</v>
      </c>
      <c r="E53" s="935">
        <f t="shared" si="0"/>
        <v>48.359792226813624</v>
      </c>
      <c r="F53" s="1069">
        <f>F49</f>
        <v>7.8115400657621317</v>
      </c>
      <c r="G53" s="935">
        <f>G51+G49</f>
        <v>16.850928338952702</v>
      </c>
      <c r="H53" s="935">
        <f>H51+H49</f>
        <v>23.697323822098795</v>
      </c>
      <c r="I53" s="625"/>
      <c r="J53" s="625"/>
      <c r="K53" s="625"/>
      <c r="L53" s="625"/>
      <c r="M53" s="625"/>
      <c r="N53" s="625"/>
      <c r="O53" s="625"/>
      <c r="P53" s="625"/>
      <c r="Q53" s="625"/>
    </row>
    <row r="54" spans="1:56">
      <c r="A54" s="625"/>
      <c r="B54" s="625"/>
      <c r="C54" s="625"/>
      <c r="D54" s="625"/>
      <c r="E54" s="625"/>
      <c r="F54" s="625"/>
      <c r="G54" s="625"/>
      <c r="H54" s="625"/>
      <c r="I54" s="625"/>
      <c r="J54" s="625"/>
      <c r="K54" s="625"/>
      <c r="L54" s="625"/>
      <c r="M54" s="625"/>
      <c r="N54" s="625"/>
      <c r="O54" s="625"/>
      <c r="P54" s="625"/>
      <c r="Q54" s="625"/>
    </row>
    <row r="55" spans="1:56">
      <c r="A55" s="625"/>
      <c r="B55" s="1068" t="s">
        <v>1957</v>
      </c>
      <c r="C55" s="755"/>
      <c r="D55" s="755" t="s">
        <v>335</v>
      </c>
      <c r="E55" s="755" t="s">
        <v>355</v>
      </c>
      <c r="F55" s="755" t="s">
        <v>356</v>
      </c>
      <c r="G55" s="755" t="s">
        <v>1949</v>
      </c>
      <c r="H55" s="755" t="s">
        <v>1950</v>
      </c>
      <c r="I55" s="625"/>
      <c r="J55" s="625"/>
      <c r="K55" s="625"/>
      <c r="L55" s="625"/>
      <c r="M55" s="625"/>
      <c r="N55" s="625"/>
      <c r="O55" s="625"/>
      <c r="P55" s="625"/>
      <c r="Q55" s="625"/>
    </row>
    <row r="56" spans="1:56">
      <c r="A56" s="625"/>
      <c r="B56" s="2149" t="s">
        <v>1955</v>
      </c>
      <c r="C56" s="2150"/>
      <c r="D56" s="755" t="s">
        <v>1930</v>
      </c>
      <c r="E56" s="1075">
        <f>SUM(F56:H56)</f>
        <v>175.2</v>
      </c>
      <c r="F56" s="1076" t="s">
        <v>48</v>
      </c>
      <c r="G56" s="1075">
        <f>C113*10^3</f>
        <v>175.2</v>
      </c>
      <c r="H56" s="1074" t="s">
        <v>48</v>
      </c>
      <c r="I56" s="625" t="s">
        <v>1958</v>
      </c>
      <c r="J56" s="625"/>
      <c r="K56" s="625"/>
      <c r="L56" s="625"/>
      <c r="M56" s="625"/>
      <c r="N56" s="625"/>
      <c r="O56" s="625"/>
      <c r="P56" s="625"/>
      <c r="Q56" s="625"/>
    </row>
    <row r="57" spans="1:56" ht="21">
      <c r="A57" s="625"/>
      <c r="B57" s="625"/>
      <c r="C57" s="625"/>
      <c r="D57" s="625"/>
      <c r="E57" s="625"/>
      <c r="F57" s="625"/>
      <c r="G57" s="625"/>
      <c r="H57" s="625"/>
      <c r="I57" s="625"/>
      <c r="J57" s="625"/>
      <c r="K57" s="625"/>
      <c r="L57" s="1009"/>
      <c r="M57" s="1009"/>
      <c r="N57" s="1009"/>
      <c r="O57" s="1009"/>
      <c r="P57" s="625"/>
      <c r="Q57" s="625"/>
    </row>
    <row r="58" spans="1:56">
      <c r="A58" s="625"/>
      <c r="B58" s="1077"/>
      <c r="C58" s="1077"/>
      <c r="D58" s="625"/>
      <c r="E58" s="625"/>
      <c r="F58" s="625"/>
      <c r="G58" s="625"/>
      <c r="H58" s="625"/>
      <c r="I58" s="625"/>
      <c r="J58" s="625"/>
      <c r="K58" s="625"/>
      <c r="L58" s="625"/>
      <c r="M58" s="625"/>
      <c r="N58" s="625"/>
      <c r="O58" s="625"/>
      <c r="P58" s="625"/>
      <c r="Q58" s="625"/>
    </row>
    <row r="59" spans="1:56" s="1009" customFormat="1" ht="21">
      <c r="A59" s="1009" t="s">
        <v>1959</v>
      </c>
      <c r="L59" s="625"/>
      <c r="M59" s="625"/>
      <c r="N59" s="625"/>
      <c r="O59" s="625"/>
    </row>
    <row r="60" spans="1:56">
      <c r="A60" s="625"/>
      <c r="B60" s="625"/>
      <c r="C60" s="625"/>
      <c r="D60" s="625"/>
      <c r="E60" s="625"/>
      <c r="F60" s="625"/>
      <c r="G60" s="625"/>
      <c r="H60" s="625"/>
      <c r="I60" s="625"/>
      <c r="J60" s="625"/>
      <c r="K60" s="625"/>
      <c r="L60" s="625"/>
      <c r="M60" s="625"/>
      <c r="N60" s="625"/>
      <c r="O60" s="625"/>
      <c r="P60" s="625"/>
      <c r="Q60" s="625"/>
    </row>
    <row r="61" spans="1:56" ht="15.75" thickBot="1">
      <c r="A61" s="625"/>
      <c r="B61" s="625"/>
      <c r="C61" s="764" t="s">
        <v>1960</v>
      </c>
      <c r="D61" s="625"/>
      <c r="E61" s="625"/>
      <c r="F61" s="625"/>
      <c r="G61" s="625"/>
      <c r="H61" s="625"/>
      <c r="I61" s="625"/>
      <c r="J61" s="625"/>
      <c r="K61" s="625"/>
      <c r="L61" s="625"/>
      <c r="M61" s="625"/>
      <c r="N61" s="625"/>
      <c r="O61" s="625"/>
      <c r="P61" s="625"/>
      <c r="Q61" s="625"/>
    </row>
    <row r="62" spans="1:56" ht="21.75" thickBot="1">
      <c r="A62" s="625"/>
      <c r="B62" s="625"/>
      <c r="C62" s="1078">
        <v>188360969.41990149</v>
      </c>
      <c r="D62" s="625" t="s">
        <v>1961</v>
      </c>
      <c r="E62" s="625"/>
      <c r="F62" s="625"/>
      <c r="G62" s="625"/>
      <c r="H62" s="625"/>
      <c r="I62" s="625"/>
      <c r="J62" s="625"/>
      <c r="K62" s="625"/>
      <c r="L62" s="1079"/>
      <c r="M62" s="1079"/>
      <c r="N62" s="1079"/>
      <c r="O62" s="1079"/>
      <c r="P62" s="625"/>
      <c r="Q62" s="625"/>
    </row>
    <row r="63" spans="1:56" ht="15.75" thickBot="1">
      <c r="A63" s="625"/>
      <c r="B63" s="625"/>
      <c r="C63" s="405">
        <f>C62-C64</f>
        <v>175114535.849848</v>
      </c>
      <c r="D63" s="625" t="s">
        <v>1962</v>
      </c>
      <c r="E63" s="625"/>
      <c r="F63" s="625"/>
      <c r="G63" s="625"/>
      <c r="H63" s="625"/>
      <c r="I63" s="625"/>
      <c r="J63" s="625"/>
      <c r="K63" s="625"/>
      <c r="L63" s="625"/>
      <c r="M63" s="625"/>
      <c r="N63" s="625"/>
      <c r="O63" s="625"/>
      <c r="P63" s="625"/>
      <c r="Q63" s="625"/>
    </row>
    <row r="64" spans="1:56" s="1009" customFormat="1" ht="21.75" thickBot="1">
      <c r="A64" s="625"/>
      <c r="B64" s="625"/>
      <c r="C64" s="1080">
        <v>13246433.570053479</v>
      </c>
      <c r="D64" s="625" t="s">
        <v>1963</v>
      </c>
      <c r="E64" s="625"/>
      <c r="F64" s="625"/>
      <c r="G64" s="625"/>
      <c r="H64" s="625"/>
      <c r="I64" s="625"/>
      <c r="J64" s="1079"/>
      <c r="K64" s="1079"/>
      <c r="L64"/>
      <c r="M64"/>
      <c r="N64"/>
      <c r="O64"/>
      <c r="P64" s="1079"/>
      <c r="Q64" s="1079"/>
      <c r="R64" s="1079"/>
      <c r="S64" s="1079"/>
      <c r="T64" s="1079"/>
      <c r="U64" s="1079"/>
      <c r="V64" s="1079"/>
      <c r="W64" s="1079"/>
      <c r="X64" s="1079"/>
      <c r="Y64" s="1079"/>
      <c r="Z64" s="1079"/>
      <c r="AA64" s="1079"/>
      <c r="AB64" s="1079"/>
      <c r="AC64" s="1079"/>
      <c r="AD64" s="1079"/>
      <c r="AE64" s="1079"/>
      <c r="AF64" s="1079"/>
      <c r="AG64" s="1079"/>
      <c r="AH64" s="1079"/>
      <c r="AI64" s="1079"/>
      <c r="AJ64" s="1079"/>
      <c r="AK64" s="1079"/>
      <c r="AL64" s="1079"/>
      <c r="AM64" s="1079"/>
      <c r="AN64" s="1079"/>
      <c r="AO64" s="1079"/>
      <c r="AP64" s="1079"/>
      <c r="AQ64" s="1079"/>
      <c r="AR64" s="1079"/>
      <c r="AS64" s="1079"/>
      <c r="AT64" s="1079"/>
      <c r="AU64" s="1079"/>
      <c r="AV64" s="1079"/>
      <c r="AW64" s="1079"/>
      <c r="AX64" s="1079"/>
      <c r="AY64" s="1079"/>
      <c r="AZ64" s="1079"/>
      <c r="BA64" s="1079"/>
      <c r="BB64" s="1079"/>
      <c r="BC64" s="1079"/>
      <c r="BD64" s="1079"/>
    </row>
    <row r="65" spans="1:15" s="625" customFormat="1">
      <c r="C65" s="16"/>
      <c r="L65"/>
      <c r="M65"/>
      <c r="N65"/>
      <c r="O65"/>
    </row>
    <row r="66" spans="1:15" ht="15.75" thickBot="1">
      <c r="A66" s="625"/>
      <c r="B66" s="625"/>
      <c r="C66" s="647" t="s">
        <v>1964</v>
      </c>
      <c r="D66" s="625"/>
      <c r="E66" s="625"/>
      <c r="F66" s="625"/>
      <c r="G66" s="625"/>
      <c r="H66" s="625"/>
      <c r="I66" s="625"/>
    </row>
    <row r="67" spans="1:15" ht="15.75" thickBot="1">
      <c r="A67" s="625"/>
      <c r="B67" s="625"/>
      <c r="C67" s="1078">
        <v>4650634.5442520333</v>
      </c>
      <c r="D67" s="625" t="s">
        <v>1961</v>
      </c>
      <c r="E67" s="625"/>
      <c r="F67" s="625" t="s">
        <v>1965</v>
      </c>
      <c r="G67" s="625"/>
      <c r="H67" s="625"/>
      <c r="I67" s="625"/>
    </row>
    <row r="68" spans="1:15" ht="15.75" thickBot="1">
      <c r="A68" s="625"/>
      <c r="B68" s="625">
        <v>4355314.1150000002</v>
      </c>
      <c r="C68" s="405">
        <f>C67-C69</f>
        <v>4141156.3300192072</v>
      </c>
      <c r="D68" s="625" t="s">
        <v>1966</v>
      </c>
      <c r="E68" s="625"/>
      <c r="F68" s="1081">
        <f>C68*C72/10^6</f>
        <v>4.5469925624979588</v>
      </c>
      <c r="G68" s="625"/>
      <c r="H68" s="625"/>
      <c r="I68" s="625"/>
    </row>
    <row r="69" spans="1:15" ht="15.75" thickBot="1">
      <c r="A69" s="625"/>
      <c r="B69" s="625"/>
      <c r="C69" s="1078">
        <v>509478.21423282614</v>
      </c>
      <c r="D69" s="625" t="s">
        <v>1963</v>
      </c>
      <c r="E69" s="625"/>
      <c r="F69" s="625"/>
      <c r="G69" s="625"/>
      <c r="H69" s="625"/>
      <c r="I69" s="625"/>
    </row>
    <row r="70" spans="1:15">
      <c r="A70" s="625"/>
      <c r="B70" s="625"/>
      <c r="C70" s="16"/>
      <c r="D70" s="625"/>
      <c r="E70" s="625"/>
      <c r="F70" s="625"/>
      <c r="G70" s="625"/>
      <c r="H70" s="625"/>
      <c r="I70" s="625"/>
    </row>
    <row r="71" spans="1:15">
      <c r="A71" s="625"/>
      <c r="B71" s="625"/>
      <c r="C71" s="647" t="s">
        <v>1967</v>
      </c>
      <c r="D71" s="625"/>
      <c r="E71" s="625"/>
      <c r="F71" s="625"/>
      <c r="G71" s="625"/>
      <c r="H71" s="625"/>
      <c r="I71" s="625"/>
    </row>
    <row r="72" spans="1:15">
      <c r="A72" s="625"/>
      <c r="B72" s="625"/>
      <c r="C72" s="405">
        <f>C74/C67</f>
        <v>1.098000703218289</v>
      </c>
      <c r="D72" s="625" t="s">
        <v>1968</v>
      </c>
      <c r="E72" s="625"/>
      <c r="F72" s="625"/>
      <c r="G72" s="625"/>
      <c r="H72" s="625"/>
      <c r="I72" s="625"/>
    </row>
    <row r="73" spans="1:15" ht="15.75" thickBot="1">
      <c r="A73" s="625"/>
      <c r="B73" s="625"/>
      <c r="C73" s="647" t="s">
        <v>1969</v>
      </c>
      <c r="D73" s="625"/>
      <c r="E73" s="625"/>
      <c r="F73" s="625"/>
      <c r="G73" s="625"/>
      <c r="H73" s="625"/>
      <c r="I73" s="625"/>
    </row>
    <row r="74" spans="1:15" ht="15.75" thickBot="1">
      <c r="A74" s="625"/>
      <c r="B74" s="625"/>
      <c r="C74" s="1078">
        <v>5106400</v>
      </c>
      <c r="D74" s="625" t="s">
        <v>1970</v>
      </c>
      <c r="E74" s="625"/>
      <c r="F74" s="625"/>
      <c r="G74" s="625"/>
      <c r="H74" s="625"/>
      <c r="I74" s="625"/>
    </row>
    <row r="75" spans="1:15">
      <c r="A75" s="625"/>
      <c r="B75" s="625"/>
      <c r="C75" s="16"/>
      <c r="D75" s="625"/>
      <c r="E75" s="625"/>
      <c r="F75" s="625"/>
      <c r="G75" s="625"/>
      <c r="H75" s="625"/>
      <c r="I75" s="625"/>
    </row>
    <row r="76" spans="1:15">
      <c r="A76" s="625"/>
      <c r="B76" s="625"/>
      <c r="C76" s="647" t="s">
        <v>1971</v>
      </c>
      <c r="D76" s="625"/>
      <c r="E76" s="625"/>
      <c r="F76" s="625"/>
      <c r="G76" s="625"/>
      <c r="H76" s="625"/>
      <c r="I76" s="625"/>
    </row>
    <row r="77" spans="1:15">
      <c r="A77" s="625"/>
      <c r="B77" s="625"/>
      <c r="C77" s="405">
        <f>C63*$C$72</f>
        <v>192275883.50687739</v>
      </c>
      <c r="D77" s="625" t="s">
        <v>1962</v>
      </c>
      <c r="E77" s="625"/>
      <c r="F77" s="625"/>
      <c r="G77" s="625"/>
      <c r="H77" s="625"/>
      <c r="I77" s="625"/>
    </row>
    <row r="78" spans="1:15">
      <c r="A78" s="625"/>
      <c r="B78" s="625"/>
      <c r="C78" s="405">
        <f>C64*$C$72</f>
        <v>14544593.37505307</v>
      </c>
      <c r="D78" s="625" t="s">
        <v>1963</v>
      </c>
      <c r="E78" s="625"/>
      <c r="F78" s="625"/>
      <c r="G78" s="625"/>
      <c r="H78" s="625"/>
      <c r="I78" s="625"/>
    </row>
    <row r="79" spans="1:15">
      <c r="A79" s="625"/>
      <c r="B79" s="625"/>
      <c r="C79" s="16"/>
      <c r="D79" s="625"/>
      <c r="E79" s="625"/>
      <c r="F79" s="625"/>
      <c r="G79" s="625"/>
      <c r="H79" s="625"/>
      <c r="I79" s="625"/>
    </row>
    <row r="80" spans="1:15" ht="15.75" thickBot="1">
      <c r="A80" s="625"/>
      <c r="B80" s="625"/>
      <c r="C80" s="647" t="s">
        <v>1972</v>
      </c>
      <c r="D80" s="625"/>
      <c r="E80" s="625"/>
      <c r="F80" s="625"/>
      <c r="G80" s="625"/>
      <c r="H80" s="625"/>
      <c r="I80" s="625"/>
    </row>
    <row r="81" spans="1:56" ht="15.75" thickBot="1">
      <c r="A81" s="625"/>
      <c r="B81" s="625"/>
      <c r="C81" s="1078">
        <v>458461109</v>
      </c>
      <c r="D81" s="625" t="s">
        <v>1973</v>
      </c>
      <c r="E81" s="625"/>
      <c r="F81" s="625"/>
      <c r="G81" s="625" t="s">
        <v>1974</v>
      </c>
      <c r="H81" s="625"/>
      <c r="I81" s="625"/>
    </row>
    <row r="82" spans="1:56" ht="15.75" thickBot="1">
      <c r="A82" s="625"/>
      <c r="B82" s="625"/>
      <c r="C82" s="1078">
        <v>550000000</v>
      </c>
      <c r="D82" s="625" t="s">
        <v>1975</v>
      </c>
      <c r="E82" s="625"/>
      <c r="F82" s="625"/>
      <c r="G82" s="625" t="s">
        <v>1974</v>
      </c>
      <c r="H82" s="625"/>
      <c r="I82" s="625"/>
    </row>
    <row r="83" spans="1:56">
      <c r="A83" s="625"/>
      <c r="B83" s="625"/>
      <c r="C83" s="16"/>
      <c r="D83" s="625"/>
      <c r="E83" s="625"/>
      <c r="F83" s="625"/>
      <c r="G83" s="625"/>
      <c r="H83" s="625"/>
      <c r="I83" s="625"/>
    </row>
    <row r="84" spans="1:56">
      <c r="A84" s="625"/>
      <c r="B84" s="625"/>
      <c r="C84" s="647" t="s">
        <v>1976</v>
      </c>
      <c r="D84" s="625"/>
      <c r="E84" s="625"/>
      <c r="F84" s="625"/>
      <c r="G84" s="625"/>
      <c r="H84" s="625"/>
      <c r="I84" s="625"/>
    </row>
    <row r="85" spans="1:56">
      <c r="A85" s="625"/>
      <c r="B85" s="625"/>
      <c r="C85" s="405">
        <f>C81/(C68*C72)</f>
        <v>100.82732766735327</v>
      </c>
      <c r="D85" s="625" t="s">
        <v>1977</v>
      </c>
      <c r="E85" s="625"/>
      <c r="F85" s="625"/>
      <c r="G85" s="625"/>
      <c r="H85" s="625"/>
      <c r="I85" s="625"/>
    </row>
    <row r="86" spans="1:56">
      <c r="A86" s="625"/>
      <c r="B86" s="625"/>
      <c r="C86" s="405">
        <f>C82/(C68*C72)</f>
        <v>120.95907183491174</v>
      </c>
      <c r="D86" s="625" t="s">
        <v>1978</v>
      </c>
      <c r="E86" s="625"/>
      <c r="F86" s="625"/>
      <c r="G86" s="625"/>
      <c r="H86" s="625"/>
      <c r="I86" s="625"/>
    </row>
    <row r="87" spans="1:56" ht="21">
      <c r="A87" s="625"/>
      <c r="B87" s="625"/>
      <c r="C87" s="16"/>
      <c r="D87" s="625"/>
      <c r="E87" s="625"/>
      <c r="F87" s="625"/>
      <c r="G87" s="625"/>
      <c r="H87" s="625"/>
      <c r="I87" s="625"/>
      <c r="L87" s="1079"/>
      <c r="M87" s="1079"/>
      <c r="N87" s="1079"/>
      <c r="O87" s="1079"/>
    </row>
    <row r="88" spans="1:56" ht="15.75" thickBot="1">
      <c r="A88" s="625"/>
      <c r="B88" s="625"/>
      <c r="C88" s="647" t="s">
        <v>1979</v>
      </c>
      <c r="D88" s="625"/>
      <c r="E88" s="625"/>
      <c r="F88" s="625"/>
      <c r="G88" s="625"/>
      <c r="H88" s="625"/>
      <c r="I88" s="625"/>
      <c r="L88" s="625"/>
      <c r="M88" s="625"/>
      <c r="N88" s="625"/>
      <c r="O88" s="625"/>
    </row>
    <row r="89" spans="1:56" s="1009" customFormat="1" ht="21.75" thickBot="1">
      <c r="A89" s="625"/>
      <c r="B89" s="625"/>
      <c r="C89" s="1078">
        <v>2.4946429077500599E-2</v>
      </c>
      <c r="D89" s="625" t="s">
        <v>1980</v>
      </c>
      <c r="E89" s="625"/>
      <c r="F89" s="625"/>
      <c r="G89" s="625" t="s">
        <v>1981</v>
      </c>
      <c r="H89" s="625"/>
      <c r="I89" s="625"/>
      <c r="J89" s="1079"/>
      <c r="K89" s="1079"/>
      <c r="L89"/>
      <c r="M89"/>
      <c r="N89"/>
      <c r="O8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row>
    <row r="90" spans="1:56" s="625" customFormat="1" ht="15.75" thickBot="1">
      <c r="B90" s="1063"/>
      <c r="C90" s="1082">
        <v>0.43130000000000002</v>
      </c>
      <c r="D90" s="625" t="s">
        <v>1963</v>
      </c>
      <c r="G90" s="625" t="s">
        <v>1982</v>
      </c>
      <c r="L90"/>
      <c r="M90"/>
      <c r="N90"/>
      <c r="O90"/>
    </row>
    <row r="91" spans="1:56" ht="15.75" thickBot="1">
      <c r="A91" s="625"/>
      <c r="B91" s="625"/>
      <c r="C91" s="1082">
        <v>0.65</v>
      </c>
      <c r="D91" s="625" t="s">
        <v>1983</v>
      </c>
      <c r="E91" s="625"/>
      <c r="F91" s="625"/>
      <c r="G91" s="625" t="s">
        <v>1984</v>
      </c>
      <c r="H91" s="625"/>
      <c r="I91" s="625"/>
    </row>
    <row r="92" spans="1:56" ht="15.75" thickBot="1">
      <c r="A92" s="625"/>
      <c r="B92" s="625"/>
      <c r="C92" s="1082">
        <v>0.55000000000000004</v>
      </c>
      <c r="D92" s="625" t="s">
        <v>1985</v>
      </c>
      <c r="E92" s="625"/>
      <c r="F92" s="625"/>
      <c r="G92" s="625" t="s">
        <v>1984</v>
      </c>
      <c r="H92" s="625"/>
      <c r="I92" s="625"/>
    </row>
    <row r="93" spans="1:56" ht="15.75" thickBot="1">
      <c r="A93" s="625"/>
      <c r="B93" s="625"/>
      <c r="C93" s="1082">
        <v>0.2</v>
      </c>
      <c r="D93" s="625" t="s">
        <v>1986</v>
      </c>
      <c r="E93" s="625"/>
      <c r="F93" s="625"/>
      <c r="G93" s="625" t="s">
        <v>1984</v>
      </c>
      <c r="H93" s="625"/>
      <c r="I93" s="625"/>
    </row>
    <row r="94" spans="1:56" ht="15.75" thickBot="1">
      <c r="A94" s="625"/>
      <c r="B94" s="625"/>
      <c r="C94" s="1082">
        <v>0.1</v>
      </c>
      <c r="D94" s="625" t="s">
        <v>1987</v>
      </c>
      <c r="E94" s="625"/>
      <c r="F94" s="625"/>
      <c r="G94" s="625" t="s">
        <v>1984</v>
      </c>
      <c r="H94" s="625"/>
      <c r="I94" s="625"/>
    </row>
    <row r="95" spans="1:56" ht="15.75" thickBot="1">
      <c r="A95" s="625"/>
      <c r="B95" s="625"/>
      <c r="C95" s="1078">
        <v>0</v>
      </c>
      <c r="D95" s="625" t="s">
        <v>1988</v>
      </c>
      <c r="E95" s="625"/>
      <c r="F95" s="625"/>
      <c r="G95" s="625" t="s">
        <v>1984</v>
      </c>
      <c r="H95" s="625"/>
      <c r="I95" s="625"/>
    </row>
    <row r="96" spans="1:56">
      <c r="A96" s="625"/>
      <c r="B96" s="625"/>
      <c r="C96" s="16"/>
      <c r="D96" s="625"/>
      <c r="E96" s="625"/>
      <c r="F96" s="625"/>
      <c r="G96" s="625"/>
      <c r="H96" s="625"/>
      <c r="I96" s="625"/>
    </row>
    <row r="97" spans="1:15" ht="18.75" thickBot="1">
      <c r="A97" s="625"/>
      <c r="B97" s="625"/>
      <c r="C97" s="647" t="s">
        <v>1989</v>
      </c>
      <c r="D97" s="625"/>
      <c r="E97" s="625"/>
      <c r="F97" s="625"/>
      <c r="G97" s="625"/>
      <c r="H97" s="625"/>
      <c r="I97" s="625"/>
    </row>
    <row r="98" spans="1:15" ht="15.75" thickBot="1">
      <c r="A98" s="625"/>
      <c r="B98" s="625"/>
      <c r="C98" s="1078">
        <v>0.625</v>
      </c>
      <c r="D98" s="625"/>
      <c r="E98" s="625"/>
      <c r="F98" s="625"/>
      <c r="G98" s="625" t="s">
        <v>1984</v>
      </c>
      <c r="H98" s="625"/>
      <c r="I98" s="625"/>
    </row>
    <row r="99" spans="1:15">
      <c r="A99" s="625"/>
      <c r="B99" s="625"/>
      <c r="C99" s="16"/>
      <c r="D99" s="625"/>
      <c r="E99" s="625"/>
      <c r="F99" s="625"/>
      <c r="G99" s="625"/>
      <c r="H99" s="625"/>
      <c r="I99" s="625"/>
    </row>
    <row r="100" spans="1:15">
      <c r="A100" s="625"/>
      <c r="B100" s="625"/>
      <c r="C100" s="647"/>
      <c r="D100" s="625"/>
      <c r="E100" s="625"/>
      <c r="F100" s="625"/>
      <c r="G100" s="625"/>
      <c r="H100" s="625"/>
      <c r="I100" s="625"/>
    </row>
    <row r="101" spans="1:15">
      <c r="A101" s="625"/>
      <c r="B101" s="625"/>
      <c r="C101" s="647"/>
      <c r="D101" s="625"/>
      <c r="E101" s="625"/>
      <c r="F101" s="625"/>
      <c r="G101" s="625"/>
      <c r="H101" s="625"/>
      <c r="I101" s="625"/>
    </row>
    <row r="102" spans="1:15">
      <c r="A102" s="625"/>
      <c r="B102" s="625"/>
      <c r="C102" s="647"/>
      <c r="D102" s="625"/>
      <c r="E102" s="625"/>
      <c r="F102" s="625"/>
      <c r="G102" s="625"/>
      <c r="H102" s="625"/>
      <c r="I102" s="625"/>
    </row>
    <row r="103" spans="1:15">
      <c r="A103" s="625"/>
      <c r="B103" s="625"/>
      <c r="C103" s="16"/>
      <c r="D103" s="625"/>
      <c r="E103" s="625"/>
      <c r="F103" s="625"/>
      <c r="G103" s="625"/>
      <c r="H103" s="625"/>
      <c r="I103" s="625"/>
    </row>
    <row r="104" spans="1:15">
      <c r="A104" s="625"/>
      <c r="B104" s="625"/>
      <c r="C104" s="647" t="s">
        <v>1990</v>
      </c>
      <c r="D104" s="625"/>
      <c r="E104" s="625"/>
      <c r="F104" s="625"/>
      <c r="G104" s="625"/>
      <c r="H104" s="625"/>
      <c r="I104" s="625"/>
    </row>
    <row r="105" spans="1:15">
      <c r="A105" s="625"/>
      <c r="B105" s="625"/>
      <c r="C105" s="405">
        <f>C77/C81</f>
        <v>0.41939409850111714</v>
      </c>
      <c r="D105" s="625" t="s">
        <v>1962</v>
      </c>
      <c r="E105" s="625"/>
      <c r="F105" s="625"/>
      <c r="G105" s="625"/>
      <c r="H105" s="625"/>
      <c r="I105" s="625"/>
    </row>
    <row r="106" spans="1:15">
      <c r="A106" s="625"/>
      <c r="B106" s="625"/>
      <c r="C106" s="16"/>
      <c r="D106" s="625"/>
      <c r="E106" s="625"/>
      <c r="F106" s="625"/>
      <c r="G106" s="625"/>
      <c r="H106" s="625"/>
      <c r="I106" s="625"/>
    </row>
    <row r="107" spans="1:15">
      <c r="A107" s="625"/>
      <c r="B107" s="625"/>
      <c r="C107" s="647" t="s">
        <v>1991</v>
      </c>
      <c r="D107" s="625"/>
      <c r="E107" s="625"/>
      <c r="F107" s="625"/>
      <c r="G107" s="625"/>
      <c r="H107" s="625"/>
      <c r="I107" s="625"/>
    </row>
    <row r="108" spans="1:15">
      <c r="A108" s="625"/>
      <c r="B108" s="625"/>
      <c r="C108" s="405">
        <f>C63/C68</f>
        <v>42.286386191326372</v>
      </c>
      <c r="D108" s="625" t="s">
        <v>1980</v>
      </c>
      <c r="E108" s="625"/>
      <c r="F108" s="625"/>
      <c r="G108" s="625"/>
      <c r="H108" s="625"/>
      <c r="I108" s="625"/>
    </row>
    <row r="109" spans="1:15">
      <c r="A109" s="625"/>
      <c r="B109" s="625"/>
      <c r="C109" s="405">
        <f>C64/C69</f>
        <v>25.999999999999996</v>
      </c>
      <c r="D109" s="625" t="s">
        <v>1992</v>
      </c>
      <c r="E109" s="625"/>
      <c r="F109" s="625"/>
      <c r="G109" s="625"/>
      <c r="H109" s="625"/>
      <c r="I109" s="625"/>
    </row>
    <row r="110" spans="1:15">
      <c r="A110" s="625"/>
      <c r="B110" s="625"/>
      <c r="C110" s="16"/>
      <c r="D110" s="625"/>
      <c r="E110" s="625"/>
      <c r="F110" s="625"/>
      <c r="G110" s="625"/>
      <c r="H110" s="625"/>
      <c r="I110" s="625"/>
    </row>
    <row r="111" spans="1:15" ht="21">
      <c r="A111" s="625"/>
      <c r="B111" s="625"/>
      <c r="C111" s="647" t="s">
        <v>1993</v>
      </c>
      <c r="D111" s="625"/>
      <c r="E111" s="625"/>
      <c r="F111" s="625"/>
      <c r="G111" s="625"/>
      <c r="H111" s="625"/>
      <c r="I111" s="625"/>
      <c r="L111" s="1079"/>
      <c r="M111" s="1079"/>
      <c r="N111" s="1079"/>
      <c r="O111" s="1079"/>
    </row>
    <row r="112" spans="1:15" ht="15.75" thickBot="1">
      <c r="A112" s="625"/>
      <c r="B112" s="625"/>
      <c r="C112" s="405">
        <f>E137*C108*C89*C$98/10^3</f>
        <v>1.6482723969776937E-2</v>
      </c>
      <c r="D112" s="625" t="s">
        <v>1980</v>
      </c>
      <c r="E112" s="625"/>
      <c r="F112" s="625"/>
      <c r="G112" s="625"/>
      <c r="H112" s="625"/>
      <c r="I112" s="625"/>
    </row>
    <row r="113" spans="1:56" s="1009" customFormat="1" ht="21.75" thickBot="1">
      <c r="A113" s="625"/>
      <c r="B113" s="625"/>
      <c r="C113" s="1078">
        <v>0.17519999999999999</v>
      </c>
      <c r="D113" s="625" t="s">
        <v>1994</v>
      </c>
      <c r="E113" s="625"/>
      <c r="F113" s="625"/>
      <c r="G113" s="625"/>
      <c r="H113" s="625"/>
      <c r="I113" s="625"/>
      <c r="J113" s="1079"/>
      <c r="K113" s="1079"/>
      <c r="L113"/>
      <c r="M113"/>
      <c r="N113"/>
      <c r="O113"/>
      <c r="P113" s="1079"/>
      <c r="Q113" s="1079"/>
      <c r="R113" s="1079"/>
      <c r="S113" s="1079"/>
      <c r="T113" s="1079"/>
      <c r="U113" s="1079"/>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row>
    <row r="114" spans="1:56">
      <c r="A114" s="625"/>
      <c r="C114" s="405">
        <f>E137*$C$108*C91*$C$98/10^3</f>
        <v>0.4294711097556585</v>
      </c>
      <c r="D114" s="625" t="s">
        <v>1995</v>
      </c>
      <c r="E114" s="625"/>
      <c r="F114" s="625"/>
      <c r="G114" s="625"/>
      <c r="H114" s="625"/>
      <c r="I114" s="625"/>
    </row>
    <row r="115" spans="1:56">
      <c r="A115" s="625"/>
      <c r="B115" s="625"/>
      <c r="C115" s="405">
        <f>E137*$C$108*C92*$C$98/10^3</f>
        <v>0.36339863133171102</v>
      </c>
      <c r="D115" s="625" t="s">
        <v>1996</v>
      </c>
      <c r="E115" s="625"/>
      <c r="F115" s="625"/>
      <c r="G115" s="625"/>
      <c r="H115" s="625"/>
      <c r="I115" s="625"/>
    </row>
    <row r="116" spans="1:56">
      <c r="A116" s="625"/>
      <c r="B116" s="625"/>
      <c r="C116" s="405">
        <f>E137*$C$108*C93*$C$98/10^3</f>
        <v>0.13214495684789493</v>
      </c>
      <c r="D116" s="625" t="s">
        <v>1997</v>
      </c>
      <c r="E116" s="625"/>
      <c r="F116" s="625"/>
      <c r="G116" s="625"/>
      <c r="H116" s="625"/>
      <c r="I116" s="625"/>
    </row>
    <row r="117" spans="1:56">
      <c r="A117" s="625"/>
      <c r="B117" s="625"/>
      <c r="C117" s="405">
        <f>E137*$C$108*C94*$C$98/10^3</f>
        <v>6.6072478423947464E-2</v>
      </c>
      <c r="D117" s="625" t="s">
        <v>1998</v>
      </c>
      <c r="E117" s="625"/>
      <c r="F117" s="625"/>
      <c r="G117" s="625"/>
      <c r="H117" s="625"/>
      <c r="I117" s="625"/>
    </row>
    <row r="118" spans="1:56" ht="21">
      <c r="A118" s="625"/>
      <c r="B118" s="625"/>
      <c r="C118" s="405">
        <f>E137*$C$108*C95*$C$98/10^3</f>
        <v>0</v>
      </c>
      <c r="D118" s="625" t="s">
        <v>1999</v>
      </c>
      <c r="E118" s="625"/>
      <c r="F118" s="625"/>
      <c r="G118" s="625"/>
      <c r="H118" s="625"/>
      <c r="I118" s="625"/>
      <c r="L118" s="1009"/>
      <c r="M118" s="1009"/>
      <c r="N118" s="1009"/>
      <c r="O118" s="1009"/>
    </row>
    <row r="119" spans="1:56">
      <c r="A119" s="625"/>
      <c r="B119" s="625"/>
      <c r="C119" s="625"/>
      <c r="D119" s="625"/>
      <c r="E119" s="625"/>
      <c r="F119" s="625"/>
      <c r="G119" s="625"/>
      <c r="H119" s="625"/>
      <c r="I119" s="625"/>
      <c r="L119" s="625"/>
      <c r="M119" s="625"/>
      <c r="N119" s="625"/>
      <c r="O119" s="625"/>
    </row>
    <row r="120" spans="1:56" ht="21">
      <c r="A120" s="1009" t="s">
        <v>2000</v>
      </c>
      <c r="B120" s="1009"/>
      <c r="C120" s="1009"/>
      <c r="D120" s="1009"/>
      <c r="E120" s="1009"/>
      <c r="F120" s="1009"/>
      <c r="G120" s="1009"/>
      <c r="H120" s="1009"/>
      <c r="I120" s="1009"/>
      <c r="J120" s="1009"/>
      <c r="K120" s="1009"/>
      <c r="L120" s="1008"/>
      <c r="M120" s="1008"/>
      <c r="N120" s="1008"/>
      <c r="O120" s="1008"/>
      <c r="P120" s="1009"/>
      <c r="Q120" s="1009"/>
      <c r="R120" s="1009"/>
      <c r="S120" s="1009"/>
      <c r="T120" s="1009"/>
      <c r="U120" s="1009"/>
      <c r="V120" s="1009"/>
      <c r="W120" s="1009"/>
      <c r="X120" s="1009"/>
      <c r="Y120" s="1009"/>
    </row>
    <row r="121" spans="1:56">
      <c r="A121" s="625"/>
      <c r="B121" s="625"/>
      <c r="C121" s="625"/>
      <c r="D121" s="625"/>
      <c r="E121" s="625"/>
      <c r="F121" s="625"/>
      <c r="G121" s="625"/>
      <c r="H121" s="625"/>
      <c r="I121" s="625"/>
      <c r="J121" s="625"/>
      <c r="K121" s="625"/>
      <c r="L121" s="1008"/>
      <c r="M121" s="1008"/>
      <c r="N121" s="1008"/>
      <c r="O121" s="1008"/>
      <c r="P121" s="625"/>
      <c r="Q121" s="625"/>
      <c r="R121" s="625"/>
      <c r="S121" s="625"/>
      <c r="T121" s="625"/>
      <c r="U121" s="625"/>
      <c r="V121" s="625"/>
      <c r="W121" s="625"/>
      <c r="X121" s="625"/>
      <c r="Y121" s="625"/>
    </row>
    <row r="122" spans="1:56">
      <c r="A122" s="625"/>
      <c r="B122" s="625"/>
      <c r="C122" s="1008" t="s">
        <v>2001</v>
      </c>
      <c r="D122" s="1008"/>
      <c r="E122" s="1008"/>
      <c r="F122" s="1008"/>
      <c r="G122" s="1008"/>
      <c r="H122" s="1008"/>
      <c r="I122" s="1008"/>
      <c r="J122" s="1008"/>
      <c r="K122" s="1008"/>
      <c r="L122" s="1008"/>
      <c r="M122" s="1008"/>
      <c r="N122" s="1008"/>
      <c r="O122" s="1008"/>
      <c r="P122" s="625"/>
      <c r="Q122" s="625"/>
    </row>
    <row r="123" spans="1:56">
      <c r="A123" s="625"/>
      <c r="B123" s="625"/>
      <c r="C123" s="1008"/>
      <c r="D123" s="1008"/>
      <c r="E123" s="1008"/>
      <c r="F123" s="1008"/>
      <c r="G123" s="1008"/>
      <c r="H123" s="1008"/>
      <c r="I123" s="1008"/>
      <c r="J123" s="1008"/>
      <c r="K123" s="1008"/>
      <c r="L123" s="1008"/>
      <c r="M123" s="1008"/>
      <c r="N123" s="1008"/>
      <c r="O123" s="1008"/>
      <c r="P123" s="625"/>
      <c r="Q123" s="625"/>
    </row>
    <row r="124" spans="1:56">
      <c r="A124" s="625"/>
      <c r="B124" s="625"/>
      <c r="C124" s="1083" t="s">
        <v>2002</v>
      </c>
      <c r="D124" s="1008"/>
      <c r="E124" s="1008"/>
      <c r="F124" s="1008"/>
      <c r="G124" s="1008"/>
      <c r="H124" s="1008"/>
      <c r="I124" s="1008"/>
      <c r="J124" s="1008"/>
      <c r="K124" s="1008" t="s">
        <v>2003</v>
      </c>
      <c r="L124" s="1008"/>
      <c r="M124" s="1008"/>
      <c r="N124" s="1008"/>
      <c r="O124" s="1008"/>
      <c r="P124" s="625"/>
      <c r="Q124" s="625"/>
    </row>
    <row r="125" spans="1:56" s="1009" customFormat="1" ht="21">
      <c r="A125" s="625"/>
      <c r="B125" s="625"/>
      <c r="C125" s="1008" t="s">
        <v>2004</v>
      </c>
      <c r="D125" s="1008"/>
      <c r="E125" s="1008"/>
      <c r="F125" s="1008"/>
      <c r="G125" s="1008"/>
      <c r="H125" s="1008"/>
      <c r="I125" s="1008"/>
      <c r="J125" s="1008"/>
      <c r="K125" s="1008"/>
      <c r="L125" s="1008"/>
      <c r="M125" s="1008"/>
      <c r="N125" s="1008"/>
      <c r="O125" s="1008"/>
      <c r="P125" s="625"/>
      <c r="Q125" s="625"/>
      <c r="R125"/>
      <c r="S125"/>
      <c r="T125"/>
      <c r="U125"/>
      <c r="V125"/>
      <c r="W125"/>
      <c r="X125"/>
      <c r="Y125"/>
      <c r="Z125" s="1079"/>
      <c r="AA125" s="1079"/>
      <c r="AB125" s="1079"/>
      <c r="AC125" s="1079"/>
      <c r="AD125" s="1079"/>
      <c r="AE125" s="1079"/>
      <c r="AF125" s="1079"/>
      <c r="AG125" s="1079"/>
      <c r="AH125" s="1079"/>
      <c r="AI125" s="1079"/>
      <c r="AJ125" s="1079"/>
      <c r="AK125" s="1079"/>
      <c r="AL125" s="1079"/>
      <c r="AM125" s="1079"/>
      <c r="AN125" s="1079"/>
      <c r="AO125" s="1079"/>
      <c r="AP125" s="1079"/>
      <c r="AQ125" s="1079"/>
      <c r="AR125" s="1079"/>
      <c r="AS125" s="1079"/>
      <c r="AT125" s="1079"/>
      <c r="AU125" s="1079"/>
      <c r="AV125" s="1079"/>
      <c r="AW125" s="1079"/>
      <c r="AX125" s="1079"/>
      <c r="AY125" s="1079"/>
      <c r="AZ125" s="1079"/>
      <c r="BA125" s="1079"/>
      <c r="BB125" s="1079"/>
      <c r="BC125" s="1079"/>
      <c r="BD125" s="1079"/>
    </row>
    <row r="126" spans="1:56">
      <c r="A126" s="625"/>
      <c r="B126" s="625"/>
      <c r="C126" s="1008"/>
      <c r="D126" s="1008"/>
      <c r="E126" s="1008"/>
      <c r="F126" s="1008"/>
      <c r="G126" s="1008"/>
      <c r="H126" s="1008"/>
      <c r="I126" s="1008"/>
      <c r="J126" s="1008"/>
      <c r="K126" s="1008"/>
      <c r="L126" s="1008"/>
      <c r="M126" s="1008"/>
      <c r="N126" s="1008"/>
      <c r="O126" s="1008"/>
      <c r="P126" s="625"/>
      <c r="Q126" s="625"/>
    </row>
    <row r="127" spans="1:56">
      <c r="A127" s="625"/>
      <c r="B127" s="625"/>
      <c r="C127" s="1008"/>
      <c r="D127" s="1008" t="s">
        <v>2005</v>
      </c>
      <c r="E127" s="1008"/>
      <c r="F127" s="1008"/>
      <c r="G127" s="1008"/>
      <c r="H127" s="1008"/>
      <c r="I127" s="1008"/>
      <c r="J127" s="1008"/>
      <c r="K127" s="1008"/>
      <c r="L127" s="1008"/>
      <c r="M127" s="1008"/>
      <c r="N127" s="1008"/>
      <c r="O127" s="1008"/>
      <c r="P127" s="625"/>
      <c r="Q127" s="625"/>
    </row>
    <row r="128" spans="1:56" ht="15.75" thickBot="1">
      <c r="A128" s="625"/>
      <c r="B128" s="625"/>
      <c r="C128" s="1008"/>
      <c r="D128" s="1083" t="s">
        <v>2006</v>
      </c>
      <c r="E128" s="1008"/>
      <c r="F128" s="1008" t="s">
        <v>2007</v>
      </c>
      <c r="G128" s="1008"/>
      <c r="H128" s="1008"/>
      <c r="I128" s="1008"/>
      <c r="J128" s="1008"/>
      <c r="K128" s="1008"/>
      <c r="L128" s="1008"/>
      <c r="M128" s="1008"/>
      <c r="N128" s="1008"/>
      <c r="O128" s="1008"/>
      <c r="P128" s="625"/>
      <c r="Q128" s="625"/>
    </row>
    <row r="129" spans="1:17" ht="15.75" thickBot="1">
      <c r="A129" s="625"/>
      <c r="B129" s="625"/>
      <c r="C129" s="1008"/>
      <c r="D129" s="1083" t="s">
        <v>2008</v>
      </c>
      <c r="E129" s="1084">
        <v>26</v>
      </c>
      <c r="F129" s="1008" t="s">
        <v>2009</v>
      </c>
      <c r="G129" s="1008"/>
      <c r="H129" s="1008"/>
      <c r="I129" s="1008"/>
      <c r="J129" s="1008"/>
      <c r="K129" s="1008" t="s">
        <v>2010</v>
      </c>
      <c r="L129" s="1008"/>
      <c r="M129" s="1008"/>
      <c r="N129" s="1008"/>
      <c r="O129" s="1008"/>
      <c r="P129" s="625"/>
      <c r="Q129" s="625"/>
    </row>
    <row r="130" spans="1:17">
      <c r="A130" s="625"/>
      <c r="B130" s="625"/>
      <c r="C130" s="1008"/>
      <c r="D130" s="1083" t="s">
        <v>2011</v>
      </c>
      <c r="E130" s="1008" t="s">
        <v>2012</v>
      </c>
      <c r="F130" s="1008"/>
      <c r="G130" s="1008"/>
      <c r="H130" s="1008"/>
      <c r="I130" s="1008"/>
      <c r="J130" s="1008"/>
      <c r="K130" s="1008"/>
      <c r="L130" s="1008"/>
      <c r="M130" s="1008"/>
      <c r="N130" s="1008"/>
      <c r="O130" s="1008"/>
      <c r="P130" s="625"/>
      <c r="Q130" s="625"/>
    </row>
    <row r="131" spans="1:17">
      <c r="A131" s="625"/>
      <c r="B131" s="625"/>
      <c r="C131" s="1008"/>
      <c r="D131" s="1008"/>
      <c r="E131" s="1008"/>
      <c r="F131" s="1008" t="s">
        <v>2013</v>
      </c>
      <c r="G131" s="1008"/>
      <c r="H131" s="1008"/>
      <c r="I131" s="1008"/>
      <c r="J131" s="1008"/>
      <c r="K131" s="1008"/>
      <c r="L131" s="1008"/>
      <c r="M131" s="1008"/>
      <c r="N131" s="1008"/>
      <c r="O131" s="1008"/>
      <c r="P131" s="625"/>
      <c r="Q131" s="625"/>
    </row>
    <row r="132" spans="1:17">
      <c r="A132" s="625"/>
      <c r="B132" s="625"/>
      <c r="C132" s="1083" t="s">
        <v>2014</v>
      </c>
      <c r="D132" s="1008"/>
      <c r="E132" s="1008"/>
      <c r="F132" s="1008"/>
      <c r="G132" s="1008"/>
      <c r="H132" s="1008"/>
      <c r="I132" s="1008"/>
      <c r="J132" s="1008"/>
      <c r="K132" s="1008"/>
      <c r="L132" s="1008"/>
      <c r="M132" s="1008"/>
      <c r="N132" s="1008"/>
      <c r="O132" s="1008"/>
      <c r="P132" s="625"/>
      <c r="Q132" s="625"/>
    </row>
    <row r="133" spans="1:17" ht="18">
      <c r="A133" s="625"/>
      <c r="B133" s="625"/>
      <c r="C133" s="1008" t="s">
        <v>2015</v>
      </c>
      <c r="D133" s="1008"/>
      <c r="E133" s="1008"/>
      <c r="F133" s="1008"/>
      <c r="G133" s="1008"/>
      <c r="H133" s="1008"/>
      <c r="I133" s="1008"/>
      <c r="J133" s="1008"/>
      <c r="K133" s="1008" t="s">
        <v>2016</v>
      </c>
      <c r="L133" s="1008"/>
      <c r="M133" s="1008"/>
      <c r="N133" s="1008"/>
      <c r="O133" s="1008"/>
      <c r="P133" s="625"/>
      <c r="Q133" s="625"/>
    </row>
    <row r="134" spans="1:17" ht="15.75" thickBot="1">
      <c r="A134" s="625"/>
      <c r="B134" s="625"/>
      <c r="C134" s="1008"/>
      <c r="D134" s="1008" t="s">
        <v>2005</v>
      </c>
      <c r="E134" s="1008"/>
      <c r="F134" s="1008"/>
      <c r="G134" s="1008"/>
      <c r="H134" s="1008"/>
      <c r="I134" s="1008"/>
      <c r="J134" s="1008"/>
      <c r="K134" s="1008"/>
      <c r="L134" s="1008"/>
      <c r="M134" s="1008"/>
      <c r="N134" s="1008"/>
      <c r="O134" s="1008"/>
      <c r="P134" s="625"/>
      <c r="Q134" s="625"/>
    </row>
    <row r="135" spans="1:17" ht="18.75" thickBot="1">
      <c r="A135" s="625"/>
      <c r="B135" s="625"/>
      <c r="C135" s="1008"/>
      <c r="D135" s="1083" t="s">
        <v>2017</v>
      </c>
      <c r="E135" s="1084">
        <v>0.625</v>
      </c>
      <c r="F135" s="1008" t="s">
        <v>2018</v>
      </c>
      <c r="G135" s="1008"/>
      <c r="H135" s="1008"/>
      <c r="I135" s="1008" t="s">
        <v>2019</v>
      </c>
      <c r="J135" s="1008"/>
      <c r="K135" s="1008"/>
      <c r="L135" s="1008"/>
      <c r="M135" s="1008"/>
      <c r="N135" s="1008"/>
      <c r="O135" s="1008"/>
      <c r="P135" s="625"/>
      <c r="Q135" s="625"/>
    </row>
    <row r="136" spans="1:17" ht="15.75" thickBot="1">
      <c r="A136" s="625"/>
      <c r="B136" s="625"/>
      <c r="C136" s="1008"/>
      <c r="D136" s="1083" t="s">
        <v>2020</v>
      </c>
      <c r="E136" s="1084">
        <v>2.4140740000000001E-2</v>
      </c>
      <c r="F136" s="1008" t="s">
        <v>2021</v>
      </c>
      <c r="G136" s="1008"/>
      <c r="H136" s="1008"/>
      <c r="I136" s="1008"/>
      <c r="J136" s="1008"/>
      <c r="K136" s="1008"/>
      <c r="L136" s="1008"/>
      <c r="M136" s="1008"/>
      <c r="N136" s="1008"/>
      <c r="O136" s="1008"/>
      <c r="P136" s="625"/>
      <c r="Q136" s="625"/>
    </row>
    <row r="137" spans="1:17" ht="15.75" thickBot="1">
      <c r="A137" s="625"/>
      <c r="B137" s="625"/>
      <c r="C137" s="1008"/>
      <c r="D137" s="1083" t="s">
        <v>2022</v>
      </c>
      <c r="E137" s="1085">
        <f>'[2]Select GWP here'!$C$12</f>
        <v>25</v>
      </c>
      <c r="F137" s="1008" t="s">
        <v>2023</v>
      </c>
      <c r="G137" s="1008"/>
      <c r="H137" s="1008"/>
      <c r="I137" s="1008"/>
      <c r="J137" s="1008"/>
      <c r="K137" s="1008"/>
      <c r="L137" s="1008"/>
      <c r="M137" s="1008"/>
      <c r="N137" s="1008"/>
      <c r="O137" s="1008"/>
      <c r="P137" s="625"/>
      <c r="Q137" s="625"/>
    </row>
    <row r="138" spans="1:17">
      <c r="A138" s="625"/>
      <c r="B138" s="625"/>
      <c r="C138" s="1008"/>
      <c r="D138" s="1008"/>
      <c r="E138" s="1008"/>
      <c r="F138" s="1008"/>
      <c r="G138" s="1008"/>
      <c r="H138" s="1008"/>
      <c r="I138" s="1008"/>
      <c r="J138" s="1008"/>
      <c r="K138" s="1008"/>
      <c r="L138" s="1008"/>
      <c r="M138" s="1008"/>
      <c r="N138" s="1008"/>
      <c r="O138" s="1008"/>
      <c r="P138" s="625"/>
      <c r="Q138" s="625"/>
    </row>
    <row r="139" spans="1:17">
      <c r="A139" s="625"/>
      <c r="B139" s="625"/>
      <c r="C139" s="1083" t="s">
        <v>2024</v>
      </c>
      <c r="D139" s="1008"/>
      <c r="E139" s="1008"/>
      <c r="F139" s="1008"/>
      <c r="G139" s="1008"/>
      <c r="H139" s="1008"/>
      <c r="I139" s="1008"/>
      <c r="J139" s="1008"/>
      <c r="K139" s="1008"/>
      <c r="L139" s="1008"/>
      <c r="M139" s="1008"/>
      <c r="N139" s="1008"/>
      <c r="O139" s="1008"/>
      <c r="P139" s="625"/>
      <c r="Q139" s="625"/>
    </row>
    <row r="140" spans="1:17">
      <c r="A140" s="625"/>
      <c r="B140" s="625"/>
      <c r="C140" s="1008" t="s">
        <v>2025</v>
      </c>
      <c r="D140" s="1008"/>
      <c r="E140" s="1008"/>
      <c r="F140" s="1008"/>
      <c r="G140" s="1008"/>
      <c r="H140" s="1008"/>
      <c r="I140" s="1008"/>
      <c r="J140" s="1008"/>
      <c r="K140" s="1008"/>
      <c r="L140" s="1008"/>
      <c r="M140" s="1008"/>
      <c r="N140" s="1008"/>
      <c r="O140" s="1008"/>
      <c r="P140" s="625"/>
      <c r="Q140" s="625"/>
    </row>
    <row r="141" spans="1:17">
      <c r="A141" s="625"/>
      <c r="B141" s="625"/>
      <c r="C141" s="1008"/>
      <c r="D141" s="1008"/>
      <c r="E141" s="1008"/>
      <c r="F141" s="1008"/>
      <c r="G141" s="1008"/>
      <c r="H141" s="1008"/>
      <c r="I141" s="1008"/>
      <c r="J141" s="1008"/>
      <c r="K141" s="1008"/>
      <c r="L141" s="1008"/>
      <c r="M141" s="1008"/>
      <c r="N141" s="1008"/>
      <c r="O141" s="1008"/>
      <c r="P141" s="625"/>
      <c r="Q141" s="625"/>
    </row>
    <row r="142" spans="1:17">
      <c r="A142" s="625"/>
      <c r="B142" s="625"/>
      <c r="C142" s="1083"/>
      <c r="D142" s="1008"/>
      <c r="E142" s="1008"/>
      <c r="F142" s="1008"/>
      <c r="G142" s="1008"/>
      <c r="H142" s="1008"/>
      <c r="I142" s="1008"/>
      <c r="J142" s="1008"/>
      <c r="K142" s="1008"/>
      <c r="L142" s="625"/>
      <c r="M142" s="625"/>
      <c r="N142" s="625"/>
      <c r="O142" s="625"/>
      <c r="P142" s="625"/>
      <c r="Q142" s="625"/>
    </row>
    <row r="143" spans="1:17" ht="21">
      <c r="A143" s="625"/>
      <c r="B143" s="625"/>
      <c r="C143" s="1008"/>
      <c r="D143" s="1008"/>
      <c r="E143" s="1008"/>
      <c r="F143" s="1008"/>
      <c r="G143" s="1008"/>
      <c r="H143" s="1008"/>
      <c r="I143" s="1008"/>
      <c r="J143" s="1008"/>
      <c r="K143" s="1008"/>
      <c r="L143" s="1009"/>
      <c r="M143" s="1009"/>
      <c r="N143" s="1009"/>
      <c r="O143" s="1009"/>
      <c r="P143" s="625"/>
      <c r="Q143" s="625"/>
    </row>
    <row r="144" spans="1:17">
      <c r="A144" s="625"/>
      <c r="B144" s="625"/>
      <c r="C144" s="625"/>
      <c r="D144" s="625"/>
      <c r="E144" s="625"/>
      <c r="F144" s="625"/>
      <c r="G144" s="625"/>
      <c r="H144" s="625"/>
      <c r="I144" s="625"/>
      <c r="J144" s="625"/>
      <c r="K144" s="625"/>
      <c r="L144" s="625"/>
      <c r="M144" s="625"/>
      <c r="N144" s="625"/>
      <c r="O144" s="625"/>
      <c r="P144" s="625"/>
      <c r="Q144" s="625"/>
    </row>
    <row r="145" spans="1:56" ht="21">
      <c r="A145" s="1009" t="s">
        <v>2026</v>
      </c>
      <c r="B145" s="1009"/>
      <c r="C145" s="1009"/>
      <c r="D145" s="1009"/>
      <c r="E145" s="1009"/>
      <c r="F145" s="1009"/>
      <c r="G145" s="1009"/>
      <c r="H145" s="1009"/>
      <c r="I145" s="1009"/>
      <c r="J145" s="1009"/>
      <c r="K145" s="1009"/>
      <c r="L145" s="625"/>
      <c r="M145" s="625"/>
      <c r="N145" s="625"/>
      <c r="O145" s="625"/>
      <c r="P145" s="1009"/>
      <c r="Q145" s="1009"/>
      <c r="R145" s="1009"/>
      <c r="S145" s="1009"/>
      <c r="T145" s="1009"/>
      <c r="U145" s="1009"/>
      <c r="V145" s="1009"/>
      <c r="W145" s="1009"/>
      <c r="X145" s="1009"/>
      <c r="Y145" s="1009"/>
    </row>
    <row r="146" spans="1:56">
      <c r="A146" s="625"/>
      <c r="B146" s="625"/>
      <c r="C146" s="625"/>
      <c r="D146" s="625"/>
      <c r="E146" s="625"/>
      <c r="F146" s="625"/>
      <c r="G146" s="625"/>
      <c r="H146" s="625"/>
      <c r="I146" s="625"/>
      <c r="J146" s="625"/>
      <c r="K146" s="625"/>
      <c r="L146" s="625"/>
      <c r="M146" s="625"/>
      <c r="N146" s="625"/>
      <c r="O146" s="625"/>
      <c r="P146" s="625"/>
      <c r="Q146" s="625"/>
      <c r="R146" s="625"/>
      <c r="S146" s="625"/>
      <c r="T146" s="625"/>
      <c r="U146" s="625"/>
      <c r="V146" s="625"/>
      <c r="W146" s="625"/>
      <c r="X146" s="625"/>
      <c r="Y146" s="625"/>
    </row>
    <row r="147" spans="1:56">
      <c r="A147" s="625"/>
      <c r="B147" s="625"/>
      <c r="C147" s="764" t="s">
        <v>2027</v>
      </c>
      <c r="D147" s="625"/>
      <c r="E147" s="625"/>
      <c r="F147" s="625"/>
      <c r="G147" s="625"/>
      <c r="H147" s="625"/>
      <c r="I147" s="625"/>
      <c r="J147" s="625"/>
      <c r="K147" s="625"/>
      <c r="L147" s="625"/>
      <c r="M147" s="625"/>
      <c r="N147" s="625"/>
      <c r="O147" s="625"/>
      <c r="P147" s="625"/>
      <c r="Q147" s="625"/>
    </row>
    <row r="148" spans="1:56">
      <c r="A148" s="625"/>
      <c r="B148" s="625"/>
      <c r="C148" s="1008">
        <v>2.3690105999999999E-2</v>
      </c>
      <c r="D148" s="625" t="s">
        <v>2028</v>
      </c>
      <c r="E148" s="625"/>
      <c r="F148" s="625"/>
      <c r="G148" s="625"/>
      <c r="H148" s="625"/>
      <c r="I148" s="625"/>
      <c r="J148" s="625"/>
      <c r="K148" s="625"/>
      <c r="L148" s="625"/>
      <c r="M148" s="625"/>
      <c r="N148" s="625"/>
      <c r="O148" s="625"/>
      <c r="P148" s="625"/>
      <c r="Q148" s="625"/>
    </row>
    <row r="149" spans="1:56">
      <c r="A149" s="625"/>
      <c r="B149" s="625"/>
      <c r="C149" s="625"/>
      <c r="D149" s="625"/>
      <c r="E149" s="625"/>
      <c r="F149" s="625"/>
      <c r="G149" s="625"/>
      <c r="H149" s="625"/>
      <c r="I149" s="625"/>
      <c r="J149" s="625"/>
      <c r="K149" s="625"/>
      <c r="L149" s="625"/>
      <c r="M149" s="625"/>
      <c r="N149" s="625"/>
      <c r="O149" s="625"/>
      <c r="P149" s="625"/>
      <c r="Q149" s="625"/>
    </row>
    <row r="150" spans="1:56">
      <c r="A150" s="625"/>
      <c r="B150" s="625"/>
      <c r="C150" s="1083" t="s">
        <v>2029</v>
      </c>
      <c r="D150" s="1008"/>
      <c r="E150" s="1008"/>
      <c r="F150" s="1008"/>
      <c r="G150" s="1008"/>
      <c r="H150" s="1008"/>
      <c r="I150" s="1008"/>
      <c r="J150" s="1008"/>
      <c r="K150" s="625"/>
      <c r="L150" s="625"/>
      <c r="M150" s="625"/>
      <c r="N150" s="625"/>
      <c r="O150" s="625"/>
      <c r="P150" s="625"/>
      <c r="Q150" s="625"/>
    </row>
    <row r="151" spans="1:56">
      <c r="A151" s="625"/>
      <c r="B151" s="625"/>
      <c r="C151" s="1008"/>
      <c r="D151" s="1008"/>
      <c r="E151" s="1008"/>
      <c r="F151" s="1008"/>
      <c r="G151" s="1008"/>
      <c r="H151" s="1008"/>
      <c r="I151" s="1008"/>
      <c r="J151" s="1008"/>
      <c r="K151" s="625"/>
      <c r="L151" s="625"/>
      <c r="M151" s="625"/>
      <c r="N151" s="625"/>
      <c r="O151" s="625"/>
      <c r="P151" s="625"/>
      <c r="Q151" s="625"/>
    </row>
    <row r="152" spans="1:56">
      <c r="A152" s="625"/>
      <c r="B152" s="625"/>
      <c r="C152" s="1008"/>
      <c r="D152" s="1008" t="s">
        <v>2005</v>
      </c>
      <c r="E152" s="1008"/>
      <c r="F152" s="1008"/>
      <c r="G152" s="1008"/>
      <c r="H152" s="1008"/>
      <c r="I152" s="1008"/>
      <c r="J152" s="1008"/>
      <c r="K152" s="625"/>
      <c r="L152" s="625"/>
      <c r="M152" s="625"/>
      <c r="N152" s="625"/>
      <c r="O152" s="625"/>
      <c r="P152" s="625"/>
      <c r="Q152" s="625"/>
    </row>
    <row r="153" spans="1:56" s="1009" customFormat="1" ht="21.75" thickBot="1">
      <c r="A153" s="625"/>
      <c r="B153" s="625"/>
      <c r="C153" s="1008"/>
      <c r="D153" s="1083" t="s">
        <v>2030</v>
      </c>
      <c r="E153" s="1008"/>
      <c r="F153" s="1008">
        <v>10.117800000000001</v>
      </c>
      <c r="G153" s="1008" t="s">
        <v>2031</v>
      </c>
      <c r="H153" s="1008"/>
      <c r="I153" s="1008" t="s">
        <v>2032</v>
      </c>
      <c r="J153" s="1008"/>
      <c r="K153" s="625"/>
      <c r="L153" s="625"/>
      <c r="M153" s="625"/>
      <c r="N153" s="625"/>
      <c r="O153" s="625"/>
      <c r="P153" s="625"/>
      <c r="Q153" s="625"/>
      <c r="R153"/>
      <c r="S153"/>
      <c r="T153"/>
      <c r="U153"/>
      <c r="V153"/>
      <c r="W153"/>
      <c r="X153"/>
      <c r="Y153"/>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row>
    <row r="154" spans="1:56" ht="15.75" thickBot="1">
      <c r="A154" s="625"/>
      <c r="B154" s="625"/>
      <c r="C154" s="1008"/>
      <c r="D154" s="1083" t="s">
        <v>2033</v>
      </c>
      <c r="E154" s="1008"/>
      <c r="F154" s="1084">
        <v>5.0000000000000001E-3</v>
      </c>
      <c r="G154" s="1008" t="s">
        <v>2034</v>
      </c>
      <c r="H154" s="1008"/>
      <c r="I154" s="1086" t="s">
        <v>2035</v>
      </c>
      <c r="J154" s="1087"/>
      <c r="K154" s="625"/>
      <c r="L154" s="625"/>
      <c r="M154" s="625"/>
      <c r="N154" s="625"/>
      <c r="O154" s="625"/>
      <c r="P154" s="625"/>
      <c r="Q154" s="625"/>
    </row>
    <row r="155" spans="1:56" ht="15.75" thickBot="1">
      <c r="A155" s="625"/>
      <c r="B155" s="625"/>
      <c r="C155" s="1008"/>
      <c r="D155" s="1083" t="s">
        <v>2036</v>
      </c>
      <c r="E155" s="1008"/>
      <c r="F155" s="1088">
        <v>1.571428571</v>
      </c>
      <c r="G155" s="1008" t="s">
        <v>2037</v>
      </c>
      <c r="H155" s="1008"/>
      <c r="I155" s="1008"/>
      <c r="J155" s="1008"/>
      <c r="K155" s="625"/>
      <c r="L155" s="625"/>
      <c r="M155" s="625"/>
      <c r="N155" s="625"/>
      <c r="O155" s="625"/>
      <c r="P155" s="625"/>
      <c r="Q155" s="625"/>
    </row>
    <row r="156" spans="1:56" ht="15.75" thickBot="1">
      <c r="A156" s="625"/>
      <c r="B156" s="625"/>
      <c r="C156" s="1008"/>
      <c r="D156" s="1083" t="s">
        <v>2038</v>
      </c>
      <c r="E156" s="1008"/>
      <c r="F156" s="1088">
        <v>0</v>
      </c>
      <c r="G156" s="1008" t="s">
        <v>2039</v>
      </c>
      <c r="H156" s="1008"/>
      <c r="I156" s="1086" t="s">
        <v>2035</v>
      </c>
      <c r="J156" s="1008"/>
      <c r="K156" s="625"/>
      <c r="L156" s="625"/>
      <c r="M156" s="625"/>
      <c r="N156" s="625"/>
      <c r="O156" s="625"/>
      <c r="P156" s="625"/>
      <c r="Q156" s="625"/>
    </row>
    <row r="157" spans="1:56" ht="15.75" thickBot="1">
      <c r="A157" s="625"/>
      <c r="B157" s="625"/>
      <c r="C157" s="1008"/>
      <c r="D157" s="1083" t="s">
        <v>2022</v>
      </c>
      <c r="E157" s="1008"/>
      <c r="F157" s="1085">
        <f>'[2]Select GWP here'!$C$13</f>
        <v>298</v>
      </c>
      <c r="G157" s="1008"/>
      <c r="H157" s="1008"/>
      <c r="I157" s="1042" t="s">
        <v>2040</v>
      </c>
      <c r="J157" s="1008"/>
      <c r="K157" s="625"/>
      <c r="L157" s="625"/>
      <c r="M157" s="625"/>
      <c r="N157" s="625"/>
      <c r="O157" s="625"/>
      <c r="P157" s="625"/>
      <c r="Q157" s="625"/>
    </row>
    <row r="158" spans="1:56">
      <c r="A158" s="625"/>
      <c r="B158" s="625"/>
      <c r="C158" s="1008"/>
      <c r="D158" s="1008"/>
      <c r="E158" s="1008"/>
      <c r="F158" s="1008"/>
      <c r="G158" s="1008"/>
      <c r="H158" s="1008"/>
      <c r="I158" s="1008"/>
      <c r="J158" s="1008"/>
      <c r="K158" s="625"/>
      <c r="L158" s="625"/>
      <c r="M158" s="625"/>
      <c r="N158" s="625"/>
      <c r="O158" s="625"/>
      <c r="P158" s="625"/>
      <c r="Q158" s="625"/>
    </row>
    <row r="159" spans="1:56">
      <c r="A159" s="625"/>
      <c r="B159" s="625"/>
      <c r="C159" s="1083" t="s">
        <v>2041</v>
      </c>
      <c r="D159" s="1008"/>
      <c r="E159" s="1008"/>
      <c r="F159" s="1008"/>
      <c r="G159" s="1008"/>
      <c r="H159" s="1008"/>
      <c r="I159" s="1008"/>
      <c r="J159" s="1008"/>
      <c r="K159" s="625"/>
      <c r="L159" s="625"/>
      <c r="M159" s="625"/>
      <c r="N159" s="625"/>
      <c r="O159" s="625"/>
      <c r="P159" s="625"/>
      <c r="Q159" s="625"/>
    </row>
    <row r="160" spans="1:56">
      <c r="A160" s="625"/>
      <c r="B160" s="625"/>
      <c r="C160" s="1008"/>
      <c r="D160" s="1008"/>
      <c r="E160" s="1008"/>
      <c r="F160" s="1008"/>
      <c r="G160" s="1008"/>
      <c r="H160" s="1008"/>
      <c r="I160" s="1008"/>
      <c r="J160" s="1008"/>
      <c r="K160" s="625"/>
      <c r="L160" s="625"/>
      <c r="M160" s="625"/>
      <c r="N160" s="625"/>
      <c r="O160" s="625"/>
      <c r="P160" s="625"/>
      <c r="Q160" s="625"/>
    </row>
    <row r="161" spans="1:56" ht="15.75" thickBot="1">
      <c r="A161" s="625"/>
      <c r="B161" s="625"/>
      <c r="C161" s="1008"/>
      <c r="D161" s="1008" t="s">
        <v>2005</v>
      </c>
      <c r="E161" s="1008"/>
      <c r="F161" s="1008"/>
      <c r="G161" s="1008"/>
      <c r="H161" s="1008"/>
      <c r="I161" s="1008"/>
      <c r="J161" s="1008"/>
      <c r="K161" s="625"/>
      <c r="L161" s="625"/>
      <c r="M161" s="625"/>
      <c r="N161" s="625"/>
      <c r="O161" s="625"/>
      <c r="P161" s="625"/>
      <c r="Q161" s="625"/>
    </row>
    <row r="162" spans="1:56" ht="15.75" thickBot="1">
      <c r="A162" s="625"/>
      <c r="B162" s="625"/>
      <c r="C162" s="1008"/>
      <c r="D162" s="1083" t="s">
        <v>2042</v>
      </c>
      <c r="E162" s="1008"/>
      <c r="F162" s="1088">
        <v>1</v>
      </c>
      <c r="G162" s="1008" t="s">
        <v>2043</v>
      </c>
      <c r="H162" s="1008"/>
      <c r="I162" s="1008"/>
      <c r="J162" s="1008"/>
      <c r="K162" s="625"/>
      <c r="L162" s="625"/>
      <c r="M162" s="625"/>
      <c r="N162" s="625"/>
      <c r="O162" s="625"/>
      <c r="P162" s="625"/>
      <c r="Q162" s="625"/>
    </row>
    <row r="163" spans="1:56" ht="15.75" thickBot="1">
      <c r="A163" s="625"/>
      <c r="B163" s="625"/>
      <c r="C163" s="1008"/>
      <c r="D163" s="1083" t="s">
        <v>2044</v>
      </c>
      <c r="E163" s="1008"/>
      <c r="F163" s="1084">
        <v>36.134999999999998</v>
      </c>
      <c r="G163" s="1008" t="s">
        <v>2045</v>
      </c>
      <c r="H163" s="1008"/>
      <c r="I163" s="1086" t="s">
        <v>2046</v>
      </c>
      <c r="J163" s="1008"/>
      <c r="K163" s="625"/>
      <c r="L163" s="625"/>
      <c r="M163" s="625"/>
      <c r="N163" s="625"/>
      <c r="O163" s="625"/>
      <c r="P163" s="625"/>
      <c r="Q163" s="625"/>
    </row>
    <row r="164" spans="1:56" ht="15.75" thickBot="1">
      <c r="A164" s="625"/>
      <c r="B164" s="625"/>
      <c r="C164" s="1008"/>
      <c r="D164" s="1083" t="s">
        <v>2047</v>
      </c>
      <c r="E164" s="1008"/>
      <c r="F164" s="1084">
        <v>0.16</v>
      </c>
      <c r="G164" s="1008"/>
      <c r="H164" s="1008"/>
      <c r="I164" s="1086" t="s">
        <v>2035</v>
      </c>
      <c r="J164" s="1008"/>
      <c r="K164" s="625"/>
      <c r="L164" s="625"/>
      <c r="M164" s="625"/>
      <c r="N164" s="625"/>
      <c r="O164" s="625"/>
      <c r="P164" s="625"/>
      <c r="Q164" s="625"/>
    </row>
    <row r="165" spans="1:56" ht="15.75" thickBot="1">
      <c r="A165" s="625"/>
      <c r="B165" s="625"/>
      <c r="C165" s="1008"/>
      <c r="D165" s="1083" t="s">
        <v>2048</v>
      </c>
      <c r="E165" s="1008"/>
      <c r="F165" s="1084">
        <v>1.4</v>
      </c>
      <c r="G165" s="1008"/>
      <c r="H165" s="1008"/>
      <c r="I165" s="1086" t="s">
        <v>2035</v>
      </c>
      <c r="J165" s="1008"/>
      <c r="K165" s="625"/>
      <c r="L165" s="625"/>
      <c r="M165" s="625"/>
      <c r="N165" s="625"/>
      <c r="O165" s="625"/>
      <c r="P165" s="625"/>
      <c r="Q165" s="625"/>
    </row>
    <row r="166" spans="1:56" s="1009" customFormat="1" ht="21.75" thickBot="1">
      <c r="A166" s="625"/>
      <c r="B166" s="625"/>
      <c r="C166" s="1008"/>
      <c r="D166" s="1083" t="s">
        <v>2049</v>
      </c>
      <c r="E166" s="1008"/>
      <c r="F166" s="1084">
        <v>1.25</v>
      </c>
      <c r="G166" s="1008"/>
      <c r="H166" s="1008"/>
      <c r="I166" s="1086" t="s">
        <v>2035</v>
      </c>
      <c r="J166" s="1008"/>
      <c r="K166" s="625"/>
      <c r="L166" s="625"/>
      <c r="M166" s="625"/>
      <c r="N166" s="625"/>
      <c r="O166" s="625"/>
      <c r="P166" s="625"/>
      <c r="Q166" s="625"/>
      <c r="R166"/>
      <c r="S166"/>
      <c r="T166"/>
      <c r="U166"/>
      <c r="V166"/>
      <c r="W166"/>
      <c r="X166"/>
      <c r="Y166"/>
      <c r="Z166" s="1079"/>
      <c r="AA166" s="1079"/>
      <c r="AB166" s="1079"/>
      <c r="AC166" s="1079"/>
      <c r="AD166" s="1079"/>
      <c r="AE166" s="1079"/>
      <c r="AF166" s="1079"/>
      <c r="AG166" s="1079"/>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row>
    <row r="167" spans="1:56" ht="21.75" thickBot="1">
      <c r="A167" s="625"/>
      <c r="B167" s="625"/>
      <c r="C167" s="1008"/>
      <c r="D167" s="1083" t="s">
        <v>2050</v>
      </c>
      <c r="E167" s="1008"/>
      <c r="F167" s="1084">
        <v>0</v>
      </c>
      <c r="G167" s="1008" t="s">
        <v>2051</v>
      </c>
      <c r="H167" s="1008"/>
      <c r="I167" s="1086" t="s">
        <v>2035</v>
      </c>
      <c r="J167" s="1008"/>
      <c r="K167" s="625"/>
      <c r="L167" s="1009"/>
      <c r="M167" s="1009"/>
      <c r="N167" s="1009"/>
      <c r="O167" s="1009"/>
      <c r="P167" s="625"/>
      <c r="Q167" s="625"/>
    </row>
    <row r="168" spans="1:56">
      <c r="A168" s="625"/>
      <c r="B168" s="625"/>
      <c r="C168" s="625"/>
      <c r="D168" s="625"/>
      <c r="E168" s="625"/>
      <c r="F168" s="625"/>
      <c r="G168" s="625"/>
      <c r="H168" s="625"/>
      <c r="I168" s="625"/>
      <c r="J168" s="625"/>
      <c r="K168" s="625"/>
      <c r="L168" s="625"/>
      <c r="M168" s="625"/>
      <c r="N168" s="625"/>
      <c r="O168" s="625"/>
      <c r="P168" s="625"/>
      <c r="Q168" s="625"/>
    </row>
    <row r="169" spans="1:56" ht="21">
      <c r="A169" s="1009" t="s">
        <v>2052</v>
      </c>
      <c r="B169" s="1009"/>
      <c r="C169" s="1009"/>
      <c r="D169" s="1009"/>
      <c r="E169" s="1009"/>
      <c r="F169" s="1009"/>
      <c r="G169" s="1009"/>
      <c r="H169" s="1009"/>
      <c r="I169" s="1009"/>
      <c r="J169" s="1009"/>
      <c r="K169" s="1009"/>
      <c r="M169" s="625"/>
      <c r="N169" s="625"/>
      <c r="O169" s="625"/>
      <c r="P169" s="1009"/>
      <c r="Q169" s="1009"/>
      <c r="R169" s="1009"/>
      <c r="S169" s="1009"/>
      <c r="T169" s="1009"/>
      <c r="U169" s="1009"/>
      <c r="V169" s="1009"/>
      <c r="W169" s="1009"/>
      <c r="X169" s="1009"/>
      <c r="Y169" s="1009"/>
    </row>
    <row r="170" spans="1:56">
      <c r="A170" s="625"/>
      <c r="B170" s="625"/>
      <c r="C170" s="625"/>
      <c r="D170" s="625"/>
      <c r="E170" s="625"/>
      <c r="F170" s="625"/>
      <c r="G170" s="625"/>
      <c r="H170" s="625"/>
      <c r="I170" s="625"/>
      <c r="J170" s="625"/>
      <c r="K170" s="625"/>
      <c r="M170" s="625"/>
      <c r="N170" s="625"/>
      <c r="O170" s="625"/>
      <c r="P170" s="625"/>
      <c r="Q170" s="625"/>
    </row>
    <row r="171" spans="1:56">
      <c r="A171" s="625"/>
      <c r="B171" s="625"/>
      <c r="C171" s="625" t="s">
        <v>48</v>
      </c>
      <c r="D171" s="625"/>
      <c r="E171" s="625"/>
      <c r="F171" s="625"/>
      <c r="G171" s="625"/>
      <c r="H171" s="625"/>
      <c r="I171" s="764"/>
      <c r="J171" s="625"/>
      <c r="K171" s="764"/>
      <c r="M171" s="625"/>
      <c r="N171" s="625"/>
      <c r="O171" s="625"/>
      <c r="P171" s="625"/>
      <c r="Q171" s="625"/>
    </row>
    <row r="172" spans="1:56">
      <c r="A172" s="625"/>
      <c r="B172" s="625"/>
      <c r="C172" s="625"/>
      <c r="D172" s="625"/>
      <c r="E172" s="625"/>
      <c r="F172" s="625"/>
      <c r="G172" s="625"/>
      <c r="H172" s="625"/>
      <c r="I172" s="625"/>
      <c r="J172" s="625"/>
      <c r="K172" s="625"/>
      <c r="M172" s="625"/>
      <c r="N172" s="625"/>
      <c r="O172" s="625"/>
      <c r="P172" s="625"/>
      <c r="Q172" s="625"/>
    </row>
    <row r="173" spans="1:56">
      <c r="A173" s="625"/>
      <c r="B173" s="625"/>
      <c r="C173" s="625"/>
      <c r="D173" s="625"/>
      <c r="E173" s="625"/>
      <c r="F173" s="625"/>
      <c r="G173" s="625"/>
      <c r="H173" s="625"/>
      <c r="I173" s="625"/>
      <c r="J173" s="625"/>
      <c r="K173" s="625"/>
      <c r="M173" s="625"/>
      <c r="N173" s="625"/>
      <c r="O173" s="625"/>
      <c r="P173" s="625"/>
      <c r="Q173" s="625"/>
    </row>
    <row r="174" spans="1:56">
      <c r="A174" s="625"/>
      <c r="B174" s="625"/>
      <c r="C174" s="625"/>
      <c r="D174" s="625"/>
      <c r="E174" s="625"/>
      <c r="F174" s="625"/>
      <c r="G174" s="625"/>
      <c r="H174" s="625"/>
      <c r="I174" s="625"/>
      <c r="J174" s="625"/>
      <c r="K174" s="625"/>
      <c r="M174" s="625"/>
      <c r="N174" s="625"/>
      <c r="O174" s="625"/>
      <c r="P174" s="625"/>
      <c r="Q174" s="625"/>
    </row>
    <row r="175" spans="1:56">
      <c r="A175" s="625"/>
      <c r="B175" s="625"/>
      <c r="C175" s="625"/>
      <c r="D175" s="625"/>
      <c r="E175" s="625"/>
      <c r="F175" s="625"/>
      <c r="G175" s="625"/>
      <c r="H175" s="625"/>
      <c r="I175" s="625"/>
      <c r="J175" s="625"/>
      <c r="K175" s="625"/>
      <c r="M175" s="625"/>
      <c r="N175" s="625"/>
      <c r="O175" s="625"/>
      <c r="P175" s="625"/>
      <c r="Q175" s="625"/>
    </row>
    <row r="176" spans="1:56">
      <c r="A176" s="625"/>
      <c r="B176" s="625"/>
      <c r="C176" s="625"/>
      <c r="D176" s="625"/>
      <c r="E176" s="625"/>
      <c r="F176" s="625"/>
      <c r="G176" s="625"/>
      <c r="H176" s="625"/>
      <c r="I176" s="625"/>
      <c r="J176" s="625"/>
      <c r="K176" s="625"/>
      <c r="M176" s="625"/>
      <c r="N176" s="625"/>
      <c r="O176" s="625"/>
      <c r="P176" s="625"/>
      <c r="Q176" s="625"/>
    </row>
    <row r="177" spans="1:25">
      <c r="A177" s="625"/>
      <c r="B177" s="625"/>
      <c r="C177" s="625"/>
      <c r="D177" s="625"/>
      <c r="E177" s="625"/>
      <c r="F177" s="625"/>
      <c r="G177" s="625"/>
      <c r="H177" s="625"/>
      <c r="I177" s="625"/>
      <c r="J177" s="625"/>
      <c r="K177" s="625"/>
      <c r="M177" s="625"/>
      <c r="N177" s="625"/>
      <c r="O177" s="625"/>
      <c r="P177" s="625"/>
      <c r="Q177" s="625"/>
    </row>
    <row r="178" spans="1:25">
      <c r="A178" s="625"/>
      <c r="B178" s="625"/>
      <c r="C178" s="625"/>
      <c r="D178" s="625"/>
      <c r="E178" s="625"/>
      <c r="F178" s="625"/>
      <c r="G178" s="625"/>
      <c r="H178" s="625"/>
      <c r="I178" s="625"/>
      <c r="J178" s="625"/>
      <c r="K178" s="625"/>
      <c r="M178" s="625"/>
      <c r="N178" s="625"/>
      <c r="O178" s="625"/>
      <c r="P178" s="625"/>
      <c r="Q178" s="625"/>
    </row>
    <row r="179" spans="1:25" ht="21">
      <c r="A179" s="625"/>
      <c r="B179" s="625"/>
      <c r="C179" s="625"/>
      <c r="D179" s="625"/>
      <c r="E179" s="625"/>
      <c r="F179" s="625"/>
      <c r="G179" s="625"/>
      <c r="H179" s="625"/>
      <c r="I179" s="625"/>
      <c r="J179" s="625"/>
      <c r="K179" s="625"/>
      <c r="L179" s="1009"/>
      <c r="M179" s="1009"/>
      <c r="N179" s="1009"/>
      <c r="O179" s="1009"/>
      <c r="P179" s="625"/>
      <c r="Q179" s="625"/>
    </row>
    <row r="180" spans="1:25">
      <c r="A180" s="625"/>
      <c r="B180" s="625"/>
      <c r="C180" s="625"/>
      <c r="D180" s="625"/>
      <c r="E180" s="625"/>
      <c r="F180" s="625"/>
      <c r="G180" s="625"/>
      <c r="H180" s="625"/>
      <c r="I180" s="625"/>
      <c r="J180" s="625"/>
      <c r="K180" s="625"/>
      <c r="M180" s="625"/>
      <c r="N180" s="625"/>
      <c r="O180" s="625"/>
      <c r="P180" s="625"/>
      <c r="Q180" s="625"/>
    </row>
    <row r="181" spans="1:25" ht="21">
      <c r="A181" s="1009" t="s">
        <v>2053</v>
      </c>
      <c r="B181" s="1009"/>
      <c r="C181" s="1009"/>
      <c r="D181" s="1009"/>
      <c r="E181" s="1009"/>
      <c r="F181" s="1009"/>
      <c r="G181" s="1009"/>
      <c r="H181" s="1009"/>
      <c r="I181" s="1009"/>
      <c r="J181" s="1009"/>
      <c r="K181" s="1009"/>
      <c r="M181" s="625"/>
      <c r="N181" s="625"/>
      <c r="O181" s="625"/>
      <c r="P181" s="1009"/>
      <c r="Q181" s="1009"/>
      <c r="R181" s="1009"/>
      <c r="S181" s="1009"/>
      <c r="T181" s="1009"/>
      <c r="U181" s="1009"/>
      <c r="V181" s="1009"/>
      <c r="W181" s="1009"/>
      <c r="X181" s="1009"/>
      <c r="Y181" s="1009"/>
    </row>
    <row r="182" spans="1:25">
      <c r="A182" s="625"/>
      <c r="B182" s="625"/>
      <c r="C182" s="625"/>
      <c r="D182" s="625"/>
      <c r="E182" s="625"/>
      <c r="F182" s="625"/>
      <c r="G182" s="625"/>
      <c r="H182" s="625"/>
      <c r="I182" s="625"/>
      <c r="J182" s="625"/>
      <c r="K182" s="625"/>
      <c r="M182" s="625"/>
      <c r="N182" s="625"/>
      <c r="O182" s="625"/>
      <c r="P182" s="625"/>
      <c r="Q182" s="625"/>
    </row>
    <row r="183" spans="1:25" ht="15.75" thickBot="1">
      <c r="A183" s="625"/>
      <c r="B183" s="625" t="s">
        <v>2054</v>
      </c>
      <c r="C183" s="625"/>
      <c r="D183" s="764" t="s">
        <v>2055</v>
      </c>
      <c r="E183" s="625"/>
      <c r="F183" s="625"/>
      <c r="G183" s="625"/>
      <c r="H183" s="625"/>
      <c r="I183" s="625"/>
      <c r="J183" s="764" t="s">
        <v>249</v>
      </c>
      <c r="K183" s="625"/>
      <c r="M183" s="625"/>
      <c r="N183" s="625"/>
      <c r="O183" s="625"/>
      <c r="P183" s="625"/>
      <c r="Q183" s="625"/>
    </row>
    <row r="184" spans="1:25" ht="15.75" thickBot="1">
      <c r="A184" s="625" t="s">
        <v>2056</v>
      </c>
      <c r="B184" s="1088">
        <v>9.3222390000000002E-2</v>
      </c>
      <c r="C184" s="625" t="s">
        <v>2057</v>
      </c>
      <c r="D184" s="1089">
        <v>458461109</v>
      </c>
      <c r="E184" s="625" t="s">
        <v>1973</v>
      </c>
      <c r="F184" s="625"/>
      <c r="G184" s="625"/>
      <c r="H184" s="625"/>
      <c r="J184" s="1089">
        <v>550000000</v>
      </c>
      <c r="K184" s="625" t="s">
        <v>1975</v>
      </c>
      <c r="M184" s="625"/>
      <c r="N184" s="625"/>
      <c r="O184" s="625"/>
      <c r="P184" s="625"/>
      <c r="Q184" s="625"/>
    </row>
    <row r="185" spans="1:25" ht="15.75" thickBot="1">
      <c r="A185" s="625" t="s">
        <v>2058</v>
      </c>
      <c r="B185" s="1088">
        <v>4.3941259999999999E-3</v>
      </c>
      <c r="C185" s="625" t="s">
        <v>2059</v>
      </c>
      <c r="D185" s="1088">
        <v>438624936.5</v>
      </c>
      <c r="E185" s="625" t="s">
        <v>2060</v>
      </c>
      <c r="F185" s="625"/>
      <c r="G185" s="625"/>
      <c r="H185" s="625"/>
      <c r="J185" s="1090">
        <v>501905834.5</v>
      </c>
      <c r="K185" s="625" t="s">
        <v>2061</v>
      </c>
      <c r="M185" s="625"/>
      <c r="N185" s="625"/>
      <c r="O185" s="625"/>
      <c r="P185" s="625"/>
      <c r="Q185" s="625"/>
    </row>
    <row r="186" spans="1:25" ht="15.75" thickBot="1">
      <c r="A186" s="625" t="s">
        <v>2062</v>
      </c>
      <c r="B186" s="1091">
        <v>8.6137000000000006E-5</v>
      </c>
      <c r="C186" s="625" t="s">
        <v>2063</v>
      </c>
      <c r="D186" s="406">
        <f>D184/J184*D185</f>
        <v>365622681.49608105</v>
      </c>
      <c r="E186" s="625" t="s">
        <v>2064</v>
      </c>
      <c r="F186" s="625"/>
      <c r="G186" s="625"/>
      <c r="H186" s="625"/>
      <c r="J186" s="1088">
        <v>578628.35919999995</v>
      </c>
      <c r="K186" s="625" t="s">
        <v>2065</v>
      </c>
      <c r="M186" s="625"/>
      <c r="N186" s="625"/>
      <c r="O186" s="625"/>
      <c r="P186" s="625"/>
      <c r="Q186" s="625"/>
    </row>
    <row r="187" spans="1:25" ht="15.75" thickBot="1">
      <c r="A187" s="625"/>
      <c r="B187" s="625"/>
      <c r="C187" s="625"/>
      <c r="D187" s="1088">
        <v>1093889.51</v>
      </c>
      <c r="E187" s="625" t="s">
        <v>2066</v>
      </c>
      <c r="F187" s="625"/>
      <c r="G187" s="625"/>
      <c r="H187" s="625"/>
      <c r="J187" s="1092">
        <f>J186/J185</f>
        <v>1.1528623885722132E-3</v>
      </c>
      <c r="K187" s="625" t="s">
        <v>2067</v>
      </c>
      <c r="M187" s="625"/>
      <c r="N187" s="625"/>
      <c r="O187" s="625"/>
      <c r="P187" s="625"/>
      <c r="Q187" s="625"/>
    </row>
    <row r="188" spans="1:25">
      <c r="A188" s="625"/>
      <c r="B188" s="625"/>
      <c r="C188" s="625"/>
      <c r="D188" s="1092">
        <f>D187/D186</f>
        <v>2.9918535292283964E-3</v>
      </c>
      <c r="E188" s="625" t="s">
        <v>2067</v>
      </c>
      <c r="F188" s="625"/>
      <c r="G188" s="625"/>
      <c r="H188" s="625"/>
      <c r="J188" s="1092">
        <f>J187*B191</f>
        <v>0.32023980857281226</v>
      </c>
      <c r="K188" s="625" t="s">
        <v>2068</v>
      </c>
      <c r="M188" s="625"/>
      <c r="N188" s="625"/>
      <c r="O188" s="625"/>
      <c r="P188" s="625"/>
      <c r="Q188" s="625"/>
    </row>
    <row r="189" spans="1:25">
      <c r="A189" s="625"/>
      <c r="B189" s="625"/>
      <c r="C189" s="625"/>
      <c r="D189" s="1092">
        <f>D188*B191</f>
        <v>0.8310710896420056</v>
      </c>
      <c r="E189" s="625" t="s">
        <v>2068</v>
      </c>
      <c r="F189" s="625"/>
      <c r="G189" s="625"/>
      <c r="H189" s="625"/>
      <c r="J189" s="404">
        <f>SUM(J190:J192)</f>
        <v>3.1288278893775903E-2</v>
      </c>
      <c r="K189" s="625" t="s">
        <v>2069</v>
      </c>
      <c r="M189" s="625"/>
      <c r="N189" s="625"/>
      <c r="O189" s="625"/>
      <c r="P189" s="625"/>
      <c r="Q189" s="625"/>
    </row>
    <row r="190" spans="1:25" ht="15.75" thickBot="1">
      <c r="A190" s="625"/>
      <c r="B190" s="625"/>
      <c r="C190" s="625"/>
      <c r="D190" s="404">
        <f>SUM(D191:D193)</f>
        <v>8.1197850289624771E-2</v>
      </c>
      <c r="E190" s="625" t="s">
        <v>2069</v>
      </c>
      <c r="F190" s="625"/>
      <c r="G190" s="625"/>
      <c r="H190" s="625"/>
      <c r="J190" s="1092">
        <f>$B184*J$188</f>
        <v>2.9853520328300048E-2</v>
      </c>
      <c r="K190" s="625" t="s">
        <v>2070</v>
      </c>
      <c r="M190" s="625"/>
      <c r="N190" s="625"/>
      <c r="O190" s="625"/>
      <c r="P190" s="625"/>
      <c r="Q190" s="625"/>
    </row>
    <row r="191" spans="1:25" ht="15.75" thickBot="1">
      <c r="A191" s="625" t="s">
        <v>2071</v>
      </c>
      <c r="B191" s="1088">
        <v>277.77800000000002</v>
      </c>
      <c r="C191" s="625" t="s">
        <v>2072</v>
      </c>
      <c r="D191" s="1092">
        <f>$B184*D$189</f>
        <v>7.7474433236332005E-2</v>
      </c>
      <c r="E191" s="625" t="s">
        <v>2070</v>
      </c>
      <c r="F191" s="625"/>
      <c r="G191" s="625"/>
      <c r="H191" s="625"/>
      <c r="J191" s="1092">
        <f>$B185*J$188</f>
        <v>1.4071740690848173E-3</v>
      </c>
      <c r="K191" s="625" t="s">
        <v>2073</v>
      </c>
      <c r="L191" s="625"/>
      <c r="M191" s="625"/>
      <c r="N191" s="625"/>
      <c r="O191" s="625"/>
      <c r="P191" s="625"/>
      <c r="Q191" s="625"/>
    </row>
    <row r="192" spans="1:25">
      <c r="A192" s="625"/>
      <c r="B192" s="625"/>
      <c r="C192" s="625"/>
      <c r="D192" s="1092">
        <f>$B185*D$189</f>
        <v>3.6518310828442674E-3</v>
      </c>
      <c r="E192" s="625" t="s">
        <v>2073</v>
      </c>
      <c r="F192" s="625"/>
      <c r="G192" s="625"/>
      <c r="H192" s="625"/>
      <c r="J192" s="1092">
        <f>$B186*J$188</f>
        <v>2.758449639103633E-5</v>
      </c>
      <c r="K192" s="625" t="s">
        <v>2074</v>
      </c>
      <c r="L192" s="625"/>
      <c r="M192" s="625"/>
      <c r="N192" s="625"/>
      <c r="O192" s="625"/>
      <c r="P192" s="625"/>
      <c r="Q192" s="625"/>
    </row>
    <row r="193" spans="1:56">
      <c r="A193" s="625"/>
      <c r="B193" s="625"/>
      <c r="C193" s="625"/>
      <c r="D193" s="1092">
        <f>$B186*D$189</f>
        <v>7.1585970448493442E-5</v>
      </c>
      <c r="E193" s="625" t="s">
        <v>2074</v>
      </c>
      <c r="F193" s="625"/>
      <c r="G193" s="625"/>
      <c r="H193" s="625"/>
      <c r="I193" s="625"/>
      <c r="J193" s="625"/>
      <c r="K193" s="625"/>
      <c r="L193" s="625"/>
      <c r="M193" s="625"/>
      <c r="N193" s="625"/>
      <c r="O193" s="625"/>
      <c r="P193" s="625"/>
      <c r="Q193" s="625"/>
    </row>
    <row r="194" spans="1:56">
      <c r="A194" s="625"/>
      <c r="B194" s="625"/>
      <c r="C194" s="625"/>
      <c r="D194" s="764"/>
      <c r="E194" s="625"/>
      <c r="F194" s="625"/>
      <c r="G194" s="625"/>
      <c r="H194" s="625"/>
      <c r="I194" s="625"/>
      <c r="J194" s="625"/>
      <c r="K194" s="625"/>
      <c r="L194" s="625"/>
      <c r="M194" s="625"/>
      <c r="N194" s="625"/>
      <c r="O194" s="625"/>
      <c r="P194" s="625"/>
      <c r="Q194" s="625"/>
    </row>
    <row r="195" spans="1:56">
      <c r="A195" s="625"/>
      <c r="B195" s="625"/>
      <c r="C195" s="625"/>
      <c r="D195" s="625" t="s">
        <v>2075</v>
      </c>
      <c r="E195" s="625"/>
      <c r="F195" s="625"/>
      <c r="G195" s="625"/>
      <c r="H195" s="625"/>
      <c r="I195" s="625"/>
      <c r="J195" s="625"/>
      <c r="K195" s="625"/>
      <c r="L195" s="625"/>
      <c r="M195" s="625"/>
      <c r="N195" s="625"/>
      <c r="O195" s="625"/>
      <c r="P195" s="625"/>
      <c r="Q195" s="625"/>
    </row>
    <row r="196" spans="1:56">
      <c r="A196" s="625"/>
      <c r="B196" s="625"/>
      <c r="C196" s="625"/>
      <c r="D196" s="625"/>
      <c r="E196" s="625"/>
      <c r="F196" s="625"/>
      <c r="G196" s="625"/>
      <c r="H196" s="625"/>
      <c r="I196" s="625"/>
      <c r="J196" s="625"/>
      <c r="K196" s="625"/>
      <c r="L196" s="625"/>
      <c r="M196" s="625"/>
      <c r="N196" s="625"/>
      <c r="O196" s="625"/>
      <c r="P196" s="625"/>
      <c r="Q196" s="625"/>
    </row>
    <row r="197" spans="1:56">
      <c r="A197" s="625"/>
      <c r="B197" s="625"/>
      <c r="C197" s="625"/>
      <c r="D197" s="1093" t="s">
        <v>2076</v>
      </c>
      <c r="E197" s="1094"/>
      <c r="F197" s="625"/>
      <c r="G197" s="625"/>
      <c r="H197" s="625"/>
      <c r="I197" s="625"/>
      <c r="J197" s="625"/>
      <c r="K197" s="625"/>
      <c r="L197" s="625"/>
      <c r="M197" s="625"/>
      <c r="N197" s="625"/>
      <c r="O197" s="625"/>
      <c r="P197" s="625"/>
      <c r="Q197" s="625"/>
    </row>
    <row r="198" spans="1:56">
      <c r="A198" s="625"/>
      <c r="B198" s="625"/>
      <c r="C198" s="625"/>
      <c r="D198" s="409">
        <v>438624936.52181053</v>
      </c>
      <c r="E198" s="1094" t="s">
        <v>2060</v>
      </c>
      <c r="F198" s="625"/>
      <c r="G198" s="625"/>
      <c r="H198" s="625"/>
      <c r="I198" s="625"/>
      <c r="J198" s="625"/>
      <c r="K198" s="625"/>
      <c r="L198" s="625"/>
      <c r="M198" s="625"/>
      <c r="N198" s="625"/>
      <c r="O198" s="625"/>
      <c r="P198" s="625"/>
      <c r="Q198" s="625"/>
    </row>
    <row r="199" spans="1:56">
      <c r="A199" s="625"/>
      <c r="B199" s="625"/>
      <c r="C199" s="625"/>
      <c r="D199" s="408">
        <v>1093889.5095266581</v>
      </c>
      <c r="E199" s="1094" t="s">
        <v>2066</v>
      </c>
      <c r="F199" s="625"/>
      <c r="G199" s="625"/>
      <c r="H199" s="625"/>
      <c r="I199" s="625"/>
      <c r="J199" s="625"/>
      <c r="K199" s="625"/>
      <c r="L199" s="625"/>
      <c r="M199" s="625"/>
      <c r="N199" s="625"/>
      <c r="O199" s="625"/>
      <c r="P199" s="625"/>
      <c r="Q199" s="625"/>
    </row>
    <row r="200" spans="1:56">
      <c r="A200" s="625"/>
      <c r="B200" s="625"/>
      <c r="C200" s="625"/>
      <c r="D200" s="408">
        <f>D199/D198</f>
        <v>2.4939063387525041E-3</v>
      </c>
      <c r="E200" s="1094" t="s">
        <v>2067</v>
      </c>
      <c r="F200" s="625"/>
      <c r="G200" s="625"/>
      <c r="H200" s="625"/>
      <c r="I200" s="625"/>
      <c r="J200" s="625"/>
      <c r="K200" s="625"/>
      <c r="L200" s="625"/>
      <c r="M200" s="625"/>
      <c r="N200" s="625"/>
      <c r="O200" s="625"/>
      <c r="P200" s="625"/>
      <c r="Q200" s="625"/>
    </row>
    <row r="201" spans="1:56">
      <c r="A201" s="625"/>
      <c r="B201" s="625"/>
      <c r="C201" s="625"/>
      <c r="D201" s="408">
        <f>D200*B191</f>
        <v>0.6927523149659931</v>
      </c>
      <c r="E201" s="1094" t="s">
        <v>2068</v>
      </c>
      <c r="F201" s="625"/>
      <c r="G201" s="625"/>
      <c r="H201" s="625"/>
      <c r="I201" s="625"/>
      <c r="J201" s="625"/>
      <c r="K201" s="625"/>
      <c r="L201" s="625"/>
      <c r="M201" s="625"/>
      <c r="N201" s="625"/>
      <c r="O201" s="625"/>
      <c r="P201" s="625"/>
      <c r="Q201" s="625"/>
    </row>
    <row r="202" spans="1:56">
      <c r="A202" s="625"/>
      <c r="B202" s="625"/>
      <c r="C202" s="625"/>
      <c r="D202" s="407">
        <f>SUM(D203:D205)</f>
        <v>6.768373904406913E-2</v>
      </c>
      <c r="E202" s="1094" t="s">
        <v>2069</v>
      </c>
      <c r="F202" s="625"/>
      <c r="G202" s="625"/>
      <c r="H202" s="625"/>
      <c r="I202" s="625"/>
      <c r="J202" s="625"/>
      <c r="K202" s="625"/>
      <c r="L202" s="625"/>
      <c r="M202" s="625"/>
      <c r="N202" s="625"/>
      <c r="O202" s="625"/>
      <c r="P202" s="625"/>
      <c r="Q202" s="625"/>
    </row>
    <row r="203" spans="1:56">
      <c r="A203" s="625"/>
      <c r="B203" s="625"/>
      <c r="C203" s="625"/>
      <c r="D203" s="408">
        <f>$B184*D$201</f>
        <v>6.4580026479162653E-2</v>
      </c>
      <c r="E203" s="1094" t="s">
        <v>2070</v>
      </c>
      <c r="F203" s="625"/>
      <c r="G203" s="625"/>
      <c r="H203" s="625"/>
      <c r="I203" s="625"/>
      <c r="J203" s="625"/>
      <c r="K203" s="625"/>
      <c r="L203" s="625"/>
      <c r="M203" s="625"/>
      <c r="N203" s="625"/>
      <c r="O203" s="625"/>
      <c r="P203" s="625"/>
      <c r="Q203" s="625"/>
    </row>
    <row r="204" spans="1:56">
      <c r="A204" s="625"/>
      <c r="B204" s="625"/>
      <c r="C204" s="625"/>
      <c r="D204" s="408">
        <f>$B185*D$201</f>
        <v>3.0440409587522595E-3</v>
      </c>
      <c r="E204" s="1094" t="s">
        <v>2073</v>
      </c>
      <c r="F204" s="625"/>
      <c r="G204" s="625"/>
      <c r="H204" s="625"/>
      <c r="I204" s="625"/>
      <c r="J204" s="625"/>
      <c r="K204" s="625"/>
      <c r="L204" s="625"/>
      <c r="M204" s="625"/>
      <c r="N204" s="625"/>
      <c r="O204" s="625"/>
      <c r="P204" s="625"/>
      <c r="Q204" s="625"/>
    </row>
    <row r="205" spans="1:56">
      <c r="A205" s="625"/>
      <c r="B205" s="625"/>
      <c r="C205" s="625"/>
      <c r="D205" s="408">
        <f>$B186*D$201</f>
        <v>5.9671606154225749E-5</v>
      </c>
      <c r="E205" s="1094" t="s">
        <v>2074</v>
      </c>
      <c r="F205" s="625"/>
      <c r="G205" s="625"/>
      <c r="H205" s="625"/>
      <c r="I205" s="625"/>
      <c r="J205" s="625"/>
      <c r="K205" s="625"/>
      <c r="L205" s="625"/>
      <c r="M205" s="625"/>
      <c r="N205" s="625"/>
      <c r="O205" s="625"/>
      <c r="P205" s="625"/>
      <c r="Q205" s="625"/>
    </row>
    <row r="206" spans="1:56" s="1009" customFormat="1" ht="21">
      <c r="A206" s="625"/>
      <c r="B206" s="625"/>
      <c r="C206" s="625"/>
      <c r="D206" s="625"/>
      <c r="E206" s="625"/>
      <c r="F206" s="625"/>
      <c r="G206" s="625"/>
      <c r="H206" s="625"/>
      <c r="I206" s="625"/>
      <c r="J206" s="625"/>
      <c r="K206" s="625"/>
      <c r="L206" s="625"/>
      <c r="M206" s="625"/>
      <c r="N206" s="625"/>
      <c r="O206" s="625"/>
      <c r="P206" s="625"/>
      <c r="Q206" s="625"/>
      <c r="R206"/>
      <c r="S206"/>
      <c r="T206"/>
      <c r="U206"/>
      <c r="V206"/>
      <c r="W206"/>
      <c r="X206"/>
      <c r="Y206"/>
      <c r="Z206" s="1079"/>
      <c r="AA206" s="1079"/>
      <c r="AB206" s="1079"/>
      <c r="AC206" s="1079"/>
      <c r="AD206" s="1079"/>
      <c r="AE206" s="1079"/>
      <c r="AF206" s="1079"/>
      <c r="AG206" s="1079"/>
      <c r="AH206" s="1079"/>
      <c r="AI206" s="1079"/>
      <c r="AJ206" s="1079"/>
      <c r="AK206" s="1079"/>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row>
    <row r="207" spans="1:56" ht="21">
      <c r="A207" s="625"/>
      <c r="B207" s="625"/>
      <c r="C207" s="625"/>
      <c r="D207" s="625"/>
      <c r="E207" s="625"/>
      <c r="F207" s="625"/>
      <c r="G207" s="625"/>
      <c r="H207" s="625"/>
      <c r="I207" s="625"/>
      <c r="J207" s="625"/>
      <c r="K207" s="625"/>
      <c r="L207" s="1009"/>
      <c r="M207" s="1009"/>
      <c r="N207" s="1009"/>
      <c r="O207" s="1009"/>
      <c r="P207" s="625"/>
      <c r="Q207" s="625"/>
    </row>
    <row r="208" spans="1:56">
      <c r="A208" s="625"/>
      <c r="B208" s="625"/>
      <c r="C208" s="625"/>
      <c r="D208" s="625"/>
      <c r="E208" s="625"/>
      <c r="F208" s="625"/>
      <c r="G208" s="625"/>
      <c r="H208" s="625"/>
      <c r="I208" s="625"/>
      <c r="J208" s="625"/>
      <c r="K208" s="625"/>
      <c r="L208" s="625"/>
      <c r="M208" s="625"/>
      <c r="N208" s="625"/>
      <c r="O208" s="625"/>
      <c r="P208" s="625"/>
      <c r="Q208" s="625"/>
    </row>
    <row r="209" spans="1:25" ht="21">
      <c r="A209" s="1009" t="s">
        <v>2077</v>
      </c>
      <c r="B209" s="1009"/>
      <c r="C209" s="1009"/>
      <c r="D209" s="1009"/>
      <c r="E209" s="1009"/>
      <c r="F209" s="1009"/>
      <c r="G209" s="1009"/>
      <c r="H209" s="1009"/>
      <c r="I209" s="1009"/>
      <c r="J209" s="1009"/>
      <c r="K209" s="1009"/>
      <c r="L209" s="625"/>
      <c r="M209" s="625"/>
      <c r="N209" s="625"/>
      <c r="O209" s="625"/>
      <c r="P209" s="1009"/>
      <c r="Q209" s="1009"/>
      <c r="R209" s="1009"/>
      <c r="S209" s="1009"/>
      <c r="T209" s="1009"/>
      <c r="U209" s="1009"/>
      <c r="V209" s="1009"/>
      <c r="W209" s="1009"/>
      <c r="X209" s="1009"/>
      <c r="Y209" s="1009"/>
    </row>
    <row r="210" spans="1:25">
      <c r="A210" s="625"/>
      <c r="B210" s="625"/>
      <c r="C210" s="625"/>
      <c r="D210" s="625"/>
      <c r="E210" s="625"/>
      <c r="F210" s="625"/>
      <c r="G210" s="625"/>
      <c r="H210" s="625"/>
      <c r="I210" s="625"/>
      <c r="J210" s="625"/>
      <c r="K210" s="625"/>
      <c r="L210" s="418"/>
      <c r="M210" s="625"/>
      <c r="N210" s="625"/>
      <c r="O210" s="625"/>
      <c r="P210" s="625"/>
      <c r="Q210" s="625"/>
    </row>
    <row r="211" spans="1:25">
      <c r="A211" s="625"/>
      <c r="B211" s="625"/>
      <c r="C211" s="625"/>
      <c r="D211" s="625"/>
      <c r="E211" s="625"/>
      <c r="F211" s="625"/>
      <c r="G211" s="625"/>
      <c r="H211" s="625"/>
      <c r="I211" s="625"/>
      <c r="J211" s="625"/>
      <c r="K211" s="625"/>
      <c r="L211" s="625"/>
      <c r="M211" s="625"/>
      <c r="N211" s="1060"/>
      <c r="O211" s="625"/>
      <c r="P211" s="625"/>
      <c r="Q211" s="625"/>
    </row>
    <row r="212" spans="1:25">
      <c r="A212" s="625"/>
      <c r="B212" s="625"/>
      <c r="C212" s="1068"/>
      <c r="D212" s="755"/>
      <c r="E212" s="755" t="s">
        <v>335</v>
      </c>
      <c r="F212" s="755" t="s">
        <v>355</v>
      </c>
      <c r="G212" s="755" t="s">
        <v>356</v>
      </c>
      <c r="H212" s="755" t="s">
        <v>2078</v>
      </c>
      <c r="I212" s="755" t="s">
        <v>358</v>
      </c>
      <c r="J212" s="625"/>
      <c r="K212" s="418"/>
      <c r="L212" s="625"/>
      <c r="M212" s="625"/>
      <c r="N212" s="1060"/>
      <c r="O212" s="625"/>
      <c r="P212" s="625"/>
      <c r="Q212" s="625"/>
    </row>
    <row r="213" spans="1:25">
      <c r="A213" s="625"/>
      <c r="B213" s="625"/>
      <c r="C213" s="2207" t="s">
        <v>1933</v>
      </c>
      <c r="D213" s="2208"/>
      <c r="E213" s="755" t="s">
        <v>1934</v>
      </c>
      <c r="F213" s="1095">
        <f>SUM(G213:I213)</f>
        <v>47.528121142857145</v>
      </c>
      <c r="G213" s="1096" t="s">
        <v>48</v>
      </c>
      <c r="H213" s="1095">
        <f>H239*H240*H241</f>
        <v>44.6875</v>
      </c>
      <c r="I213" s="1095">
        <f>H280*H281*H282*H283*H284</f>
        <v>2.8406211428571426</v>
      </c>
      <c r="J213" s="625"/>
      <c r="K213" s="625"/>
      <c r="L213" s="625"/>
      <c r="M213" s="625"/>
      <c r="N213" s="1060"/>
      <c r="O213" s="625"/>
      <c r="P213" s="625"/>
      <c r="Q213" s="625"/>
    </row>
    <row r="214" spans="1:25">
      <c r="A214" s="625"/>
      <c r="B214" s="625"/>
      <c r="C214" s="2207" t="s">
        <v>1935</v>
      </c>
      <c r="D214" s="2208"/>
      <c r="E214" s="755" t="s">
        <v>1934</v>
      </c>
      <c r="F214" s="1095">
        <f>SUM(G214:I214)</f>
        <v>47.025275000000008</v>
      </c>
      <c r="G214" s="1096" t="s">
        <v>48</v>
      </c>
      <c r="H214" s="1095">
        <f>H248*H249*H250</f>
        <v>42.968750000000007</v>
      </c>
      <c r="I214" s="1095">
        <f>H291*H292*H293*H294*H295</f>
        <v>4.0565249999999997</v>
      </c>
      <c r="J214" s="625"/>
      <c r="K214" s="625"/>
      <c r="L214" s="625"/>
      <c r="M214" s="625"/>
      <c r="N214" s="1060"/>
      <c r="O214" s="625"/>
      <c r="P214" s="625"/>
      <c r="Q214" s="625"/>
    </row>
    <row r="215" spans="1:25">
      <c r="A215" s="625"/>
      <c r="B215" s="625"/>
      <c r="C215" s="2207" t="s">
        <v>1936</v>
      </c>
      <c r="D215" s="2208"/>
      <c r="E215" s="755" t="s">
        <v>1937</v>
      </c>
      <c r="F215" s="1095">
        <f>SUM(G215:I215)</f>
        <v>10.530000000000001</v>
      </c>
      <c r="G215" s="1096" t="s">
        <v>48</v>
      </c>
      <c r="H215" s="1095">
        <f>H229*H230*H231</f>
        <v>10.530000000000001</v>
      </c>
      <c r="I215" s="1096" t="s">
        <v>48</v>
      </c>
      <c r="J215" s="625"/>
      <c r="K215" s="625"/>
      <c r="L215" s="625"/>
      <c r="M215" s="625"/>
      <c r="N215" s="1060"/>
      <c r="O215" s="625"/>
      <c r="P215" s="625"/>
      <c r="Q215" s="625"/>
    </row>
    <row r="216" spans="1:25">
      <c r="A216" s="625"/>
      <c r="B216" s="625"/>
      <c r="C216" s="2207" t="s">
        <v>1938</v>
      </c>
      <c r="D216" s="2208"/>
      <c r="E216" s="755" t="s">
        <v>1939</v>
      </c>
      <c r="F216" s="1095">
        <f>SUM(G216:I216)</f>
        <v>5.1732404999999995</v>
      </c>
      <c r="G216" s="1096" t="s">
        <v>48</v>
      </c>
      <c r="H216" s="1095">
        <f>H257*H258*H259</f>
        <v>5.1732404999999995</v>
      </c>
      <c r="I216" s="1096" t="s">
        <v>48</v>
      </c>
      <c r="J216" s="625"/>
      <c r="K216" s="625"/>
      <c r="L216" s="625"/>
      <c r="M216" s="625"/>
      <c r="N216" s="1060"/>
      <c r="O216" s="625"/>
      <c r="P216" s="625"/>
      <c r="Q216" s="625"/>
    </row>
    <row r="217" spans="1:25">
      <c r="A217" s="625"/>
      <c r="B217" s="625"/>
      <c r="C217" s="2207" t="s">
        <v>1940</v>
      </c>
      <c r="D217" s="2208"/>
      <c r="E217" s="755" t="s">
        <v>2079</v>
      </c>
      <c r="F217" s="1097">
        <f>SUM(G217:I217)</f>
        <v>0.11497350857142856</v>
      </c>
      <c r="G217" s="1096" t="s">
        <v>48</v>
      </c>
      <c r="H217" s="1096" t="s">
        <v>48</v>
      </c>
      <c r="I217" s="1095">
        <f>H269*H270*H271*H272*H273</f>
        <v>0.11497350857142856</v>
      </c>
      <c r="J217" s="625"/>
      <c r="K217" s="625"/>
      <c r="L217" s="625"/>
      <c r="M217" s="625"/>
      <c r="N217" s="625"/>
      <c r="O217" s="625"/>
      <c r="P217" s="625"/>
      <c r="Q217" s="625"/>
    </row>
    <row r="218" spans="1:25">
      <c r="A218" s="625"/>
      <c r="B218" s="625"/>
      <c r="C218" s="1775"/>
      <c r="D218" s="1775"/>
      <c r="E218" s="1711"/>
      <c r="F218" s="1711"/>
      <c r="G218" s="1711"/>
      <c r="H218" s="1711"/>
      <c r="I218" s="1711"/>
      <c r="J218" s="625"/>
      <c r="K218" s="625"/>
      <c r="L218" s="625"/>
      <c r="M218" s="625"/>
      <c r="N218" s="625"/>
      <c r="O218" s="625"/>
      <c r="P218" s="625"/>
      <c r="Q218" s="625"/>
    </row>
    <row r="219" spans="1:25">
      <c r="A219" s="625"/>
      <c r="B219" s="625"/>
      <c r="C219" s="764"/>
      <c r="D219" s="764"/>
      <c r="E219" s="625"/>
      <c r="F219" s="625"/>
      <c r="G219" s="625"/>
      <c r="H219" s="625"/>
      <c r="I219" s="625"/>
      <c r="J219" s="625"/>
      <c r="K219" s="625"/>
      <c r="L219" s="625"/>
      <c r="M219" s="625"/>
      <c r="N219" s="625"/>
      <c r="O219" s="625"/>
      <c r="P219" s="625"/>
      <c r="Q219" s="625"/>
    </row>
    <row r="220" spans="1:25" ht="21">
      <c r="A220" s="625"/>
      <c r="B220" s="625"/>
      <c r="C220" s="625"/>
      <c r="D220" s="625"/>
      <c r="E220" s="625"/>
      <c r="F220" s="625"/>
      <c r="G220" s="625"/>
      <c r="H220" s="625"/>
      <c r="I220" s="625"/>
      <c r="J220" s="625"/>
      <c r="K220" s="625"/>
      <c r="L220" s="1009"/>
      <c r="M220" s="1009"/>
      <c r="N220" s="1009"/>
      <c r="O220" s="1009"/>
      <c r="P220" s="625"/>
      <c r="Q220" s="625"/>
    </row>
    <row r="221" spans="1:25">
      <c r="A221" s="625"/>
      <c r="B221" s="625"/>
      <c r="C221" s="625"/>
      <c r="D221" s="625"/>
      <c r="E221" s="625"/>
      <c r="F221" s="625"/>
      <c r="G221" s="625"/>
      <c r="H221" s="625"/>
      <c r="I221" s="625"/>
      <c r="J221" s="625"/>
      <c r="K221" s="625"/>
      <c r="L221" s="625"/>
      <c r="M221" s="625"/>
      <c r="N221" s="625"/>
      <c r="O221" s="625"/>
      <c r="P221" s="625"/>
      <c r="Q221" s="625"/>
    </row>
    <row r="222" spans="1:25" ht="21">
      <c r="A222" s="1009"/>
      <c r="B222" s="1009" t="s">
        <v>2080</v>
      </c>
      <c r="C222" s="1009"/>
      <c r="D222" s="1009"/>
      <c r="E222" s="1009"/>
      <c r="F222" s="1009"/>
      <c r="G222" s="1009"/>
      <c r="H222" s="1009"/>
      <c r="I222" s="1009"/>
      <c r="J222" s="1009"/>
      <c r="K222" s="1009"/>
      <c r="L222" s="625"/>
      <c r="M222" s="625"/>
      <c r="N222" s="625"/>
      <c r="O222" s="625"/>
      <c r="P222" s="1009"/>
      <c r="Q222" s="1009"/>
      <c r="R222" s="1009"/>
      <c r="S222" s="1009"/>
      <c r="T222" s="1009"/>
      <c r="U222" s="1009"/>
      <c r="V222" s="1009"/>
      <c r="W222" s="1009"/>
      <c r="X222" s="1009"/>
      <c r="Y222" s="1009"/>
    </row>
    <row r="223" spans="1:25">
      <c r="A223" s="625"/>
      <c r="B223" s="625"/>
      <c r="C223" s="625"/>
      <c r="D223" s="625"/>
      <c r="E223" s="625"/>
      <c r="F223" s="625"/>
      <c r="G223" s="625"/>
      <c r="H223" s="625"/>
      <c r="I223" s="625"/>
      <c r="J223" s="625"/>
      <c r="K223" s="625"/>
      <c r="L223" s="625"/>
      <c r="M223" s="625"/>
      <c r="N223" s="625"/>
      <c r="O223" s="625"/>
      <c r="P223" s="625"/>
      <c r="Q223" s="625"/>
    </row>
    <row r="224" spans="1:25">
      <c r="A224" s="625"/>
      <c r="B224" s="625"/>
      <c r="C224" s="625"/>
      <c r="D224" s="625"/>
      <c r="E224" s="625"/>
      <c r="F224" s="625"/>
      <c r="G224" s="625"/>
      <c r="H224" s="625"/>
      <c r="I224" s="625"/>
      <c r="J224" s="625"/>
      <c r="K224" s="625"/>
      <c r="L224" s="625"/>
      <c r="M224" s="625"/>
      <c r="N224" s="625"/>
      <c r="O224" s="625"/>
      <c r="P224" s="625"/>
      <c r="Q224" s="625"/>
    </row>
    <row r="225" spans="1:17">
      <c r="A225" s="625"/>
      <c r="B225" s="625"/>
      <c r="C225" s="764" t="s">
        <v>2081</v>
      </c>
      <c r="D225" s="625"/>
      <c r="E225" s="625"/>
      <c r="F225" s="625"/>
      <c r="G225" s="625"/>
      <c r="H225" s="625"/>
      <c r="I225" s="625"/>
      <c r="J225" s="625"/>
      <c r="K225" s="625"/>
      <c r="L225" s="625"/>
      <c r="M225" s="625"/>
      <c r="N225" s="625"/>
      <c r="O225" s="625"/>
      <c r="P225" s="625"/>
      <c r="Q225" s="625"/>
    </row>
    <row r="226" spans="1:17">
      <c r="A226" s="625"/>
      <c r="B226" s="625"/>
      <c r="C226" s="625"/>
      <c r="D226" s="625"/>
      <c r="E226" s="625"/>
      <c r="F226" s="625"/>
      <c r="G226" s="625"/>
      <c r="H226" s="625"/>
      <c r="I226" s="625"/>
      <c r="J226" s="625"/>
      <c r="K226" s="625"/>
      <c r="M226" s="625"/>
      <c r="N226" s="625"/>
      <c r="O226" s="625"/>
      <c r="P226" s="625"/>
      <c r="Q226" s="625"/>
    </row>
    <row r="227" spans="1:17">
      <c r="A227" s="625"/>
      <c r="B227" s="625"/>
      <c r="C227" s="625"/>
      <c r="D227" s="625" t="s">
        <v>2082</v>
      </c>
      <c r="E227" s="625"/>
      <c r="F227" s="625"/>
      <c r="G227" s="625"/>
      <c r="H227" s="625"/>
      <c r="I227" s="625"/>
      <c r="J227" s="625"/>
      <c r="K227" s="625"/>
      <c r="M227" s="625"/>
      <c r="N227" s="625"/>
      <c r="O227" s="625"/>
      <c r="P227" s="625"/>
      <c r="Q227" s="625"/>
    </row>
    <row r="228" spans="1:17">
      <c r="A228" s="625"/>
      <c r="B228" s="625"/>
      <c r="C228" s="625"/>
      <c r="D228" s="625"/>
      <c r="E228" s="625"/>
      <c r="F228" s="625"/>
      <c r="G228" s="625"/>
      <c r="H228" s="625"/>
      <c r="I228" s="625"/>
      <c r="J228" s="625" t="s">
        <v>2083</v>
      </c>
      <c r="K228" s="625"/>
      <c r="M228" s="625"/>
      <c r="N228" s="625"/>
      <c r="O228" s="625"/>
      <c r="P228" s="625"/>
      <c r="Q228" s="625"/>
    </row>
    <row r="229" spans="1:17">
      <c r="A229" s="625"/>
      <c r="B229" s="625"/>
      <c r="C229" s="625"/>
      <c r="D229" s="625" t="s">
        <v>2084</v>
      </c>
      <c r="E229" s="625"/>
      <c r="F229" s="625"/>
      <c r="G229" s="625"/>
      <c r="H229" s="625">
        <v>36</v>
      </c>
      <c r="I229" s="625"/>
      <c r="J229" s="625" t="s">
        <v>2085</v>
      </c>
      <c r="K229" s="16"/>
      <c r="M229" s="625"/>
      <c r="N229" s="625"/>
      <c r="O229" s="625"/>
      <c r="P229" s="625"/>
      <c r="Q229" s="625"/>
    </row>
    <row r="230" spans="1:17" ht="15.75" thickBot="1">
      <c r="A230" s="625"/>
      <c r="B230" s="625"/>
      <c r="C230" s="625"/>
      <c r="D230" s="625" t="s">
        <v>2086</v>
      </c>
      <c r="E230" s="625"/>
      <c r="F230" s="625"/>
      <c r="G230" s="625"/>
      <c r="H230" s="625">
        <v>1.17E-2</v>
      </c>
      <c r="I230" s="625"/>
      <c r="J230" s="625" t="s">
        <v>2085</v>
      </c>
      <c r="K230" s="16"/>
      <c r="M230" s="625"/>
      <c r="N230" s="625"/>
      <c r="O230" s="625"/>
      <c r="P230" s="625"/>
      <c r="Q230" s="625"/>
    </row>
    <row r="231" spans="1:17" ht="15.75" thickBot="1">
      <c r="A231" s="625"/>
      <c r="B231" s="625"/>
      <c r="C231" s="625"/>
      <c r="D231" s="625" t="s">
        <v>2022</v>
      </c>
      <c r="E231" s="625"/>
      <c r="F231" s="625"/>
      <c r="G231" s="625"/>
      <c r="H231" s="1085">
        <f>'[2]Select GWP here'!$C$12</f>
        <v>25</v>
      </c>
      <c r="I231" s="625"/>
      <c r="J231" s="1042" t="s">
        <v>2040</v>
      </c>
      <c r="K231" s="16"/>
      <c r="M231" s="625"/>
      <c r="N231" s="625"/>
      <c r="O231" s="625"/>
      <c r="P231" s="625"/>
      <c r="Q231" s="625"/>
    </row>
    <row r="232" spans="1:17">
      <c r="A232" s="625"/>
      <c r="B232" s="625"/>
      <c r="C232" s="625"/>
      <c r="D232" s="625"/>
      <c r="E232" s="625"/>
      <c r="F232" s="625"/>
      <c r="G232" s="625"/>
      <c r="H232" s="625"/>
      <c r="I232" s="625"/>
      <c r="J232" s="625"/>
      <c r="K232" s="16"/>
      <c r="M232" s="625"/>
      <c r="N232" s="625"/>
      <c r="O232" s="625"/>
      <c r="P232" s="625"/>
      <c r="Q232" s="625"/>
    </row>
    <row r="233" spans="1:17">
      <c r="A233" s="625"/>
      <c r="B233" s="625"/>
      <c r="C233" s="625"/>
      <c r="D233" s="625"/>
      <c r="E233" s="625"/>
      <c r="F233" s="625"/>
      <c r="G233" s="625"/>
      <c r="H233" s="625"/>
      <c r="I233" s="625"/>
      <c r="J233" s="625"/>
      <c r="K233" s="625"/>
      <c r="M233" s="625"/>
      <c r="N233" s="625"/>
      <c r="O233" s="625"/>
      <c r="P233" s="625"/>
      <c r="Q233" s="625"/>
    </row>
    <row r="234" spans="1:17">
      <c r="A234" s="625"/>
      <c r="B234" s="625"/>
      <c r="C234" s="625"/>
      <c r="D234" s="625"/>
      <c r="E234" s="625"/>
      <c r="F234" s="625"/>
      <c r="G234" s="625"/>
      <c r="H234" s="625"/>
      <c r="I234" s="625"/>
      <c r="J234" s="625"/>
      <c r="K234" s="625"/>
      <c r="M234" s="625"/>
      <c r="N234" s="625"/>
      <c r="O234" s="625"/>
      <c r="P234" s="625"/>
      <c r="Q234" s="625"/>
    </row>
    <row r="235" spans="1:17">
      <c r="A235" s="625"/>
      <c r="B235" s="625"/>
      <c r="C235" s="764" t="s">
        <v>1933</v>
      </c>
      <c r="D235" s="625"/>
      <c r="E235" s="625"/>
      <c r="F235" s="625"/>
      <c r="G235" s="625"/>
      <c r="H235" s="625"/>
      <c r="I235" s="625"/>
      <c r="J235" s="625"/>
      <c r="K235" s="625"/>
      <c r="M235" s="625"/>
      <c r="N235" s="625"/>
      <c r="O235" s="625"/>
      <c r="P235" s="625"/>
      <c r="Q235" s="625"/>
    </row>
    <row r="236" spans="1:17">
      <c r="A236" s="625"/>
      <c r="B236" s="625"/>
      <c r="C236" s="625"/>
      <c r="D236" s="625"/>
      <c r="E236" s="625"/>
      <c r="F236" s="625"/>
      <c r="G236" s="625"/>
      <c r="H236" s="625"/>
      <c r="I236" s="625"/>
      <c r="J236" s="625"/>
      <c r="K236" s="625"/>
      <c r="M236" s="625"/>
      <c r="N236" s="625"/>
      <c r="O236" s="625"/>
      <c r="P236" s="625"/>
      <c r="Q236" s="625"/>
    </row>
    <row r="237" spans="1:17">
      <c r="A237" s="625"/>
      <c r="B237" s="625"/>
      <c r="C237" s="625"/>
      <c r="D237" s="625" t="s">
        <v>2087</v>
      </c>
      <c r="E237" s="625"/>
      <c r="F237" s="625"/>
      <c r="G237" s="625"/>
      <c r="H237" s="625"/>
      <c r="I237" s="625"/>
      <c r="J237" s="625"/>
      <c r="K237" s="625"/>
      <c r="M237" s="625"/>
      <c r="N237" s="625"/>
      <c r="O237" s="625"/>
      <c r="P237" s="625"/>
      <c r="Q237" s="625"/>
    </row>
    <row r="238" spans="1:17">
      <c r="A238" s="625"/>
      <c r="B238" s="625"/>
      <c r="C238" s="625"/>
      <c r="D238" s="625"/>
      <c r="E238" s="625"/>
      <c r="F238" s="625"/>
      <c r="G238" s="625"/>
      <c r="H238" s="625"/>
      <c r="I238" s="625"/>
      <c r="J238" s="625" t="s">
        <v>2083</v>
      </c>
      <c r="K238" s="625"/>
      <c r="M238" s="625"/>
      <c r="N238" s="625"/>
      <c r="O238" s="625"/>
      <c r="P238" s="625"/>
      <c r="Q238" s="625"/>
    </row>
    <row r="239" spans="1:17">
      <c r="A239" s="625"/>
      <c r="B239" s="625"/>
      <c r="C239" s="625"/>
      <c r="D239" s="625" t="s">
        <v>2088</v>
      </c>
      <c r="E239" s="625"/>
      <c r="F239" s="625"/>
      <c r="G239" s="625"/>
      <c r="H239" s="625">
        <v>50</v>
      </c>
      <c r="I239" s="625"/>
      <c r="J239" s="625" t="s">
        <v>2085</v>
      </c>
      <c r="K239" s="625"/>
      <c r="M239" s="625"/>
      <c r="N239" s="625"/>
      <c r="O239" s="625"/>
      <c r="P239" s="625"/>
      <c r="Q239" s="625"/>
    </row>
    <row r="240" spans="1:17" ht="15.75" thickBot="1">
      <c r="A240" s="625"/>
      <c r="B240" s="625"/>
      <c r="C240" s="625"/>
      <c r="D240" s="625" t="s">
        <v>2089</v>
      </c>
      <c r="E240" s="625"/>
      <c r="F240" s="625"/>
      <c r="G240" s="625"/>
      <c r="H240" s="1098">
        <v>3.5749999999999997E-2</v>
      </c>
      <c r="I240" s="625"/>
      <c r="J240" s="625" t="s">
        <v>2085</v>
      </c>
      <c r="K240" s="625"/>
      <c r="M240" s="625"/>
      <c r="N240" s="625"/>
      <c r="O240" s="625"/>
      <c r="P240" s="625"/>
      <c r="Q240" s="625"/>
    </row>
    <row r="241" spans="1:56" ht="15.75" thickBot="1">
      <c r="A241" s="625"/>
      <c r="B241" s="625"/>
      <c r="C241" s="625"/>
      <c r="D241" s="625" t="s">
        <v>2022</v>
      </c>
      <c r="E241" s="625"/>
      <c r="F241" s="625"/>
      <c r="G241" s="625"/>
      <c r="H241" s="1085">
        <f>'[2]Select GWP here'!$C$12</f>
        <v>25</v>
      </c>
      <c r="I241" s="625"/>
      <c r="J241" s="1042" t="s">
        <v>2040</v>
      </c>
      <c r="K241" s="625"/>
      <c r="M241" s="625"/>
      <c r="N241" s="625"/>
      <c r="O241" s="625"/>
      <c r="P241" s="625"/>
      <c r="Q241" s="625"/>
    </row>
    <row r="242" spans="1:56">
      <c r="A242" s="625"/>
      <c r="B242" s="625"/>
      <c r="C242" s="625"/>
      <c r="D242" s="625"/>
      <c r="E242" s="625"/>
      <c r="F242" s="625"/>
      <c r="G242" s="625"/>
      <c r="H242" s="625"/>
      <c r="I242" s="625"/>
      <c r="J242" s="625"/>
      <c r="K242" s="625"/>
      <c r="M242" s="625"/>
      <c r="N242" s="625"/>
      <c r="O242" s="625"/>
      <c r="P242" s="625"/>
      <c r="Q242" s="625"/>
    </row>
    <row r="243" spans="1:56" s="1009" customFormat="1" ht="21">
      <c r="A243" s="625"/>
      <c r="B243" s="625"/>
      <c r="C243" s="625"/>
      <c r="D243" s="625"/>
      <c r="E243" s="625"/>
      <c r="F243" s="625"/>
      <c r="G243" s="625"/>
      <c r="H243" s="625"/>
      <c r="I243" s="625"/>
      <c r="J243" s="625"/>
      <c r="K243" s="625"/>
      <c r="L243"/>
      <c r="M243" s="625"/>
      <c r="N243" s="625"/>
      <c r="O243" s="625"/>
      <c r="P243" s="625"/>
      <c r="Q243" s="625"/>
      <c r="R243"/>
      <c r="S243"/>
      <c r="T243"/>
      <c r="U243"/>
      <c r="V243"/>
      <c r="W243"/>
      <c r="X243"/>
      <c r="Y243"/>
      <c r="Z243" s="1079"/>
      <c r="AA243" s="1079"/>
      <c r="AB243" s="1079"/>
      <c r="AC243" s="1079"/>
      <c r="AD243" s="1079"/>
      <c r="AE243" s="1079"/>
      <c r="AF243" s="1079"/>
      <c r="AG243" s="1079"/>
      <c r="AH243" s="1079"/>
      <c r="AI243" s="1079"/>
      <c r="AJ243" s="1079"/>
      <c r="AK243" s="1079"/>
      <c r="AL243" s="1079"/>
      <c r="AM243" s="1079"/>
      <c r="AN243" s="1079"/>
      <c r="AO243" s="1079"/>
      <c r="AP243" s="1079"/>
      <c r="AQ243" s="1079"/>
      <c r="AR243" s="1079"/>
      <c r="AS243" s="1079"/>
      <c r="AT243" s="1079"/>
      <c r="AU243" s="1079"/>
      <c r="AV243" s="1079"/>
      <c r="AW243" s="1079"/>
      <c r="AX243" s="1079"/>
      <c r="AY243" s="1079"/>
      <c r="AZ243" s="1079"/>
      <c r="BA243" s="1079"/>
      <c r="BB243" s="1079"/>
      <c r="BC243" s="1079"/>
      <c r="BD243" s="1079"/>
    </row>
    <row r="244" spans="1:56">
      <c r="A244" s="625"/>
      <c r="B244" s="625"/>
      <c r="C244" s="764" t="s">
        <v>1935</v>
      </c>
      <c r="D244" s="625"/>
      <c r="E244" s="625"/>
      <c r="F244" s="625"/>
      <c r="G244" s="625"/>
      <c r="H244" s="625"/>
      <c r="I244" s="625"/>
      <c r="J244" s="625"/>
      <c r="K244" s="625"/>
      <c r="M244" s="625"/>
      <c r="N244" s="625"/>
      <c r="O244" s="625"/>
      <c r="P244" s="625"/>
      <c r="Q244" s="625"/>
    </row>
    <row r="245" spans="1:56">
      <c r="A245" s="625"/>
      <c r="B245" s="625"/>
      <c r="C245" s="625"/>
      <c r="D245" s="625"/>
      <c r="E245" s="625"/>
      <c r="F245" s="625"/>
      <c r="G245" s="625"/>
      <c r="H245" s="625"/>
      <c r="I245" s="625"/>
      <c r="J245" s="625"/>
      <c r="K245" s="625"/>
      <c r="M245" s="625"/>
      <c r="N245" s="625"/>
      <c r="O245" s="625"/>
      <c r="P245" s="625"/>
      <c r="Q245" s="625"/>
    </row>
    <row r="246" spans="1:56">
      <c r="A246" s="625"/>
      <c r="B246" s="625"/>
      <c r="C246" s="625"/>
      <c r="D246" s="625" t="s">
        <v>2087</v>
      </c>
      <c r="E246" s="625"/>
      <c r="F246" s="625"/>
      <c r="G246" s="625"/>
      <c r="H246" s="625"/>
      <c r="I246" s="625"/>
      <c r="J246" s="625"/>
      <c r="K246" s="625"/>
      <c r="M246" s="625"/>
      <c r="N246" s="625"/>
      <c r="O246" s="625"/>
      <c r="P246" s="625"/>
      <c r="Q246" s="625"/>
    </row>
    <row r="247" spans="1:56">
      <c r="A247" s="625"/>
      <c r="B247" s="625"/>
      <c r="C247" s="625"/>
      <c r="D247" s="625"/>
      <c r="E247" s="625"/>
      <c r="F247" s="625"/>
      <c r="G247" s="625"/>
      <c r="H247" s="625"/>
      <c r="I247" s="625"/>
      <c r="J247" s="625" t="s">
        <v>2083</v>
      </c>
      <c r="K247" s="625"/>
      <c r="M247" s="625"/>
      <c r="N247" s="625"/>
      <c r="O247" s="625"/>
      <c r="P247" s="625"/>
      <c r="Q247" s="625"/>
    </row>
    <row r="248" spans="1:56">
      <c r="A248" s="625"/>
      <c r="B248" s="625"/>
      <c r="C248" s="625"/>
      <c r="D248" s="625" t="s">
        <v>2088</v>
      </c>
      <c r="E248" s="625"/>
      <c r="F248" s="625"/>
      <c r="G248" s="625"/>
      <c r="H248" s="625">
        <v>50</v>
      </c>
      <c r="I248" s="625"/>
      <c r="J248" s="625" t="s">
        <v>2085</v>
      </c>
      <c r="K248" s="625"/>
      <c r="M248" s="625"/>
      <c r="N248" s="625"/>
      <c r="O248" s="625"/>
      <c r="P248" s="625"/>
      <c r="Q248" s="625"/>
    </row>
    <row r="249" spans="1:56" ht="15.75" thickBot="1">
      <c r="A249" s="625"/>
      <c r="B249" s="625"/>
      <c r="C249" s="625"/>
      <c r="D249" s="625" t="s">
        <v>2089</v>
      </c>
      <c r="E249" s="625"/>
      <c r="F249" s="625"/>
      <c r="G249" s="625"/>
      <c r="H249" s="625">
        <v>3.4375000000000003E-2</v>
      </c>
      <c r="I249" s="625"/>
      <c r="J249" s="625" t="s">
        <v>2085</v>
      </c>
      <c r="K249" s="625"/>
      <c r="M249" s="625"/>
      <c r="N249" s="625"/>
      <c r="O249" s="625"/>
      <c r="P249" s="625"/>
      <c r="Q249" s="625"/>
    </row>
    <row r="250" spans="1:56" ht="15.75" thickBot="1">
      <c r="A250" s="625"/>
      <c r="B250" s="625"/>
      <c r="C250" s="625"/>
      <c r="D250" s="625" t="s">
        <v>2022</v>
      </c>
      <c r="E250" s="625"/>
      <c r="F250" s="625"/>
      <c r="G250" s="625"/>
      <c r="H250" s="1085">
        <f>'[2]Select GWP here'!$C$12</f>
        <v>25</v>
      </c>
      <c r="I250" s="625"/>
      <c r="J250" s="1042" t="s">
        <v>2040</v>
      </c>
      <c r="K250" s="625"/>
      <c r="M250" s="625"/>
      <c r="N250" s="625"/>
      <c r="O250" s="625"/>
      <c r="P250" s="625"/>
      <c r="Q250" s="625"/>
    </row>
    <row r="251" spans="1:56">
      <c r="A251" s="625"/>
      <c r="B251" s="625"/>
      <c r="C251" s="625"/>
      <c r="D251" s="625"/>
      <c r="E251" s="625"/>
      <c r="F251" s="625"/>
      <c r="G251" s="625"/>
      <c r="H251" s="625"/>
      <c r="I251" s="625"/>
      <c r="J251" s="625"/>
      <c r="K251" s="625"/>
      <c r="M251" s="625"/>
      <c r="N251" s="625"/>
      <c r="O251" s="625"/>
      <c r="P251" s="625"/>
      <c r="Q251" s="625"/>
    </row>
    <row r="252" spans="1:56">
      <c r="A252" s="625"/>
      <c r="B252" s="625"/>
      <c r="C252" s="625"/>
      <c r="D252" s="625"/>
      <c r="E252" s="625"/>
      <c r="F252" s="625"/>
      <c r="G252" s="625"/>
      <c r="H252" s="625"/>
      <c r="I252" s="625"/>
      <c r="J252" s="625"/>
      <c r="K252" s="625"/>
      <c r="M252" s="625"/>
      <c r="N252" s="625"/>
      <c r="O252" s="625"/>
      <c r="P252" s="625"/>
      <c r="Q252" s="625"/>
    </row>
    <row r="253" spans="1:56">
      <c r="A253" s="625"/>
      <c r="B253" s="625"/>
      <c r="C253" s="764" t="s">
        <v>1938</v>
      </c>
      <c r="D253" s="625"/>
      <c r="E253" s="625"/>
      <c r="F253" s="625"/>
      <c r="G253" s="625"/>
      <c r="H253" s="625"/>
      <c r="I253" s="625"/>
      <c r="J253" s="625"/>
      <c r="K253" s="625"/>
      <c r="M253" s="625"/>
      <c r="N253" s="625"/>
      <c r="O253" s="625"/>
      <c r="P253" s="625"/>
      <c r="Q253" s="625"/>
    </row>
    <row r="254" spans="1:56">
      <c r="A254" s="625"/>
      <c r="B254" s="625"/>
      <c r="C254" s="625"/>
      <c r="D254" s="625"/>
      <c r="E254" s="625"/>
      <c r="F254" s="625"/>
      <c r="G254" s="625"/>
      <c r="H254" s="625"/>
      <c r="I254" s="625"/>
      <c r="J254" s="625"/>
      <c r="K254" s="625"/>
      <c r="M254" s="625"/>
      <c r="N254" s="625"/>
      <c r="O254" s="625"/>
      <c r="P254" s="625"/>
      <c r="Q254" s="625"/>
    </row>
    <row r="255" spans="1:56">
      <c r="A255" s="625"/>
      <c r="B255" s="625"/>
      <c r="C255" s="625"/>
      <c r="D255" s="625" t="s">
        <v>2090</v>
      </c>
      <c r="E255" s="625"/>
      <c r="F255" s="625"/>
      <c r="G255" s="625"/>
      <c r="H255" s="625"/>
      <c r="I255" s="625"/>
      <c r="J255" s="625"/>
      <c r="K255" s="625"/>
      <c r="M255" s="625"/>
      <c r="N255" s="625"/>
      <c r="O255" s="625"/>
      <c r="P255" s="625"/>
      <c r="Q255" s="625"/>
    </row>
    <row r="256" spans="1:56">
      <c r="A256" s="625"/>
      <c r="B256" s="625"/>
      <c r="C256" s="625"/>
      <c r="D256" s="625"/>
      <c r="E256" s="625"/>
      <c r="F256" s="625"/>
      <c r="G256" s="625"/>
      <c r="H256" s="625"/>
      <c r="I256" s="625"/>
      <c r="J256" s="625" t="s">
        <v>2083</v>
      </c>
      <c r="K256" s="625"/>
      <c r="M256" s="625"/>
      <c r="N256" s="625"/>
      <c r="O256" s="625"/>
      <c r="P256" s="625"/>
      <c r="Q256" s="625"/>
    </row>
    <row r="257" spans="1:25">
      <c r="A257" s="625"/>
      <c r="B257" s="625"/>
      <c r="C257" s="625"/>
      <c r="D257" s="625" t="s">
        <v>2091</v>
      </c>
      <c r="E257" s="625"/>
      <c r="F257" s="625"/>
      <c r="G257" s="625"/>
      <c r="H257" s="625">
        <v>12.42</v>
      </c>
      <c r="I257" s="625"/>
      <c r="J257" s="625" t="s">
        <v>2085</v>
      </c>
      <c r="K257" s="625"/>
      <c r="M257" s="625"/>
      <c r="N257" s="625"/>
      <c r="O257" s="625"/>
      <c r="P257" s="625"/>
      <c r="Q257" s="625"/>
    </row>
    <row r="258" spans="1:25" ht="15.75" thickBot="1">
      <c r="A258" s="625"/>
      <c r="B258" s="625"/>
      <c r="C258" s="625"/>
      <c r="D258" s="625" t="s">
        <v>2086</v>
      </c>
      <c r="E258" s="625"/>
      <c r="F258" s="625"/>
      <c r="G258" s="625"/>
      <c r="H258" s="625">
        <v>1.6660999999999999E-2</v>
      </c>
      <c r="I258" s="625"/>
      <c r="J258" s="625" t="s">
        <v>2085</v>
      </c>
      <c r="K258" s="625"/>
      <c r="M258" s="625"/>
      <c r="N258" s="625"/>
      <c r="O258" s="625"/>
      <c r="P258" s="625"/>
      <c r="Q258" s="625"/>
    </row>
    <row r="259" spans="1:25" ht="15.75" thickBot="1">
      <c r="A259" s="625"/>
      <c r="B259" s="625"/>
      <c r="C259" s="625"/>
      <c r="D259" s="625" t="s">
        <v>2022</v>
      </c>
      <c r="E259" s="625"/>
      <c r="F259" s="625"/>
      <c r="G259" s="625"/>
      <c r="H259" s="1085">
        <f>'[2]Select GWP here'!$C$12</f>
        <v>25</v>
      </c>
      <c r="I259" s="625"/>
      <c r="J259" s="1042" t="s">
        <v>2040</v>
      </c>
      <c r="K259" s="625"/>
      <c r="M259" s="625"/>
      <c r="N259" s="625"/>
      <c r="O259" s="625"/>
      <c r="P259" s="625"/>
      <c r="Q259" s="625"/>
    </row>
    <row r="260" spans="1:25" ht="21">
      <c r="A260" s="625"/>
      <c r="B260" s="625"/>
      <c r="C260" s="625"/>
      <c r="D260" s="625"/>
      <c r="E260" s="625"/>
      <c r="F260" s="625"/>
      <c r="G260" s="625"/>
      <c r="H260" s="625"/>
      <c r="I260" s="625"/>
      <c r="J260" s="625"/>
      <c r="K260" s="625"/>
      <c r="L260" s="1009"/>
      <c r="M260" s="1009"/>
      <c r="N260" s="1009"/>
      <c r="O260" s="1009"/>
      <c r="P260" s="625"/>
      <c r="Q260" s="625"/>
    </row>
    <row r="261" spans="1:25">
      <c r="A261" s="625"/>
      <c r="B261" s="625"/>
      <c r="C261" s="625"/>
      <c r="D261" s="625"/>
      <c r="E261" s="625"/>
      <c r="F261" s="625"/>
      <c r="G261" s="625"/>
      <c r="H261" s="625"/>
      <c r="I261" s="625"/>
      <c r="J261" s="625"/>
      <c r="K261" s="625"/>
      <c r="M261" s="625"/>
      <c r="N261" s="625"/>
      <c r="O261" s="625"/>
      <c r="P261" s="625"/>
      <c r="Q261" s="625"/>
    </row>
    <row r="262" spans="1:25" ht="21">
      <c r="A262" s="1009"/>
      <c r="B262" s="1009" t="s">
        <v>2092</v>
      </c>
      <c r="C262" s="1009"/>
      <c r="D262" s="1009"/>
      <c r="E262" s="1009"/>
      <c r="F262" s="1009"/>
      <c r="G262" s="1009"/>
      <c r="H262" s="1009"/>
      <c r="I262" s="1009"/>
      <c r="J262" s="1009"/>
      <c r="K262" s="1009"/>
      <c r="M262" s="625"/>
      <c r="N262" s="625"/>
      <c r="O262" s="625"/>
      <c r="P262" s="1009"/>
      <c r="Q262" s="1009"/>
      <c r="R262" s="1009"/>
      <c r="S262" s="1009"/>
      <c r="T262" s="1009"/>
      <c r="U262" s="1009"/>
      <c r="V262" s="1009"/>
      <c r="W262" s="1009"/>
      <c r="X262" s="1009"/>
      <c r="Y262" s="1009"/>
    </row>
    <row r="263" spans="1:25">
      <c r="A263" s="625"/>
      <c r="B263" s="625"/>
      <c r="C263" s="625"/>
      <c r="D263" s="625"/>
      <c r="E263" s="625"/>
      <c r="F263" s="625"/>
      <c r="G263" s="625"/>
      <c r="H263" s="625"/>
      <c r="I263" s="625"/>
      <c r="J263" s="625"/>
      <c r="K263" s="625"/>
      <c r="M263" s="625"/>
      <c r="N263" s="625"/>
      <c r="O263" s="625"/>
      <c r="P263" s="625"/>
      <c r="Q263" s="625"/>
    </row>
    <row r="264" spans="1:25">
      <c r="A264" s="625"/>
      <c r="B264" s="625"/>
      <c r="C264" s="764" t="s">
        <v>1940</v>
      </c>
      <c r="D264" s="625"/>
      <c r="E264" s="625"/>
      <c r="F264" s="625"/>
      <c r="G264" s="625"/>
      <c r="H264" s="625"/>
      <c r="I264" s="625"/>
      <c r="J264" s="625"/>
      <c r="K264" s="625"/>
      <c r="M264" s="625"/>
      <c r="N264" s="625"/>
      <c r="O264" s="625"/>
      <c r="P264" s="625"/>
      <c r="Q264" s="625"/>
    </row>
    <row r="265" spans="1:25">
      <c r="A265" s="625"/>
      <c r="B265" s="625"/>
      <c r="C265" s="625"/>
      <c r="D265" s="625"/>
      <c r="E265" s="625"/>
      <c r="F265" s="625"/>
      <c r="G265" s="625"/>
      <c r="H265" s="625"/>
      <c r="I265" s="625"/>
      <c r="J265" s="625"/>
      <c r="K265" s="625"/>
      <c r="M265" s="625"/>
      <c r="N265" s="625"/>
      <c r="O265" s="625"/>
      <c r="P265" s="625"/>
      <c r="Q265" s="625"/>
    </row>
    <row r="266" spans="1:25">
      <c r="A266" s="625"/>
      <c r="B266" s="625"/>
      <c r="C266" s="625"/>
      <c r="D266" s="625" t="s">
        <v>2093</v>
      </c>
      <c r="E266" s="625"/>
      <c r="F266" s="625"/>
      <c r="G266" s="625"/>
      <c r="H266" s="625"/>
      <c r="I266" s="625"/>
      <c r="J266" s="625"/>
      <c r="K266" s="625"/>
      <c r="M266" s="625"/>
      <c r="N266" s="625"/>
      <c r="O266" s="625"/>
      <c r="P266" s="625"/>
      <c r="Q266" s="625"/>
    </row>
    <row r="267" spans="1:25">
      <c r="A267" s="625"/>
      <c r="B267" s="625"/>
      <c r="C267" s="625"/>
      <c r="D267" s="625"/>
      <c r="E267" s="625"/>
      <c r="F267" s="625"/>
      <c r="G267" s="625"/>
      <c r="H267" s="625"/>
      <c r="I267" s="625"/>
      <c r="J267" s="625" t="s">
        <v>2083</v>
      </c>
      <c r="K267" s="625"/>
      <c r="M267" s="625"/>
      <c r="N267" s="625"/>
      <c r="O267" s="625"/>
      <c r="P267" s="625"/>
      <c r="Q267" s="625"/>
    </row>
    <row r="268" spans="1:25">
      <c r="A268" s="625"/>
      <c r="B268" s="625"/>
      <c r="C268" s="625"/>
      <c r="D268" s="625" t="s">
        <v>2094</v>
      </c>
      <c r="E268" s="625"/>
      <c r="F268" s="625"/>
      <c r="G268" s="625"/>
      <c r="H268" s="625">
        <v>1.0309999999999999</v>
      </c>
      <c r="I268" s="625"/>
      <c r="J268" s="625" t="s">
        <v>2095</v>
      </c>
      <c r="K268" s="625"/>
      <c r="M268" s="625"/>
      <c r="N268" s="625"/>
      <c r="O268" s="625"/>
      <c r="P268" s="625"/>
      <c r="Q268" s="625"/>
    </row>
    <row r="269" spans="1:25">
      <c r="A269" s="625"/>
      <c r="B269" s="625"/>
      <c r="C269" s="625"/>
      <c r="D269" s="625" t="s">
        <v>2088</v>
      </c>
      <c r="E269" s="625"/>
      <c r="F269" s="625"/>
      <c r="G269" s="625"/>
      <c r="H269" s="625">
        <v>2</v>
      </c>
      <c r="I269" s="625"/>
      <c r="J269" s="625" t="s">
        <v>2085</v>
      </c>
      <c r="K269" s="625"/>
      <c r="M269" s="625"/>
      <c r="N269" s="625"/>
      <c r="O269" s="625"/>
      <c r="P269" s="625"/>
      <c r="Q269" s="625"/>
    </row>
    <row r="270" spans="1:25">
      <c r="A270" s="625"/>
      <c r="B270" s="625"/>
      <c r="C270" s="625"/>
      <c r="D270" s="625" t="s">
        <v>2096</v>
      </c>
      <c r="E270" s="625"/>
      <c r="F270" s="625"/>
      <c r="G270" s="625"/>
      <c r="H270" s="625">
        <v>4.3999999999999997E-2</v>
      </c>
      <c r="I270" s="625"/>
      <c r="J270" s="625" t="s">
        <v>2085</v>
      </c>
      <c r="K270" s="625"/>
      <c r="M270" s="625"/>
      <c r="N270" s="625"/>
      <c r="O270" s="625"/>
      <c r="P270" s="625"/>
      <c r="Q270" s="625"/>
    </row>
    <row r="271" spans="1:25" ht="15.75" thickBot="1">
      <c r="A271" s="625"/>
      <c r="B271" s="625"/>
      <c r="C271" s="625"/>
      <c r="D271" s="625" t="s">
        <v>2097</v>
      </c>
      <c r="E271" s="625"/>
      <c r="F271" s="625"/>
      <c r="G271" s="625"/>
      <c r="H271" s="625">
        <v>2.7899999999999999E-3</v>
      </c>
      <c r="I271" s="625"/>
      <c r="J271" s="625" t="s">
        <v>2085</v>
      </c>
      <c r="K271" s="625"/>
      <c r="M271" s="625"/>
      <c r="N271" s="625"/>
      <c r="O271" s="625"/>
      <c r="P271" s="625"/>
      <c r="Q271" s="625"/>
    </row>
    <row r="272" spans="1:25" ht="15.75" thickBot="1">
      <c r="A272" s="625"/>
      <c r="B272" s="625"/>
      <c r="C272" s="625"/>
      <c r="D272" s="625" t="s">
        <v>2098</v>
      </c>
      <c r="E272" s="625"/>
      <c r="F272" s="625"/>
      <c r="G272" s="625"/>
      <c r="H272" s="1040">
        <f>44/28</f>
        <v>1.5714285714285714</v>
      </c>
      <c r="I272" s="625"/>
      <c r="J272" s="625" t="s">
        <v>2099</v>
      </c>
      <c r="K272" s="625"/>
      <c r="M272" s="625"/>
      <c r="N272" s="625"/>
      <c r="O272" s="625"/>
      <c r="P272" s="625"/>
      <c r="Q272" s="625"/>
    </row>
    <row r="273" spans="1:17" ht="15.75" thickBot="1">
      <c r="A273" s="625"/>
      <c r="B273" s="625"/>
      <c r="C273" s="625"/>
      <c r="D273" s="625" t="s">
        <v>2022</v>
      </c>
      <c r="E273" s="625"/>
      <c r="F273" s="625"/>
      <c r="G273" s="625"/>
      <c r="H273" s="1085">
        <f>'[2]Select GWP here'!$C$13</f>
        <v>298</v>
      </c>
      <c r="I273" s="625"/>
      <c r="J273" s="1042" t="s">
        <v>2040</v>
      </c>
      <c r="K273" s="625"/>
      <c r="M273" s="625"/>
      <c r="N273" s="625"/>
      <c r="O273" s="625"/>
      <c r="P273" s="625"/>
      <c r="Q273" s="625"/>
    </row>
    <row r="274" spans="1:17">
      <c r="A274" s="625"/>
      <c r="B274" s="625"/>
      <c r="C274" s="625"/>
      <c r="D274" s="625"/>
      <c r="E274" s="625"/>
      <c r="F274" s="625"/>
      <c r="G274" s="625"/>
      <c r="H274" s="625"/>
      <c r="I274" s="625"/>
      <c r="J274" s="625"/>
      <c r="K274" s="625"/>
      <c r="M274" s="625"/>
      <c r="N274" s="625"/>
      <c r="O274" s="625"/>
      <c r="P274" s="625"/>
      <c r="Q274" s="625"/>
    </row>
    <row r="275" spans="1:17">
      <c r="A275" s="625"/>
      <c r="B275" s="625"/>
      <c r="C275" s="625"/>
      <c r="D275" s="625"/>
      <c r="E275" s="625"/>
      <c r="F275" s="625"/>
      <c r="G275" s="625"/>
      <c r="H275" s="625"/>
      <c r="I275" s="625"/>
      <c r="J275" s="625"/>
      <c r="K275" s="625"/>
      <c r="M275" s="625"/>
      <c r="N275" s="625"/>
      <c r="O275" s="625"/>
      <c r="P275" s="625"/>
      <c r="Q275" s="625"/>
    </row>
    <row r="276" spans="1:17">
      <c r="A276" s="625"/>
      <c r="B276" s="625"/>
      <c r="C276" s="764" t="s">
        <v>1933</v>
      </c>
      <c r="D276" s="625"/>
      <c r="E276" s="625"/>
      <c r="F276" s="625"/>
      <c r="G276" s="625"/>
      <c r="H276" s="625"/>
      <c r="I276" s="625"/>
      <c r="J276" s="625"/>
      <c r="K276" s="625"/>
      <c r="M276" s="625"/>
      <c r="N276" s="625"/>
      <c r="O276" s="625"/>
      <c r="P276" s="625"/>
      <c r="Q276" s="625"/>
    </row>
    <row r="277" spans="1:17">
      <c r="A277" s="625"/>
      <c r="B277" s="625"/>
      <c r="C277" s="625"/>
      <c r="D277" s="625"/>
      <c r="E277" s="625"/>
      <c r="F277" s="625"/>
      <c r="G277" s="625"/>
      <c r="H277" s="625"/>
      <c r="I277" s="625"/>
      <c r="J277" s="625"/>
      <c r="K277" s="625"/>
      <c r="M277" s="625"/>
      <c r="N277" s="625"/>
      <c r="O277" s="625"/>
      <c r="P277" s="625"/>
      <c r="Q277" s="625"/>
    </row>
    <row r="278" spans="1:17">
      <c r="A278" s="625"/>
      <c r="B278" s="625"/>
      <c r="C278" s="625"/>
      <c r="D278" s="625" t="s">
        <v>2093</v>
      </c>
      <c r="E278" s="625"/>
      <c r="F278" s="625"/>
      <c r="G278" s="625"/>
      <c r="H278" s="625"/>
      <c r="I278" s="625"/>
      <c r="J278" s="625"/>
      <c r="K278" s="625"/>
      <c r="M278" s="625"/>
      <c r="N278" s="625"/>
      <c r="O278" s="625"/>
      <c r="P278" s="625"/>
      <c r="Q278" s="625"/>
    </row>
    <row r="279" spans="1:17">
      <c r="A279" s="625"/>
      <c r="B279" s="625"/>
      <c r="C279" s="625"/>
      <c r="D279" s="625"/>
      <c r="E279" s="625"/>
      <c r="F279" s="625"/>
      <c r="G279" s="625"/>
      <c r="H279" s="625"/>
      <c r="I279" s="625"/>
      <c r="J279" s="625" t="s">
        <v>2083</v>
      </c>
      <c r="K279" s="625"/>
      <c r="M279" s="625"/>
      <c r="N279" s="625"/>
      <c r="O279" s="625"/>
      <c r="P279" s="625"/>
      <c r="Q279" s="625"/>
    </row>
    <row r="280" spans="1:17">
      <c r="A280" s="625"/>
      <c r="B280" s="625"/>
      <c r="C280" s="625"/>
      <c r="D280" s="625" t="s">
        <v>2091</v>
      </c>
      <c r="E280" s="625"/>
      <c r="F280" s="625"/>
      <c r="G280" s="625"/>
      <c r="H280" s="625">
        <v>50</v>
      </c>
      <c r="I280" s="625"/>
      <c r="J280" s="625" t="s">
        <v>2085</v>
      </c>
      <c r="K280" s="625"/>
      <c r="M280" s="625"/>
      <c r="N280" s="625"/>
      <c r="O280" s="625"/>
      <c r="P280" s="625"/>
      <c r="Q280" s="625"/>
    </row>
    <row r="281" spans="1:17">
      <c r="A281" s="625"/>
      <c r="B281" s="625"/>
      <c r="C281" s="625"/>
      <c r="D281" s="625" t="s">
        <v>2096</v>
      </c>
      <c r="E281" s="625"/>
      <c r="F281" s="625"/>
      <c r="G281" s="625"/>
      <c r="H281" s="625">
        <v>0.09</v>
      </c>
      <c r="I281" s="625"/>
      <c r="J281" s="625" t="s">
        <v>2085</v>
      </c>
      <c r="K281" s="625"/>
      <c r="M281" s="625"/>
      <c r="N281" s="625"/>
      <c r="O281" s="625"/>
      <c r="P281" s="625"/>
      <c r="Q281" s="625"/>
    </row>
    <row r="282" spans="1:17" ht="15.75" thickBot="1">
      <c r="A282" s="625"/>
      <c r="B282" s="625"/>
      <c r="C282" s="625"/>
      <c r="D282" s="625" t="s">
        <v>2100</v>
      </c>
      <c r="E282" s="625"/>
      <c r="F282" s="625"/>
      <c r="G282" s="625"/>
      <c r="H282" s="625">
        <v>1.348E-3</v>
      </c>
      <c r="I282" s="625"/>
      <c r="J282" s="625" t="s">
        <v>2085</v>
      </c>
      <c r="K282" s="625"/>
      <c r="M282" s="625"/>
      <c r="N282" s="625"/>
      <c r="O282" s="625"/>
      <c r="P282" s="625"/>
      <c r="Q282" s="625"/>
    </row>
    <row r="283" spans="1:17" ht="15.75" thickBot="1">
      <c r="A283" s="625"/>
      <c r="B283" s="625"/>
      <c r="C283" s="625"/>
      <c r="D283" s="625" t="s">
        <v>2098</v>
      </c>
      <c r="E283" s="625"/>
      <c r="F283" s="625"/>
      <c r="G283" s="625"/>
      <c r="H283" s="1040">
        <f>44/28</f>
        <v>1.5714285714285714</v>
      </c>
      <c r="I283" s="625"/>
      <c r="J283" s="625" t="s">
        <v>2099</v>
      </c>
      <c r="K283" s="625"/>
      <c r="M283" s="625"/>
      <c r="N283" s="625"/>
      <c r="O283" s="625"/>
      <c r="P283" s="625"/>
      <c r="Q283" s="625"/>
    </row>
    <row r="284" spans="1:17" ht="15.75" thickBot="1">
      <c r="A284" s="625"/>
      <c r="B284" s="625"/>
      <c r="C284" s="625"/>
      <c r="D284" s="625" t="s">
        <v>2022</v>
      </c>
      <c r="E284" s="625"/>
      <c r="F284" s="625"/>
      <c r="G284" s="625"/>
      <c r="H284" s="1085">
        <f>'[2]Select GWP here'!$C$13</f>
        <v>298</v>
      </c>
      <c r="I284" s="625"/>
      <c r="J284" s="1042" t="s">
        <v>2040</v>
      </c>
      <c r="K284" s="625"/>
      <c r="M284" s="625"/>
      <c r="N284" s="625"/>
      <c r="O284" s="625"/>
      <c r="P284" s="625"/>
      <c r="Q284" s="625"/>
    </row>
    <row r="285" spans="1:17">
      <c r="A285" s="625"/>
      <c r="B285" s="625"/>
      <c r="C285" s="625"/>
      <c r="D285" s="625"/>
      <c r="E285" s="625"/>
      <c r="F285" s="625"/>
      <c r="G285" s="625"/>
      <c r="H285" s="625"/>
      <c r="I285" s="625"/>
      <c r="J285" s="625"/>
      <c r="K285" s="625"/>
      <c r="M285" s="625"/>
      <c r="N285" s="625"/>
      <c r="O285" s="625"/>
      <c r="P285" s="625"/>
      <c r="Q285" s="625"/>
    </row>
    <row r="286" spans="1:17">
      <c r="A286" s="625"/>
      <c r="B286" s="625"/>
      <c r="C286" s="625"/>
      <c r="D286" s="625"/>
      <c r="E286" s="625"/>
      <c r="F286" s="625"/>
      <c r="G286" s="625"/>
      <c r="H286" s="625"/>
      <c r="I286" s="625"/>
      <c r="J286" s="625"/>
      <c r="K286" s="625"/>
      <c r="M286" s="625"/>
      <c r="N286" s="625"/>
      <c r="O286" s="625"/>
      <c r="P286" s="625"/>
      <c r="Q286" s="625"/>
    </row>
    <row r="287" spans="1:17">
      <c r="A287" s="625"/>
      <c r="B287" s="625"/>
      <c r="C287" s="764" t="s">
        <v>1935</v>
      </c>
      <c r="D287" s="625"/>
      <c r="E287" s="625"/>
      <c r="F287" s="625"/>
      <c r="G287" s="625"/>
      <c r="H287" s="625"/>
      <c r="I287" s="625"/>
      <c r="J287" s="625"/>
      <c r="K287" s="625"/>
      <c r="M287" s="625"/>
      <c r="N287" s="625"/>
      <c r="O287" s="625"/>
      <c r="P287" s="625"/>
      <c r="Q287" s="625"/>
    </row>
    <row r="288" spans="1:17">
      <c r="A288" s="625"/>
      <c r="B288" s="625"/>
      <c r="C288" s="625"/>
      <c r="D288" s="625"/>
      <c r="E288" s="625"/>
      <c r="F288" s="625"/>
      <c r="G288" s="625"/>
      <c r="H288" s="625"/>
      <c r="I288" s="625"/>
      <c r="J288" s="625"/>
      <c r="K288" s="625"/>
      <c r="M288" s="625"/>
      <c r="N288" s="625"/>
      <c r="O288" s="625"/>
      <c r="P288" s="625"/>
      <c r="Q288" s="625"/>
    </row>
    <row r="289" spans="1:25">
      <c r="A289" s="625"/>
      <c r="B289" s="625"/>
      <c r="C289" s="625"/>
      <c r="D289" s="625" t="s">
        <v>2093</v>
      </c>
      <c r="E289" s="625"/>
      <c r="F289" s="625"/>
      <c r="G289" s="625"/>
      <c r="H289" s="625"/>
      <c r="I289" s="625"/>
      <c r="J289" s="625"/>
      <c r="K289" s="625"/>
      <c r="M289" s="625"/>
      <c r="N289" s="625"/>
      <c r="O289" s="625"/>
      <c r="P289" s="625"/>
      <c r="Q289" s="625"/>
    </row>
    <row r="290" spans="1:25">
      <c r="A290" s="625"/>
      <c r="B290" s="625"/>
      <c r="C290" s="625"/>
      <c r="D290" s="625"/>
      <c r="E290" s="625"/>
      <c r="F290" s="625"/>
      <c r="G290" s="625"/>
      <c r="H290" s="625"/>
      <c r="I290" s="625"/>
      <c r="J290" s="625" t="s">
        <v>2083</v>
      </c>
      <c r="K290" s="625"/>
      <c r="M290" s="625"/>
      <c r="N290" s="625"/>
      <c r="O290" s="625"/>
      <c r="P290" s="625"/>
      <c r="Q290" s="625"/>
    </row>
    <row r="291" spans="1:25">
      <c r="A291" s="625"/>
      <c r="B291" s="625"/>
      <c r="C291" s="625"/>
      <c r="D291" s="625" t="s">
        <v>2091</v>
      </c>
      <c r="E291" s="625"/>
      <c r="F291" s="625"/>
      <c r="G291" s="625"/>
      <c r="H291" s="625">
        <v>50</v>
      </c>
      <c r="I291" s="625"/>
      <c r="J291" s="625" t="s">
        <v>2085</v>
      </c>
      <c r="K291" s="625"/>
      <c r="M291" s="625"/>
      <c r="N291" s="625"/>
      <c r="O291" s="625"/>
      <c r="P291" s="625"/>
      <c r="Q291" s="625"/>
    </row>
    <row r="292" spans="1:25">
      <c r="A292" s="625"/>
      <c r="B292" s="625"/>
      <c r="C292" s="625"/>
      <c r="D292" s="625" t="s">
        <v>2096</v>
      </c>
      <c r="E292" s="625"/>
      <c r="F292" s="625"/>
      <c r="G292" s="625"/>
      <c r="H292" s="625">
        <v>0.09</v>
      </c>
      <c r="I292" s="625"/>
      <c r="J292" s="625" t="s">
        <v>2085</v>
      </c>
      <c r="K292" s="625"/>
      <c r="M292" s="625"/>
      <c r="N292" s="625"/>
      <c r="O292" s="625"/>
      <c r="P292" s="625"/>
      <c r="Q292" s="625"/>
    </row>
    <row r="293" spans="1:25" ht="15.75" thickBot="1">
      <c r="A293" s="625"/>
      <c r="B293" s="625"/>
      <c r="C293" s="625"/>
      <c r="D293" s="625" t="s">
        <v>2100</v>
      </c>
      <c r="E293" s="625"/>
      <c r="F293" s="625"/>
      <c r="G293" s="625"/>
      <c r="H293" s="625">
        <v>1.9249999999999998E-3</v>
      </c>
      <c r="I293" s="625"/>
      <c r="J293" s="625" t="s">
        <v>2085</v>
      </c>
      <c r="K293" s="625"/>
      <c r="M293" s="625"/>
      <c r="N293" s="625"/>
      <c r="O293" s="625"/>
      <c r="P293" s="625"/>
      <c r="Q293" s="625"/>
    </row>
    <row r="294" spans="1:25" ht="15.75" thickBot="1">
      <c r="A294" s="625"/>
      <c r="B294" s="625"/>
      <c r="C294" s="625"/>
      <c r="D294" s="625" t="s">
        <v>2098</v>
      </c>
      <c r="E294" s="625"/>
      <c r="F294" s="625"/>
      <c r="G294" s="625"/>
      <c r="H294" s="1040">
        <f>44/28</f>
        <v>1.5714285714285714</v>
      </c>
      <c r="I294" s="625"/>
      <c r="J294" s="625" t="s">
        <v>2099</v>
      </c>
      <c r="K294" s="625"/>
      <c r="M294" s="625"/>
      <c r="N294" s="625"/>
      <c r="O294" s="625"/>
      <c r="P294" s="625"/>
      <c r="Q294" s="625"/>
    </row>
    <row r="295" spans="1:25" ht="15.75" thickBot="1">
      <c r="A295" s="625"/>
      <c r="B295" s="625"/>
      <c r="C295" s="625"/>
      <c r="D295" s="625" t="s">
        <v>2022</v>
      </c>
      <c r="E295" s="625"/>
      <c r="F295" s="625"/>
      <c r="G295" s="625"/>
      <c r="H295" s="1085">
        <f>'[2]Select GWP here'!$C$13</f>
        <v>298</v>
      </c>
      <c r="I295" s="625"/>
      <c r="J295" s="1042" t="s">
        <v>2040</v>
      </c>
      <c r="K295" s="625"/>
      <c r="L295" s="625"/>
      <c r="M295" s="625"/>
      <c r="N295" s="625"/>
      <c r="O295" s="625"/>
      <c r="P295" s="625"/>
      <c r="Q295" s="625"/>
    </row>
    <row r="296" spans="1:25">
      <c r="A296" s="625"/>
      <c r="B296" s="625"/>
      <c r="C296" s="625"/>
      <c r="D296" s="625"/>
      <c r="E296" s="625"/>
      <c r="F296" s="625"/>
      <c r="G296" s="625"/>
      <c r="H296" s="625"/>
      <c r="I296" s="625"/>
      <c r="J296" s="625"/>
      <c r="K296" s="625"/>
      <c r="L296" s="625"/>
      <c r="M296" s="625"/>
      <c r="N296" s="625"/>
      <c r="O296" s="625"/>
      <c r="P296" s="625"/>
      <c r="Q296" s="625"/>
    </row>
    <row r="297" spans="1:25" ht="21">
      <c r="A297" s="625"/>
      <c r="B297" s="625"/>
      <c r="C297" s="625"/>
      <c r="D297" s="625"/>
      <c r="E297" s="625"/>
      <c r="F297" s="625"/>
      <c r="G297" s="625"/>
      <c r="H297" s="625"/>
      <c r="I297" s="625"/>
      <c r="J297" s="625"/>
      <c r="K297" s="625"/>
      <c r="L297" s="1009"/>
      <c r="M297" s="1009"/>
      <c r="N297" s="1009"/>
      <c r="O297" s="1009"/>
      <c r="P297" s="625"/>
      <c r="Q297" s="625"/>
    </row>
    <row r="298" spans="1:25">
      <c r="A298" s="625"/>
      <c r="B298" s="625"/>
      <c r="C298" s="625"/>
      <c r="D298" s="625"/>
      <c r="E298" s="625"/>
      <c r="F298" s="625"/>
      <c r="G298" s="625"/>
      <c r="H298" s="625"/>
      <c r="I298" s="625"/>
      <c r="J298" s="625"/>
      <c r="K298" s="625"/>
      <c r="L298" s="625"/>
      <c r="M298" s="625"/>
      <c r="N298" s="625"/>
      <c r="O298" s="625"/>
      <c r="P298" s="625"/>
      <c r="Q298" s="625"/>
    </row>
    <row r="299" spans="1:25" ht="21">
      <c r="A299" s="1009"/>
      <c r="B299" s="1009"/>
      <c r="C299" s="1009" t="s">
        <v>2101</v>
      </c>
      <c r="D299" s="1009"/>
      <c r="E299" s="1009"/>
      <c r="F299" s="1009"/>
      <c r="G299" s="1009"/>
      <c r="H299" s="1009"/>
      <c r="I299" s="1009"/>
      <c r="J299" s="1009"/>
      <c r="K299" s="1009"/>
      <c r="L299" s="625"/>
      <c r="M299" s="625"/>
      <c r="N299" s="625"/>
      <c r="O299" s="625"/>
      <c r="P299" s="1009"/>
      <c r="Q299" s="1009"/>
      <c r="R299" s="1009"/>
      <c r="S299" s="1009"/>
      <c r="T299" s="1009"/>
      <c r="U299" s="1009"/>
      <c r="V299" s="1009"/>
      <c r="W299" s="1009"/>
      <c r="X299" s="1009"/>
      <c r="Y299" s="1009"/>
    </row>
    <row r="300" spans="1:25">
      <c r="A300" s="625"/>
      <c r="B300" s="625"/>
      <c r="C300" s="625"/>
      <c r="D300" s="625"/>
      <c r="E300" s="625"/>
      <c r="F300" s="625"/>
      <c r="G300" s="625"/>
      <c r="H300" s="625"/>
      <c r="I300" s="625"/>
      <c r="J300" s="625"/>
      <c r="K300" s="625"/>
      <c r="L300" s="418"/>
      <c r="M300" s="418"/>
      <c r="N300" s="625"/>
      <c r="P300" s="625"/>
      <c r="Q300" s="625"/>
    </row>
    <row r="301" spans="1:25">
      <c r="A301" s="625"/>
      <c r="B301" s="625"/>
      <c r="C301" s="625" t="s">
        <v>48</v>
      </c>
      <c r="D301" s="625"/>
      <c r="E301" s="625"/>
      <c r="F301" s="625"/>
      <c r="G301" s="625"/>
      <c r="H301" s="625"/>
      <c r="I301" s="625"/>
      <c r="J301" s="625"/>
      <c r="K301" s="625"/>
      <c r="L301" s="625"/>
      <c r="M301" s="625"/>
      <c r="N301" s="625"/>
      <c r="P301" s="625"/>
      <c r="Q301" s="625"/>
    </row>
    <row r="302" spans="1:25">
      <c r="A302" s="625"/>
      <c r="B302" s="625"/>
      <c r="C302" s="625"/>
      <c r="D302" s="625"/>
      <c r="E302" s="625"/>
      <c r="F302" s="625"/>
      <c r="G302" s="625"/>
      <c r="H302" s="625"/>
      <c r="I302" s="625"/>
      <c r="J302" s="625"/>
      <c r="K302" s="625"/>
      <c r="L302" s="625"/>
      <c r="M302" s="625"/>
      <c r="N302" s="625"/>
    </row>
    <row r="303" spans="1:25">
      <c r="A303" s="625"/>
      <c r="B303" s="625"/>
      <c r="C303" s="625"/>
      <c r="D303" s="625"/>
      <c r="E303" s="625"/>
      <c r="F303" s="625"/>
      <c r="G303" s="625"/>
      <c r="H303" s="625"/>
      <c r="I303" s="625"/>
      <c r="J303" s="625"/>
      <c r="K303" s="625"/>
      <c r="L303" s="625"/>
      <c r="M303" s="625"/>
      <c r="N303" s="625"/>
    </row>
    <row r="304" spans="1:25">
      <c r="A304" s="625"/>
      <c r="B304" s="625"/>
      <c r="C304" s="1099"/>
      <c r="D304" s="625"/>
      <c r="E304" s="625"/>
      <c r="F304" s="625"/>
      <c r="G304" s="625"/>
      <c r="H304" s="625"/>
      <c r="I304" s="625"/>
      <c r="J304" s="625"/>
      <c r="K304" s="625"/>
      <c r="L304" s="625"/>
      <c r="M304" s="625"/>
      <c r="N304" s="625"/>
    </row>
    <row r="305" spans="1:17">
      <c r="A305" s="625"/>
      <c r="B305" s="625"/>
      <c r="C305" s="625"/>
      <c r="D305" s="625"/>
      <c r="E305" s="625"/>
      <c r="F305" s="625"/>
      <c r="G305" s="625"/>
      <c r="H305" s="625"/>
      <c r="I305" s="625"/>
      <c r="J305" s="625"/>
      <c r="K305" s="625"/>
      <c r="L305" s="625"/>
      <c r="M305" s="625"/>
      <c r="N305" s="625"/>
    </row>
    <row r="306" spans="1:17">
      <c r="A306" s="625"/>
      <c r="B306" s="625"/>
      <c r="C306" s="1099"/>
      <c r="D306" s="625"/>
      <c r="E306" s="625"/>
      <c r="F306" s="625"/>
      <c r="G306" s="625"/>
      <c r="H306" s="625"/>
      <c r="I306" s="625"/>
      <c r="J306" s="625"/>
      <c r="K306" s="625"/>
      <c r="L306" s="625"/>
      <c r="M306" s="625"/>
      <c r="N306" s="625"/>
    </row>
    <row r="307" spans="1:17">
      <c r="A307" s="625"/>
      <c r="B307" s="625"/>
      <c r="C307" s="625"/>
      <c r="D307" s="625"/>
      <c r="E307" s="625"/>
      <c r="F307" s="625"/>
      <c r="G307" s="625"/>
      <c r="H307" s="625"/>
      <c r="I307" s="625"/>
      <c r="J307" s="625"/>
      <c r="K307" s="625"/>
      <c r="L307" s="625"/>
      <c r="M307" s="625"/>
      <c r="N307" s="625"/>
      <c r="O307" s="625"/>
    </row>
    <row r="308" spans="1:17">
      <c r="A308" s="625"/>
      <c r="B308" s="625"/>
      <c r="C308" s="625"/>
      <c r="D308" s="625"/>
      <c r="E308" s="625"/>
      <c r="F308" s="625"/>
      <c r="G308" s="625"/>
      <c r="H308" s="625"/>
      <c r="I308" s="625"/>
      <c r="J308" s="625"/>
      <c r="K308" s="625"/>
      <c r="L308" s="625"/>
      <c r="M308" s="625"/>
      <c r="N308" s="625"/>
      <c r="O308" s="625"/>
    </row>
    <row r="309" spans="1:17">
      <c r="A309" s="625"/>
      <c r="B309" s="625"/>
      <c r="C309" s="625"/>
      <c r="D309" s="625"/>
      <c r="E309" s="625"/>
      <c r="F309" s="625"/>
      <c r="G309" s="625"/>
      <c r="H309" s="625"/>
      <c r="I309" s="625"/>
      <c r="J309" s="625"/>
      <c r="K309" s="625"/>
      <c r="L309" s="625"/>
      <c r="M309" s="625"/>
      <c r="N309" s="625"/>
      <c r="O309" s="625"/>
      <c r="P309" s="625"/>
      <c r="Q309" s="625"/>
    </row>
    <row r="310" spans="1:17">
      <c r="A310" s="625"/>
      <c r="B310" s="625"/>
      <c r="C310" s="764"/>
      <c r="D310" s="625"/>
      <c r="E310" s="764"/>
      <c r="F310" s="625"/>
      <c r="G310" s="625"/>
      <c r="H310" s="625"/>
      <c r="I310" s="625"/>
      <c r="J310" s="625"/>
      <c r="K310" s="625"/>
      <c r="L310" s="625"/>
      <c r="M310" s="625"/>
      <c r="N310" s="625"/>
      <c r="O310" s="625"/>
      <c r="P310" s="625"/>
      <c r="Q310" s="625"/>
    </row>
    <row r="311" spans="1:17">
      <c r="A311" s="625"/>
      <c r="B311" s="625"/>
      <c r="C311" s="764"/>
      <c r="D311" s="625"/>
      <c r="E311" s="764"/>
      <c r="F311" s="625"/>
      <c r="G311" s="625"/>
      <c r="H311" s="625"/>
      <c r="I311" s="625"/>
      <c r="J311" s="625"/>
      <c r="K311" s="625"/>
      <c r="L311" s="625"/>
      <c r="M311" s="625"/>
      <c r="N311" s="625"/>
      <c r="O311" s="625"/>
      <c r="P311" s="625"/>
      <c r="Q311" s="625"/>
    </row>
    <row r="312" spans="1:17">
      <c r="A312" s="625"/>
      <c r="B312" s="625"/>
      <c r="C312" s="625"/>
      <c r="D312" s="625"/>
      <c r="E312" s="625"/>
      <c r="F312" s="625"/>
      <c r="G312" s="625"/>
      <c r="H312" s="625"/>
      <c r="I312" s="625"/>
      <c r="J312" s="625"/>
      <c r="K312" s="625"/>
      <c r="P312" s="625"/>
      <c r="Q312" s="625"/>
    </row>
    <row r="313" spans="1:17">
      <c r="A313" s="625"/>
      <c r="B313" s="625"/>
      <c r="C313" s="625"/>
      <c r="D313" s="625"/>
      <c r="E313" s="625"/>
      <c r="F313" s="625"/>
      <c r="G313" s="625"/>
      <c r="H313" s="625"/>
      <c r="I313" s="625"/>
      <c r="J313" s="625"/>
      <c r="K313" s="625"/>
      <c r="P313" s="625"/>
      <c r="Q313" s="625"/>
    </row>
    <row r="319" spans="1:17">
      <c r="B319" s="1100"/>
      <c r="C319" s="1100"/>
      <c r="D319" s="1100"/>
      <c r="E319" s="1100"/>
    </row>
    <row r="320" spans="1:17">
      <c r="B320" s="1100"/>
      <c r="C320" s="1100"/>
      <c r="D320" s="1100"/>
      <c r="E320" s="1100"/>
    </row>
    <row r="321" spans="2:5">
      <c r="B321" s="1100"/>
      <c r="C321" s="1100"/>
      <c r="D321" s="1100"/>
      <c r="E321" s="1100"/>
    </row>
    <row r="322" spans="2:5">
      <c r="B322" s="1100"/>
      <c r="C322" s="1100"/>
      <c r="D322" s="1100"/>
      <c r="E322" s="1100"/>
    </row>
    <row r="323" spans="2:5">
      <c r="B323" s="1100"/>
      <c r="C323" s="1100"/>
      <c r="D323" s="1100"/>
      <c r="E323" s="1100"/>
    </row>
  </sheetData>
  <mergeCells count="68">
    <mergeCell ref="C213:D213"/>
    <mergeCell ref="C214:D214"/>
    <mergeCell ref="C215:D215"/>
    <mergeCell ref="C216:D216"/>
    <mergeCell ref="C217:D217"/>
    <mergeCell ref="A29:I29"/>
    <mergeCell ref="A30:B30"/>
    <mergeCell ref="A31:B32"/>
    <mergeCell ref="B44:C45"/>
    <mergeCell ref="B48:C49"/>
    <mergeCell ref="I23:I24"/>
    <mergeCell ref="B25:B26"/>
    <mergeCell ref="C25:C26"/>
    <mergeCell ref="D25:D26"/>
    <mergeCell ref="E25:E26"/>
    <mergeCell ref="F25:F26"/>
    <mergeCell ref="I25:I26"/>
    <mergeCell ref="C15:C16"/>
    <mergeCell ref="D15:D16"/>
    <mergeCell ref="E15:E16"/>
    <mergeCell ref="F15:F16"/>
    <mergeCell ref="G23:G24"/>
    <mergeCell ref="D21:D22"/>
    <mergeCell ref="E21:E22"/>
    <mergeCell ref="G15:G16"/>
    <mergeCell ref="I17:I18"/>
    <mergeCell ref="B19:B20"/>
    <mergeCell ref="C19:C20"/>
    <mergeCell ref="D19:D20"/>
    <mergeCell ref="E19:E20"/>
    <mergeCell ref="I19:I20"/>
    <mergeCell ref="A17:A26"/>
    <mergeCell ref="B17:B18"/>
    <mergeCell ref="C17:C18"/>
    <mergeCell ref="D17:D18"/>
    <mergeCell ref="E17:E18"/>
    <mergeCell ref="A7:I7"/>
    <mergeCell ref="A11:A16"/>
    <mergeCell ref="B11:B14"/>
    <mergeCell ref="C11:C12"/>
    <mergeCell ref="D11:D12"/>
    <mergeCell ref="E11:E12"/>
    <mergeCell ref="F11:F12"/>
    <mergeCell ref="G11:G12"/>
    <mergeCell ref="I11:I12"/>
    <mergeCell ref="C13:C14"/>
    <mergeCell ref="D13:D14"/>
    <mergeCell ref="E13:E14"/>
    <mergeCell ref="F13:F14"/>
    <mergeCell ref="G13:G14"/>
    <mergeCell ref="I13:I14"/>
    <mergeCell ref="I15:I16"/>
    <mergeCell ref="B52:C53"/>
    <mergeCell ref="B56:C56"/>
    <mergeCell ref="A6:I6"/>
    <mergeCell ref="A9:I9"/>
    <mergeCell ref="A10:B10"/>
    <mergeCell ref="B50:C50"/>
    <mergeCell ref="B51:C51"/>
    <mergeCell ref="G21:G22"/>
    <mergeCell ref="I21:I22"/>
    <mergeCell ref="B23:B24"/>
    <mergeCell ref="C23:C24"/>
    <mergeCell ref="D23:D24"/>
    <mergeCell ref="E23:E24"/>
    <mergeCell ref="B15:B16"/>
    <mergeCell ref="B21:B22"/>
    <mergeCell ref="C21:C22"/>
  </mergeCells>
  <conditionalFormatting sqref="L9:L26">
    <cfRule type="cellIs" dxfId="35" priority="7" operator="lessThan">
      <formula>-0.25</formula>
    </cfRule>
    <cfRule type="cellIs" dxfId="34" priority="8" operator="lessThan">
      <formula>-0.1</formula>
    </cfRule>
    <cfRule type="cellIs" dxfId="33" priority="9" operator="lessThan">
      <formula>-0.25</formula>
    </cfRule>
    <cfRule type="cellIs" dxfId="32" priority="10" operator="greaterThan">
      <formula>0.25</formula>
    </cfRule>
    <cfRule type="cellIs" dxfId="31" priority="11" operator="greaterThan">
      <formula>0.1</formula>
    </cfRule>
    <cfRule type="cellIs" dxfId="30" priority="12" operator="greaterThan">
      <formula>10</formula>
    </cfRule>
  </conditionalFormatting>
  <conditionalFormatting sqref="L31:L32">
    <cfRule type="cellIs" dxfId="29" priority="1" operator="lessThan">
      <formula>-0.25</formula>
    </cfRule>
    <cfRule type="cellIs" dxfId="28" priority="2" operator="lessThan">
      <formula>-0.1</formula>
    </cfRule>
    <cfRule type="cellIs" dxfId="27" priority="3" operator="lessThan">
      <formula>-0.25</formula>
    </cfRule>
    <cfRule type="cellIs" dxfId="26" priority="4" operator="greaterThan">
      <formula>0.25</formula>
    </cfRule>
    <cfRule type="cellIs" dxfId="25" priority="5" operator="greaterThan">
      <formula>0.1</formula>
    </cfRule>
    <cfRule type="cellIs" dxfId="24" priority="6" operator="greaterThan">
      <formula>10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8" tint="-0.499984740745262"/>
  </sheetPr>
  <dimension ref="A1:H34"/>
  <sheetViews>
    <sheetView workbookViewId="0">
      <selection activeCell="D16" sqref="D16"/>
    </sheetView>
  </sheetViews>
  <sheetFormatPr defaultColWidth="9.140625" defaultRowHeight="15"/>
  <cols>
    <col min="1" max="1" width="24.28515625" customWidth="1"/>
    <col min="2" max="2" width="32.5703125" customWidth="1"/>
    <col min="3" max="3" width="23" customWidth="1"/>
    <col min="4" max="8" width="27.5703125" customWidth="1"/>
    <col min="9" max="9" width="26.42578125" customWidth="1"/>
    <col min="10" max="10" width="31.140625" customWidth="1"/>
  </cols>
  <sheetData>
    <row r="1" spans="1:8" ht="31.5">
      <c r="A1" s="64" t="s">
        <v>63</v>
      </c>
    </row>
    <row r="2" spans="1:8" ht="23.25">
      <c r="A2" s="65" t="s">
        <v>431</v>
      </c>
    </row>
    <row r="3" spans="1:8" ht="23.25">
      <c r="A3" s="65"/>
    </row>
    <row r="4" spans="1:8" ht="31.5">
      <c r="A4" s="64" t="s">
        <v>2102</v>
      </c>
    </row>
    <row r="5" spans="1:8">
      <c r="A5" s="1820" t="s">
        <v>2103</v>
      </c>
      <c r="B5" s="1820"/>
      <c r="C5" s="1820"/>
      <c r="D5" s="1820"/>
      <c r="E5" s="1820"/>
      <c r="F5" s="1820"/>
      <c r="G5" s="1820"/>
      <c r="H5" s="1820"/>
    </row>
    <row r="6" spans="1:8" ht="15" customHeight="1">
      <c r="A6" s="1856" t="s">
        <v>2104</v>
      </c>
      <c r="B6" s="1907"/>
      <c r="C6" s="1907"/>
      <c r="D6" s="1907"/>
      <c r="E6" s="1907"/>
      <c r="F6" s="1907"/>
      <c r="G6" s="1907"/>
      <c r="H6" s="1908"/>
    </row>
    <row r="7" spans="1:8">
      <c r="A7" s="499"/>
      <c r="B7" s="499"/>
      <c r="C7" s="499"/>
      <c r="D7" s="499"/>
      <c r="E7" s="499"/>
      <c r="F7" s="499"/>
    </row>
    <row r="8" spans="1:8">
      <c r="A8" s="499"/>
      <c r="B8" s="499"/>
      <c r="C8" s="499"/>
      <c r="D8" s="499"/>
      <c r="E8" s="499"/>
      <c r="F8" s="499"/>
    </row>
    <row r="9" spans="1:8" ht="18">
      <c r="A9" s="2067" t="s">
        <v>2105</v>
      </c>
      <c r="B9" s="2067"/>
      <c r="C9" s="2067"/>
      <c r="D9" s="2061"/>
      <c r="E9" s="1458" t="s">
        <v>59</v>
      </c>
      <c r="F9" s="1459" t="s">
        <v>425</v>
      </c>
      <c r="G9" s="1459" t="s">
        <v>426</v>
      </c>
      <c r="H9" s="1459" t="s">
        <v>427</v>
      </c>
    </row>
    <row r="10" spans="1:8">
      <c r="A10" s="2068"/>
      <c r="B10" s="2068"/>
      <c r="C10" s="2068"/>
      <c r="D10" s="2062"/>
      <c r="E10" s="1450">
        <f>E24+E32</f>
        <v>0</v>
      </c>
      <c r="F10" s="1450">
        <f>F24+F32</f>
        <v>0</v>
      </c>
      <c r="G10" s="1450">
        <f>G24+G32</f>
        <v>0</v>
      </c>
      <c r="H10" s="1450">
        <f>H24+H32</f>
        <v>0</v>
      </c>
    </row>
    <row r="13" spans="1:8">
      <c r="A13" s="496" t="s">
        <v>1923</v>
      </c>
      <c r="B13" s="66"/>
      <c r="C13" s="66"/>
      <c r="D13" s="66"/>
      <c r="E13" s="66"/>
      <c r="F13" s="66"/>
      <c r="G13" s="66"/>
      <c r="H13" s="497"/>
    </row>
    <row r="14" spans="1:8" ht="15.75" thickBot="1">
      <c r="A14" s="496"/>
      <c r="B14" s="66"/>
      <c r="C14" s="66"/>
      <c r="D14" s="172"/>
      <c r="E14" s="2045" t="s">
        <v>423</v>
      </c>
      <c r="F14" s="2045"/>
      <c r="G14" s="2045"/>
      <c r="H14" s="1890"/>
    </row>
    <row r="15" spans="1:8" ht="18.75" thickBot="1">
      <c r="A15" s="2047" t="s">
        <v>69</v>
      </c>
      <c r="B15" s="2135"/>
      <c r="C15" s="1480" t="s">
        <v>70</v>
      </c>
      <c r="D15" s="1496" t="s">
        <v>424</v>
      </c>
      <c r="E15" s="1458" t="s">
        <v>59</v>
      </c>
      <c r="F15" s="1459" t="s">
        <v>425</v>
      </c>
      <c r="G15" s="1459" t="s">
        <v>426</v>
      </c>
      <c r="H15" s="1459" t="s">
        <v>427</v>
      </c>
    </row>
    <row r="16" spans="1:8" ht="15.75" customHeight="1" thickBot="1">
      <c r="A16" s="2047" t="s">
        <v>1924</v>
      </c>
      <c r="B16" s="2212" t="s">
        <v>1925</v>
      </c>
      <c r="C16" s="490" t="s">
        <v>2106</v>
      </c>
      <c r="D16" s="526"/>
      <c r="E16" s="1497">
        <f>SUM(F16:H16)</f>
        <v>0</v>
      </c>
      <c r="F16" s="1498">
        <f>$D16*'Wastewater 2022'!E11</f>
        <v>0</v>
      </c>
      <c r="G16" s="1498">
        <f>$D16*'Wastewater 2022'!F11</f>
        <v>0</v>
      </c>
      <c r="H16" s="1498">
        <f>$D16*'Wastewater 2022'!G11</f>
        <v>0</v>
      </c>
    </row>
    <row r="17" spans="1:8" ht="15.75" customHeight="1" thickBot="1">
      <c r="A17" s="2047"/>
      <c r="B17" s="2213"/>
      <c r="C17" s="137" t="s">
        <v>1930</v>
      </c>
      <c r="D17" s="526"/>
      <c r="E17" s="1497">
        <f t="shared" ref="E17:E23" si="0">SUM(F17:H17)</f>
        <v>0</v>
      </c>
      <c r="F17" s="1498">
        <f>$D17*'Wastewater 2022'!E13</f>
        <v>0</v>
      </c>
      <c r="G17" s="1498">
        <f>$D17*'Wastewater 2022'!F13</f>
        <v>0</v>
      </c>
      <c r="H17" s="1498">
        <f>$D17*'Wastewater 2022'!G13</f>
        <v>0</v>
      </c>
    </row>
    <row r="18" spans="1:8" ht="15.75" customHeight="1" thickBot="1">
      <c r="A18" s="2047"/>
      <c r="B18" s="1499" t="s">
        <v>1931</v>
      </c>
      <c r="C18" s="490" t="s">
        <v>1930</v>
      </c>
      <c r="D18" s="526"/>
      <c r="E18" s="1497">
        <f t="shared" si="0"/>
        <v>0</v>
      </c>
      <c r="F18" s="1379" t="s">
        <v>48</v>
      </c>
      <c r="G18" s="1498">
        <f>$D18*'Wastewater 2022'!F15</f>
        <v>0</v>
      </c>
      <c r="H18" s="1379" t="s">
        <v>48</v>
      </c>
    </row>
    <row r="19" spans="1:8" ht="15.75" customHeight="1" thickBot="1">
      <c r="A19" s="1500" t="s">
        <v>2077</v>
      </c>
      <c r="B19" s="1501" t="s">
        <v>1933</v>
      </c>
      <c r="C19" s="711" t="s">
        <v>1934</v>
      </c>
      <c r="D19" s="526"/>
      <c r="E19" s="1497">
        <f t="shared" si="0"/>
        <v>0</v>
      </c>
      <c r="F19" s="1379" t="s">
        <v>48</v>
      </c>
      <c r="G19" s="1498">
        <f>D19*'Wastewater 2022'!F17</f>
        <v>0</v>
      </c>
      <c r="H19" s="1498">
        <f>D19*'Wastewater 2022'!G17</f>
        <v>0</v>
      </c>
    </row>
    <row r="20" spans="1:8" ht="15.75" customHeight="1" thickBot="1">
      <c r="A20" s="1500"/>
      <c r="B20" s="1501" t="s">
        <v>1935</v>
      </c>
      <c r="C20" s="711" t="s">
        <v>1934</v>
      </c>
      <c r="D20" s="526"/>
      <c r="E20" s="1497">
        <f t="shared" si="0"/>
        <v>0</v>
      </c>
      <c r="F20" s="1379" t="s">
        <v>48</v>
      </c>
      <c r="G20" s="1498">
        <f>$D20*'Wastewater 2022'!F19</f>
        <v>0</v>
      </c>
      <c r="H20" s="1498">
        <f>$D20*'Wastewater 2022'!G19</f>
        <v>0</v>
      </c>
    </row>
    <row r="21" spans="1:8" ht="14.25" customHeight="1" thickBot="1">
      <c r="A21" s="1500"/>
      <c r="B21" s="1501" t="s">
        <v>1936</v>
      </c>
      <c r="C21" s="711" t="s">
        <v>1937</v>
      </c>
      <c r="D21" s="526"/>
      <c r="E21" s="1497">
        <f t="shared" si="0"/>
        <v>0</v>
      </c>
      <c r="F21" s="1379" t="s">
        <v>48</v>
      </c>
      <c r="G21" s="1498">
        <f>$D21*'Wastewater 2022'!F21</f>
        <v>0</v>
      </c>
      <c r="H21" s="1379" t="s">
        <v>48</v>
      </c>
    </row>
    <row r="22" spans="1:8" ht="15.75" customHeight="1" thickBot="1">
      <c r="A22" s="1500"/>
      <c r="B22" s="1501" t="s">
        <v>1938</v>
      </c>
      <c r="C22" s="711" t="s">
        <v>1939</v>
      </c>
      <c r="D22" s="526"/>
      <c r="E22" s="1497">
        <f t="shared" si="0"/>
        <v>0</v>
      </c>
      <c r="F22" s="1379" t="s">
        <v>48</v>
      </c>
      <c r="G22" s="1498">
        <f>$D22*'Wastewater 2022'!F23</f>
        <v>0</v>
      </c>
      <c r="H22" s="1379" t="s">
        <v>48</v>
      </c>
    </row>
    <row r="23" spans="1:8" ht="15.75" customHeight="1">
      <c r="A23" s="1500"/>
      <c r="B23" s="1501" t="s">
        <v>1940</v>
      </c>
      <c r="C23" s="711" t="s">
        <v>2107</v>
      </c>
      <c r="D23" s="1343"/>
      <c r="E23" s="1497">
        <f t="shared" si="0"/>
        <v>0</v>
      </c>
      <c r="F23" s="1379" t="s">
        <v>48</v>
      </c>
      <c r="G23" s="1379" t="s">
        <v>48</v>
      </c>
      <c r="H23" s="1498">
        <f>$D23*'Wastewater 2022'!G25</f>
        <v>0</v>
      </c>
    </row>
    <row r="24" spans="1:8">
      <c r="A24" s="1502"/>
      <c r="B24" s="1502"/>
      <c r="D24" s="1444" t="s">
        <v>247</v>
      </c>
      <c r="E24" s="1503">
        <f>SUM(E13:E23)</f>
        <v>0</v>
      </c>
      <c r="F24" s="1504">
        <f t="shared" ref="F24:H24" si="1">SUM(F13:F23)</f>
        <v>0</v>
      </c>
      <c r="G24" s="1504">
        <f t="shared" si="1"/>
        <v>0</v>
      </c>
      <c r="H24" s="1504">
        <f t="shared" si="1"/>
        <v>0</v>
      </c>
    </row>
    <row r="25" spans="1:8">
      <c r="A25" s="1502"/>
      <c r="B25" s="1502"/>
    </row>
    <row r="27" spans="1:8">
      <c r="A27" s="496" t="s">
        <v>1942</v>
      </c>
      <c r="B27" s="66"/>
      <c r="C27" s="66"/>
      <c r="D27" s="66"/>
      <c r="E27" s="66"/>
      <c r="F27" s="66"/>
      <c r="G27" s="66"/>
      <c r="H27" s="497"/>
    </row>
    <row r="28" spans="1:8" ht="15.75" thickBot="1">
      <c r="A28" s="496"/>
      <c r="B28" s="66"/>
      <c r="C28" s="66"/>
      <c r="D28" s="172"/>
      <c r="E28" s="2045" t="s">
        <v>423</v>
      </c>
      <c r="F28" s="2045"/>
      <c r="G28" s="2045"/>
      <c r="H28" s="1890"/>
    </row>
    <row r="29" spans="1:8" ht="18.75" thickBot="1">
      <c r="A29" s="2047" t="s">
        <v>69</v>
      </c>
      <c r="B29" s="2135"/>
      <c r="C29" s="1480" t="s">
        <v>70</v>
      </c>
      <c r="D29" s="1496" t="s">
        <v>424</v>
      </c>
      <c r="E29" s="1458" t="s">
        <v>59</v>
      </c>
      <c r="F29" s="1459" t="s">
        <v>425</v>
      </c>
      <c r="G29" s="1459" t="s">
        <v>426</v>
      </c>
      <c r="H29" s="1459" t="s">
        <v>427</v>
      </c>
    </row>
    <row r="30" spans="1:8" ht="18" customHeight="1" thickBot="1">
      <c r="A30" s="2209" t="s">
        <v>1942</v>
      </c>
      <c r="B30" s="2034"/>
      <c r="C30" s="711" t="s">
        <v>2106</v>
      </c>
      <c r="D30" s="526"/>
      <c r="E30" s="1497">
        <f>SUM(F30:H30)</f>
        <v>0</v>
      </c>
      <c r="F30" s="1498">
        <f>'Wastewater workbook 2022'!D30*'Wastewater 2022'!E31</f>
        <v>0</v>
      </c>
      <c r="G30" s="1498">
        <f>D30*'Wastewater 2022'!F31</f>
        <v>0</v>
      </c>
      <c r="H30" s="1498">
        <f>D30*'Wastewater 2022'!G31</f>
        <v>0</v>
      </c>
    </row>
    <row r="31" spans="1:8" ht="16.5" customHeight="1">
      <c r="A31" s="2210"/>
      <c r="B31" s="2211"/>
      <c r="C31" s="711" t="s">
        <v>1930</v>
      </c>
      <c r="D31" s="1343"/>
      <c r="E31" s="1497">
        <f>SUM(F31:H31)</f>
        <v>0</v>
      </c>
      <c r="F31" s="1498">
        <f>'Wastewater workbook 2022'!D31*'Wastewater 2022'!E32</f>
        <v>0</v>
      </c>
      <c r="G31" s="1498">
        <f>D31*'Wastewater 2022'!F32</f>
        <v>0</v>
      </c>
      <c r="H31" s="1498">
        <f>D31*'Wastewater 2022'!G32</f>
        <v>0</v>
      </c>
    </row>
    <row r="32" spans="1:8">
      <c r="D32" s="1444" t="s">
        <v>247</v>
      </c>
      <c r="E32" s="1450">
        <f>SUM(E30:E31)</f>
        <v>0</v>
      </c>
      <c r="F32" s="175">
        <f t="shared" ref="F32:H32" si="2">SUM(F30:F31)</f>
        <v>0</v>
      </c>
      <c r="G32" s="175">
        <f t="shared" si="2"/>
        <v>0</v>
      </c>
      <c r="H32" s="175">
        <f t="shared" si="2"/>
        <v>0</v>
      </c>
    </row>
    <row r="34" s="102" customFormat="1" ht="15.75" thickBot="1"/>
  </sheetData>
  <sheetProtection algorithmName="SHA-512" hashValue="4MyG/eulE+NBp8PIZ9LiJTsIv87IZUuqmDikw8BUCxXhrNLEUXsyVUDVj95vtiqPfjWj4zBWxYN49dQt+G4Xgg==" saltValue="NGmiaXUHyfdBWEAKPTEwIw==" spinCount="100000" sheet="1" objects="1" scenarios="1" selectLockedCells="1"/>
  <protectedRanges>
    <protectedRange sqref="D16:D23" name="Range1"/>
  </protectedRanges>
  <mergeCells count="11">
    <mergeCell ref="A9:C10"/>
    <mergeCell ref="D9:D10"/>
    <mergeCell ref="A5:H5"/>
    <mergeCell ref="A6:H6"/>
    <mergeCell ref="E28:H28"/>
    <mergeCell ref="A29:B29"/>
    <mergeCell ref="A30:B31"/>
    <mergeCell ref="E14:H14"/>
    <mergeCell ref="A15:B15"/>
    <mergeCell ref="A16:A18"/>
    <mergeCell ref="B16:B17"/>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A1264-762D-42AF-8F62-59ACB4D8F067}">
  <dimension ref="A1:M167"/>
  <sheetViews>
    <sheetView zoomScale="80" zoomScaleNormal="80" workbookViewId="0">
      <selection activeCell="K36" sqref="K36"/>
    </sheetView>
  </sheetViews>
  <sheetFormatPr defaultRowHeight="15"/>
  <cols>
    <col min="1" max="1" width="30.140625" customWidth="1"/>
    <col min="2" max="2" width="31.7109375" customWidth="1"/>
    <col min="3" max="3" width="11.140625" customWidth="1"/>
    <col min="4" max="4" width="22.28515625" customWidth="1"/>
    <col min="5" max="5" width="21.85546875" customWidth="1"/>
    <col min="6" max="6" width="22.42578125" customWidth="1"/>
    <col min="7" max="7" width="21.85546875" customWidth="1"/>
    <col min="8" max="8" width="23.7109375" customWidth="1"/>
    <col min="9" max="9" width="43.85546875" customWidth="1"/>
  </cols>
  <sheetData>
    <row r="1" spans="1:13" ht="31.5">
      <c r="A1" s="979" t="s">
        <v>63</v>
      </c>
      <c r="B1" s="625"/>
      <c r="C1" s="625"/>
      <c r="D1" s="625"/>
      <c r="E1" s="625"/>
      <c r="F1" s="625"/>
      <c r="G1" s="625"/>
      <c r="H1" s="625"/>
      <c r="I1" s="625"/>
    </row>
    <row r="2" spans="1:13" ht="23.25">
      <c r="A2" s="980" t="s">
        <v>431</v>
      </c>
      <c r="B2" s="625"/>
      <c r="C2" s="625"/>
      <c r="D2" s="625"/>
      <c r="E2" s="625"/>
      <c r="F2" s="625"/>
      <c r="G2" s="625"/>
      <c r="H2" s="625"/>
      <c r="I2" s="625"/>
    </row>
    <row r="3" spans="1:13" ht="23.25">
      <c r="A3" s="980"/>
      <c r="B3" s="625"/>
      <c r="C3" s="625"/>
      <c r="D3" s="625"/>
      <c r="E3" s="625"/>
      <c r="F3" s="981"/>
      <c r="G3" s="153"/>
      <c r="H3" s="625"/>
      <c r="I3" s="625"/>
    </row>
    <row r="4" spans="1:13" ht="31.5">
      <c r="A4" s="979" t="s">
        <v>2108</v>
      </c>
      <c r="B4" s="625"/>
      <c r="C4" s="625"/>
      <c r="D4" s="625"/>
      <c r="E4" s="625"/>
      <c r="F4" s="625"/>
      <c r="G4" s="625"/>
      <c r="H4" s="625"/>
      <c r="I4" s="625"/>
    </row>
    <row r="5" spans="1:13">
      <c r="A5" s="2151" t="s">
        <v>66</v>
      </c>
      <c r="B5" s="2151"/>
      <c r="C5" s="2151"/>
      <c r="D5" s="2151"/>
      <c r="E5" s="2151"/>
      <c r="F5" s="2151"/>
      <c r="G5" s="2151"/>
      <c r="H5" s="2151"/>
      <c r="I5" s="2151"/>
    </row>
    <row r="6" spans="1:13" ht="21" customHeight="1">
      <c r="A6" s="2172" t="s">
        <v>1922</v>
      </c>
      <c r="B6" s="2172"/>
      <c r="C6" s="2172"/>
      <c r="D6" s="2172"/>
      <c r="E6" s="2172"/>
      <c r="F6" s="2172"/>
      <c r="G6" s="2172"/>
      <c r="H6" s="2172"/>
      <c r="I6" s="2173"/>
    </row>
    <row r="7" spans="1:13">
      <c r="A7" s="625"/>
      <c r="B7" s="625"/>
      <c r="C7" s="625"/>
      <c r="D7" s="625"/>
      <c r="E7" s="625"/>
      <c r="F7" s="625"/>
      <c r="G7" s="625"/>
      <c r="H7" s="625"/>
      <c r="I7" s="625"/>
    </row>
    <row r="8" spans="1:13">
      <c r="A8" s="625"/>
      <c r="B8" s="625"/>
      <c r="C8" s="625"/>
      <c r="D8" s="625"/>
      <c r="E8" s="625"/>
      <c r="F8" s="625"/>
      <c r="G8" s="625"/>
      <c r="H8" s="625"/>
      <c r="I8" s="625"/>
      <c r="J8" s="139"/>
    </row>
    <row r="9" spans="1:13">
      <c r="A9" s="2152" t="s">
        <v>2109</v>
      </c>
      <c r="B9" s="2152"/>
      <c r="C9" s="2152"/>
      <c r="D9" s="2152"/>
      <c r="E9" s="2152"/>
      <c r="F9" s="2152"/>
      <c r="G9" s="2152"/>
      <c r="H9" s="2152"/>
      <c r="I9" s="2153"/>
    </row>
    <row r="10" spans="1:13" ht="18">
      <c r="A10" s="2154" t="s">
        <v>69</v>
      </c>
      <c r="B10" s="2155"/>
      <c r="C10" s="982" t="s">
        <v>70</v>
      </c>
      <c r="D10" s="983" t="s">
        <v>435</v>
      </c>
      <c r="E10" s="984" t="s">
        <v>436</v>
      </c>
      <c r="F10" s="984" t="s">
        <v>437</v>
      </c>
      <c r="G10" s="984" t="s">
        <v>438</v>
      </c>
      <c r="H10" s="984" t="s">
        <v>75</v>
      </c>
      <c r="I10" s="985" t="s">
        <v>76</v>
      </c>
    </row>
    <row r="11" spans="1:13" ht="18">
      <c r="A11" s="2216" t="s">
        <v>2110</v>
      </c>
      <c r="B11" s="986" t="s">
        <v>2111</v>
      </c>
      <c r="C11" s="987" t="s">
        <v>83</v>
      </c>
      <c r="D11" s="1057">
        <f t="shared" ref="D11:D17" si="0">SUM(E11:G11)</f>
        <v>0.60191999999999979</v>
      </c>
      <c r="E11" s="989" t="s">
        <v>48</v>
      </c>
      <c r="F11" s="1056">
        <f>B81</f>
        <v>0.60191999999999979</v>
      </c>
      <c r="G11" s="989" t="s">
        <v>48</v>
      </c>
      <c r="H11" s="987" t="s">
        <v>2112</v>
      </c>
      <c r="I11" s="1055" t="s">
        <v>2113</v>
      </c>
      <c r="M11" s="230"/>
    </row>
    <row r="12" spans="1:13" ht="18">
      <c r="A12" s="2217"/>
      <c r="B12" s="991" t="s">
        <v>2114</v>
      </c>
      <c r="C12" s="987" t="s">
        <v>83</v>
      </c>
      <c r="D12" s="1057">
        <f t="shared" si="0"/>
        <v>0.49247999999999981</v>
      </c>
      <c r="E12" s="989" t="s">
        <v>48</v>
      </c>
      <c r="F12" s="1056">
        <f>C81</f>
        <v>0.49247999999999981</v>
      </c>
      <c r="G12" s="989" t="s">
        <v>48</v>
      </c>
      <c r="H12" s="987" t="s">
        <v>2112</v>
      </c>
      <c r="I12" s="1055" t="s">
        <v>2113</v>
      </c>
      <c r="M12" s="230"/>
    </row>
    <row r="13" spans="1:13" ht="18">
      <c r="A13" s="2217"/>
      <c r="B13" s="987" t="s">
        <v>2115</v>
      </c>
      <c r="C13" s="987" t="s">
        <v>83</v>
      </c>
      <c r="D13" s="1057">
        <f t="shared" si="0"/>
        <v>0.87551999999999974</v>
      </c>
      <c r="E13" s="989" t="s">
        <v>48</v>
      </c>
      <c r="F13" s="1056">
        <f>D81</f>
        <v>0.87551999999999974</v>
      </c>
      <c r="G13" s="989" t="s">
        <v>48</v>
      </c>
      <c r="H13" s="987" t="s">
        <v>2112</v>
      </c>
      <c r="I13" s="1055" t="s">
        <v>2113</v>
      </c>
      <c r="M13" s="230"/>
    </row>
    <row r="14" spans="1:13" ht="18">
      <c r="A14" s="2217"/>
      <c r="B14" s="986" t="s">
        <v>2116</v>
      </c>
      <c r="C14" s="987" t="s">
        <v>83</v>
      </c>
      <c r="D14" s="1057">
        <f t="shared" si="0"/>
        <v>0.33926399999999995</v>
      </c>
      <c r="E14" s="989" t="s">
        <v>48</v>
      </c>
      <c r="F14" s="1056">
        <f>E81</f>
        <v>0.33926399999999995</v>
      </c>
      <c r="G14" s="989" t="s">
        <v>48</v>
      </c>
      <c r="H14" s="987" t="s">
        <v>2112</v>
      </c>
      <c r="I14" s="1055" t="s">
        <v>2113</v>
      </c>
      <c r="M14" s="230"/>
    </row>
    <row r="15" spans="1:13" ht="18">
      <c r="A15" s="2217"/>
      <c r="B15" s="991" t="s">
        <v>2117</v>
      </c>
      <c r="C15" s="987" t="s">
        <v>83</v>
      </c>
      <c r="D15" s="1057">
        <f t="shared" si="0"/>
        <v>0.43775999999999987</v>
      </c>
      <c r="E15" s="989" t="s">
        <v>48</v>
      </c>
      <c r="F15" s="1056">
        <f>F81</f>
        <v>0.43775999999999987</v>
      </c>
      <c r="G15" s="989" t="s">
        <v>48</v>
      </c>
      <c r="H15" s="987" t="s">
        <v>2112</v>
      </c>
      <c r="I15" s="1055" t="s">
        <v>2113</v>
      </c>
      <c r="M15" s="230"/>
    </row>
    <row r="16" spans="1:13" ht="18">
      <c r="A16" s="2217"/>
      <c r="B16" s="987" t="s">
        <v>2118</v>
      </c>
      <c r="C16" s="987" t="s">
        <v>83</v>
      </c>
      <c r="D16" s="1057">
        <f t="shared" si="0"/>
        <v>0.21887999999999994</v>
      </c>
      <c r="E16" s="989" t="s">
        <v>48</v>
      </c>
      <c r="F16" s="1056">
        <f>G81</f>
        <v>0.21887999999999994</v>
      </c>
      <c r="G16" s="989" t="s">
        <v>48</v>
      </c>
      <c r="H16" s="987" t="s">
        <v>2112</v>
      </c>
      <c r="I16" s="1055" t="s">
        <v>2113</v>
      </c>
      <c r="M16" s="230"/>
    </row>
    <row r="17" spans="1:13" ht="18">
      <c r="A17" s="2217"/>
      <c r="B17" s="987" t="s">
        <v>2119</v>
      </c>
      <c r="C17" s="987" t="s">
        <v>83</v>
      </c>
      <c r="D17" s="1057">
        <f t="shared" si="0"/>
        <v>0.13679999999999995</v>
      </c>
      <c r="E17" s="989" t="s">
        <v>48</v>
      </c>
      <c r="F17" s="1056">
        <f>H81</f>
        <v>0.13679999999999995</v>
      </c>
      <c r="G17" s="989" t="s">
        <v>48</v>
      </c>
      <c r="H17" s="987" t="s">
        <v>2112</v>
      </c>
      <c r="I17" s="1055" t="s">
        <v>2113</v>
      </c>
      <c r="M17" s="230"/>
    </row>
    <row r="18" spans="1:13" ht="18">
      <c r="A18" s="2218"/>
      <c r="B18" s="986" t="s">
        <v>2120</v>
      </c>
      <c r="C18" s="987" t="s">
        <v>83</v>
      </c>
      <c r="D18" s="988" t="s">
        <v>48</v>
      </c>
      <c r="E18" s="989" t="s">
        <v>48</v>
      </c>
      <c r="F18" s="990" t="s">
        <v>48</v>
      </c>
      <c r="G18" s="989" t="s">
        <v>48</v>
      </c>
      <c r="H18" s="987" t="s">
        <v>2112</v>
      </c>
      <c r="I18" s="1055" t="s">
        <v>2113</v>
      </c>
      <c r="M18" s="230"/>
    </row>
    <row r="19" spans="1:13" ht="18">
      <c r="A19" s="2216" t="s">
        <v>2121</v>
      </c>
      <c r="B19" s="991" t="s">
        <v>2122</v>
      </c>
      <c r="C19" s="987" t="s">
        <v>83</v>
      </c>
      <c r="D19" s="1057">
        <f>SUM(E19:G19)</f>
        <v>0.20693888847975742</v>
      </c>
      <c r="E19" s="989" t="s">
        <v>48</v>
      </c>
      <c r="F19" s="1056">
        <f>B86</f>
        <v>0.20693888847975742</v>
      </c>
      <c r="G19" s="989" t="s">
        <v>48</v>
      </c>
      <c r="H19" s="992" t="s">
        <v>1257</v>
      </c>
      <c r="I19" s="1055" t="s">
        <v>2113</v>
      </c>
      <c r="M19" s="230"/>
    </row>
    <row r="20" spans="1:13" ht="18">
      <c r="A20" s="2217"/>
      <c r="B20" s="987" t="s">
        <v>2123</v>
      </c>
      <c r="C20" s="987" t="s">
        <v>83</v>
      </c>
      <c r="D20" s="1057">
        <f>SUM(E20:G20)</f>
        <v>0.59447807999999991</v>
      </c>
      <c r="E20" s="989" t="s">
        <v>48</v>
      </c>
      <c r="F20" s="1056">
        <f>B91</f>
        <v>0.59447807999999991</v>
      </c>
      <c r="G20" s="989" t="s">
        <v>48</v>
      </c>
      <c r="H20" s="992" t="s">
        <v>1257</v>
      </c>
      <c r="I20" s="1055" t="s">
        <v>2113</v>
      </c>
    </row>
    <row r="21" spans="1:13">
      <c r="A21" s="625"/>
      <c r="B21" s="625"/>
      <c r="C21" s="625"/>
      <c r="D21" s="625"/>
      <c r="E21" s="625"/>
      <c r="F21" s="625"/>
      <c r="G21" s="625"/>
      <c r="H21" s="625"/>
      <c r="I21" s="625"/>
    </row>
    <row r="22" spans="1:13">
      <c r="A22" s="2152" t="s">
        <v>2124</v>
      </c>
      <c r="B22" s="2152"/>
      <c r="C22" s="2152"/>
      <c r="D22" s="2152"/>
      <c r="E22" s="2152"/>
      <c r="F22" s="2152"/>
      <c r="G22" s="2152"/>
      <c r="H22" s="2152"/>
      <c r="I22" s="2153"/>
    </row>
    <row r="23" spans="1:13" ht="18">
      <c r="A23" s="2154" t="s">
        <v>69</v>
      </c>
      <c r="B23" s="2155"/>
      <c r="C23" s="982" t="s">
        <v>70</v>
      </c>
      <c r="D23" s="983" t="s">
        <v>435</v>
      </c>
      <c r="E23" s="984" t="s">
        <v>436</v>
      </c>
      <c r="F23" s="984" t="s">
        <v>437</v>
      </c>
      <c r="G23" s="984" t="s">
        <v>438</v>
      </c>
      <c r="H23" s="984" t="s">
        <v>75</v>
      </c>
      <c r="I23" s="985" t="s">
        <v>76</v>
      </c>
    </row>
    <row r="24" spans="1:13" ht="18">
      <c r="A24" s="2216" t="s">
        <v>2110</v>
      </c>
      <c r="B24" s="986" t="s">
        <v>2111</v>
      </c>
      <c r="C24" s="987" t="s">
        <v>83</v>
      </c>
      <c r="D24" s="1057">
        <f t="shared" ref="D24:D30" si="1">SUM(E24:G24)</f>
        <v>1.8809999999999998</v>
      </c>
      <c r="E24" s="989" t="s">
        <v>48</v>
      </c>
      <c r="F24" s="1056">
        <f>B78</f>
        <v>1.8809999999999998</v>
      </c>
      <c r="G24" s="989" t="s">
        <v>48</v>
      </c>
      <c r="H24" s="987" t="s">
        <v>2112</v>
      </c>
      <c r="I24" s="1055" t="s">
        <v>2113</v>
      </c>
    </row>
    <row r="25" spans="1:13" ht="18">
      <c r="A25" s="2217"/>
      <c r="B25" s="991" t="s">
        <v>2114</v>
      </c>
      <c r="C25" s="987" t="s">
        <v>83</v>
      </c>
      <c r="D25" s="1057">
        <f t="shared" si="1"/>
        <v>1.5389999999999997</v>
      </c>
      <c r="E25" s="989" t="s">
        <v>48</v>
      </c>
      <c r="F25" s="1056">
        <f>C78</f>
        <v>1.5389999999999997</v>
      </c>
      <c r="G25" s="989" t="s">
        <v>48</v>
      </c>
      <c r="H25" s="987" t="s">
        <v>2112</v>
      </c>
      <c r="I25" s="1055" t="s">
        <v>2113</v>
      </c>
    </row>
    <row r="26" spans="1:13" ht="18">
      <c r="A26" s="2217"/>
      <c r="B26" s="987" t="s">
        <v>2115</v>
      </c>
      <c r="C26" s="987" t="s">
        <v>83</v>
      </c>
      <c r="D26" s="1057">
        <f t="shared" si="1"/>
        <v>2.7359999999999998</v>
      </c>
      <c r="E26" s="989" t="s">
        <v>48</v>
      </c>
      <c r="F26" s="1056">
        <f>D78</f>
        <v>2.7359999999999998</v>
      </c>
      <c r="G26" s="989" t="s">
        <v>48</v>
      </c>
      <c r="H26" s="987" t="s">
        <v>2112</v>
      </c>
      <c r="I26" s="1055" t="s">
        <v>2113</v>
      </c>
    </row>
    <row r="27" spans="1:13" ht="18">
      <c r="A27" s="2217"/>
      <c r="B27" s="986" t="s">
        <v>2116</v>
      </c>
      <c r="C27" s="987" t="s">
        <v>83</v>
      </c>
      <c r="D27" s="1057">
        <f t="shared" si="1"/>
        <v>1.0602</v>
      </c>
      <c r="E27" s="989" t="s">
        <v>48</v>
      </c>
      <c r="F27" s="1056">
        <f>E78</f>
        <v>1.0602</v>
      </c>
      <c r="G27" s="989" t="s">
        <v>48</v>
      </c>
      <c r="H27" s="987" t="s">
        <v>2112</v>
      </c>
      <c r="I27" s="1055" t="s">
        <v>2113</v>
      </c>
    </row>
    <row r="28" spans="1:13" ht="18">
      <c r="A28" s="2217"/>
      <c r="B28" s="991" t="s">
        <v>2117</v>
      </c>
      <c r="C28" s="987" t="s">
        <v>83</v>
      </c>
      <c r="D28" s="1057">
        <f t="shared" si="1"/>
        <v>1.3679999999999999</v>
      </c>
      <c r="E28" s="989" t="s">
        <v>48</v>
      </c>
      <c r="F28" s="1056">
        <f>F78</f>
        <v>1.3679999999999999</v>
      </c>
      <c r="G28" s="989" t="s">
        <v>48</v>
      </c>
      <c r="H28" s="987" t="s">
        <v>2112</v>
      </c>
      <c r="I28" s="1055" t="s">
        <v>2113</v>
      </c>
    </row>
    <row r="29" spans="1:13" ht="18">
      <c r="A29" s="2217"/>
      <c r="B29" s="987" t="s">
        <v>2118</v>
      </c>
      <c r="C29" s="987" t="s">
        <v>83</v>
      </c>
      <c r="D29" s="1057">
        <f t="shared" si="1"/>
        <v>0.68399999999999994</v>
      </c>
      <c r="E29" s="989" t="s">
        <v>48</v>
      </c>
      <c r="F29" s="1056">
        <f>G78</f>
        <v>0.68399999999999994</v>
      </c>
      <c r="G29" s="989" t="s">
        <v>48</v>
      </c>
      <c r="H29" s="987" t="s">
        <v>2112</v>
      </c>
      <c r="I29" s="1055" t="s">
        <v>2113</v>
      </c>
    </row>
    <row r="30" spans="1:13" ht="18">
      <c r="A30" s="2217"/>
      <c r="B30" s="987" t="s">
        <v>2119</v>
      </c>
      <c r="C30" s="987" t="s">
        <v>83</v>
      </c>
      <c r="D30" s="1057">
        <f t="shared" si="1"/>
        <v>0.42749999999999994</v>
      </c>
      <c r="E30" s="989" t="s">
        <v>48</v>
      </c>
      <c r="F30" s="1056">
        <f>H78</f>
        <v>0.42749999999999994</v>
      </c>
      <c r="G30" s="989" t="s">
        <v>48</v>
      </c>
      <c r="H30" s="987" t="s">
        <v>2112</v>
      </c>
      <c r="I30" s="1055" t="s">
        <v>2113</v>
      </c>
    </row>
    <row r="31" spans="1:13" ht="18">
      <c r="A31" s="2218"/>
      <c r="B31" s="986" t="s">
        <v>2120</v>
      </c>
      <c r="C31" s="987" t="s">
        <v>83</v>
      </c>
      <c r="D31" s="993" t="s">
        <v>48</v>
      </c>
      <c r="E31" s="989" t="s">
        <v>48</v>
      </c>
      <c r="F31" s="989" t="s">
        <v>48</v>
      </c>
      <c r="G31" s="989" t="s">
        <v>48</v>
      </c>
      <c r="H31" s="987" t="s">
        <v>2112</v>
      </c>
      <c r="I31" s="1055" t="s">
        <v>2113</v>
      </c>
    </row>
    <row r="32" spans="1:13" ht="18">
      <c r="A32" s="2216" t="s">
        <v>2121</v>
      </c>
      <c r="B32" s="991" t="s">
        <v>2122</v>
      </c>
      <c r="C32" s="987" t="s">
        <v>83</v>
      </c>
      <c r="D32" s="1057">
        <f>SUM(E32:G32)</f>
        <v>0.64668402649924206</v>
      </c>
      <c r="E32" s="989" t="s">
        <v>48</v>
      </c>
      <c r="F32" s="1056">
        <f>B84</f>
        <v>0.64668402649924206</v>
      </c>
      <c r="G32" s="989" t="s">
        <v>48</v>
      </c>
      <c r="H32" s="992" t="s">
        <v>1257</v>
      </c>
      <c r="I32" s="1055" t="s">
        <v>2113</v>
      </c>
    </row>
    <row r="33" spans="1:9" ht="18">
      <c r="A33" s="2217"/>
      <c r="B33" s="987" t="s">
        <v>2123</v>
      </c>
      <c r="C33" s="987" t="s">
        <v>83</v>
      </c>
      <c r="D33" s="1057">
        <f>SUM(E33:G33)</f>
        <v>1.8577439999999998</v>
      </c>
      <c r="E33" s="989" t="s">
        <v>48</v>
      </c>
      <c r="F33" s="1056">
        <f>B89</f>
        <v>1.8577439999999998</v>
      </c>
      <c r="G33" s="989" t="s">
        <v>48</v>
      </c>
      <c r="H33" s="992" t="s">
        <v>1257</v>
      </c>
      <c r="I33" s="1055" t="s">
        <v>2113</v>
      </c>
    </row>
    <row r="34" spans="1:9">
      <c r="A34" s="625"/>
      <c r="B34" s="625"/>
      <c r="C34" s="625"/>
      <c r="D34" s="625"/>
      <c r="E34" s="625"/>
      <c r="F34" s="625"/>
      <c r="G34" s="625"/>
      <c r="H34" s="625"/>
      <c r="I34" s="625"/>
    </row>
    <row r="35" spans="1:9">
      <c r="A35" s="2219" t="s">
        <v>2125</v>
      </c>
      <c r="B35" s="2220"/>
      <c r="C35" s="2220"/>
      <c r="D35" s="2220"/>
      <c r="E35" s="2220"/>
      <c r="F35" s="2220"/>
      <c r="G35" s="2220"/>
      <c r="H35" s="2220"/>
      <c r="I35" s="2221"/>
    </row>
    <row r="36" spans="1:9" ht="18">
      <c r="A36" s="2214" t="s">
        <v>69</v>
      </c>
      <c r="B36" s="2215"/>
      <c r="C36" s="994" t="s">
        <v>70</v>
      </c>
      <c r="D36" s="995" t="s">
        <v>435</v>
      </c>
      <c r="E36" s="996" t="s">
        <v>436</v>
      </c>
      <c r="F36" s="996" t="s">
        <v>437</v>
      </c>
      <c r="G36" s="996" t="s">
        <v>438</v>
      </c>
      <c r="H36" s="994" t="s">
        <v>75</v>
      </c>
      <c r="I36" s="994" t="s">
        <v>76</v>
      </c>
    </row>
    <row r="37" spans="1:9">
      <c r="A37" s="2222" t="s">
        <v>2126</v>
      </c>
      <c r="B37" s="997" t="s">
        <v>2127</v>
      </c>
      <c r="C37" s="998" t="s">
        <v>83</v>
      </c>
      <c r="D37" s="1057">
        <f>SUM(E37:G37)</f>
        <v>0.17152000000000001</v>
      </c>
      <c r="E37" s="999" t="s">
        <v>48</v>
      </c>
      <c r="F37" s="975">
        <f>C118</f>
        <v>0.1</v>
      </c>
      <c r="G37" s="975">
        <f>E118</f>
        <v>7.152E-2</v>
      </c>
      <c r="H37" s="998" t="s">
        <v>2128</v>
      </c>
      <c r="I37" s="998" t="s">
        <v>2129</v>
      </c>
    </row>
    <row r="38" spans="1:9">
      <c r="A38" s="2223"/>
      <c r="B38" s="813" t="s">
        <v>2130</v>
      </c>
      <c r="C38" s="813" t="s">
        <v>2131</v>
      </c>
      <c r="D38" s="1057">
        <f>SUM(E38:G38)</f>
        <v>0.02</v>
      </c>
      <c r="E38" s="1000" t="s">
        <v>48</v>
      </c>
      <c r="F38" s="977">
        <f>C132</f>
        <v>0.02</v>
      </c>
      <c r="G38" s="1001" t="s">
        <v>48</v>
      </c>
      <c r="H38" s="998" t="s">
        <v>2128</v>
      </c>
      <c r="I38" s="998" t="s">
        <v>2129</v>
      </c>
    </row>
    <row r="39" spans="1:9">
      <c r="A39" s="625"/>
      <c r="B39" s="625"/>
      <c r="C39" s="625"/>
      <c r="D39" s="625"/>
      <c r="E39" s="625"/>
      <c r="F39" s="625"/>
      <c r="G39" s="625"/>
      <c r="H39" s="625"/>
      <c r="I39" s="625"/>
    </row>
    <row r="40" spans="1:9">
      <c r="A40" s="625"/>
      <c r="B40" s="625"/>
      <c r="C40" s="625"/>
      <c r="D40" s="625"/>
      <c r="E40" s="625"/>
      <c r="F40" s="625"/>
      <c r="G40" s="625"/>
      <c r="H40" s="625"/>
      <c r="I40" s="625"/>
    </row>
    <row r="41" spans="1:9">
      <c r="A41" s="2219" t="s">
        <v>2132</v>
      </c>
      <c r="B41" s="2220"/>
      <c r="C41" s="2220"/>
      <c r="D41" s="2220"/>
      <c r="E41" s="2220"/>
      <c r="F41" s="2220"/>
      <c r="G41" s="2220"/>
      <c r="H41" s="2220"/>
      <c r="I41" s="2221"/>
    </row>
    <row r="42" spans="1:9" ht="18">
      <c r="A42" s="2224" t="s">
        <v>69</v>
      </c>
      <c r="B42" s="2225"/>
      <c r="C42" s="996" t="s">
        <v>70</v>
      </c>
      <c r="D42" s="995" t="s">
        <v>435</v>
      </c>
      <c r="E42" s="996" t="s">
        <v>436</v>
      </c>
      <c r="F42" s="996" t="s">
        <v>437</v>
      </c>
      <c r="G42" s="996" t="s">
        <v>438</v>
      </c>
      <c r="H42" s="996" t="s">
        <v>75</v>
      </c>
      <c r="I42" s="996" t="s">
        <v>76</v>
      </c>
    </row>
    <row r="43" spans="1:9" ht="18">
      <c r="A43" s="2226" t="s">
        <v>2110</v>
      </c>
      <c r="B43" s="813" t="s">
        <v>2133</v>
      </c>
      <c r="C43" s="813" t="s">
        <v>83</v>
      </c>
      <c r="D43" s="1057">
        <f t="shared" ref="D43:D49" si="2">SUM(E43:G43)</f>
        <v>0.17500000000000002</v>
      </c>
      <c r="E43" s="1001" t="s">
        <v>48</v>
      </c>
      <c r="F43" s="978">
        <f>C149</f>
        <v>0.17500000000000002</v>
      </c>
      <c r="G43" s="1001" t="s">
        <v>48</v>
      </c>
      <c r="H43" s="813"/>
      <c r="I43" s="1002" t="s">
        <v>2134</v>
      </c>
    </row>
    <row r="44" spans="1:9" ht="18">
      <c r="A44" s="2227"/>
      <c r="B44" s="813" t="s">
        <v>2135</v>
      </c>
      <c r="C44" s="813" t="s">
        <v>83</v>
      </c>
      <c r="D44" s="1057">
        <f t="shared" si="2"/>
        <v>0.14000000000000001</v>
      </c>
      <c r="E44" s="1001" t="s">
        <v>48</v>
      </c>
      <c r="F44" s="978">
        <f>D149</f>
        <v>0.14000000000000001</v>
      </c>
      <c r="G44" s="1001" t="s">
        <v>48</v>
      </c>
      <c r="H44" s="813"/>
      <c r="I44" s="1002" t="s">
        <v>2134</v>
      </c>
    </row>
    <row r="45" spans="1:9" ht="18">
      <c r="A45" s="2227"/>
      <c r="B45" s="813" t="s">
        <v>2136</v>
      </c>
      <c r="C45" s="813" t="s">
        <v>83</v>
      </c>
      <c r="D45" s="1057">
        <f t="shared" si="2"/>
        <v>0.98000000000000009</v>
      </c>
      <c r="E45" s="1001" t="s">
        <v>48</v>
      </c>
      <c r="F45" s="978">
        <f>E149</f>
        <v>0.98000000000000009</v>
      </c>
      <c r="G45" s="1001" t="s">
        <v>48</v>
      </c>
      <c r="H45" s="813"/>
      <c r="I45" s="1002" t="s">
        <v>2134</v>
      </c>
    </row>
    <row r="46" spans="1:9" ht="18">
      <c r="A46" s="2227"/>
      <c r="B46" s="813" t="s">
        <v>2137</v>
      </c>
      <c r="C46" s="813" t="s">
        <v>83</v>
      </c>
      <c r="D46" s="1057">
        <f t="shared" si="2"/>
        <v>0.52499999999999991</v>
      </c>
      <c r="E46" s="1001" t="s">
        <v>48</v>
      </c>
      <c r="F46" s="978">
        <f>F149</f>
        <v>0.52499999999999991</v>
      </c>
      <c r="G46" s="1001" t="s">
        <v>48</v>
      </c>
      <c r="H46" s="813"/>
      <c r="I46" s="1002" t="s">
        <v>2134</v>
      </c>
    </row>
    <row r="47" spans="1:9" ht="18">
      <c r="A47" s="2227"/>
      <c r="B47" s="813" t="s">
        <v>2138</v>
      </c>
      <c r="C47" s="813" t="s">
        <v>83</v>
      </c>
      <c r="D47" s="1057">
        <f t="shared" si="2"/>
        <v>0.70000000000000007</v>
      </c>
      <c r="E47" s="1001" t="s">
        <v>48</v>
      </c>
      <c r="F47" s="978">
        <f>G149</f>
        <v>0.70000000000000007</v>
      </c>
      <c r="G47" s="1001" t="s">
        <v>48</v>
      </c>
      <c r="H47" s="813"/>
      <c r="I47" s="1002" t="s">
        <v>2134</v>
      </c>
    </row>
    <row r="48" spans="1:9" ht="18">
      <c r="A48" s="2227"/>
      <c r="B48" s="813" t="s">
        <v>258</v>
      </c>
      <c r="C48" s="813" t="s">
        <v>83</v>
      </c>
      <c r="D48" s="1057">
        <f t="shared" si="2"/>
        <v>0.52499999999999991</v>
      </c>
      <c r="E48" s="1001" t="s">
        <v>48</v>
      </c>
      <c r="F48" s="978">
        <f>H149</f>
        <v>0.52499999999999991</v>
      </c>
      <c r="G48" s="1001" t="s">
        <v>48</v>
      </c>
      <c r="H48" s="813"/>
      <c r="I48" s="1002" t="s">
        <v>2134</v>
      </c>
    </row>
    <row r="49" spans="1:12" ht="18">
      <c r="A49" s="2227"/>
      <c r="B49" s="813" t="s">
        <v>313</v>
      </c>
      <c r="C49" s="813" t="s">
        <v>83</v>
      </c>
      <c r="D49" s="1057">
        <f t="shared" si="2"/>
        <v>1.1900000000000002</v>
      </c>
      <c r="E49" s="1001" t="s">
        <v>48</v>
      </c>
      <c r="F49" s="978">
        <f>I149</f>
        <v>1.1900000000000002</v>
      </c>
      <c r="G49" s="1001" t="s">
        <v>48</v>
      </c>
      <c r="H49" s="813"/>
      <c r="I49" s="1002" t="s">
        <v>2134</v>
      </c>
    </row>
    <row r="50" spans="1:12" ht="18">
      <c r="A50" s="2228"/>
      <c r="B50" s="813" t="s">
        <v>2139</v>
      </c>
      <c r="C50" s="813" t="s">
        <v>83</v>
      </c>
      <c r="D50" s="1003" t="s">
        <v>48</v>
      </c>
      <c r="E50" s="1001" t="s">
        <v>48</v>
      </c>
      <c r="F50" s="1001" t="s">
        <v>48</v>
      </c>
      <c r="G50" s="1001" t="s">
        <v>48</v>
      </c>
      <c r="H50" s="813"/>
      <c r="I50" s="1002" t="s">
        <v>2134</v>
      </c>
    </row>
    <row r="51" spans="1:12" ht="18">
      <c r="A51" s="2229" t="s">
        <v>2140</v>
      </c>
      <c r="B51" s="2230"/>
      <c r="C51" s="813" t="s">
        <v>83</v>
      </c>
      <c r="D51" s="1057">
        <f>SUM(E51:G51)</f>
        <v>0.17592812469065389</v>
      </c>
      <c r="E51" s="1001" t="s">
        <v>48</v>
      </c>
      <c r="F51" s="978">
        <f>C151</f>
        <v>0.17592812469065389</v>
      </c>
      <c r="G51" s="1001" t="s">
        <v>48</v>
      </c>
      <c r="H51" s="813"/>
      <c r="I51" s="1002" t="s">
        <v>2134</v>
      </c>
    </row>
    <row r="55" spans="1:12" s="594" customFormat="1" ht="35.25" customHeight="1">
      <c r="A55" s="1004" t="s">
        <v>1946</v>
      </c>
      <c r="B55" s="1005"/>
      <c r="C55" s="1006" t="s">
        <v>275</v>
      </c>
      <c r="D55" s="1007"/>
      <c r="E55" s="1007"/>
      <c r="F55" s="1007"/>
      <c r="G55" s="1007"/>
      <c r="H55" s="1007"/>
      <c r="I55" s="1007"/>
      <c r="J55" s="1007"/>
      <c r="K55" s="1007"/>
      <c r="L55" s="1007"/>
    </row>
    <row r="56" spans="1:12">
      <c r="A56" s="625"/>
      <c r="B56" s="625"/>
      <c r="C56" s="625"/>
      <c r="D56" s="625"/>
      <c r="E56" s="625"/>
      <c r="F56" s="625"/>
      <c r="G56" s="625"/>
      <c r="H56" s="625"/>
      <c r="I56" s="625"/>
      <c r="J56" s="625"/>
      <c r="K56" s="625"/>
      <c r="L56" s="625"/>
    </row>
    <row r="57" spans="1:12">
      <c r="A57" s="625"/>
      <c r="B57" s="1008" t="s">
        <v>1947</v>
      </c>
      <c r="C57" s="625"/>
      <c r="D57" s="625"/>
      <c r="E57" s="625"/>
      <c r="F57" s="625"/>
      <c r="G57" s="625"/>
      <c r="H57" s="625"/>
      <c r="I57" s="625"/>
      <c r="J57" s="625"/>
      <c r="K57" s="625"/>
      <c r="L57" s="625"/>
    </row>
    <row r="58" spans="1:12">
      <c r="A58" s="625"/>
      <c r="B58" s="625"/>
      <c r="C58" s="625"/>
      <c r="D58" s="625"/>
      <c r="E58" s="625"/>
      <c r="F58" s="625"/>
      <c r="G58" s="625"/>
      <c r="H58" s="625"/>
      <c r="I58" s="625"/>
      <c r="J58" s="625"/>
      <c r="K58" s="625"/>
      <c r="L58" s="625"/>
    </row>
    <row r="59" spans="1:12" s="1011" customFormat="1" ht="21">
      <c r="A59" s="1009" t="s">
        <v>2141</v>
      </c>
      <c r="B59" s="1010"/>
      <c r="C59" s="1010"/>
      <c r="D59" s="1010"/>
      <c r="E59" s="1010"/>
      <c r="F59" s="1010"/>
      <c r="G59" s="1010"/>
      <c r="H59" s="1010"/>
      <c r="I59" s="1010"/>
      <c r="J59" s="1010"/>
      <c r="K59" s="1010"/>
      <c r="L59" s="1010"/>
    </row>
    <row r="60" spans="1:12">
      <c r="A60" s="625"/>
      <c r="B60" s="625"/>
      <c r="C60" s="625"/>
      <c r="D60" s="625"/>
      <c r="E60" s="625"/>
      <c r="F60" s="625"/>
      <c r="G60" s="625"/>
      <c r="H60" s="625"/>
      <c r="I60" s="625"/>
      <c r="J60" s="625"/>
      <c r="K60" s="625"/>
      <c r="L60" s="625"/>
    </row>
    <row r="61" spans="1:12" ht="15.75" thickBot="1">
      <c r="A61" s="625"/>
      <c r="B61" s="764" t="s">
        <v>2142</v>
      </c>
      <c r="C61" s="625"/>
      <c r="D61" s="625"/>
      <c r="E61" s="625"/>
      <c r="F61" s="625"/>
      <c r="G61" s="625"/>
      <c r="H61" s="625"/>
      <c r="I61" s="625"/>
      <c r="K61" s="764" t="s">
        <v>2143</v>
      </c>
    </row>
    <row r="62" spans="1:12">
      <c r="A62" s="625"/>
      <c r="B62" s="1012">
        <v>3382.9181999999901</v>
      </c>
      <c r="C62" s="625"/>
      <c r="D62" s="625"/>
      <c r="E62" s="625"/>
      <c r="F62" s="625"/>
      <c r="G62" s="625"/>
      <c r="H62" s="625"/>
      <c r="I62" s="625"/>
      <c r="K62" s="625" t="s">
        <v>2144</v>
      </c>
    </row>
    <row r="63" spans="1:12">
      <c r="A63" s="625"/>
      <c r="B63" s="1013">
        <v>0.9695185624056798</v>
      </c>
      <c r="C63" s="625" t="s">
        <v>2145</v>
      </c>
      <c r="D63" s="625"/>
      <c r="E63" s="625"/>
      <c r="F63" s="625"/>
      <c r="G63" s="625"/>
      <c r="H63" s="625"/>
      <c r="I63" s="625"/>
      <c r="J63" s="625"/>
    </row>
    <row r="64" spans="1:12" ht="15.75" thickBot="1">
      <c r="A64" s="625"/>
      <c r="B64" s="1014">
        <v>3.0481437594320187E-2</v>
      </c>
      <c r="C64" s="625" t="s">
        <v>2146</v>
      </c>
      <c r="D64" s="625"/>
      <c r="E64" s="625"/>
      <c r="F64" s="625"/>
      <c r="G64" s="625"/>
      <c r="H64" s="625"/>
      <c r="I64" s="625"/>
      <c r="J64" s="625"/>
    </row>
    <row r="65" spans="1:11">
      <c r="A65" s="625"/>
      <c r="B65" s="625"/>
      <c r="C65" s="625"/>
      <c r="D65" s="625"/>
      <c r="E65" s="625"/>
      <c r="F65" s="625"/>
      <c r="G65" s="625"/>
      <c r="H65" s="625"/>
      <c r="I65" s="625"/>
      <c r="J65" s="625"/>
    </row>
    <row r="66" spans="1:11">
      <c r="A66" s="625"/>
      <c r="B66" s="61" t="s">
        <v>2147</v>
      </c>
      <c r="J66" s="625"/>
    </row>
    <row r="67" spans="1:11" ht="15.75" thickBot="1">
      <c r="A67" s="625"/>
      <c r="B67" t="s">
        <v>2137</v>
      </c>
      <c r="C67" t="s">
        <v>2138</v>
      </c>
      <c r="D67" t="s">
        <v>2148</v>
      </c>
      <c r="E67" t="s">
        <v>313</v>
      </c>
      <c r="F67" t="s">
        <v>2149</v>
      </c>
      <c r="G67" t="s">
        <v>2150</v>
      </c>
      <c r="H67" t="s">
        <v>2151</v>
      </c>
      <c r="I67" t="s">
        <v>2152</v>
      </c>
      <c r="K67" t="s">
        <v>2153</v>
      </c>
    </row>
    <row r="68" spans="1:11" ht="15.75" thickBot="1">
      <c r="A68" s="625"/>
      <c r="B68" s="414">
        <v>9.0120417817713225E-2</v>
      </c>
      <c r="C68" s="415">
        <v>5.7424156439146473E-2</v>
      </c>
      <c r="D68" s="415">
        <v>5.8899125984835814E-2</v>
      </c>
      <c r="E68" s="415">
        <v>0.12623093688321224</v>
      </c>
      <c r="F68" s="415">
        <v>5.0214116880859132E-2</v>
      </c>
      <c r="G68" s="415">
        <v>2.4711178373926005E-2</v>
      </c>
      <c r="H68" s="415">
        <v>1.9224182328430192E-2</v>
      </c>
      <c r="I68" s="416">
        <v>0.57317588529187702</v>
      </c>
      <c r="K68" t="s">
        <v>2154</v>
      </c>
    </row>
    <row r="69" spans="1:11">
      <c r="A69" s="625"/>
      <c r="J69" s="625"/>
    </row>
    <row r="70" spans="1:11" ht="15.75" thickBot="1">
      <c r="A70" s="625" t="s">
        <v>2155</v>
      </c>
      <c r="B70" s="229">
        <f>B71/B72</f>
        <v>0.15714285714285717</v>
      </c>
      <c r="C70" s="229">
        <f>C71/C72</f>
        <v>0.1607142857142857</v>
      </c>
      <c r="D70">
        <f>D71/D72</f>
        <v>0.32</v>
      </c>
      <c r="E70" s="353">
        <v>0.43</v>
      </c>
      <c r="F70">
        <f>F71/F72</f>
        <v>0.16</v>
      </c>
      <c r="G70">
        <f>G71/G72</f>
        <v>0.08</v>
      </c>
      <c r="H70">
        <f>H71/H72</f>
        <v>0.05</v>
      </c>
      <c r="J70" s="625" t="s">
        <v>2155</v>
      </c>
      <c r="K70" t="s">
        <v>2154</v>
      </c>
    </row>
    <row r="71" spans="1:11" ht="15.75" thickBot="1">
      <c r="A71" s="61" t="s">
        <v>2156</v>
      </c>
      <c r="B71" s="410">
        <v>0.11</v>
      </c>
      <c r="C71" s="411">
        <v>0.09</v>
      </c>
      <c r="D71" s="411">
        <v>0.16</v>
      </c>
      <c r="E71" s="1015">
        <f>0.6*0.01+0.4*0.14</f>
        <v>6.2000000000000006E-2</v>
      </c>
      <c r="F71" s="411">
        <v>0.08</v>
      </c>
      <c r="G71" s="411">
        <v>0.04</v>
      </c>
      <c r="H71" s="1016">
        <v>2.5000000000000001E-2</v>
      </c>
      <c r="I71" s="417">
        <v>0</v>
      </c>
      <c r="J71" s="625" t="s">
        <v>2157</v>
      </c>
      <c r="K71" t="s">
        <v>2154</v>
      </c>
    </row>
    <row r="72" spans="1:11" ht="15.75" thickBot="1">
      <c r="A72" s="13" t="s">
        <v>2158</v>
      </c>
      <c r="B72" s="1017">
        <v>0.7</v>
      </c>
      <c r="C72" s="1018">
        <v>0.56000000000000005</v>
      </c>
      <c r="D72" s="1018">
        <v>0.5</v>
      </c>
      <c r="E72" s="1019">
        <v>0.13953488372093023</v>
      </c>
      <c r="F72" s="1018">
        <v>0.5</v>
      </c>
      <c r="G72" s="1018">
        <v>0.5</v>
      </c>
      <c r="H72" s="1018">
        <v>0.5</v>
      </c>
      <c r="I72" s="1020">
        <v>0</v>
      </c>
      <c r="J72" t="s">
        <v>2158</v>
      </c>
      <c r="K72" t="s">
        <v>2159</v>
      </c>
    </row>
    <row r="73" spans="1:11" ht="15.75" thickBot="1">
      <c r="A73" s="625"/>
      <c r="B73" s="61" t="s">
        <v>2160</v>
      </c>
      <c r="J73" s="625"/>
    </row>
    <row r="74" spans="1:11" ht="15.75" thickBot="1">
      <c r="A74" s="625"/>
      <c r="B74" s="1021">
        <f>SUMPRODUCT(B68:H68,B71:H71)</f>
        <v>3.7817779327441063E-2</v>
      </c>
      <c r="C74" s="625"/>
      <c r="D74" s="625"/>
      <c r="E74" s="625"/>
      <c r="F74" s="625"/>
      <c r="G74" s="625"/>
      <c r="H74" s="625"/>
      <c r="I74" s="625"/>
      <c r="J74" s="625"/>
    </row>
    <row r="75" spans="1:11" ht="15.75" thickBot="1">
      <c r="A75" s="625"/>
      <c r="B75" s="625"/>
      <c r="C75" s="625"/>
      <c r="D75" s="625"/>
      <c r="E75" s="625"/>
      <c r="F75" s="625"/>
      <c r="G75" s="625"/>
      <c r="H75" s="625"/>
      <c r="I75" s="625"/>
      <c r="J75" s="625"/>
    </row>
    <row r="76" spans="1:11">
      <c r="A76" s="1022"/>
      <c r="B76" s="1023" t="s">
        <v>2161</v>
      </c>
      <c r="C76" s="1024"/>
      <c r="D76" s="1024"/>
      <c r="E76" s="1024"/>
      <c r="F76" s="1024"/>
      <c r="G76" s="1024"/>
      <c r="H76" s="1024"/>
      <c r="I76" s="1025"/>
      <c r="K76" t="s">
        <v>2162</v>
      </c>
    </row>
    <row r="77" spans="1:11">
      <c r="A77" s="1026"/>
      <c r="B77" s="1027" t="s">
        <v>2137</v>
      </c>
      <c r="C77" s="625" t="s">
        <v>2138</v>
      </c>
      <c r="D77" s="625" t="s">
        <v>2148</v>
      </c>
      <c r="E77" s="625" t="s">
        <v>313</v>
      </c>
      <c r="F77" s="625" t="s">
        <v>2149</v>
      </c>
      <c r="G77" s="625" t="s">
        <v>2150</v>
      </c>
      <c r="H77" s="625" t="s">
        <v>2151</v>
      </c>
      <c r="I77" s="1028" t="s">
        <v>2152</v>
      </c>
    </row>
    <row r="78" spans="1:11">
      <c r="A78" s="1026"/>
      <c r="B78" s="1029">
        <f t="shared" ref="B78:H78" si="3">B$71*$D$104*$D$105*$D$106*(1-$D107)*$D$109</f>
        <v>1.8809999999999998</v>
      </c>
      <c r="C78" s="1030">
        <f t="shared" si="3"/>
        <v>1.5389999999999997</v>
      </c>
      <c r="D78" s="1030">
        <f t="shared" si="3"/>
        <v>2.7359999999999998</v>
      </c>
      <c r="E78" s="1030">
        <f t="shared" si="3"/>
        <v>1.0602</v>
      </c>
      <c r="F78" s="1030">
        <f t="shared" si="3"/>
        <v>1.3679999999999999</v>
      </c>
      <c r="G78" s="1030">
        <f t="shared" si="3"/>
        <v>0.68399999999999994</v>
      </c>
      <c r="H78" s="1030">
        <f t="shared" si="3"/>
        <v>0.42749999999999994</v>
      </c>
      <c r="I78" s="1028" t="s">
        <v>322</v>
      </c>
    </row>
    <row r="79" spans="1:11">
      <c r="A79" s="1026"/>
      <c r="B79" s="1031" t="s">
        <v>2163</v>
      </c>
      <c r="C79" s="625"/>
      <c r="D79" s="625"/>
      <c r="E79" s="625"/>
      <c r="F79" s="625"/>
      <c r="G79" s="625"/>
      <c r="H79" s="625"/>
      <c r="I79" s="1028"/>
    </row>
    <row r="80" spans="1:11">
      <c r="A80" s="1026"/>
      <c r="B80" s="1027" t="s">
        <v>2137</v>
      </c>
      <c r="C80" s="625" t="s">
        <v>2138</v>
      </c>
      <c r="D80" s="625" t="s">
        <v>2148</v>
      </c>
      <c r="E80" s="625" t="s">
        <v>313</v>
      </c>
      <c r="F80" s="625" t="s">
        <v>2149</v>
      </c>
      <c r="G80" s="625" t="s">
        <v>2150</v>
      </c>
      <c r="H80" s="625" t="s">
        <v>2151</v>
      </c>
      <c r="I80" s="1028" t="s">
        <v>2152</v>
      </c>
    </row>
    <row r="81" spans="1:11">
      <c r="A81" s="1026"/>
      <c r="B81" s="1032">
        <f t="shared" ref="B81:H81" si="4">B78*(1-$B$94)</f>
        <v>0.60191999999999979</v>
      </c>
      <c r="C81" s="1033">
        <f t="shared" si="4"/>
        <v>0.49247999999999981</v>
      </c>
      <c r="D81" s="1033">
        <f t="shared" si="4"/>
        <v>0.87551999999999974</v>
      </c>
      <c r="E81" s="1033">
        <f t="shared" si="4"/>
        <v>0.33926399999999995</v>
      </c>
      <c r="F81" s="1033">
        <f t="shared" si="4"/>
        <v>0.43775999999999987</v>
      </c>
      <c r="G81" s="1033">
        <f t="shared" si="4"/>
        <v>0.21887999999999994</v>
      </c>
      <c r="H81" s="1033">
        <f t="shared" si="4"/>
        <v>0.13679999999999995</v>
      </c>
      <c r="I81" s="1028" t="s">
        <v>322</v>
      </c>
      <c r="K81" t="s">
        <v>2164</v>
      </c>
    </row>
    <row r="82" spans="1:11">
      <c r="A82" s="1026"/>
      <c r="B82" s="1031"/>
      <c r="C82" s="625"/>
      <c r="D82" s="625"/>
      <c r="E82" s="625"/>
      <c r="F82" s="625"/>
      <c r="G82" s="625"/>
      <c r="H82" s="625"/>
      <c r="I82" s="1028"/>
    </row>
    <row r="83" spans="1:11">
      <c r="A83" s="1028"/>
      <c r="B83" s="1031" t="s">
        <v>2165</v>
      </c>
      <c r="C83" s="625"/>
      <c r="D83" s="625"/>
      <c r="E83" s="625"/>
      <c r="F83" s="625"/>
      <c r="G83" s="625"/>
      <c r="H83" s="625"/>
      <c r="I83" s="1028"/>
    </row>
    <row r="84" spans="1:11">
      <c r="A84" s="686"/>
      <c r="B84" s="412">
        <f>B74*D104*D105*D106*(1-D107)*D109</f>
        <v>0.64668402649924206</v>
      </c>
      <c r="C84" s="625"/>
      <c r="D84" s="625"/>
      <c r="E84" s="625"/>
      <c r="F84" s="625"/>
      <c r="G84" s="625"/>
      <c r="H84" s="625"/>
      <c r="I84" s="1028"/>
      <c r="K84" t="s">
        <v>2166</v>
      </c>
    </row>
    <row r="85" spans="1:11">
      <c r="A85" s="1028"/>
      <c r="B85" s="1031" t="s">
        <v>2167</v>
      </c>
      <c r="C85" s="625"/>
      <c r="D85" s="625"/>
      <c r="E85" s="625"/>
      <c r="F85" s="625"/>
      <c r="G85" s="625"/>
      <c r="H85" s="625"/>
      <c r="I85" s="1028"/>
    </row>
    <row r="86" spans="1:11">
      <c r="A86" s="625"/>
      <c r="B86" s="412">
        <f>B84*(1-B94)</f>
        <v>0.20693888847975742</v>
      </c>
      <c r="C86" s="625"/>
      <c r="D86" s="625"/>
      <c r="E86" s="625"/>
      <c r="F86" s="625"/>
      <c r="G86" s="625"/>
      <c r="H86" s="625"/>
      <c r="I86" s="1028"/>
      <c r="K86" s="45"/>
    </row>
    <row r="87" spans="1:11">
      <c r="A87" s="625"/>
      <c r="B87" s="1031"/>
      <c r="C87" s="625"/>
      <c r="D87" s="625"/>
      <c r="E87" s="625"/>
      <c r="F87" s="625"/>
      <c r="G87" s="625"/>
      <c r="H87" s="625"/>
      <c r="I87" s="1028"/>
    </row>
    <row r="88" spans="1:11">
      <c r="A88" s="625"/>
      <c r="B88" s="1031" t="s">
        <v>2168</v>
      </c>
      <c r="C88" s="625"/>
      <c r="D88" s="625"/>
      <c r="E88" s="625"/>
      <c r="F88" s="625"/>
      <c r="G88" s="625"/>
      <c r="H88" s="625"/>
      <c r="I88" s="1028"/>
    </row>
    <row r="89" spans="1:11">
      <c r="A89" s="625"/>
      <c r="B89" s="1032">
        <f>B78*0.208+D78*0.536</f>
        <v>1.8577439999999998</v>
      </c>
      <c r="C89" s="625" t="s">
        <v>2169</v>
      </c>
      <c r="D89" s="625"/>
      <c r="E89" s="625"/>
      <c r="F89" s="625"/>
      <c r="G89" s="625"/>
      <c r="H89" s="625"/>
      <c r="I89" s="1028"/>
      <c r="K89" t="s">
        <v>2170</v>
      </c>
    </row>
    <row r="90" spans="1:11">
      <c r="A90" s="625"/>
      <c r="B90" s="1031" t="s">
        <v>2171</v>
      </c>
      <c r="C90" s="625"/>
      <c r="D90" s="625"/>
      <c r="E90" s="625"/>
      <c r="F90" s="625"/>
      <c r="G90" s="625"/>
      <c r="H90" s="625"/>
      <c r="I90" s="1028"/>
      <c r="K90" t="s">
        <v>2172</v>
      </c>
    </row>
    <row r="91" spans="1:11" ht="15.75" thickBot="1">
      <c r="A91" s="625"/>
      <c r="B91" s="1034">
        <f>B89*(1-B94)</f>
        <v>0.59447807999999991</v>
      </c>
      <c r="C91" s="1035"/>
      <c r="D91" s="1035"/>
      <c r="E91" s="1035"/>
      <c r="F91" s="1035"/>
      <c r="G91" s="1035"/>
      <c r="H91" s="1035"/>
      <c r="I91" s="1036"/>
    </row>
    <row r="92" spans="1:11">
      <c r="A92" s="625"/>
      <c r="B92" s="625"/>
      <c r="C92" s="625"/>
      <c r="D92" s="625"/>
      <c r="E92" s="625"/>
      <c r="F92" s="625"/>
      <c r="G92" s="625"/>
      <c r="H92" s="625"/>
      <c r="I92" s="625"/>
    </row>
    <row r="93" spans="1:11" ht="15.75" thickBot="1">
      <c r="A93" s="625"/>
      <c r="B93" s="764" t="s">
        <v>2173</v>
      </c>
      <c r="C93" s="625"/>
      <c r="D93" s="625"/>
      <c r="E93" s="625"/>
      <c r="F93" s="625"/>
      <c r="G93" s="625"/>
      <c r="H93" s="625"/>
      <c r="I93" s="625"/>
    </row>
    <row r="94" spans="1:11" ht="15.75" thickBot="1">
      <c r="A94" s="625"/>
      <c r="B94" s="1037">
        <v>0.68</v>
      </c>
      <c r="C94" s="625"/>
      <c r="D94" s="625"/>
      <c r="E94" s="625"/>
      <c r="F94" s="625"/>
      <c r="G94" s="625"/>
      <c r="H94" s="625"/>
      <c r="I94" s="625"/>
      <c r="K94" t="s">
        <v>2174</v>
      </c>
    </row>
    <row r="95" spans="1:11">
      <c r="A95" s="625"/>
      <c r="B95" s="625"/>
      <c r="C95" s="625"/>
      <c r="D95" s="625"/>
      <c r="E95" s="625"/>
      <c r="F95" s="625"/>
      <c r="G95" s="625"/>
      <c r="H95" s="625"/>
      <c r="I95" s="625"/>
    </row>
    <row r="96" spans="1:11">
      <c r="A96" s="625"/>
      <c r="B96" s="625"/>
      <c r="C96" s="625"/>
      <c r="D96" s="625"/>
      <c r="E96" s="625"/>
      <c r="F96" s="625"/>
      <c r="G96" s="625"/>
      <c r="H96" s="625"/>
      <c r="I96" s="625"/>
    </row>
    <row r="97" spans="1:11">
      <c r="A97" s="625"/>
      <c r="B97" s="625" t="s">
        <v>2175</v>
      </c>
      <c r="C97" s="625"/>
      <c r="D97" s="625"/>
      <c r="E97" s="625"/>
      <c r="F97" s="625"/>
      <c r="G97" s="625"/>
      <c r="H97" s="625"/>
      <c r="I97" s="625"/>
    </row>
    <row r="98" spans="1:11">
      <c r="A98" s="625"/>
      <c r="B98" s="764"/>
      <c r="C98" s="625"/>
      <c r="D98" s="625"/>
      <c r="E98" s="625"/>
      <c r="F98" s="625"/>
      <c r="G98" s="625"/>
      <c r="H98" s="625"/>
      <c r="I98" s="625"/>
    </row>
    <row r="99" spans="1:11">
      <c r="A99" s="625"/>
      <c r="B99" s="625" t="s">
        <v>2176</v>
      </c>
      <c r="C99" s="625"/>
      <c r="D99" s="625"/>
      <c r="E99" s="625"/>
      <c r="F99" s="625"/>
      <c r="G99" s="625"/>
      <c r="H99" s="625"/>
      <c r="I99" s="625"/>
      <c r="K99" t="s">
        <v>2177</v>
      </c>
    </row>
    <row r="100" spans="1:11">
      <c r="A100" s="625"/>
      <c r="B100" s="625"/>
      <c r="C100" s="625"/>
      <c r="D100" s="625"/>
      <c r="E100" s="625"/>
      <c r="F100" s="625"/>
      <c r="G100" s="625"/>
      <c r="H100" s="625"/>
      <c r="I100" s="625"/>
      <c r="K100" s="139" t="s">
        <v>454</v>
      </c>
    </row>
    <row r="101" spans="1:11">
      <c r="A101" s="625"/>
      <c r="B101" s="625"/>
      <c r="C101" s="625" t="s">
        <v>2005</v>
      </c>
      <c r="D101" s="625"/>
      <c r="E101" s="625" t="s">
        <v>2178</v>
      </c>
      <c r="F101" s="625"/>
      <c r="G101" s="625"/>
      <c r="H101" s="625" t="s">
        <v>454</v>
      </c>
      <c r="I101" s="625"/>
      <c r="J101" s="625"/>
    </row>
    <row r="102" spans="1:11">
      <c r="A102" s="625"/>
      <c r="B102" s="625"/>
      <c r="C102" s="764" t="s">
        <v>2155</v>
      </c>
      <c r="D102" s="4" t="s">
        <v>2179</v>
      </c>
      <c r="E102" t="s">
        <v>2180</v>
      </c>
      <c r="F102" s="625"/>
      <c r="G102" s="625"/>
      <c r="H102" s="625"/>
      <c r="I102" s="625"/>
      <c r="J102" s="625"/>
    </row>
    <row r="103" spans="1:11" ht="15.75" thickBot="1">
      <c r="A103" s="625"/>
      <c r="B103" s="625"/>
      <c r="C103" s="764" t="s">
        <v>2158</v>
      </c>
      <c r="D103" s="4" t="s">
        <v>2179</v>
      </c>
      <c r="E103" t="s">
        <v>2181</v>
      </c>
      <c r="F103" s="625"/>
      <c r="G103" s="625"/>
      <c r="H103" s="625" t="s">
        <v>2182</v>
      </c>
      <c r="I103" s="625"/>
      <c r="J103" s="625"/>
    </row>
    <row r="104" spans="1:11" ht="15.75" thickBot="1">
      <c r="A104" s="625"/>
      <c r="B104" s="625"/>
      <c r="C104" s="764" t="s">
        <v>2183</v>
      </c>
      <c r="D104" s="1038">
        <v>0.56999999999999995</v>
      </c>
      <c r="E104" t="s">
        <v>2184</v>
      </c>
      <c r="F104" s="625"/>
      <c r="G104" s="625"/>
      <c r="H104" s="625" t="s">
        <v>2182</v>
      </c>
      <c r="I104" s="625"/>
      <c r="J104" s="625"/>
    </row>
    <row r="105" spans="1:11" ht="15.75" thickBot="1">
      <c r="A105" s="625"/>
      <c r="B105" s="625"/>
      <c r="C105" s="764" t="s">
        <v>2020</v>
      </c>
      <c r="D105" s="1039">
        <v>1</v>
      </c>
      <c r="E105" t="s">
        <v>2185</v>
      </c>
      <c r="F105" s="625"/>
      <c r="G105" s="625"/>
      <c r="H105" s="625" t="s">
        <v>2182</v>
      </c>
      <c r="I105" s="625"/>
      <c r="J105" s="625"/>
    </row>
    <row r="106" spans="1:11" ht="18.75" thickBot="1">
      <c r="A106" s="625"/>
      <c r="B106" s="625"/>
      <c r="C106" s="764" t="s">
        <v>2186</v>
      </c>
      <c r="D106" s="1040">
        <f>4/3</f>
        <v>1.3333333333333333</v>
      </c>
      <c r="E106" t="s">
        <v>2187</v>
      </c>
      <c r="F106" s="625"/>
      <c r="G106" s="625"/>
      <c r="H106" s="625"/>
      <c r="I106" s="625"/>
      <c r="J106" s="625"/>
    </row>
    <row r="107" spans="1:11" ht="15.75" thickBot="1">
      <c r="A107" s="625"/>
      <c r="B107" s="625"/>
      <c r="C107" s="764" t="s">
        <v>2188</v>
      </c>
      <c r="D107" s="1038">
        <v>0.1</v>
      </c>
      <c r="E107" t="s">
        <v>2189</v>
      </c>
      <c r="F107" s="625"/>
      <c r="G107" s="625"/>
      <c r="H107" s="625" t="s">
        <v>2182</v>
      </c>
      <c r="I107" s="625"/>
      <c r="J107" s="625"/>
    </row>
    <row r="108" spans="1:11">
      <c r="A108" s="625"/>
      <c r="B108" s="625"/>
      <c r="C108" s="764" t="s">
        <v>2190</v>
      </c>
      <c r="D108" s="5" t="s">
        <v>2191</v>
      </c>
      <c r="F108" s="625"/>
      <c r="G108" s="625"/>
      <c r="H108" s="625"/>
      <c r="I108" s="625"/>
      <c r="J108" s="625"/>
    </row>
    <row r="109" spans="1:11">
      <c r="A109" s="625"/>
      <c r="B109" s="625"/>
      <c r="C109" s="764" t="s">
        <v>2022</v>
      </c>
      <c r="D109" s="1041">
        <f>'[2]Select GWP here'!$C$12</f>
        <v>25</v>
      </c>
      <c r="F109" s="625"/>
      <c r="G109" s="625"/>
      <c r="H109" s="1042" t="s">
        <v>2040</v>
      </c>
      <c r="I109" s="625"/>
      <c r="J109" s="625"/>
    </row>
    <row r="110" spans="1:11">
      <c r="A110" s="625"/>
      <c r="B110" s="625"/>
      <c r="C110" s="625"/>
    </row>
    <row r="111" spans="1:11">
      <c r="A111" s="625"/>
      <c r="B111" s="625"/>
      <c r="C111" s="625"/>
    </row>
    <row r="112" spans="1:11">
      <c r="A112" s="625"/>
      <c r="B112" s="625"/>
      <c r="C112" s="625"/>
    </row>
    <row r="113" spans="1:12" s="1011" customFormat="1" ht="21">
      <c r="A113" s="1009" t="s">
        <v>2192</v>
      </c>
      <c r="B113" s="1010"/>
      <c r="C113" s="1010"/>
      <c r="D113" s="1010"/>
      <c r="E113" s="1010"/>
      <c r="F113" s="1010"/>
      <c r="G113" s="1010"/>
      <c r="H113" s="1010"/>
      <c r="I113" s="1010"/>
      <c r="J113" s="1010"/>
      <c r="K113" s="1010"/>
      <c r="L113" s="1010"/>
    </row>
    <row r="115" spans="1:12">
      <c r="A115" s="625"/>
      <c r="B115" s="625" t="s">
        <v>136</v>
      </c>
      <c r="C115" s="625">
        <v>4</v>
      </c>
      <c r="D115" s="625" t="s">
        <v>2193</v>
      </c>
      <c r="E115" s="625">
        <v>0.24</v>
      </c>
      <c r="F115" s="625" t="s">
        <v>2194</v>
      </c>
      <c r="G115" s="625"/>
      <c r="H115" s="625"/>
      <c r="I115" s="625"/>
      <c r="J115" s="625"/>
      <c r="K115" s="625"/>
      <c r="L115" s="625"/>
    </row>
    <row r="116" spans="1:12">
      <c r="A116" s="625"/>
      <c r="B116" s="625" t="s">
        <v>2195</v>
      </c>
      <c r="C116" s="1008">
        <f>C115/10^3</f>
        <v>4.0000000000000001E-3</v>
      </c>
      <c r="D116" s="625" t="s">
        <v>2196</v>
      </c>
      <c r="E116" s="1008">
        <f>E115/10^3</f>
        <v>2.3999999999999998E-4</v>
      </c>
      <c r="F116" s="625" t="s">
        <v>2197</v>
      </c>
      <c r="G116" s="625"/>
      <c r="H116" s="625" t="s">
        <v>454</v>
      </c>
      <c r="I116" s="625"/>
      <c r="J116" s="625"/>
      <c r="K116" s="625"/>
      <c r="L116" s="625"/>
    </row>
    <row r="117" spans="1:12">
      <c r="A117" s="625"/>
      <c r="B117" s="625"/>
      <c r="C117" s="1041">
        <f>'[2]Select GWP here'!$C$12</f>
        <v>25</v>
      </c>
      <c r="D117" s="625" t="s">
        <v>2022</v>
      </c>
      <c r="E117" s="1041">
        <f>'[2]Select GWP here'!$C$13</f>
        <v>298</v>
      </c>
      <c r="F117" s="625" t="s">
        <v>2022</v>
      </c>
      <c r="G117" s="625"/>
      <c r="H117" s="625" t="s">
        <v>2198</v>
      </c>
      <c r="I117" s="625"/>
      <c r="J117" s="625"/>
      <c r="K117" s="625"/>
      <c r="L117" s="625"/>
    </row>
    <row r="118" spans="1:12">
      <c r="A118" s="625"/>
      <c r="B118" s="625" t="s">
        <v>2199</v>
      </c>
      <c r="C118" s="1008">
        <f>C117*C116</f>
        <v>0.1</v>
      </c>
      <c r="D118" s="625" t="s">
        <v>2200</v>
      </c>
      <c r="E118" s="1033">
        <f>E117*E116</f>
        <v>7.152E-2</v>
      </c>
      <c r="F118" s="625" t="s">
        <v>2200</v>
      </c>
      <c r="G118" s="625"/>
      <c r="H118" s="139" t="s">
        <v>2201</v>
      </c>
      <c r="I118" s="625"/>
      <c r="J118" s="625"/>
      <c r="K118" s="625"/>
      <c r="L118" s="625"/>
    </row>
    <row r="119" spans="1:12">
      <c r="A119" s="625"/>
      <c r="B119" s="625"/>
      <c r="C119" s="625"/>
      <c r="D119" s="625"/>
      <c r="E119" s="625"/>
      <c r="F119" s="625"/>
      <c r="G119" s="625"/>
      <c r="H119" s="625"/>
      <c r="I119" s="625"/>
      <c r="J119" s="625"/>
      <c r="K119" s="625"/>
      <c r="L119" s="625"/>
    </row>
    <row r="120" spans="1:12">
      <c r="A120" s="625"/>
      <c r="B120" s="625"/>
      <c r="C120" s="625"/>
      <c r="D120" s="625"/>
      <c r="E120" s="625"/>
      <c r="F120" s="625"/>
      <c r="G120" s="625"/>
      <c r="H120" s="625"/>
      <c r="I120" s="625"/>
      <c r="J120" s="625"/>
      <c r="K120" s="625"/>
      <c r="L120" s="625"/>
    </row>
    <row r="121" spans="1:12">
      <c r="A121" s="625"/>
      <c r="B121" s="625" t="s">
        <v>2202</v>
      </c>
      <c r="C121" s="1033">
        <f>C118+E118</f>
        <v>0.17152000000000001</v>
      </c>
      <c r="D121" s="625" t="s">
        <v>2200</v>
      </c>
      <c r="E121" s="625"/>
      <c r="F121" s="625"/>
      <c r="G121" s="625"/>
      <c r="H121" s="625"/>
      <c r="I121" s="625"/>
      <c r="J121" s="625"/>
      <c r="K121" s="625"/>
      <c r="L121" s="625"/>
    </row>
    <row r="122" spans="1:12">
      <c r="A122" s="625"/>
      <c r="B122" s="625"/>
      <c r="C122" s="625"/>
      <c r="D122" s="625"/>
      <c r="E122" s="625"/>
      <c r="F122" s="625"/>
      <c r="G122" s="625"/>
      <c r="H122" s="625"/>
      <c r="I122" s="625"/>
      <c r="J122" s="625"/>
      <c r="K122" s="625"/>
      <c r="L122" s="625"/>
    </row>
    <row r="123" spans="1:12">
      <c r="A123" s="625"/>
      <c r="B123" s="625"/>
      <c r="C123" s="625"/>
      <c r="D123" s="625"/>
      <c r="E123" s="625"/>
      <c r="F123" s="625"/>
      <c r="G123" s="625"/>
      <c r="H123" s="625"/>
      <c r="I123" s="625"/>
      <c r="J123" s="625"/>
      <c r="K123" s="625"/>
      <c r="L123" s="625"/>
    </row>
    <row r="124" spans="1:12">
      <c r="A124" s="625"/>
      <c r="B124" s="625"/>
      <c r="C124" s="625"/>
      <c r="D124" s="625"/>
      <c r="E124" s="625"/>
      <c r="F124" s="625"/>
      <c r="G124" s="625"/>
      <c r="H124" s="625"/>
      <c r="I124" s="625"/>
      <c r="J124" s="625"/>
      <c r="K124" s="625"/>
      <c r="L124" s="625"/>
    </row>
    <row r="125" spans="1:12" s="1011" customFormat="1" ht="21">
      <c r="A125" s="1009" t="s">
        <v>2203</v>
      </c>
      <c r="B125" s="1010"/>
      <c r="C125" s="1010"/>
      <c r="D125" s="1010"/>
      <c r="E125" s="1010"/>
      <c r="F125" s="1010"/>
      <c r="G125" s="1010"/>
      <c r="H125" s="1010"/>
      <c r="I125" s="1010"/>
      <c r="J125" s="1010"/>
      <c r="K125" s="1010"/>
      <c r="L125" s="1010"/>
    </row>
    <row r="126" spans="1:12">
      <c r="A126" s="625" t="s">
        <v>2204</v>
      </c>
      <c r="B126" s="625"/>
      <c r="C126" s="625"/>
      <c r="D126" s="625"/>
      <c r="E126" s="625"/>
      <c r="F126" s="625"/>
      <c r="G126" s="625"/>
      <c r="H126" s="625"/>
      <c r="I126" s="625"/>
      <c r="J126" s="625"/>
      <c r="K126" s="625"/>
      <c r="L126" s="625"/>
    </row>
    <row r="127" spans="1:12">
      <c r="A127" s="625"/>
      <c r="B127" s="625"/>
      <c r="C127" s="625"/>
      <c r="D127" s="625"/>
      <c r="E127" s="625"/>
      <c r="F127" s="625"/>
      <c r="G127" s="625"/>
      <c r="H127" s="625"/>
      <c r="I127" s="625"/>
      <c r="J127" s="625"/>
      <c r="K127" s="625"/>
      <c r="L127" s="625"/>
    </row>
    <row r="128" spans="1:12">
      <c r="A128" s="625"/>
      <c r="B128" s="625"/>
      <c r="C128" s="625" t="s">
        <v>2205</v>
      </c>
      <c r="D128" s="625"/>
      <c r="E128" s="625"/>
      <c r="F128" s="625"/>
      <c r="G128" s="625"/>
      <c r="H128" s="625"/>
      <c r="I128" s="625"/>
      <c r="J128" s="625"/>
      <c r="K128" s="625"/>
      <c r="L128" s="625"/>
    </row>
    <row r="129" spans="1:12">
      <c r="A129" s="625"/>
      <c r="B129" s="625" t="s">
        <v>2206</v>
      </c>
      <c r="C129" s="625">
        <v>0.8</v>
      </c>
      <c r="D129" s="625" t="s">
        <v>2207</v>
      </c>
      <c r="E129" s="625"/>
      <c r="F129" s="625"/>
      <c r="G129" s="625"/>
      <c r="H129" s="625" t="s">
        <v>454</v>
      </c>
      <c r="I129" s="625"/>
      <c r="J129" s="625"/>
      <c r="K129" s="625"/>
      <c r="L129" s="625"/>
    </row>
    <row r="130" spans="1:12">
      <c r="A130" s="625"/>
      <c r="B130" s="625" t="s">
        <v>2195</v>
      </c>
      <c r="C130" s="1008">
        <v>8.0000000000000004E-4</v>
      </c>
      <c r="D130" s="625" t="s">
        <v>2208</v>
      </c>
      <c r="E130" s="625"/>
      <c r="F130" s="625"/>
      <c r="G130" s="625"/>
      <c r="H130" s="625" t="s">
        <v>2198</v>
      </c>
      <c r="I130" s="625"/>
      <c r="J130" s="625"/>
      <c r="K130" s="625"/>
      <c r="L130" s="625"/>
    </row>
    <row r="131" spans="1:12">
      <c r="A131" s="625"/>
      <c r="B131" s="625"/>
      <c r="C131" s="1041">
        <f>'[2]Select GWP here'!$C$12</f>
        <v>25</v>
      </c>
      <c r="D131" s="625" t="s">
        <v>2022</v>
      </c>
      <c r="E131" s="625"/>
      <c r="F131" s="625"/>
      <c r="G131" s="625"/>
      <c r="H131" s="139" t="s">
        <v>2201</v>
      </c>
      <c r="I131" s="625"/>
      <c r="J131" s="625"/>
      <c r="K131" s="625"/>
      <c r="L131" s="625"/>
    </row>
    <row r="132" spans="1:12">
      <c r="A132" s="625"/>
      <c r="B132" s="625" t="s">
        <v>2209</v>
      </c>
      <c r="C132" s="1008">
        <v>0.02</v>
      </c>
      <c r="D132" s="625" t="s">
        <v>2210</v>
      </c>
      <c r="E132" s="625"/>
      <c r="F132" s="625"/>
      <c r="G132" s="625"/>
      <c r="H132" s="625"/>
      <c r="I132" s="625"/>
      <c r="J132" s="625"/>
      <c r="K132" s="625"/>
      <c r="L132" s="625"/>
    </row>
    <row r="133" spans="1:12">
      <c r="A133" s="625"/>
      <c r="B133" s="625"/>
      <c r="C133" s="625"/>
      <c r="D133" s="625"/>
      <c r="E133" s="625"/>
      <c r="F133" s="625"/>
      <c r="G133" s="625"/>
      <c r="H133" s="625"/>
      <c r="I133" s="625"/>
      <c r="J133" s="625"/>
      <c r="K133" s="625"/>
      <c r="L133" s="625"/>
    </row>
    <row r="134" spans="1:12">
      <c r="A134" s="625"/>
      <c r="B134" s="625"/>
      <c r="C134" s="625"/>
      <c r="D134" s="625"/>
      <c r="E134" s="625"/>
      <c r="F134" s="625"/>
      <c r="G134" s="625"/>
      <c r="H134" s="625"/>
      <c r="I134" s="625"/>
      <c r="J134" s="625"/>
      <c r="K134" s="625"/>
      <c r="L134" s="625"/>
    </row>
    <row r="135" spans="1:12" s="1011" customFormat="1" ht="21">
      <c r="A135" s="1009" t="s">
        <v>2211</v>
      </c>
      <c r="B135" s="1010"/>
      <c r="C135" s="1010"/>
      <c r="D135" s="1010"/>
      <c r="E135" s="1010"/>
      <c r="F135" s="1010"/>
      <c r="G135" s="1010"/>
      <c r="H135" s="1010"/>
      <c r="I135" s="1010"/>
      <c r="J135" s="1010"/>
      <c r="K135" s="1010"/>
      <c r="L135" s="1010"/>
    </row>
    <row r="136" spans="1:12">
      <c r="A136" s="625"/>
      <c r="B136" s="625"/>
      <c r="C136" s="625"/>
      <c r="D136" s="625"/>
      <c r="E136" s="625"/>
      <c r="F136" s="625"/>
      <c r="G136" s="625"/>
      <c r="H136" s="625"/>
      <c r="I136" s="625"/>
      <c r="J136" s="625"/>
      <c r="K136" s="625"/>
      <c r="L136" s="625"/>
    </row>
    <row r="137" spans="1:12">
      <c r="A137" s="625"/>
      <c r="B137" s="625"/>
      <c r="C137" s="764" t="s">
        <v>2147</v>
      </c>
      <c r="D137" s="625"/>
      <c r="E137" s="625"/>
      <c r="F137" s="625"/>
      <c r="G137" s="625"/>
      <c r="H137" s="625"/>
      <c r="I137" s="625"/>
      <c r="J137" s="625"/>
      <c r="K137" s="625"/>
      <c r="L137" s="625"/>
    </row>
    <row r="138" spans="1:12" ht="15.75" thickBot="1">
      <c r="A138" s="625"/>
      <c r="B138" s="625"/>
      <c r="C138" s="625" t="s">
        <v>2133</v>
      </c>
      <c r="D138" s="625" t="s">
        <v>2212</v>
      </c>
      <c r="E138" s="625" t="s">
        <v>2213</v>
      </c>
      <c r="F138" s="625" t="s">
        <v>2137</v>
      </c>
      <c r="G138" s="625" t="s">
        <v>2138</v>
      </c>
      <c r="H138" s="625" t="s">
        <v>258</v>
      </c>
      <c r="I138" s="625" t="s">
        <v>313</v>
      </c>
      <c r="J138" s="625" t="s">
        <v>2214</v>
      </c>
      <c r="K138" s="625"/>
      <c r="L138" s="764"/>
    </row>
    <row r="139" spans="1:12" ht="15.75" thickBot="1">
      <c r="A139" s="625"/>
      <c r="B139" s="625"/>
      <c r="C139" s="1043">
        <v>4.9653061107935367E-2</v>
      </c>
      <c r="D139" s="1044">
        <v>9.8601110029652592E-2</v>
      </c>
      <c r="E139" s="1044">
        <v>5.6669086803123718E-4</v>
      </c>
      <c r="F139" s="1045">
        <v>1.0618749542315041E-4</v>
      </c>
      <c r="G139" s="1044">
        <v>0.10986496062852549</v>
      </c>
      <c r="H139" s="1044">
        <v>6.8630130555697487E-3</v>
      </c>
      <c r="I139" s="1044">
        <v>6.0768927573700886E-2</v>
      </c>
      <c r="J139" s="1046">
        <v>0.67357604924116155</v>
      </c>
      <c r="K139" s="625"/>
      <c r="L139" s="625" t="s">
        <v>2215</v>
      </c>
    </row>
    <row r="140" spans="1:12">
      <c r="A140" s="625"/>
      <c r="B140" s="625"/>
      <c r="C140" s="625"/>
      <c r="D140" s="625"/>
      <c r="E140" s="625"/>
      <c r="F140" s="625"/>
      <c r="G140" s="625"/>
      <c r="H140" s="625"/>
      <c r="I140" s="625"/>
      <c r="J140" s="625"/>
      <c r="K140" s="625"/>
      <c r="L140" s="625"/>
    </row>
    <row r="141" spans="1:12" ht="15.75" thickBot="1">
      <c r="A141" s="625"/>
      <c r="B141" s="625"/>
      <c r="C141" s="764" t="s">
        <v>2216</v>
      </c>
      <c r="D141" s="625"/>
      <c r="E141" s="625"/>
      <c r="F141" s="625"/>
      <c r="G141" s="625"/>
      <c r="H141" s="625"/>
      <c r="I141" s="625"/>
      <c r="J141" s="625"/>
      <c r="K141" s="625"/>
      <c r="L141" s="625"/>
    </row>
    <row r="142" spans="1:12" ht="15.75" thickBot="1">
      <c r="A142" s="625"/>
      <c r="B142" s="625"/>
      <c r="C142" s="1047">
        <v>0.05</v>
      </c>
      <c r="D142" s="1048">
        <v>0.04</v>
      </c>
      <c r="E142" s="1048">
        <v>0.28000000000000003</v>
      </c>
      <c r="F142" s="1048">
        <v>0.15</v>
      </c>
      <c r="G142" s="1048">
        <v>0.2</v>
      </c>
      <c r="H142" s="1048">
        <v>0.15</v>
      </c>
      <c r="I142" s="1048">
        <v>0.34</v>
      </c>
      <c r="J142" s="1049" t="s">
        <v>322</v>
      </c>
      <c r="K142" s="625"/>
      <c r="L142" s="625"/>
    </row>
    <row r="143" spans="1:12">
      <c r="A143" s="625"/>
      <c r="B143" s="625"/>
      <c r="C143" s="625"/>
      <c r="D143" s="625"/>
      <c r="E143" s="625"/>
      <c r="F143" s="625"/>
      <c r="G143" s="625"/>
      <c r="H143" s="625"/>
      <c r="I143" s="625"/>
      <c r="J143" s="625"/>
      <c r="K143" s="625"/>
      <c r="L143" s="625"/>
    </row>
    <row r="144" spans="1:12">
      <c r="A144" s="625"/>
      <c r="B144" s="625"/>
      <c r="C144" s="764" t="s">
        <v>2217</v>
      </c>
      <c r="D144" s="625"/>
      <c r="E144" s="625"/>
      <c r="F144" s="625"/>
      <c r="G144" s="625"/>
      <c r="H144" s="625"/>
      <c r="I144" s="625"/>
      <c r="J144" s="625"/>
      <c r="K144" s="625"/>
      <c r="L144" s="625"/>
    </row>
    <row r="145" spans="1:12">
      <c r="A145" s="625"/>
      <c r="B145" s="625"/>
      <c r="C145" s="1050">
        <f>SUMPRODUCT(C139:J139,C142:J142)</f>
        <v>5.026517848304396E-2</v>
      </c>
      <c r="D145" s="625"/>
      <c r="E145" s="625"/>
      <c r="F145" s="625"/>
      <c r="G145" s="625"/>
      <c r="H145" s="625"/>
      <c r="I145" s="625"/>
      <c r="J145" s="625"/>
      <c r="K145" s="625"/>
      <c r="L145" s="625"/>
    </row>
    <row r="146" spans="1:12" ht="15.75" thickBot="1">
      <c r="A146" s="625"/>
      <c r="B146" s="625"/>
      <c r="C146" s="625"/>
      <c r="D146" s="625"/>
      <c r="E146" s="625"/>
      <c r="F146" s="625"/>
      <c r="G146" s="625"/>
      <c r="H146" s="625"/>
      <c r="I146" s="625"/>
      <c r="J146" s="625"/>
      <c r="K146" s="625"/>
      <c r="L146" s="625"/>
    </row>
    <row r="147" spans="1:12">
      <c r="A147" s="625"/>
      <c r="B147" s="625"/>
      <c r="C147" s="1023" t="s">
        <v>2218</v>
      </c>
      <c r="D147" s="1024"/>
      <c r="E147" s="1024"/>
      <c r="F147" s="1024"/>
      <c r="G147" s="1024"/>
      <c r="H147" s="1024"/>
      <c r="I147" s="1024"/>
      <c r="J147" s="1025"/>
      <c r="K147" s="625"/>
      <c r="L147" s="625" t="s">
        <v>2162</v>
      </c>
    </row>
    <row r="148" spans="1:12">
      <c r="A148" s="625"/>
      <c r="B148" s="625"/>
      <c r="C148" s="1027" t="s">
        <v>2219</v>
      </c>
      <c r="D148" s="625" t="s">
        <v>2212</v>
      </c>
      <c r="E148" s="625" t="s">
        <v>2213</v>
      </c>
      <c r="F148" s="625" t="s">
        <v>2137</v>
      </c>
      <c r="G148" s="625" t="s">
        <v>2138</v>
      </c>
      <c r="H148" s="625" t="s">
        <v>258</v>
      </c>
      <c r="I148" s="625" t="s">
        <v>313</v>
      </c>
      <c r="J148" s="1028" t="s">
        <v>2214</v>
      </c>
      <c r="K148" s="625"/>
      <c r="L148" s="625"/>
    </row>
    <row r="149" spans="1:12">
      <c r="A149" s="625"/>
      <c r="B149" s="625"/>
      <c r="C149" s="1051">
        <f t="shared" ref="C149:I149" si="5">C142*$D$162*$D$163*$D$164*$D$165*(1-$D$166)*$D$167</f>
        <v>0.17500000000000002</v>
      </c>
      <c r="D149" s="1033">
        <f t="shared" si="5"/>
        <v>0.14000000000000001</v>
      </c>
      <c r="E149" s="1033">
        <f t="shared" si="5"/>
        <v>0.98000000000000009</v>
      </c>
      <c r="F149" s="1008">
        <f t="shared" si="5"/>
        <v>0.52499999999999991</v>
      </c>
      <c r="G149" s="1033">
        <f t="shared" si="5"/>
        <v>0.70000000000000007</v>
      </c>
      <c r="H149" s="1008">
        <f t="shared" si="5"/>
        <v>0.52499999999999991</v>
      </c>
      <c r="I149" s="1033">
        <f t="shared" si="5"/>
        <v>1.1900000000000002</v>
      </c>
      <c r="J149" s="1052" t="s">
        <v>322</v>
      </c>
      <c r="K149" s="625"/>
      <c r="L149" s="625"/>
    </row>
    <row r="150" spans="1:12">
      <c r="A150" s="625"/>
      <c r="B150" s="625"/>
      <c r="C150" s="1031" t="s">
        <v>2220</v>
      </c>
      <c r="D150" s="625"/>
      <c r="E150" s="625"/>
      <c r="F150" s="625"/>
      <c r="G150" s="625"/>
      <c r="H150" s="625"/>
      <c r="I150" s="625"/>
      <c r="J150" s="1028"/>
      <c r="K150" s="625"/>
      <c r="L150" s="625"/>
    </row>
    <row r="151" spans="1:12" ht="15.75" thickBot="1">
      <c r="A151" s="625"/>
      <c r="B151" s="625"/>
      <c r="C151" s="413">
        <f>C145*D162*D163*D164*D165*(1-D166)*D167</f>
        <v>0.17592812469065389</v>
      </c>
      <c r="D151" s="1035"/>
      <c r="E151" s="1035"/>
      <c r="F151" s="1035"/>
      <c r="G151" s="1035"/>
      <c r="H151" s="1035"/>
      <c r="I151" s="1035"/>
      <c r="J151" s="1036"/>
      <c r="K151" s="625"/>
      <c r="L151" s="625"/>
    </row>
    <row r="152" spans="1:12">
      <c r="A152" s="625"/>
      <c r="B152" s="625"/>
      <c r="C152" s="625"/>
      <c r="D152" s="625"/>
      <c r="E152" s="625"/>
      <c r="F152" s="625"/>
      <c r="G152" s="625"/>
      <c r="H152" s="625"/>
      <c r="I152" s="625"/>
      <c r="J152" s="625"/>
      <c r="K152" s="625"/>
      <c r="L152" s="625"/>
    </row>
    <row r="153" spans="1:12">
      <c r="A153" s="625"/>
      <c r="B153" s="625"/>
      <c r="C153" s="625"/>
      <c r="D153" s="625"/>
      <c r="E153" s="625"/>
      <c r="F153" s="625"/>
      <c r="G153" s="625"/>
      <c r="H153" s="625"/>
      <c r="I153" s="625"/>
      <c r="J153" s="625"/>
      <c r="K153" s="625"/>
      <c r="L153" s="625"/>
    </row>
    <row r="154" spans="1:12">
      <c r="A154" s="625"/>
      <c r="B154" s="625"/>
      <c r="C154" s="625"/>
      <c r="D154" s="625"/>
      <c r="E154" s="625"/>
      <c r="F154" s="625"/>
      <c r="G154" s="625"/>
      <c r="H154" s="625"/>
      <c r="I154" s="625"/>
      <c r="J154" s="625"/>
      <c r="K154" s="625"/>
      <c r="L154" s="625"/>
    </row>
    <row r="155" spans="1:12">
      <c r="A155" s="625"/>
      <c r="B155" s="625"/>
      <c r="C155" s="625"/>
      <c r="D155" s="625"/>
      <c r="E155" s="625"/>
      <c r="F155" s="625"/>
      <c r="G155" s="625"/>
      <c r="H155" s="625"/>
      <c r="I155" s="625"/>
      <c r="J155" s="625"/>
      <c r="K155" s="625"/>
      <c r="L155" s="625"/>
    </row>
    <row r="156" spans="1:12">
      <c r="A156" s="625"/>
      <c r="B156" s="625"/>
      <c r="C156" s="625" t="s">
        <v>2175</v>
      </c>
      <c r="D156" s="625"/>
      <c r="E156" s="625"/>
      <c r="F156" s="625"/>
      <c r="G156" s="625"/>
      <c r="H156" s="625"/>
      <c r="I156" s="625"/>
      <c r="J156" s="625"/>
      <c r="K156" s="625"/>
      <c r="L156" s="625"/>
    </row>
    <row r="157" spans="1:12">
      <c r="A157" s="625"/>
      <c r="B157" s="625"/>
      <c r="C157" s="764"/>
      <c r="D157" s="625"/>
      <c r="E157" s="625"/>
      <c r="F157" s="625"/>
      <c r="G157" s="625"/>
      <c r="H157" s="625"/>
      <c r="I157" s="625"/>
      <c r="J157" s="625"/>
      <c r="K157" s="625"/>
      <c r="L157" s="625"/>
    </row>
    <row r="158" spans="1:12">
      <c r="A158" s="625"/>
      <c r="B158" s="625"/>
      <c r="C158" s="625" t="s">
        <v>2221</v>
      </c>
      <c r="D158" s="625"/>
      <c r="E158" s="625"/>
      <c r="F158" s="625"/>
      <c r="G158" s="625"/>
      <c r="H158" s="625"/>
      <c r="I158" s="625"/>
      <c r="J158" s="625" t="s">
        <v>2177</v>
      </c>
      <c r="L158" s="625"/>
    </row>
    <row r="159" spans="1:12">
      <c r="A159" s="625"/>
      <c r="B159" s="625"/>
      <c r="C159" s="625"/>
      <c r="D159" s="625"/>
      <c r="E159" s="625"/>
      <c r="F159" s="625"/>
      <c r="G159" s="625"/>
      <c r="H159" s="625"/>
      <c r="I159" s="625"/>
      <c r="J159" s="139" t="s">
        <v>454</v>
      </c>
      <c r="L159" s="625"/>
    </row>
    <row r="160" spans="1:12">
      <c r="A160" s="625"/>
      <c r="B160" s="625"/>
      <c r="C160" s="625" t="s">
        <v>2005</v>
      </c>
      <c r="D160" s="625"/>
      <c r="E160" s="625" t="s">
        <v>2178</v>
      </c>
      <c r="F160" s="625"/>
      <c r="G160" s="625"/>
      <c r="H160" s="625" t="s">
        <v>454</v>
      </c>
      <c r="I160" s="625"/>
      <c r="J160" s="625"/>
      <c r="K160" s="625"/>
      <c r="L160" s="625"/>
    </row>
    <row r="161" spans="1:12">
      <c r="A161" s="625"/>
      <c r="B161" s="625"/>
      <c r="C161" s="764" t="s">
        <v>2155</v>
      </c>
      <c r="D161" s="1053" t="s">
        <v>2191</v>
      </c>
      <c r="E161" s="625" t="s">
        <v>2180</v>
      </c>
      <c r="F161" s="625"/>
      <c r="G161" s="625"/>
      <c r="H161" s="625"/>
      <c r="I161" s="625"/>
      <c r="J161" s="625"/>
      <c r="K161" s="625"/>
      <c r="L161" s="625"/>
    </row>
    <row r="162" spans="1:12">
      <c r="A162" s="625"/>
      <c r="B162" s="625"/>
      <c r="C162" s="764" t="s">
        <v>2158</v>
      </c>
      <c r="D162" s="1054">
        <v>0.5</v>
      </c>
      <c r="E162" s="625" t="s">
        <v>2181</v>
      </c>
      <c r="F162" s="625"/>
      <c r="G162" s="625"/>
      <c r="H162" s="625" t="s">
        <v>2222</v>
      </c>
      <c r="I162" s="625"/>
      <c r="J162" s="625"/>
      <c r="K162" s="625"/>
      <c r="L162" s="625"/>
    </row>
    <row r="163" spans="1:12">
      <c r="A163" s="625"/>
      <c r="B163" s="625"/>
      <c r="C163" s="764" t="s">
        <v>2183</v>
      </c>
      <c r="D163" s="1054">
        <v>0.5</v>
      </c>
      <c r="E163" s="625" t="s">
        <v>2184</v>
      </c>
      <c r="F163" s="625"/>
      <c r="G163" s="625"/>
      <c r="H163" s="625" t="s">
        <v>2222</v>
      </c>
      <c r="I163" s="625"/>
      <c r="J163" s="625"/>
      <c r="K163" s="625"/>
      <c r="L163" s="625"/>
    </row>
    <row r="164" spans="1:12">
      <c r="A164" s="625"/>
      <c r="B164" s="625"/>
      <c r="C164" s="764" t="s">
        <v>2020</v>
      </c>
      <c r="D164" s="625">
        <v>0.42000000000000004</v>
      </c>
      <c r="E164" s="625" t="s">
        <v>2185</v>
      </c>
      <c r="F164" s="625"/>
      <c r="G164" s="625"/>
      <c r="H164" s="625" t="s">
        <v>2223</v>
      </c>
      <c r="I164" s="625"/>
      <c r="J164" s="625"/>
      <c r="K164" s="625"/>
      <c r="L164" s="625"/>
    </row>
    <row r="165" spans="1:12" ht="18">
      <c r="A165" s="625"/>
      <c r="B165" s="625"/>
      <c r="C165" s="764" t="s">
        <v>2186</v>
      </c>
      <c r="D165" s="625">
        <v>1.3333333333333333</v>
      </c>
      <c r="E165" s="625" t="s">
        <v>2224</v>
      </c>
      <c r="F165" s="625"/>
      <c r="G165" s="625"/>
      <c r="H165" s="625"/>
      <c r="I165" s="625"/>
      <c r="J165" s="625"/>
      <c r="K165" s="625"/>
      <c r="L165" s="625"/>
    </row>
    <row r="166" spans="1:12">
      <c r="A166" s="625"/>
      <c r="B166" s="625"/>
      <c r="C166" s="764" t="s">
        <v>2188</v>
      </c>
      <c r="D166" s="1054">
        <v>0</v>
      </c>
      <c r="E166" s="625" t="s">
        <v>2189</v>
      </c>
      <c r="F166" s="625"/>
      <c r="G166" s="625"/>
      <c r="H166" s="625" t="s">
        <v>2225</v>
      </c>
      <c r="I166" s="625"/>
      <c r="J166" s="625"/>
      <c r="K166" s="625"/>
      <c r="L166" s="625"/>
    </row>
    <row r="167" spans="1:12">
      <c r="A167" s="625"/>
      <c r="B167" s="625"/>
      <c r="C167" s="764" t="s">
        <v>2022</v>
      </c>
      <c r="D167" s="1041">
        <f>'[2]Select GWP here'!$C$12</f>
        <v>25</v>
      </c>
      <c r="E167" s="625"/>
      <c r="F167" s="625"/>
      <c r="G167" s="625"/>
      <c r="H167" s="1042" t="s">
        <v>2040</v>
      </c>
      <c r="I167" s="625"/>
      <c r="J167" s="625"/>
      <c r="K167" s="625"/>
      <c r="L167" s="625"/>
    </row>
  </sheetData>
  <mergeCells count="17">
    <mergeCell ref="A37:A38"/>
    <mergeCell ref="A41:I41"/>
    <mergeCell ref="A42:B42"/>
    <mergeCell ref="A43:A50"/>
    <mergeCell ref="A51:B51"/>
    <mergeCell ref="A36:B36"/>
    <mergeCell ref="A5:I5"/>
    <mergeCell ref="A6:I6"/>
    <mergeCell ref="A9:I9"/>
    <mergeCell ref="A10:B10"/>
    <mergeCell ref="A11:A18"/>
    <mergeCell ref="A19:A20"/>
    <mergeCell ref="A22:I22"/>
    <mergeCell ref="A23:B23"/>
    <mergeCell ref="A24:A31"/>
    <mergeCell ref="A32:A33"/>
    <mergeCell ref="A35:I35"/>
  </mergeCells>
  <conditionalFormatting sqref="L9:L26">
    <cfRule type="cellIs" dxfId="23" priority="7" operator="lessThan">
      <formula>-0.25</formula>
    </cfRule>
    <cfRule type="cellIs" dxfId="22" priority="8" operator="lessThan">
      <formula>-0.1</formula>
    </cfRule>
    <cfRule type="cellIs" dxfId="21" priority="9" operator="lessThan">
      <formula>-0.25</formula>
    </cfRule>
    <cfRule type="cellIs" dxfId="20" priority="10" operator="greaterThan">
      <formula>0.25</formula>
    </cfRule>
    <cfRule type="cellIs" dxfId="19" priority="11" operator="greaterThan">
      <formula>0.1</formula>
    </cfRule>
    <cfRule type="cellIs" dxfId="18" priority="12" operator="greaterThan">
      <formula>10</formula>
    </cfRule>
  </conditionalFormatting>
  <conditionalFormatting sqref="L33:L34">
    <cfRule type="cellIs" dxfId="17" priority="1" operator="lessThan">
      <formula>-0.25</formula>
    </cfRule>
    <cfRule type="cellIs" dxfId="16" priority="2" operator="lessThan">
      <formula>-0.1</formula>
    </cfRule>
    <cfRule type="cellIs" dxfId="15" priority="3" operator="lessThan">
      <formula>-0.25</formula>
    </cfRule>
    <cfRule type="cellIs" dxfId="14" priority="4" operator="greaterThan">
      <formula>0.25</formula>
    </cfRule>
    <cfRule type="cellIs" dxfId="13" priority="5" operator="greaterThan">
      <formula>0.1</formula>
    </cfRule>
    <cfRule type="cellIs" dxfId="12" priority="6" operator="greaterThan">
      <formula>10</formula>
    </cfRule>
  </conditionalFormatting>
  <hyperlinks>
    <hyperlink ref="J159" r:id="rId1" location="page=8" display="https://www.ipcc-nggip.iges.or.jp/public/2006gl/pdf/5_Volume5/V5_3_Ch3_SWDS.pdf - page=8" xr:uid="{0E03D917-394D-46F5-9D1A-F0F42B6231F5}"/>
    <hyperlink ref="K100" r:id="rId2" location="page=8" xr:uid="{0810A7D9-BC08-4E17-A0FB-81C0CABEFE17}"/>
    <hyperlink ref="H118" r:id="rId3" xr:uid="{B6A79016-0F20-4117-A4ED-7CD406FFF41F}"/>
    <hyperlink ref="H131" r:id="rId4" xr:uid="{991E30A2-6CF5-4515-8F0A-CBEA5CF4A84B}"/>
  </hyperlinks>
  <pageMargins left="0.7" right="0.7" top="0.75" bottom="0.75" header="0.3" footer="0.3"/>
  <pageSetup paperSize="9" orientation="portrait" r:id="rId5"/>
  <drawing r:id="rId6"/>
  <legacy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6"/>
  <sheetViews>
    <sheetView workbookViewId="0">
      <selection activeCell="D29" sqref="D29"/>
    </sheetView>
  </sheetViews>
  <sheetFormatPr defaultRowHeight="15"/>
  <cols>
    <col min="1" max="1" width="22.42578125" customWidth="1"/>
    <col min="2" max="2" width="44.140625" customWidth="1"/>
    <col min="3" max="3" width="14.5703125" customWidth="1"/>
    <col min="4" max="4" width="13.7109375" bestFit="1" customWidth="1"/>
    <col min="5" max="5" width="13.5703125" bestFit="1" customWidth="1"/>
    <col min="6" max="6" width="14" bestFit="1" customWidth="1"/>
  </cols>
  <sheetData>
    <row r="1" spans="1:11" ht="31.5">
      <c r="A1" s="1819" t="s">
        <v>30</v>
      </c>
      <c r="B1" s="1819"/>
      <c r="C1" s="1819"/>
      <c r="D1" s="1819"/>
      <c r="E1" s="1819"/>
      <c r="F1" s="1819"/>
    </row>
    <row r="2" spans="1:11" ht="13.5" customHeight="1">
      <c r="A2" s="64"/>
    </row>
    <row r="3" spans="1:11" ht="31.5" customHeight="1">
      <c r="A3" s="1829" t="s">
        <v>31</v>
      </c>
      <c r="B3" s="1829"/>
      <c r="C3" s="1829"/>
      <c r="D3" s="1829"/>
      <c r="E3" s="1829"/>
      <c r="F3" s="1829"/>
    </row>
    <row r="4" spans="1:11" ht="15.75" customHeight="1">
      <c r="B4" s="64"/>
    </row>
    <row r="5" spans="1:11">
      <c r="A5" s="1822" t="s">
        <v>32</v>
      </c>
      <c r="B5" s="1823"/>
      <c r="C5" s="1823"/>
      <c r="D5" s="1823"/>
      <c r="E5" s="1823"/>
      <c r="F5" s="1823"/>
    </row>
    <row r="6" spans="1:11" ht="15" customHeight="1">
      <c r="A6" s="1825" t="s">
        <v>33</v>
      </c>
      <c r="B6" s="1825" t="s">
        <v>34</v>
      </c>
      <c r="C6" s="1826" t="s">
        <v>35</v>
      </c>
      <c r="D6" s="1827" t="s">
        <v>36</v>
      </c>
      <c r="E6" s="1827" t="s">
        <v>37</v>
      </c>
      <c r="F6" s="1827" t="s">
        <v>38</v>
      </c>
    </row>
    <row r="7" spans="1:11" ht="15" customHeight="1">
      <c r="A7" s="1825"/>
      <c r="B7" s="1825"/>
      <c r="C7" s="1826"/>
      <c r="D7" s="1828"/>
      <c r="E7" s="1828"/>
      <c r="F7" s="1828"/>
      <c r="I7" s="1352"/>
      <c r="J7" s="1352"/>
      <c r="K7" s="1352"/>
    </row>
    <row r="8" spans="1:11">
      <c r="A8" s="1353" t="s">
        <v>39</v>
      </c>
      <c r="B8" s="1354" t="s">
        <v>40</v>
      </c>
      <c r="C8" s="1365">
        <f>'Fuel workbook 2022'!E52</f>
        <v>0</v>
      </c>
      <c r="D8" s="1365">
        <f>'Fuel workbook 2022'!F52</f>
        <v>0</v>
      </c>
      <c r="E8" s="1365">
        <f>'Fuel workbook 2022'!G52</f>
        <v>0</v>
      </c>
      <c r="F8" s="1365">
        <f>'Fuel workbook 2022'!H52</f>
        <v>0</v>
      </c>
    </row>
    <row r="9" spans="1:11">
      <c r="A9" s="1353" t="s">
        <v>41</v>
      </c>
      <c r="B9" s="1354" t="s">
        <v>42</v>
      </c>
      <c r="C9" s="1365">
        <f>'T&amp;D Losses workbook 2022'!E27</f>
        <v>0</v>
      </c>
      <c r="D9" s="1365">
        <f>'T&amp;D Losses workbook 2022'!F27</f>
        <v>0</v>
      </c>
      <c r="E9" s="1365">
        <f>'T&amp;D Losses workbook 2022'!G27</f>
        <v>0</v>
      </c>
      <c r="F9" s="1365">
        <f>'T&amp;D Losses workbook 2022'!H27</f>
        <v>0</v>
      </c>
    </row>
    <row r="10" spans="1:11">
      <c r="A10" s="1353" t="s">
        <v>43</v>
      </c>
      <c r="B10" s="1354" t="s">
        <v>44</v>
      </c>
      <c r="C10" s="1365">
        <f>'Purchased Energy workbook 2022'!E24</f>
        <v>0</v>
      </c>
      <c r="D10" s="1365">
        <f>'Purchased Energy workbook 2022'!F24</f>
        <v>0</v>
      </c>
      <c r="E10" s="1365">
        <f>'Purchased Energy workbook 2022'!G24</f>
        <v>0</v>
      </c>
      <c r="F10" s="1365">
        <f>'Purchased Energy workbook 2022'!H24</f>
        <v>0</v>
      </c>
    </row>
    <row r="11" spans="1:11">
      <c r="A11" s="1353" t="s">
        <v>43</v>
      </c>
      <c r="B11" s="1354" t="s">
        <v>45</v>
      </c>
      <c r="C11" s="1365">
        <f>'Purchased Energy workbook 2022'!E37</f>
        <v>0</v>
      </c>
      <c r="D11" s="1365">
        <f>'Purchased Energy workbook 2022'!F37</f>
        <v>0</v>
      </c>
      <c r="E11" s="1365">
        <f>'Purchased Energy workbook 2022'!G37</f>
        <v>0</v>
      </c>
      <c r="F11" s="1365">
        <f>'Purchased Energy workbook 2022'!H37</f>
        <v>0</v>
      </c>
    </row>
    <row r="12" spans="1:11">
      <c r="A12" s="1353" t="s">
        <v>41</v>
      </c>
      <c r="B12" s="1354" t="s">
        <v>46</v>
      </c>
      <c r="C12" s="1365">
        <f>'2022 Working from home workbook'!E14</f>
        <v>0</v>
      </c>
      <c r="D12" s="1365">
        <f>'2022 Working from home workbook'!F14</f>
        <v>0</v>
      </c>
      <c r="E12" s="1365">
        <f>'2022 Working from home workbook'!G14</f>
        <v>0</v>
      </c>
      <c r="F12" s="1365">
        <f>'2022 Working from home workbook'!H14</f>
        <v>0</v>
      </c>
    </row>
    <row r="13" spans="1:11">
      <c r="A13" s="1353" t="s">
        <v>39</v>
      </c>
      <c r="B13" s="1354" t="s">
        <v>47</v>
      </c>
      <c r="C13" s="1366">
        <f>'Refrigerant &amp; Oth workbook 2022'!E104</f>
        <v>0</v>
      </c>
      <c r="D13" s="1367" t="s">
        <v>48</v>
      </c>
      <c r="E13" s="1367" t="s">
        <v>48</v>
      </c>
      <c r="F13" s="1367" t="s">
        <v>48</v>
      </c>
    </row>
    <row r="14" spans="1:11">
      <c r="A14" s="1353" t="s">
        <v>41</v>
      </c>
      <c r="B14" s="1354" t="s">
        <v>49</v>
      </c>
      <c r="C14" s="1365">
        <f>'Travel workbook 2022'!E11</f>
        <v>0</v>
      </c>
      <c r="D14" s="1365">
        <f>'Travel workbook 2022'!F11</f>
        <v>0</v>
      </c>
      <c r="E14" s="1365">
        <f>'Travel workbook 2022'!G11</f>
        <v>0</v>
      </c>
      <c r="F14" s="1365">
        <f>'Travel workbook 2022'!H11</f>
        <v>0</v>
      </c>
    </row>
    <row r="15" spans="1:11">
      <c r="A15" s="1353" t="s">
        <v>41</v>
      </c>
      <c r="B15" s="1354" t="s">
        <v>50</v>
      </c>
      <c r="C15" s="1365">
        <f>'Freight workbook 2022'!E11</f>
        <v>0</v>
      </c>
      <c r="D15" s="1365">
        <f>'Freight workbook 2022'!F11</f>
        <v>0</v>
      </c>
      <c r="E15" s="1365">
        <f>'Freight workbook 2022'!G11</f>
        <v>0</v>
      </c>
      <c r="F15" s="1365">
        <f>'Freight workbook 2022'!H11</f>
        <v>0</v>
      </c>
    </row>
    <row r="16" spans="1:11">
      <c r="A16" s="1353" t="s">
        <v>41</v>
      </c>
      <c r="B16" s="1354" t="s">
        <v>51</v>
      </c>
      <c r="C16" s="1365">
        <f>'Wastewater workbook 2022'!E10</f>
        <v>0</v>
      </c>
      <c r="D16" s="1365">
        <f>'Wastewater workbook 2022'!F10</f>
        <v>0</v>
      </c>
      <c r="E16" s="1365">
        <f>'Wastewater workbook 2022'!G10</f>
        <v>0</v>
      </c>
      <c r="F16" s="1365">
        <f>'Wastewater workbook 2022'!H10</f>
        <v>0</v>
      </c>
    </row>
    <row r="17" spans="1:6">
      <c r="A17" s="1353" t="s">
        <v>41</v>
      </c>
      <c r="B17" s="1354" t="s">
        <v>52</v>
      </c>
      <c r="C17" s="1365">
        <f>'Waste workbook 2022'!E10</f>
        <v>0</v>
      </c>
      <c r="D17" s="1365">
        <f>'Waste workbook 2022'!F10</f>
        <v>0</v>
      </c>
      <c r="E17" s="1365">
        <f>'Waste workbook 2022'!G10</f>
        <v>0</v>
      </c>
      <c r="F17" s="1365">
        <f>'Waste workbook 2022'!H10</f>
        <v>0</v>
      </c>
    </row>
    <row r="18" spans="1:6">
      <c r="A18" s="1353" t="s">
        <v>39</v>
      </c>
      <c r="B18" s="1357" t="s">
        <v>53</v>
      </c>
      <c r="C18" s="1365">
        <f>'Agri Forest workbook 2022'!E95</f>
        <v>0</v>
      </c>
      <c r="D18" s="1365">
        <f>'Agri Forest workbook 2022'!F95</f>
        <v>0</v>
      </c>
      <c r="E18" s="1365">
        <f>'Agri Forest workbook 2022'!G95</f>
        <v>0</v>
      </c>
      <c r="F18" s="1365">
        <f>'Agri Forest workbook 2022'!H95</f>
        <v>0</v>
      </c>
    </row>
    <row r="20" spans="1:6">
      <c r="A20" s="1358"/>
    </row>
    <row r="21" spans="1:6">
      <c r="A21" s="1820" t="s">
        <v>54</v>
      </c>
      <c r="B21" s="1821"/>
      <c r="C21" s="1558">
        <f>SUM(C8:C18)</f>
        <v>0</v>
      </c>
      <c r="D21" s="1558">
        <f>SUM(D8:D18)</f>
        <v>0</v>
      </c>
      <c r="E21" s="1558">
        <f>SUM(E8:E18)</f>
        <v>0</v>
      </c>
      <c r="F21" s="1558">
        <f>SUM(F8:F18)</f>
        <v>0</v>
      </c>
    </row>
    <row r="22" spans="1:6">
      <c r="A22" s="1824" t="s">
        <v>55</v>
      </c>
      <c r="B22" s="1824"/>
      <c r="C22" s="1368">
        <f>SUMIF($A$8:$A$18,"Scope 1",C8:C18)</f>
        <v>0</v>
      </c>
      <c r="D22" s="1368">
        <f>SUMIF($A$8:$A$18,"Scope 1",D8:D18)</f>
        <v>0</v>
      </c>
      <c r="E22" s="1368">
        <f>SUMIF($A$8:$A$18,"Scope 1",E8:E18)</f>
        <v>0</v>
      </c>
      <c r="F22" s="1368">
        <f>SUMIF($A$8:$A$18,"Scope 1",F8:F18)</f>
        <v>0</v>
      </c>
    </row>
    <row r="23" spans="1:6">
      <c r="A23" s="1824" t="s">
        <v>56</v>
      </c>
      <c r="B23" s="1824"/>
      <c r="C23" s="1368">
        <f>SUMIF($A$8:$A$18,"Scope 2",C8:C18)</f>
        <v>0</v>
      </c>
      <c r="D23" s="1368">
        <f>SUMIF($A$8:$A$18,"Scope 2",D8:D18)</f>
        <v>0</v>
      </c>
      <c r="E23" s="1368">
        <f>SUMIF($A$8:$A$18,"Scope 2",E8:E18)</f>
        <v>0</v>
      </c>
      <c r="F23" s="1368">
        <f>SUMIF($A$8:$A$18,"Scope 2",F8:F18)</f>
        <v>0</v>
      </c>
    </row>
    <row r="24" spans="1:6">
      <c r="A24" s="1824" t="s">
        <v>57</v>
      </c>
      <c r="B24" s="1824"/>
      <c r="C24" s="1368">
        <f>SUMIF($A$8:$A$18,"Scope 3",C8:C18)</f>
        <v>0</v>
      </c>
      <c r="D24" s="1368">
        <f>SUMIF($A$8:$A$18,"Scope 3",D8:D18)</f>
        <v>0</v>
      </c>
      <c r="E24" s="1368">
        <f>SUMIF($A$8:$A$18,"Scope 3",E8:E18)</f>
        <v>0</v>
      </c>
      <c r="F24" s="1368">
        <f>SUMIF($A$8:$A$18,"Scope 3",F8:F18)</f>
        <v>0</v>
      </c>
    </row>
    <row r="26" spans="1:6">
      <c r="B26" s="61"/>
    </row>
    <row r="27" spans="1:6" ht="18">
      <c r="A27" s="1820" t="s">
        <v>58</v>
      </c>
      <c r="B27" s="1821"/>
      <c r="C27" s="1359"/>
      <c r="D27" s="1658"/>
      <c r="E27" s="1360"/>
    </row>
    <row r="28" spans="1:6" ht="18" customHeight="1">
      <c r="A28" s="1832" t="s">
        <v>34</v>
      </c>
      <c r="B28" s="1832"/>
      <c r="C28" s="1659" t="s">
        <v>59</v>
      </c>
      <c r="D28" s="1660" t="s">
        <v>60</v>
      </c>
      <c r="E28" s="1352"/>
    </row>
    <row r="29" spans="1:6">
      <c r="A29" s="1832" t="s">
        <v>61</v>
      </c>
      <c r="B29" s="1832"/>
      <c r="C29" s="1369">
        <f>D29</f>
        <v>0</v>
      </c>
      <c r="D29" s="1370">
        <f>'Fuel workbook 2022'!F36+'Fuel workbook 2022'!F37+'Fuel workbook 2022'!F38+'Fuel workbook 2022'!F39++'Fuel workbook 2022'!F40+'Fuel workbook 2022'!F41+'Agri Forest workbook 2022'!F11</f>
        <v>0</v>
      </c>
      <c r="E29" s="353"/>
    </row>
    <row r="30" spans="1:6">
      <c r="A30" s="1832" t="s">
        <v>62</v>
      </c>
      <c r="B30" s="1832"/>
      <c r="C30" s="1371">
        <f>D30</f>
        <v>0</v>
      </c>
      <c r="D30" s="1372">
        <f>'Agri Forest workbook 2022'!F12</f>
        <v>0</v>
      </c>
      <c r="E30" s="1362"/>
    </row>
    <row r="33" spans="2:3">
      <c r="B33" s="1363"/>
      <c r="C33" s="1360"/>
    </row>
    <row r="34" spans="2:3" ht="15" customHeight="1">
      <c r="B34" s="1830"/>
      <c r="C34" s="1831"/>
    </row>
    <row r="35" spans="2:3">
      <c r="B35" s="1830"/>
      <c r="C35" s="1831"/>
    </row>
    <row r="36" spans="2:3">
      <c r="B36" s="1364"/>
      <c r="C36" s="353"/>
    </row>
  </sheetData>
  <sheetProtection algorithmName="SHA-512" hashValue="huyV2KrEhW/4W/BTdCd5aKKVFLkqQ+CV4aI05kB7X4KANsf7tl7v+XhGRb9oVJeb1OJlX4f37djUg0AG0rT82g==" saltValue="Ms7aprrx7bg05sPIUVyrvg==" spinCount="100000" sheet="1" objects="1" scenarios="1" selectLockedCells="1"/>
  <mergeCells count="19">
    <mergeCell ref="B34:B35"/>
    <mergeCell ref="C34:C35"/>
    <mergeCell ref="A28:B28"/>
    <mergeCell ref="A29:B29"/>
    <mergeCell ref="A30:B30"/>
    <mergeCell ref="A1:F1"/>
    <mergeCell ref="A21:B21"/>
    <mergeCell ref="A5:F5"/>
    <mergeCell ref="A27:B27"/>
    <mergeCell ref="A22:B22"/>
    <mergeCell ref="A23:B23"/>
    <mergeCell ref="A24:B24"/>
    <mergeCell ref="A6:A7"/>
    <mergeCell ref="C6:C7"/>
    <mergeCell ref="D6:D7"/>
    <mergeCell ref="E6:E7"/>
    <mergeCell ref="F6:F7"/>
    <mergeCell ref="B6:B7"/>
    <mergeCell ref="A3:F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8" tint="-0.499984740745262"/>
  </sheetPr>
  <dimension ref="A1:J64"/>
  <sheetViews>
    <sheetView workbookViewId="0">
      <selection activeCell="D16" sqref="D16"/>
    </sheetView>
  </sheetViews>
  <sheetFormatPr defaultColWidth="9.140625" defaultRowHeight="15"/>
  <cols>
    <col min="1" max="1" width="35.140625" customWidth="1"/>
    <col min="2" max="2" width="30.42578125" customWidth="1"/>
    <col min="4" max="8" width="29.140625" customWidth="1"/>
    <col min="9" max="9" width="21.7109375" customWidth="1"/>
    <col min="10" max="10" width="37.7109375" customWidth="1"/>
  </cols>
  <sheetData>
    <row r="1" spans="1:10" ht="31.5">
      <c r="A1" s="64" t="s">
        <v>63</v>
      </c>
    </row>
    <row r="2" spans="1:10" ht="23.25">
      <c r="A2" s="65" t="s">
        <v>2226</v>
      </c>
    </row>
    <row r="3" spans="1:10">
      <c r="A3" s="166" t="s">
        <v>421</v>
      </c>
    </row>
    <row r="5" spans="1:10" ht="31.5">
      <c r="A5" s="64" t="s">
        <v>2227</v>
      </c>
    </row>
    <row r="6" spans="1:10">
      <c r="A6" s="2041" t="s">
        <v>2103</v>
      </c>
      <c r="B6" s="2041"/>
      <c r="C6" s="2041"/>
      <c r="D6" s="2041"/>
      <c r="E6" s="2041"/>
      <c r="F6" s="2041"/>
      <c r="G6" s="2041"/>
      <c r="H6" s="2041"/>
    </row>
    <row r="7" spans="1:10">
      <c r="A7" s="2238" t="s">
        <v>2104</v>
      </c>
      <c r="B7" s="2239"/>
      <c r="C7" s="2239"/>
      <c r="D7" s="2239"/>
      <c r="E7" s="2239"/>
      <c r="F7" s="2239"/>
      <c r="G7" s="2239"/>
      <c r="H7" s="2240"/>
    </row>
    <row r="8" spans="1:10">
      <c r="A8" s="61"/>
    </row>
    <row r="9" spans="1:10" ht="18">
      <c r="A9" s="2067" t="s">
        <v>2228</v>
      </c>
      <c r="B9" s="2067"/>
      <c r="C9" s="2067"/>
      <c r="D9" s="2061"/>
      <c r="E9" s="1505" t="s">
        <v>59</v>
      </c>
      <c r="F9" s="1459" t="s">
        <v>425</v>
      </c>
      <c r="G9" s="1459" t="s">
        <v>426</v>
      </c>
      <c r="H9" s="1459" t="s">
        <v>427</v>
      </c>
    </row>
    <row r="10" spans="1:10">
      <c r="A10" s="2068"/>
      <c r="B10" s="2068"/>
      <c r="C10" s="2068"/>
      <c r="D10" s="2062"/>
      <c r="E10" s="1506">
        <f>SUM(F10:H10)</f>
        <v>0</v>
      </c>
      <c r="F10" s="1451">
        <f>F26+F41</f>
        <v>0</v>
      </c>
      <c r="G10" s="1451">
        <f>G26+G41+G48+G62</f>
        <v>0</v>
      </c>
      <c r="H10" s="1451">
        <f>H26+H41+H48+H62</f>
        <v>0</v>
      </c>
    </row>
    <row r="11" spans="1:10">
      <c r="A11" s="166"/>
    </row>
    <row r="13" spans="1:10" s="1507" customFormat="1">
      <c r="A13" s="496" t="s">
        <v>2229</v>
      </c>
      <c r="B13" s="66"/>
      <c r="C13" s="66"/>
      <c r="D13" s="66"/>
      <c r="E13" s="66"/>
      <c r="F13" s="66"/>
      <c r="G13" s="66"/>
      <c r="H13" s="497"/>
      <c r="I13"/>
      <c r="J13"/>
    </row>
    <row r="14" spans="1:10" s="1507" customFormat="1" ht="15.75" thickBot="1">
      <c r="A14" s="496"/>
      <c r="B14" s="66"/>
      <c r="C14" s="66"/>
      <c r="D14" s="172"/>
      <c r="E14" s="2045" t="s">
        <v>423</v>
      </c>
      <c r="F14" s="2045"/>
      <c r="G14" s="2045"/>
      <c r="H14" s="1890"/>
      <c r="I14"/>
      <c r="J14"/>
    </row>
    <row r="15" spans="1:10" s="1507" customFormat="1" ht="18.75" thickBot="1">
      <c r="A15" s="2047" t="s">
        <v>69</v>
      </c>
      <c r="B15" s="2135"/>
      <c r="C15" s="1480" t="s">
        <v>70</v>
      </c>
      <c r="D15" s="1508" t="s">
        <v>424</v>
      </c>
      <c r="E15" s="1505" t="s">
        <v>59</v>
      </c>
      <c r="F15" s="1459" t="s">
        <v>425</v>
      </c>
      <c r="G15" s="1459" t="s">
        <v>426</v>
      </c>
      <c r="H15" s="1459" t="s">
        <v>427</v>
      </c>
      <c r="I15"/>
      <c r="J15"/>
    </row>
    <row r="16" spans="1:10" s="1507" customFormat="1" ht="17.25" customHeight="1" thickBot="1">
      <c r="A16" s="2235" t="s">
        <v>2110</v>
      </c>
      <c r="B16" s="164" t="s">
        <v>2111</v>
      </c>
      <c r="C16" s="490" t="s">
        <v>83</v>
      </c>
      <c r="D16" s="524"/>
      <c r="E16" s="1509">
        <f>G16</f>
        <v>0</v>
      </c>
      <c r="F16" s="1451" t="s">
        <v>48</v>
      </c>
      <c r="G16" s="1451">
        <f>D16*'Waste 2022'!F11</f>
        <v>0</v>
      </c>
      <c r="H16" s="1510" t="s">
        <v>48</v>
      </c>
      <c r="I16"/>
      <c r="J16"/>
    </row>
    <row r="17" spans="1:10" ht="15.75" thickBot="1">
      <c r="A17" s="2236"/>
      <c r="B17" s="164" t="s">
        <v>2114</v>
      </c>
      <c r="C17" s="137" t="s">
        <v>83</v>
      </c>
      <c r="D17" s="524"/>
      <c r="E17" s="1509">
        <f t="shared" ref="E17:E25" si="0">G17</f>
        <v>0</v>
      </c>
      <c r="F17" s="1451" t="s">
        <v>48</v>
      </c>
      <c r="G17" s="1451">
        <f>D17*'Waste 2022'!F12</f>
        <v>0</v>
      </c>
      <c r="H17" s="1510" t="s">
        <v>48</v>
      </c>
    </row>
    <row r="18" spans="1:10" ht="15.75" thickBot="1">
      <c r="A18" s="2236"/>
      <c r="B18" s="164" t="s">
        <v>2115</v>
      </c>
      <c r="C18" s="490" t="s">
        <v>83</v>
      </c>
      <c r="D18" s="524"/>
      <c r="E18" s="1509">
        <f t="shared" si="0"/>
        <v>0</v>
      </c>
      <c r="F18" s="1451" t="s">
        <v>48</v>
      </c>
      <c r="G18" s="1451">
        <f>D18*'Waste 2022'!F13</f>
        <v>0</v>
      </c>
      <c r="H18" s="1510" t="s">
        <v>48</v>
      </c>
    </row>
    <row r="19" spans="1:10" ht="15.75" thickBot="1">
      <c r="A19" s="2236"/>
      <c r="B19" s="164" t="s">
        <v>2116</v>
      </c>
      <c r="C19" s="490" t="s">
        <v>83</v>
      </c>
      <c r="D19" s="524"/>
      <c r="E19" s="1509">
        <f t="shared" si="0"/>
        <v>0</v>
      </c>
      <c r="F19" s="1451" t="s">
        <v>48</v>
      </c>
      <c r="G19" s="1451">
        <f>D19*'Waste 2022'!F14</f>
        <v>0</v>
      </c>
      <c r="H19" s="1510" t="s">
        <v>48</v>
      </c>
    </row>
    <row r="20" spans="1:10" ht="15.75" thickBot="1">
      <c r="A20" s="2236"/>
      <c r="B20" s="164" t="s">
        <v>2117</v>
      </c>
      <c r="C20" s="137" t="s">
        <v>83</v>
      </c>
      <c r="D20" s="524"/>
      <c r="E20" s="1509">
        <f t="shared" si="0"/>
        <v>0</v>
      </c>
      <c r="F20" s="1451" t="s">
        <v>48</v>
      </c>
      <c r="G20" s="1451">
        <f>D20*'Waste 2022'!F15</f>
        <v>0</v>
      </c>
      <c r="H20" s="1510" t="s">
        <v>48</v>
      </c>
    </row>
    <row r="21" spans="1:10" ht="15.75" thickBot="1">
      <c r="A21" s="2236"/>
      <c r="B21" s="164" t="s">
        <v>2118</v>
      </c>
      <c r="C21" s="490" t="s">
        <v>83</v>
      </c>
      <c r="D21" s="524"/>
      <c r="E21" s="1509">
        <f t="shared" si="0"/>
        <v>0</v>
      </c>
      <c r="F21" s="1451" t="s">
        <v>48</v>
      </c>
      <c r="G21" s="1451">
        <f>D21*'Waste 2022'!F16</f>
        <v>0</v>
      </c>
      <c r="H21" s="1510" t="s">
        <v>48</v>
      </c>
    </row>
    <row r="22" spans="1:10" ht="15.75" thickBot="1">
      <c r="A22" s="2237"/>
      <c r="B22" s="164" t="s">
        <v>2119</v>
      </c>
      <c r="C22" s="490" t="s">
        <v>83</v>
      </c>
      <c r="D22" s="524"/>
      <c r="E22" s="1509">
        <f t="shared" si="0"/>
        <v>0</v>
      </c>
      <c r="F22" s="1451" t="s">
        <v>48</v>
      </c>
      <c r="G22" s="1451">
        <f>D22*'Waste 2022'!F17</f>
        <v>0</v>
      </c>
      <c r="H22" s="1510" t="s">
        <v>48</v>
      </c>
    </row>
    <row r="23" spans="1:10" ht="15" customHeight="1" thickBot="1">
      <c r="A23" s="2235" t="s">
        <v>2121</v>
      </c>
      <c r="B23" s="164" t="s">
        <v>2120</v>
      </c>
      <c r="C23" s="490" t="s">
        <v>83</v>
      </c>
      <c r="D23" s="524"/>
      <c r="E23" s="1509" t="s">
        <v>48</v>
      </c>
      <c r="F23" s="1451" t="s">
        <v>48</v>
      </c>
      <c r="G23" s="1451" t="s">
        <v>48</v>
      </c>
      <c r="H23" s="1510" t="s">
        <v>48</v>
      </c>
    </row>
    <row r="24" spans="1:10" ht="15" customHeight="1" thickBot="1">
      <c r="A24" s="2236"/>
      <c r="B24" s="164" t="s">
        <v>2122</v>
      </c>
      <c r="C24" s="137" t="s">
        <v>83</v>
      </c>
      <c r="D24" s="524"/>
      <c r="E24" s="1509">
        <f t="shared" si="0"/>
        <v>0</v>
      </c>
      <c r="F24" s="1451" t="s">
        <v>48</v>
      </c>
      <c r="G24" s="1451">
        <f>D24*'Waste 2022'!F19</f>
        <v>0</v>
      </c>
      <c r="H24" s="1510" t="s">
        <v>48</v>
      </c>
    </row>
    <row r="25" spans="1:10">
      <c r="A25" s="2237"/>
      <c r="B25" s="164" t="s">
        <v>2123</v>
      </c>
      <c r="C25" s="490" t="s">
        <v>83</v>
      </c>
      <c r="D25" s="1342"/>
      <c r="E25" s="1509">
        <f t="shared" si="0"/>
        <v>0</v>
      </c>
      <c r="F25" s="1451" t="s">
        <v>48</v>
      </c>
      <c r="G25" s="1451">
        <f>D25*'Waste 2022'!F20</f>
        <v>0</v>
      </c>
      <c r="H25" s="1510" t="s">
        <v>48</v>
      </c>
    </row>
    <row r="26" spans="1:10">
      <c r="A26" s="62"/>
      <c r="B26" s="62"/>
      <c r="C26" s="62"/>
      <c r="D26" s="1444" t="s">
        <v>247</v>
      </c>
      <c r="E26" s="1511">
        <f>SUM(E16:E25)</f>
        <v>0</v>
      </c>
      <c r="F26" s="1504">
        <f t="shared" ref="F26:H26" si="1">SUM(F16:F25)</f>
        <v>0</v>
      </c>
      <c r="G26" s="1504">
        <f t="shared" si="1"/>
        <v>0</v>
      </c>
      <c r="H26" s="1504">
        <f t="shared" si="1"/>
        <v>0</v>
      </c>
    </row>
    <row r="28" spans="1:10" s="1507" customFormat="1">
      <c r="A28" s="496" t="s">
        <v>2230</v>
      </c>
      <c r="B28" s="66"/>
      <c r="C28" s="66"/>
      <c r="D28" s="66"/>
      <c r="E28" s="66"/>
      <c r="F28" s="66"/>
      <c r="G28" s="66"/>
      <c r="H28" s="497"/>
      <c r="I28"/>
      <c r="J28"/>
    </row>
    <row r="29" spans="1:10" s="1507" customFormat="1" ht="15.75" thickBot="1">
      <c r="A29" s="496"/>
      <c r="B29" s="66"/>
      <c r="C29" s="66"/>
      <c r="D29" s="172"/>
      <c r="E29" s="2045" t="s">
        <v>423</v>
      </c>
      <c r="F29" s="2045"/>
      <c r="G29" s="2045"/>
      <c r="H29" s="1890"/>
      <c r="I29"/>
      <c r="J29"/>
    </row>
    <row r="30" spans="1:10" s="1507" customFormat="1" ht="18.75" thickBot="1">
      <c r="A30" s="2047" t="s">
        <v>69</v>
      </c>
      <c r="B30" s="2135"/>
      <c r="C30" s="1480" t="s">
        <v>70</v>
      </c>
      <c r="D30" s="1508" t="s">
        <v>424</v>
      </c>
      <c r="E30" s="1505" t="s">
        <v>59</v>
      </c>
      <c r="F30" s="1459" t="s">
        <v>425</v>
      </c>
      <c r="G30" s="1459" t="s">
        <v>426</v>
      </c>
      <c r="H30" s="1459" t="s">
        <v>427</v>
      </c>
      <c r="I30"/>
      <c r="J30"/>
    </row>
    <row r="31" spans="1:10" s="1507" customFormat="1" ht="17.25" customHeight="1" thickBot="1">
      <c r="A31" s="2235" t="s">
        <v>2110</v>
      </c>
      <c r="B31" s="164" t="s">
        <v>2111</v>
      </c>
      <c r="C31" s="490" t="s">
        <v>83</v>
      </c>
      <c r="D31" s="524"/>
      <c r="E31" s="1512">
        <f>G31</f>
        <v>0</v>
      </c>
      <c r="F31" s="1513" t="s">
        <v>48</v>
      </c>
      <c r="G31" s="1451">
        <f>D31*'Waste 2022'!F24</f>
        <v>0</v>
      </c>
      <c r="H31" s="1510" t="s">
        <v>48</v>
      </c>
      <c r="I31"/>
      <c r="J31"/>
    </row>
    <row r="32" spans="1:10" ht="15.75" thickBot="1">
      <c r="A32" s="2236"/>
      <c r="B32" s="164" t="s">
        <v>2114</v>
      </c>
      <c r="C32" s="137" t="s">
        <v>83</v>
      </c>
      <c r="D32" s="524"/>
      <c r="E32" s="1512">
        <f t="shared" ref="E32:E40" si="2">G32</f>
        <v>0</v>
      </c>
      <c r="F32" s="1513" t="s">
        <v>48</v>
      </c>
      <c r="G32" s="1451">
        <f>D32*'Waste 2022'!F25</f>
        <v>0</v>
      </c>
      <c r="H32" s="1510" t="s">
        <v>48</v>
      </c>
    </row>
    <row r="33" spans="1:10" ht="15.75" thickBot="1">
      <c r="A33" s="2236"/>
      <c r="B33" s="164" t="s">
        <v>2115</v>
      </c>
      <c r="C33" s="490" t="s">
        <v>83</v>
      </c>
      <c r="D33" s="524"/>
      <c r="E33" s="1512">
        <f t="shared" si="2"/>
        <v>0</v>
      </c>
      <c r="F33" s="1513" t="s">
        <v>48</v>
      </c>
      <c r="G33" s="1451">
        <f>D33*'Waste 2022'!F26</f>
        <v>0</v>
      </c>
      <c r="H33" s="1510" t="s">
        <v>48</v>
      </c>
    </row>
    <row r="34" spans="1:10" ht="15.75" thickBot="1">
      <c r="A34" s="2236"/>
      <c r="B34" s="164" t="s">
        <v>2116</v>
      </c>
      <c r="C34" s="490" t="s">
        <v>83</v>
      </c>
      <c r="D34" s="524"/>
      <c r="E34" s="1512">
        <f t="shared" si="2"/>
        <v>0</v>
      </c>
      <c r="F34" s="1513" t="s">
        <v>48</v>
      </c>
      <c r="G34" s="1451">
        <f>D34*'Waste 2022'!F27</f>
        <v>0</v>
      </c>
      <c r="H34" s="1510" t="s">
        <v>48</v>
      </c>
    </row>
    <row r="35" spans="1:10" ht="15.75" thickBot="1">
      <c r="A35" s="2236"/>
      <c r="B35" s="164" t="s">
        <v>2117</v>
      </c>
      <c r="C35" s="137" t="s">
        <v>83</v>
      </c>
      <c r="D35" s="524"/>
      <c r="E35" s="1512">
        <f t="shared" si="2"/>
        <v>0</v>
      </c>
      <c r="F35" s="1513" t="s">
        <v>48</v>
      </c>
      <c r="G35" s="1451">
        <f>D35*'Waste 2022'!F28</f>
        <v>0</v>
      </c>
      <c r="H35" s="1510" t="s">
        <v>48</v>
      </c>
    </row>
    <row r="36" spans="1:10" ht="15.75" thickBot="1">
      <c r="A36" s="2236"/>
      <c r="B36" s="164" t="s">
        <v>2118</v>
      </c>
      <c r="C36" s="490" t="s">
        <v>83</v>
      </c>
      <c r="D36" s="524"/>
      <c r="E36" s="1512">
        <f t="shared" si="2"/>
        <v>0</v>
      </c>
      <c r="F36" s="1513" t="s">
        <v>48</v>
      </c>
      <c r="G36" s="1451">
        <f>D36*'Waste 2022'!F29</f>
        <v>0</v>
      </c>
      <c r="H36" s="1510" t="s">
        <v>48</v>
      </c>
    </row>
    <row r="37" spans="1:10" ht="15.75" thickBot="1">
      <c r="A37" s="2237"/>
      <c r="B37" s="164" t="s">
        <v>2119</v>
      </c>
      <c r="C37" s="490" t="s">
        <v>83</v>
      </c>
      <c r="D37" s="524"/>
      <c r="E37" s="1512">
        <f t="shared" si="2"/>
        <v>0</v>
      </c>
      <c r="F37" s="1513" t="s">
        <v>48</v>
      </c>
      <c r="G37" s="1451">
        <f>D37*'Waste 2022'!F30</f>
        <v>0</v>
      </c>
      <c r="H37" s="1510" t="s">
        <v>48</v>
      </c>
    </row>
    <row r="38" spans="1:10" ht="15" customHeight="1" thickBot="1">
      <c r="A38" s="2235" t="s">
        <v>2121</v>
      </c>
      <c r="B38" s="164" t="s">
        <v>2120</v>
      </c>
      <c r="C38" s="490" t="s">
        <v>83</v>
      </c>
      <c r="D38" s="524"/>
      <c r="E38" s="1514" t="str">
        <f t="shared" si="2"/>
        <v>n/a</v>
      </c>
      <c r="F38" s="1513" t="s">
        <v>48</v>
      </c>
      <c r="G38" s="1510" t="s">
        <v>48</v>
      </c>
      <c r="H38" s="1510" t="s">
        <v>48</v>
      </c>
    </row>
    <row r="39" spans="1:10" ht="15" customHeight="1" thickBot="1">
      <c r="A39" s="2236"/>
      <c r="B39" s="164" t="s">
        <v>2122</v>
      </c>
      <c r="C39" s="137" t="s">
        <v>83</v>
      </c>
      <c r="D39" s="524"/>
      <c r="E39" s="1512">
        <f t="shared" si="2"/>
        <v>0</v>
      </c>
      <c r="F39" s="1513" t="s">
        <v>48</v>
      </c>
      <c r="G39" s="1451">
        <f>D39*'Waste 2022'!F32</f>
        <v>0</v>
      </c>
      <c r="H39" s="1510" t="s">
        <v>48</v>
      </c>
    </row>
    <row r="40" spans="1:10">
      <c r="A40" s="2237"/>
      <c r="B40" s="164" t="s">
        <v>2123</v>
      </c>
      <c r="C40" s="490" t="s">
        <v>83</v>
      </c>
      <c r="D40" s="1342"/>
      <c r="E40" s="1512">
        <f t="shared" si="2"/>
        <v>0</v>
      </c>
      <c r="F40" s="1513" t="s">
        <v>48</v>
      </c>
      <c r="G40" s="1451">
        <f>D40*'Waste 2022'!F33</f>
        <v>0</v>
      </c>
      <c r="H40" s="1510" t="s">
        <v>48</v>
      </c>
    </row>
    <row r="41" spans="1:10">
      <c r="A41" s="62"/>
      <c r="B41" s="62"/>
      <c r="C41" s="62"/>
      <c r="D41" s="1444" t="s">
        <v>247</v>
      </c>
      <c r="E41" s="1511">
        <f>SUM(E31:E40)</f>
        <v>0</v>
      </c>
      <c r="F41" s="1504">
        <f t="shared" ref="F41:H41" si="3">SUM(F31:F40)</f>
        <v>0</v>
      </c>
      <c r="G41" s="1504">
        <f t="shared" si="3"/>
        <v>0</v>
      </c>
      <c r="H41" s="1504">
        <f t="shared" si="3"/>
        <v>0</v>
      </c>
    </row>
    <row r="43" spans="1:10" s="1507" customFormat="1">
      <c r="A43" s="496" t="s">
        <v>2125</v>
      </c>
      <c r="B43" s="66"/>
      <c r="C43" s="66"/>
      <c r="D43" s="66"/>
      <c r="E43" s="66"/>
      <c r="F43" s="66"/>
      <c r="G43" s="66"/>
      <c r="H43" s="497"/>
      <c r="I43"/>
      <c r="J43"/>
    </row>
    <row r="44" spans="1:10" s="1507" customFormat="1" ht="15.75" thickBot="1">
      <c r="A44" s="496"/>
      <c r="B44" s="66"/>
      <c r="C44" s="66"/>
      <c r="D44" s="172"/>
      <c r="E44" s="2045" t="s">
        <v>423</v>
      </c>
      <c r="F44" s="2045"/>
      <c r="G44" s="2045"/>
      <c r="H44" s="1890"/>
      <c r="I44"/>
      <c r="J44"/>
    </row>
    <row r="45" spans="1:10" ht="18.75" thickBot="1">
      <c r="A45" s="2231" t="s">
        <v>69</v>
      </c>
      <c r="B45" s="2135"/>
      <c r="C45" s="1480" t="s">
        <v>70</v>
      </c>
      <c r="D45" s="1508" t="s">
        <v>424</v>
      </c>
      <c r="E45" s="1505" t="s">
        <v>59</v>
      </c>
      <c r="F45" s="1459" t="s">
        <v>425</v>
      </c>
      <c r="G45" s="1459" t="s">
        <v>426</v>
      </c>
      <c r="H45" s="1459" t="s">
        <v>427</v>
      </c>
    </row>
    <row r="46" spans="1:10" ht="17.25" customHeight="1" thickBot="1">
      <c r="A46" s="2234" t="s">
        <v>2125</v>
      </c>
      <c r="B46" s="1414" t="s">
        <v>2127</v>
      </c>
      <c r="C46" s="165" t="s">
        <v>83</v>
      </c>
      <c r="D46" s="524"/>
      <c r="E46" s="1512">
        <f>SUM(F46:H46)</f>
        <v>0</v>
      </c>
      <c r="F46" s="1513" t="s">
        <v>48</v>
      </c>
      <c r="G46" s="1451">
        <f>D46*'Waste 2022'!F37</f>
        <v>0</v>
      </c>
      <c r="H46" s="1451">
        <f>D46*'Waste 2022'!G37</f>
        <v>0</v>
      </c>
    </row>
    <row r="47" spans="1:10" ht="17.25" customHeight="1">
      <c r="A47" s="2234"/>
      <c r="B47" s="876" t="s">
        <v>2130</v>
      </c>
      <c r="C47" s="876" t="s">
        <v>83</v>
      </c>
      <c r="D47" s="1342"/>
      <c r="E47" s="1512">
        <f>SUM(F47:H47)</f>
        <v>0</v>
      </c>
      <c r="F47" s="1513" t="s">
        <v>48</v>
      </c>
      <c r="G47" s="1451">
        <f>D47*'Waste 2022'!F38</f>
        <v>0</v>
      </c>
      <c r="H47" s="1510" t="s">
        <v>48</v>
      </c>
    </row>
    <row r="48" spans="1:10">
      <c r="D48" s="1444" t="s">
        <v>247</v>
      </c>
      <c r="E48" s="1511">
        <f>SUM(E46:E47)</f>
        <v>0</v>
      </c>
      <c r="F48" s="1504" t="s">
        <v>48</v>
      </c>
      <c r="G48" s="1504">
        <f>SUM(G46:G47)</f>
        <v>0</v>
      </c>
      <c r="H48" s="1504">
        <f>SUM(H46:H47)</f>
        <v>0</v>
      </c>
    </row>
    <row r="50" spans="1:10" s="1507" customFormat="1">
      <c r="A50" s="496" t="s">
        <v>2231</v>
      </c>
      <c r="B50" s="66"/>
      <c r="C50" s="66"/>
      <c r="D50" s="66"/>
      <c r="E50" s="66"/>
      <c r="F50" s="66"/>
      <c r="G50" s="66"/>
      <c r="H50" s="497"/>
      <c r="I50"/>
      <c r="J50"/>
    </row>
    <row r="51" spans="1:10" s="1507" customFormat="1" ht="15.75" thickBot="1">
      <c r="A51" s="496"/>
      <c r="B51" s="66"/>
      <c r="C51" s="66"/>
      <c r="D51" s="172"/>
      <c r="E51" s="2045" t="s">
        <v>423</v>
      </c>
      <c r="F51" s="2045"/>
      <c r="G51" s="2045"/>
      <c r="H51" s="1890"/>
      <c r="I51"/>
      <c r="J51"/>
    </row>
    <row r="52" spans="1:10" s="1507" customFormat="1" ht="18.75" thickBot="1">
      <c r="A52" s="2231" t="s">
        <v>69</v>
      </c>
      <c r="B52" s="2232"/>
      <c r="C52" s="1515" t="s">
        <v>70</v>
      </c>
      <c r="D52" s="1508" t="s">
        <v>424</v>
      </c>
      <c r="E52" s="1505" t="s">
        <v>59</v>
      </c>
      <c r="F52" s="1459" t="s">
        <v>425</v>
      </c>
      <c r="G52" s="1459" t="s">
        <v>426</v>
      </c>
      <c r="H52" s="1459" t="s">
        <v>427</v>
      </c>
      <c r="I52"/>
      <c r="J52"/>
    </row>
    <row r="53" spans="1:10" ht="15.75" thickBot="1">
      <c r="A53" s="2233" t="s">
        <v>2110</v>
      </c>
      <c r="B53" s="813" t="s">
        <v>2133</v>
      </c>
      <c r="C53" s="711" t="s">
        <v>83</v>
      </c>
      <c r="D53" s="524"/>
      <c r="E53" s="1512">
        <f>G53</f>
        <v>0</v>
      </c>
      <c r="F53" s="1513" t="s">
        <v>48</v>
      </c>
      <c r="G53" s="1451">
        <f>D53*'Waste 2022'!F43</f>
        <v>0</v>
      </c>
      <c r="H53" s="1510" t="s">
        <v>48</v>
      </c>
    </row>
    <row r="54" spans="1:10" ht="15.75" thickBot="1">
      <c r="A54" s="2233"/>
      <c r="B54" s="813" t="s">
        <v>2135</v>
      </c>
      <c r="C54" s="711" t="s">
        <v>83</v>
      </c>
      <c r="D54" s="524"/>
      <c r="E54" s="1512">
        <f t="shared" ref="E54:E61" si="4">G54</f>
        <v>0</v>
      </c>
      <c r="F54" s="1513" t="s">
        <v>48</v>
      </c>
      <c r="G54" s="1451">
        <f>D54*'Waste 2022'!F44</f>
        <v>0</v>
      </c>
      <c r="H54" s="1510" t="s">
        <v>48</v>
      </c>
    </row>
    <row r="55" spans="1:10" ht="15.75" thickBot="1">
      <c r="A55" s="2233"/>
      <c r="B55" s="813" t="s">
        <v>2136</v>
      </c>
      <c r="C55" s="711" t="s">
        <v>83</v>
      </c>
      <c r="D55" s="524"/>
      <c r="E55" s="1512">
        <f t="shared" si="4"/>
        <v>0</v>
      </c>
      <c r="F55" s="1513" t="s">
        <v>48</v>
      </c>
      <c r="G55" s="1451">
        <f>D55*'Waste 2022'!F45</f>
        <v>0</v>
      </c>
      <c r="H55" s="1510" t="s">
        <v>48</v>
      </c>
    </row>
    <row r="56" spans="1:10" ht="15.75" thickBot="1">
      <c r="A56" s="2233"/>
      <c r="B56" s="813" t="s">
        <v>2137</v>
      </c>
      <c r="C56" s="711" t="s">
        <v>83</v>
      </c>
      <c r="D56" s="524"/>
      <c r="E56" s="1512">
        <f t="shared" si="4"/>
        <v>0</v>
      </c>
      <c r="F56" s="1513" t="s">
        <v>48</v>
      </c>
      <c r="G56" s="1451">
        <f>D56*'Waste 2022'!F46</f>
        <v>0</v>
      </c>
      <c r="H56" s="1510" t="s">
        <v>48</v>
      </c>
    </row>
    <row r="57" spans="1:10" ht="15.75" thickBot="1">
      <c r="A57" s="2233"/>
      <c r="B57" s="813" t="s">
        <v>2138</v>
      </c>
      <c r="C57" s="711" t="s">
        <v>83</v>
      </c>
      <c r="D57" s="524"/>
      <c r="E57" s="1512">
        <f t="shared" si="4"/>
        <v>0</v>
      </c>
      <c r="F57" s="1513" t="s">
        <v>48</v>
      </c>
      <c r="G57" s="1451">
        <f>D57*'Waste 2022'!F47</f>
        <v>0</v>
      </c>
      <c r="H57" s="1510" t="s">
        <v>48</v>
      </c>
    </row>
    <row r="58" spans="1:10" ht="15.75" thickBot="1">
      <c r="A58" s="2233"/>
      <c r="B58" s="813" t="s">
        <v>258</v>
      </c>
      <c r="C58" s="711" t="s">
        <v>83</v>
      </c>
      <c r="D58" s="524"/>
      <c r="E58" s="1512">
        <f t="shared" si="4"/>
        <v>0</v>
      </c>
      <c r="F58" s="1513" t="s">
        <v>48</v>
      </c>
      <c r="G58" s="1451">
        <f>D58*'Waste 2022'!F48</f>
        <v>0</v>
      </c>
      <c r="H58" s="1510" t="s">
        <v>48</v>
      </c>
    </row>
    <row r="59" spans="1:10" ht="15.75" thickBot="1">
      <c r="A59" s="2233"/>
      <c r="B59" s="813" t="s">
        <v>313</v>
      </c>
      <c r="C59" s="711" t="s">
        <v>83</v>
      </c>
      <c r="D59" s="524"/>
      <c r="E59" s="1512">
        <f>G59</f>
        <v>0</v>
      </c>
      <c r="F59" s="1513" t="s">
        <v>48</v>
      </c>
      <c r="G59" s="1451">
        <f>D59*'Waste 2022'!F49</f>
        <v>0</v>
      </c>
      <c r="H59" s="1510" t="s">
        <v>48</v>
      </c>
    </row>
    <row r="60" spans="1:10" ht="15.75" thickBot="1">
      <c r="A60" s="2233"/>
      <c r="B60" s="813" t="s">
        <v>2214</v>
      </c>
      <c r="C60" s="711" t="s">
        <v>83</v>
      </c>
      <c r="D60" s="524"/>
      <c r="E60" s="1514" t="str">
        <f t="shared" si="4"/>
        <v>n/a</v>
      </c>
      <c r="F60" s="1513" t="s">
        <v>48</v>
      </c>
      <c r="G60" s="1510" t="s">
        <v>48</v>
      </c>
      <c r="H60" s="1510" t="s">
        <v>48</v>
      </c>
    </row>
    <row r="61" spans="1:10">
      <c r="A61" s="2233" t="s">
        <v>2140</v>
      </c>
      <c r="B61" s="2233"/>
      <c r="C61" s="711" t="s">
        <v>83</v>
      </c>
      <c r="D61" s="1342"/>
      <c r="E61" s="1512">
        <f t="shared" si="4"/>
        <v>0</v>
      </c>
      <c r="F61" s="1513" t="s">
        <v>48</v>
      </c>
      <c r="G61" s="1451">
        <f>D61*'Waste 2022'!F51</f>
        <v>0</v>
      </c>
      <c r="H61" s="1510" t="s">
        <v>48</v>
      </c>
    </row>
    <row r="62" spans="1:10">
      <c r="D62" s="1444" t="s">
        <v>247</v>
      </c>
      <c r="E62" s="1511">
        <f>SUM(E53:E61)</f>
        <v>0</v>
      </c>
      <c r="F62" s="1504" t="s">
        <v>48</v>
      </c>
      <c r="G62" s="1504">
        <f>SUM(G60:G61)</f>
        <v>0</v>
      </c>
      <c r="H62" s="1504">
        <f>SUM(H60:H61)</f>
        <v>0</v>
      </c>
    </row>
    <row r="64" spans="1:10" s="102" customFormat="1" ht="15.75" thickBot="1"/>
  </sheetData>
  <sheetProtection sheet="1" objects="1" scenarios="1" selectLockedCells="1"/>
  <mergeCells count="19">
    <mergeCell ref="E29:H29"/>
    <mergeCell ref="A6:H6"/>
    <mergeCell ref="E14:H14"/>
    <mergeCell ref="A15:B15"/>
    <mergeCell ref="A23:A25"/>
    <mergeCell ref="A9:C10"/>
    <mergeCell ref="D9:D10"/>
    <mergeCell ref="A16:A22"/>
    <mergeCell ref="A7:H7"/>
    <mergeCell ref="A30:B30"/>
    <mergeCell ref="A38:A40"/>
    <mergeCell ref="E44:H44"/>
    <mergeCell ref="A45:B45"/>
    <mergeCell ref="A31:A37"/>
    <mergeCell ref="E51:H51"/>
    <mergeCell ref="A52:B52"/>
    <mergeCell ref="A53:A60"/>
    <mergeCell ref="A61:B61"/>
    <mergeCell ref="A46:A47"/>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N239"/>
  <sheetViews>
    <sheetView topLeftCell="A18" zoomScaleNormal="100" workbookViewId="0">
      <selection activeCell="D36" sqref="D36:E36"/>
    </sheetView>
  </sheetViews>
  <sheetFormatPr defaultColWidth="9.140625" defaultRowHeight="15"/>
  <cols>
    <col min="1" max="1" width="36.85546875" customWidth="1"/>
    <col min="2" max="2" width="39.28515625" customWidth="1"/>
    <col min="3" max="3" width="10.42578125" customWidth="1"/>
    <col min="4" max="4" width="27.7109375" bestFit="1" customWidth="1"/>
    <col min="5" max="5" width="27.28515625" bestFit="1" customWidth="1"/>
    <col min="6" max="6" width="33.5703125" customWidth="1"/>
    <col min="7" max="7" width="24.140625" customWidth="1"/>
    <col min="8" max="8" width="30.28515625" customWidth="1"/>
    <col min="9" max="9" width="34.140625" customWidth="1"/>
    <col min="10" max="10" width="18.85546875" customWidth="1"/>
    <col min="11" max="11" width="15.28515625" customWidth="1"/>
  </cols>
  <sheetData>
    <row r="1" spans="1:12" ht="31.5">
      <c r="A1" s="64" t="s">
        <v>63</v>
      </c>
      <c r="K1" s="228"/>
      <c r="L1" s="228"/>
    </row>
    <row r="2" spans="1:12" ht="23.25">
      <c r="A2" s="65" t="s">
        <v>431</v>
      </c>
    </row>
    <row r="3" spans="1:12" ht="18.75">
      <c r="A3" s="2"/>
    </row>
    <row r="4" spans="1:12" ht="31.5">
      <c r="A4" s="64" t="s">
        <v>2232</v>
      </c>
    </row>
    <row r="5" spans="1:12">
      <c r="A5" s="1905" t="s">
        <v>66</v>
      </c>
      <c r="B5" s="1905"/>
      <c r="C5" s="1905"/>
      <c r="D5" s="1905"/>
      <c r="E5" s="1905"/>
      <c r="F5" s="1905"/>
      <c r="G5" s="1905"/>
      <c r="H5" s="1905"/>
      <c r="I5" s="1905"/>
    </row>
    <row r="6" spans="1:12" ht="35.25" customHeight="1">
      <c r="A6" s="2261" t="s">
        <v>2233</v>
      </c>
      <c r="B6" s="2261"/>
      <c r="C6" s="2261"/>
      <c r="D6" s="2261"/>
      <c r="E6" s="2261"/>
      <c r="F6" s="2261"/>
      <c r="G6" s="2261"/>
      <c r="H6" s="2261"/>
      <c r="I6" s="2261"/>
    </row>
    <row r="7" spans="1:12" ht="18.75">
      <c r="A7" s="2"/>
    </row>
    <row r="9" spans="1:12">
      <c r="A9" s="496" t="s">
        <v>2234</v>
      </c>
      <c r="B9" s="66"/>
      <c r="C9" s="66"/>
      <c r="D9" s="66"/>
      <c r="E9" s="66"/>
      <c r="F9" s="497"/>
      <c r="G9" s="470"/>
      <c r="H9" s="470"/>
      <c r="I9" s="470"/>
    </row>
    <row r="10" spans="1:12">
      <c r="A10" s="2027" t="s">
        <v>2235</v>
      </c>
      <c r="B10" s="2028"/>
      <c r="C10" s="494" t="s">
        <v>70</v>
      </c>
      <c r="D10" s="196" t="s">
        <v>355</v>
      </c>
      <c r="E10" s="494" t="s">
        <v>2236</v>
      </c>
      <c r="F10" s="179" t="s">
        <v>76</v>
      </c>
      <c r="G10" s="1226"/>
    </row>
    <row r="11" spans="1:12" ht="16.5" customHeight="1">
      <c r="A11" s="2262" t="s">
        <v>2237</v>
      </c>
      <c r="B11" s="2263"/>
      <c r="C11" s="2263"/>
      <c r="D11" s="2263"/>
      <c r="E11" s="2263"/>
      <c r="F11" s="2263"/>
      <c r="G11" s="1141"/>
      <c r="H11" s="1141"/>
      <c r="I11" s="1141"/>
      <c r="K11" s="457"/>
      <c r="L11" s="447"/>
    </row>
    <row r="12" spans="1:12" ht="16.5" customHeight="1">
      <c r="A12" s="2260" t="s">
        <v>2238</v>
      </c>
      <c r="B12" s="2260"/>
      <c r="C12" s="166" t="s">
        <v>2239</v>
      </c>
      <c r="D12" s="1224">
        <v>-35561</v>
      </c>
      <c r="E12" s="1228" t="s">
        <v>2240</v>
      </c>
      <c r="F12" s="1227" t="s">
        <v>2241</v>
      </c>
      <c r="G12" s="1222"/>
      <c r="K12" s="457"/>
      <c r="L12" s="447"/>
    </row>
    <row r="13" spans="1:12" ht="16.5" customHeight="1">
      <c r="A13" s="2259" t="s">
        <v>2242</v>
      </c>
      <c r="B13" s="2259"/>
      <c r="C13" s="166" t="s">
        <v>2239</v>
      </c>
      <c r="D13" s="1224">
        <v>-36689</v>
      </c>
      <c r="E13" s="1228" t="s">
        <v>2243</v>
      </c>
      <c r="F13" s="1227" t="s">
        <v>2241</v>
      </c>
      <c r="G13" s="1222"/>
      <c r="H13" s="1223"/>
      <c r="I13" s="166"/>
      <c r="K13" s="457"/>
      <c r="L13" s="447"/>
    </row>
    <row r="14" spans="1:12" ht="16.5" customHeight="1">
      <c r="A14" s="2260" t="s">
        <v>2244</v>
      </c>
      <c r="B14" s="2260"/>
      <c r="C14" s="166" t="s">
        <v>2239</v>
      </c>
      <c r="D14" s="1224">
        <v>-29453</v>
      </c>
      <c r="E14" s="1228" t="s">
        <v>2245</v>
      </c>
      <c r="F14" s="1227" t="s">
        <v>2241</v>
      </c>
      <c r="G14" s="1222"/>
      <c r="H14" s="1223"/>
      <c r="I14" s="166"/>
      <c r="K14" s="457"/>
      <c r="L14" s="447"/>
    </row>
    <row r="15" spans="1:12" ht="16.5" customHeight="1">
      <c r="A15" s="2260" t="s">
        <v>2246</v>
      </c>
      <c r="B15" s="2260"/>
      <c r="C15" s="166" t="s">
        <v>2239</v>
      </c>
      <c r="D15" s="1224">
        <v>-15957</v>
      </c>
      <c r="E15" s="1228" t="s">
        <v>2247</v>
      </c>
      <c r="F15" s="1227" t="s">
        <v>2241</v>
      </c>
      <c r="G15" s="1222"/>
      <c r="H15" s="1223"/>
      <c r="I15" s="166"/>
      <c r="K15" s="457"/>
      <c r="L15" s="447"/>
    </row>
    <row r="16" spans="1:12" ht="16.5" customHeight="1">
      <c r="A16" s="2262" t="s">
        <v>2248</v>
      </c>
      <c r="B16" s="2263"/>
      <c r="C16" s="2263"/>
      <c r="D16" s="2263"/>
      <c r="E16" s="2263"/>
      <c r="F16" s="2263"/>
      <c r="G16" s="1141"/>
      <c r="H16" s="1141"/>
      <c r="I16" s="1141"/>
      <c r="K16" s="457"/>
      <c r="L16" s="447"/>
    </row>
    <row r="17" spans="1:12" ht="15.75" customHeight="1">
      <c r="A17" s="2264" t="s">
        <v>2249</v>
      </c>
      <c r="B17" s="2264"/>
      <c r="C17" s="1107" t="s">
        <v>2239</v>
      </c>
      <c r="D17" s="1224">
        <v>-35561</v>
      </c>
      <c r="E17" s="1228" t="s">
        <v>2240</v>
      </c>
      <c r="F17" s="1225" t="s">
        <v>2241</v>
      </c>
      <c r="G17" s="1222"/>
      <c r="H17" s="13"/>
      <c r="K17" s="457"/>
      <c r="L17" s="447"/>
    </row>
    <row r="18" spans="1:12" ht="15.75" customHeight="1">
      <c r="A18" s="2260" t="s">
        <v>2250</v>
      </c>
      <c r="B18" s="1854"/>
      <c r="C18" s="432" t="s">
        <v>2239</v>
      </c>
      <c r="D18" s="1224">
        <v>-36689</v>
      </c>
      <c r="E18" s="1228" t="s">
        <v>2243</v>
      </c>
      <c r="F18" s="1225" t="s">
        <v>2241</v>
      </c>
      <c r="G18" s="1222"/>
      <c r="H18" s="13"/>
      <c r="K18" s="457"/>
      <c r="L18" s="447"/>
    </row>
    <row r="19" spans="1:12" ht="16.5" customHeight="1">
      <c r="A19" s="2260" t="s">
        <v>2251</v>
      </c>
      <c r="B19" s="2260"/>
      <c r="C19" s="432" t="s">
        <v>2239</v>
      </c>
      <c r="D19" s="1224">
        <v>-29453</v>
      </c>
      <c r="E19" s="1228" t="s">
        <v>2245</v>
      </c>
      <c r="F19" s="1225" t="s">
        <v>2241</v>
      </c>
      <c r="G19" s="1222"/>
      <c r="H19" s="13"/>
      <c r="K19" s="457"/>
      <c r="L19" s="447"/>
    </row>
    <row r="20" spans="1:12" ht="15.75" customHeight="1">
      <c r="A20" s="2260" t="s">
        <v>2252</v>
      </c>
      <c r="B20" s="2260"/>
      <c r="C20" s="432" t="s">
        <v>2239</v>
      </c>
      <c r="D20" s="1224">
        <v>-15957</v>
      </c>
      <c r="E20" s="1228" t="s">
        <v>2247</v>
      </c>
      <c r="F20" s="1225" t="s">
        <v>2241</v>
      </c>
      <c r="G20" s="1222"/>
      <c r="H20" s="13"/>
      <c r="K20" s="457"/>
      <c r="L20" s="447"/>
    </row>
    <row r="21" spans="1:12" ht="15.75" customHeight="1">
      <c r="A21" s="2258" t="s">
        <v>2253</v>
      </c>
      <c r="B21" s="2258"/>
      <c r="C21" s="1106" t="s">
        <v>2239</v>
      </c>
      <c r="D21" s="1116">
        <v>0</v>
      </c>
      <c r="E21" s="1113" t="s">
        <v>48</v>
      </c>
      <c r="F21" s="1225" t="s">
        <v>2241</v>
      </c>
      <c r="G21" s="1222"/>
      <c r="H21" s="1222"/>
      <c r="K21" s="457"/>
      <c r="L21" s="447"/>
    </row>
    <row r="22" spans="1:12">
      <c r="A22" s="2265" t="s">
        <v>2254</v>
      </c>
      <c r="B22" s="2266"/>
      <c r="C22" s="2266"/>
      <c r="D22" s="2266"/>
      <c r="E22" s="2266"/>
      <c r="F22" s="2266"/>
      <c r="G22" s="1229"/>
      <c r="H22" s="1229"/>
      <c r="I22" s="1229"/>
      <c r="K22" s="457"/>
      <c r="L22" s="447"/>
    </row>
    <row r="23" spans="1:12" ht="14.25" customHeight="1">
      <c r="A23" s="2260" t="s">
        <v>2255</v>
      </c>
      <c r="B23" s="2260"/>
      <c r="C23" s="1107" t="s">
        <v>2239</v>
      </c>
      <c r="D23" s="1217">
        <v>-7973</v>
      </c>
      <c r="E23" s="1115" t="s">
        <v>2256</v>
      </c>
      <c r="F23" s="1225" t="s">
        <v>2241</v>
      </c>
      <c r="G23" s="1230"/>
      <c r="K23" s="457"/>
      <c r="L23" s="447"/>
    </row>
    <row r="24" spans="1:12" ht="15.75" customHeight="1">
      <c r="A24" s="2260" t="s">
        <v>2257</v>
      </c>
      <c r="B24" s="2260"/>
      <c r="C24" s="432" t="s">
        <v>2239</v>
      </c>
      <c r="D24" s="1217">
        <v>-1567</v>
      </c>
      <c r="E24" s="1115" t="s">
        <v>2258</v>
      </c>
      <c r="F24" s="1225" t="s">
        <v>2241</v>
      </c>
      <c r="G24" s="1230"/>
      <c r="K24" s="457"/>
      <c r="L24" s="447"/>
    </row>
    <row r="25" spans="1:12" ht="15.75" customHeight="1">
      <c r="A25" s="2260" t="s">
        <v>2259</v>
      </c>
      <c r="B25" s="2260"/>
      <c r="C25" s="432" t="s">
        <v>2239</v>
      </c>
      <c r="D25" s="191">
        <v>0</v>
      </c>
      <c r="E25" s="157" t="s">
        <v>48</v>
      </c>
      <c r="F25" s="1225" t="s">
        <v>2241</v>
      </c>
      <c r="G25" s="1230"/>
      <c r="L25" s="447"/>
    </row>
    <row r="26" spans="1:12" ht="16.5" customHeight="1">
      <c r="L26" s="447"/>
    </row>
    <row r="27" spans="1:12">
      <c r="A27" s="1886" t="s">
        <v>2260</v>
      </c>
      <c r="B27" s="1887"/>
      <c r="C27" s="1887"/>
      <c r="D27" s="1887"/>
      <c r="E27" s="1887"/>
      <c r="F27" s="1887"/>
      <c r="G27" s="1887"/>
      <c r="H27" s="1887"/>
      <c r="I27" s="1888"/>
    </row>
    <row r="28" spans="1:12" ht="18">
      <c r="A28" s="2027" t="s">
        <v>2261</v>
      </c>
      <c r="B28" s="2028"/>
      <c r="C28" s="494" t="s">
        <v>70</v>
      </c>
      <c r="D28" s="196" t="s">
        <v>355</v>
      </c>
      <c r="E28" s="487" t="s">
        <v>2262</v>
      </c>
      <c r="F28" s="487" t="s">
        <v>437</v>
      </c>
      <c r="G28" s="487" t="s">
        <v>438</v>
      </c>
      <c r="H28" s="494" t="s">
        <v>2236</v>
      </c>
      <c r="I28" s="179" t="s">
        <v>76</v>
      </c>
    </row>
    <row r="29" spans="1:12" ht="16.5" customHeight="1">
      <c r="A29" s="2268" t="s">
        <v>2237</v>
      </c>
      <c r="B29" s="2268"/>
      <c r="C29" s="2268"/>
      <c r="D29" s="2268"/>
      <c r="E29" s="2268"/>
      <c r="F29" s="2268"/>
      <c r="G29" s="2268"/>
      <c r="H29" s="2268"/>
      <c r="I29" s="2268"/>
      <c r="K29" s="457"/>
      <c r="L29" s="447"/>
    </row>
    <row r="30" spans="1:12" ht="16.5" customHeight="1">
      <c r="A30" s="1118" t="s">
        <v>2238</v>
      </c>
      <c r="B30" s="1118" t="s">
        <v>2263</v>
      </c>
      <c r="C30" s="903" t="s">
        <v>2239</v>
      </c>
      <c r="D30" s="1224">
        <v>995700</v>
      </c>
      <c r="E30" s="1218">
        <v>995700</v>
      </c>
      <c r="F30" s="1117" t="s">
        <v>48</v>
      </c>
      <c r="G30" s="1111" t="s">
        <v>48</v>
      </c>
      <c r="H30" s="1228" t="s">
        <v>2264</v>
      </c>
      <c r="I30" s="1232" t="s">
        <v>2241</v>
      </c>
      <c r="K30" s="457"/>
      <c r="L30" s="447"/>
    </row>
    <row r="31" spans="1:12" ht="16.5" customHeight="1">
      <c r="A31" s="1231" t="s">
        <v>2242</v>
      </c>
      <c r="B31" s="1118" t="s">
        <v>2263</v>
      </c>
      <c r="C31" s="903" t="s">
        <v>2239</v>
      </c>
      <c r="D31" s="1224">
        <v>1027286</v>
      </c>
      <c r="E31" s="1218">
        <v>1027286</v>
      </c>
      <c r="F31" s="1117" t="s">
        <v>48</v>
      </c>
      <c r="G31" s="1111" t="s">
        <v>48</v>
      </c>
      <c r="H31" s="1228" t="s">
        <v>2265</v>
      </c>
      <c r="I31" s="1232" t="s">
        <v>2241</v>
      </c>
      <c r="K31" s="457"/>
      <c r="L31" s="447"/>
    </row>
    <row r="32" spans="1:12" ht="16.5" customHeight="1">
      <c r="A32" s="1118" t="s">
        <v>2244</v>
      </c>
      <c r="B32" s="1118" t="s">
        <v>2263</v>
      </c>
      <c r="C32" s="903" t="s">
        <v>2239</v>
      </c>
      <c r="D32" s="1224">
        <v>1178113</v>
      </c>
      <c r="E32" s="1218">
        <v>1178113</v>
      </c>
      <c r="F32" s="1117" t="s">
        <v>48</v>
      </c>
      <c r="G32" s="1111" t="s">
        <v>48</v>
      </c>
      <c r="H32" s="1228" t="s">
        <v>2266</v>
      </c>
      <c r="I32" s="1232" t="s">
        <v>2241</v>
      </c>
      <c r="K32" s="457"/>
      <c r="L32" s="447"/>
    </row>
    <row r="33" spans="1:12" ht="16.5" customHeight="1">
      <c r="A33" s="1118" t="s">
        <v>2246</v>
      </c>
      <c r="B33" s="1118" t="s">
        <v>2263</v>
      </c>
      <c r="C33" s="903" t="s">
        <v>2239</v>
      </c>
      <c r="D33" s="1224">
        <v>239354</v>
      </c>
      <c r="E33" s="1218">
        <v>239354</v>
      </c>
      <c r="F33" s="1117" t="s">
        <v>48</v>
      </c>
      <c r="G33" s="1111" t="s">
        <v>48</v>
      </c>
      <c r="H33" s="1228" t="s">
        <v>2267</v>
      </c>
      <c r="I33" s="1232" t="s">
        <v>2241</v>
      </c>
      <c r="K33" s="457"/>
      <c r="L33" s="447"/>
    </row>
    <row r="34" spans="1:12" ht="16.5" customHeight="1">
      <c r="A34" s="2268" t="s">
        <v>2248</v>
      </c>
      <c r="B34" s="2268"/>
      <c r="C34" s="2268"/>
      <c r="D34" s="2268"/>
      <c r="E34" s="2268"/>
      <c r="F34" s="2268"/>
      <c r="G34" s="2268"/>
      <c r="H34" s="2268"/>
      <c r="I34" s="2268"/>
      <c r="K34" s="457"/>
      <c r="L34" s="447"/>
    </row>
    <row r="35" spans="1:12" ht="15.75" customHeight="1">
      <c r="A35" s="1118" t="s">
        <v>2238</v>
      </c>
      <c r="B35" s="1118" t="s">
        <v>2268</v>
      </c>
      <c r="C35" s="1107" t="s">
        <v>2239</v>
      </c>
      <c r="D35" s="1235" t="s">
        <v>48</v>
      </c>
      <c r="E35" s="1236" t="s">
        <v>48</v>
      </c>
      <c r="F35" s="1117" t="s">
        <v>48</v>
      </c>
      <c r="G35" s="1111" t="s">
        <v>48</v>
      </c>
      <c r="H35" s="1233" t="s">
        <v>48</v>
      </c>
      <c r="I35" s="1110" t="s">
        <v>2241</v>
      </c>
      <c r="K35" s="457"/>
      <c r="L35" s="447"/>
    </row>
    <row r="36" spans="1:12" ht="15.75" customHeight="1">
      <c r="A36" s="1118" t="s">
        <v>2238</v>
      </c>
      <c r="B36" s="1118" t="s">
        <v>2269</v>
      </c>
      <c r="C36" s="1234" t="s">
        <v>2239</v>
      </c>
      <c r="D36" s="1224">
        <v>995700</v>
      </c>
      <c r="E36" s="1218">
        <v>995700</v>
      </c>
      <c r="F36" s="1117" t="s">
        <v>48</v>
      </c>
      <c r="G36" s="1111" t="s">
        <v>48</v>
      </c>
      <c r="H36" s="1228" t="s">
        <v>2264</v>
      </c>
      <c r="I36" s="1232" t="s">
        <v>2241</v>
      </c>
      <c r="K36" s="457"/>
      <c r="L36" s="447"/>
    </row>
    <row r="37" spans="1:12" ht="15.75" customHeight="1">
      <c r="A37" s="1231" t="s">
        <v>2242</v>
      </c>
      <c r="B37" s="1118" t="s">
        <v>2268</v>
      </c>
      <c r="C37" s="1234" t="s">
        <v>2239</v>
      </c>
      <c r="D37" s="1237" t="s">
        <v>48</v>
      </c>
      <c r="E37" s="1238" t="s">
        <v>48</v>
      </c>
      <c r="F37" s="1117" t="s">
        <v>48</v>
      </c>
      <c r="G37" s="1111" t="s">
        <v>48</v>
      </c>
      <c r="H37" s="1112" t="s">
        <v>48</v>
      </c>
      <c r="I37" s="1232" t="s">
        <v>2241</v>
      </c>
      <c r="K37" s="457"/>
      <c r="L37" s="447"/>
    </row>
    <row r="38" spans="1:12" ht="15.75" customHeight="1">
      <c r="A38" s="1231" t="s">
        <v>2242</v>
      </c>
      <c r="B38" s="1118" t="s">
        <v>2269</v>
      </c>
      <c r="C38" s="1234" t="s">
        <v>2239</v>
      </c>
      <c r="D38" s="1224">
        <v>1027286</v>
      </c>
      <c r="E38" s="1218">
        <v>1027286</v>
      </c>
      <c r="F38" s="1117" t="s">
        <v>48</v>
      </c>
      <c r="G38" s="1111" t="s">
        <v>48</v>
      </c>
      <c r="H38" s="1228" t="s">
        <v>2265</v>
      </c>
      <c r="I38" s="1232" t="s">
        <v>2241</v>
      </c>
      <c r="K38" s="457"/>
      <c r="L38" s="447"/>
    </row>
    <row r="39" spans="1:12" ht="15.75" customHeight="1">
      <c r="A39" s="1118" t="s">
        <v>2244</v>
      </c>
      <c r="B39" s="1118" t="s">
        <v>2268</v>
      </c>
      <c r="C39" s="1234" t="s">
        <v>2239</v>
      </c>
      <c r="D39" s="1237" t="s">
        <v>48</v>
      </c>
      <c r="E39" s="1238" t="s">
        <v>48</v>
      </c>
      <c r="F39" s="1117" t="s">
        <v>48</v>
      </c>
      <c r="G39" s="1111" t="s">
        <v>48</v>
      </c>
      <c r="H39" s="1112" t="s">
        <v>48</v>
      </c>
      <c r="I39" s="1232" t="s">
        <v>2241</v>
      </c>
      <c r="K39" s="457"/>
      <c r="L39" s="447"/>
    </row>
    <row r="40" spans="1:12" ht="15.75" customHeight="1">
      <c r="A40" s="1118" t="s">
        <v>2244</v>
      </c>
      <c r="B40" s="1118" t="s">
        <v>2269</v>
      </c>
      <c r="C40" s="1234" t="s">
        <v>2239</v>
      </c>
      <c r="D40" s="1224">
        <v>1178113</v>
      </c>
      <c r="E40" s="1218">
        <v>1178113</v>
      </c>
      <c r="F40" s="1117" t="s">
        <v>48</v>
      </c>
      <c r="G40" s="1111" t="s">
        <v>48</v>
      </c>
      <c r="H40" s="1228" t="s">
        <v>2266</v>
      </c>
      <c r="I40" s="1232" t="s">
        <v>2241</v>
      </c>
      <c r="K40" s="457"/>
      <c r="L40" s="447"/>
    </row>
    <row r="41" spans="1:12" ht="15.75" customHeight="1">
      <c r="A41" s="1118" t="s">
        <v>2246</v>
      </c>
      <c r="B41" s="1118" t="s">
        <v>2268</v>
      </c>
      <c r="C41" s="1234" t="s">
        <v>2239</v>
      </c>
      <c r="D41" s="1237" t="s">
        <v>48</v>
      </c>
      <c r="E41" s="1238" t="s">
        <v>48</v>
      </c>
      <c r="F41" s="1117" t="s">
        <v>48</v>
      </c>
      <c r="G41" s="1111" t="s">
        <v>48</v>
      </c>
      <c r="H41" s="1112" t="s">
        <v>48</v>
      </c>
      <c r="I41" s="1232" t="s">
        <v>2241</v>
      </c>
      <c r="K41" s="457"/>
      <c r="L41" s="447"/>
    </row>
    <row r="42" spans="1:12" ht="15.75" customHeight="1">
      <c r="A42" s="1118" t="s">
        <v>2246</v>
      </c>
      <c r="B42" s="1118" t="s">
        <v>2269</v>
      </c>
      <c r="C42" s="1234" t="s">
        <v>2239</v>
      </c>
      <c r="D42" s="1224">
        <v>239354</v>
      </c>
      <c r="E42" s="1218">
        <v>239354</v>
      </c>
      <c r="F42" s="1117" t="s">
        <v>48</v>
      </c>
      <c r="G42" s="1111" t="s">
        <v>48</v>
      </c>
      <c r="H42" s="1114" t="s">
        <v>2267</v>
      </c>
      <c r="I42" s="1110" t="s">
        <v>2241</v>
      </c>
      <c r="K42" s="457"/>
      <c r="L42" s="447"/>
    </row>
    <row r="43" spans="1:12">
      <c r="A43" s="2267" t="s">
        <v>2254</v>
      </c>
      <c r="B43" s="2267"/>
      <c r="C43" s="2267"/>
      <c r="D43" s="2267"/>
      <c r="E43" s="2267"/>
      <c r="F43" s="2267"/>
      <c r="G43" s="2267"/>
      <c r="H43" s="2267"/>
      <c r="I43" s="2267"/>
      <c r="K43" s="457"/>
      <c r="L43" s="447"/>
    </row>
    <row r="44" spans="1:12" ht="14.25" customHeight="1">
      <c r="A44" s="1118" t="s">
        <v>2255</v>
      </c>
      <c r="B44" s="1118" t="s">
        <v>2269</v>
      </c>
      <c r="C44" s="1107" t="s">
        <v>2239</v>
      </c>
      <c r="D44" s="1217">
        <v>141350</v>
      </c>
      <c r="E44" s="1219">
        <v>141350</v>
      </c>
      <c r="F44" s="1108" t="s">
        <v>48</v>
      </c>
      <c r="G44" s="1109" t="s">
        <v>48</v>
      </c>
      <c r="H44" s="1115" t="s">
        <v>2270</v>
      </c>
      <c r="I44" s="1110" t="s">
        <v>2241</v>
      </c>
      <c r="K44" s="457"/>
      <c r="L44" s="447"/>
    </row>
    <row r="45" spans="1:12" ht="15.75" customHeight="1">
      <c r="A45" s="1118" t="s">
        <v>2257</v>
      </c>
      <c r="B45" s="1118" t="s">
        <v>2269</v>
      </c>
      <c r="C45" s="432" t="s">
        <v>2239</v>
      </c>
      <c r="D45" s="1217">
        <v>898704</v>
      </c>
      <c r="E45" s="1219">
        <v>898704</v>
      </c>
      <c r="F45" s="160" t="s">
        <v>48</v>
      </c>
      <c r="G45" s="157" t="s">
        <v>48</v>
      </c>
      <c r="H45" s="1115" t="s">
        <v>2271</v>
      </c>
      <c r="I45" s="1110" t="s">
        <v>2241</v>
      </c>
      <c r="K45" s="457"/>
      <c r="L45" s="447"/>
    </row>
    <row r="46" spans="1:12" ht="15.75" customHeight="1">
      <c r="A46" s="1118" t="s">
        <v>2259</v>
      </c>
      <c r="B46" s="1118" t="s">
        <v>2269</v>
      </c>
      <c r="C46" s="432" t="s">
        <v>2239</v>
      </c>
      <c r="D46" s="1217">
        <v>275595</v>
      </c>
      <c r="E46" s="1219">
        <v>275595</v>
      </c>
      <c r="F46" s="160" t="s">
        <v>48</v>
      </c>
      <c r="G46" s="157" t="s">
        <v>48</v>
      </c>
      <c r="H46" s="1115" t="s">
        <v>2272</v>
      </c>
      <c r="I46" s="1110" t="s">
        <v>2241</v>
      </c>
      <c r="L46" s="447"/>
    </row>
    <row r="47" spans="1:12" ht="16.5" customHeight="1">
      <c r="L47" s="447"/>
    </row>
    <row r="48" spans="1:12">
      <c r="L48" s="447"/>
    </row>
    <row r="49" spans="1:12">
      <c r="A49" s="1886" t="s">
        <v>2273</v>
      </c>
      <c r="B49" s="1887"/>
      <c r="C49" s="1887"/>
      <c r="D49" s="1887"/>
      <c r="E49" s="1887"/>
      <c r="F49" s="1887"/>
      <c r="G49" s="1887"/>
      <c r="H49" s="1887"/>
      <c r="I49" s="1888"/>
      <c r="L49" s="447"/>
    </row>
    <row r="50" spans="1:12" ht="18">
      <c r="A50" s="1900" t="s">
        <v>2274</v>
      </c>
      <c r="B50" s="2028"/>
      <c r="C50" s="492" t="s">
        <v>70</v>
      </c>
      <c r="D50" s="156" t="s">
        <v>355</v>
      </c>
      <c r="E50" s="485" t="s">
        <v>436</v>
      </c>
      <c r="F50" s="485" t="s">
        <v>437</v>
      </c>
      <c r="G50" s="485" t="s">
        <v>438</v>
      </c>
      <c r="H50" s="492" t="s">
        <v>75</v>
      </c>
      <c r="I50" s="498" t="s">
        <v>76</v>
      </c>
      <c r="L50" s="447"/>
    </row>
    <row r="51" spans="1:12" ht="15" customHeight="1">
      <c r="A51" s="2250" t="s">
        <v>2275</v>
      </c>
      <c r="B51" s="936" t="s">
        <v>2276</v>
      </c>
      <c r="C51" s="432" t="s">
        <v>2277</v>
      </c>
      <c r="D51" s="1119">
        <v>2264</v>
      </c>
      <c r="E51" s="836" t="s">
        <v>48</v>
      </c>
      <c r="F51" s="1120">
        <v>2264</v>
      </c>
      <c r="G51" s="1121" t="s">
        <v>48</v>
      </c>
      <c r="H51" s="318"/>
      <c r="I51" s="2254" t="s">
        <v>2278</v>
      </c>
      <c r="K51" s="457"/>
      <c r="L51" s="447"/>
    </row>
    <row r="52" spans="1:12" ht="15" customHeight="1">
      <c r="A52" s="2251"/>
      <c r="B52" s="182" t="s">
        <v>2279</v>
      </c>
      <c r="C52" s="169" t="s">
        <v>2277</v>
      </c>
      <c r="D52" s="1119">
        <v>1540</v>
      </c>
      <c r="E52" s="836" t="s">
        <v>48</v>
      </c>
      <c r="F52" s="1120">
        <v>1540</v>
      </c>
      <c r="G52" s="1121" t="s">
        <v>48</v>
      </c>
      <c r="H52" s="318"/>
      <c r="I52" s="2255"/>
      <c r="K52" s="457"/>
      <c r="L52" s="447"/>
    </row>
    <row r="53" spans="1:12" ht="15" customHeight="1">
      <c r="A53" s="2251"/>
      <c r="B53" s="169" t="s">
        <v>2280</v>
      </c>
      <c r="C53" s="169" t="s">
        <v>2277</v>
      </c>
      <c r="D53" s="1122">
        <v>318</v>
      </c>
      <c r="E53" s="836" t="s">
        <v>48</v>
      </c>
      <c r="F53" s="1120">
        <v>318</v>
      </c>
      <c r="G53" s="1121" t="s">
        <v>48</v>
      </c>
      <c r="H53" s="318"/>
      <c r="I53" s="2255"/>
      <c r="K53" s="457"/>
      <c r="L53" s="447"/>
    </row>
    <row r="54" spans="1:12" ht="15" customHeight="1">
      <c r="A54" s="2251"/>
      <c r="B54" s="184" t="s">
        <v>2281</v>
      </c>
      <c r="C54" s="185" t="s">
        <v>2277</v>
      </c>
      <c r="D54" s="1122">
        <v>597</v>
      </c>
      <c r="E54" s="1123" t="s">
        <v>48</v>
      </c>
      <c r="F54" s="1120">
        <v>597</v>
      </c>
      <c r="G54" s="1124" t="s">
        <v>48</v>
      </c>
      <c r="H54" s="433"/>
      <c r="I54" s="2255"/>
      <c r="K54" s="457"/>
      <c r="L54" s="447"/>
    </row>
    <row r="55" spans="1:12" ht="15" customHeight="1">
      <c r="A55" s="2251"/>
      <c r="B55" s="184" t="s">
        <v>2282</v>
      </c>
      <c r="C55" s="185" t="s">
        <v>2277</v>
      </c>
      <c r="D55" s="1122">
        <v>27</v>
      </c>
      <c r="E55" s="1123" t="s">
        <v>48</v>
      </c>
      <c r="F55" s="1120">
        <v>27</v>
      </c>
      <c r="G55" s="1124" t="s">
        <v>48</v>
      </c>
      <c r="H55" s="433"/>
      <c r="I55" s="2255"/>
      <c r="K55" s="457"/>
      <c r="L55" s="447"/>
    </row>
    <row r="56" spans="1:12" ht="15" customHeight="1">
      <c r="A56" s="2251"/>
      <c r="B56" s="184" t="s">
        <v>2283</v>
      </c>
      <c r="C56" s="185" t="s">
        <v>2277</v>
      </c>
      <c r="D56" s="1122">
        <v>224.07894736842098</v>
      </c>
      <c r="E56" s="1123" t="s">
        <v>48</v>
      </c>
      <c r="F56" s="1120">
        <v>224.07894736842098</v>
      </c>
      <c r="G56" s="1124" t="s">
        <v>48</v>
      </c>
      <c r="H56" s="433"/>
      <c r="I56" s="2255"/>
      <c r="K56" s="457"/>
      <c r="L56" s="447"/>
    </row>
    <row r="57" spans="1:12" ht="15" customHeight="1">
      <c r="A57" s="2251"/>
      <c r="B57" s="184" t="s">
        <v>2284</v>
      </c>
      <c r="C57" s="185" t="s">
        <v>2277</v>
      </c>
      <c r="D57" s="1122">
        <v>450.00000000000006</v>
      </c>
      <c r="E57" s="1123" t="s">
        <v>48</v>
      </c>
      <c r="F57" s="1120">
        <v>450.00000000000006</v>
      </c>
      <c r="G57" s="1124" t="s">
        <v>48</v>
      </c>
      <c r="H57" s="433"/>
      <c r="I57" s="2255"/>
      <c r="K57" s="457"/>
      <c r="L57" s="447"/>
    </row>
    <row r="58" spans="1:12" ht="15" customHeight="1">
      <c r="A58" s="2251"/>
      <c r="B58" s="184" t="s">
        <v>2285</v>
      </c>
      <c r="C58" s="185" t="s">
        <v>2277</v>
      </c>
      <c r="D58" s="1122">
        <v>200</v>
      </c>
      <c r="E58" s="1123" t="s">
        <v>48</v>
      </c>
      <c r="F58" s="1120">
        <v>200</v>
      </c>
      <c r="G58" s="1124" t="s">
        <v>48</v>
      </c>
      <c r="H58" s="433"/>
      <c r="I58" s="2255"/>
      <c r="K58" s="457"/>
      <c r="L58" s="447"/>
    </row>
    <row r="59" spans="1:12" ht="15" customHeight="1">
      <c r="A59" s="2251"/>
      <c r="B59" s="184" t="s">
        <v>2286</v>
      </c>
      <c r="C59" s="185" t="s">
        <v>2277</v>
      </c>
      <c r="D59" s="1122">
        <v>250</v>
      </c>
      <c r="E59" s="1123" t="s">
        <v>48</v>
      </c>
      <c r="F59" s="1120">
        <v>250</v>
      </c>
      <c r="G59" s="1124" t="s">
        <v>48</v>
      </c>
      <c r="H59" s="433"/>
      <c r="I59" s="2255"/>
      <c r="K59" s="457"/>
      <c r="L59" s="447"/>
    </row>
    <row r="60" spans="1:12" ht="15" customHeight="1">
      <c r="A60" s="2252"/>
      <c r="B60" s="184" t="s">
        <v>1935</v>
      </c>
      <c r="C60" s="185" t="s">
        <v>2277</v>
      </c>
      <c r="D60" s="1122">
        <v>0</v>
      </c>
      <c r="E60" s="1123" t="s">
        <v>48</v>
      </c>
      <c r="F60" s="1125">
        <v>0</v>
      </c>
      <c r="G60" s="1124" t="s">
        <v>48</v>
      </c>
      <c r="H60" s="433"/>
      <c r="I60" s="2256"/>
      <c r="K60" s="457"/>
      <c r="L60" s="447"/>
    </row>
    <row r="61" spans="1:12" ht="17.25" customHeight="1">
      <c r="A61" s="2253" t="s">
        <v>2287</v>
      </c>
      <c r="B61" s="182" t="s">
        <v>2276</v>
      </c>
      <c r="C61" s="183" t="s">
        <v>2277</v>
      </c>
      <c r="D61" s="1126">
        <v>238</v>
      </c>
      <c r="E61" s="1127" t="s">
        <v>48</v>
      </c>
      <c r="F61" s="1120">
        <v>223</v>
      </c>
      <c r="G61" s="1128">
        <v>14.4</v>
      </c>
      <c r="H61" s="183"/>
      <c r="I61" s="2254" t="s">
        <v>2288</v>
      </c>
      <c r="K61" s="457"/>
      <c r="L61" s="447"/>
    </row>
    <row r="62" spans="1:12" ht="15.75" customHeight="1">
      <c r="A62" s="2251"/>
      <c r="B62" s="169" t="s">
        <v>2279</v>
      </c>
      <c r="C62" s="169" t="s">
        <v>2277</v>
      </c>
      <c r="D62" s="1129">
        <v>21.4</v>
      </c>
      <c r="E62" s="836" t="s">
        <v>48</v>
      </c>
      <c r="F62" s="1125">
        <v>21.3</v>
      </c>
      <c r="G62" s="1130">
        <v>0</v>
      </c>
      <c r="H62" s="169"/>
      <c r="I62" s="2255"/>
      <c r="K62" s="458"/>
      <c r="L62" s="447"/>
    </row>
    <row r="63" spans="1:12" ht="15.75" customHeight="1">
      <c r="A63" s="2251"/>
      <c r="B63" s="169" t="s">
        <v>2280</v>
      </c>
      <c r="C63" s="169" t="s">
        <v>2277</v>
      </c>
      <c r="D63" s="1131">
        <v>3.53</v>
      </c>
      <c r="E63" s="836" t="s">
        <v>48</v>
      </c>
      <c r="F63" s="1125">
        <v>3.53</v>
      </c>
      <c r="G63" s="1130">
        <v>0</v>
      </c>
      <c r="H63" s="169"/>
      <c r="I63" s="2255"/>
      <c r="K63" s="456"/>
      <c r="L63" s="447"/>
    </row>
    <row r="64" spans="1:12" ht="15.75" customHeight="1">
      <c r="A64" s="2251"/>
      <c r="B64" s="169" t="s">
        <v>2281</v>
      </c>
      <c r="C64" s="169" t="s">
        <v>2277</v>
      </c>
      <c r="D64" s="1131">
        <v>7.57</v>
      </c>
      <c r="E64" s="836" t="s">
        <v>48</v>
      </c>
      <c r="F64" s="1132">
        <v>7.57</v>
      </c>
      <c r="G64" s="1130">
        <v>0</v>
      </c>
      <c r="H64" s="169"/>
      <c r="I64" s="2255"/>
      <c r="K64" s="456"/>
      <c r="L64" s="447"/>
    </row>
    <row r="65" spans="1:12" ht="15.75" customHeight="1">
      <c r="A65" s="2251"/>
      <c r="B65" s="169" t="s">
        <v>2282</v>
      </c>
      <c r="C65" s="169" t="s">
        <v>2277</v>
      </c>
      <c r="D65" s="1122">
        <v>206</v>
      </c>
      <c r="E65" s="836" t="s">
        <v>48</v>
      </c>
      <c r="F65" s="1120">
        <v>148.5</v>
      </c>
      <c r="G65" s="1130">
        <v>57.7</v>
      </c>
      <c r="H65" s="169"/>
      <c r="I65" s="2255"/>
      <c r="K65" s="456"/>
      <c r="L65" s="447"/>
    </row>
    <row r="66" spans="1:12" ht="15.75" customHeight="1">
      <c r="A66" s="2251"/>
      <c r="B66" s="169" t="s">
        <v>2283</v>
      </c>
      <c r="C66" s="169" t="s">
        <v>2277</v>
      </c>
      <c r="D66" s="1131">
        <v>5.0000000000000009</v>
      </c>
      <c r="E66" s="836" t="s">
        <v>48</v>
      </c>
      <c r="F66" s="1132">
        <v>5.0000000000000009</v>
      </c>
      <c r="G66" s="1130">
        <v>0</v>
      </c>
      <c r="H66" s="169"/>
      <c r="I66" s="2255"/>
      <c r="K66" s="456"/>
      <c r="L66" s="447"/>
    </row>
    <row r="67" spans="1:12" ht="15.75" customHeight="1">
      <c r="A67" s="2251"/>
      <c r="B67" s="169" t="s">
        <v>2284</v>
      </c>
      <c r="C67" s="169" t="s">
        <v>2277</v>
      </c>
      <c r="D67" s="1129">
        <v>58.500000000000007</v>
      </c>
      <c r="E67" s="836" t="s">
        <v>48</v>
      </c>
      <c r="F67" s="1125">
        <v>58.500000000000007</v>
      </c>
      <c r="G67" s="1130">
        <v>0</v>
      </c>
      <c r="H67" s="169"/>
      <c r="I67" s="2255"/>
      <c r="K67" s="456"/>
      <c r="L67" s="447"/>
    </row>
    <row r="68" spans="1:12" ht="15.75" customHeight="1">
      <c r="A68" s="2251"/>
      <c r="B68" s="169" t="s">
        <v>2285</v>
      </c>
      <c r="C68" s="169" t="s">
        <v>2277</v>
      </c>
      <c r="D68" s="1131">
        <v>2.57</v>
      </c>
      <c r="E68" s="836" t="s">
        <v>48</v>
      </c>
      <c r="F68" s="1132">
        <v>2.57</v>
      </c>
      <c r="G68" s="1130">
        <v>0</v>
      </c>
      <c r="H68" s="169"/>
      <c r="I68" s="2255"/>
      <c r="K68" s="456"/>
      <c r="L68" s="447"/>
    </row>
    <row r="69" spans="1:12" ht="15.75" customHeight="1">
      <c r="A69" s="2251"/>
      <c r="B69" s="169" t="s">
        <v>2286</v>
      </c>
      <c r="C69" s="169" t="s">
        <v>2277</v>
      </c>
      <c r="D69" s="1129">
        <v>27.499999999999996</v>
      </c>
      <c r="E69" s="836" t="s">
        <v>48</v>
      </c>
      <c r="F69" s="1125">
        <v>27.499999999999996</v>
      </c>
      <c r="G69" s="1130">
        <v>0</v>
      </c>
      <c r="H69" s="169"/>
      <c r="I69" s="2255"/>
      <c r="K69" s="456"/>
      <c r="L69" s="447"/>
    </row>
    <row r="70" spans="1:12" ht="15.75" customHeight="1">
      <c r="A70" s="2252"/>
      <c r="B70" s="169" t="s">
        <v>1935</v>
      </c>
      <c r="C70" s="169" t="s">
        <v>2277</v>
      </c>
      <c r="D70" s="1131">
        <v>1.44</v>
      </c>
      <c r="E70" s="836" t="s">
        <v>48</v>
      </c>
      <c r="F70" s="1132">
        <v>0.78</v>
      </c>
      <c r="G70" s="1133">
        <v>0.65</v>
      </c>
      <c r="H70" s="169"/>
      <c r="I70" s="2256"/>
      <c r="K70" s="456"/>
      <c r="L70" s="447"/>
    </row>
    <row r="71" spans="1:12" ht="17.25" customHeight="1">
      <c r="A71" s="2243" t="s">
        <v>2289</v>
      </c>
      <c r="B71" s="177" t="s">
        <v>2290</v>
      </c>
      <c r="C71" s="169" t="s">
        <v>2291</v>
      </c>
      <c r="D71" s="175">
        <v>5.3969928571428571</v>
      </c>
      <c r="E71" s="159" t="s">
        <v>48</v>
      </c>
      <c r="F71" s="160" t="s">
        <v>48</v>
      </c>
      <c r="G71" s="158">
        <v>5.3969928571428571</v>
      </c>
      <c r="H71" s="170" t="s">
        <v>1257</v>
      </c>
      <c r="I71" s="483" t="s">
        <v>2241</v>
      </c>
      <c r="K71" s="456"/>
      <c r="L71" s="447"/>
    </row>
    <row r="72" spans="1:12" ht="30" customHeight="1">
      <c r="A72" s="2243"/>
      <c r="B72" s="936" t="s">
        <v>2292</v>
      </c>
      <c r="C72" s="169" t="s">
        <v>2291</v>
      </c>
      <c r="D72" s="175">
        <v>5.0712243270931676</v>
      </c>
      <c r="E72" s="158">
        <v>1.5942028985217389</v>
      </c>
      <c r="F72" s="160" t="s">
        <v>48</v>
      </c>
      <c r="G72" s="158">
        <v>3.4770214285714283</v>
      </c>
      <c r="H72" s="2248" t="s">
        <v>2293</v>
      </c>
      <c r="I72" s="2245" t="s">
        <v>2294</v>
      </c>
      <c r="K72" s="456"/>
      <c r="L72" s="447"/>
    </row>
    <row r="73" spans="1:12" ht="30.75" customHeight="1">
      <c r="A73" s="2243"/>
      <c r="B73" s="936" t="s">
        <v>2295</v>
      </c>
      <c r="C73" s="169" t="s">
        <v>2291</v>
      </c>
      <c r="D73" s="175">
        <v>4.860495755664596</v>
      </c>
      <c r="E73" s="158">
        <v>1.5942028985217389</v>
      </c>
      <c r="F73" s="160" t="s">
        <v>48</v>
      </c>
      <c r="G73" s="158">
        <v>3.2662928571428571</v>
      </c>
      <c r="H73" s="2249"/>
      <c r="I73" s="2246"/>
      <c r="K73" s="456"/>
      <c r="L73" s="447"/>
    </row>
    <row r="74" spans="1:12" ht="15" customHeight="1">
      <c r="A74" s="2243"/>
      <c r="B74" s="216" t="s">
        <v>2296</v>
      </c>
      <c r="C74" s="169" t="s">
        <v>83</v>
      </c>
      <c r="D74" s="193">
        <v>0.43999999999199996</v>
      </c>
      <c r="E74" s="186">
        <v>0.43999999999199996</v>
      </c>
      <c r="F74" s="160" t="s">
        <v>48</v>
      </c>
      <c r="G74" s="157" t="s">
        <v>48</v>
      </c>
      <c r="H74" s="170" t="s">
        <v>1257</v>
      </c>
      <c r="I74" s="2246"/>
      <c r="K74" s="455"/>
      <c r="L74" s="447"/>
    </row>
    <row r="75" spans="1:12">
      <c r="A75" s="2243"/>
      <c r="B75" s="876" t="s">
        <v>2297</v>
      </c>
      <c r="C75" s="432" t="s">
        <v>83</v>
      </c>
      <c r="D75" s="193">
        <v>0.476666666658</v>
      </c>
      <c r="E75" s="194">
        <v>0.476666666658</v>
      </c>
      <c r="F75" s="220" t="s">
        <v>48</v>
      </c>
      <c r="G75" s="178" t="s">
        <v>48</v>
      </c>
      <c r="H75" s="170" t="s">
        <v>1257</v>
      </c>
      <c r="I75" s="2247"/>
      <c r="K75" s="455"/>
      <c r="L75" s="447"/>
    </row>
    <row r="76" spans="1:12" ht="16.5" customHeight="1">
      <c r="A76" s="2257" t="s">
        <v>2298</v>
      </c>
      <c r="B76" s="936" t="s">
        <v>2276</v>
      </c>
      <c r="C76" s="432" t="s">
        <v>2277</v>
      </c>
      <c r="D76" s="1137">
        <v>468</v>
      </c>
      <c r="E76" s="976" t="s">
        <v>48</v>
      </c>
      <c r="F76" s="1138" t="s">
        <v>48</v>
      </c>
      <c r="G76" s="1134">
        <v>468</v>
      </c>
      <c r="H76" s="904"/>
      <c r="I76" s="484" t="s">
        <v>2241</v>
      </c>
      <c r="K76" s="457"/>
      <c r="L76" s="447"/>
    </row>
    <row r="77" spans="1:12">
      <c r="A77" s="2097"/>
      <c r="B77" s="182" t="s">
        <v>2279</v>
      </c>
      <c r="C77" s="169" t="s">
        <v>2277</v>
      </c>
      <c r="D77" s="1137">
        <v>267</v>
      </c>
      <c r="E77" s="976" t="s">
        <v>48</v>
      </c>
      <c r="F77" s="1138" t="s">
        <v>48</v>
      </c>
      <c r="G77" s="1134">
        <v>267</v>
      </c>
      <c r="H77" s="904"/>
      <c r="I77" s="482" t="s">
        <v>2241</v>
      </c>
      <c r="K77" s="457"/>
      <c r="L77" s="447"/>
    </row>
    <row r="78" spans="1:12">
      <c r="A78" s="2097"/>
      <c r="B78" s="169" t="s">
        <v>2280</v>
      </c>
      <c r="C78" s="169" t="s">
        <v>2277</v>
      </c>
      <c r="D78" s="1139">
        <v>36.299999999999997</v>
      </c>
      <c r="E78" s="976" t="s">
        <v>48</v>
      </c>
      <c r="F78" s="1138" t="s">
        <v>48</v>
      </c>
      <c r="G78" s="1135">
        <v>36.299999999999997</v>
      </c>
      <c r="H78" s="904"/>
      <c r="I78" s="484" t="s">
        <v>2241</v>
      </c>
      <c r="K78" s="458"/>
      <c r="L78" s="447"/>
    </row>
    <row r="79" spans="1:12">
      <c r="A79" s="2097"/>
      <c r="B79" s="184" t="s">
        <v>2281</v>
      </c>
      <c r="C79" s="185" t="s">
        <v>2277</v>
      </c>
      <c r="D79" s="1139">
        <v>83.8</v>
      </c>
      <c r="E79" s="976" t="s">
        <v>48</v>
      </c>
      <c r="F79" s="1138" t="s">
        <v>48</v>
      </c>
      <c r="G79" s="1135">
        <v>83.8</v>
      </c>
      <c r="H79" s="904"/>
      <c r="I79" s="482" t="s">
        <v>2241</v>
      </c>
      <c r="K79" s="457"/>
      <c r="L79" s="447"/>
    </row>
    <row r="80" spans="1:12">
      <c r="A80" s="2097"/>
      <c r="B80" s="169" t="s">
        <v>2282</v>
      </c>
      <c r="C80" s="169" t="s">
        <v>2277</v>
      </c>
      <c r="D80" s="1139">
        <v>5.4</v>
      </c>
      <c r="E80" s="976" t="s">
        <v>48</v>
      </c>
      <c r="F80" s="1138" t="s">
        <v>48</v>
      </c>
      <c r="G80" s="1135">
        <v>5.4</v>
      </c>
      <c r="H80" s="904"/>
      <c r="I80" s="482" t="s">
        <v>2241</v>
      </c>
      <c r="K80" s="458"/>
      <c r="L80" s="48"/>
    </row>
    <row r="81" spans="1:12">
      <c r="A81" s="2097"/>
      <c r="B81" s="169" t="s">
        <v>2283</v>
      </c>
      <c r="C81" s="169" t="s">
        <v>2277</v>
      </c>
      <c r="D81" s="1139">
        <v>68.712240639097772</v>
      </c>
      <c r="E81" s="976" t="s">
        <v>48</v>
      </c>
      <c r="F81" s="1138" t="s">
        <v>48</v>
      </c>
      <c r="G81" s="1135">
        <v>68.712240639097772</v>
      </c>
      <c r="H81" s="904"/>
      <c r="I81" s="482" t="s">
        <v>2241</v>
      </c>
      <c r="K81" s="458"/>
      <c r="L81" s="48"/>
    </row>
    <row r="82" spans="1:12">
      <c r="A82" s="2097"/>
      <c r="B82" s="169" t="s">
        <v>2284</v>
      </c>
      <c r="C82" s="169" t="s">
        <v>2277</v>
      </c>
      <c r="D82" s="1137">
        <v>325.03389482142853</v>
      </c>
      <c r="E82" s="976" t="s">
        <v>48</v>
      </c>
      <c r="F82" s="1138" t="s">
        <v>48</v>
      </c>
      <c r="G82" s="1134">
        <v>325.03389482142853</v>
      </c>
      <c r="H82" s="904"/>
      <c r="I82" s="482" t="s">
        <v>2241</v>
      </c>
      <c r="K82" s="458"/>
      <c r="L82" s="48"/>
    </row>
    <row r="83" spans="1:12">
      <c r="A83" s="2097"/>
      <c r="B83" s="169" t="s">
        <v>2285</v>
      </c>
      <c r="C83" s="169" t="s">
        <v>2277</v>
      </c>
      <c r="D83" s="1139">
        <v>75.900000000000006</v>
      </c>
      <c r="E83" s="976" t="s">
        <v>48</v>
      </c>
      <c r="F83" s="1138" t="s">
        <v>48</v>
      </c>
      <c r="G83" s="1135">
        <v>75.900000000000006</v>
      </c>
      <c r="H83" s="904"/>
      <c r="I83" s="482" t="s">
        <v>2241</v>
      </c>
      <c r="K83" s="458"/>
      <c r="L83" s="48"/>
    </row>
    <row r="84" spans="1:12">
      <c r="A84" s="2097"/>
      <c r="B84" s="169" t="s">
        <v>2286</v>
      </c>
      <c r="C84" s="169" t="s">
        <v>2277</v>
      </c>
      <c r="D84" s="1137">
        <v>144.78782587500001</v>
      </c>
      <c r="E84" s="976" t="s">
        <v>48</v>
      </c>
      <c r="F84" s="1138" t="s">
        <v>48</v>
      </c>
      <c r="G84" s="1134">
        <v>144.78782587500001</v>
      </c>
      <c r="H84" s="904"/>
      <c r="I84" s="482" t="s">
        <v>2241</v>
      </c>
      <c r="K84" s="458"/>
      <c r="L84" s="48"/>
    </row>
    <row r="85" spans="1:12">
      <c r="A85" s="2097"/>
      <c r="B85" s="169" t="s">
        <v>1935</v>
      </c>
      <c r="C85" s="169" t="s">
        <v>2277</v>
      </c>
      <c r="D85" s="1140">
        <v>0.11</v>
      </c>
      <c r="E85" s="976" t="s">
        <v>48</v>
      </c>
      <c r="F85" s="1138" t="s">
        <v>48</v>
      </c>
      <c r="G85" s="1136">
        <v>0.11</v>
      </c>
      <c r="H85" s="904"/>
      <c r="I85" s="482" t="s">
        <v>2241</v>
      </c>
      <c r="K85" s="458"/>
      <c r="L85" s="48"/>
    </row>
    <row r="88" spans="1:12" s="69" customFormat="1" ht="51.75" customHeight="1">
      <c r="A88" s="135" t="s">
        <v>274</v>
      </c>
      <c r="B88" s="136" t="s">
        <v>275</v>
      </c>
    </row>
    <row r="89" spans="1:12" s="332" customFormat="1" ht="31.5">
      <c r="A89" s="386" t="s">
        <v>2299</v>
      </c>
    </row>
    <row r="90" spans="1:12" ht="15.75">
      <c r="A90" s="387" t="s">
        <v>2300</v>
      </c>
    </row>
    <row r="91" spans="1:12" ht="15" customHeight="1">
      <c r="B91" t="s">
        <v>2301</v>
      </c>
    </row>
    <row r="92" spans="1:12">
      <c r="F92">
        <f>E94/C94</f>
        <v>85.264819661771227</v>
      </c>
      <c r="G92">
        <f>F92*25</f>
        <v>2131.6204915442809</v>
      </c>
    </row>
    <row r="93" spans="1:12" ht="15" customHeight="1">
      <c r="B93" s="937" t="s">
        <v>2302</v>
      </c>
      <c r="C93" s="938" t="s">
        <v>2303</v>
      </c>
      <c r="D93" s="937" t="s">
        <v>2304</v>
      </c>
      <c r="E93" s="937" t="s">
        <v>2305</v>
      </c>
      <c r="F93" s="937" t="s">
        <v>2306</v>
      </c>
      <c r="G93" s="937" t="s">
        <v>2307</v>
      </c>
      <c r="H93" s="937" t="s">
        <v>2308</v>
      </c>
    </row>
    <row r="94" spans="1:12">
      <c r="B94" s="711" t="s">
        <v>2276</v>
      </c>
      <c r="C94" s="939">
        <v>6385541</v>
      </c>
      <c r="D94" s="939">
        <v>544.46200180784626</v>
      </c>
      <c r="E94" s="711">
        <v>544462001.80784631</v>
      </c>
      <c r="F94" s="711">
        <v>85.264819661771227</v>
      </c>
      <c r="G94" s="711">
        <v>2131.6204915442809</v>
      </c>
      <c r="H94" s="711">
        <v>25</v>
      </c>
    </row>
    <row r="95" spans="1:12">
      <c r="B95" s="711" t="s">
        <v>2309</v>
      </c>
      <c r="C95" s="939">
        <v>3721262</v>
      </c>
      <c r="D95" s="939">
        <v>216.08613268050465</v>
      </c>
      <c r="E95" s="711">
        <v>216086132.68050465</v>
      </c>
      <c r="F95" s="711">
        <v>58.067970672450542</v>
      </c>
      <c r="G95" s="711">
        <v>1451.6992668112634</v>
      </c>
      <c r="H95" s="711">
        <v>25</v>
      </c>
    </row>
    <row r="96" spans="1:12">
      <c r="B96" s="711" t="s">
        <v>2280</v>
      </c>
      <c r="C96" s="939">
        <v>27295749</v>
      </c>
      <c r="D96" s="939">
        <v>335.60221356612681</v>
      </c>
      <c r="E96" s="711">
        <v>335602213.56612682</v>
      </c>
      <c r="F96" s="711">
        <v>12.295035888779854</v>
      </c>
      <c r="G96" s="711">
        <v>307.37589721949632</v>
      </c>
      <c r="H96" s="711">
        <v>25</v>
      </c>
    </row>
    <row r="97" spans="2:8">
      <c r="B97" s="711" t="s">
        <v>2281</v>
      </c>
      <c r="C97" s="939">
        <v>851424</v>
      </c>
      <c r="D97" s="939">
        <v>19.518359236403668</v>
      </c>
      <c r="E97" s="711">
        <v>19518359.23640367</v>
      </c>
      <c r="F97" s="711">
        <v>22.924370509174828</v>
      </c>
      <c r="G97" s="711">
        <v>573.1092627293707</v>
      </c>
      <c r="H97" s="711">
        <v>25</v>
      </c>
    </row>
    <row r="98" spans="2:8">
      <c r="B98" s="711" t="s">
        <v>2282</v>
      </c>
      <c r="C98" s="939">
        <v>279049.55917610001</v>
      </c>
      <c r="D98" s="939">
        <f>E98/1000000</f>
        <v>7.3948133181666496</v>
      </c>
      <c r="E98" s="711">
        <v>7394813.3181666499</v>
      </c>
      <c r="F98" s="711">
        <f>G98/25</f>
        <v>1.06</v>
      </c>
      <c r="G98" s="711">
        <v>26.5</v>
      </c>
      <c r="H98" s="711">
        <v>25</v>
      </c>
    </row>
    <row r="99" spans="2:8">
      <c r="B99" s="711" t="s">
        <v>2283</v>
      </c>
      <c r="C99" s="939">
        <v>88785.453058200001</v>
      </c>
      <c r="D99" s="939">
        <f>E99/1000000</f>
        <v>19.894950862909809</v>
      </c>
      <c r="E99" s="711">
        <v>19894950.862909809</v>
      </c>
      <c r="F99" s="711">
        <f>G99/25</f>
        <v>8.96315789473684</v>
      </c>
      <c r="G99" s="711">
        <v>224.07894736842098</v>
      </c>
      <c r="H99" s="711">
        <v>25</v>
      </c>
    </row>
    <row r="100" spans="2:8">
      <c r="B100" s="711" t="s">
        <v>2284</v>
      </c>
      <c r="C100" s="939">
        <v>40369.953514099994</v>
      </c>
      <c r="D100" s="939">
        <f>E100/1000000</f>
        <v>18.166479081344999</v>
      </c>
      <c r="E100" s="711">
        <v>18166479.081344999</v>
      </c>
      <c r="F100" s="711">
        <f>G100/25</f>
        <v>18.000000000000004</v>
      </c>
      <c r="G100" s="711">
        <v>450.00000000000006</v>
      </c>
      <c r="H100" s="711">
        <v>25</v>
      </c>
    </row>
    <row r="101" spans="2:8">
      <c r="B101" s="711" t="s">
        <v>2310</v>
      </c>
      <c r="C101" s="939">
        <v>8769.4933684999996</v>
      </c>
      <c r="D101" s="939">
        <f>E101/1000000</f>
        <v>1.7538986737</v>
      </c>
      <c r="E101" s="711">
        <v>1753898.6736999999</v>
      </c>
      <c r="F101" s="711">
        <f>G101/25</f>
        <v>8</v>
      </c>
      <c r="G101" s="711">
        <v>200</v>
      </c>
      <c r="H101" s="711">
        <v>25</v>
      </c>
    </row>
    <row r="102" spans="2:8">
      <c r="B102" s="711" t="s">
        <v>2286</v>
      </c>
      <c r="C102" s="939">
        <v>141</v>
      </c>
      <c r="D102" s="939">
        <f>E102/1000000</f>
        <v>3.5249999999999997E-2</v>
      </c>
      <c r="E102" s="711">
        <v>35250</v>
      </c>
      <c r="F102" s="711">
        <f>G102/25</f>
        <v>10</v>
      </c>
      <c r="G102" s="711">
        <v>250</v>
      </c>
      <c r="H102" s="711">
        <v>25</v>
      </c>
    </row>
    <row r="103" spans="2:8">
      <c r="B103" s="711" t="s">
        <v>1935</v>
      </c>
      <c r="C103" s="939">
        <v>17949984.780828279</v>
      </c>
      <c r="D103" s="939" t="s">
        <v>2311</v>
      </c>
      <c r="E103" s="711" t="s">
        <v>2311</v>
      </c>
      <c r="F103" s="711"/>
      <c r="G103" s="711"/>
      <c r="H103" s="711">
        <v>25</v>
      </c>
    </row>
    <row r="105" spans="2:8">
      <c r="B105" t="s">
        <v>2312</v>
      </c>
    </row>
    <row r="106" spans="2:8" ht="45">
      <c r="B106" s="940" t="s">
        <v>2313</v>
      </c>
      <c r="C106" s="940" t="s">
        <v>2314</v>
      </c>
      <c r="D106" s="940" t="s">
        <v>2315</v>
      </c>
      <c r="E106" s="940" t="s">
        <v>2316</v>
      </c>
      <c r="F106" s="940" t="s">
        <v>2317</v>
      </c>
      <c r="G106" s="940" t="s">
        <v>2318</v>
      </c>
      <c r="H106" s="940" t="s">
        <v>2319</v>
      </c>
    </row>
    <row r="107" spans="2:8">
      <c r="B107" s="711" t="s">
        <v>2276</v>
      </c>
      <c r="C107" s="939">
        <v>6385541</v>
      </c>
      <c r="D107" s="939">
        <v>50.527385945750737</v>
      </c>
      <c r="E107" s="711">
        <v>0.31711349173730002</v>
      </c>
      <c r="F107" s="711">
        <v>50527385.945750736</v>
      </c>
      <c r="G107" s="711">
        <v>317113.49173730001</v>
      </c>
      <c r="H107" s="94">
        <f>((G107*298)+(F107*25))/C107</f>
        <v>212.61855012464625</v>
      </c>
    </row>
    <row r="108" spans="2:8">
      <c r="B108" s="711" t="s">
        <v>2279</v>
      </c>
      <c r="C108" s="939">
        <v>3721262</v>
      </c>
      <c r="D108" s="939">
        <v>2.8971240679057439</v>
      </c>
      <c r="E108" s="941"/>
      <c r="F108" s="711">
        <v>2897124.0679057441</v>
      </c>
      <c r="G108" s="711">
        <v>0</v>
      </c>
      <c r="H108" s="711">
        <v>19.463316933245657</v>
      </c>
    </row>
    <row r="109" spans="2:8">
      <c r="B109" s="711" t="s">
        <v>2280</v>
      </c>
      <c r="C109" s="939">
        <v>27295749</v>
      </c>
      <c r="D109" s="939">
        <v>3.5013292445367554</v>
      </c>
      <c r="E109" s="941"/>
      <c r="F109" s="711">
        <v>3501329.2445367556</v>
      </c>
      <c r="G109" s="711">
        <v>0</v>
      </c>
      <c r="H109" s="711">
        <v>3.2068448135795391</v>
      </c>
    </row>
    <row r="110" spans="2:8">
      <c r="B110" s="711" t="s">
        <v>2281</v>
      </c>
      <c r="C110" s="939">
        <v>851424</v>
      </c>
      <c r="D110" s="939">
        <v>0.23671609915540862</v>
      </c>
      <c r="E110" s="941"/>
      <c r="F110" s="711">
        <v>236716.09915540862</v>
      </c>
      <c r="G110" s="711">
        <v>0</v>
      </c>
      <c r="H110" s="711">
        <v>6.950593921342616</v>
      </c>
    </row>
    <row r="111" spans="2:8">
      <c r="B111" s="711" t="s">
        <v>2282</v>
      </c>
      <c r="C111" s="939">
        <v>279049.55917610001</v>
      </c>
      <c r="D111" s="939">
        <f t="shared" ref="D111:E116" si="0">F111/1000000</f>
        <v>41.438859537650856</v>
      </c>
      <c r="E111" s="941">
        <f t="shared" si="0"/>
        <v>16.273596806693515</v>
      </c>
      <c r="F111" s="711">
        <v>41438859.537650853</v>
      </c>
      <c r="G111" s="711">
        <v>16273596.806693517</v>
      </c>
      <c r="H111" s="711">
        <f t="shared" ref="H111:H116" si="1">((F111/C111))+((G111/C111))</f>
        <v>206.81794486521201</v>
      </c>
    </row>
    <row r="112" spans="2:8">
      <c r="B112" s="711" t="s">
        <v>2283</v>
      </c>
      <c r="C112" s="939">
        <v>88785.453058200001</v>
      </c>
      <c r="D112" s="939">
        <f t="shared" si="0"/>
        <v>0.44392726529100007</v>
      </c>
      <c r="E112" s="941">
        <f t="shared" si="0"/>
        <v>0</v>
      </c>
      <c r="F112" s="711">
        <v>443927.26529100008</v>
      </c>
      <c r="G112" s="711">
        <v>0</v>
      </c>
      <c r="H112" s="711">
        <f t="shared" si="1"/>
        <v>5.0000000000000009</v>
      </c>
    </row>
    <row r="113" spans="2:8">
      <c r="B113" s="711" t="s">
        <v>2284</v>
      </c>
      <c r="C113" s="939">
        <v>40369.953514099994</v>
      </c>
      <c r="D113" s="939">
        <f t="shared" si="0"/>
        <v>2.3616422805748498</v>
      </c>
      <c r="E113" s="941">
        <f t="shared" si="0"/>
        <v>0</v>
      </c>
      <c r="F113" s="711">
        <v>2361642.2805748498</v>
      </c>
      <c r="G113" s="711">
        <v>0</v>
      </c>
      <c r="H113" s="711">
        <f t="shared" si="1"/>
        <v>58.500000000000007</v>
      </c>
    </row>
    <row r="114" spans="2:8">
      <c r="B114" s="711" t="s">
        <v>2310</v>
      </c>
      <c r="C114" s="939">
        <v>8769.4933684999996</v>
      </c>
      <c r="D114" s="939">
        <f t="shared" si="0"/>
        <v>2.077422606401659E-2</v>
      </c>
      <c r="E114" s="941">
        <f t="shared" si="0"/>
        <v>0</v>
      </c>
      <c r="F114" s="711">
        <v>20774.226064016591</v>
      </c>
      <c r="G114" s="711">
        <v>0</v>
      </c>
      <c r="H114" s="711">
        <f t="shared" si="1"/>
        <v>2.3689197529514718</v>
      </c>
    </row>
    <row r="115" spans="2:8">
      <c r="B115" s="711" t="s">
        <v>2286</v>
      </c>
      <c r="C115" s="939">
        <v>141</v>
      </c>
      <c r="D115" s="939">
        <f t="shared" si="0"/>
        <v>3.8774999999999994E-3</v>
      </c>
      <c r="E115" s="941">
        <f t="shared" si="0"/>
        <v>0</v>
      </c>
      <c r="F115" s="711">
        <v>3877.4999999999995</v>
      </c>
      <c r="G115" s="711">
        <v>0</v>
      </c>
      <c r="H115" s="711">
        <f t="shared" si="1"/>
        <v>27.499999999999996</v>
      </c>
    </row>
    <row r="116" spans="2:8">
      <c r="B116" s="711" t="s">
        <v>1935</v>
      </c>
      <c r="C116" s="939">
        <v>17949984.780828279</v>
      </c>
      <c r="D116" s="939">
        <f t="shared" si="0"/>
        <v>13.838128606108629</v>
      </c>
      <c r="E116" s="941">
        <f t="shared" si="0"/>
        <v>11.720215680431314</v>
      </c>
      <c r="F116" s="711">
        <v>13838128.60610863</v>
      </c>
      <c r="G116" s="711">
        <v>11720215.680431314</v>
      </c>
      <c r="H116" s="711">
        <f t="shared" si="1"/>
        <v>1.4238643986950827</v>
      </c>
    </row>
    <row r="118" spans="2:8">
      <c r="B118" s="937" t="s">
        <v>2320</v>
      </c>
      <c r="C118" s="937" t="s">
        <v>2314</v>
      </c>
      <c r="D118" s="937" t="s">
        <v>2321</v>
      </c>
      <c r="E118" s="937" t="s">
        <v>2322</v>
      </c>
      <c r="F118" s="937" t="s">
        <v>2323</v>
      </c>
      <c r="G118" s="937" t="s">
        <v>2324</v>
      </c>
      <c r="H118" s="940" t="s">
        <v>2319</v>
      </c>
    </row>
    <row r="119" spans="2:8">
      <c r="B119" s="711" t="s">
        <v>2276</v>
      </c>
      <c r="C119" s="939">
        <v>6385541</v>
      </c>
      <c r="D119" s="942">
        <v>10.479497973204802</v>
      </c>
      <c r="E119" s="711">
        <v>10479.497973204803</v>
      </c>
      <c r="F119" s="711">
        <v>10479497.973204803</v>
      </c>
      <c r="G119" s="711">
        <v>3122890396.0150313</v>
      </c>
      <c r="H119" s="711">
        <v>489.05651001458318</v>
      </c>
    </row>
    <row r="120" spans="2:8">
      <c r="B120" s="711" t="s">
        <v>2279</v>
      </c>
      <c r="C120" s="939">
        <v>3721262</v>
      </c>
      <c r="D120" s="942">
        <v>2.9622983643574754</v>
      </c>
      <c r="E120" s="711">
        <v>2962.2983643574753</v>
      </c>
      <c r="F120" s="711">
        <v>2962298.3643574752</v>
      </c>
      <c r="G120" s="711">
        <v>882764912.57852757</v>
      </c>
      <c r="H120" s="711">
        <v>237.22191895613037</v>
      </c>
    </row>
    <row r="121" spans="2:8">
      <c r="B121" s="711" t="s">
        <v>2280</v>
      </c>
      <c r="C121" s="939">
        <v>27295749</v>
      </c>
      <c r="D121" s="942">
        <v>2.9508491570358739</v>
      </c>
      <c r="E121" s="711">
        <v>2950.8491570358738</v>
      </c>
      <c r="F121" s="711">
        <v>2950849.1570358737</v>
      </c>
      <c r="G121" s="711">
        <v>879353048.79669034</v>
      </c>
      <c r="H121" s="711">
        <v>32.215750840788075</v>
      </c>
    </row>
    <row r="122" spans="2:8">
      <c r="B122" s="711" t="s">
        <v>2281</v>
      </c>
      <c r="C122" s="939">
        <v>851424</v>
      </c>
      <c r="D122" s="942">
        <v>0.22313986785170209</v>
      </c>
      <c r="E122" s="711">
        <v>223.13986785170209</v>
      </c>
      <c r="F122" s="711">
        <v>223139.86785170209</v>
      </c>
      <c r="G122" s="711">
        <v>66495680.619807221</v>
      </c>
      <c r="H122" s="711">
        <v>78.099373073588737</v>
      </c>
    </row>
    <row r="123" spans="2:8">
      <c r="B123" s="711" t="s">
        <v>2282</v>
      </c>
      <c r="C123" s="939">
        <v>279049.55917610001</v>
      </c>
      <c r="D123" s="942">
        <f t="shared" ref="D123:E128" si="2">E123/1000</f>
        <v>4.4036990275946479E-2</v>
      </c>
      <c r="E123" s="711">
        <f t="shared" si="2"/>
        <v>44.036990275946479</v>
      </c>
      <c r="F123" s="711">
        <f t="shared" ref="F123:F128" si="3">G123/298</f>
        <v>44036.990275946482</v>
      </c>
      <c r="G123" s="711">
        <v>13123023.102232052</v>
      </c>
      <c r="H123" s="711">
        <v>47.027571521625291</v>
      </c>
    </row>
    <row r="124" spans="2:8">
      <c r="B124" s="711" t="s">
        <v>2283</v>
      </c>
      <c r="C124" s="939">
        <v>88785.453058200001</v>
      </c>
      <c r="D124" s="942">
        <f t="shared" si="2"/>
        <v>2.0471971193913953E-2</v>
      </c>
      <c r="E124" s="711">
        <f t="shared" si="2"/>
        <v>20.471971193913951</v>
      </c>
      <c r="F124" s="711">
        <f t="shared" si="3"/>
        <v>20471.971193913952</v>
      </c>
      <c r="G124" s="711">
        <v>6100647.4157863576</v>
      </c>
      <c r="H124" s="711">
        <v>68.712240639097772</v>
      </c>
    </row>
    <row r="125" spans="2:8">
      <c r="B125" s="711" t="s">
        <v>2284</v>
      </c>
      <c r="C125" s="939">
        <v>40369.953514099994</v>
      </c>
      <c r="D125" s="942">
        <f t="shared" si="2"/>
        <v>4.4032225585395761E-2</v>
      </c>
      <c r="E125" s="711">
        <f t="shared" si="2"/>
        <v>44.032225585395764</v>
      </c>
      <c r="F125" s="711">
        <f t="shared" si="3"/>
        <v>44032.225585395761</v>
      </c>
      <c r="G125" s="711">
        <v>13121603.224447936</v>
      </c>
      <c r="H125" s="711">
        <v>325.03389482142853</v>
      </c>
    </row>
    <row r="126" spans="2:8">
      <c r="B126" s="711" t="s">
        <v>2310</v>
      </c>
      <c r="C126" s="939">
        <v>8769.4933684999996</v>
      </c>
      <c r="D126" s="942">
        <f t="shared" si="2"/>
        <v>2.0598351549990295E-3</v>
      </c>
      <c r="E126" s="711">
        <f t="shared" si="2"/>
        <v>2.0598351549990297</v>
      </c>
      <c r="F126" s="711">
        <f t="shared" si="3"/>
        <v>2059.8351549990298</v>
      </c>
      <c r="G126" s="711">
        <v>613830.87618971092</v>
      </c>
      <c r="H126" s="711">
        <v>69.99616173889703</v>
      </c>
    </row>
    <row r="127" spans="2:8">
      <c r="B127" s="711" t="s">
        <v>2286</v>
      </c>
      <c r="C127" s="939">
        <v>141</v>
      </c>
      <c r="D127" s="942">
        <f t="shared" si="2"/>
        <v>6.8506991437500007E-5</v>
      </c>
      <c r="E127" s="711">
        <f t="shared" si="2"/>
        <v>6.8506991437500012E-2</v>
      </c>
      <c r="F127" s="711">
        <f t="shared" si="3"/>
        <v>68.506991437500005</v>
      </c>
      <c r="G127" s="711">
        <v>20415.083448375</v>
      </c>
      <c r="H127" s="711">
        <v>144.78782587500001</v>
      </c>
    </row>
    <row r="128" spans="2:8">
      <c r="B128" s="711" t="s">
        <v>1935</v>
      </c>
      <c r="C128" s="939">
        <v>17949984.780828279</v>
      </c>
      <c r="D128" s="942">
        <f t="shared" si="2"/>
        <v>0.10361606066315396</v>
      </c>
      <c r="E128" s="711">
        <f t="shared" si="2"/>
        <v>103.61606066315396</v>
      </c>
      <c r="F128" s="711">
        <f t="shared" si="3"/>
        <v>103616.06066315396</v>
      </c>
      <c r="G128" s="711">
        <v>30877586.077619877</v>
      </c>
      <c r="H128" s="711">
        <v>1.7202012399809439</v>
      </c>
    </row>
    <row r="129" spans="1:11">
      <c r="C129" s="505"/>
      <c r="D129" s="942"/>
    </row>
    <row r="130" spans="1:11" ht="31.5">
      <c r="A130" s="7" t="s">
        <v>2325</v>
      </c>
    </row>
    <row r="132" spans="1:11" ht="15.75">
      <c r="A132" s="387" t="s">
        <v>4</v>
      </c>
      <c r="F132" s="45">
        <f>F139/1000</f>
        <v>1.8110714285714287E-5</v>
      </c>
      <c r="G132">
        <f>F132*298</f>
        <v>5.3969928571428573E-3</v>
      </c>
    </row>
    <row r="133" spans="1:11">
      <c r="A133" s="8" t="s">
        <v>2326</v>
      </c>
    </row>
    <row r="134" spans="1:11">
      <c r="A134" s="94" t="s">
        <v>2327</v>
      </c>
    </row>
    <row r="135" spans="1:11">
      <c r="A135" s="9" t="s">
        <v>2328</v>
      </c>
      <c r="E135" s="44"/>
    </row>
    <row r="138" spans="1:11" ht="90">
      <c r="A138" s="1"/>
      <c r="B138" s="10" t="s">
        <v>2329</v>
      </c>
      <c r="C138" s="11" t="s">
        <v>2330</v>
      </c>
      <c r="D138" s="11" t="s">
        <v>2331</v>
      </c>
      <c r="E138" s="11" t="s">
        <v>2332</v>
      </c>
      <c r="F138" s="11" t="s">
        <v>2333</v>
      </c>
      <c r="G138" s="11" t="s">
        <v>2334</v>
      </c>
      <c r="H138" s="11" t="s">
        <v>2335</v>
      </c>
      <c r="I138" s="222"/>
      <c r="J138" s="12" t="s">
        <v>2336</v>
      </c>
      <c r="K138" s="11" t="s">
        <v>2337</v>
      </c>
    </row>
    <row r="139" spans="1:11">
      <c r="A139" s="1776" t="s">
        <v>2338</v>
      </c>
      <c r="B139" s="1777">
        <v>1</v>
      </c>
      <c r="C139" s="1778">
        <f>B139*B162*B179</f>
        <v>1.5714285714285715E-2</v>
      </c>
      <c r="D139" s="1778">
        <f>B139*B166*B167*B179</f>
        <v>1.5714285714285715E-3</v>
      </c>
      <c r="E139" s="1778">
        <f>B139*B169*B170*B179</f>
        <v>8.250000000000001E-4</v>
      </c>
      <c r="F139" s="1778">
        <f>C139+D139+E139</f>
        <v>1.8110714285714286E-2</v>
      </c>
      <c r="G139" s="1778">
        <f>F139*B$180</f>
        <v>5.3969928571428571</v>
      </c>
      <c r="H139" s="1778"/>
      <c r="I139" s="1779"/>
      <c r="J139" s="1780">
        <f>G139+H139</f>
        <v>5.3969928571428571</v>
      </c>
      <c r="K139" s="1781" t="e">
        <f>(J139-B$104)/B$104</f>
        <v>#DIV/0!</v>
      </c>
    </row>
    <row r="140" spans="1:11" ht="30">
      <c r="A140" s="42" t="s">
        <v>2339</v>
      </c>
      <c r="B140" s="14">
        <v>1</v>
      </c>
      <c r="C140" s="15">
        <f>B140*B163*B179</f>
        <v>9.2714285714285711E-3</v>
      </c>
      <c r="D140" s="15">
        <f>B140*B166*B167*B179</f>
        <v>1.5714285714285715E-3</v>
      </c>
      <c r="E140" s="15">
        <f>B140*B169*B170*B179</f>
        <v>8.250000000000001E-4</v>
      </c>
      <c r="F140" s="15">
        <f>C140+D140+E140</f>
        <v>1.1667857142857141E-2</v>
      </c>
      <c r="G140" s="1778">
        <f>F140*B$180</f>
        <v>3.4770214285714283</v>
      </c>
      <c r="H140" s="15">
        <f>(B140/B177)*B172*B178</f>
        <v>1.5942028985217389</v>
      </c>
      <c r="I140" s="16"/>
      <c r="J140" s="17">
        <f>G140+H140</f>
        <v>5.0712243270931676</v>
      </c>
      <c r="K140" s="18" t="e">
        <f>(J140-B$104)/B$104</f>
        <v>#DIV/0!</v>
      </c>
    </row>
    <row r="141" spans="1:11" ht="30.75" thickBot="1">
      <c r="A141" s="43" t="s">
        <v>2340</v>
      </c>
      <c r="B141" s="19">
        <v>1</v>
      </c>
      <c r="C141" s="20">
        <f>B141*B163*B179</f>
        <v>9.2714285714285711E-3</v>
      </c>
      <c r="D141" s="20">
        <f>B141*B165*B167*B179</f>
        <v>8.6428571428571435E-4</v>
      </c>
      <c r="E141" s="20">
        <f>B141*B169*B170*B179</f>
        <v>8.250000000000001E-4</v>
      </c>
      <c r="F141" s="20">
        <f>C141+D141+E141</f>
        <v>1.0960714285714285E-2</v>
      </c>
      <c r="G141" s="1778">
        <f>F141*B$180</f>
        <v>3.2662928571428571</v>
      </c>
      <c r="H141" s="20">
        <f>(B141/B177)*B172*B178</f>
        <v>1.5942028985217389</v>
      </c>
      <c r="I141" s="21"/>
      <c r="J141" s="22">
        <f>G141+H141</f>
        <v>4.860495755664596</v>
      </c>
      <c r="K141" s="23" t="e">
        <f>(J141-B$104)/B$104</f>
        <v>#DIV/0!</v>
      </c>
    </row>
    <row r="142" spans="1:11" ht="15.75" thickTop="1">
      <c r="A142" s="13"/>
      <c r="B142" s="6"/>
      <c r="C142" s="24"/>
      <c r="D142" s="24"/>
      <c r="E142" s="16"/>
      <c r="F142" s="16"/>
      <c r="G142" s="16"/>
      <c r="H142" s="16"/>
      <c r="I142" s="16"/>
      <c r="J142" s="24"/>
      <c r="K142" s="24"/>
    </row>
    <row r="143" spans="1:11" ht="15.75" thickBot="1">
      <c r="A143" s="25" t="s">
        <v>2341</v>
      </c>
      <c r="B143" s="26">
        <v>1</v>
      </c>
      <c r="C143" s="27"/>
      <c r="D143" s="27"/>
      <c r="E143" s="28"/>
      <c r="F143" s="28"/>
      <c r="G143" s="28"/>
      <c r="H143" s="28"/>
      <c r="I143" s="29">
        <v>5.0789042243543596</v>
      </c>
      <c r="J143" s="30">
        <f>I143*B143</f>
        <v>5.0789042243543596</v>
      </c>
      <c r="K143" s="27"/>
    </row>
    <row r="144" spans="1:11" ht="15.75" thickTop="1">
      <c r="A144" s="13"/>
      <c r="B144" s="6"/>
      <c r="C144" s="24"/>
      <c r="D144" s="24"/>
      <c r="E144" s="16" t="s">
        <v>2342</v>
      </c>
      <c r="F144" s="16"/>
      <c r="G144" s="16"/>
      <c r="H144" s="16"/>
      <c r="I144" s="16"/>
      <c r="J144" s="16"/>
      <c r="K144" s="16"/>
    </row>
    <row r="145" spans="1:11">
      <c r="B145" s="6"/>
      <c r="C145" s="24"/>
      <c r="D145" s="24"/>
      <c r="E145" s="16"/>
      <c r="F145" s="16"/>
      <c r="G145" s="16"/>
      <c r="H145" s="16"/>
      <c r="I145" s="16"/>
      <c r="J145" s="16"/>
      <c r="K145" s="16"/>
    </row>
    <row r="146" spans="1:11" ht="31.5">
      <c r="A146" s="31" t="s">
        <v>2343</v>
      </c>
      <c r="B146" s="6"/>
      <c r="C146" s="24"/>
      <c r="D146" s="24"/>
      <c r="E146" s="16"/>
      <c r="F146" s="16"/>
      <c r="G146" s="16"/>
      <c r="H146" s="16"/>
      <c r="I146" s="16"/>
      <c r="J146" s="16"/>
      <c r="K146" s="16"/>
    </row>
    <row r="147" spans="1:11" ht="30">
      <c r="B147" s="10" t="s">
        <v>2344</v>
      </c>
      <c r="C147" s="11" t="s">
        <v>2345</v>
      </c>
      <c r="D147" s="12" t="s">
        <v>2346</v>
      </c>
      <c r="E147" s="16"/>
      <c r="F147" s="16"/>
      <c r="G147" s="16"/>
      <c r="H147" s="16"/>
      <c r="I147" s="16"/>
      <c r="J147" s="16"/>
      <c r="K147" s="16"/>
    </row>
    <row r="148" spans="1:11">
      <c r="A148" s="1676" t="s">
        <v>2296</v>
      </c>
      <c r="B148" s="1777">
        <v>1</v>
      </c>
      <c r="C148" s="1778">
        <f>B174</f>
        <v>0.12</v>
      </c>
      <c r="D148" s="1782">
        <f>B148*C148*B178</f>
        <v>0.43999999999199996</v>
      </c>
      <c r="E148" s="16"/>
      <c r="F148" s="16"/>
      <c r="G148" s="16"/>
      <c r="H148" s="16"/>
      <c r="I148" s="16"/>
      <c r="J148" s="16"/>
      <c r="K148" s="16"/>
    </row>
    <row r="149" spans="1:11" ht="15.75" thickBot="1">
      <c r="A149" s="32" t="s">
        <v>2297</v>
      </c>
      <c r="B149" s="19">
        <v>1</v>
      </c>
      <c r="C149" s="20">
        <f>B175</f>
        <v>0.13</v>
      </c>
      <c r="D149" s="22">
        <f>B149*C149*B178</f>
        <v>0.476666666658</v>
      </c>
      <c r="E149" s="16"/>
      <c r="F149" s="16"/>
      <c r="G149" s="16"/>
      <c r="H149" s="16"/>
      <c r="I149" s="16"/>
      <c r="J149" s="16"/>
      <c r="K149" s="16"/>
    </row>
    <row r="150" spans="1:11" ht="15.75" thickTop="1">
      <c r="B150" s="6"/>
      <c r="C150" s="24"/>
      <c r="D150" s="24"/>
      <c r="E150" s="16"/>
      <c r="F150" s="16"/>
      <c r="G150" s="16"/>
      <c r="H150" s="16"/>
      <c r="I150" s="16"/>
      <c r="J150" s="16"/>
      <c r="K150" s="16"/>
    </row>
    <row r="151" spans="1:11">
      <c r="B151" s="6"/>
      <c r="C151" s="24"/>
      <c r="D151" s="24"/>
      <c r="E151" s="16"/>
      <c r="F151" s="16"/>
      <c r="G151" s="16"/>
      <c r="H151" s="16"/>
      <c r="I151" s="16"/>
      <c r="J151" s="16"/>
      <c r="K151" s="16"/>
    </row>
    <row r="152" spans="1:11">
      <c r="B152" s="6"/>
      <c r="C152" s="24"/>
      <c r="D152" s="24"/>
      <c r="E152" s="16"/>
      <c r="F152" s="16"/>
      <c r="G152" s="16"/>
      <c r="H152" s="16"/>
      <c r="I152" s="16"/>
      <c r="J152" s="16"/>
      <c r="K152" s="16"/>
    </row>
    <row r="153" spans="1:11">
      <c r="B153" s="6"/>
      <c r="C153" s="24"/>
      <c r="D153" s="24"/>
      <c r="E153" s="16"/>
      <c r="F153" s="16"/>
      <c r="G153" s="16"/>
      <c r="H153" s="16"/>
      <c r="I153" s="16"/>
      <c r="J153" s="16"/>
      <c r="K153" s="16"/>
    </row>
    <row r="154" spans="1:11">
      <c r="B154" s="6"/>
      <c r="C154" s="24"/>
      <c r="D154" s="24"/>
      <c r="E154" s="16"/>
      <c r="F154" s="16"/>
      <c r="G154" s="16"/>
      <c r="H154" s="16"/>
      <c r="I154" s="16"/>
      <c r="J154" s="16"/>
      <c r="K154" s="16"/>
    </row>
    <row r="155" spans="1:11">
      <c r="B155" s="6"/>
      <c r="C155" s="24"/>
      <c r="D155" s="24"/>
      <c r="E155" s="16"/>
      <c r="F155" s="16"/>
      <c r="G155" s="16"/>
      <c r="H155" s="16"/>
      <c r="I155" s="16"/>
      <c r="J155" s="16"/>
      <c r="K155" s="16"/>
    </row>
    <row r="156" spans="1:11">
      <c r="B156" s="6"/>
      <c r="C156" s="24"/>
      <c r="D156" s="24"/>
      <c r="E156" s="16"/>
      <c r="F156" s="16"/>
      <c r="G156" s="16"/>
      <c r="H156" s="16"/>
      <c r="I156" s="16"/>
      <c r="J156" s="16"/>
      <c r="K156" s="16"/>
    </row>
    <row r="157" spans="1:11">
      <c r="B157" s="6"/>
      <c r="C157" s="6"/>
      <c r="D157" s="6"/>
    </row>
    <row r="158" spans="1:11" ht="18.75">
      <c r="A158" s="33" t="s">
        <v>2347</v>
      </c>
      <c r="B158" s="6"/>
      <c r="C158" s="6"/>
      <c r="D158" s="6"/>
    </row>
    <row r="159" spans="1:11" ht="15.75">
      <c r="A159" s="34" t="s">
        <v>2348</v>
      </c>
      <c r="B159" s="35" t="s">
        <v>637</v>
      </c>
      <c r="C159" s="35" t="s">
        <v>454</v>
      </c>
      <c r="D159" s="6"/>
    </row>
    <row r="160" spans="1:11">
      <c r="A160" s="1783" t="s">
        <v>2349</v>
      </c>
      <c r="B160" s="1784">
        <v>5.72</v>
      </c>
      <c r="C160" s="1785"/>
      <c r="D160" s="6"/>
    </row>
    <row r="161" spans="1:4">
      <c r="A161" s="13"/>
      <c r="B161" s="6"/>
      <c r="C161" s="36"/>
      <c r="D161" s="6"/>
    </row>
    <row r="162" spans="1:4">
      <c r="A162" s="13" t="s">
        <v>2350</v>
      </c>
      <c r="B162" s="6">
        <v>0.01</v>
      </c>
      <c r="C162" s="36" t="s">
        <v>2351</v>
      </c>
      <c r="D162" s="6"/>
    </row>
    <row r="163" spans="1:4">
      <c r="A163" s="13" t="s">
        <v>2352</v>
      </c>
      <c r="B163" s="6">
        <v>5.8999999999999999E-3</v>
      </c>
      <c r="C163" s="36" t="s">
        <v>2353</v>
      </c>
      <c r="D163" s="6"/>
    </row>
    <row r="164" spans="1:4">
      <c r="A164" s="13"/>
      <c r="B164" s="6"/>
      <c r="C164" s="36"/>
      <c r="D164" s="6"/>
    </row>
    <row r="165" spans="1:4">
      <c r="A165" s="37" t="s">
        <v>2354</v>
      </c>
      <c r="B165" s="6">
        <v>5.5000000000000007E-2</v>
      </c>
      <c r="C165" s="36" t="s">
        <v>2355</v>
      </c>
    </row>
    <row r="166" spans="1:4">
      <c r="A166" s="37" t="s">
        <v>2356</v>
      </c>
      <c r="B166" s="6">
        <v>0.1</v>
      </c>
      <c r="C166" s="36" t="s">
        <v>2357</v>
      </c>
    </row>
    <row r="167" spans="1:4">
      <c r="A167" s="13" t="s">
        <v>2358</v>
      </c>
      <c r="B167" s="6">
        <v>0.01</v>
      </c>
      <c r="C167" s="36" t="s">
        <v>2359</v>
      </c>
      <c r="D167" s="6"/>
    </row>
    <row r="168" spans="1:4">
      <c r="A168" s="13"/>
      <c r="B168" s="6"/>
      <c r="C168" s="36"/>
      <c r="D168" s="6"/>
    </row>
    <row r="169" spans="1:4">
      <c r="A169" s="37" t="s">
        <v>2360</v>
      </c>
      <c r="B169" s="6">
        <v>7.0000000000000007E-2</v>
      </c>
      <c r="C169" s="36" t="s">
        <v>2361</v>
      </c>
      <c r="D169" s="6"/>
    </row>
    <row r="170" spans="1:4">
      <c r="A170" s="13" t="s">
        <v>2362</v>
      </c>
      <c r="B170" s="6">
        <v>7.4999999999999997E-3</v>
      </c>
      <c r="C170" s="36" t="s">
        <v>2359</v>
      </c>
      <c r="D170" s="6"/>
    </row>
    <row r="171" spans="1:4">
      <c r="A171" s="13"/>
      <c r="B171" s="6"/>
      <c r="C171" s="36"/>
      <c r="D171" s="6"/>
    </row>
    <row r="172" spans="1:4">
      <c r="A172" s="13" t="s">
        <v>2363</v>
      </c>
      <c r="B172" s="6">
        <v>0.2</v>
      </c>
      <c r="C172" s="36" t="s">
        <v>2364</v>
      </c>
      <c r="D172" s="6"/>
    </row>
    <row r="173" spans="1:4">
      <c r="A173" s="13"/>
      <c r="B173" s="6"/>
      <c r="C173" s="36"/>
      <c r="D173" s="6"/>
    </row>
    <row r="174" spans="1:4">
      <c r="A174" s="13" t="s">
        <v>2365</v>
      </c>
      <c r="B174" s="6">
        <v>0.12</v>
      </c>
      <c r="C174" s="36" t="s">
        <v>2366</v>
      </c>
      <c r="D174" s="6"/>
    </row>
    <row r="175" spans="1:4">
      <c r="A175" s="13" t="s">
        <v>2367</v>
      </c>
      <c r="B175" s="6">
        <v>0.13</v>
      </c>
      <c r="C175" s="36" t="s">
        <v>2366</v>
      </c>
      <c r="D175" s="6"/>
    </row>
    <row r="176" spans="1:4">
      <c r="A176" s="13"/>
      <c r="B176" s="6"/>
      <c r="C176" s="36"/>
      <c r="D176" s="6"/>
    </row>
    <row r="177" spans="1:14">
      <c r="A177" s="13" t="s">
        <v>2368</v>
      </c>
      <c r="B177" s="38">
        <v>0.46</v>
      </c>
      <c r="C177" s="36" t="s">
        <v>2369</v>
      </c>
      <c r="D177" s="6"/>
    </row>
    <row r="178" spans="1:14">
      <c r="A178" s="13" t="s">
        <v>2370</v>
      </c>
      <c r="B178" s="6">
        <v>3.6666666665999998</v>
      </c>
      <c r="C178" s="36"/>
      <c r="D178" s="6"/>
      <c r="H178" t="s">
        <v>2371</v>
      </c>
    </row>
    <row r="179" spans="1:14">
      <c r="A179" s="13" t="s">
        <v>2372</v>
      </c>
      <c r="B179" s="6">
        <f>44/28</f>
        <v>1.5714285714285714</v>
      </c>
      <c r="C179" s="36"/>
      <c r="D179" s="6"/>
    </row>
    <row r="180" spans="1:14">
      <c r="A180" s="39" t="s">
        <v>2373</v>
      </c>
      <c r="B180" s="40">
        <v>298</v>
      </c>
      <c r="C180" s="41"/>
      <c r="D180" s="6"/>
      <c r="I180" s="200"/>
    </row>
    <row r="182" spans="1:14" ht="15.75" thickBot="1">
      <c r="H182" s="2244" t="s">
        <v>2374</v>
      </c>
      <c r="I182" s="2244"/>
      <c r="J182" s="501" t="s">
        <v>70</v>
      </c>
      <c r="K182" s="501" t="s">
        <v>1463</v>
      </c>
      <c r="L182" s="501" t="s">
        <v>687</v>
      </c>
      <c r="M182" s="501" t="s">
        <v>688</v>
      </c>
      <c r="N182" s="501" t="s">
        <v>2375</v>
      </c>
    </row>
    <row r="183" spans="1:14" ht="15.75" thickBot="1">
      <c r="A183" s="13" t="s">
        <v>2376</v>
      </c>
      <c r="H183" s="943" t="s">
        <v>2377</v>
      </c>
      <c r="I183" s="209" t="s">
        <v>2378</v>
      </c>
      <c r="J183" s="201" t="s">
        <v>2379</v>
      </c>
      <c r="K183" s="202" t="s">
        <v>2380</v>
      </c>
      <c r="L183" s="203">
        <v>-33807</v>
      </c>
      <c r="M183" s="202" t="s">
        <v>2381</v>
      </c>
      <c r="N183" s="202" t="s">
        <v>2381</v>
      </c>
    </row>
    <row r="184" spans="1:14" ht="15.75" thickBot="1">
      <c r="A184" s="36" t="s">
        <v>2382</v>
      </c>
      <c r="H184" s="1977" t="s">
        <v>2383</v>
      </c>
      <c r="I184" s="207" t="s">
        <v>2384</v>
      </c>
      <c r="J184" s="204" t="s">
        <v>2379</v>
      </c>
      <c r="K184" s="205">
        <v>-2273</v>
      </c>
      <c r="L184" s="205">
        <v>-2273</v>
      </c>
      <c r="M184" s="206" t="s">
        <v>2381</v>
      </c>
      <c r="N184" s="206" t="s">
        <v>2381</v>
      </c>
    </row>
    <row r="185" spans="1:14" ht="15.75" thickBot="1">
      <c r="H185" s="1977"/>
      <c r="I185" s="207" t="s">
        <v>2385</v>
      </c>
      <c r="J185" s="204" t="s">
        <v>2379</v>
      </c>
      <c r="K185" s="206">
        <v>0</v>
      </c>
      <c r="L185" s="206">
        <v>0</v>
      </c>
      <c r="M185" s="206" t="s">
        <v>2381</v>
      </c>
      <c r="N185" s="206" t="s">
        <v>2381</v>
      </c>
    </row>
    <row r="186" spans="1:14" ht="15.75" thickBot="1">
      <c r="H186" s="1977"/>
      <c r="I186" s="210" t="s">
        <v>2386</v>
      </c>
      <c r="J186" s="204"/>
      <c r="K186" s="206"/>
      <c r="L186" s="206"/>
      <c r="M186" s="206"/>
      <c r="N186" s="206"/>
    </row>
    <row r="187" spans="1:14" ht="15.75" thickBot="1">
      <c r="H187" s="1977" t="s">
        <v>2387</v>
      </c>
      <c r="I187" s="207" t="s">
        <v>2388</v>
      </c>
      <c r="J187" s="204" t="s">
        <v>2379</v>
      </c>
      <c r="K187" s="205">
        <v>-1723</v>
      </c>
      <c r="L187" s="205">
        <v>-1723</v>
      </c>
      <c r="M187" s="206" t="s">
        <v>2381</v>
      </c>
      <c r="N187" s="206" t="s">
        <v>2381</v>
      </c>
    </row>
    <row r="188" spans="1:14" ht="15.75" thickBot="1">
      <c r="H188" s="1977"/>
      <c r="I188" s="207" t="s">
        <v>2389</v>
      </c>
      <c r="J188" s="204" t="s">
        <v>2379</v>
      </c>
      <c r="K188" s="206">
        <v>0</v>
      </c>
      <c r="L188" s="206">
        <v>0</v>
      </c>
      <c r="M188" s="206" t="s">
        <v>2381</v>
      </c>
      <c r="N188" s="206" t="s">
        <v>2381</v>
      </c>
    </row>
    <row r="189" spans="1:14" ht="15.75" thickBot="1">
      <c r="H189" s="208"/>
    </row>
    <row r="190" spans="1:14" ht="15.75" thickBot="1">
      <c r="H190" s="2241" t="s">
        <v>2390</v>
      </c>
      <c r="I190" s="2242"/>
      <c r="J190" s="500" t="s">
        <v>70</v>
      </c>
      <c r="K190" s="500" t="s">
        <v>2391</v>
      </c>
      <c r="L190" s="500" t="s">
        <v>2392</v>
      </c>
      <c r="M190" s="500" t="s">
        <v>2393</v>
      </c>
      <c r="N190" s="500" t="s">
        <v>2394</v>
      </c>
    </row>
    <row r="191" spans="1:14" ht="15.75" thickBot="1">
      <c r="H191" s="211" t="s">
        <v>2395</v>
      </c>
      <c r="I191" s="212" t="s">
        <v>2396</v>
      </c>
      <c r="J191" s="213" t="s">
        <v>2379</v>
      </c>
      <c r="K191" s="214">
        <v>946605</v>
      </c>
      <c r="L191" s="214">
        <v>946605</v>
      </c>
      <c r="M191" s="215" t="s">
        <v>2381</v>
      </c>
      <c r="N191" s="215" t="s">
        <v>2381</v>
      </c>
    </row>
    <row r="192" spans="1:14" ht="15.75" thickBot="1">
      <c r="H192" s="211" t="s">
        <v>2397</v>
      </c>
      <c r="I192" s="212" t="s">
        <v>2398</v>
      </c>
      <c r="J192" s="213" t="s">
        <v>2379</v>
      </c>
      <c r="K192" s="214">
        <v>828667</v>
      </c>
      <c r="L192" s="214">
        <v>828667</v>
      </c>
      <c r="M192" s="215" t="s">
        <v>2381</v>
      </c>
      <c r="N192" s="215" t="s">
        <v>2381</v>
      </c>
    </row>
    <row r="193" spans="8:14" ht="15.75" thickBot="1">
      <c r="H193" s="211" t="s">
        <v>2387</v>
      </c>
      <c r="I193" s="212" t="s">
        <v>2399</v>
      </c>
      <c r="J193" s="213" t="s">
        <v>2379</v>
      </c>
      <c r="K193" s="214">
        <v>47850</v>
      </c>
      <c r="L193" s="214">
        <v>47850</v>
      </c>
      <c r="M193" s="215" t="s">
        <v>2381</v>
      </c>
      <c r="N193" s="215" t="s">
        <v>2381</v>
      </c>
    </row>
    <row r="202" spans="8:14">
      <c r="H202" s="94" t="s">
        <v>2400</v>
      </c>
      <c r="I202" s="94"/>
      <c r="J202" s="94"/>
    </row>
    <row r="203" spans="8:14">
      <c r="H203" s="94"/>
      <c r="I203" s="94" t="s">
        <v>2401</v>
      </c>
      <c r="J203" s="94" t="s">
        <v>2402</v>
      </c>
      <c r="K203" s="94" t="s">
        <v>2403</v>
      </c>
    </row>
    <row r="204" spans="8:14">
      <c r="H204" s="94" t="s">
        <v>2404</v>
      </c>
      <c r="I204" s="94">
        <v>9.1999999999999993</v>
      </c>
      <c r="J204" s="94">
        <f>-33.4*1000</f>
        <v>-33400</v>
      </c>
      <c r="K204">
        <f>I204*(44/12)</f>
        <v>33.733333333333327</v>
      </c>
    </row>
    <row r="205" spans="8:14">
      <c r="H205" s="94" t="s">
        <v>2405</v>
      </c>
      <c r="I205" s="94">
        <v>258.2</v>
      </c>
      <c r="J205" s="94">
        <f>946.6*1000</f>
        <v>946600</v>
      </c>
      <c r="K205">
        <f>I205*(44/12)</f>
        <v>946.73333333333323</v>
      </c>
    </row>
    <row r="206" spans="8:14">
      <c r="H206" s="94" t="s">
        <v>2406</v>
      </c>
      <c r="I206" s="94">
        <v>1.4</v>
      </c>
      <c r="J206" s="94">
        <f>-5.1*1000</f>
        <v>-5100</v>
      </c>
      <c r="K206">
        <f>I206*(44/12)</f>
        <v>5.1333333333333329</v>
      </c>
    </row>
    <row r="207" spans="8:14">
      <c r="H207" s="94" t="s">
        <v>2407</v>
      </c>
      <c r="I207" s="94">
        <v>231.45</v>
      </c>
      <c r="J207" s="199">
        <f>848.65*1000</f>
        <v>848650</v>
      </c>
      <c r="K207">
        <f>I207*(44/12)</f>
        <v>848.65</v>
      </c>
    </row>
    <row r="208" spans="8:14">
      <c r="H208" s="94" t="s">
        <v>2408</v>
      </c>
      <c r="I208" s="94">
        <v>0.47</v>
      </c>
      <c r="J208" s="94">
        <f>-1.72*1000</f>
        <v>-1720</v>
      </c>
      <c r="K208">
        <f>I208*(44/12)</f>
        <v>1.7233333333333332</v>
      </c>
    </row>
    <row r="209" spans="8:10">
      <c r="H209" s="94" t="s">
        <v>2409</v>
      </c>
      <c r="I209" s="94"/>
      <c r="J209" s="94">
        <f>47.85*1000</f>
        <v>47850</v>
      </c>
    </row>
    <row r="233" spans="8:8">
      <c r="H233">
        <f>9.2*(44/12)</f>
        <v>33.733333333333327</v>
      </c>
    </row>
    <row r="239" spans="8:8">
      <c r="H239">
        <f>258.2*(44/12)</f>
        <v>946.73333333333323</v>
      </c>
    </row>
  </sheetData>
  <mergeCells count="37">
    <mergeCell ref="A22:F22"/>
    <mergeCell ref="A43:I43"/>
    <mergeCell ref="A29:I29"/>
    <mergeCell ref="A34:I34"/>
    <mergeCell ref="A23:B23"/>
    <mergeCell ref="A24:B24"/>
    <mergeCell ref="A25:B25"/>
    <mergeCell ref="A27:I27"/>
    <mergeCell ref="A28:B28"/>
    <mergeCell ref="A21:B21"/>
    <mergeCell ref="A13:B13"/>
    <mergeCell ref="A14:B14"/>
    <mergeCell ref="A15:B15"/>
    <mergeCell ref="A5:I5"/>
    <mergeCell ref="A6:I6"/>
    <mergeCell ref="A10:B10"/>
    <mergeCell ref="A11:F11"/>
    <mergeCell ref="A16:F16"/>
    <mergeCell ref="A12:B12"/>
    <mergeCell ref="A17:B17"/>
    <mergeCell ref="A18:B18"/>
    <mergeCell ref="A19:B19"/>
    <mergeCell ref="A20:B20"/>
    <mergeCell ref="H190:I190"/>
    <mergeCell ref="A49:I49"/>
    <mergeCell ref="A50:B50"/>
    <mergeCell ref="A71:A75"/>
    <mergeCell ref="H182:I182"/>
    <mergeCell ref="H184:H186"/>
    <mergeCell ref="H187:H188"/>
    <mergeCell ref="I72:I75"/>
    <mergeCell ref="H72:H73"/>
    <mergeCell ref="A51:A60"/>
    <mergeCell ref="A61:A70"/>
    <mergeCell ref="I51:I60"/>
    <mergeCell ref="I61:I70"/>
    <mergeCell ref="A76:A85"/>
  </mergeCells>
  <conditionalFormatting sqref="L11:L26 L29:L79">
    <cfRule type="cellIs" dxfId="11" priority="13" operator="lessThan">
      <formula>-0.25</formula>
    </cfRule>
    <cfRule type="cellIs" dxfId="10" priority="14" operator="lessThan">
      <formula>-0.1</formula>
    </cfRule>
    <cfRule type="cellIs" dxfId="9" priority="15" operator="lessThan">
      <formula>-0.25</formula>
    </cfRule>
    <cfRule type="cellIs" dxfId="8" priority="16" operator="greaterThan">
      <formula>0.25</formula>
    </cfRule>
    <cfRule type="cellIs" dxfId="7" priority="17" operator="greaterThan">
      <formula>0.1</formula>
    </cfRule>
    <cfRule type="cellIs" dxfId="6" priority="18" operator="greaterThan">
      <formula>10</formula>
    </cfRule>
  </conditionalFormatting>
  <conditionalFormatting sqref="L80:L85">
    <cfRule type="cellIs" dxfId="5" priority="7" operator="lessThan">
      <formula>-0.25</formula>
    </cfRule>
    <cfRule type="cellIs" dxfId="4" priority="8" operator="lessThan">
      <formula>-0.1</formula>
    </cfRule>
    <cfRule type="cellIs" dxfId="3" priority="9" operator="lessThan">
      <formula>-0.25</formula>
    </cfRule>
    <cfRule type="cellIs" dxfId="2" priority="10" operator="greaterThan">
      <formula>0.25</formula>
    </cfRule>
    <cfRule type="cellIs" dxfId="1" priority="11" operator="greaterThan">
      <formula>0.1</formula>
    </cfRule>
    <cfRule type="cellIs" dxfId="0" priority="12" operator="greaterThan">
      <formula>10</formula>
    </cfRule>
  </conditionalFormatting>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8" tint="-0.499984740745262"/>
  </sheetPr>
  <dimension ref="A1:R97"/>
  <sheetViews>
    <sheetView topLeftCell="A4" zoomScaleNormal="100" workbookViewId="0">
      <selection activeCell="D18" sqref="D18"/>
    </sheetView>
  </sheetViews>
  <sheetFormatPr defaultColWidth="9.140625" defaultRowHeight="15"/>
  <cols>
    <col min="1" max="1" width="22.42578125" customWidth="1"/>
    <col min="2" max="2" width="51.5703125" customWidth="1"/>
    <col min="3" max="3" width="10.140625" customWidth="1"/>
    <col min="4" max="8" width="27.28515625" customWidth="1"/>
    <col min="9" max="9" width="18.85546875" customWidth="1"/>
    <col min="10" max="10" width="81" customWidth="1"/>
  </cols>
  <sheetData>
    <row r="1" spans="1:18" ht="31.5">
      <c r="A1" s="2279" t="s">
        <v>63</v>
      </c>
      <c r="B1" s="2279"/>
      <c r="C1" s="2279"/>
      <c r="D1" s="2279"/>
      <c r="E1" s="2279"/>
      <c r="F1" s="2279"/>
      <c r="G1" s="2279"/>
      <c r="H1" s="2279"/>
    </row>
    <row r="2" spans="1:18" ht="23.25">
      <c r="A2" s="2280" t="s">
        <v>2226</v>
      </c>
      <c r="B2" s="2280"/>
      <c r="C2" s="2280"/>
      <c r="D2" s="2280"/>
      <c r="E2" s="2280"/>
      <c r="F2" s="2280"/>
      <c r="G2" s="2280"/>
      <c r="H2" s="2280"/>
    </row>
    <row r="3" spans="1:18" ht="15.75" customHeight="1">
      <c r="A3" s="166" t="s">
        <v>421</v>
      </c>
      <c r="B3" s="1516"/>
      <c r="C3" s="1516"/>
      <c r="D3" s="1516"/>
      <c r="E3" s="1516"/>
      <c r="F3" s="1516"/>
      <c r="G3" s="1516"/>
      <c r="H3" s="1516"/>
    </row>
    <row r="4" spans="1:18" ht="13.5" customHeight="1">
      <c r="A4" s="1517"/>
      <c r="B4" s="1516"/>
      <c r="C4" s="1516"/>
      <c r="D4" s="1516"/>
      <c r="E4" s="1516"/>
      <c r="F4" s="1516"/>
      <c r="G4" s="1516"/>
      <c r="H4" s="1516"/>
    </row>
    <row r="5" spans="1:18" s="1519" customFormat="1" ht="28.5">
      <c r="A5" s="1518" t="s">
        <v>2232</v>
      </c>
    </row>
    <row r="6" spans="1:18" ht="15" customHeight="1">
      <c r="A6" s="2284" t="s">
        <v>2103</v>
      </c>
      <c r="B6" s="2054"/>
      <c r="C6" s="2054"/>
      <c r="D6" s="2054"/>
      <c r="E6" s="2054"/>
      <c r="F6" s="2054"/>
      <c r="G6" s="2054"/>
      <c r="H6" s="2054"/>
    </row>
    <row r="7" spans="1:18" ht="15" customHeight="1">
      <c r="A7" s="2285" t="s">
        <v>2410</v>
      </c>
      <c r="B7" s="2286"/>
      <c r="C7" s="2286"/>
      <c r="D7" s="2286"/>
      <c r="E7" s="2286"/>
      <c r="F7" s="2286"/>
      <c r="G7" s="2286"/>
      <c r="H7" s="2287"/>
    </row>
    <row r="8" spans="1:18" ht="15.75" customHeight="1"/>
    <row r="9" spans="1:18" ht="15.75" customHeight="1">
      <c r="A9" s="1520"/>
      <c r="B9" s="1520"/>
      <c r="C9" s="1520"/>
      <c r="D9" s="1520"/>
      <c r="E9" s="1458" t="s">
        <v>59</v>
      </c>
      <c r="F9" s="1521" t="s">
        <v>425</v>
      </c>
      <c r="G9" s="1521" t="s">
        <v>426</v>
      </c>
      <c r="H9" s="1521" t="s">
        <v>427</v>
      </c>
    </row>
    <row r="10" spans="1:18" ht="15.75" customHeight="1">
      <c r="A10" s="2288" t="s">
        <v>2411</v>
      </c>
      <c r="B10" s="2289"/>
      <c r="C10" s="2289"/>
      <c r="D10" s="2290"/>
      <c r="E10" s="1522">
        <f>SUM(F10:H10)</f>
        <v>0</v>
      </c>
      <c r="F10" s="1452">
        <f>F95</f>
        <v>0</v>
      </c>
      <c r="G10" s="1452">
        <f>G95</f>
        <v>0</v>
      </c>
      <c r="H10" s="1452">
        <f>H95</f>
        <v>0</v>
      </c>
    </row>
    <row r="11" spans="1:18" ht="15" customHeight="1">
      <c r="A11" s="2288" t="s">
        <v>2412</v>
      </c>
      <c r="B11" s="2289"/>
      <c r="C11" s="2289"/>
      <c r="D11" s="2290"/>
      <c r="E11" s="1522">
        <f>E54</f>
        <v>0</v>
      </c>
      <c r="F11" s="1452">
        <f>F54</f>
        <v>0</v>
      </c>
      <c r="G11" s="456"/>
      <c r="H11" s="456"/>
    </row>
    <row r="12" spans="1:18" ht="15" customHeight="1">
      <c r="A12" s="2288" t="s">
        <v>2413</v>
      </c>
      <c r="B12" s="2289"/>
      <c r="C12" s="2289"/>
      <c r="D12" s="2290"/>
      <c r="E12" s="1522">
        <f>E32</f>
        <v>0</v>
      </c>
      <c r="F12" s="1523">
        <f>F32</f>
        <v>0</v>
      </c>
      <c r="G12" s="456"/>
      <c r="H12" s="456"/>
    </row>
    <row r="15" spans="1:18" ht="15.75" thickBot="1">
      <c r="A15" s="2278" t="s">
        <v>2234</v>
      </c>
      <c r="B15" s="2278"/>
      <c r="C15" s="2278"/>
      <c r="D15" s="2278"/>
      <c r="E15" s="2278"/>
      <c r="F15" s="2278"/>
      <c r="G15" s="2278"/>
      <c r="H15" s="2278"/>
      <c r="I15" s="470"/>
      <c r="J15" s="470"/>
      <c r="K15" s="470"/>
      <c r="L15" s="470"/>
      <c r="M15" s="470"/>
      <c r="N15" s="470"/>
      <c r="O15" s="470"/>
      <c r="P15" s="470"/>
      <c r="Q15" s="470"/>
      <c r="R15" s="470"/>
    </row>
    <row r="16" spans="1:18" ht="18">
      <c r="A16" s="2027" t="s">
        <v>2235</v>
      </c>
      <c r="B16" s="2028"/>
      <c r="C16" s="179" t="s">
        <v>70</v>
      </c>
      <c r="D16" s="1524" t="s">
        <v>424</v>
      </c>
      <c r="E16" s="1525" t="s">
        <v>355</v>
      </c>
      <c r="F16" s="487" t="s">
        <v>2262</v>
      </c>
      <c r="G16" s="487" t="s">
        <v>437</v>
      </c>
      <c r="H16" s="488" t="s">
        <v>438</v>
      </c>
      <c r="I16" s="444"/>
      <c r="J16" s="53"/>
      <c r="K16" s="53"/>
      <c r="L16" s="444"/>
      <c r="M16" s="444"/>
      <c r="N16" s="444"/>
      <c r="O16" s="444"/>
      <c r="P16" s="1226"/>
    </row>
    <row r="17" spans="1:18" ht="16.5" customHeight="1">
      <c r="A17" s="2281" t="s">
        <v>2237</v>
      </c>
      <c r="B17" s="2282"/>
      <c r="C17" s="2282"/>
      <c r="D17" s="2282"/>
      <c r="E17" s="2282"/>
      <c r="F17" s="2282"/>
      <c r="G17" s="2282"/>
      <c r="H17" s="2283"/>
      <c r="I17" s="1141"/>
      <c r="J17" s="53"/>
      <c r="K17" s="53"/>
      <c r="L17" s="53"/>
      <c r="M17" s="53"/>
      <c r="N17" s="53"/>
      <c r="O17" s="53"/>
      <c r="P17" s="1141"/>
      <c r="Q17" s="1141"/>
      <c r="R17" s="1141"/>
    </row>
    <row r="18" spans="1:18" ht="16.5" customHeight="1" thickBot="1">
      <c r="A18" s="2277" t="s">
        <v>2238</v>
      </c>
      <c r="B18" s="2277"/>
      <c r="C18" s="903" t="s">
        <v>2239</v>
      </c>
      <c r="D18" s="1552"/>
      <c r="E18" s="1526">
        <f>D18*'Agriculture forestry other 2022'!D12</f>
        <v>0</v>
      </c>
      <c r="F18" s="1527">
        <f>D18*'Agriculture forestry other 2022'!D12</f>
        <v>0</v>
      </c>
      <c r="G18" s="1356" t="s">
        <v>48</v>
      </c>
      <c r="H18" s="1356" t="s">
        <v>48</v>
      </c>
      <c r="I18" s="166"/>
      <c r="J18" s="499"/>
      <c r="K18" s="499"/>
      <c r="L18" s="166"/>
      <c r="M18" s="1528"/>
      <c r="N18" s="1223"/>
      <c r="O18" s="166"/>
      <c r="P18" s="1222"/>
    </row>
    <row r="19" spans="1:18" ht="16.5" customHeight="1" thickBot="1">
      <c r="A19" s="2259" t="s">
        <v>2242</v>
      </c>
      <c r="B19" s="2259"/>
      <c r="C19" s="903" t="s">
        <v>2239</v>
      </c>
      <c r="D19" s="1552"/>
      <c r="E19" s="1526">
        <f>D19*'Agriculture forestry other 2022'!D13</f>
        <v>0</v>
      </c>
      <c r="F19" s="1527">
        <f>D19*'Agriculture forestry other 2022'!D13</f>
        <v>0</v>
      </c>
      <c r="G19" s="1356" t="s">
        <v>48</v>
      </c>
      <c r="H19" s="1356" t="s">
        <v>48</v>
      </c>
      <c r="I19" s="166"/>
      <c r="J19" s="62"/>
      <c r="K19" s="62"/>
      <c r="L19" s="166"/>
      <c r="M19" s="1528"/>
      <c r="N19" s="1223"/>
      <c r="O19" s="166"/>
      <c r="P19" s="1222"/>
    </row>
    <row r="20" spans="1:18" ht="16.5" customHeight="1" thickBot="1">
      <c r="A20" s="2260" t="s">
        <v>2244</v>
      </c>
      <c r="B20" s="2260"/>
      <c r="C20" s="903" t="s">
        <v>2239</v>
      </c>
      <c r="D20" s="1552"/>
      <c r="E20" s="1526">
        <f>D20*'Agriculture forestry other 2022'!D14</f>
        <v>0</v>
      </c>
      <c r="F20" s="1527">
        <f>D20*'Agriculture forestry other 2022'!D14</f>
        <v>0</v>
      </c>
      <c r="G20" s="1356" t="s">
        <v>48</v>
      </c>
      <c r="H20" s="1356" t="s">
        <v>48</v>
      </c>
      <c r="I20" s="166"/>
      <c r="J20" s="62"/>
      <c r="K20" s="62"/>
      <c r="L20" s="166"/>
      <c r="M20" s="1528"/>
      <c r="N20" s="1223"/>
      <c r="O20" s="166"/>
      <c r="P20" s="1222"/>
    </row>
    <row r="21" spans="1:18" ht="16.5" customHeight="1" thickBot="1">
      <c r="A21" s="2260" t="s">
        <v>2246</v>
      </c>
      <c r="B21" s="2260"/>
      <c r="C21" s="903" t="s">
        <v>2239</v>
      </c>
      <c r="D21" s="1552"/>
      <c r="E21" s="1526">
        <f>D21*'Agriculture forestry other 2022'!D15</f>
        <v>0</v>
      </c>
      <c r="F21" s="1527">
        <f>D21*'Agriculture forestry other 2022'!D15</f>
        <v>0</v>
      </c>
      <c r="G21" s="1356" t="s">
        <v>48</v>
      </c>
      <c r="H21" s="1356" t="s">
        <v>48</v>
      </c>
      <c r="I21" s="166"/>
      <c r="J21" s="62"/>
      <c r="K21" s="62"/>
      <c r="L21" s="166"/>
      <c r="M21" s="1528"/>
      <c r="N21" s="1223"/>
      <c r="O21" s="166"/>
      <c r="P21" s="1222"/>
    </row>
    <row r="22" spans="1:18" ht="16.5" customHeight="1">
      <c r="A22" s="2281" t="s">
        <v>2248</v>
      </c>
      <c r="B22" s="2282"/>
      <c r="C22" s="2282"/>
      <c r="D22" s="2282"/>
      <c r="E22" s="2282"/>
      <c r="F22" s="2282"/>
      <c r="G22" s="2282"/>
      <c r="H22" s="2283"/>
      <c r="I22" s="741"/>
      <c r="J22" s="444"/>
      <c r="K22" s="444"/>
      <c r="L22" s="444"/>
      <c r="M22" s="444"/>
      <c r="N22" s="444"/>
      <c r="O22" s="444"/>
      <c r="P22" s="1141"/>
      <c r="Q22" s="1141"/>
      <c r="R22" s="1141"/>
    </row>
    <row r="23" spans="1:18" ht="15.75" customHeight="1" thickBot="1">
      <c r="A23" s="2264" t="s">
        <v>2249</v>
      </c>
      <c r="B23" s="2264"/>
      <c r="C23" s="1107" t="s">
        <v>2239</v>
      </c>
      <c r="D23" s="1553"/>
      <c r="E23" s="1529">
        <f>D23*'Agriculture forestry other 2022'!D17</f>
        <v>0</v>
      </c>
      <c r="F23" s="1530">
        <f>D23*'Agriculture forestry other 2022'!D17</f>
        <v>0</v>
      </c>
      <c r="G23" s="1531" t="s">
        <v>48</v>
      </c>
      <c r="H23" s="1531" t="s">
        <v>48</v>
      </c>
      <c r="I23" s="166"/>
      <c r="J23" s="62"/>
      <c r="K23" s="62"/>
      <c r="L23" s="166"/>
      <c r="M23" s="1528"/>
      <c r="N23" s="1223"/>
      <c r="O23" s="166"/>
      <c r="P23" s="1222"/>
      <c r="Q23" s="13"/>
    </row>
    <row r="24" spans="1:18" ht="15.75" customHeight="1" thickBot="1">
      <c r="A24" s="1854" t="s">
        <v>2250</v>
      </c>
      <c r="B24" s="1854"/>
      <c r="C24" s="432" t="s">
        <v>2239</v>
      </c>
      <c r="D24" s="1554"/>
      <c r="E24" s="1529">
        <f>D24*'Agriculture forestry other 2022'!D18</f>
        <v>0</v>
      </c>
      <c r="F24" s="1530">
        <f>D24*'Agriculture forestry other 2022'!D18</f>
        <v>0</v>
      </c>
      <c r="G24" s="1510" t="s">
        <v>48</v>
      </c>
      <c r="H24" s="1510" t="s">
        <v>48</v>
      </c>
      <c r="I24" s="166"/>
      <c r="J24" s="62"/>
      <c r="K24" s="741"/>
      <c r="L24" s="166"/>
      <c r="M24" s="1528"/>
      <c r="N24" s="1223"/>
      <c r="O24" s="166"/>
      <c r="P24" s="1222"/>
      <c r="Q24" s="13"/>
    </row>
    <row r="25" spans="1:18" ht="16.5" customHeight="1" thickBot="1">
      <c r="A25" s="2260" t="s">
        <v>2251</v>
      </c>
      <c r="B25" s="2260"/>
      <c r="C25" s="432" t="s">
        <v>2239</v>
      </c>
      <c r="D25" s="1554"/>
      <c r="E25" s="1529">
        <f>D25*'Agriculture forestry other 2022'!D19</f>
        <v>0</v>
      </c>
      <c r="F25" s="1530">
        <f>D25*'Agriculture forestry other 2022'!D19</f>
        <v>0</v>
      </c>
      <c r="G25" s="1510" t="s">
        <v>48</v>
      </c>
      <c r="H25" s="1510" t="s">
        <v>48</v>
      </c>
      <c r="I25" s="166"/>
      <c r="J25" s="62"/>
      <c r="K25" s="62"/>
      <c r="L25" s="166"/>
      <c r="M25" s="1528"/>
      <c r="N25" s="1223"/>
      <c r="O25" s="166"/>
      <c r="P25" s="1222"/>
      <c r="Q25" s="13"/>
    </row>
    <row r="26" spans="1:18" ht="15.75" customHeight="1" thickBot="1">
      <c r="A26" s="2260" t="s">
        <v>2252</v>
      </c>
      <c r="B26" s="2260"/>
      <c r="C26" s="432" t="s">
        <v>2239</v>
      </c>
      <c r="D26" s="1554"/>
      <c r="E26" s="1529">
        <f>D26*'Agriculture forestry other 2022'!D20</f>
        <v>0</v>
      </c>
      <c r="F26" s="1530">
        <f>D26*'Agriculture forestry other 2022'!D20</f>
        <v>0</v>
      </c>
      <c r="G26" s="1510" t="s">
        <v>48</v>
      </c>
      <c r="H26" s="1510" t="s">
        <v>48</v>
      </c>
      <c r="I26" s="166"/>
      <c r="J26" s="62"/>
      <c r="K26" s="62"/>
      <c r="L26" s="166"/>
      <c r="M26" s="1528"/>
      <c r="N26" s="1223"/>
      <c r="O26" s="166"/>
      <c r="P26" s="1222"/>
      <c r="Q26" s="13"/>
    </row>
    <row r="27" spans="1:18" ht="15.75" customHeight="1">
      <c r="A27" s="2258" t="s">
        <v>2253</v>
      </c>
      <c r="B27" s="2258"/>
      <c r="C27" s="1106" t="s">
        <v>2239</v>
      </c>
      <c r="D27" s="1555"/>
      <c r="E27" s="1529">
        <f>D27*'Agriculture forestry other 2022'!D21</f>
        <v>0</v>
      </c>
      <c r="F27" s="1530">
        <f>D27*'Agriculture forestry other 2022'!D21</f>
        <v>0</v>
      </c>
      <c r="G27" s="1532" t="s">
        <v>48</v>
      </c>
      <c r="H27" s="1532" t="s">
        <v>48</v>
      </c>
      <c r="I27" s="166"/>
      <c r="J27" s="62"/>
      <c r="K27" s="62"/>
      <c r="L27" s="166"/>
      <c r="M27" s="1533"/>
      <c r="N27" s="13"/>
      <c r="O27" s="166"/>
      <c r="P27" s="1222"/>
      <c r="Q27" s="1222"/>
    </row>
    <row r="28" spans="1:18">
      <c r="A28" s="2281" t="s">
        <v>2254</v>
      </c>
      <c r="B28" s="2282"/>
      <c r="C28" s="2282"/>
      <c r="D28" s="2282"/>
      <c r="E28" s="2282"/>
      <c r="F28" s="2282"/>
      <c r="G28" s="2282"/>
      <c r="H28" s="2283"/>
      <c r="I28" s="741"/>
      <c r="J28" s="1534"/>
      <c r="K28" s="1534"/>
      <c r="L28" s="1534"/>
      <c r="M28" s="1534"/>
      <c r="N28" s="1534"/>
      <c r="O28" s="1534"/>
      <c r="P28" s="1229"/>
      <c r="Q28" s="1229"/>
      <c r="R28" s="1229"/>
    </row>
    <row r="29" spans="1:18" ht="14.25" customHeight="1" thickBot="1">
      <c r="A29" s="2264" t="s">
        <v>2255</v>
      </c>
      <c r="B29" s="2264"/>
      <c r="C29" s="1107" t="s">
        <v>2239</v>
      </c>
      <c r="D29" s="1553"/>
      <c r="E29" s="1529">
        <f>D29*'Agriculture forestry other 2022'!D23</f>
        <v>0</v>
      </c>
      <c r="F29" s="1535">
        <f>D29*'Agriculture forestry other 2022'!D23</f>
        <v>0</v>
      </c>
      <c r="G29" s="1531" t="s">
        <v>48</v>
      </c>
      <c r="H29" s="1531" t="s">
        <v>48</v>
      </c>
      <c r="I29" s="166"/>
      <c r="J29" s="62"/>
      <c r="K29" s="62"/>
      <c r="L29" s="166"/>
      <c r="M29" s="1528"/>
      <c r="N29" s="1223"/>
      <c r="O29" s="166"/>
      <c r="P29" s="1230"/>
    </row>
    <row r="30" spans="1:18" ht="15.75" customHeight="1" thickBot="1">
      <c r="A30" s="2260" t="s">
        <v>2257</v>
      </c>
      <c r="B30" s="2260"/>
      <c r="C30" s="432" t="s">
        <v>2239</v>
      </c>
      <c r="D30" s="1554"/>
      <c r="E30" s="1529">
        <f>D30*'Agriculture forestry other 2022'!D24</f>
        <v>0</v>
      </c>
      <c r="F30" s="1535">
        <f>D30*'Agriculture forestry other 2022'!D24</f>
        <v>0</v>
      </c>
      <c r="G30" s="1510" t="s">
        <v>48</v>
      </c>
      <c r="H30" s="1510" t="s">
        <v>48</v>
      </c>
      <c r="I30" s="166"/>
      <c r="J30" s="62"/>
      <c r="K30" s="62"/>
      <c r="L30" s="166"/>
      <c r="M30" s="1528"/>
      <c r="N30" s="1223"/>
      <c r="O30" s="166"/>
      <c r="P30" s="1230"/>
    </row>
    <row r="31" spans="1:18" ht="15.75" customHeight="1" thickBot="1">
      <c r="A31" s="2260" t="s">
        <v>2259</v>
      </c>
      <c r="B31" s="2260"/>
      <c r="C31" s="432" t="s">
        <v>2239</v>
      </c>
      <c r="D31" s="1554"/>
      <c r="E31" s="1529">
        <f>D31*'Agriculture forestry other 2022'!D25</f>
        <v>0</v>
      </c>
      <c r="F31" s="1535">
        <f>D31*'Agriculture forestry other 2022'!D25</f>
        <v>0</v>
      </c>
      <c r="G31" s="1510" t="s">
        <v>48</v>
      </c>
      <c r="H31" s="1510" t="s">
        <v>48</v>
      </c>
      <c r="I31" s="166"/>
      <c r="J31" s="62"/>
      <c r="K31" s="62"/>
      <c r="L31" s="166"/>
      <c r="M31" s="457"/>
      <c r="N31" s="1230"/>
      <c r="O31" s="166"/>
      <c r="P31" s="1230"/>
    </row>
    <row r="32" spans="1:18" ht="16.5" customHeight="1">
      <c r="D32" s="1536" t="s">
        <v>247</v>
      </c>
      <c r="E32" s="1529">
        <f>SUM(E18,E23:E27,E29:E31)</f>
        <v>0</v>
      </c>
      <c r="F32" s="1537">
        <f>SUM(F18,F23:F27,F29:F31)</f>
        <v>0</v>
      </c>
    </row>
    <row r="33" spans="1:18" ht="16.5" customHeight="1">
      <c r="J33" s="476"/>
      <c r="K33" s="476"/>
      <c r="L33" s="476"/>
      <c r="M33" s="476"/>
      <c r="N33" s="476"/>
      <c r="O33" s="476"/>
      <c r="P33" s="476"/>
      <c r="Q33" s="476"/>
      <c r="R33" s="476"/>
    </row>
    <row r="34" spans="1:18" ht="15.75" thickBot="1">
      <c r="A34" s="2278" t="s">
        <v>2260</v>
      </c>
      <c r="B34" s="2278"/>
      <c r="C34" s="2278"/>
      <c r="D34" s="2278"/>
      <c r="E34" s="2278"/>
      <c r="F34" s="2278"/>
      <c r="G34" s="2278"/>
      <c r="H34" s="2278"/>
      <c r="I34" s="476"/>
      <c r="J34" s="444"/>
      <c r="K34" s="444"/>
      <c r="L34" s="444"/>
      <c r="M34" s="444"/>
      <c r="N34" s="1226"/>
      <c r="O34" s="1226"/>
      <c r="P34" s="1226"/>
      <c r="Q34" s="444"/>
      <c r="R34" s="444"/>
    </row>
    <row r="35" spans="1:18" ht="18">
      <c r="A35" s="2027" t="s">
        <v>2261</v>
      </c>
      <c r="B35" s="2028"/>
      <c r="C35" s="494" t="s">
        <v>70</v>
      </c>
      <c r="D35" s="1524" t="s">
        <v>424</v>
      </c>
      <c r="E35" s="196" t="s">
        <v>355</v>
      </c>
      <c r="F35" s="487" t="s">
        <v>2262</v>
      </c>
      <c r="G35" s="487" t="s">
        <v>437</v>
      </c>
      <c r="H35" s="488" t="s">
        <v>438</v>
      </c>
      <c r="I35" s="444"/>
      <c r="J35" s="741"/>
      <c r="K35" s="741"/>
      <c r="L35" s="741"/>
      <c r="M35" s="741"/>
      <c r="N35" s="741"/>
      <c r="O35" s="741"/>
      <c r="P35" s="741"/>
      <c r="Q35" s="741"/>
      <c r="R35" s="741"/>
    </row>
    <row r="36" spans="1:18" ht="16.5" customHeight="1" thickBot="1">
      <c r="A36" s="2281" t="s">
        <v>2237</v>
      </c>
      <c r="B36" s="2282"/>
      <c r="C36" s="2282"/>
      <c r="D36" s="2282"/>
      <c r="E36" s="2282"/>
      <c r="F36" s="2282"/>
      <c r="G36" s="2282"/>
      <c r="H36" s="2283"/>
      <c r="I36" s="741"/>
      <c r="J36" s="499"/>
      <c r="K36" s="499"/>
      <c r="L36" s="166"/>
      <c r="M36" s="1528"/>
      <c r="N36" s="1528"/>
      <c r="O36" s="1222"/>
      <c r="P36" s="1222"/>
      <c r="Q36" s="1223"/>
      <c r="R36" s="166"/>
    </row>
    <row r="37" spans="1:18" ht="16.5" customHeight="1" thickBot="1">
      <c r="A37" s="1538" t="s">
        <v>2238</v>
      </c>
      <c r="B37" s="1118" t="s">
        <v>2263</v>
      </c>
      <c r="C37" s="903" t="s">
        <v>2239</v>
      </c>
      <c r="D37" s="1554"/>
      <c r="E37" s="1526">
        <f>D37*'Agriculture forestry other 2022'!D30</f>
        <v>0</v>
      </c>
      <c r="F37" s="1527">
        <f>D37*'Agriculture forestry other 2022'!E30</f>
        <v>0</v>
      </c>
      <c r="G37" s="1356" t="s">
        <v>48</v>
      </c>
      <c r="H37" s="1356" t="s">
        <v>48</v>
      </c>
      <c r="I37" s="166"/>
      <c r="K37" s="499"/>
      <c r="L37" s="166"/>
      <c r="M37" s="1528"/>
      <c r="N37" s="1528"/>
      <c r="O37" s="1222"/>
      <c r="P37" s="1222"/>
      <c r="Q37" s="1223"/>
      <c r="R37" s="166"/>
    </row>
    <row r="38" spans="1:18" ht="16.5" customHeight="1" thickBot="1">
      <c r="A38" s="1231" t="s">
        <v>2242</v>
      </c>
      <c r="B38" s="1118" t="s">
        <v>2263</v>
      </c>
      <c r="C38" s="903" t="s">
        <v>2239</v>
      </c>
      <c r="D38" s="1554"/>
      <c r="E38" s="1526">
        <f>D38*'Agriculture forestry other 2022'!D31</f>
        <v>0</v>
      </c>
      <c r="F38" s="1527">
        <f>D38*'Agriculture forestry other 2022'!E31</f>
        <v>0</v>
      </c>
      <c r="G38" s="1356" t="s">
        <v>48</v>
      </c>
      <c r="H38" s="1356" t="s">
        <v>48</v>
      </c>
      <c r="I38" s="166"/>
      <c r="J38" s="1539"/>
      <c r="K38" s="499"/>
      <c r="L38" s="166"/>
      <c r="M38" s="1528"/>
      <c r="N38" s="1528"/>
      <c r="O38" s="1222"/>
      <c r="P38" s="1222"/>
      <c r="Q38" s="1223"/>
      <c r="R38" s="166"/>
    </row>
    <row r="39" spans="1:18" ht="16.5" customHeight="1" thickBot="1">
      <c r="A39" s="1118" t="s">
        <v>2244</v>
      </c>
      <c r="B39" s="1118" t="s">
        <v>2263</v>
      </c>
      <c r="C39" s="903" t="s">
        <v>2239</v>
      </c>
      <c r="D39" s="1554"/>
      <c r="E39" s="1526">
        <f>D39*'Agriculture forestry other 2022'!D32</f>
        <v>0</v>
      </c>
      <c r="F39" s="1527">
        <f>D39*'Agriculture forestry other 2022'!E32</f>
        <v>0</v>
      </c>
      <c r="G39" s="1356" t="s">
        <v>48</v>
      </c>
      <c r="H39" s="1356" t="s">
        <v>48</v>
      </c>
      <c r="I39" s="166"/>
      <c r="J39" s="1539"/>
      <c r="K39" s="499"/>
      <c r="L39" s="166"/>
      <c r="M39" s="1528"/>
      <c r="N39" s="1528"/>
      <c r="O39" s="1222"/>
      <c r="P39" s="1222"/>
      <c r="Q39" s="1223"/>
      <c r="R39" s="166"/>
    </row>
    <row r="40" spans="1:18" ht="16.5" customHeight="1" thickBot="1">
      <c r="A40" s="1118" t="s">
        <v>2246</v>
      </c>
      <c r="B40" s="1118" t="s">
        <v>2263</v>
      </c>
      <c r="C40" s="903" t="s">
        <v>2239</v>
      </c>
      <c r="D40" s="1554"/>
      <c r="E40" s="1526">
        <f>D40*'Agriculture forestry other 2022'!D33</f>
        <v>0</v>
      </c>
      <c r="F40" s="1527">
        <f>D40*'Agriculture forestry other 2022'!E33</f>
        <v>0</v>
      </c>
      <c r="G40" s="1356" t="s">
        <v>48</v>
      </c>
      <c r="H40" s="1356" t="s">
        <v>48</v>
      </c>
      <c r="I40" s="166"/>
      <c r="J40" s="1539"/>
      <c r="K40" s="499"/>
      <c r="L40" s="166"/>
      <c r="M40" s="1528"/>
      <c r="N40" s="1528"/>
      <c r="O40" s="1222"/>
      <c r="P40" s="1222"/>
      <c r="Q40" s="1223"/>
      <c r="R40" s="166"/>
    </row>
    <row r="41" spans="1:18" ht="16.5" customHeight="1" thickBot="1">
      <c r="A41" s="2281" t="s">
        <v>2248</v>
      </c>
      <c r="B41" s="2282"/>
      <c r="C41" s="2282"/>
      <c r="D41" s="2282"/>
      <c r="E41" s="2282"/>
      <c r="F41" s="2282"/>
      <c r="G41" s="2282"/>
      <c r="H41" s="2283"/>
      <c r="I41" s="741"/>
      <c r="K41" s="499"/>
      <c r="L41" s="166"/>
      <c r="M41" s="1528"/>
      <c r="N41" s="1528"/>
      <c r="O41" s="1222"/>
      <c r="P41" s="1222"/>
      <c r="Q41" s="1223"/>
      <c r="R41" s="166"/>
    </row>
    <row r="42" spans="1:18" ht="15.75" customHeight="1" thickBot="1">
      <c r="A42" s="1118" t="s">
        <v>2238</v>
      </c>
      <c r="B42" s="1118" t="s">
        <v>2268</v>
      </c>
      <c r="C42" s="1107" t="s">
        <v>2239</v>
      </c>
      <c r="D42" s="1554"/>
      <c r="E42" s="1235" t="s">
        <v>48</v>
      </c>
      <c r="F42" s="1540" t="s">
        <v>48</v>
      </c>
      <c r="G42" s="1510" t="s">
        <v>48</v>
      </c>
      <c r="H42" s="1510" t="s">
        <v>48</v>
      </c>
      <c r="I42" s="166"/>
      <c r="K42" s="499"/>
      <c r="L42" s="166"/>
      <c r="M42" s="1528"/>
      <c r="N42" s="1528"/>
      <c r="O42" s="1222"/>
      <c r="P42" s="1222"/>
      <c r="Q42" s="1223"/>
      <c r="R42" s="166"/>
    </row>
    <row r="43" spans="1:18" ht="15.75" customHeight="1" thickBot="1">
      <c r="A43" s="1656" t="s">
        <v>2238</v>
      </c>
      <c r="B43" s="1118" t="s">
        <v>2269</v>
      </c>
      <c r="C43" s="1106" t="s">
        <v>2239</v>
      </c>
      <c r="D43" s="1554"/>
      <c r="E43" s="1526">
        <f>D43*'Agriculture forestry other 2022'!D36</f>
        <v>0</v>
      </c>
      <c r="F43" s="1527">
        <f>D43*'Agriculture forestry other 2022'!E36</f>
        <v>0</v>
      </c>
      <c r="G43" s="1541" t="s">
        <v>48</v>
      </c>
      <c r="H43" s="1510" t="s">
        <v>48</v>
      </c>
      <c r="I43" s="166"/>
      <c r="J43" s="741"/>
      <c r="K43" s="741"/>
      <c r="L43" s="741"/>
      <c r="M43" s="741"/>
      <c r="N43" s="741"/>
      <c r="O43" s="741"/>
      <c r="P43" s="741"/>
      <c r="Q43" s="741"/>
      <c r="R43" s="741"/>
    </row>
    <row r="44" spans="1:18" ht="15.75" customHeight="1" thickBot="1">
      <c r="A44" s="1231" t="s">
        <v>2242</v>
      </c>
      <c r="B44" s="1118" t="s">
        <v>2268</v>
      </c>
      <c r="C44" s="1107" t="s">
        <v>2239</v>
      </c>
      <c r="D44" s="1554"/>
      <c r="E44" s="1235" t="s">
        <v>48</v>
      </c>
      <c r="F44" s="1540" t="s">
        <v>48</v>
      </c>
      <c r="G44" s="1510" t="s">
        <v>48</v>
      </c>
      <c r="H44" s="1510" t="s">
        <v>48</v>
      </c>
      <c r="I44" s="166"/>
      <c r="J44" s="741"/>
      <c r="K44" s="741"/>
      <c r="L44" s="741"/>
      <c r="M44" s="741"/>
      <c r="N44" s="741"/>
      <c r="O44" s="741"/>
      <c r="P44" s="741"/>
      <c r="Q44" s="741"/>
      <c r="R44" s="741"/>
    </row>
    <row r="45" spans="1:18" ht="15.75" customHeight="1" thickBot="1">
      <c r="A45" s="1231" t="s">
        <v>2242</v>
      </c>
      <c r="B45" s="1118" t="s">
        <v>2269</v>
      </c>
      <c r="C45" s="1106" t="s">
        <v>2239</v>
      </c>
      <c r="D45" s="1554"/>
      <c r="E45" s="1526">
        <f>D45*'Agriculture forestry other 2022'!D38</f>
        <v>0</v>
      </c>
      <c r="F45" s="1527">
        <f>D45*'Agriculture forestry other 2022'!E38</f>
        <v>0</v>
      </c>
      <c r="G45" s="1541" t="s">
        <v>48</v>
      </c>
      <c r="H45" s="1510" t="s">
        <v>48</v>
      </c>
      <c r="I45" s="166"/>
      <c r="J45" s="741"/>
      <c r="K45" s="741"/>
      <c r="L45" s="741"/>
      <c r="M45" s="741"/>
      <c r="N45" s="741"/>
      <c r="O45" s="741"/>
      <c r="P45" s="741"/>
      <c r="Q45" s="741"/>
      <c r="R45" s="741"/>
    </row>
    <row r="46" spans="1:18" ht="15.75" customHeight="1" thickBot="1">
      <c r="A46" s="1118" t="s">
        <v>2244</v>
      </c>
      <c r="B46" s="1118" t="s">
        <v>2268</v>
      </c>
      <c r="C46" s="1107" t="s">
        <v>2239</v>
      </c>
      <c r="D46" s="1554"/>
      <c r="E46" s="1237" t="s">
        <v>48</v>
      </c>
      <c r="F46" s="1542" t="s">
        <v>48</v>
      </c>
      <c r="G46" s="1541" t="s">
        <v>48</v>
      </c>
      <c r="H46" s="1510" t="s">
        <v>48</v>
      </c>
      <c r="I46" s="166"/>
      <c r="J46" s="741"/>
      <c r="K46" s="741"/>
      <c r="L46" s="741"/>
      <c r="M46" s="741"/>
      <c r="N46" s="741"/>
      <c r="O46" s="741"/>
      <c r="P46" s="741"/>
      <c r="Q46" s="741"/>
      <c r="R46" s="741"/>
    </row>
    <row r="47" spans="1:18" ht="15.75" customHeight="1" thickBot="1">
      <c r="A47" s="1118" t="s">
        <v>2244</v>
      </c>
      <c r="B47" s="1118" t="s">
        <v>2269</v>
      </c>
      <c r="C47" s="1106" t="s">
        <v>2239</v>
      </c>
      <c r="D47" s="1554"/>
      <c r="E47" s="1526">
        <f>D47*'Agriculture forestry other 2022'!D40</f>
        <v>0</v>
      </c>
      <c r="F47" s="1527">
        <f>D47*'Agriculture forestry other 2022'!E40</f>
        <v>0</v>
      </c>
      <c r="G47" s="1541" t="s">
        <v>48</v>
      </c>
      <c r="H47" s="1510" t="s">
        <v>48</v>
      </c>
      <c r="I47" s="166"/>
      <c r="J47" s="741"/>
      <c r="K47" s="741"/>
      <c r="L47" s="741"/>
      <c r="M47" s="741"/>
      <c r="N47" s="741"/>
      <c r="O47" s="741"/>
      <c r="P47" s="741"/>
      <c r="Q47" s="741"/>
      <c r="R47" s="741"/>
    </row>
    <row r="48" spans="1:18" ht="15.75" customHeight="1" thickBot="1">
      <c r="A48" s="1118" t="s">
        <v>2246</v>
      </c>
      <c r="B48" s="1118" t="s">
        <v>2268</v>
      </c>
      <c r="C48" s="1107" t="s">
        <v>2239</v>
      </c>
      <c r="D48" s="1554"/>
      <c r="E48" s="1237" t="s">
        <v>48</v>
      </c>
      <c r="F48" s="1542" t="s">
        <v>48</v>
      </c>
      <c r="G48" s="1541" t="s">
        <v>48</v>
      </c>
      <c r="H48" s="1510" t="s">
        <v>48</v>
      </c>
      <c r="I48" s="166"/>
      <c r="J48" s="741"/>
      <c r="K48" s="741"/>
      <c r="L48" s="741"/>
      <c r="M48" s="741"/>
      <c r="N48" s="741"/>
      <c r="O48" s="741"/>
      <c r="P48" s="741"/>
      <c r="Q48" s="741"/>
      <c r="R48" s="741"/>
    </row>
    <row r="49" spans="1:18" ht="15.75" customHeight="1" thickBot="1">
      <c r="A49" s="1118" t="s">
        <v>2246</v>
      </c>
      <c r="B49" s="1538" t="s">
        <v>2269</v>
      </c>
      <c r="C49" s="1106" t="s">
        <v>2239</v>
      </c>
      <c r="D49" s="1554"/>
      <c r="E49" s="1543">
        <f>D49*'Agriculture forestry other 2022'!D42</f>
        <v>0</v>
      </c>
      <c r="F49" s="1544">
        <f>D49*'Agriculture forestry other 2022'!E42</f>
        <v>0</v>
      </c>
      <c r="G49" s="1510" t="s">
        <v>48</v>
      </c>
      <c r="H49" s="1510" t="s">
        <v>48</v>
      </c>
      <c r="I49" s="166"/>
      <c r="J49" s="741"/>
      <c r="K49" s="741"/>
      <c r="L49" s="741"/>
      <c r="M49" s="741"/>
      <c r="N49" s="741"/>
      <c r="O49" s="741"/>
      <c r="P49" s="741"/>
      <c r="Q49" s="741"/>
      <c r="R49" s="741"/>
    </row>
    <row r="50" spans="1:18">
      <c r="A50" s="2268" t="s">
        <v>2254</v>
      </c>
      <c r="B50" s="2268"/>
      <c r="C50" s="2268"/>
      <c r="D50" s="2268"/>
      <c r="E50" s="2268"/>
      <c r="F50" s="2268"/>
      <c r="G50" s="2268"/>
      <c r="H50" s="2268"/>
      <c r="I50" s="741"/>
      <c r="J50" s="499"/>
      <c r="K50" s="499"/>
      <c r="L50" s="166"/>
      <c r="M50" s="1533"/>
      <c r="N50" s="1533"/>
      <c r="O50" s="1222"/>
      <c r="P50" s="1222"/>
      <c r="Q50" s="1222"/>
      <c r="R50" s="166"/>
    </row>
    <row r="51" spans="1:18" ht="14.25" customHeight="1" thickBot="1">
      <c r="A51" s="1545" t="s">
        <v>2255</v>
      </c>
      <c r="B51" s="1545" t="s">
        <v>2269</v>
      </c>
      <c r="C51" s="1107" t="s">
        <v>2239</v>
      </c>
      <c r="D51" s="1553"/>
      <c r="E51" s="1529">
        <f>D51*'Agriculture forestry other 2022'!D44</f>
        <v>0</v>
      </c>
      <c r="F51" s="1535">
        <f>D51*'Agriculture forestry other 2022'!E44</f>
        <v>0</v>
      </c>
      <c r="G51" s="1531" t="s">
        <v>48</v>
      </c>
      <c r="H51" s="1531" t="s">
        <v>48</v>
      </c>
      <c r="I51" s="166"/>
      <c r="J51" s="499"/>
      <c r="K51" s="499"/>
      <c r="L51" s="166"/>
      <c r="M51" s="1528"/>
      <c r="N51" s="1528"/>
      <c r="O51" s="1222"/>
      <c r="P51" s="1222"/>
      <c r="Q51" s="1223"/>
      <c r="R51" s="166"/>
    </row>
    <row r="52" spans="1:18" ht="15.75" customHeight="1" thickBot="1">
      <c r="A52" s="1118" t="s">
        <v>2257</v>
      </c>
      <c r="B52" s="1118" t="s">
        <v>2269</v>
      </c>
      <c r="C52" s="432" t="s">
        <v>2239</v>
      </c>
      <c r="D52" s="1554"/>
      <c r="E52" s="1529">
        <f>D52*'Agriculture forestry other 2022'!D45</f>
        <v>0</v>
      </c>
      <c r="F52" s="1535">
        <f>D52*'Agriculture forestry other 2022'!E45</f>
        <v>0</v>
      </c>
      <c r="G52" s="1510" t="s">
        <v>48</v>
      </c>
      <c r="H52" s="1510" t="s">
        <v>48</v>
      </c>
      <c r="I52" s="166"/>
      <c r="J52" s="1539"/>
      <c r="K52" s="499"/>
      <c r="L52" s="166"/>
      <c r="M52" s="1533"/>
      <c r="N52" s="1533"/>
      <c r="O52" s="1222"/>
      <c r="P52" s="1222"/>
      <c r="Q52" s="1222"/>
      <c r="R52" s="166"/>
    </row>
    <row r="53" spans="1:18" ht="15.75" customHeight="1" thickBot="1">
      <c r="A53" s="1118" t="s">
        <v>2259</v>
      </c>
      <c r="B53" s="1118" t="s">
        <v>2269</v>
      </c>
      <c r="C53" s="432" t="s">
        <v>2239</v>
      </c>
      <c r="D53" s="1554"/>
      <c r="E53" s="1529">
        <f>D53*'Agriculture forestry other 2022'!D46</f>
        <v>0</v>
      </c>
      <c r="F53" s="1535">
        <f>D53*'Agriculture forestry other 2022'!E46</f>
        <v>0</v>
      </c>
      <c r="G53" s="1510" t="s">
        <v>48</v>
      </c>
      <c r="H53" s="1510" t="s">
        <v>48</v>
      </c>
      <c r="I53" s="166"/>
      <c r="J53" s="1539"/>
      <c r="K53" s="499"/>
      <c r="L53" s="166"/>
      <c r="M53" s="1528"/>
      <c r="N53" s="1528"/>
      <c r="O53" s="1222"/>
      <c r="P53" s="1222"/>
      <c r="Q53" s="1223"/>
      <c r="R53" s="166"/>
    </row>
    <row r="54" spans="1:18">
      <c r="D54" s="1536" t="s">
        <v>247</v>
      </c>
      <c r="E54" s="1529">
        <f>SUM(E37,E43,E51:E53)</f>
        <v>0</v>
      </c>
      <c r="F54" s="1537">
        <f>SUM(F37,F43,F51:F53)</f>
        <v>0</v>
      </c>
      <c r="J54" s="499"/>
      <c r="K54" s="499"/>
      <c r="L54" s="166"/>
      <c r="M54" s="1533"/>
      <c r="N54" s="1533"/>
      <c r="O54" s="1222"/>
      <c r="P54" s="1222"/>
      <c r="Q54" s="1222"/>
      <c r="R54" s="166"/>
    </row>
    <row r="55" spans="1:18">
      <c r="J55" s="499"/>
      <c r="K55" s="499"/>
      <c r="L55" s="166"/>
      <c r="M55" s="1528"/>
      <c r="N55" s="1528"/>
      <c r="O55" s="1222"/>
      <c r="P55" s="1222"/>
      <c r="Q55" s="1223"/>
      <c r="R55" s="166"/>
    </row>
    <row r="56" spans="1:18">
      <c r="J56" s="499"/>
      <c r="K56" s="499"/>
      <c r="L56" s="166"/>
      <c r="M56" s="1533"/>
      <c r="N56" s="1533"/>
      <c r="O56" s="1222"/>
      <c r="P56" s="1222"/>
      <c r="Q56" s="1222"/>
      <c r="R56" s="166"/>
    </row>
    <row r="57" spans="1:18" ht="15.75" thickBot="1">
      <c r="A57" s="496" t="s">
        <v>2273</v>
      </c>
      <c r="B57" s="66"/>
      <c r="C57" s="66"/>
      <c r="D57" s="172"/>
      <c r="E57" s="2045"/>
      <c r="F57" s="2045"/>
      <c r="G57" s="2045"/>
      <c r="H57" s="1890"/>
      <c r="J57" s="499"/>
      <c r="K57" s="499"/>
      <c r="L57" s="166"/>
      <c r="M57" s="1528"/>
      <c r="N57" s="1528"/>
      <c r="O57" s="1222"/>
      <c r="P57" s="1222"/>
      <c r="Q57" s="1223"/>
      <c r="R57" s="166"/>
    </row>
    <row r="58" spans="1:18">
      <c r="A58" s="1903" t="s">
        <v>69</v>
      </c>
      <c r="B58" s="1883"/>
      <c r="C58" s="1903" t="s">
        <v>70</v>
      </c>
      <c r="D58" s="2270" t="s">
        <v>424</v>
      </c>
      <c r="E58" s="2275" t="s">
        <v>423</v>
      </c>
      <c r="F58" s="2276"/>
      <c r="G58" s="2276"/>
      <c r="H58" s="2276"/>
      <c r="J58" s="1534"/>
      <c r="K58" s="1534"/>
      <c r="L58" s="1534"/>
      <c r="M58" s="1534"/>
      <c r="N58" s="1534"/>
      <c r="O58" s="1534"/>
      <c r="P58" s="1534"/>
      <c r="Q58" s="1534"/>
      <c r="R58" s="1534"/>
    </row>
    <row r="59" spans="1:18" ht="18" customHeight="1" thickBot="1">
      <c r="A59" s="2269"/>
      <c r="B59" s="1885"/>
      <c r="C59" s="2269"/>
      <c r="D59" s="2271"/>
      <c r="E59" s="1458" t="s">
        <v>59</v>
      </c>
      <c r="F59" s="1459" t="s">
        <v>425</v>
      </c>
      <c r="G59" s="1459" t="s">
        <v>426</v>
      </c>
      <c r="H59" s="1459" t="s">
        <v>427</v>
      </c>
      <c r="J59" s="499"/>
      <c r="K59" s="499"/>
      <c r="L59" s="166"/>
      <c r="M59" s="1528"/>
      <c r="N59" s="1528"/>
      <c r="O59" s="1222"/>
      <c r="P59" s="1230"/>
      <c r="Q59" s="1223"/>
      <c r="R59" s="166"/>
    </row>
    <row r="60" spans="1:18" ht="15" customHeight="1" thickBot="1">
      <c r="A60" s="1883" t="s">
        <v>2275</v>
      </c>
      <c r="B60" s="164" t="s">
        <v>2276</v>
      </c>
      <c r="C60" s="137" t="s">
        <v>2277</v>
      </c>
      <c r="D60" s="1554"/>
      <c r="E60" s="1546">
        <f>D60*'Agriculture forestry other 2022'!D51</f>
        <v>0</v>
      </c>
      <c r="F60" s="1541" t="s">
        <v>48</v>
      </c>
      <c r="G60" s="1451">
        <f>D60*'Agriculture forestry other 2022'!F51</f>
        <v>0</v>
      </c>
      <c r="H60" s="1510" t="s">
        <v>48</v>
      </c>
      <c r="J60" s="499"/>
      <c r="K60" s="499"/>
      <c r="L60" s="166"/>
      <c r="M60" s="1528"/>
      <c r="N60" s="1528"/>
      <c r="O60" s="1222"/>
      <c r="P60" s="1230"/>
      <c r="Q60" s="1223"/>
      <c r="R60" s="166"/>
    </row>
    <row r="61" spans="1:18" ht="15" customHeight="1" thickBot="1">
      <c r="A61" s="1884"/>
      <c r="B61" s="164" t="s">
        <v>2279</v>
      </c>
      <c r="C61" s="490" t="s">
        <v>2277</v>
      </c>
      <c r="D61" s="1554"/>
      <c r="E61" s="1546">
        <f>D61*'Agriculture forestry other 2022'!D52</f>
        <v>0</v>
      </c>
      <c r="F61" s="1541" t="s">
        <v>48</v>
      </c>
      <c r="G61" s="1451">
        <f>D61*'Agriculture forestry other 2022'!F52</f>
        <v>0</v>
      </c>
      <c r="H61" s="1510" t="s">
        <v>48</v>
      </c>
      <c r="J61" s="499"/>
      <c r="K61" s="499"/>
      <c r="L61" s="166"/>
      <c r="M61" s="1528"/>
      <c r="N61" s="1528"/>
      <c r="O61" s="1222"/>
      <c r="P61" s="1230"/>
      <c r="Q61" s="1223"/>
      <c r="R61" s="166"/>
    </row>
    <row r="62" spans="1:18" ht="15" customHeight="1" thickBot="1">
      <c r="A62" s="1884"/>
      <c r="B62" s="164" t="s">
        <v>2280</v>
      </c>
      <c r="C62" s="490" t="s">
        <v>2277</v>
      </c>
      <c r="D62" s="1554"/>
      <c r="E62" s="1546">
        <f>D62*'Agriculture forestry other 2022'!D53</f>
        <v>0</v>
      </c>
      <c r="F62" s="1541" t="s">
        <v>48</v>
      </c>
      <c r="G62" s="1451">
        <f>D62*'Agriculture forestry other 2022'!F53</f>
        <v>0</v>
      </c>
      <c r="H62" s="1510" t="s">
        <v>48</v>
      </c>
    </row>
    <row r="63" spans="1:18" ht="15" customHeight="1" thickBot="1">
      <c r="A63" s="1884"/>
      <c r="B63" s="164" t="s">
        <v>2281</v>
      </c>
      <c r="C63" s="137" t="s">
        <v>2277</v>
      </c>
      <c r="D63" s="1554"/>
      <c r="E63" s="1546">
        <f>D63*'Agriculture forestry other 2022'!D54</f>
        <v>0</v>
      </c>
      <c r="F63" s="1541" t="s">
        <v>48</v>
      </c>
      <c r="G63" s="1451">
        <f>D63*'Agriculture forestry other 2022'!F54</f>
        <v>0</v>
      </c>
      <c r="H63" s="1510" t="s">
        <v>48</v>
      </c>
    </row>
    <row r="64" spans="1:18" ht="15" customHeight="1" thickBot="1">
      <c r="A64" s="1884"/>
      <c r="B64" s="164" t="s">
        <v>2282</v>
      </c>
      <c r="C64" s="137" t="s">
        <v>2277</v>
      </c>
      <c r="D64" s="1554"/>
      <c r="E64" s="1546">
        <f>D64*'Agriculture forestry other 2022'!D55</f>
        <v>0</v>
      </c>
      <c r="F64" s="1541" t="s">
        <v>48</v>
      </c>
      <c r="G64" s="1451">
        <f>D64*'Agriculture forestry other 2022'!F55</f>
        <v>0</v>
      </c>
      <c r="H64" s="1510" t="s">
        <v>48</v>
      </c>
    </row>
    <row r="65" spans="1:8" ht="15" customHeight="1" thickBot="1">
      <c r="A65" s="1884"/>
      <c r="B65" s="164" t="s">
        <v>2283</v>
      </c>
      <c r="C65" s="137" t="s">
        <v>2277</v>
      </c>
      <c r="D65" s="1554"/>
      <c r="E65" s="1546">
        <f>D65*'Agriculture forestry other 2022'!D56</f>
        <v>0</v>
      </c>
      <c r="F65" s="1541" t="s">
        <v>48</v>
      </c>
      <c r="G65" s="1451">
        <f>D65*'Agriculture forestry other 2022'!F56</f>
        <v>0</v>
      </c>
      <c r="H65" s="1510" t="s">
        <v>48</v>
      </c>
    </row>
    <row r="66" spans="1:8" ht="15" customHeight="1" thickBot="1">
      <c r="A66" s="1884"/>
      <c r="B66" s="164" t="s">
        <v>2284</v>
      </c>
      <c r="C66" s="137" t="s">
        <v>2277</v>
      </c>
      <c r="D66" s="1554"/>
      <c r="E66" s="1546">
        <f>D66*'Agriculture forestry other 2022'!D57</f>
        <v>0</v>
      </c>
      <c r="F66" s="1541" t="s">
        <v>48</v>
      </c>
      <c r="G66" s="1451">
        <f>D66*'Agriculture forestry other 2022'!F57</f>
        <v>0</v>
      </c>
      <c r="H66" s="1510" t="s">
        <v>48</v>
      </c>
    </row>
    <row r="67" spans="1:8" ht="15" customHeight="1" thickBot="1">
      <c r="A67" s="1884"/>
      <c r="B67" s="164" t="s">
        <v>2414</v>
      </c>
      <c r="C67" s="137" t="s">
        <v>2277</v>
      </c>
      <c r="D67" s="1554"/>
      <c r="E67" s="1546">
        <f>D67*'Agriculture forestry other 2022'!D58</f>
        <v>0</v>
      </c>
      <c r="F67" s="1541" t="s">
        <v>48</v>
      </c>
      <c r="G67" s="1451">
        <f>D67*'Agriculture forestry other 2022'!F58</f>
        <v>0</v>
      </c>
      <c r="H67" s="1510" t="s">
        <v>48</v>
      </c>
    </row>
    <row r="68" spans="1:8" ht="15" customHeight="1" thickBot="1">
      <c r="A68" s="1884"/>
      <c r="B68" s="164" t="s">
        <v>2286</v>
      </c>
      <c r="C68" s="137" t="s">
        <v>2277</v>
      </c>
      <c r="D68" s="1554"/>
      <c r="E68" s="1546">
        <f>D68*'Agriculture forestry other 2022'!D59</f>
        <v>0</v>
      </c>
      <c r="F68" s="1541" t="s">
        <v>48</v>
      </c>
      <c r="G68" s="1451">
        <f>D68*'Agriculture forestry other 2022'!F59</f>
        <v>0</v>
      </c>
      <c r="H68" s="1510" t="s">
        <v>48</v>
      </c>
    </row>
    <row r="69" spans="1:8" ht="15" customHeight="1" thickBot="1">
      <c r="A69" s="1884"/>
      <c r="B69" s="164" t="s">
        <v>1935</v>
      </c>
      <c r="C69" s="137" t="s">
        <v>2277</v>
      </c>
      <c r="D69" s="1554"/>
      <c r="E69" s="1546">
        <f>D69*'Agriculture forestry other 2022'!D60</f>
        <v>0</v>
      </c>
      <c r="F69" s="1541" t="s">
        <v>48</v>
      </c>
      <c r="G69" s="1451">
        <f>D69*'Agriculture forestry other 2022'!F60</f>
        <v>0</v>
      </c>
      <c r="H69" s="1510" t="s">
        <v>48</v>
      </c>
    </row>
    <row r="70" spans="1:8" ht="17.25" customHeight="1" thickBot="1">
      <c r="A70" s="2274" t="s">
        <v>2312</v>
      </c>
      <c r="B70" s="164" t="s">
        <v>2276</v>
      </c>
      <c r="C70" s="490" t="s">
        <v>2277</v>
      </c>
      <c r="D70" s="1554"/>
      <c r="E70" s="1546">
        <f>D70*'Agriculture forestry other 2022'!D61</f>
        <v>0</v>
      </c>
      <c r="F70" s="1541" t="s">
        <v>48</v>
      </c>
      <c r="G70" s="1451">
        <f>D70*'Agriculture forestry other 2022'!F61</f>
        <v>0</v>
      </c>
      <c r="H70" s="1510">
        <f>D70*'Agriculture forestry other 2022'!G61</f>
        <v>0</v>
      </c>
    </row>
    <row r="71" spans="1:8" ht="15.75" customHeight="1" thickBot="1">
      <c r="A71" s="1884"/>
      <c r="B71" s="164" t="s">
        <v>2279</v>
      </c>
      <c r="C71" s="490" t="s">
        <v>2277</v>
      </c>
      <c r="D71" s="1554"/>
      <c r="E71" s="1546">
        <f>D71*'Agriculture forestry other 2022'!D62</f>
        <v>0</v>
      </c>
      <c r="F71" s="1541" t="s">
        <v>48</v>
      </c>
      <c r="G71" s="1451">
        <f>D71*'Agriculture forestry other 2022'!F62</f>
        <v>0</v>
      </c>
      <c r="H71" s="1510">
        <f>D71*'Agriculture forestry other 2022'!G62</f>
        <v>0</v>
      </c>
    </row>
    <row r="72" spans="1:8" ht="15.75" customHeight="1" thickBot="1">
      <c r="A72" s="1884"/>
      <c r="B72" s="164" t="s">
        <v>2280</v>
      </c>
      <c r="C72" s="137" t="s">
        <v>2277</v>
      </c>
      <c r="D72" s="1554"/>
      <c r="E72" s="1546">
        <f>D72*'Agriculture forestry other 2022'!D63</f>
        <v>0</v>
      </c>
      <c r="F72" s="1541" t="s">
        <v>48</v>
      </c>
      <c r="G72" s="1451">
        <f>D72*'Agriculture forestry other 2022'!F63</f>
        <v>0</v>
      </c>
      <c r="H72" s="1510">
        <f>D72*'Agriculture forestry other 2022'!G63</f>
        <v>0</v>
      </c>
    </row>
    <row r="73" spans="1:8" ht="15.75" customHeight="1" thickBot="1">
      <c r="A73" s="1884"/>
      <c r="B73" s="164" t="s">
        <v>2281</v>
      </c>
      <c r="C73" s="490" t="s">
        <v>2277</v>
      </c>
      <c r="D73" s="1554"/>
      <c r="E73" s="1546">
        <f>D73*'Agriculture forestry other 2022'!D64</f>
        <v>0</v>
      </c>
      <c r="F73" s="1541" t="s">
        <v>48</v>
      </c>
      <c r="G73" s="1451">
        <f>D73*'Agriculture forestry other 2022'!F64</f>
        <v>0</v>
      </c>
      <c r="H73" s="1510">
        <f>D73*'Agriculture forestry other 2022'!G64</f>
        <v>0</v>
      </c>
    </row>
    <row r="74" spans="1:8" ht="15.75" customHeight="1" thickBot="1">
      <c r="A74" s="1884"/>
      <c r="B74" s="164" t="s">
        <v>2282</v>
      </c>
      <c r="C74" s="137" t="s">
        <v>2277</v>
      </c>
      <c r="D74" s="1554"/>
      <c r="E74" s="1546">
        <f>D74*'Agriculture forestry other 2022'!D65</f>
        <v>0</v>
      </c>
      <c r="F74" s="1541" t="s">
        <v>48</v>
      </c>
      <c r="G74" s="1451">
        <f>D74*'Agriculture forestry other 2022'!F65</f>
        <v>0</v>
      </c>
      <c r="H74" s="1510">
        <f>D74*'Agriculture forestry other 2022'!G65</f>
        <v>0</v>
      </c>
    </row>
    <row r="75" spans="1:8" ht="15.75" customHeight="1" thickBot="1">
      <c r="A75" s="1884"/>
      <c r="B75" s="164" t="s">
        <v>2283</v>
      </c>
      <c r="C75" s="137" t="s">
        <v>2277</v>
      </c>
      <c r="D75" s="1554"/>
      <c r="E75" s="1546">
        <f>D75*'Agriculture forestry other 2022'!D66</f>
        <v>0</v>
      </c>
      <c r="F75" s="1541" t="s">
        <v>48</v>
      </c>
      <c r="G75" s="1451">
        <f>D75*'Agriculture forestry other 2022'!F66</f>
        <v>0</v>
      </c>
      <c r="H75" s="1510">
        <f>D75*'Agriculture forestry other 2022'!G66</f>
        <v>0</v>
      </c>
    </row>
    <row r="76" spans="1:8" ht="15.75" customHeight="1" thickBot="1">
      <c r="A76" s="1884"/>
      <c r="B76" s="164" t="s">
        <v>2284</v>
      </c>
      <c r="C76" s="137" t="s">
        <v>2277</v>
      </c>
      <c r="D76" s="1554"/>
      <c r="E76" s="1546">
        <f>D76*'Agriculture forestry other 2022'!D67</f>
        <v>0</v>
      </c>
      <c r="F76" s="1541" t="s">
        <v>48</v>
      </c>
      <c r="G76" s="1451">
        <f>D76*'Agriculture forestry other 2022'!F67</f>
        <v>0</v>
      </c>
      <c r="H76" s="1510">
        <f>D76*'Agriculture forestry other 2022'!G67</f>
        <v>0</v>
      </c>
    </row>
    <row r="77" spans="1:8" ht="15.75" customHeight="1" thickBot="1">
      <c r="A77" s="1884"/>
      <c r="B77" s="164" t="s">
        <v>2414</v>
      </c>
      <c r="C77" s="137" t="s">
        <v>2277</v>
      </c>
      <c r="D77" s="1554"/>
      <c r="E77" s="1546">
        <f>D77*'Agriculture forestry other 2022'!D68</f>
        <v>0</v>
      </c>
      <c r="F77" s="1541" t="s">
        <v>48</v>
      </c>
      <c r="G77" s="1451">
        <f>D77*'Agriculture forestry other 2022'!F68</f>
        <v>0</v>
      </c>
      <c r="H77" s="1510">
        <f>D77*'Agriculture forestry other 2022'!G68</f>
        <v>0</v>
      </c>
    </row>
    <row r="78" spans="1:8" ht="16.5" customHeight="1" thickBot="1">
      <c r="A78" s="1884"/>
      <c r="B78" s="164" t="s">
        <v>2286</v>
      </c>
      <c r="C78" s="137" t="s">
        <v>2277</v>
      </c>
      <c r="D78" s="1554"/>
      <c r="E78" s="1546">
        <f>D78*'Agriculture forestry other 2022'!D69</f>
        <v>0</v>
      </c>
      <c r="F78" s="1541" t="s">
        <v>48</v>
      </c>
      <c r="G78" s="1451">
        <f>D78*'Agriculture forestry other 2022'!F69</f>
        <v>0</v>
      </c>
      <c r="H78" s="1510">
        <f>D78*'Agriculture forestry other 2022'!G69</f>
        <v>0</v>
      </c>
    </row>
    <row r="79" spans="1:8" ht="15.75" customHeight="1" thickBot="1">
      <c r="A79" s="1885"/>
      <c r="B79" s="164" t="s">
        <v>1935</v>
      </c>
      <c r="C79" s="137" t="s">
        <v>2277</v>
      </c>
      <c r="D79" s="1554"/>
      <c r="E79" s="1546">
        <f>D79*'Agriculture forestry other 2022'!D70</f>
        <v>0</v>
      </c>
      <c r="F79" s="1541" t="s">
        <v>48</v>
      </c>
      <c r="G79" s="1451">
        <f>D79*'Agriculture forestry other 2022'!F70</f>
        <v>0</v>
      </c>
      <c r="H79" s="1510">
        <f>D79*'Agriculture forestry other 2022'!G70</f>
        <v>0</v>
      </c>
    </row>
    <row r="80" spans="1:8" ht="17.25" customHeight="1" thickBot="1">
      <c r="A80" s="2231" t="s">
        <v>2289</v>
      </c>
      <c r="B80" s="164" t="s">
        <v>2338</v>
      </c>
      <c r="C80" s="490" t="s">
        <v>83</v>
      </c>
      <c r="D80" s="1554"/>
      <c r="E80" s="1546">
        <f>D80*'Agriculture forestry other 2022'!D71</f>
        <v>0</v>
      </c>
      <c r="F80" s="1541" t="s">
        <v>48</v>
      </c>
      <c r="G80" s="1510" t="s">
        <v>48</v>
      </c>
      <c r="H80" s="1547">
        <f>D80*'Agriculture forestry other 2022'!G71</f>
        <v>0</v>
      </c>
    </row>
    <row r="81" spans="1:8" ht="16.5" customHeight="1" thickBot="1">
      <c r="A81" s="2272"/>
      <c r="B81" s="164" t="s">
        <v>2415</v>
      </c>
      <c r="C81" s="490" t="s">
        <v>83</v>
      </c>
      <c r="D81" s="1554"/>
      <c r="E81" s="1522">
        <f>D81*'Agriculture forestry other 2022'!D72</f>
        <v>0</v>
      </c>
      <c r="F81" s="1548">
        <f>D81*'Agriculture forestry other 2022'!E72</f>
        <v>0</v>
      </c>
      <c r="G81" s="1510" t="s">
        <v>48</v>
      </c>
      <c r="H81" s="1547">
        <f>D81*'Agriculture forestry other 2022'!G72</f>
        <v>0</v>
      </c>
    </row>
    <row r="82" spans="1:8" ht="16.5" customHeight="1" thickBot="1">
      <c r="A82" s="2272"/>
      <c r="B82" s="164" t="s">
        <v>2416</v>
      </c>
      <c r="C82" s="137" t="s">
        <v>83</v>
      </c>
      <c r="D82" s="1554"/>
      <c r="E82" s="1522">
        <f>D82*'Agriculture forestry other 2022'!D73</f>
        <v>0</v>
      </c>
      <c r="F82" s="1548">
        <f>D82*'Agriculture forestry other 2022'!E73</f>
        <v>0</v>
      </c>
      <c r="G82" s="1510" t="s">
        <v>48</v>
      </c>
      <c r="H82" s="1547">
        <f>D82*'Agriculture forestry other 2022'!G73</f>
        <v>0</v>
      </c>
    </row>
    <row r="83" spans="1:8" ht="15" customHeight="1" thickBot="1">
      <c r="A83" s="2272"/>
      <c r="B83" s="164" t="s">
        <v>2296</v>
      </c>
      <c r="C83" s="490" t="s">
        <v>83</v>
      </c>
      <c r="D83" s="1554"/>
      <c r="E83" s="1546">
        <f>F83</f>
        <v>0</v>
      </c>
      <c r="F83" s="1541">
        <f>D83*'Agriculture forestry other 2022'!E74</f>
        <v>0</v>
      </c>
      <c r="G83" s="1510" t="s">
        <v>48</v>
      </c>
      <c r="H83" s="1510" t="s">
        <v>48</v>
      </c>
    </row>
    <row r="84" spans="1:8" ht="15" customHeight="1" thickBot="1">
      <c r="A84" s="2273"/>
      <c r="B84" s="164" t="s">
        <v>2297</v>
      </c>
      <c r="C84" s="490" t="s">
        <v>83</v>
      </c>
      <c r="D84" s="1554"/>
      <c r="E84" s="1546">
        <f>F84</f>
        <v>0</v>
      </c>
      <c r="F84" s="1548">
        <f>D84*'Agriculture forestry other 2022'!E75</f>
        <v>0</v>
      </c>
      <c r="G84" s="1510" t="s">
        <v>48</v>
      </c>
      <c r="H84" s="1510" t="s">
        <v>48</v>
      </c>
    </row>
    <row r="85" spans="1:8" ht="15" customHeight="1" thickBot="1">
      <c r="A85" s="2096" t="s">
        <v>2417</v>
      </c>
      <c r="B85" s="164" t="s">
        <v>2276</v>
      </c>
      <c r="C85" s="137" t="s">
        <v>2277</v>
      </c>
      <c r="D85" s="1554"/>
      <c r="E85" s="1546">
        <f>D85*'Agriculture forestry other 2022'!D76</f>
        <v>0</v>
      </c>
      <c r="F85" s="1541" t="s">
        <v>48</v>
      </c>
      <c r="G85" s="1510" t="s">
        <v>48</v>
      </c>
      <c r="H85" s="1510">
        <f>D85*'Agriculture forestry other 2022'!G76</f>
        <v>0</v>
      </c>
    </row>
    <row r="86" spans="1:8" ht="16.5" customHeight="1" thickBot="1">
      <c r="A86" s="2097"/>
      <c r="B86" s="164" t="s">
        <v>2279</v>
      </c>
      <c r="C86" s="490" t="s">
        <v>2277</v>
      </c>
      <c r="D86" s="1554"/>
      <c r="E86" s="1546">
        <f>D86*'Agriculture forestry other 2022'!D77</f>
        <v>0</v>
      </c>
      <c r="F86" s="1541" t="s">
        <v>48</v>
      </c>
      <c r="G86" s="1510" t="s">
        <v>48</v>
      </c>
      <c r="H86" s="1510">
        <f>D86*'Agriculture forestry other 2022'!G77</f>
        <v>0</v>
      </c>
    </row>
    <row r="87" spans="1:8" ht="15.75" customHeight="1" thickBot="1">
      <c r="A87" s="2097"/>
      <c r="B87" s="164" t="s">
        <v>2280</v>
      </c>
      <c r="C87" s="490" t="s">
        <v>2277</v>
      </c>
      <c r="D87" s="1554"/>
      <c r="E87" s="1546">
        <f>D87*'Agriculture forestry other 2022'!D78</f>
        <v>0</v>
      </c>
      <c r="F87" s="1541" t="s">
        <v>48</v>
      </c>
      <c r="G87" s="1510" t="s">
        <v>48</v>
      </c>
      <c r="H87" s="1510">
        <f>D87*'Agriculture forestry other 2022'!G78</f>
        <v>0</v>
      </c>
    </row>
    <row r="88" spans="1:8" ht="15.75" customHeight="1" thickBot="1">
      <c r="A88" s="2097"/>
      <c r="B88" s="164" t="s">
        <v>2281</v>
      </c>
      <c r="C88" s="137" t="s">
        <v>2277</v>
      </c>
      <c r="D88" s="1554"/>
      <c r="E88" s="1546">
        <f>D88*'Agriculture forestry other 2022'!D79</f>
        <v>0</v>
      </c>
      <c r="F88" s="1541" t="s">
        <v>48</v>
      </c>
      <c r="G88" s="1510" t="s">
        <v>48</v>
      </c>
      <c r="H88" s="1510">
        <f>D88*'Agriculture forestry other 2022'!G79</f>
        <v>0</v>
      </c>
    </row>
    <row r="89" spans="1:8" ht="16.5" customHeight="1" thickBot="1">
      <c r="A89" s="1549"/>
      <c r="B89" s="164" t="s">
        <v>2282</v>
      </c>
      <c r="C89" s="490" t="s">
        <v>2277</v>
      </c>
      <c r="D89" s="1554"/>
      <c r="E89" s="1546">
        <f>D89*'Agriculture forestry other 2022'!D80</f>
        <v>0</v>
      </c>
      <c r="F89" s="1541" t="s">
        <v>48</v>
      </c>
      <c r="G89" s="1510" t="s">
        <v>48</v>
      </c>
      <c r="H89" s="1510">
        <f>D89*'Agriculture forestry other 2022'!G80</f>
        <v>0</v>
      </c>
    </row>
    <row r="90" spans="1:8" ht="14.25" customHeight="1" thickBot="1">
      <c r="A90" s="1549"/>
      <c r="B90" s="164" t="s">
        <v>2283</v>
      </c>
      <c r="C90" s="490" t="s">
        <v>2277</v>
      </c>
      <c r="D90" s="1554"/>
      <c r="E90" s="1546">
        <f>D90*'Agriculture forestry other 2022'!D81</f>
        <v>0</v>
      </c>
      <c r="F90" s="1541" t="s">
        <v>48</v>
      </c>
      <c r="G90" s="1510" t="s">
        <v>48</v>
      </c>
      <c r="H90" s="1547">
        <f>D90*'Agriculture forestry other 2022'!G81</f>
        <v>0</v>
      </c>
    </row>
    <row r="91" spans="1:8" ht="16.5" customHeight="1" thickBot="1">
      <c r="A91" s="1549"/>
      <c r="B91" s="164" t="s">
        <v>2284</v>
      </c>
      <c r="C91" s="490" t="s">
        <v>2277</v>
      </c>
      <c r="D91" s="1554"/>
      <c r="E91" s="1546">
        <f>D91*'Agriculture forestry other 2022'!D82</f>
        <v>0</v>
      </c>
      <c r="F91" s="1541" t="s">
        <v>48</v>
      </c>
      <c r="G91" s="1510" t="s">
        <v>48</v>
      </c>
      <c r="H91" s="1547">
        <f>D91*'Agriculture forestry other 2022'!G82</f>
        <v>0</v>
      </c>
    </row>
    <row r="92" spans="1:8" ht="16.5" customHeight="1" thickBot="1">
      <c r="A92" s="1549"/>
      <c r="B92" s="164" t="s">
        <v>2414</v>
      </c>
      <c r="C92" s="490" t="s">
        <v>2277</v>
      </c>
      <c r="D92" s="1554"/>
      <c r="E92" s="1546">
        <f>D92*'Agriculture forestry other 2022'!D83</f>
        <v>0</v>
      </c>
      <c r="F92" s="1541" t="s">
        <v>48</v>
      </c>
      <c r="G92" s="1510" t="s">
        <v>48</v>
      </c>
      <c r="H92" s="1547">
        <f>D92*'Agriculture forestry other 2022'!G83</f>
        <v>0</v>
      </c>
    </row>
    <row r="93" spans="1:8" ht="17.25" customHeight="1" thickBot="1">
      <c r="A93" s="1549"/>
      <c r="B93" s="164" t="s">
        <v>2286</v>
      </c>
      <c r="C93" s="490" t="s">
        <v>2277</v>
      </c>
      <c r="D93" s="1554"/>
      <c r="E93" s="1546">
        <f>D93*'Agriculture forestry other 2022'!D84</f>
        <v>0</v>
      </c>
      <c r="F93" s="1541" t="s">
        <v>48</v>
      </c>
      <c r="G93" s="1510" t="s">
        <v>48</v>
      </c>
      <c r="H93" s="1547">
        <f>D93*'Agriculture forestry other 2022'!G84</f>
        <v>0</v>
      </c>
    </row>
    <row r="94" spans="1:8" ht="16.5" customHeight="1" thickBot="1">
      <c r="A94" s="1549"/>
      <c r="B94" s="164" t="s">
        <v>1935</v>
      </c>
      <c r="C94" s="490" t="s">
        <v>2277</v>
      </c>
      <c r="D94" s="1554"/>
      <c r="E94" s="1546">
        <f>D94*'Agriculture forestry other 2022'!D85</f>
        <v>0</v>
      </c>
      <c r="F94" s="1541" t="s">
        <v>48</v>
      </c>
      <c r="G94" s="1510" t="s">
        <v>48</v>
      </c>
      <c r="H94" s="1510">
        <f>D94*'Agriculture forestry other 2022'!G85</f>
        <v>0</v>
      </c>
    </row>
    <row r="95" spans="1:8">
      <c r="D95" s="1536" t="s">
        <v>247</v>
      </c>
      <c r="E95" s="1550">
        <f>SUM(E60:E94)</f>
        <v>0</v>
      </c>
      <c r="F95" s="1551">
        <f>SUM(F60:F94)</f>
        <v>0</v>
      </c>
      <c r="G95" s="1551">
        <f>SUM(G60:G94)</f>
        <v>0</v>
      </c>
      <c r="H95" s="1551">
        <f>SUM(H60:H94)</f>
        <v>0</v>
      </c>
    </row>
    <row r="97" s="102" customFormat="1" ht="15.75" thickBot="1"/>
  </sheetData>
  <sheetProtection algorithmName="SHA-512" hashValue="RpCiKiGqkpkqNSMPKb2aLXOZCBuN9p4SbZLa8g/upLK6L5iV6O4QL6e6YG+X27WKlRR79URWIdjADkqD43RKBA==" saltValue="SX05bes6IjGMeFutMXPTmA==" spinCount="100000" sheet="1" objects="1" scenarios="1" selectLockedCells="1"/>
  <mergeCells count="38">
    <mergeCell ref="A21:B21"/>
    <mergeCell ref="A19:B19"/>
    <mergeCell ref="A20:B20"/>
    <mergeCell ref="A22:H22"/>
    <mergeCell ref="A28:H28"/>
    <mergeCell ref="A23:B23"/>
    <mergeCell ref="A24:B24"/>
    <mergeCell ref="A25:B25"/>
    <mergeCell ref="A26:B26"/>
    <mergeCell ref="A27:B27"/>
    <mergeCell ref="A41:H41"/>
    <mergeCell ref="A50:H50"/>
    <mergeCell ref="A34:H34"/>
    <mergeCell ref="A29:B29"/>
    <mergeCell ref="A30:B30"/>
    <mergeCell ref="A31:B31"/>
    <mergeCell ref="A35:B35"/>
    <mergeCell ref="A36:H36"/>
    <mergeCell ref="A16:B16"/>
    <mergeCell ref="A18:B18"/>
    <mergeCell ref="A15:H15"/>
    <mergeCell ref="A1:H1"/>
    <mergeCell ref="A2:H2"/>
    <mergeCell ref="A17:H17"/>
    <mergeCell ref="A6:H6"/>
    <mergeCell ref="A7:H7"/>
    <mergeCell ref="A10:D10"/>
    <mergeCell ref="A11:D11"/>
    <mergeCell ref="A12:D12"/>
    <mergeCell ref="A85:A88"/>
    <mergeCell ref="E57:H57"/>
    <mergeCell ref="A58:B59"/>
    <mergeCell ref="C58:C59"/>
    <mergeCell ref="D58:D59"/>
    <mergeCell ref="A80:A84"/>
    <mergeCell ref="A60:A69"/>
    <mergeCell ref="A70:A79"/>
    <mergeCell ref="E58:H58"/>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62"/>
  <sheetViews>
    <sheetView workbookViewId="0">
      <selection activeCell="F8" sqref="F8"/>
    </sheetView>
  </sheetViews>
  <sheetFormatPr defaultRowHeight="15"/>
  <cols>
    <col min="1" max="1" width="19.5703125" customWidth="1"/>
    <col min="2" max="2" width="27.5703125" customWidth="1"/>
    <col min="3" max="3" width="20" customWidth="1"/>
    <col min="4" max="4" width="24.140625" customWidth="1"/>
    <col min="5" max="5" width="16.85546875" customWidth="1"/>
    <col min="6" max="6" width="15.140625" customWidth="1"/>
    <col min="7" max="7" width="16.5703125" customWidth="1"/>
    <col min="8" max="8" width="15.140625" customWidth="1"/>
  </cols>
  <sheetData>
    <row r="1" spans="1:8" ht="31.5">
      <c r="A1" s="1819" t="s">
        <v>63</v>
      </c>
      <c r="B1" s="1819"/>
      <c r="C1" s="1819"/>
      <c r="D1" s="1819"/>
      <c r="E1" s="1819"/>
      <c r="F1" s="1819"/>
      <c r="G1" s="1819"/>
      <c r="H1" s="1819"/>
    </row>
    <row r="2" spans="1:8" ht="23.25">
      <c r="A2" s="2280" t="s">
        <v>2418</v>
      </c>
      <c r="B2" s="2280"/>
      <c r="C2" s="2280"/>
      <c r="D2" s="2280"/>
      <c r="E2" s="2280"/>
      <c r="F2" s="2280"/>
      <c r="G2" s="2280"/>
      <c r="H2" s="2280"/>
    </row>
    <row r="3" spans="1:8" ht="23.25">
      <c r="A3" s="504"/>
      <c r="B3" s="504"/>
      <c r="C3" s="504"/>
      <c r="D3" s="504"/>
      <c r="E3" s="504"/>
      <c r="F3" s="504"/>
      <c r="G3" s="504"/>
      <c r="H3" s="504"/>
    </row>
    <row r="4" spans="1:8" ht="15.75" customHeight="1">
      <c r="A4" s="2291" t="s">
        <v>2103</v>
      </c>
      <c r="B4" s="2292"/>
      <c r="C4" s="2292"/>
      <c r="D4" s="2292"/>
      <c r="E4" s="2292"/>
      <c r="F4" s="2292"/>
      <c r="G4" s="2292"/>
      <c r="H4" s="2292"/>
    </row>
    <row r="5" spans="1:8" ht="15" customHeight="1">
      <c r="A5" s="2285" t="s">
        <v>2419</v>
      </c>
      <c r="B5" s="2286"/>
      <c r="C5" s="2286"/>
      <c r="D5" s="2286"/>
      <c r="E5" s="2286"/>
      <c r="F5" s="2286"/>
      <c r="G5" s="2286"/>
      <c r="H5" s="2287"/>
    </row>
    <row r="6" spans="1:8">
      <c r="A6" s="61"/>
      <c r="B6" s="61"/>
    </row>
    <row r="8" spans="1:8">
      <c r="B8" s="508" t="s">
        <v>2420</v>
      </c>
      <c r="C8" s="66"/>
      <c r="D8" s="66"/>
      <c r="E8" s="509"/>
    </row>
    <row r="9" spans="1:8">
      <c r="B9" s="514" t="s">
        <v>2421</v>
      </c>
      <c r="C9" s="503" t="s">
        <v>2422</v>
      </c>
      <c r="D9" s="502" t="s">
        <v>2423</v>
      </c>
      <c r="E9" s="511" t="s">
        <v>2424</v>
      </c>
    </row>
    <row r="10" spans="1:8">
      <c r="B10" s="515" t="s">
        <v>2425</v>
      </c>
      <c r="C10" s="164" t="s">
        <v>2426</v>
      </c>
      <c r="D10" s="506">
        <v>1000</v>
      </c>
      <c r="E10" s="523">
        <v>1000</v>
      </c>
    </row>
    <row r="11" spans="1:8">
      <c r="B11" s="515" t="s">
        <v>2427</v>
      </c>
      <c r="C11" s="164" t="s">
        <v>2428</v>
      </c>
      <c r="D11" s="507">
        <v>1000000</v>
      </c>
      <c r="E11" s="523">
        <v>1000000</v>
      </c>
    </row>
    <row r="12" spans="1:8">
      <c r="B12" s="515" t="s">
        <v>2429</v>
      </c>
      <c r="C12" s="164" t="s">
        <v>2430</v>
      </c>
      <c r="D12" s="506">
        <v>1000000000</v>
      </c>
      <c r="E12" s="523">
        <v>1000000000</v>
      </c>
    </row>
    <row r="13" spans="1:8">
      <c r="B13" s="515" t="s">
        <v>2431</v>
      </c>
      <c r="C13" s="164" t="s">
        <v>2432</v>
      </c>
      <c r="D13" s="507">
        <v>1000000000000</v>
      </c>
      <c r="E13" s="521">
        <v>1000000000000</v>
      </c>
    </row>
    <row r="14" spans="1:8" ht="15.75" thickBot="1">
      <c r="B14" s="516" t="s">
        <v>2433</v>
      </c>
      <c r="C14" s="517" t="s">
        <v>2006</v>
      </c>
      <c r="D14" s="518">
        <v>1000000000000000</v>
      </c>
      <c r="E14" s="522">
        <v>1000000000000000</v>
      </c>
    </row>
    <row r="15" spans="1:8" ht="15.75" thickTop="1"/>
    <row r="17" spans="2:8">
      <c r="B17" s="508" t="s">
        <v>772</v>
      </c>
      <c r="C17" s="66"/>
      <c r="D17" s="66"/>
      <c r="E17" s="172"/>
      <c r="F17" s="172"/>
      <c r="G17" s="509"/>
    </row>
    <row r="18" spans="2:8" ht="15.75" thickBot="1">
      <c r="B18" s="510"/>
      <c r="C18" s="503" t="s">
        <v>97</v>
      </c>
      <c r="D18" s="503" t="s">
        <v>96</v>
      </c>
      <c r="E18" s="503" t="s">
        <v>2434</v>
      </c>
      <c r="F18" s="503" t="s">
        <v>2435</v>
      </c>
      <c r="G18" s="511" t="s">
        <v>2436</v>
      </c>
    </row>
    <row r="19" spans="2:8" ht="15.75" thickTop="1">
      <c r="B19" s="519" t="s">
        <v>2437</v>
      </c>
      <c r="C19" s="530"/>
      <c r="D19" s="531">
        <v>277.77777777799997</v>
      </c>
      <c r="E19" s="532">
        <v>9.4781707770000008</v>
      </c>
      <c r="F19" s="532">
        <v>2.3884590000000001E-2</v>
      </c>
      <c r="G19" s="533">
        <v>238902.95761861501</v>
      </c>
    </row>
    <row r="20" spans="2:8">
      <c r="B20" s="519" t="s">
        <v>2438</v>
      </c>
      <c r="C20" s="534">
        <v>3.5999999999999999E-3</v>
      </c>
      <c r="D20" s="535"/>
      <c r="E20" s="536">
        <v>3.4121414797172706E-2</v>
      </c>
      <c r="F20" s="536">
        <v>8.5984523999931223E-5</v>
      </c>
      <c r="G20" s="537">
        <v>860.05064742632601</v>
      </c>
    </row>
    <row r="21" spans="2:8">
      <c r="B21" s="519" t="s">
        <v>2439</v>
      </c>
      <c r="C21" s="538">
        <v>0.10551000000000001</v>
      </c>
      <c r="D21" s="539">
        <v>29.307108334876538</v>
      </c>
      <c r="E21" s="535"/>
      <c r="F21" s="536">
        <v>2.5199577599887761E-3</v>
      </c>
      <c r="G21" s="540">
        <v>25205.597497604045</v>
      </c>
    </row>
    <row r="22" spans="2:8">
      <c r="B22" s="519" t="s">
        <v>2440</v>
      </c>
      <c r="C22" s="541">
        <v>41.868000000000002</v>
      </c>
      <c r="D22" s="542">
        <v>11629.999835793706</v>
      </c>
      <c r="E22" s="543">
        <v>396.83204848816752</v>
      </c>
      <c r="F22" s="535"/>
      <c r="G22" s="540">
        <v>10002388.888342442</v>
      </c>
    </row>
    <row r="23" spans="2:8" ht="15.75" thickBot="1">
      <c r="B23" s="520" t="s">
        <v>2441</v>
      </c>
      <c r="C23" s="544">
        <v>4.1860000000000002E-6</v>
      </c>
      <c r="D23" s="545">
        <v>1.1627222222231539E-3</v>
      </c>
      <c r="E23" s="546">
        <v>3.9673727238366659E-5</v>
      </c>
      <c r="F23" s="546">
        <v>9.9976116822000138E-8</v>
      </c>
      <c r="G23" s="547"/>
    </row>
    <row r="24" spans="2:8" ht="15.75" thickTop="1"/>
    <row r="26" spans="2:8">
      <c r="B26" s="508" t="s">
        <v>2442</v>
      </c>
      <c r="C26" s="66"/>
      <c r="D26" s="66"/>
      <c r="E26" s="172"/>
      <c r="F26" s="172"/>
      <c r="G26" s="172"/>
      <c r="H26" s="509"/>
    </row>
    <row r="27" spans="2:8" ht="18" thickBot="1">
      <c r="B27" s="510"/>
      <c r="C27" s="503" t="s">
        <v>2443</v>
      </c>
      <c r="D27" s="503" t="s">
        <v>2444</v>
      </c>
      <c r="E27" s="503" t="s">
        <v>2445</v>
      </c>
      <c r="F27" s="503" t="s">
        <v>2446</v>
      </c>
      <c r="G27" s="503" t="s">
        <v>2447</v>
      </c>
      <c r="H27" s="511" t="s">
        <v>2448</v>
      </c>
    </row>
    <row r="28" spans="2:8" ht="15.75" thickTop="1">
      <c r="B28" s="512" t="s">
        <v>2449</v>
      </c>
      <c r="C28" s="530"/>
      <c r="D28" s="548">
        <v>1E-3</v>
      </c>
      <c r="E28" s="549">
        <v>3.5314667000000001E-2</v>
      </c>
      <c r="F28" s="549">
        <v>0.21996924800000001</v>
      </c>
      <c r="G28" s="549">
        <v>0.26417205100000002</v>
      </c>
      <c r="H28" s="550">
        <v>6.2898110000000002E-3</v>
      </c>
    </row>
    <row r="29" spans="2:8" ht="17.25">
      <c r="B29" s="512" t="s">
        <v>2450</v>
      </c>
      <c r="C29" s="534">
        <v>1000</v>
      </c>
      <c r="D29" s="535"/>
      <c r="E29" s="551">
        <v>35.314667</v>
      </c>
      <c r="F29" s="552">
        <v>219.96924799999999</v>
      </c>
      <c r="G29" s="552">
        <v>264.17205100000001</v>
      </c>
      <c r="H29" s="553">
        <v>6.2898110000000003</v>
      </c>
    </row>
    <row r="30" spans="2:8">
      <c r="B30" s="512" t="s">
        <v>2451</v>
      </c>
      <c r="C30" s="554">
        <v>28.316846368677353</v>
      </c>
      <c r="D30" s="555">
        <v>2.8316846368677356E-2</v>
      </c>
      <c r="E30" s="535"/>
      <c r="F30" s="556">
        <v>6.228835401449488</v>
      </c>
      <c r="G30" s="555">
        <v>7.4805193830653991</v>
      </c>
      <c r="H30" s="557">
        <v>0.17810761177501688</v>
      </c>
    </row>
    <row r="31" spans="2:8">
      <c r="B31" s="512" t="s">
        <v>2452</v>
      </c>
      <c r="C31" s="558">
        <v>4.5460900061812275</v>
      </c>
      <c r="D31" s="555">
        <v>4.5460900061812274E-3</v>
      </c>
      <c r="E31" s="555">
        <v>0.16054365472031801</v>
      </c>
      <c r="F31" s="535"/>
      <c r="G31" s="555">
        <v>1.2009499209634977</v>
      </c>
      <c r="H31" s="559">
        <v>2.8594046927868752E-2</v>
      </c>
    </row>
    <row r="32" spans="2:8">
      <c r="B32" s="512" t="s">
        <v>2447</v>
      </c>
      <c r="C32" s="558">
        <v>3.7854118034613733</v>
      </c>
      <c r="D32" s="560">
        <v>3.7854118034613732E-3</v>
      </c>
      <c r="E32" s="555">
        <v>0.13368055729710784</v>
      </c>
      <c r="F32" s="555">
        <v>0.83267418777772206</v>
      </c>
      <c r="G32" s="535"/>
      <c r="H32" s="559">
        <v>2.3809524800941183E-2</v>
      </c>
    </row>
    <row r="33" spans="2:8" ht="15.75" thickBot="1">
      <c r="B33" s="513" t="s">
        <v>2453</v>
      </c>
      <c r="C33" s="561">
        <v>158.98728912522174</v>
      </c>
      <c r="D33" s="562">
        <v>0.15898728912522173</v>
      </c>
      <c r="E33" s="563">
        <v>5.6145831726899269</v>
      </c>
      <c r="F33" s="564">
        <v>34.972314430433606</v>
      </c>
      <c r="G33" s="565">
        <v>41.999998251139822</v>
      </c>
      <c r="H33" s="547"/>
    </row>
    <row r="34" spans="2:8" ht="15.75" thickTop="1">
      <c r="B34" s="1344"/>
      <c r="C34" s="1344"/>
      <c r="D34" s="1344"/>
      <c r="E34" s="1344"/>
      <c r="F34" s="1344"/>
      <c r="G34" s="1344"/>
      <c r="H34" s="1344"/>
    </row>
    <row r="35" spans="2:8">
      <c r="B35" s="1344"/>
      <c r="C35" s="1344"/>
      <c r="D35" s="1344"/>
      <c r="E35" s="1344"/>
      <c r="F35" s="1344"/>
      <c r="G35" s="1344"/>
      <c r="H35" s="1344"/>
    </row>
    <row r="36" spans="2:8">
      <c r="B36" s="508" t="s">
        <v>2454</v>
      </c>
      <c r="C36" s="66"/>
      <c r="D36" s="66"/>
      <c r="E36" s="172"/>
      <c r="F36" s="172"/>
      <c r="G36" s="509"/>
      <c r="H36" s="1344"/>
    </row>
    <row r="37" spans="2:8" ht="15.75" thickBot="1">
      <c r="B37" s="510"/>
      <c r="C37" s="503" t="s">
        <v>83</v>
      </c>
      <c r="D37" s="503" t="s">
        <v>2455</v>
      </c>
      <c r="E37" s="503" t="s">
        <v>2456</v>
      </c>
      <c r="F37" s="503" t="s">
        <v>2457</v>
      </c>
      <c r="G37" s="511" t="s">
        <v>2458</v>
      </c>
      <c r="H37" s="1344"/>
    </row>
    <row r="38" spans="2:8" ht="15.75" thickTop="1">
      <c r="B38" s="512" t="s">
        <v>2459</v>
      </c>
      <c r="C38" s="530"/>
      <c r="D38" s="548">
        <v>1E-3</v>
      </c>
      <c r="E38" s="549">
        <v>9.8420699999999996E-4</v>
      </c>
      <c r="F38" s="549">
        <v>1.1023109999999999E-3</v>
      </c>
      <c r="G38" s="566">
        <v>2.2046236800000001</v>
      </c>
      <c r="H38" s="1344"/>
    </row>
    <row r="39" spans="2:8">
      <c r="B39" s="512" t="s">
        <v>2460</v>
      </c>
      <c r="C39" s="534">
        <v>1000</v>
      </c>
      <c r="D39" s="535"/>
      <c r="E39" s="555">
        <v>0.98420699999999994</v>
      </c>
      <c r="F39" s="555">
        <v>1.1023109999999998</v>
      </c>
      <c r="G39" s="557">
        <v>2204.6236800000001</v>
      </c>
      <c r="H39" s="1344"/>
    </row>
    <row r="40" spans="2:8">
      <c r="B40" s="512" t="s">
        <v>2461</v>
      </c>
      <c r="C40" s="538">
        <v>1016.0464211288886</v>
      </c>
      <c r="D40" s="555">
        <v>1.0160464211288887</v>
      </c>
      <c r="E40" s="535"/>
      <c r="F40" s="555">
        <v>1.1199991465210062</v>
      </c>
      <c r="G40" s="567">
        <v>2240</v>
      </c>
      <c r="H40" s="1344"/>
    </row>
    <row r="41" spans="2:8">
      <c r="B41" s="512" t="s">
        <v>2462</v>
      </c>
      <c r="C41" s="541">
        <v>907.18499588591612</v>
      </c>
      <c r="D41" s="555">
        <v>0.90718499588591617</v>
      </c>
      <c r="E41" s="555">
        <v>0.8928578232458898</v>
      </c>
      <c r="F41" s="535"/>
      <c r="G41" s="567">
        <v>2000.0015240707933</v>
      </c>
      <c r="H41" s="1344"/>
    </row>
    <row r="42" spans="2:8" ht="15.75" thickBot="1">
      <c r="B42" s="513" t="s">
        <v>2463</v>
      </c>
      <c r="C42" s="544">
        <v>0.45359215228968236</v>
      </c>
      <c r="D42" s="568">
        <v>4.5359215228968239E-4</v>
      </c>
      <c r="E42" s="568">
        <v>4.4642857142857141E-4</v>
      </c>
      <c r="F42" s="562">
        <v>4.9999961898259206E-4</v>
      </c>
      <c r="G42" s="547"/>
      <c r="H42" s="1344"/>
    </row>
    <row r="43" spans="2:8" ht="15.75" thickTop="1">
      <c r="B43" s="1344"/>
      <c r="C43" s="1344"/>
      <c r="D43" s="1344"/>
      <c r="E43" s="1344"/>
      <c r="F43" s="1344"/>
      <c r="G43" s="1344"/>
      <c r="H43" s="1344"/>
    </row>
    <row r="44" spans="2:8">
      <c r="B44" s="1344"/>
      <c r="C44" s="1344"/>
      <c r="D44" s="1344"/>
      <c r="E44" s="1344"/>
      <c r="F44" s="1344"/>
      <c r="G44" s="1344"/>
      <c r="H44" s="1344"/>
    </row>
    <row r="45" spans="2:8">
      <c r="B45" s="508" t="s">
        <v>2464</v>
      </c>
      <c r="C45" s="66"/>
      <c r="D45" s="66"/>
      <c r="E45" s="172"/>
      <c r="F45" s="172"/>
      <c r="G45" s="509"/>
      <c r="H45" s="1344"/>
    </row>
    <row r="46" spans="2:8" ht="15.75" thickBot="1">
      <c r="B46" s="510"/>
      <c r="C46" s="503" t="s">
        <v>2465</v>
      </c>
      <c r="D46" s="503" t="s">
        <v>2466</v>
      </c>
      <c r="E46" s="503" t="s">
        <v>2467</v>
      </c>
      <c r="F46" s="503" t="s">
        <v>1211</v>
      </c>
      <c r="G46" s="511" t="s">
        <v>2468</v>
      </c>
      <c r="H46" s="1344"/>
    </row>
    <row r="47" spans="2:8" ht="15.75" thickTop="1">
      <c r="B47" s="512" t="s">
        <v>2469</v>
      </c>
      <c r="C47" s="530"/>
      <c r="D47" s="569">
        <v>3.2808398950000002</v>
      </c>
      <c r="E47" s="570">
        <v>6.2137119223733392E-4</v>
      </c>
      <c r="F47" s="571">
        <v>1E-3</v>
      </c>
      <c r="G47" s="572">
        <v>5.3995680351745805E-4</v>
      </c>
      <c r="H47" s="1344"/>
    </row>
    <row r="48" spans="2:8">
      <c r="B48" s="512" t="s">
        <v>2470</v>
      </c>
      <c r="C48" s="538">
        <v>0.30480000000121921</v>
      </c>
      <c r="D48" s="535"/>
      <c r="E48" s="551">
        <v>1.8939393939469695E-4</v>
      </c>
      <c r="F48" s="560">
        <v>3.0480000000121922E-4</v>
      </c>
      <c r="G48" s="573">
        <v>1.6457883371277953E-4</v>
      </c>
      <c r="H48" s="1344"/>
    </row>
    <row r="49" spans="2:8">
      <c r="B49" s="512" t="s">
        <v>2471</v>
      </c>
      <c r="C49" s="541">
        <v>1609.3440000000001</v>
      </c>
      <c r="D49" s="574">
        <v>5279.9999999788806</v>
      </c>
      <c r="E49" s="535"/>
      <c r="F49" s="555">
        <v>1.6093440000000001</v>
      </c>
      <c r="G49" s="557">
        <v>0.86897624200000001</v>
      </c>
      <c r="H49" s="1344"/>
    </row>
    <row r="50" spans="2:8">
      <c r="B50" s="512" t="s">
        <v>2472</v>
      </c>
      <c r="C50" s="534">
        <v>1000</v>
      </c>
      <c r="D50" s="575">
        <v>3280.8398950000001</v>
      </c>
      <c r="E50" s="555">
        <v>0.62137119223733395</v>
      </c>
      <c r="F50" s="535"/>
      <c r="G50" s="557">
        <v>0.53995680351745801</v>
      </c>
      <c r="H50" s="1344"/>
    </row>
    <row r="51" spans="2:8" ht="15.75" thickBot="1">
      <c r="B51" s="513" t="s">
        <v>2473</v>
      </c>
      <c r="C51" s="576">
        <v>1851.9999997882567</v>
      </c>
      <c r="D51" s="577">
        <v>6076.1154848453043</v>
      </c>
      <c r="E51" s="562">
        <v>1.1507794478919713</v>
      </c>
      <c r="F51" s="564">
        <v>1.8519999997882568</v>
      </c>
      <c r="G51" s="547"/>
      <c r="H51" s="1344"/>
    </row>
    <row r="52" spans="2:8" ht="15.75" thickTop="1">
      <c r="B52" s="1344"/>
      <c r="C52" s="1344"/>
      <c r="D52" s="1344"/>
      <c r="E52" s="1344"/>
      <c r="F52" s="1344"/>
      <c r="G52" s="1344"/>
      <c r="H52" s="1344"/>
    </row>
    <row r="53" spans="2:8">
      <c r="B53" s="1344"/>
      <c r="C53" s="1344"/>
      <c r="D53" s="1344"/>
      <c r="E53" s="1344"/>
      <c r="F53" s="1344"/>
      <c r="G53" s="1344"/>
      <c r="H53" s="1344"/>
    </row>
    <row r="54" spans="2:8">
      <c r="B54" s="508" t="s">
        <v>2464</v>
      </c>
      <c r="C54" s="66"/>
      <c r="D54" s="66"/>
      <c r="E54" s="172"/>
      <c r="F54" s="172"/>
      <c r="G54" s="509"/>
      <c r="H54" s="1344"/>
    </row>
    <row r="55" spans="2:8" ht="15.75" thickBot="1">
      <c r="B55" s="510"/>
      <c r="C55" s="503" t="s">
        <v>2465</v>
      </c>
      <c r="D55" s="503" t="s">
        <v>2466</v>
      </c>
      <c r="E55" s="503" t="s">
        <v>2474</v>
      </c>
      <c r="F55" s="503" t="s">
        <v>2475</v>
      </c>
      <c r="G55" s="511" t="s">
        <v>2476</v>
      </c>
      <c r="H55" s="1344"/>
    </row>
    <row r="56" spans="2:8" ht="15.75" thickTop="1">
      <c r="B56" s="512" t="s">
        <v>2469</v>
      </c>
      <c r="C56" s="530"/>
      <c r="D56" s="549">
        <v>3.2808398950000002</v>
      </c>
      <c r="E56" s="549">
        <v>39.370078739999997</v>
      </c>
      <c r="F56" s="578">
        <v>100</v>
      </c>
      <c r="G56" s="566">
        <v>1.093613298</v>
      </c>
      <c r="H56" s="1344"/>
    </row>
    <row r="57" spans="2:8">
      <c r="B57" s="512" t="s">
        <v>2470</v>
      </c>
      <c r="C57" s="538">
        <v>0.30480000000121921</v>
      </c>
      <c r="D57" s="535"/>
      <c r="E57" s="574">
        <v>12</v>
      </c>
      <c r="F57" s="555">
        <v>30.480000000121919</v>
      </c>
      <c r="G57" s="557">
        <v>0.33333333323173331</v>
      </c>
      <c r="H57" s="1344"/>
    </row>
    <row r="58" spans="2:8">
      <c r="B58" s="512" t="s">
        <v>2477</v>
      </c>
      <c r="C58" s="538">
        <v>2.5400000000101602E-2</v>
      </c>
      <c r="D58" s="555">
        <v>8.3333333333333343E-2</v>
      </c>
      <c r="E58" s="535"/>
      <c r="F58" s="555">
        <v>2.5400000000101604</v>
      </c>
      <c r="G58" s="557">
        <v>2.7777777769311111E-2</v>
      </c>
      <c r="H58" s="1344"/>
    </row>
    <row r="59" spans="2:8">
      <c r="B59" s="512" t="s">
        <v>2478</v>
      </c>
      <c r="C59" s="541">
        <v>0.01</v>
      </c>
      <c r="D59" s="555">
        <v>3.2808398950000005E-2</v>
      </c>
      <c r="E59" s="555">
        <v>0.39370078739999997</v>
      </c>
      <c r="F59" s="535"/>
      <c r="G59" s="557">
        <v>1.0936132979999999E-2</v>
      </c>
      <c r="H59" s="1344"/>
    </row>
    <row r="60" spans="2:8" ht="15.75" thickBot="1">
      <c r="B60" s="513" t="s">
        <v>2479</v>
      </c>
      <c r="C60" s="544">
        <v>0.91440000028236679</v>
      </c>
      <c r="D60" s="565">
        <v>3.0000000009144006</v>
      </c>
      <c r="E60" s="565">
        <v>36.000000010972798</v>
      </c>
      <c r="F60" s="562">
        <v>91.440000028236682</v>
      </c>
      <c r="G60" s="547"/>
      <c r="H60" s="1344"/>
    </row>
    <row r="61" spans="2:8" ht="15.75" thickTop="1"/>
    <row r="62" spans="2:8" s="102" customFormat="1" ht="15.75" thickBot="1"/>
  </sheetData>
  <sheetProtection sheet="1" objects="1" scenarios="1"/>
  <mergeCells count="4">
    <mergeCell ref="A1:H1"/>
    <mergeCell ref="A2:H2"/>
    <mergeCell ref="A5:H5"/>
    <mergeCell ref="A4:H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Z345"/>
  <sheetViews>
    <sheetView topLeftCell="A4" zoomScale="80" zoomScaleNormal="80" workbookViewId="0">
      <pane ySplit="5" topLeftCell="A38" activePane="bottomLeft" state="frozen"/>
      <selection activeCell="A4" sqref="A4"/>
      <selection pane="bottomLeft" activeCell="G44" sqref="G44"/>
    </sheetView>
  </sheetViews>
  <sheetFormatPr defaultColWidth="9.140625" defaultRowHeight="15"/>
  <cols>
    <col min="1" max="1" width="27.7109375" customWidth="1"/>
    <col min="2" max="2" width="36" customWidth="1"/>
    <col min="3" max="3" width="27.28515625" customWidth="1"/>
    <col min="4" max="4" width="28.5703125" customWidth="1"/>
    <col min="5" max="5" width="22.7109375" customWidth="1"/>
    <col min="6" max="6" width="22.85546875" customWidth="1"/>
    <col min="7" max="7" width="14.5703125" customWidth="1"/>
    <col min="8" max="8" width="20" customWidth="1"/>
    <col min="9" max="9" width="38.7109375" customWidth="1"/>
    <col min="10" max="10" width="13.28515625" customWidth="1"/>
    <col min="11" max="11" width="17.5703125" customWidth="1"/>
    <col min="12" max="12" width="53" customWidth="1"/>
    <col min="13" max="13" width="23.42578125" customWidth="1"/>
    <col min="14" max="14" width="13.140625" customWidth="1"/>
    <col min="15" max="15" width="22" customWidth="1"/>
    <col min="16" max="16" width="12.85546875" customWidth="1"/>
    <col min="17" max="17" width="17.7109375" customWidth="1"/>
    <col min="18" max="18" width="11.42578125" customWidth="1"/>
    <col min="19" max="19" width="9.28515625" bestFit="1" customWidth="1"/>
    <col min="20" max="20" width="10" bestFit="1" customWidth="1"/>
    <col min="21" max="21" width="16.140625" customWidth="1"/>
    <col min="22" max="22" width="11.7109375" customWidth="1"/>
    <col min="23" max="23" width="16.28515625" customWidth="1"/>
    <col min="24" max="24" width="14.42578125" customWidth="1"/>
    <col min="25" max="25" width="12" customWidth="1"/>
    <col min="26" max="26" width="12.140625" customWidth="1"/>
    <col min="27" max="27" width="14.5703125" customWidth="1"/>
    <col min="28" max="28" width="14" customWidth="1"/>
  </cols>
  <sheetData>
    <row r="1" spans="1:15" ht="31.5">
      <c r="A1" s="64" t="s">
        <v>63</v>
      </c>
      <c r="M1" s="419" t="s">
        <v>64</v>
      </c>
      <c r="N1" s="419"/>
    </row>
    <row r="2" spans="1:15" ht="12.75" customHeight="1">
      <c r="A2" s="65"/>
    </row>
    <row r="3" spans="1:15" ht="10.5" customHeight="1">
      <c r="A3" s="2"/>
    </row>
    <row r="4" spans="1:15" ht="31.5">
      <c r="A4" s="64" t="s">
        <v>65</v>
      </c>
      <c r="M4" s="228"/>
      <c r="N4" s="228"/>
      <c r="O4" s="61"/>
    </row>
    <row r="5" spans="1:15">
      <c r="A5" s="1820" t="s">
        <v>66</v>
      </c>
      <c r="B5" s="1820"/>
      <c r="C5" s="1820"/>
      <c r="D5" s="1820"/>
      <c r="E5" s="1820"/>
      <c r="F5" s="1820"/>
      <c r="G5" s="1820"/>
      <c r="H5" s="1820"/>
      <c r="I5" s="1820"/>
      <c r="J5" s="1820"/>
      <c r="K5" s="1820"/>
      <c r="L5" s="1820"/>
    </row>
    <row r="6" spans="1:15" ht="83.25" customHeight="1">
      <c r="A6" s="1802" t="s">
        <v>67</v>
      </c>
      <c r="B6" s="1802"/>
      <c r="C6" s="1802"/>
      <c r="D6" s="1802"/>
      <c r="E6" s="1802"/>
      <c r="F6" s="1802"/>
      <c r="G6" s="1802"/>
      <c r="H6" s="1802"/>
      <c r="I6" s="1802"/>
      <c r="J6" s="1802"/>
      <c r="K6" s="1802"/>
      <c r="L6" s="1802"/>
    </row>
    <row r="7" spans="1:15">
      <c r="A7" s="36"/>
      <c r="B7" s="36"/>
      <c r="C7" s="36"/>
      <c r="D7" s="36"/>
      <c r="E7" s="36"/>
      <c r="F7" s="36"/>
      <c r="G7" s="36"/>
      <c r="H7" s="36"/>
      <c r="I7" s="36"/>
      <c r="J7" s="36"/>
      <c r="K7" s="36"/>
      <c r="L7" s="36"/>
    </row>
    <row r="8" spans="1:15">
      <c r="A8" s="1869" t="s">
        <v>68</v>
      </c>
      <c r="B8" s="1870"/>
      <c r="C8" s="1870"/>
      <c r="D8" s="1870"/>
      <c r="E8" s="1870"/>
      <c r="F8" s="1870"/>
      <c r="G8" s="1870"/>
      <c r="H8" s="1870"/>
      <c r="I8" s="1870"/>
      <c r="J8" s="1870"/>
      <c r="K8" s="1870"/>
      <c r="L8" s="1871"/>
    </row>
    <row r="9" spans="1:15" ht="15" customHeight="1">
      <c r="A9" s="1872" t="s">
        <v>69</v>
      </c>
      <c r="B9" s="1873"/>
      <c r="C9" s="1874" t="s">
        <v>70</v>
      </c>
      <c r="D9" s="1875" t="s">
        <v>71</v>
      </c>
      <c r="E9" s="1876" t="s">
        <v>72</v>
      </c>
      <c r="F9" s="1876" t="s">
        <v>73</v>
      </c>
      <c r="G9" s="1876" t="s">
        <v>74</v>
      </c>
      <c r="H9" s="1873" t="s">
        <v>75</v>
      </c>
      <c r="I9" s="1873"/>
      <c r="J9" s="1873"/>
      <c r="K9" s="1873"/>
      <c r="L9" s="1878" t="s">
        <v>76</v>
      </c>
    </row>
    <row r="10" spans="1:15" ht="18" customHeight="1">
      <c r="A10" s="1872"/>
      <c r="B10" s="1873"/>
      <c r="C10" s="1874"/>
      <c r="D10" s="1875"/>
      <c r="E10" s="1877"/>
      <c r="F10" s="1877"/>
      <c r="G10" s="1877"/>
      <c r="H10" s="877" t="s">
        <v>71</v>
      </c>
      <c r="I10" s="878" t="s">
        <v>77</v>
      </c>
      <c r="J10" s="878" t="s">
        <v>78</v>
      </c>
      <c r="K10" s="878" t="s">
        <v>79</v>
      </c>
      <c r="L10" s="1878"/>
      <c r="N10" s="1866"/>
      <c r="O10" s="1866"/>
    </row>
    <row r="11" spans="1:15" ht="15.75" customHeight="1">
      <c r="A11" s="1858" t="s">
        <v>80</v>
      </c>
      <c r="B11" s="1867" t="s">
        <v>81</v>
      </c>
      <c r="C11" s="1867"/>
      <c r="D11" s="1867"/>
      <c r="E11" s="1867"/>
      <c r="F11" s="1867"/>
      <c r="G11" s="1867"/>
      <c r="H11" s="1867"/>
      <c r="I11" s="1867"/>
      <c r="J11" s="1867"/>
      <c r="K11" s="1867"/>
      <c r="L11" s="1868"/>
      <c r="N11" s="806"/>
    </row>
    <row r="12" spans="1:15" ht="15" customHeight="1">
      <c r="A12" s="1858"/>
      <c r="B12" s="876" t="s">
        <v>82</v>
      </c>
      <c r="C12" s="876" t="s">
        <v>83</v>
      </c>
      <c r="D12" s="887">
        <v>2.0973536537348423</v>
      </c>
      <c r="E12" s="888">
        <v>1.9382386538339411</v>
      </c>
      <c r="F12" s="898">
        <v>0.1501651565693671</v>
      </c>
      <c r="G12" s="899">
        <v>8.9498433315342799E-3</v>
      </c>
      <c r="H12" s="883">
        <v>4.9000000000000002E-2</v>
      </c>
      <c r="I12" s="884">
        <v>3.5000000000000003E-2</v>
      </c>
      <c r="J12" s="885">
        <v>0.5</v>
      </c>
      <c r="K12" s="885">
        <v>0.5</v>
      </c>
      <c r="L12" s="1657" t="s">
        <v>84</v>
      </c>
      <c r="M12" s="446"/>
      <c r="N12" s="767"/>
    </row>
    <row r="13" spans="1:15" ht="15" customHeight="1">
      <c r="A13" s="1858"/>
      <c r="B13" s="876" t="s">
        <v>85</v>
      </c>
      <c r="C13" s="876" t="s">
        <v>83</v>
      </c>
      <c r="D13" s="879">
        <v>2.86075483376499</v>
      </c>
      <c r="E13" s="880">
        <v>2.6373603786678332</v>
      </c>
      <c r="F13" s="881">
        <v>0.21082904407055211</v>
      </c>
      <c r="G13" s="886">
        <v>1.2565411026604908E-2</v>
      </c>
      <c r="H13" s="883">
        <v>4.8000000000000001E-2</v>
      </c>
      <c r="I13" s="884">
        <v>3.5000000000000003E-2</v>
      </c>
      <c r="J13" s="885">
        <v>0.5</v>
      </c>
      <c r="K13" s="885">
        <v>0.5</v>
      </c>
      <c r="L13" s="1657" t="s">
        <v>84</v>
      </c>
      <c r="M13" s="446"/>
      <c r="N13" s="767"/>
    </row>
    <row r="14" spans="1:15" ht="15" customHeight="1">
      <c r="A14" s="1858"/>
      <c r="B14" s="876" t="s">
        <v>86</v>
      </c>
      <c r="C14" s="876" t="s">
        <v>83</v>
      </c>
      <c r="D14" s="879">
        <v>2.1544122891419017</v>
      </c>
      <c r="E14" s="880">
        <v>1.9910094769085844</v>
      </c>
      <c r="F14" s="881">
        <v>0.15421178957466752</v>
      </c>
      <c r="G14" s="886">
        <v>9.1910226586501848E-3</v>
      </c>
      <c r="H14" s="883">
        <v>4.8000000000000001E-2</v>
      </c>
      <c r="I14" s="884">
        <v>3.5000000000000003E-2</v>
      </c>
      <c r="J14" s="885">
        <v>0.5</v>
      </c>
      <c r="K14" s="885">
        <v>0.5</v>
      </c>
      <c r="L14" s="1657" t="s">
        <v>84</v>
      </c>
      <c r="M14" s="446"/>
      <c r="N14" s="767"/>
    </row>
    <row r="15" spans="1:15" ht="15" customHeight="1">
      <c r="A15" s="1858"/>
      <c r="B15" s="876" t="s">
        <v>87</v>
      </c>
      <c r="C15" s="876" t="s">
        <v>83</v>
      </c>
      <c r="D15" s="879">
        <v>1.5356222285814181</v>
      </c>
      <c r="E15" s="880">
        <v>1.4204478726402867</v>
      </c>
      <c r="F15" s="881">
        <v>0.1086960701596181</v>
      </c>
      <c r="G15" s="886">
        <v>6.4782857815132398E-3</v>
      </c>
      <c r="H15" s="883">
        <v>4.8000000000000001E-2</v>
      </c>
      <c r="I15" s="884">
        <v>3.5000000000000003E-2</v>
      </c>
      <c r="J15" s="885">
        <v>0.5</v>
      </c>
      <c r="K15" s="885">
        <v>0.5</v>
      </c>
      <c r="L15" s="1657" t="s">
        <v>84</v>
      </c>
      <c r="M15" s="446"/>
      <c r="N15" s="767"/>
    </row>
    <row r="16" spans="1:15" ht="15" customHeight="1">
      <c r="A16" s="1858"/>
      <c r="B16" s="1854" t="s">
        <v>88</v>
      </c>
      <c r="C16" s="1854"/>
      <c r="D16" s="1854"/>
      <c r="E16" s="1854"/>
      <c r="F16" s="1854"/>
      <c r="G16" s="1854"/>
      <c r="H16" s="1854"/>
      <c r="I16" s="1854"/>
      <c r="J16" s="1854"/>
      <c r="K16" s="1854"/>
      <c r="L16" s="1855"/>
      <c r="N16" s="447"/>
    </row>
    <row r="17" spans="1:14" ht="15" customHeight="1">
      <c r="A17" s="1858"/>
      <c r="B17" s="876" t="s">
        <v>89</v>
      </c>
      <c r="C17" s="876" t="s">
        <v>83</v>
      </c>
      <c r="D17" s="887">
        <v>2.0071916460382564</v>
      </c>
      <c r="E17" s="888">
        <v>1.9927799860062074</v>
      </c>
      <c r="F17" s="899">
        <v>5.1691750473632381E-3</v>
      </c>
      <c r="G17" s="899">
        <v>9.2424849846854708E-3</v>
      </c>
      <c r="H17" s="883">
        <v>3.5000000000000003E-2</v>
      </c>
      <c r="I17" s="884">
        <v>3.5000000000000003E-2</v>
      </c>
      <c r="J17" s="885">
        <v>0.5</v>
      </c>
      <c r="K17" s="885">
        <v>0.5</v>
      </c>
      <c r="L17" s="1657" t="s">
        <v>84</v>
      </c>
      <c r="M17" s="446"/>
      <c r="N17" s="447"/>
    </row>
    <row r="18" spans="1:14" ht="15" customHeight="1">
      <c r="A18" s="1858"/>
      <c r="B18" s="876" t="s">
        <v>85</v>
      </c>
      <c r="C18" s="876" t="s">
        <v>83</v>
      </c>
      <c r="D18" s="879">
        <v>2.6569534244967898</v>
      </c>
      <c r="E18" s="880">
        <v>2.6373603786678332</v>
      </c>
      <c r="F18" s="882">
        <v>7.0276348023517368E-3</v>
      </c>
      <c r="G18" s="886">
        <v>1.2565411026604908E-2</v>
      </c>
      <c r="H18" s="883">
        <v>3.5000000000000003E-2</v>
      </c>
      <c r="I18" s="884">
        <v>3.5000000000000003E-2</v>
      </c>
      <c r="J18" s="885">
        <v>0.5</v>
      </c>
      <c r="K18" s="885">
        <v>0.5</v>
      </c>
      <c r="L18" s="1657" t="s">
        <v>84</v>
      </c>
      <c r="M18" s="446"/>
      <c r="N18" s="447"/>
    </row>
    <row r="19" spans="1:14" ht="15" customHeight="1">
      <c r="A19" s="1858"/>
      <c r="B19" s="876" t="s">
        <v>86</v>
      </c>
      <c r="C19" s="876" t="s">
        <v>83</v>
      </c>
      <c r="D19" s="879">
        <v>2.0053408925530567</v>
      </c>
      <c r="E19" s="880">
        <v>1.9910094769085844</v>
      </c>
      <c r="F19" s="882">
        <v>5.1403929858222508E-3</v>
      </c>
      <c r="G19" s="886">
        <v>9.1910226586501848E-3</v>
      </c>
      <c r="H19" s="883">
        <v>3.5000000000000003E-2</v>
      </c>
      <c r="I19" s="884">
        <v>3.5000000000000003E-2</v>
      </c>
      <c r="J19" s="885">
        <v>0.5</v>
      </c>
      <c r="K19" s="885">
        <v>0.5</v>
      </c>
      <c r="L19" s="1657" t="s">
        <v>84</v>
      </c>
      <c r="M19" s="446"/>
      <c r="N19" s="447"/>
    </row>
    <row r="20" spans="1:14" ht="15" customHeight="1">
      <c r="A20" s="1858"/>
      <c r="B20" s="876" t="s">
        <v>87</v>
      </c>
      <c r="C20" s="876" t="s">
        <v>83</v>
      </c>
      <c r="D20" s="879">
        <v>1.43054936076045</v>
      </c>
      <c r="E20" s="880">
        <v>1.4204478726402867</v>
      </c>
      <c r="F20" s="882">
        <v>3.6232023386539372E-3</v>
      </c>
      <c r="G20" s="886">
        <v>6.4782857815132398E-3</v>
      </c>
      <c r="H20" s="883">
        <v>3.5000000000000003E-2</v>
      </c>
      <c r="I20" s="884">
        <v>3.5000000000000003E-2</v>
      </c>
      <c r="J20" s="885">
        <v>0.5</v>
      </c>
      <c r="K20" s="885">
        <v>0.5</v>
      </c>
      <c r="L20" s="1657" t="s">
        <v>84</v>
      </c>
      <c r="M20" s="1184"/>
      <c r="N20" s="447"/>
    </row>
    <row r="21" spans="1:14" ht="15" customHeight="1">
      <c r="A21" s="1858"/>
      <c r="B21" s="876" t="s">
        <v>90</v>
      </c>
      <c r="C21" s="876" t="s">
        <v>91</v>
      </c>
      <c r="D21" s="887">
        <v>2.6690486163864202</v>
      </c>
      <c r="E21" s="888">
        <v>2.6534834681500898</v>
      </c>
      <c r="F21" s="882">
        <v>9.0748298946673415E-3</v>
      </c>
      <c r="G21" s="886">
        <v>6.4903183406660814E-3</v>
      </c>
      <c r="H21" s="883">
        <v>5.0000000000000001E-3</v>
      </c>
      <c r="I21" s="889">
        <v>5.0000000000000001E-3</v>
      </c>
      <c r="J21" s="885">
        <v>0.5</v>
      </c>
      <c r="K21" s="885">
        <v>0.5</v>
      </c>
      <c r="L21" s="1657" t="s">
        <v>84</v>
      </c>
      <c r="M21" s="1184"/>
      <c r="N21" s="447"/>
    </row>
    <row r="22" spans="1:14" ht="15" customHeight="1">
      <c r="A22" s="1858"/>
      <c r="B22" s="876" t="s">
        <v>92</v>
      </c>
      <c r="C22" s="876" t="s">
        <v>83</v>
      </c>
      <c r="D22" s="879">
        <v>3.0286863333333329</v>
      </c>
      <c r="E22" s="880">
        <v>3.0213333333333332</v>
      </c>
      <c r="F22" s="882">
        <v>5.9375000000000001E-3</v>
      </c>
      <c r="G22" s="882">
        <v>1.4155000000000001E-3</v>
      </c>
      <c r="H22" s="883">
        <v>5.0000000000000001E-3</v>
      </c>
      <c r="I22" s="889">
        <v>5.0000000000000001E-3</v>
      </c>
      <c r="J22" s="885">
        <v>0.5</v>
      </c>
      <c r="K22" s="885">
        <v>0.5</v>
      </c>
      <c r="L22" s="1657" t="s">
        <v>84</v>
      </c>
      <c r="M22" s="446"/>
      <c r="N22" s="447"/>
    </row>
    <row r="23" spans="1:14" ht="15" customHeight="1">
      <c r="A23" s="1858"/>
      <c r="B23" s="876" t="s">
        <v>93</v>
      </c>
      <c r="C23" s="876" t="s">
        <v>91</v>
      </c>
      <c r="D23" s="887">
        <v>3.0158402240458599</v>
      </c>
      <c r="E23" s="888">
        <v>2.9991801617214602</v>
      </c>
      <c r="F23" s="882">
        <v>9.7131893215955684E-3</v>
      </c>
      <c r="G23" s="886">
        <v>6.9468730028051503E-3</v>
      </c>
      <c r="H23" s="883">
        <v>5.0000000000000001E-3</v>
      </c>
      <c r="I23" s="889">
        <v>5.0000000000000001E-3</v>
      </c>
      <c r="J23" s="885">
        <v>0.5</v>
      </c>
      <c r="K23" s="885">
        <v>0.5</v>
      </c>
      <c r="L23" s="1657" t="s">
        <v>84</v>
      </c>
      <c r="M23" s="446"/>
      <c r="N23" s="447"/>
    </row>
    <row r="24" spans="1:14" ht="15" customHeight="1">
      <c r="A24" s="1858"/>
      <c r="B24" s="876" t="s">
        <v>94</v>
      </c>
      <c r="C24" s="876" t="s">
        <v>91</v>
      </c>
      <c r="D24" s="887">
        <v>2.9605727470246301</v>
      </c>
      <c r="E24" s="888">
        <v>2.9441484007957901</v>
      </c>
      <c r="F24" s="882">
        <v>9.5757615606586015E-3</v>
      </c>
      <c r="G24" s="886">
        <v>6.848584668183031E-3</v>
      </c>
      <c r="H24" s="883">
        <v>5.0000000000000001E-3</v>
      </c>
      <c r="I24" s="889">
        <v>5.0000000000000001E-3</v>
      </c>
      <c r="J24" s="885">
        <v>0.5</v>
      </c>
      <c r="K24" s="885">
        <v>0.5</v>
      </c>
      <c r="L24" s="1657" t="s">
        <v>84</v>
      </c>
      <c r="M24" s="446"/>
      <c r="N24" s="447"/>
    </row>
    <row r="25" spans="1:14" ht="15" customHeight="1">
      <c r="A25" s="1858"/>
      <c r="B25" s="1818" t="s">
        <v>95</v>
      </c>
      <c r="C25" s="876" t="s">
        <v>96</v>
      </c>
      <c r="D25" s="890">
        <v>0.19474584065307315</v>
      </c>
      <c r="E25" s="881">
        <v>0.19424428865307317</v>
      </c>
      <c r="F25" s="891">
        <v>4.0499999999999992E-4</v>
      </c>
      <c r="G25" s="892">
        <v>9.6551999999999993E-5</v>
      </c>
      <c r="H25" s="893">
        <v>2.3962045159552331E-2</v>
      </c>
      <c r="I25" s="884">
        <v>2.4E-2</v>
      </c>
      <c r="J25" s="885">
        <v>0.5</v>
      </c>
      <c r="K25" s="885">
        <v>0.5</v>
      </c>
      <c r="L25" s="1657" t="s">
        <v>84</v>
      </c>
      <c r="M25" s="448"/>
      <c r="N25" s="447"/>
    </row>
    <row r="26" spans="1:14" ht="15" customHeight="1">
      <c r="A26" s="1858"/>
      <c r="B26" s="1818"/>
      <c r="C26" s="876" t="s">
        <v>97</v>
      </c>
      <c r="D26" s="894">
        <v>54.096066848075878</v>
      </c>
      <c r="E26" s="895">
        <v>53.956746848075881</v>
      </c>
      <c r="F26" s="881">
        <v>0.11249999999999999</v>
      </c>
      <c r="G26" s="886">
        <v>2.682E-2</v>
      </c>
      <c r="H26" s="893">
        <v>2.3962045159552327E-2</v>
      </c>
      <c r="I26" s="884">
        <v>2.4E-2</v>
      </c>
      <c r="J26" s="885">
        <v>0.5</v>
      </c>
      <c r="K26" s="885">
        <v>0.5</v>
      </c>
      <c r="L26" s="1657" t="s">
        <v>84</v>
      </c>
      <c r="M26" s="449"/>
      <c r="N26" s="447"/>
    </row>
    <row r="27" spans="1:14" ht="15" customHeight="1">
      <c r="A27" s="1858"/>
      <c r="B27" s="1854" t="s">
        <v>98</v>
      </c>
      <c r="C27" s="1854"/>
      <c r="D27" s="1854"/>
      <c r="E27" s="1854"/>
      <c r="F27" s="1854"/>
      <c r="G27" s="1854"/>
      <c r="H27" s="1854"/>
      <c r="I27" s="1854"/>
      <c r="J27" s="1854"/>
      <c r="K27" s="1854"/>
      <c r="L27" s="1855"/>
      <c r="N27" s="447"/>
    </row>
    <row r="28" spans="1:14" ht="15" customHeight="1">
      <c r="A28" s="1858"/>
      <c r="B28" s="876" t="s">
        <v>89</v>
      </c>
      <c r="C28" s="876" t="s">
        <v>83</v>
      </c>
      <c r="D28" s="887">
        <v>1.9309174408762142</v>
      </c>
      <c r="E28" s="1183">
        <v>1.9170877380428788</v>
      </c>
      <c r="F28" s="1183">
        <v>4.9604386059310009E-3</v>
      </c>
      <c r="G28" s="1183">
        <v>8.8692642274046316E-3</v>
      </c>
      <c r="H28" s="883">
        <v>3.5000000000000003E-2</v>
      </c>
      <c r="I28" s="884">
        <v>3.5000000000000003E-2</v>
      </c>
      <c r="J28" s="885">
        <v>0.5</v>
      </c>
      <c r="K28" s="885">
        <v>0.5</v>
      </c>
      <c r="L28" s="1657"/>
      <c r="N28" s="447"/>
    </row>
    <row r="29" spans="1:14" ht="15" customHeight="1">
      <c r="A29" s="1858"/>
      <c r="B29" s="876" t="s">
        <v>85</v>
      </c>
      <c r="C29" s="876" t="s">
        <v>83</v>
      </c>
      <c r="D29" s="879">
        <v>2.6569534244967898</v>
      </c>
      <c r="E29" s="886">
        <v>2.6373603786678332</v>
      </c>
      <c r="F29" s="886">
        <v>7.0276348023517368E-3</v>
      </c>
      <c r="G29" s="886">
        <v>1.2565411026604908E-2</v>
      </c>
      <c r="H29" s="883">
        <v>3.5000000000000003E-2</v>
      </c>
      <c r="I29" s="884">
        <v>3.5000000000000003E-2</v>
      </c>
      <c r="J29" s="885">
        <v>0.5</v>
      </c>
      <c r="K29" s="885">
        <v>0.5</v>
      </c>
      <c r="L29" s="1657"/>
      <c r="N29" s="426"/>
    </row>
    <row r="30" spans="1:14" ht="15" customHeight="1">
      <c r="A30" s="1858"/>
      <c r="B30" s="876" t="s">
        <v>86</v>
      </c>
      <c r="C30" s="876" t="s">
        <v>83</v>
      </c>
      <c r="D30" s="879">
        <v>2.0053408925530567</v>
      </c>
      <c r="E30" s="886">
        <v>1.9910094769085844</v>
      </c>
      <c r="F30" s="886">
        <v>5.1403929858222508E-3</v>
      </c>
      <c r="G30" s="886">
        <v>9.1910226586501848E-3</v>
      </c>
      <c r="H30" s="883">
        <v>3.5000000000000003E-2</v>
      </c>
      <c r="I30" s="884">
        <v>3.5000000000000003E-2</v>
      </c>
      <c r="J30" s="885">
        <v>0.5</v>
      </c>
      <c r="K30" s="885">
        <v>0.5</v>
      </c>
      <c r="L30" s="1657"/>
      <c r="N30" s="426"/>
    </row>
    <row r="31" spans="1:14" ht="15" customHeight="1">
      <c r="A31" s="1858"/>
      <c r="B31" s="876" t="s">
        <v>87</v>
      </c>
      <c r="C31" s="876" t="s">
        <v>83</v>
      </c>
      <c r="D31" s="879">
        <v>1.430549360760454</v>
      </c>
      <c r="E31" s="886">
        <v>1.4204478726402867</v>
      </c>
      <c r="F31" s="886">
        <v>3.6232023386539372E-3</v>
      </c>
      <c r="G31" s="886">
        <v>6.4782857815132398E-3</v>
      </c>
      <c r="H31" s="883">
        <v>3.5000000000000003E-2</v>
      </c>
      <c r="I31" s="884">
        <v>3.5000000000000003E-2</v>
      </c>
      <c r="J31" s="885">
        <v>0.5</v>
      </c>
      <c r="K31" s="885">
        <v>0.5</v>
      </c>
      <c r="L31" s="1657"/>
      <c r="N31" s="426"/>
    </row>
    <row r="32" spans="1:14" ht="15" customHeight="1">
      <c r="A32" s="1858"/>
      <c r="B32" s="876" t="s">
        <v>99</v>
      </c>
      <c r="C32" s="876" t="s">
        <v>91</v>
      </c>
      <c r="D32" s="879">
        <v>2.6573691866747207</v>
      </c>
      <c r="E32" s="886">
        <v>2.6481564193656544</v>
      </c>
      <c r="F32" s="886">
        <v>2.7224489684002022E-3</v>
      </c>
      <c r="G32" s="886">
        <v>6.4903183406660814E-3</v>
      </c>
      <c r="H32" s="883">
        <v>5.0000000000000001E-3</v>
      </c>
      <c r="I32" s="889">
        <v>5.0000000000000001E-3</v>
      </c>
      <c r="J32" s="885">
        <v>0.5</v>
      </c>
      <c r="K32" s="885">
        <v>0.5</v>
      </c>
      <c r="L32" s="1657"/>
      <c r="N32" s="426"/>
    </row>
    <row r="33" spans="1:14" ht="15" customHeight="1">
      <c r="A33" s="1858"/>
      <c r="B33" s="876" t="s">
        <v>92</v>
      </c>
      <c r="C33" s="876" t="s">
        <v>83</v>
      </c>
      <c r="D33" s="879">
        <v>3.0239363333333329</v>
      </c>
      <c r="E33" s="886">
        <v>3.0213333333333332</v>
      </c>
      <c r="F33" s="886">
        <v>1.1875E-3</v>
      </c>
      <c r="G33" s="886">
        <v>1.4155000000000001E-3</v>
      </c>
      <c r="H33" s="883">
        <v>5.0000000000000001E-3</v>
      </c>
      <c r="I33" s="889">
        <v>5.0000000000000001E-3</v>
      </c>
      <c r="J33" s="885">
        <v>0.5</v>
      </c>
      <c r="K33" s="885">
        <v>0.5</v>
      </c>
      <c r="L33" s="1657"/>
      <c r="N33" s="426"/>
    </row>
    <row r="34" spans="1:14" ht="15" customHeight="1">
      <c r="A34" s="1858"/>
      <c r="B34" s="876" t="s">
        <v>100</v>
      </c>
      <c r="C34" s="876" t="s">
        <v>91</v>
      </c>
      <c r="D34" s="879">
        <v>3.0193406007947479</v>
      </c>
      <c r="E34" s="886">
        <v>3.0094797709954637</v>
      </c>
      <c r="F34" s="886">
        <v>2.9139567964786704E-3</v>
      </c>
      <c r="G34" s="886">
        <v>6.9468730028051503E-3</v>
      </c>
      <c r="H34" s="883">
        <v>5.0000000000000001E-3</v>
      </c>
      <c r="I34" s="889">
        <v>5.0000000000000001E-3</v>
      </c>
      <c r="J34" s="885">
        <v>0.5</v>
      </c>
      <c r="K34" s="885">
        <v>0.5</v>
      </c>
      <c r="L34" s="1657"/>
      <c r="N34" s="426"/>
    </row>
    <row r="35" spans="1:14" ht="15" customHeight="1">
      <c r="A35" s="1858"/>
      <c r="B35" s="876" t="s">
        <v>101</v>
      </c>
      <c r="C35" s="876" t="s">
        <v>91</v>
      </c>
      <c r="D35" s="879">
        <v>2.9248993366799447</v>
      </c>
      <c r="E35" s="886">
        <v>2.915178023543564</v>
      </c>
      <c r="F35" s="886">
        <v>2.8727284681975807E-3</v>
      </c>
      <c r="G35" s="886">
        <v>6.848584668183031E-3</v>
      </c>
      <c r="H35" s="883">
        <v>5.0000000000000001E-3</v>
      </c>
      <c r="I35" s="889">
        <v>5.0000000000000001E-3</v>
      </c>
      <c r="J35" s="885">
        <v>0.5</v>
      </c>
      <c r="K35" s="885">
        <v>0.5</v>
      </c>
      <c r="L35" s="1657"/>
      <c r="N35" s="426"/>
    </row>
    <row r="36" spans="1:14" ht="15" customHeight="1">
      <c r="A36" s="1858"/>
      <c r="B36" s="1818" t="s">
        <v>95</v>
      </c>
      <c r="C36" s="876" t="s">
        <v>96</v>
      </c>
      <c r="D36" s="890">
        <v>0.19442184065307316</v>
      </c>
      <c r="E36" s="886">
        <v>0.19424428865307317</v>
      </c>
      <c r="F36" s="886">
        <v>8.1000000000000004E-5</v>
      </c>
      <c r="G36" s="886">
        <v>9.6551999999999993E-5</v>
      </c>
      <c r="H36" s="893">
        <v>2.3962045159552331E-2</v>
      </c>
      <c r="I36" s="884">
        <v>2.4E-2</v>
      </c>
      <c r="J36" s="885">
        <v>0.5</v>
      </c>
      <c r="K36" s="885">
        <v>0.5</v>
      </c>
      <c r="L36" s="1657" t="s">
        <v>102</v>
      </c>
      <c r="N36" s="426"/>
    </row>
    <row r="37" spans="1:14" ht="15" customHeight="1">
      <c r="A37" s="1858"/>
      <c r="B37" s="1818"/>
      <c r="C37" s="876" t="s">
        <v>97</v>
      </c>
      <c r="D37" s="894">
        <v>54.006066848075882</v>
      </c>
      <c r="E37" s="886">
        <v>53.956746848075881</v>
      </c>
      <c r="F37" s="886">
        <v>2.2499999999999999E-2</v>
      </c>
      <c r="G37" s="886">
        <v>2.682E-2</v>
      </c>
      <c r="H37" s="893">
        <v>2.3962045159552327E-2</v>
      </c>
      <c r="I37" s="884">
        <v>2.4E-2</v>
      </c>
      <c r="J37" s="885">
        <v>0.5</v>
      </c>
      <c r="K37" s="885">
        <v>0.5</v>
      </c>
      <c r="L37" s="1657"/>
      <c r="N37" s="426"/>
    </row>
    <row r="38" spans="1:14" ht="15.75" customHeight="1">
      <c r="A38" s="1859" t="s">
        <v>103</v>
      </c>
      <c r="B38" s="1854" t="s">
        <v>104</v>
      </c>
      <c r="C38" s="1854"/>
      <c r="D38" s="1854"/>
      <c r="E38" s="1854"/>
      <c r="F38" s="1854"/>
      <c r="G38" s="1854"/>
      <c r="H38" s="1854"/>
      <c r="I38" s="1854"/>
      <c r="J38" s="1854"/>
      <c r="K38" s="1854"/>
      <c r="L38" s="1855"/>
      <c r="N38" s="426"/>
    </row>
    <row r="39" spans="1:14" ht="15.75" customHeight="1">
      <c r="A39" s="1860"/>
      <c r="B39" s="1818" t="s">
        <v>105</v>
      </c>
      <c r="C39" s="876" t="s">
        <v>97</v>
      </c>
      <c r="D39" s="879">
        <v>3.42</v>
      </c>
      <c r="E39" s="895">
        <v>64.2</v>
      </c>
      <c r="F39" s="880">
        <v>2.85</v>
      </c>
      <c r="G39" s="881">
        <v>0.56999999999999995</v>
      </c>
      <c r="H39" s="883">
        <v>5.0000000000000001E-4</v>
      </c>
      <c r="I39" s="896"/>
      <c r="J39" s="885">
        <v>0.5</v>
      </c>
      <c r="K39" s="885">
        <v>0.5</v>
      </c>
      <c r="L39" s="1856" t="s">
        <v>106</v>
      </c>
      <c r="N39" s="426"/>
    </row>
    <row r="40" spans="1:14" ht="15.75" customHeight="1">
      <c r="A40" s="1860"/>
      <c r="B40" s="1818"/>
      <c r="C40" s="876" t="s">
        <v>91</v>
      </c>
      <c r="D40" s="1240">
        <v>8.0712000000000009E-5</v>
      </c>
      <c r="E40" s="880">
        <v>1.51512</v>
      </c>
      <c r="F40" s="892">
        <v>6.7260000000000003E-5</v>
      </c>
      <c r="G40" s="892">
        <v>1.3452000000000001E-5</v>
      </c>
      <c r="H40" s="883">
        <v>5.0000000000000001E-4</v>
      </c>
      <c r="I40" s="896"/>
      <c r="J40" s="885"/>
      <c r="K40" s="885"/>
      <c r="L40" s="1856"/>
      <c r="N40" s="426"/>
    </row>
    <row r="41" spans="1:14" ht="15.75" customHeight="1">
      <c r="A41" s="1860"/>
      <c r="B41" s="1818" t="s">
        <v>107</v>
      </c>
      <c r="C41" s="876" t="s">
        <v>97</v>
      </c>
      <c r="D41" s="879">
        <v>3.42</v>
      </c>
      <c r="E41" s="895">
        <v>67.260000000000005</v>
      </c>
      <c r="F41" s="880">
        <v>2.85</v>
      </c>
      <c r="G41" s="881">
        <v>0.56999999999999995</v>
      </c>
      <c r="H41" s="883">
        <v>5.0000000000000001E-4</v>
      </c>
      <c r="I41" s="896"/>
      <c r="J41" s="885">
        <v>0.5</v>
      </c>
      <c r="K41" s="885">
        <v>0.5</v>
      </c>
      <c r="L41" s="1856"/>
      <c r="N41" s="426"/>
    </row>
    <row r="42" spans="1:14" ht="15.75" customHeight="1">
      <c r="A42" s="1860"/>
      <c r="B42" s="1818"/>
      <c r="C42" s="876" t="s">
        <v>91</v>
      </c>
      <c r="D42" s="1241">
        <v>1.2456000000000001E-4</v>
      </c>
      <c r="E42" s="880">
        <v>2.4496800000000003</v>
      </c>
      <c r="F42" s="891">
        <v>1.0380000000000002E-4</v>
      </c>
      <c r="G42" s="892">
        <v>2.0760000000000001E-5</v>
      </c>
      <c r="H42" s="883">
        <v>5.0000000000000001E-4</v>
      </c>
      <c r="I42" s="896"/>
      <c r="J42" s="885"/>
      <c r="K42" s="885"/>
      <c r="L42" s="1657"/>
      <c r="N42" s="426"/>
    </row>
    <row r="43" spans="1:14" ht="15.75" customHeight="1">
      <c r="A43" s="1860"/>
      <c r="B43" s="897" t="s">
        <v>108</v>
      </c>
      <c r="C43" s="876" t="s">
        <v>83</v>
      </c>
      <c r="D43" s="1345">
        <v>6.6963168000000003E-2</v>
      </c>
      <c r="E43" s="898">
        <v>0.86156400003209999</v>
      </c>
      <c r="F43" s="899">
        <v>5.7780000000000001E-3</v>
      </c>
      <c r="G43" s="882">
        <v>9.183168000000002E-3</v>
      </c>
      <c r="H43" s="1243">
        <v>0.36259515087735805</v>
      </c>
      <c r="I43" s="1244"/>
      <c r="J43" s="885">
        <v>0.5</v>
      </c>
      <c r="K43" s="885">
        <v>0.5</v>
      </c>
      <c r="L43" s="1661" t="s">
        <v>109</v>
      </c>
      <c r="N43" s="426"/>
    </row>
    <row r="44" spans="1:14" ht="15.75" customHeight="1">
      <c r="A44" s="1861"/>
      <c r="B44" s="876" t="s">
        <v>110</v>
      </c>
      <c r="C44" s="876" t="s">
        <v>83</v>
      </c>
      <c r="D44" s="1345">
        <v>1.4961168E-2</v>
      </c>
      <c r="E44" s="898">
        <v>0.86156400003209999</v>
      </c>
      <c r="F44" s="882">
        <v>5.7779999999999998E-2</v>
      </c>
      <c r="G44" s="882">
        <v>9.183168000000002E-3</v>
      </c>
      <c r="H44" s="1243">
        <v>0.43684615308872388</v>
      </c>
      <c r="I44" s="1244"/>
      <c r="J44" s="885">
        <v>0.5</v>
      </c>
      <c r="K44" s="885">
        <v>0.5</v>
      </c>
      <c r="L44" s="1661" t="s">
        <v>111</v>
      </c>
      <c r="N44" s="426"/>
    </row>
    <row r="45" spans="1:14" ht="15" customHeight="1">
      <c r="A45" s="1858" t="s">
        <v>112</v>
      </c>
      <c r="B45" s="876" t="s">
        <v>113</v>
      </c>
      <c r="C45" s="876" t="s">
        <v>91</v>
      </c>
      <c r="D45" s="887">
        <v>2.45577510514538</v>
      </c>
      <c r="E45" s="888">
        <v>2.3485514027533898</v>
      </c>
      <c r="F45" s="886">
        <v>2.7566081169645457E-2</v>
      </c>
      <c r="G45" s="886">
        <v>7.9657621222345196E-2</v>
      </c>
      <c r="H45" s="1245">
        <v>1.783281912838499E-2</v>
      </c>
      <c r="I45" s="884">
        <v>5.0000000000000001E-4</v>
      </c>
      <c r="J45" s="885">
        <v>0.5</v>
      </c>
      <c r="K45" s="885">
        <v>0.5</v>
      </c>
      <c r="L45" s="1657"/>
      <c r="N45" s="426"/>
    </row>
    <row r="46" spans="1:14" ht="15" customHeight="1">
      <c r="A46" s="1858"/>
      <c r="B46" s="876" t="s">
        <v>114</v>
      </c>
      <c r="C46" s="876" t="s">
        <v>91</v>
      </c>
      <c r="D46" s="887">
        <v>2.4767436661260001</v>
      </c>
      <c r="E46" s="888">
        <v>2.3688768583189699</v>
      </c>
      <c r="F46" s="886">
        <v>2.7731416778062439E-2</v>
      </c>
      <c r="G46" s="886">
        <v>8.0135391028970743E-2</v>
      </c>
      <c r="H46" s="1245">
        <v>1.7970981044648417E-2</v>
      </c>
      <c r="I46" s="884">
        <v>5.0000000000000001E-4</v>
      </c>
      <c r="J46" s="885">
        <v>0.5</v>
      </c>
      <c r="K46" s="885">
        <v>0.5</v>
      </c>
      <c r="L46" s="1657"/>
      <c r="N46" s="426"/>
    </row>
    <row r="47" spans="1:14" ht="15" customHeight="1">
      <c r="A47" s="1858"/>
      <c r="B47" s="876"/>
      <c r="C47" s="876"/>
      <c r="D47" s="879"/>
      <c r="E47" s="880"/>
      <c r="F47" s="886"/>
      <c r="G47" s="886"/>
      <c r="H47" s="1245"/>
      <c r="I47" s="884"/>
      <c r="J47" s="885"/>
      <c r="K47" s="885"/>
      <c r="L47" s="1657"/>
      <c r="N47" s="426"/>
    </row>
    <row r="48" spans="1:14" ht="15" customHeight="1">
      <c r="A48" s="1858"/>
      <c r="B48" s="876" t="s">
        <v>90</v>
      </c>
      <c r="C48" s="876" t="s">
        <v>91</v>
      </c>
      <c r="D48" s="879">
        <v>2.6938826722389044</v>
      </c>
      <c r="E48" s="880">
        <v>2.6481564193656544</v>
      </c>
      <c r="F48" s="882">
        <v>3.5391836589202625E-3</v>
      </c>
      <c r="G48" s="886">
        <v>4.2187069214329527E-2</v>
      </c>
      <c r="H48" s="1245">
        <v>9.2683021333711309E-3</v>
      </c>
      <c r="I48" s="884">
        <v>5.0000000000000001E-4</v>
      </c>
      <c r="J48" s="885">
        <v>0.5</v>
      </c>
      <c r="K48" s="885">
        <v>0.5</v>
      </c>
      <c r="L48" s="1657"/>
      <c r="N48" s="426"/>
    </row>
    <row r="49" spans="1:29" ht="15" customHeight="1">
      <c r="A49" s="1858"/>
      <c r="B49" s="876" t="s">
        <v>92</v>
      </c>
      <c r="C49" s="876" t="s">
        <v>91</v>
      </c>
      <c r="D49" s="879">
        <v>1.6443065781333333</v>
      </c>
      <c r="E49" s="880">
        <v>1.6037237333333332</v>
      </c>
      <c r="F49" s="886">
        <v>3.9080150000000001E-2</v>
      </c>
      <c r="G49" s="882">
        <v>1.5026948000000002E-3</v>
      </c>
      <c r="H49" s="1245">
        <v>1.2853285271751128E-2</v>
      </c>
      <c r="I49" s="884">
        <v>5.0000000000000001E-4</v>
      </c>
      <c r="J49" s="885">
        <v>0.5</v>
      </c>
      <c r="K49" s="885">
        <v>0.5</v>
      </c>
      <c r="L49" s="1657"/>
      <c r="N49" s="426"/>
    </row>
    <row r="50" spans="1:29" ht="15" customHeight="1">
      <c r="A50" s="1858"/>
      <c r="B50" s="876" t="s">
        <v>93</v>
      </c>
      <c r="C50" s="876" t="s">
        <v>91</v>
      </c>
      <c r="D50" s="879">
        <v>3.0394352468632646</v>
      </c>
      <c r="E50" s="880">
        <v>3.0094797709954637</v>
      </c>
      <c r="F50" s="882">
        <v>6.7992325251168984E-3</v>
      </c>
      <c r="G50" s="886">
        <v>2.3156243342683833E-2</v>
      </c>
      <c r="H50" s="1245">
        <v>6.3459802303280442E-3</v>
      </c>
      <c r="I50" s="884">
        <v>5.0000000000000001E-4</v>
      </c>
      <c r="J50" s="885">
        <v>0.5</v>
      </c>
      <c r="K50" s="885">
        <v>0.5</v>
      </c>
      <c r="L50" s="1657"/>
      <c r="M50" s="1184"/>
      <c r="N50" s="426"/>
    </row>
    <row r="51" spans="1:29" ht="15" customHeight="1">
      <c r="A51" s="1858"/>
      <c r="B51" s="876" t="s">
        <v>94</v>
      </c>
      <c r="C51" s="876" t="s">
        <v>91</v>
      </c>
      <c r="D51" s="879">
        <v>2.9447096721966353</v>
      </c>
      <c r="E51" s="880">
        <v>2.915178023543564</v>
      </c>
      <c r="F51" s="882">
        <v>6.7030330924610212E-3</v>
      </c>
      <c r="G51" s="886">
        <v>2.28286155606101E-2</v>
      </c>
      <c r="H51" s="1245">
        <v>6.3891666492790801E-3</v>
      </c>
      <c r="I51" s="884">
        <v>5.0000000000000001E-4</v>
      </c>
      <c r="J51" s="885">
        <v>0.5</v>
      </c>
      <c r="K51" s="885">
        <v>0.5</v>
      </c>
      <c r="L51" s="1657"/>
      <c r="M51" s="1184"/>
      <c r="N51" s="426"/>
    </row>
    <row r="52" spans="1:29" ht="15" customHeight="1">
      <c r="A52" s="1858"/>
      <c r="B52" s="1818" t="s">
        <v>115</v>
      </c>
      <c r="C52" s="876" t="s">
        <v>97</v>
      </c>
      <c r="D52" s="894">
        <v>70.600000000000009</v>
      </c>
      <c r="E52" s="895">
        <v>68.22</v>
      </c>
      <c r="F52" s="881">
        <v>0.48</v>
      </c>
      <c r="G52" s="880">
        <v>1.9</v>
      </c>
      <c r="H52" s="883">
        <v>5.0000000000000001E-4</v>
      </c>
      <c r="I52" s="896"/>
      <c r="J52" s="885">
        <v>0.5</v>
      </c>
      <c r="K52" s="885">
        <v>0.5</v>
      </c>
      <c r="L52" s="1657"/>
      <c r="N52" s="426"/>
    </row>
    <row r="53" spans="1:29" ht="15" customHeight="1">
      <c r="A53" s="1858"/>
      <c r="B53" s="1818"/>
      <c r="C53" s="876" t="s">
        <v>91</v>
      </c>
      <c r="D53" s="879">
        <v>2.6263200000000002</v>
      </c>
      <c r="E53" s="880">
        <v>2.5377840000000003</v>
      </c>
      <c r="F53" s="886">
        <v>1.7856E-2</v>
      </c>
      <c r="G53" s="886">
        <v>7.0680000000000007E-2</v>
      </c>
      <c r="H53" s="883">
        <v>5.0000000000000001E-4</v>
      </c>
      <c r="I53" s="896"/>
      <c r="J53" s="885"/>
      <c r="K53" s="885"/>
      <c r="N53" s="426"/>
    </row>
    <row r="54" spans="1:29" ht="15" customHeight="1">
      <c r="A54" s="1858"/>
      <c r="B54" s="1818" t="s">
        <v>116</v>
      </c>
      <c r="C54" s="876" t="s">
        <v>97</v>
      </c>
      <c r="D54" s="894">
        <v>68.27000000000001</v>
      </c>
      <c r="E54" s="895">
        <v>65.89</v>
      </c>
      <c r="F54" s="881">
        <v>0.48</v>
      </c>
      <c r="G54" s="880">
        <v>1.9</v>
      </c>
      <c r="H54" s="883">
        <v>5.0000000000000001E-4</v>
      </c>
      <c r="I54" s="896"/>
      <c r="J54" s="885">
        <v>0.5</v>
      </c>
      <c r="K54" s="885">
        <v>0.5</v>
      </c>
      <c r="L54" s="1657"/>
      <c r="M54" s="1184"/>
      <c r="N54" s="426"/>
    </row>
    <row r="55" spans="1:29" ht="15" customHeight="1">
      <c r="A55" s="1858"/>
      <c r="B55" s="1818"/>
      <c r="C55" s="876" t="s">
        <v>91</v>
      </c>
      <c r="D55" s="879">
        <v>2.3123048999999996</v>
      </c>
      <c r="E55" s="880">
        <v>2.2316942999999996</v>
      </c>
      <c r="F55" s="886">
        <v>1.6257599999999997E-2</v>
      </c>
      <c r="G55" s="886">
        <v>6.4352999999999994E-2</v>
      </c>
      <c r="H55" s="883">
        <v>5.0000000000000001E-4</v>
      </c>
      <c r="I55" s="896"/>
      <c r="J55" s="885"/>
      <c r="K55" s="885"/>
      <c r="L55" s="1657"/>
      <c r="M55" s="1184"/>
      <c r="N55" s="426"/>
    </row>
    <row r="56" spans="1:29" ht="15" customHeight="1">
      <c r="A56" s="741"/>
      <c r="B56" s="62"/>
      <c r="C56" s="62"/>
      <c r="D56" s="742"/>
      <c r="E56" s="742"/>
      <c r="F56" s="742"/>
      <c r="G56" s="742"/>
      <c r="H56" s="743"/>
      <c r="I56" s="188"/>
      <c r="J56" s="189"/>
      <c r="K56" s="189"/>
      <c r="L56" s="62"/>
    </row>
    <row r="57" spans="1:29" s="594" customFormat="1" ht="30.75" customHeight="1">
      <c r="A57" s="744" t="s">
        <v>117</v>
      </c>
      <c r="B57" s="745"/>
      <c r="C57" s="745"/>
      <c r="D57" s="746"/>
      <c r="E57" s="746"/>
      <c r="F57" s="746"/>
      <c r="G57" s="746"/>
      <c r="H57" s="747"/>
      <c r="I57" s="748"/>
      <c r="J57" s="749"/>
      <c r="K57" s="749"/>
      <c r="L57" s="745"/>
    </row>
    <row r="58" spans="1:29" ht="15" customHeight="1">
      <c r="A58" s="444" t="s">
        <v>118</v>
      </c>
      <c r="B58" s="62"/>
      <c r="C58" s="62"/>
      <c r="D58" s="742"/>
      <c r="E58" s="742"/>
      <c r="F58" s="742"/>
      <c r="G58" s="742"/>
      <c r="H58" s="743"/>
      <c r="I58" s="188"/>
      <c r="J58" s="189"/>
      <c r="K58" s="189"/>
      <c r="L58" s="62"/>
    </row>
    <row r="59" spans="1:29" ht="15" customHeight="1">
      <c r="A59" s="741"/>
      <c r="B59" s="797" t="s">
        <v>70</v>
      </c>
      <c r="C59" s="797" t="s">
        <v>119</v>
      </c>
      <c r="D59" s="797" t="s">
        <v>120</v>
      </c>
      <c r="E59" s="797" t="s">
        <v>121</v>
      </c>
      <c r="F59" s="797" t="s">
        <v>122</v>
      </c>
      <c r="G59" s="1662" t="s">
        <v>71</v>
      </c>
      <c r="H59" s="1663" t="s">
        <v>72</v>
      </c>
      <c r="I59" s="1663" t="s">
        <v>73</v>
      </c>
      <c r="J59" s="1664" t="s">
        <v>74</v>
      </c>
    </row>
    <row r="60" spans="1:29" ht="15" customHeight="1">
      <c r="A60" s="1665" t="s">
        <v>81</v>
      </c>
      <c r="B60" s="1665"/>
      <c r="C60" s="1665"/>
      <c r="D60" s="1665"/>
      <c r="E60" s="1665"/>
      <c r="F60" s="1665"/>
      <c r="G60" s="1666"/>
      <c r="H60" s="900"/>
      <c r="I60" s="900"/>
      <c r="J60" s="900"/>
      <c r="L60" t="s">
        <v>123</v>
      </c>
      <c r="W60" s="625"/>
    </row>
    <row r="61" spans="1:29" ht="15" customHeight="1">
      <c r="A61" s="876" t="s">
        <v>82</v>
      </c>
      <c r="B61" s="798" t="s">
        <v>83</v>
      </c>
      <c r="C61" s="1665"/>
      <c r="D61" s="1665"/>
      <c r="E61" s="1665"/>
      <c r="F61" s="1665"/>
      <c r="G61" s="1348">
        <v>2.0973536537348423</v>
      </c>
      <c r="H61" s="1348">
        <v>1.9382386538339411</v>
      </c>
      <c r="I61" s="1349">
        <v>0.1501651565693671</v>
      </c>
      <c r="J61" s="1667">
        <v>8.9498433315342799E-3</v>
      </c>
      <c r="W61" s="625"/>
      <c r="Y61" s="625"/>
      <c r="Z61" s="625"/>
      <c r="AA61" s="625"/>
      <c r="AC61" s="625"/>
    </row>
    <row r="62" spans="1:29" ht="15" customHeight="1">
      <c r="A62" s="876" t="s">
        <v>85</v>
      </c>
      <c r="B62" s="876" t="s">
        <v>83</v>
      </c>
      <c r="C62" s="880">
        <v>29.590041273059949</v>
      </c>
      <c r="D62" s="880">
        <v>89.13</v>
      </c>
      <c r="E62" s="882">
        <v>0.28499999999999998</v>
      </c>
      <c r="F62" s="882">
        <v>1.4249999999999998E-3</v>
      </c>
      <c r="G62" s="879">
        <f>SUM(H62:J62)</f>
        <v>2.86075483376499</v>
      </c>
      <c r="H62" s="880">
        <f>(C62*C143)/1000</f>
        <v>2.6373603786678332</v>
      </c>
      <c r="I62" s="891">
        <f>((C62*E62)/1000)*25</f>
        <v>0.21082904407055211</v>
      </c>
      <c r="J62" s="1668">
        <f>((C62*F62)/1000)*298</f>
        <v>1.2565411026604908E-2</v>
      </c>
      <c r="K62" s="801"/>
      <c r="W62" s="625"/>
      <c r="Y62" s="625"/>
      <c r="Z62" s="625"/>
      <c r="AA62" s="625"/>
      <c r="AC62" s="625"/>
    </row>
    <row r="63" spans="1:29" ht="15" customHeight="1">
      <c r="A63" s="876" t="s">
        <v>86</v>
      </c>
      <c r="B63" s="876" t="s">
        <v>83</v>
      </c>
      <c r="C63" s="880">
        <v>21.643759940304214</v>
      </c>
      <c r="D63" s="880">
        <v>91.99</v>
      </c>
      <c r="E63" s="882">
        <v>0.28499999999999998</v>
      </c>
      <c r="F63" s="882">
        <v>1.4249999999999998E-3</v>
      </c>
      <c r="G63" s="879">
        <f>SUM(H63:J63)</f>
        <v>2.1544122891419017</v>
      </c>
      <c r="H63" s="880">
        <f>(C63*C142)/1000</f>
        <v>1.9910094769085844</v>
      </c>
      <c r="I63" s="891">
        <f t="shared" ref="I63:I64" si="0">((C63*E63)/1000)*25</f>
        <v>0.15421178957466752</v>
      </c>
      <c r="J63" s="1668">
        <f t="shared" ref="J63:J64" si="1">((C63*F63)/1000)*298</f>
        <v>9.1910226586501848E-3</v>
      </c>
      <c r="K63" s="801"/>
      <c r="W63" s="625"/>
      <c r="Y63" s="625"/>
      <c r="Z63" s="625"/>
      <c r="AA63" s="625"/>
      <c r="AC63" s="625"/>
    </row>
    <row r="64" spans="1:29" ht="15" customHeight="1">
      <c r="A64" s="876" t="s">
        <v>87</v>
      </c>
      <c r="B64" s="876" t="s">
        <v>83</v>
      </c>
      <c r="C64" s="880">
        <v>15.255588794332368</v>
      </c>
      <c r="D64" s="880">
        <v>93.11</v>
      </c>
      <c r="E64" s="882">
        <v>0.28499999999999998</v>
      </c>
      <c r="F64" s="882">
        <v>1.4249999999999998E-3</v>
      </c>
      <c r="G64" s="879">
        <f>SUM(H64:J64)</f>
        <v>1.5356222285814181</v>
      </c>
      <c r="H64" s="880">
        <f>(C64*C144)/1000</f>
        <v>1.4204478726402867</v>
      </c>
      <c r="I64" s="891">
        <f t="shared" si="0"/>
        <v>0.1086960701596181</v>
      </c>
      <c r="J64" s="1668">
        <f t="shared" si="1"/>
        <v>6.4782857815132398E-3</v>
      </c>
      <c r="K64" s="801"/>
      <c r="W64" s="625"/>
      <c r="Y64" s="625"/>
      <c r="Z64" s="625"/>
      <c r="AA64" s="625"/>
      <c r="AC64" s="625"/>
    </row>
    <row r="65" spans="1:29" ht="15" customHeight="1">
      <c r="A65" s="900" t="s">
        <v>88</v>
      </c>
      <c r="B65" s="900"/>
      <c r="C65" s="900"/>
      <c r="D65" s="900"/>
      <c r="E65" s="900"/>
      <c r="F65" s="900"/>
      <c r="G65" s="900"/>
      <c r="H65" s="900"/>
      <c r="I65" s="900"/>
      <c r="J65" s="1669"/>
      <c r="K65" s="801"/>
      <c r="W65" s="625"/>
      <c r="Y65" s="625"/>
      <c r="Z65" s="625"/>
      <c r="AA65" s="625"/>
      <c r="AC65" s="625"/>
    </row>
    <row r="66" spans="1:29" ht="15" customHeight="1">
      <c r="A66" s="876" t="s">
        <v>89</v>
      </c>
      <c r="B66" s="876" t="s">
        <v>83</v>
      </c>
      <c r="C66" s="900"/>
      <c r="D66" s="900"/>
      <c r="E66" s="900"/>
      <c r="F66" s="900"/>
      <c r="G66" s="1348">
        <v>2.0071916460382564</v>
      </c>
      <c r="H66" s="1348">
        <v>1.9927799860062074</v>
      </c>
      <c r="I66" s="1350">
        <v>5.1691750473632381E-3</v>
      </c>
      <c r="J66" s="1667">
        <v>9.2424849846854708E-3</v>
      </c>
      <c r="K66" s="799"/>
      <c r="L66" s="444"/>
      <c r="M66" s="446"/>
      <c r="N66" s="767"/>
      <c r="O66" s="767"/>
      <c r="W66" s="625"/>
      <c r="Y66" s="625"/>
      <c r="Z66" s="625"/>
      <c r="AA66" s="625"/>
      <c r="AC66" s="625"/>
    </row>
    <row r="67" spans="1:29">
      <c r="A67" s="876" t="s">
        <v>85</v>
      </c>
      <c r="B67" s="876" t="s">
        <v>83</v>
      </c>
      <c r="C67" s="880">
        <v>29.590041273059949</v>
      </c>
      <c r="D67" s="880">
        <v>89.13</v>
      </c>
      <c r="E67" s="882">
        <v>9.4999999999999998E-3</v>
      </c>
      <c r="F67" s="882">
        <v>1.4249999999999998E-3</v>
      </c>
      <c r="G67" s="879">
        <f>SUM(H67:J67)</f>
        <v>2.6569534244967898</v>
      </c>
      <c r="H67" s="880">
        <f>(C67*C143)/1000</f>
        <v>2.6373603786678332</v>
      </c>
      <c r="I67" s="891">
        <f>((C67*E67)/1000)*25</f>
        <v>7.0276348023517368E-3</v>
      </c>
      <c r="J67" s="1668">
        <f>((C67*F67)/1000)*298</f>
        <v>1.2565411026604908E-2</v>
      </c>
      <c r="K67" s="799"/>
      <c r="L67" s="444"/>
      <c r="M67" s="446"/>
      <c r="N67" s="767"/>
      <c r="O67" s="767"/>
      <c r="W67" s="625"/>
      <c r="Y67" s="625"/>
      <c r="Z67" s="625"/>
      <c r="AA67" s="625"/>
      <c r="AC67" s="625"/>
    </row>
    <row r="68" spans="1:29" ht="15" customHeight="1">
      <c r="A68" s="876" t="s">
        <v>86</v>
      </c>
      <c r="B68" s="876" t="s">
        <v>83</v>
      </c>
      <c r="C68" s="880">
        <v>21.643759940304214</v>
      </c>
      <c r="D68" s="880">
        <v>91.99</v>
      </c>
      <c r="E68" s="882">
        <v>9.4999999999999998E-3</v>
      </c>
      <c r="F68" s="882">
        <v>1.4249999999999998E-3</v>
      </c>
      <c r="G68" s="879">
        <f t="shared" ref="G68:G69" si="2">SUM(H68:J68)</f>
        <v>2.0053408925530567</v>
      </c>
      <c r="H68" s="880">
        <f>(C68*C142)/1000</f>
        <v>1.9910094769085844</v>
      </c>
      <c r="I68" s="891">
        <f t="shared" ref="I68:I73" si="3">((C68*E68)/1000)*25</f>
        <v>5.1403929858222508E-3</v>
      </c>
      <c r="J68" s="1668">
        <f t="shared" ref="J68:J73" si="4">((C68*F68)/1000)*298</f>
        <v>9.1910226586501848E-3</v>
      </c>
      <c r="K68" s="799"/>
      <c r="W68" s="625"/>
      <c r="Y68" s="625"/>
      <c r="Z68" s="625"/>
      <c r="AA68" s="625"/>
      <c r="AC68" s="625"/>
    </row>
    <row r="69" spans="1:29" ht="15" customHeight="1">
      <c r="A69" s="876" t="s">
        <v>87</v>
      </c>
      <c r="B69" s="876" t="s">
        <v>83</v>
      </c>
      <c r="C69" s="880">
        <v>15.255588794332368</v>
      </c>
      <c r="D69" s="880">
        <v>93.11</v>
      </c>
      <c r="E69" s="882">
        <v>9.4999999999999998E-3</v>
      </c>
      <c r="F69" s="882">
        <v>1.4249999999999998E-3</v>
      </c>
      <c r="G69" s="879">
        <f t="shared" si="2"/>
        <v>1.430549360760454</v>
      </c>
      <c r="H69" s="880">
        <f>(C69*C144)/1000</f>
        <v>1.4204478726402867</v>
      </c>
      <c r="I69" s="891">
        <f t="shared" si="3"/>
        <v>3.6232023386539372E-3</v>
      </c>
      <c r="J69" s="1668">
        <f t="shared" si="4"/>
        <v>6.4782857815132398E-3</v>
      </c>
      <c r="K69" s="799"/>
      <c r="W69" s="625"/>
      <c r="Y69" s="625"/>
      <c r="Z69" s="625"/>
      <c r="AA69" s="625"/>
      <c r="AC69" s="625"/>
    </row>
    <row r="70" spans="1:29" ht="15" customHeight="1">
      <c r="A70" s="876" t="s">
        <v>90</v>
      </c>
      <c r="B70" s="876" t="s">
        <v>91</v>
      </c>
      <c r="C70" s="880">
        <v>38.209810082809859</v>
      </c>
      <c r="D70" s="880">
        <v>69.305668194279477</v>
      </c>
      <c r="E70" s="882">
        <v>9.4999999999999998E-3</v>
      </c>
      <c r="F70" s="882">
        <v>5.6999999999999998E-4</v>
      </c>
      <c r="G70" s="879">
        <f>SUM(H70:J70)</f>
        <v>2.6690486163854241</v>
      </c>
      <c r="H70" s="888">
        <f>(C70*P110)/1000</f>
        <v>2.6534834681500907</v>
      </c>
      <c r="I70" s="891">
        <f t="shared" si="3"/>
        <v>9.0748298946673415E-3</v>
      </c>
      <c r="J70" s="1668">
        <f t="shared" si="4"/>
        <v>6.4903183406660814E-3</v>
      </c>
      <c r="K70" s="799"/>
      <c r="L70" s="4" t="s">
        <v>124</v>
      </c>
      <c r="W70" s="625"/>
      <c r="Y70" s="625"/>
      <c r="Z70" s="625"/>
      <c r="AA70" s="625"/>
      <c r="AC70" s="625"/>
    </row>
    <row r="71" spans="1:29" ht="15" customHeight="1">
      <c r="A71" s="876" t="s">
        <v>92</v>
      </c>
      <c r="B71" s="876" t="s">
        <v>83</v>
      </c>
      <c r="C71" s="880">
        <v>50</v>
      </c>
      <c r="D71" s="880">
        <v>60.426666666666662</v>
      </c>
      <c r="E71" s="882">
        <v>4.7499999999999999E-3</v>
      </c>
      <c r="F71" s="882">
        <v>9.5000000000000005E-5</v>
      </c>
      <c r="G71" s="879"/>
      <c r="H71" s="880"/>
      <c r="I71" s="891">
        <f>((C71*E71)/1000)*25</f>
        <v>5.9375000000000001E-3</v>
      </c>
      <c r="J71" s="1668">
        <f t="shared" si="4"/>
        <v>1.4155000000000001E-3</v>
      </c>
      <c r="K71" s="799"/>
      <c r="W71" s="625"/>
      <c r="Y71" s="625"/>
      <c r="Z71" s="625"/>
      <c r="AA71" s="625"/>
      <c r="AC71" s="625"/>
    </row>
    <row r="72" spans="1:29" ht="15" customHeight="1">
      <c r="A72" s="876" t="s">
        <v>93</v>
      </c>
      <c r="B72" s="876" t="s">
        <v>91</v>
      </c>
      <c r="C72" s="880">
        <v>40.897639248823445</v>
      </c>
      <c r="D72" s="880">
        <v>73.585659863779085</v>
      </c>
      <c r="E72" s="882">
        <v>9.4999999999999998E-3</v>
      </c>
      <c r="F72" s="882">
        <v>5.6999999999999998E-4</v>
      </c>
      <c r="G72" s="879">
        <f>SUM(H72:J72)</f>
        <v>3.015840224045863</v>
      </c>
      <c r="H72" s="888">
        <f>(C72*P116)/1000</f>
        <v>2.9991801617214624</v>
      </c>
      <c r="I72" s="891">
        <f t="shared" si="3"/>
        <v>9.7131893215955684E-3</v>
      </c>
      <c r="J72" s="1668">
        <f t="shared" si="4"/>
        <v>6.9468730028051503E-3</v>
      </c>
      <c r="K72" s="799"/>
      <c r="L72" t="s">
        <v>125</v>
      </c>
      <c r="W72" s="625"/>
      <c r="Y72" s="625"/>
      <c r="Z72" s="625"/>
      <c r="AA72" s="625"/>
      <c r="AC72" s="625"/>
    </row>
    <row r="73" spans="1:29" ht="15" customHeight="1">
      <c r="A73" s="876" t="s">
        <v>94</v>
      </c>
      <c r="B73" s="876" t="s">
        <v>91</v>
      </c>
      <c r="C73" s="880">
        <v>40.318996044878318</v>
      </c>
      <c r="D73" s="880">
        <v>72.302842568270648</v>
      </c>
      <c r="E73" s="882">
        <v>9.4999999999999998E-3</v>
      </c>
      <c r="F73" s="882">
        <v>5.6999999999999998E-4</v>
      </c>
      <c r="G73" s="879">
        <f>SUM(H73:J73)</f>
        <v>2.9605727470246306</v>
      </c>
      <c r="H73" s="888">
        <f>(C73*P115)/1000</f>
        <v>2.9441484007957892</v>
      </c>
      <c r="I73" s="891">
        <f t="shared" si="3"/>
        <v>9.5757615606586015E-3</v>
      </c>
      <c r="J73" s="1668">
        <f t="shared" si="4"/>
        <v>6.848584668183031E-3</v>
      </c>
      <c r="K73" s="799"/>
      <c r="L73" s="583" t="s">
        <v>126</v>
      </c>
      <c r="W73" s="625"/>
      <c r="Y73" s="625"/>
      <c r="Z73" s="625"/>
      <c r="AA73" s="625"/>
      <c r="AC73" s="625"/>
    </row>
    <row r="74" spans="1:29" ht="15" customHeight="1">
      <c r="A74" s="876" t="s">
        <v>95</v>
      </c>
      <c r="B74" s="876" t="s">
        <v>96</v>
      </c>
      <c r="C74" s="1246" t="s">
        <v>127</v>
      </c>
      <c r="D74" s="880">
        <f>D75*0.0036</f>
        <v>0.19424428865307317</v>
      </c>
      <c r="E74" s="882">
        <f>E75*0.0036</f>
        <v>1.6199999999999997E-5</v>
      </c>
      <c r="F74" s="882">
        <f>F75*0.0036</f>
        <v>3.2399999999999999E-7</v>
      </c>
      <c r="G74" s="890"/>
      <c r="H74" s="881"/>
      <c r="I74" s="891"/>
      <c r="J74" s="1670"/>
      <c r="K74" s="799"/>
      <c r="W74" s="625"/>
      <c r="Y74" s="625"/>
      <c r="Z74" s="625"/>
      <c r="AA74" s="625"/>
      <c r="AC74" s="625"/>
    </row>
    <row r="75" spans="1:29" ht="15" customHeight="1">
      <c r="A75" s="876"/>
      <c r="B75" s="876" t="s">
        <v>97</v>
      </c>
      <c r="C75" s="1246" t="s">
        <v>127</v>
      </c>
      <c r="D75" s="880">
        <v>53.956746848075881</v>
      </c>
      <c r="E75" s="882">
        <v>4.4999999999999997E-3</v>
      </c>
      <c r="F75" s="882">
        <v>9.0000000000000006E-5</v>
      </c>
      <c r="G75" s="894"/>
      <c r="H75" s="895"/>
      <c r="I75" s="881"/>
      <c r="J75" s="1668"/>
      <c r="K75" s="799"/>
      <c r="L75" s="16"/>
      <c r="W75" s="625"/>
      <c r="Y75" s="625"/>
      <c r="Z75" s="625"/>
      <c r="AA75" s="625"/>
      <c r="AC75" s="625"/>
    </row>
    <row r="76" spans="1:29" ht="15" customHeight="1">
      <c r="A76" s="900" t="s">
        <v>98</v>
      </c>
      <c r="B76" s="900"/>
      <c r="C76" s="900"/>
      <c r="D76" s="900"/>
      <c r="E76" s="900"/>
      <c r="F76" s="900"/>
      <c r="G76" s="900"/>
      <c r="H76" s="900"/>
      <c r="I76" s="900"/>
      <c r="J76" s="1669"/>
      <c r="K76" s="799"/>
      <c r="W76" s="625"/>
      <c r="Y76" s="625"/>
      <c r="Z76" s="625"/>
      <c r="AA76" s="625"/>
      <c r="AC76" s="625"/>
    </row>
    <row r="77" spans="1:29">
      <c r="A77" s="876" t="s">
        <v>89</v>
      </c>
      <c r="B77" s="876" t="s">
        <v>83</v>
      </c>
      <c r="C77" s="900"/>
      <c r="D77" s="900"/>
      <c r="E77" s="900"/>
      <c r="F77" s="900"/>
      <c r="G77" s="1348">
        <v>1.9309174408762142</v>
      </c>
      <c r="H77" s="1351">
        <v>1.9170877380428788</v>
      </c>
      <c r="I77" s="1351">
        <v>4.9604386059310009E-3</v>
      </c>
      <c r="J77" s="1671">
        <v>8.8692642274046316E-3</v>
      </c>
      <c r="K77" s="799"/>
      <c r="W77" s="625"/>
      <c r="Y77" s="625"/>
      <c r="Z77" s="625"/>
      <c r="AA77" s="625"/>
      <c r="AC77" s="625"/>
    </row>
    <row r="78" spans="1:29">
      <c r="A78" s="876" t="s">
        <v>85</v>
      </c>
      <c r="B78" s="876" t="s">
        <v>83</v>
      </c>
      <c r="C78" s="880">
        <f t="shared" ref="C78:D80" si="5">C67</f>
        <v>29.590041273059949</v>
      </c>
      <c r="D78" s="880">
        <f t="shared" si="5"/>
        <v>89.13</v>
      </c>
      <c r="E78" s="882">
        <v>9.4999999999999998E-3</v>
      </c>
      <c r="F78" s="882">
        <v>1.4249999999999998E-3</v>
      </c>
      <c r="G78" s="879">
        <f>SUM(H78:J78)</f>
        <v>2.6569534244967898</v>
      </c>
      <c r="H78" s="886">
        <f>(C78*C143)/1000</f>
        <v>2.6373603786678332</v>
      </c>
      <c r="I78" s="886">
        <f>((C78*E78)/1000)*25</f>
        <v>7.0276348023517368E-3</v>
      </c>
      <c r="J78" s="1668">
        <f>((C78*F78)/1000)*298</f>
        <v>1.2565411026604908E-2</v>
      </c>
      <c r="K78" s="799"/>
      <c r="W78" s="625"/>
      <c r="Y78" s="625"/>
      <c r="Z78" s="625"/>
      <c r="AA78" s="625"/>
      <c r="AC78" s="625"/>
    </row>
    <row r="79" spans="1:29">
      <c r="A79" s="876" t="s">
        <v>86</v>
      </c>
      <c r="B79" s="876" t="s">
        <v>83</v>
      </c>
      <c r="C79" s="880">
        <f t="shared" si="5"/>
        <v>21.643759940304214</v>
      </c>
      <c r="D79" s="880">
        <f t="shared" si="5"/>
        <v>91.99</v>
      </c>
      <c r="E79" s="882">
        <v>9.4999999999999998E-3</v>
      </c>
      <c r="F79" s="882">
        <v>1.4249999999999998E-3</v>
      </c>
      <c r="G79" s="879">
        <f t="shared" ref="G79:G80" si="6">SUM(H79:J79)</f>
        <v>2.0053408925530567</v>
      </c>
      <c r="H79" s="886">
        <f>(C79*C142)/1000</f>
        <v>1.9910094769085844</v>
      </c>
      <c r="I79" s="886">
        <f t="shared" ref="I79:I84" si="7">((C79*E79)/1000)*25</f>
        <v>5.1403929858222508E-3</v>
      </c>
      <c r="J79" s="1668">
        <f t="shared" ref="J79:J84" si="8">((C79*F79)/1000)*298</f>
        <v>9.1910226586501848E-3</v>
      </c>
      <c r="K79" s="799"/>
      <c r="W79" s="625"/>
      <c r="Y79" s="625"/>
      <c r="Z79" s="625"/>
      <c r="AA79" s="625"/>
      <c r="AC79" s="625"/>
    </row>
    <row r="80" spans="1:29">
      <c r="A80" s="876" t="s">
        <v>87</v>
      </c>
      <c r="B80" s="876" t="s">
        <v>83</v>
      </c>
      <c r="C80" s="880">
        <f t="shared" si="5"/>
        <v>15.255588794332368</v>
      </c>
      <c r="D80" s="880">
        <f t="shared" si="5"/>
        <v>93.11</v>
      </c>
      <c r="E80" s="882">
        <v>9.4999999999999998E-3</v>
      </c>
      <c r="F80" s="882">
        <v>1.4249999999999998E-3</v>
      </c>
      <c r="G80" s="879">
        <f t="shared" si="6"/>
        <v>1.430549360760454</v>
      </c>
      <c r="H80" s="886">
        <f>(C80*C144)/1000</f>
        <v>1.4204478726402867</v>
      </c>
      <c r="I80" s="886">
        <f t="shared" si="7"/>
        <v>3.6232023386539372E-3</v>
      </c>
      <c r="J80" s="1668">
        <f t="shared" si="8"/>
        <v>6.4782857815132398E-3</v>
      </c>
      <c r="K80" s="799"/>
      <c r="W80" s="625"/>
      <c r="Y80" s="625"/>
      <c r="Z80" s="625"/>
      <c r="AA80" s="625"/>
      <c r="AC80" s="625"/>
    </row>
    <row r="81" spans="1:29">
      <c r="A81" s="876" t="s">
        <v>99</v>
      </c>
      <c r="B81" s="876" t="s">
        <v>91</v>
      </c>
      <c r="C81" s="880">
        <f>C70</f>
        <v>38.209810082809859</v>
      </c>
      <c r="D81" s="880">
        <v>69.305668194279477</v>
      </c>
      <c r="E81" s="882">
        <v>2.8499999999999997E-3</v>
      </c>
      <c r="F81" s="882">
        <v>5.6999999999999998E-4</v>
      </c>
      <c r="G81" s="879"/>
      <c r="H81" s="886">
        <f>(C81*P110)/1000</f>
        <v>2.6534834681500907</v>
      </c>
      <c r="I81" s="886">
        <f t="shared" si="7"/>
        <v>2.7224489684002022E-3</v>
      </c>
      <c r="J81" s="1668">
        <f t="shared" si="8"/>
        <v>6.4903183406660814E-3</v>
      </c>
      <c r="K81" s="799"/>
      <c r="W81" s="625"/>
      <c r="Y81" s="625"/>
      <c r="Z81" s="625"/>
      <c r="AA81" s="625"/>
      <c r="AC81" s="625"/>
    </row>
    <row r="82" spans="1:29">
      <c r="A82" s="876" t="s">
        <v>92</v>
      </c>
      <c r="B82" s="876" t="s">
        <v>83</v>
      </c>
      <c r="C82" s="880">
        <f>C71</f>
        <v>50</v>
      </c>
      <c r="D82" s="880">
        <v>60.426666666666662</v>
      </c>
      <c r="E82" s="882">
        <v>9.5E-4</v>
      </c>
      <c r="F82" s="882">
        <v>9.5000000000000005E-5</v>
      </c>
      <c r="G82" s="879"/>
      <c r="H82" s="886"/>
      <c r="I82" s="886">
        <f>((C82*E82)/1000)*25</f>
        <v>1.1875E-3</v>
      </c>
      <c r="J82" s="1668">
        <f>((C82*F82)/1000)*298</f>
        <v>1.4155000000000001E-3</v>
      </c>
      <c r="K82" s="799"/>
      <c r="W82" s="625"/>
      <c r="Y82" s="625"/>
      <c r="Z82" s="625"/>
      <c r="AA82" s="625"/>
      <c r="AC82" s="625"/>
    </row>
    <row r="83" spans="1:29">
      <c r="A83" s="876" t="s">
        <v>100</v>
      </c>
      <c r="B83" s="876" t="s">
        <v>91</v>
      </c>
      <c r="C83" s="880">
        <f>C72</f>
        <v>40.897639248823445</v>
      </c>
      <c r="D83" s="880">
        <f>D72</f>
        <v>73.585659863779085</v>
      </c>
      <c r="E83" s="882">
        <v>2.8500000000000001E-3</v>
      </c>
      <c r="F83" s="882">
        <v>5.6999999999999998E-4</v>
      </c>
      <c r="G83" s="879"/>
      <c r="H83" s="886">
        <f>(C83*P116)/1000</f>
        <v>2.9991801617214624</v>
      </c>
      <c r="I83" s="886">
        <f t="shared" si="7"/>
        <v>2.9139567964786704E-3</v>
      </c>
      <c r="J83" s="1668">
        <f t="shared" si="8"/>
        <v>6.9468730028051503E-3</v>
      </c>
      <c r="K83" s="799"/>
      <c r="W83" s="625"/>
      <c r="Y83" s="625"/>
      <c r="Z83" s="625"/>
      <c r="AA83" s="625"/>
      <c r="AC83" s="625"/>
    </row>
    <row r="84" spans="1:29">
      <c r="A84" s="876" t="s">
        <v>101</v>
      </c>
      <c r="B84" s="876" t="s">
        <v>91</v>
      </c>
      <c r="C84" s="880">
        <f>C73</f>
        <v>40.318996044878318</v>
      </c>
      <c r="D84" s="880">
        <f>D73</f>
        <v>72.302842568270648</v>
      </c>
      <c r="E84" s="882">
        <v>2.8500000000000001E-3</v>
      </c>
      <c r="F84" s="882">
        <v>5.6999999999999998E-4</v>
      </c>
      <c r="G84" s="879"/>
      <c r="H84" s="886">
        <f>(C84*P115)/1000</f>
        <v>2.9441484007957892</v>
      </c>
      <c r="I84" s="886">
        <f t="shared" si="7"/>
        <v>2.8727284681975807E-3</v>
      </c>
      <c r="J84" s="1668">
        <f t="shared" si="8"/>
        <v>6.848584668183031E-3</v>
      </c>
      <c r="K84" s="799"/>
      <c r="W84" s="625"/>
      <c r="Y84" s="625"/>
      <c r="Z84" s="625"/>
      <c r="AA84" s="625"/>
      <c r="AC84" s="625"/>
    </row>
    <row r="85" spans="1:29">
      <c r="A85" s="876" t="s">
        <v>95</v>
      </c>
      <c r="B85" s="876" t="s">
        <v>96</v>
      </c>
      <c r="C85" s="1246" t="s">
        <v>127</v>
      </c>
      <c r="D85" s="880">
        <f>D86*0.0036</f>
        <v>0.19424428865307317</v>
      </c>
      <c r="E85" s="882">
        <f>E86*0.0036</f>
        <v>1.6199999999999997E-5</v>
      </c>
      <c r="F85" s="882">
        <f>F86*0.0036</f>
        <v>3.2399999999999999E-7</v>
      </c>
      <c r="G85" s="890"/>
      <c r="H85" s="886"/>
      <c r="I85" s="886"/>
      <c r="J85" s="1668"/>
      <c r="K85" s="799"/>
      <c r="W85" s="625"/>
      <c r="Y85" s="625"/>
      <c r="Z85" s="625"/>
      <c r="AA85" s="625"/>
      <c r="AC85" s="625"/>
    </row>
    <row r="86" spans="1:29">
      <c r="A86" s="876"/>
      <c r="B86" s="876" t="s">
        <v>97</v>
      </c>
      <c r="C86" s="1246" t="s">
        <v>127</v>
      </c>
      <c r="D86" s="880">
        <v>53.956746848075881</v>
      </c>
      <c r="E86" s="882">
        <v>4.4999999999999997E-3</v>
      </c>
      <c r="F86" s="882">
        <v>9.0000000000000006E-5</v>
      </c>
      <c r="G86" s="894"/>
      <c r="H86" s="886"/>
      <c r="I86" s="886"/>
      <c r="J86" s="1668"/>
      <c r="W86" s="625"/>
      <c r="Y86" s="625"/>
      <c r="Z86" s="625"/>
      <c r="AA86" s="625"/>
      <c r="AC86" s="625"/>
    </row>
    <row r="87" spans="1:29">
      <c r="A87" s="900" t="s">
        <v>104</v>
      </c>
      <c r="B87" s="900"/>
      <c r="C87" s="900"/>
      <c r="D87" s="900"/>
      <c r="E87" s="900"/>
      <c r="F87" s="900"/>
      <c r="G87" s="900"/>
      <c r="H87" s="900"/>
      <c r="I87" s="900"/>
      <c r="J87" s="1669"/>
      <c r="N87" s="799"/>
      <c r="O87" s="86"/>
      <c r="P87" s="86"/>
      <c r="Q87" s="86"/>
      <c r="R87" s="86"/>
      <c r="W87" s="625"/>
      <c r="Y87" s="625"/>
      <c r="Z87" s="625"/>
      <c r="AA87" s="625"/>
      <c r="AC87" s="625"/>
    </row>
    <row r="88" spans="1:29" ht="15" customHeight="1">
      <c r="A88" s="876" t="s">
        <v>105</v>
      </c>
      <c r="B88" s="876" t="s">
        <v>97</v>
      </c>
      <c r="C88" s="900"/>
      <c r="D88" s="900"/>
      <c r="E88" s="900"/>
      <c r="F88" s="900"/>
      <c r="G88" s="1241"/>
      <c r="H88" s="880"/>
      <c r="I88" s="880"/>
      <c r="J88" s="1672"/>
      <c r="L88" s="139"/>
      <c r="M88" s="800"/>
      <c r="N88" s="799"/>
      <c r="O88" s="802"/>
      <c r="P88" s="802"/>
      <c r="Q88" s="802"/>
      <c r="R88" s="803"/>
      <c r="W88" s="625"/>
      <c r="Y88" s="625"/>
      <c r="Z88" s="625"/>
      <c r="AA88" s="625"/>
      <c r="AC88" s="625"/>
    </row>
    <row r="89" spans="1:29">
      <c r="A89" s="876"/>
      <c r="B89" s="876" t="s">
        <v>91</v>
      </c>
      <c r="C89" s="880">
        <v>36.42</v>
      </c>
      <c r="D89" s="880">
        <v>67.260000000000005</v>
      </c>
      <c r="E89" s="882">
        <v>2.8500000000000001E-3</v>
      </c>
      <c r="F89" s="882">
        <v>5.6999999999999998E-4</v>
      </c>
      <c r="G89" s="1241"/>
      <c r="H89" s="880"/>
      <c r="I89" s="892">
        <f>((C89*E89)/1000)*25</f>
        <v>2.5949250000000001E-3</v>
      </c>
      <c r="J89" s="1670">
        <f>((C89*F89)/1000)*298</f>
        <v>6.1863012E-3</v>
      </c>
      <c r="L89" s="807"/>
      <c r="M89" s="799"/>
      <c r="N89" s="799"/>
      <c r="O89" s="802"/>
      <c r="P89" s="802"/>
      <c r="Q89" s="802"/>
      <c r="R89" s="803"/>
      <c r="W89" s="625"/>
      <c r="Y89" s="625"/>
      <c r="Z89" s="625"/>
      <c r="AA89" s="625"/>
      <c r="AC89" s="625"/>
    </row>
    <row r="90" spans="1:29">
      <c r="A90" s="876" t="s">
        <v>107</v>
      </c>
      <c r="B90" s="876" t="s">
        <v>97</v>
      </c>
      <c r="C90" s="900"/>
      <c r="D90" s="900"/>
      <c r="E90" s="900"/>
      <c r="F90" s="900"/>
      <c r="G90" s="1241"/>
      <c r="H90" s="880"/>
      <c r="I90" s="880"/>
      <c r="J90" s="1672"/>
      <c r="K90" s="799"/>
      <c r="L90" s="799"/>
      <c r="M90" s="799"/>
      <c r="N90" s="799"/>
      <c r="O90" s="802"/>
      <c r="P90" s="802"/>
      <c r="Q90" s="803"/>
      <c r="R90" s="803"/>
      <c r="W90" s="625"/>
      <c r="Y90" s="625"/>
      <c r="Z90" s="625"/>
      <c r="AA90" s="625"/>
      <c r="AC90" s="625"/>
    </row>
    <row r="91" spans="1:29">
      <c r="A91" s="876"/>
      <c r="B91" s="876" t="s">
        <v>91</v>
      </c>
      <c r="C91" s="880">
        <v>23.6</v>
      </c>
      <c r="D91" s="880">
        <v>64.2</v>
      </c>
      <c r="E91" s="882">
        <v>2.8500000000000001E-3</v>
      </c>
      <c r="F91" s="882">
        <v>5.6999999999999998E-4</v>
      </c>
      <c r="G91" s="1241"/>
      <c r="H91" s="880"/>
      <c r="I91" s="892">
        <f t="shared" ref="I91:I103" si="9">((C91*E91)/1000)*25</f>
        <v>1.6815000000000001E-3</v>
      </c>
      <c r="J91" s="1670">
        <f t="shared" ref="J91:J103" si="10">((C91*F91)/1000)*298</f>
        <v>4.008696E-3</v>
      </c>
      <c r="K91" s="799"/>
      <c r="L91" s="799"/>
      <c r="M91" s="799"/>
      <c r="N91" s="799"/>
      <c r="O91" s="802"/>
      <c r="P91" s="802"/>
      <c r="Q91" s="802"/>
      <c r="R91" s="804"/>
      <c r="W91" s="625"/>
      <c r="Y91" s="625"/>
      <c r="Z91" s="625"/>
      <c r="AA91" s="625"/>
      <c r="AC91" s="625"/>
    </row>
    <row r="92" spans="1:29">
      <c r="A92" s="876" t="s">
        <v>108</v>
      </c>
      <c r="B92" s="876" t="s">
        <v>83</v>
      </c>
      <c r="C92" s="880">
        <v>9.6300000000000008</v>
      </c>
      <c r="D92" s="880">
        <v>89.466666666666669</v>
      </c>
      <c r="E92" s="882">
        <v>2.4E-2</v>
      </c>
      <c r="F92" s="882">
        <v>3.2000000000000002E-3</v>
      </c>
      <c r="G92" s="1242">
        <f>SUM(I93:J93)</f>
        <v>6.6963168000000003E-2</v>
      </c>
      <c r="H92" s="888">
        <f>(C92*C140)/1000</f>
        <v>0.86156400003209999</v>
      </c>
      <c r="I92" s="1247">
        <f t="shared" si="9"/>
        <v>5.7780000000000001E-3</v>
      </c>
      <c r="J92" s="1670">
        <f t="shared" si="10"/>
        <v>9.183168000000002E-3</v>
      </c>
      <c r="K92" s="800"/>
      <c r="L92" s="799"/>
      <c r="M92" s="799"/>
      <c r="N92" s="799"/>
      <c r="O92" s="802"/>
      <c r="P92" s="802"/>
      <c r="Q92" s="805"/>
      <c r="R92" s="805"/>
      <c r="W92" s="625"/>
      <c r="Y92" s="625"/>
      <c r="Z92" s="625"/>
      <c r="AA92" s="625"/>
      <c r="AC92" s="625"/>
    </row>
    <row r="93" spans="1:29">
      <c r="A93" s="876" t="s">
        <v>110</v>
      </c>
      <c r="B93" s="876" t="s">
        <v>83</v>
      </c>
      <c r="C93" s="880">
        <v>9.6300000000000008</v>
      </c>
      <c r="D93" s="880">
        <v>89.466666666666669</v>
      </c>
      <c r="E93" s="882">
        <v>0.24</v>
      </c>
      <c r="F93" s="882">
        <v>3.2000000000000002E-3</v>
      </c>
      <c r="G93" s="1242">
        <f>SUM(I92:J92)</f>
        <v>1.4961168000000002E-2</v>
      </c>
      <c r="H93" s="888">
        <f>(C93*C139)/1000</f>
        <v>0.86156400003209999</v>
      </c>
      <c r="I93" s="892">
        <f t="shared" si="9"/>
        <v>5.7779999999999998E-2</v>
      </c>
      <c r="J93" s="1670">
        <f t="shared" si="10"/>
        <v>9.183168000000002E-3</v>
      </c>
      <c r="K93" s="799"/>
      <c r="L93" s="799"/>
      <c r="M93" s="799"/>
      <c r="N93" s="799"/>
      <c r="O93" s="802"/>
      <c r="P93" s="802"/>
      <c r="Q93" s="803"/>
      <c r="R93" s="803"/>
      <c r="W93" s="625"/>
      <c r="Y93" s="625"/>
      <c r="Z93" s="625"/>
      <c r="AA93" s="625"/>
      <c r="AC93" s="625"/>
    </row>
    <row r="94" spans="1:29" ht="15" customHeight="1">
      <c r="A94" s="876" t="s">
        <v>113</v>
      </c>
      <c r="B94" s="876" t="s">
        <v>91</v>
      </c>
      <c r="C94" s="880">
        <v>35.172033390297237</v>
      </c>
      <c r="D94" s="880">
        <v>66.701134834277795</v>
      </c>
      <c r="E94" s="882">
        <v>3.1349999999999996E-2</v>
      </c>
      <c r="F94" s="882">
        <v>7.6E-3</v>
      </c>
      <c r="G94" s="887">
        <f>SUM(H94:J94)</f>
        <v>2.4557751051453778</v>
      </c>
      <c r="H94" s="808">
        <f>(C94*P109)/1000</f>
        <v>2.3485514027533871</v>
      </c>
      <c r="I94" s="892">
        <f t="shared" si="9"/>
        <v>2.7566081169645457E-2</v>
      </c>
      <c r="J94" s="1670">
        <f t="shared" si="10"/>
        <v>7.9657621222345196E-2</v>
      </c>
      <c r="K94" s="799"/>
      <c r="L94" s="799"/>
      <c r="M94" s="799"/>
      <c r="N94" s="799"/>
      <c r="O94" s="802"/>
      <c r="P94" s="802"/>
      <c r="Q94" s="803"/>
      <c r="R94" s="803"/>
      <c r="W94" s="625"/>
      <c r="Y94" s="625"/>
      <c r="Z94" s="625"/>
      <c r="AA94" s="625"/>
      <c r="AC94" s="625"/>
    </row>
    <row r="95" spans="1:29" ht="15" customHeight="1">
      <c r="A95" s="876" t="s">
        <v>114</v>
      </c>
      <c r="B95" s="876" t="s">
        <v>91</v>
      </c>
      <c r="C95" s="880">
        <v>35.38298791459323</v>
      </c>
      <c r="D95" s="880">
        <v>66.121855301941835</v>
      </c>
      <c r="E95" s="882">
        <v>3.1349999999999996E-2</v>
      </c>
      <c r="F95" s="882">
        <v>7.6E-3</v>
      </c>
      <c r="G95" s="887">
        <f>SUM(H95:J95)</f>
        <v>2.4767436661260041</v>
      </c>
      <c r="H95" s="583">
        <f>(C95*P108)/1000</f>
        <v>2.3688768583189708</v>
      </c>
      <c r="I95" s="892">
        <f t="shared" si="9"/>
        <v>2.7731416778062439E-2</v>
      </c>
      <c r="J95" s="1670">
        <f t="shared" si="10"/>
        <v>8.0135391028970743E-2</v>
      </c>
      <c r="K95" s="799"/>
      <c r="L95" s="799"/>
      <c r="M95" s="799"/>
      <c r="N95" s="799"/>
      <c r="O95" s="86"/>
      <c r="P95" s="86"/>
      <c r="Q95" s="86"/>
      <c r="R95" s="86"/>
      <c r="W95" s="625"/>
      <c r="Y95" s="625"/>
      <c r="Z95" s="625"/>
      <c r="AA95" s="625"/>
      <c r="AC95" s="625"/>
    </row>
    <row r="96" spans="1:29">
      <c r="A96" s="876" t="s">
        <v>90</v>
      </c>
      <c r="B96" s="876" t="s">
        <v>91</v>
      </c>
      <c r="C96" s="880">
        <v>38.209810082809859</v>
      </c>
      <c r="D96" s="880">
        <v>69.305668194279477</v>
      </c>
      <c r="E96" s="882">
        <v>3.7049999999999995E-3</v>
      </c>
      <c r="F96" s="882">
        <v>3.7049999999999995E-3</v>
      </c>
      <c r="G96" s="879"/>
      <c r="H96" s="625">
        <f>(C96*P110)/1000</f>
        <v>2.6534834681500907</v>
      </c>
      <c r="I96" s="892">
        <f t="shared" si="9"/>
        <v>3.5391836589202625E-3</v>
      </c>
      <c r="J96" s="1670">
        <f t="shared" si="10"/>
        <v>4.2187069214329527E-2</v>
      </c>
      <c r="K96" s="799"/>
      <c r="L96" s="800"/>
      <c r="M96" s="800"/>
      <c r="N96" s="799"/>
      <c r="O96" s="86"/>
      <c r="P96" s="86"/>
      <c r="Q96" s="86"/>
      <c r="R96" s="86"/>
      <c r="W96" s="625"/>
      <c r="Y96" s="625"/>
      <c r="Z96" s="625"/>
      <c r="AA96" s="625"/>
      <c r="AC96" s="625"/>
    </row>
    <row r="97" spans="1:156">
      <c r="A97" s="876" t="s">
        <v>92</v>
      </c>
      <c r="B97" s="876" t="s">
        <v>91</v>
      </c>
      <c r="C97" s="880">
        <v>26.54</v>
      </c>
      <c r="D97" s="880">
        <v>60.426666666666662</v>
      </c>
      <c r="E97" s="882">
        <v>5.8900000000000001E-2</v>
      </c>
      <c r="F97" s="882">
        <v>1.9000000000000001E-4</v>
      </c>
      <c r="G97" s="879"/>
      <c r="H97" s="880"/>
      <c r="I97" s="892">
        <f t="shared" si="9"/>
        <v>3.9080150000000001E-2</v>
      </c>
      <c r="J97" s="1670">
        <f t="shared" si="10"/>
        <v>1.5026948000000002E-3</v>
      </c>
      <c r="K97" s="799"/>
      <c r="L97" s="799"/>
      <c r="M97" s="799"/>
      <c r="N97" s="799"/>
      <c r="O97" s="86"/>
      <c r="P97" s="86"/>
      <c r="Q97" s="86"/>
      <c r="R97" s="86"/>
      <c r="W97" s="625"/>
      <c r="Y97" s="625"/>
      <c r="Z97" s="625"/>
      <c r="AA97" s="625"/>
      <c r="AC97" s="625"/>
    </row>
    <row r="98" spans="1:156">
      <c r="A98" s="876" t="s">
        <v>93</v>
      </c>
      <c r="B98" s="876" t="s">
        <v>91</v>
      </c>
      <c r="C98" s="880">
        <f>C72</f>
        <v>40.897639248823445</v>
      </c>
      <c r="D98" s="880">
        <f>D72</f>
        <v>73.585659863779085</v>
      </c>
      <c r="E98" s="882">
        <v>6.6499999999999997E-3</v>
      </c>
      <c r="F98" s="882">
        <v>1.9E-3</v>
      </c>
      <c r="G98" s="879"/>
      <c r="H98" s="755">
        <f>(C98*P116)/1000</f>
        <v>2.9991801617214624</v>
      </c>
      <c r="I98" s="892">
        <f t="shared" si="9"/>
        <v>6.7992325251168984E-3</v>
      </c>
      <c r="J98" s="1670">
        <f t="shared" si="10"/>
        <v>2.3156243342683833E-2</v>
      </c>
      <c r="K98" s="799"/>
      <c r="L98" s="799"/>
      <c r="M98" s="799"/>
      <c r="N98" s="799"/>
      <c r="O98" s="86"/>
      <c r="P98" s="86"/>
      <c r="Q98" s="86"/>
      <c r="R98" s="86"/>
      <c r="W98" s="625"/>
      <c r="Y98" s="625"/>
      <c r="Z98" s="625"/>
      <c r="AA98" s="625"/>
      <c r="AC98" s="625"/>
    </row>
    <row r="99" spans="1:156">
      <c r="A99" s="876" t="s">
        <v>94</v>
      </c>
      <c r="B99" s="876" t="s">
        <v>91</v>
      </c>
      <c r="C99" s="880">
        <f>C73</f>
        <v>40.318996044878318</v>
      </c>
      <c r="D99" s="880">
        <f>D73</f>
        <v>72.302842568270648</v>
      </c>
      <c r="E99" s="882">
        <v>6.6499999999999997E-3</v>
      </c>
      <c r="F99" s="882">
        <v>1.9E-3</v>
      </c>
      <c r="G99" s="879"/>
      <c r="H99" s="625">
        <f>(C99*P115)/1000</f>
        <v>2.9441484007957892</v>
      </c>
      <c r="I99" s="892">
        <f t="shared" si="9"/>
        <v>6.7030330924610212E-3</v>
      </c>
      <c r="J99" s="1670">
        <f t="shared" si="10"/>
        <v>2.28286155606101E-2</v>
      </c>
      <c r="K99" s="799"/>
      <c r="W99" s="625"/>
      <c r="Y99" s="625"/>
      <c r="Z99" s="625"/>
      <c r="AA99" s="625"/>
      <c r="AC99" s="625"/>
    </row>
    <row r="100" spans="1:156" ht="15" customHeight="1">
      <c r="A100" s="876" t="s">
        <v>115</v>
      </c>
      <c r="B100" s="876" t="s">
        <v>97</v>
      </c>
      <c r="C100" s="900"/>
      <c r="D100" s="900"/>
      <c r="E100" s="900"/>
      <c r="F100" s="900"/>
      <c r="G100" s="879"/>
      <c r="H100" s="880"/>
      <c r="I100" s="880"/>
      <c r="J100" s="1672"/>
      <c r="K100" s="799"/>
      <c r="W100" s="625"/>
      <c r="Y100" s="625"/>
      <c r="Z100" s="625"/>
      <c r="AA100" s="625"/>
      <c r="AC100" s="625"/>
    </row>
    <row r="101" spans="1:156">
      <c r="A101" s="876"/>
      <c r="B101" s="876" t="s">
        <v>91</v>
      </c>
      <c r="C101" s="880">
        <v>46.29</v>
      </c>
      <c r="D101" s="880">
        <v>68.22</v>
      </c>
      <c r="E101" s="882">
        <v>0.48</v>
      </c>
      <c r="F101" s="882">
        <v>1.9</v>
      </c>
      <c r="G101" s="879"/>
      <c r="H101" s="880"/>
      <c r="I101" s="892">
        <f t="shared" si="9"/>
        <v>0.55547999999999997</v>
      </c>
      <c r="J101" s="1670">
        <f t="shared" si="10"/>
        <v>26.209397999999997</v>
      </c>
      <c r="K101" s="800"/>
      <c r="W101" s="625"/>
      <c r="Y101" s="625"/>
      <c r="Z101" s="625"/>
      <c r="AA101" s="625"/>
      <c r="AC101" s="625"/>
    </row>
    <row r="102" spans="1:156">
      <c r="A102" s="876" t="s">
        <v>116</v>
      </c>
      <c r="B102" s="876" t="s">
        <v>97</v>
      </c>
      <c r="C102" s="900"/>
      <c r="D102" s="900"/>
      <c r="E102" s="900"/>
      <c r="F102" s="900"/>
      <c r="G102" s="879"/>
      <c r="H102" s="880"/>
      <c r="I102" s="880"/>
      <c r="J102" s="1672"/>
      <c r="K102" s="799"/>
      <c r="W102" s="625"/>
      <c r="Y102" s="625"/>
      <c r="Z102" s="625"/>
      <c r="AA102" s="625"/>
      <c r="AC102" s="625"/>
    </row>
    <row r="103" spans="1:156">
      <c r="A103" s="876"/>
      <c r="B103" s="876" t="s">
        <v>91</v>
      </c>
      <c r="C103" s="880">
        <v>47.3</v>
      </c>
      <c r="D103" s="880">
        <v>65.89</v>
      </c>
      <c r="E103" s="882">
        <v>0.48</v>
      </c>
      <c r="F103" s="882">
        <v>1.9</v>
      </c>
      <c r="G103" s="879"/>
      <c r="H103" s="880"/>
      <c r="I103" s="892">
        <f t="shared" si="9"/>
        <v>0.56759999999999999</v>
      </c>
      <c r="J103" s="1670">
        <f t="shared" si="10"/>
        <v>26.781259999999996</v>
      </c>
      <c r="K103" s="799"/>
      <c r="W103" s="625"/>
      <c r="Y103" s="625"/>
      <c r="Z103" s="625"/>
      <c r="AA103" s="625"/>
      <c r="AC103" s="625"/>
    </row>
    <row r="104" spans="1:156">
      <c r="A104" s="62"/>
      <c r="B104" s="62"/>
      <c r="G104" s="743"/>
      <c r="H104" s="625"/>
      <c r="J104" s="189"/>
      <c r="K104" s="62"/>
      <c r="W104" s="625"/>
      <c r="Y104" s="625"/>
      <c r="Z104" s="625"/>
      <c r="AA104" s="625"/>
      <c r="AC104" s="625"/>
    </row>
    <row r="105" spans="1:156">
      <c r="A105" s="62"/>
      <c r="B105" s="62"/>
      <c r="G105" s="743"/>
      <c r="H105" s="625"/>
      <c r="I105" s="625"/>
      <c r="J105" s="189"/>
      <c r="K105" s="62"/>
      <c r="W105" s="625"/>
      <c r="Y105" s="625"/>
      <c r="Z105" s="625"/>
      <c r="AA105" s="625"/>
      <c r="AC105" s="625"/>
    </row>
    <row r="106" spans="1:156">
      <c r="A106" s="444" t="s">
        <v>128</v>
      </c>
      <c r="B106" s="741"/>
      <c r="C106" s="62"/>
      <c r="D106" s="742"/>
      <c r="E106" s="742"/>
      <c r="G106" s="765" t="s">
        <v>129</v>
      </c>
      <c r="H106" s="743"/>
      <c r="I106" s="188"/>
      <c r="J106" s="189"/>
      <c r="K106" s="189"/>
      <c r="L106" s="62"/>
      <c r="M106" s="61" t="s">
        <v>130</v>
      </c>
      <c r="W106" s="625"/>
      <c r="Y106" s="625"/>
      <c r="Z106" s="625"/>
      <c r="AA106" s="625"/>
      <c r="AC106" s="625"/>
    </row>
    <row r="107" spans="1:156">
      <c r="A107" s="766" t="s">
        <v>131</v>
      </c>
      <c r="B107" s="766" t="s">
        <v>40</v>
      </c>
      <c r="C107" s="766" t="s">
        <v>132</v>
      </c>
      <c r="D107" s="766" t="s">
        <v>133</v>
      </c>
      <c r="E107" s="766" t="s">
        <v>134</v>
      </c>
      <c r="G107" s="766" t="s">
        <v>131</v>
      </c>
      <c r="H107" s="766" t="s">
        <v>135</v>
      </c>
      <c r="I107" s="766" t="s">
        <v>136</v>
      </c>
      <c r="J107" s="766" t="s">
        <v>40</v>
      </c>
      <c r="K107" s="766" t="s">
        <v>137</v>
      </c>
      <c r="L107" s="625"/>
      <c r="M107" s="766" t="s">
        <v>131</v>
      </c>
      <c r="N107" s="766" t="s">
        <v>40</v>
      </c>
      <c r="O107" s="766" t="s">
        <v>138</v>
      </c>
      <c r="P107" s="766" t="s">
        <v>136</v>
      </c>
      <c r="Q107" s="766" t="s">
        <v>137</v>
      </c>
      <c r="R107" s="625"/>
      <c r="W107" s="625"/>
      <c r="X107" s="625"/>
      <c r="Y107" s="625"/>
      <c r="Z107" s="625"/>
      <c r="AA107" s="625"/>
      <c r="AC107" s="625"/>
      <c r="AD107" s="625"/>
      <c r="AF107" s="625"/>
      <c r="AG107" s="625"/>
      <c r="AH107" s="625"/>
      <c r="AI107" s="625"/>
      <c r="AJ107" s="625"/>
      <c r="AK107" s="625"/>
      <c r="AM107" s="625"/>
      <c r="AN107" s="625"/>
      <c r="AO107" s="625"/>
      <c r="AP107" s="625"/>
      <c r="AQ107" s="625"/>
      <c r="AR107" s="625"/>
      <c r="AT107" s="625"/>
      <c r="AU107" s="625"/>
      <c r="AV107" s="625"/>
      <c r="AW107" s="625"/>
      <c r="AX107" s="625"/>
      <c r="AY107" s="625"/>
      <c r="BA107" s="625"/>
      <c r="BB107" s="625"/>
      <c r="BC107" s="625"/>
      <c r="BD107" s="625"/>
      <c r="BE107" s="625"/>
      <c r="BF107" s="625"/>
      <c r="BH107" s="625"/>
      <c r="BI107" s="625"/>
      <c r="BJ107" s="625"/>
      <c r="BK107" s="625"/>
      <c r="BL107" s="625"/>
      <c r="BM107" s="625"/>
      <c r="BO107" s="625"/>
      <c r="BP107" s="625"/>
      <c r="BQ107" s="625"/>
      <c r="BR107" s="625"/>
      <c r="BS107" s="625"/>
      <c r="BT107" s="625"/>
      <c r="BV107" s="625"/>
      <c r="BW107" s="625"/>
      <c r="BX107" s="625"/>
      <c r="BY107" s="625"/>
      <c r="BZ107" s="625"/>
      <c r="CA107" s="625"/>
      <c r="CC107" s="625"/>
      <c r="CD107" s="625"/>
      <c r="CE107" s="625"/>
      <c r="CF107" s="625"/>
      <c r="CG107" s="625"/>
      <c r="CH107" s="625"/>
      <c r="CJ107" s="625"/>
      <c r="CK107" s="625"/>
      <c r="CL107" s="625"/>
      <c r="CM107" s="625"/>
      <c r="CN107" s="625"/>
      <c r="CO107" s="625"/>
      <c r="CQ107" s="625"/>
      <c r="CR107" s="625"/>
      <c r="CS107" s="625"/>
      <c r="CT107" s="625"/>
      <c r="CU107" s="625"/>
      <c r="CV107" s="625"/>
      <c r="CX107" s="625"/>
      <c r="CY107" s="625"/>
      <c r="CZ107" s="625"/>
      <c r="DA107" s="625"/>
      <c r="DB107" s="625"/>
      <c r="DC107" s="625"/>
      <c r="DE107" s="625"/>
      <c r="DF107" s="625"/>
      <c r="DG107" s="625"/>
      <c r="DH107" s="625"/>
      <c r="DI107" s="625"/>
      <c r="DJ107" s="625"/>
      <c r="DL107" s="625"/>
      <c r="DM107" s="625"/>
      <c r="DN107" s="625"/>
      <c r="DO107" s="625"/>
      <c r="DP107" s="625"/>
      <c r="DQ107" s="625"/>
      <c r="DS107" s="625"/>
      <c r="DT107" s="625"/>
      <c r="DU107" s="625"/>
      <c r="DV107" s="625"/>
      <c r="DW107" s="625"/>
      <c r="DX107" s="625"/>
      <c r="DZ107" s="625"/>
      <c r="EA107" s="625"/>
      <c r="EB107" s="625"/>
      <c r="EC107" s="625"/>
      <c r="ED107" s="625"/>
      <c r="EE107" s="625"/>
      <c r="EG107" s="625"/>
      <c r="EH107" s="625"/>
      <c r="EI107" s="625"/>
      <c r="EJ107" s="625"/>
      <c r="EK107" s="625"/>
      <c r="EL107" s="625"/>
      <c r="EN107" s="625"/>
      <c r="EO107" s="625"/>
      <c r="EP107" s="625"/>
      <c r="EQ107" s="625"/>
      <c r="ER107" s="625"/>
      <c r="ES107" s="625"/>
      <c r="EU107" s="625"/>
      <c r="EV107" s="625"/>
      <c r="EW107" s="625"/>
      <c r="EX107" s="625"/>
      <c r="EY107" s="625"/>
      <c r="EZ107" s="625"/>
    </row>
    <row r="108" spans="1:156" ht="15" customHeight="1">
      <c r="A108" s="768">
        <v>2020</v>
      </c>
      <c r="B108" s="625" t="s">
        <v>139</v>
      </c>
      <c r="C108" s="625">
        <v>95.026481950000004</v>
      </c>
      <c r="D108">
        <f>C108*1000</f>
        <v>95026.481950000001</v>
      </c>
      <c r="E108" s="742" t="s">
        <v>140</v>
      </c>
      <c r="G108" s="768">
        <v>2020</v>
      </c>
      <c r="H108" s="625" t="s">
        <v>141</v>
      </c>
      <c r="I108" s="1063">
        <v>52.41</v>
      </c>
      <c r="J108" s="625" t="s">
        <v>95</v>
      </c>
      <c r="K108" s="625" t="s">
        <v>142</v>
      </c>
      <c r="L108" s="625"/>
      <c r="M108" s="768">
        <v>2020</v>
      </c>
      <c r="N108" s="625" t="s">
        <v>143</v>
      </c>
      <c r="O108" s="625" t="s">
        <v>144</v>
      </c>
      <c r="P108" s="625">
        <v>66.949599169999999</v>
      </c>
      <c r="Q108" s="625" t="s">
        <v>142</v>
      </c>
      <c r="R108" s="625"/>
      <c r="W108" s="625"/>
      <c r="Y108" s="625"/>
      <c r="Z108" s="625"/>
      <c r="AA108" s="625"/>
      <c r="AC108" s="625"/>
    </row>
    <row r="109" spans="1:156" ht="15" customHeight="1">
      <c r="A109" s="768">
        <v>2020</v>
      </c>
      <c r="B109" s="625" t="s">
        <v>145</v>
      </c>
      <c r="C109" s="625">
        <v>88.324463469999998</v>
      </c>
      <c r="D109">
        <f t="shared" ref="D109:D113" si="11">C109*1000</f>
        <v>88324.463470000002</v>
      </c>
      <c r="E109" s="742" t="s">
        <v>140</v>
      </c>
      <c r="G109" s="768">
        <v>2020</v>
      </c>
      <c r="H109" s="625" t="s">
        <v>146</v>
      </c>
      <c r="I109" s="1063">
        <v>53.572168820000002</v>
      </c>
      <c r="J109" s="625" t="s">
        <v>95</v>
      </c>
      <c r="K109" s="625" t="s">
        <v>142</v>
      </c>
      <c r="L109" s="625"/>
      <c r="M109" s="768">
        <v>2020</v>
      </c>
      <c r="N109" s="625" t="s">
        <v>147</v>
      </c>
      <c r="O109" s="625" t="s">
        <v>144</v>
      </c>
      <c r="P109" s="625">
        <v>66.773262059999993</v>
      </c>
      <c r="Q109" s="625" t="s">
        <v>142</v>
      </c>
      <c r="W109" s="625"/>
      <c r="Y109" s="625"/>
      <c r="Z109" s="625"/>
      <c r="AA109" s="625"/>
      <c r="AC109" s="625"/>
    </row>
    <row r="110" spans="1:156" ht="15" customHeight="1">
      <c r="A110" s="768">
        <v>2020</v>
      </c>
      <c r="B110" s="625" t="s">
        <v>148</v>
      </c>
      <c r="C110" s="625">
        <v>76.862399600000003</v>
      </c>
      <c r="D110">
        <f t="shared" si="11"/>
        <v>76862.399600000004</v>
      </c>
      <c r="E110" s="742" t="s">
        <v>140</v>
      </c>
      <c r="G110" s="768">
        <v>2020</v>
      </c>
      <c r="H110" s="625" t="s">
        <v>149</v>
      </c>
      <c r="I110" s="1063">
        <v>54.303342579999999</v>
      </c>
      <c r="J110" s="625" t="s">
        <v>95</v>
      </c>
      <c r="K110" s="625" t="s">
        <v>142</v>
      </c>
      <c r="L110" s="625"/>
      <c r="M110" s="768">
        <v>2020</v>
      </c>
      <c r="N110" s="625" t="s">
        <v>150</v>
      </c>
      <c r="O110" s="625" t="s">
        <v>144</v>
      </c>
      <c r="P110" s="625">
        <v>69.445083929999996</v>
      </c>
      <c r="Q110" s="625" t="s">
        <v>142</v>
      </c>
    </row>
    <row r="111" spans="1:156" ht="15" customHeight="1">
      <c r="A111" s="768">
        <v>2020</v>
      </c>
      <c r="B111" s="625" t="s">
        <v>151</v>
      </c>
      <c r="C111" s="625">
        <v>83.090101809999993</v>
      </c>
      <c r="D111">
        <f t="shared" si="11"/>
        <v>83090.101809999993</v>
      </c>
      <c r="E111" s="742" t="s">
        <v>140</v>
      </c>
      <c r="G111" s="768">
        <v>2020</v>
      </c>
      <c r="H111" s="625" t="s">
        <v>152</v>
      </c>
      <c r="I111" s="1063">
        <v>0</v>
      </c>
      <c r="J111" s="625" t="s">
        <v>95</v>
      </c>
      <c r="K111" s="625" t="s">
        <v>142</v>
      </c>
      <c r="L111" s="625"/>
      <c r="M111" s="768">
        <v>2020</v>
      </c>
      <c r="N111" s="625" t="s">
        <v>153</v>
      </c>
      <c r="O111" s="625" t="s">
        <v>144</v>
      </c>
      <c r="P111" s="625" t="s">
        <v>127</v>
      </c>
      <c r="Q111" s="625" t="s">
        <v>142</v>
      </c>
    </row>
    <row r="112" spans="1:156" ht="15" customHeight="1">
      <c r="A112" s="768">
        <v>2020</v>
      </c>
      <c r="B112" s="625" t="s">
        <v>154</v>
      </c>
      <c r="C112" s="625">
        <v>93.124136359999994</v>
      </c>
      <c r="D112">
        <f t="shared" si="11"/>
        <v>93124.13635999999</v>
      </c>
      <c r="E112" s="742" t="s">
        <v>140</v>
      </c>
      <c r="G112" s="768">
        <v>2020</v>
      </c>
      <c r="H112" s="625" t="s">
        <v>155</v>
      </c>
      <c r="I112" s="1063">
        <v>61.81</v>
      </c>
      <c r="J112" s="625" t="s">
        <v>95</v>
      </c>
      <c r="K112" s="625" t="s">
        <v>142</v>
      </c>
      <c r="L112" s="625"/>
      <c r="M112" s="768">
        <v>2020</v>
      </c>
      <c r="N112" s="625" t="s">
        <v>156</v>
      </c>
      <c r="O112" s="625" t="s">
        <v>144</v>
      </c>
      <c r="P112" s="625" t="s">
        <v>127</v>
      </c>
      <c r="Q112" s="625" t="s">
        <v>142</v>
      </c>
    </row>
    <row r="113" spans="1:18" ht="15" customHeight="1">
      <c r="A113" s="768">
        <v>2020</v>
      </c>
      <c r="B113" s="625" t="s">
        <v>157</v>
      </c>
      <c r="C113" s="625">
        <v>92.82337253</v>
      </c>
      <c r="D113">
        <f t="shared" si="11"/>
        <v>92823.372529999993</v>
      </c>
      <c r="E113" s="742" t="s">
        <v>140</v>
      </c>
      <c r="G113" s="768">
        <v>2020</v>
      </c>
      <c r="H113" s="625" t="s">
        <v>158</v>
      </c>
      <c r="I113" s="1063">
        <v>52.722999999999999</v>
      </c>
      <c r="J113" s="625" t="s">
        <v>95</v>
      </c>
      <c r="K113" s="625" t="s">
        <v>142</v>
      </c>
      <c r="L113" s="625"/>
      <c r="M113" s="768">
        <v>2020</v>
      </c>
      <c r="N113" s="625" t="s">
        <v>159</v>
      </c>
      <c r="O113" s="625" t="s">
        <v>144</v>
      </c>
      <c r="P113" s="625">
        <v>69.445083929999996</v>
      </c>
      <c r="Q113" s="625" t="s">
        <v>142</v>
      </c>
    </row>
    <row r="114" spans="1:18" ht="15" customHeight="1">
      <c r="A114" s="768"/>
      <c r="G114" s="768">
        <v>2020</v>
      </c>
      <c r="H114" s="625" t="s">
        <v>160</v>
      </c>
      <c r="I114" s="1063">
        <v>54.303092280000001</v>
      </c>
      <c r="J114" s="625" t="s">
        <v>95</v>
      </c>
      <c r="K114" s="625" t="s">
        <v>142</v>
      </c>
      <c r="L114" s="625"/>
      <c r="M114" s="768">
        <v>2020</v>
      </c>
      <c r="N114" s="625" t="s">
        <v>161</v>
      </c>
      <c r="O114" s="625" t="s">
        <v>144</v>
      </c>
      <c r="P114" s="625">
        <v>70.172879820000006</v>
      </c>
      <c r="Q114" s="625" t="s">
        <v>142</v>
      </c>
    </row>
    <row r="115" spans="1:18" ht="15" customHeight="1">
      <c r="A115" s="768">
        <v>2020</v>
      </c>
      <c r="B115" s="625" t="s">
        <v>139</v>
      </c>
      <c r="C115">
        <v>88.2</v>
      </c>
      <c r="D115">
        <f>C115*1000</f>
        <v>88200</v>
      </c>
      <c r="E115" s="13" t="s">
        <v>162</v>
      </c>
      <c r="G115" s="768">
        <v>2020</v>
      </c>
      <c r="H115" s="625" t="s">
        <v>163</v>
      </c>
      <c r="I115" s="1063">
        <v>54.19</v>
      </c>
      <c r="J115" s="625" t="s">
        <v>95</v>
      </c>
      <c r="K115" s="625" t="s">
        <v>142</v>
      </c>
      <c r="L115" s="625"/>
      <c r="M115" s="768">
        <v>2020</v>
      </c>
      <c r="N115" s="625" t="s">
        <v>164</v>
      </c>
      <c r="O115" s="625" t="s">
        <v>144</v>
      </c>
      <c r="P115" s="625">
        <v>73.021371799999997</v>
      </c>
      <c r="Q115" s="625" t="s">
        <v>142</v>
      </c>
    </row>
    <row r="116" spans="1:18" ht="15" customHeight="1">
      <c r="A116" s="768">
        <v>2020</v>
      </c>
      <c r="B116" s="625" t="s">
        <v>145</v>
      </c>
      <c r="C116" s="625">
        <v>89.1</v>
      </c>
      <c r="D116">
        <f t="shared" ref="D116:D118" si="12">C116*1000</f>
        <v>89100</v>
      </c>
      <c r="E116" s="13" t="s">
        <v>162</v>
      </c>
      <c r="G116" s="768">
        <v>2020</v>
      </c>
      <c r="H116" s="625" t="s">
        <v>165</v>
      </c>
      <c r="I116" s="1063">
        <v>0</v>
      </c>
      <c r="J116" s="625" t="s">
        <v>95</v>
      </c>
      <c r="K116" s="625" t="s">
        <v>142</v>
      </c>
      <c r="L116" s="625"/>
      <c r="M116" s="768">
        <v>2020</v>
      </c>
      <c r="N116" s="625" t="s">
        <v>166</v>
      </c>
      <c r="O116" s="625" t="s">
        <v>144</v>
      </c>
      <c r="P116" s="625">
        <v>73.333821139999998</v>
      </c>
      <c r="Q116" s="625" t="s">
        <v>142</v>
      </c>
    </row>
    <row r="117" spans="1:18" ht="15" customHeight="1">
      <c r="A117" s="768">
        <v>2020</v>
      </c>
      <c r="B117" s="625" t="s">
        <v>148</v>
      </c>
      <c r="C117" s="625">
        <v>93.1</v>
      </c>
      <c r="D117">
        <f t="shared" si="12"/>
        <v>93100</v>
      </c>
      <c r="E117" s="13" t="s">
        <v>162</v>
      </c>
      <c r="G117" s="768">
        <v>2020</v>
      </c>
      <c r="H117" s="625" t="s">
        <v>167</v>
      </c>
      <c r="I117" s="1063">
        <v>60.56</v>
      </c>
      <c r="J117" s="625" t="s">
        <v>95</v>
      </c>
      <c r="K117" s="625" t="s">
        <v>142</v>
      </c>
      <c r="L117" s="625"/>
      <c r="M117" s="768">
        <v>2020</v>
      </c>
      <c r="N117" s="625" t="s">
        <v>168</v>
      </c>
      <c r="O117" s="625" t="s">
        <v>144</v>
      </c>
      <c r="P117" s="625">
        <v>73.50490542</v>
      </c>
      <c r="Q117" s="625" t="s">
        <v>142</v>
      </c>
      <c r="R117" s="625"/>
    </row>
    <row r="118" spans="1:18" ht="15" customHeight="1">
      <c r="A118" s="768">
        <v>2020</v>
      </c>
      <c r="B118" s="625" t="s">
        <v>151</v>
      </c>
      <c r="C118" s="625">
        <v>92</v>
      </c>
      <c r="D118">
        <f t="shared" si="12"/>
        <v>92000</v>
      </c>
      <c r="E118" s="13" t="s">
        <v>162</v>
      </c>
      <c r="G118" s="768">
        <v>2020</v>
      </c>
      <c r="H118" s="625" t="s">
        <v>169</v>
      </c>
      <c r="I118" s="1063">
        <v>55.18</v>
      </c>
      <c r="J118" s="625" t="s">
        <v>95</v>
      </c>
      <c r="K118" s="625" t="s">
        <v>142</v>
      </c>
      <c r="L118" s="625"/>
    </row>
    <row r="119" spans="1:18" ht="15" customHeight="1">
      <c r="A119" s="741"/>
      <c r="G119" s="768">
        <v>2020</v>
      </c>
      <c r="H119" s="625" t="s">
        <v>170</v>
      </c>
      <c r="I119" s="1063">
        <v>54.850183600000001</v>
      </c>
      <c r="J119" s="625" t="s">
        <v>95</v>
      </c>
      <c r="K119" s="625" t="s">
        <v>142</v>
      </c>
      <c r="L119" s="625"/>
    </row>
    <row r="120" spans="1:18" ht="15" customHeight="1">
      <c r="G120" s="768">
        <v>2020</v>
      </c>
      <c r="H120" s="625" t="s">
        <v>171</v>
      </c>
      <c r="I120" s="1063">
        <v>50.835110950000001</v>
      </c>
      <c r="J120" s="625" t="s">
        <v>95</v>
      </c>
      <c r="K120" s="625" t="s">
        <v>142</v>
      </c>
      <c r="L120" s="625"/>
    </row>
    <row r="121" spans="1:18" ht="15" customHeight="1">
      <c r="G121" s="768">
        <v>2020</v>
      </c>
      <c r="H121" s="625" t="s">
        <v>172</v>
      </c>
      <c r="I121" s="1063">
        <v>0</v>
      </c>
      <c r="J121" s="625" t="s">
        <v>95</v>
      </c>
      <c r="K121" s="625" t="s">
        <v>142</v>
      </c>
      <c r="L121" s="625"/>
    </row>
    <row r="122" spans="1:18" ht="15" customHeight="1">
      <c r="G122" s="768">
        <v>2020</v>
      </c>
      <c r="H122" s="625" t="s">
        <v>173</v>
      </c>
      <c r="I122" s="1063">
        <v>0</v>
      </c>
      <c r="J122" s="625" t="s">
        <v>95</v>
      </c>
      <c r="K122" s="625" t="s">
        <v>142</v>
      </c>
      <c r="L122" s="625"/>
    </row>
    <row r="123" spans="1:18" ht="15" customHeight="1">
      <c r="G123" s="768">
        <v>2020</v>
      </c>
      <c r="H123" s="625" t="s">
        <v>174</v>
      </c>
      <c r="I123" s="1063">
        <v>54.564482239999997</v>
      </c>
      <c r="J123" s="625" t="s">
        <v>95</v>
      </c>
      <c r="K123" s="625" t="s">
        <v>142</v>
      </c>
      <c r="L123" s="625"/>
    </row>
    <row r="124" spans="1:18" ht="15" customHeight="1">
      <c r="C124" s="625"/>
      <c r="D124" s="742"/>
      <c r="G124" s="768">
        <v>2020</v>
      </c>
      <c r="H124" s="625" t="s">
        <v>175</v>
      </c>
      <c r="I124" s="1063">
        <v>0</v>
      </c>
      <c r="J124" s="625" t="s">
        <v>95</v>
      </c>
      <c r="K124" s="625" t="s">
        <v>142</v>
      </c>
      <c r="L124" s="625"/>
    </row>
    <row r="125" spans="1:18" ht="15" customHeight="1">
      <c r="G125" s="768">
        <v>2020</v>
      </c>
      <c r="H125" s="625" t="s">
        <v>176</v>
      </c>
      <c r="I125" s="1063">
        <v>54.42</v>
      </c>
      <c r="J125" s="625" t="s">
        <v>95</v>
      </c>
      <c r="K125" s="625" t="s">
        <v>142</v>
      </c>
      <c r="L125" s="625"/>
    </row>
    <row r="126" spans="1:18" ht="15" customHeight="1">
      <c r="B126" s="625"/>
      <c r="C126" s="625"/>
      <c r="D126" s="742"/>
      <c r="G126" s="768">
        <v>2020</v>
      </c>
      <c r="H126" s="625" t="s">
        <v>177</v>
      </c>
      <c r="I126" s="1063">
        <v>53.343884439999997</v>
      </c>
      <c r="J126" s="625" t="s">
        <v>95</v>
      </c>
      <c r="K126" s="625" t="s">
        <v>142</v>
      </c>
      <c r="L126" s="625"/>
    </row>
    <row r="127" spans="1:18" ht="15" customHeight="1">
      <c r="G127" s="768">
        <v>2020</v>
      </c>
      <c r="H127" s="625" t="s">
        <v>178</v>
      </c>
      <c r="I127" s="1063">
        <v>0</v>
      </c>
      <c r="J127" s="625" t="s">
        <v>95</v>
      </c>
      <c r="K127" s="625" t="s">
        <v>142</v>
      </c>
      <c r="L127" s="625"/>
    </row>
    <row r="128" spans="1:18" ht="15" customHeight="1">
      <c r="A128" s="741"/>
      <c r="B128" s="62"/>
      <c r="C128" s="62"/>
      <c r="D128" s="742"/>
      <c r="E128" s="742"/>
      <c r="G128" s="768">
        <v>2020</v>
      </c>
      <c r="H128" s="625" t="s">
        <v>179</v>
      </c>
      <c r="I128" s="1063">
        <v>86.398388629999999</v>
      </c>
      <c r="J128" s="625" t="s">
        <v>95</v>
      </c>
      <c r="K128" s="625" t="s">
        <v>142</v>
      </c>
      <c r="L128" s="625"/>
    </row>
    <row r="129" spans="1:16" ht="15" customHeight="1">
      <c r="A129" s="741"/>
      <c r="B129" s="62"/>
      <c r="C129" s="62"/>
      <c r="D129" s="742"/>
      <c r="E129" s="742"/>
      <c r="G129" s="768">
        <v>2020</v>
      </c>
      <c r="H129" s="764" t="s">
        <v>180</v>
      </c>
      <c r="I129" s="1063">
        <v>53.963655269999997</v>
      </c>
      <c r="J129" s="625" t="s">
        <v>95</v>
      </c>
      <c r="K129" s="625" t="s">
        <v>142</v>
      </c>
      <c r="L129" s="625"/>
    </row>
    <row r="130" spans="1:16" ht="15" customHeight="1">
      <c r="F130" s="742"/>
      <c r="G130" s="625"/>
      <c r="H130" s="764"/>
      <c r="I130" s="625"/>
      <c r="J130" s="625"/>
      <c r="K130" s="625"/>
      <c r="L130" s="625"/>
    </row>
    <row r="131" spans="1:16" ht="15" customHeight="1">
      <c r="A131" s="61" t="s">
        <v>181</v>
      </c>
      <c r="B131" s="62"/>
      <c r="C131" s="62"/>
      <c r="D131" s="742"/>
      <c r="E131" s="742"/>
      <c r="K131" s="61" t="s">
        <v>182</v>
      </c>
    </row>
    <row r="132" spans="1:16" ht="15" customHeight="1">
      <c r="A132" s="766" t="s">
        <v>40</v>
      </c>
      <c r="B132" s="766" t="s">
        <v>183</v>
      </c>
      <c r="C132" s="766" t="s">
        <v>184</v>
      </c>
      <c r="D132" s="766" t="s">
        <v>133</v>
      </c>
      <c r="E132" s="766" t="s">
        <v>185</v>
      </c>
      <c r="F132" s="766" t="s">
        <v>186</v>
      </c>
      <c r="G132" s="766" t="s">
        <v>187</v>
      </c>
      <c r="H132" s="766" t="s">
        <v>188</v>
      </c>
      <c r="K132" s="766" t="s">
        <v>40</v>
      </c>
      <c r="L132" s="766" t="s">
        <v>183</v>
      </c>
      <c r="M132" s="766" t="s">
        <v>185</v>
      </c>
      <c r="N132" s="766" t="s">
        <v>186</v>
      </c>
      <c r="O132" s="766" t="s">
        <v>187</v>
      </c>
      <c r="P132" s="766" t="s">
        <v>188</v>
      </c>
    </row>
    <row r="133" spans="1:16" ht="15" customHeight="1">
      <c r="A133" s="625" t="s">
        <v>138</v>
      </c>
      <c r="B133" s="625" t="s">
        <v>189</v>
      </c>
      <c r="C133" s="625">
        <v>62.443333330000002</v>
      </c>
      <c r="D133">
        <f>C133*1000</f>
        <v>62443.333330000001</v>
      </c>
      <c r="E133" s="625"/>
      <c r="K133" s="625" t="s">
        <v>190</v>
      </c>
      <c r="L133" s="625" t="s">
        <v>191</v>
      </c>
      <c r="M133" s="625">
        <v>2.8500000000000001E-3</v>
      </c>
      <c r="N133">
        <f>M133*1000</f>
        <v>2.85</v>
      </c>
      <c r="O133" s="625">
        <v>3.8000000000000002E-4</v>
      </c>
      <c r="P133">
        <f>O133*1000</f>
        <v>0.38</v>
      </c>
    </row>
    <row r="134" spans="1:16" ht="15" customHeight="1">
      <c r="A134" s="625" t="s">
        <v>138</v>
      </c>
      <c r="B134" s="625" t="s">
        <v>192</v>
      </c>
      <c r="C134" s="625">
        <v>83.966666669999995</v>
      </c>
      <c r="D134">
        <f t="shared" ref="D134:D152" si="13">C134*1000</f>
        <v>83966.666669999991</v>
      </c>
      <c r="E134" s="625"/>
      <c r="K134" s="625" t="s">
        <v>190</v>
      </c>
      <c r="L134" s="625" t="s">
        <v>193</v>
      </c>
      <c r="M134" s="625">
        <v>2.8500000000000001E-3</v>
      </c>
      <c r="N134">
        <f t="shared" ref="N134:N180" si="14">M134*1000</f>
        <v>2.85</v>
      </c>
      <c r="O134" s="625">
        <v>5.6999999999999998E-4</v>
      </c>
      <c r="P134">
        <f t="shared" ref="P134:P180" si="15">O134*1000</f>
        <v>0.56999999999999995</v>
      </c>
    </row>
    <row r="135" spans="1:16" ht="15" customHeight="1">
      <c r="A135" s="625" t="s">
        <v>194</v>
      </c>
      <c r="B135" s="625" t="s">
        <v>195</v>
      </c>
      <c r="C135" s="625">
        <v>72.900000000000006</v>
      </c>
      <c r="D135">
        <f t="shared" si="13"/>
        <v>72900</v>
      </c>
      <c r="E135" s="625"/>
      <c r="K135" s="625" t="s">
        <v>190</v>
      </c>
      <c r="L135" s="625" t="s">
        <v>196</v>
      </c>
      <c r="M135" s="625">
        <v>2.8500000000000001E-3</v>
      </c>
      <c r="N135">
        <f t="shared" si="14"/>
        <v>2.85</v>
      </c>
      <c r="O135" s="625">
        <v>5.6999999999999998E-4</v>
      </c>
      <c r="P135">
        <f t="shared" si="15"/>
        <v>0.56999999999999995</v>
      </c>
    </row>
    <row r="136" spans="1:16" ht="15" customHeight="1">
      <c r="A136" s="625" t="s">
        <v>194</v>
      </c>
      <c r="B136" s="625" t="s">
        <v>197</v>
      </c>
      <c r="C136" s="625">
        <v>65.099999999999994</v>
      </c>
      <c r="D136">
        <f t="shared" si="13"/>
        <v>65099.999999999993</v>
      </c>
      <c r="E136" s="625"/>
      <c r="K136" s="625" t="s">
        <v>190</v>
      </c>
      <c r="L136" s="625" t="s">
        <v>198</v>
      </c>
      <c r="M136" s="625">
        <v>9.5E-4</v>
      </c>
      <c r="N136">
        <f t="shared" si="14"/>
        <v>0.95</v>
      </c>
      <c r="O136" s="756">
        <v>9.5000000000000005E-5</v>
      </c>
      <c r="P136">
        <f t="shared" si="15"/>
        <v>9.5000000000000001E-2</v>
      </c>
    </row>
    <row r="137" spans="1:16" ht="15" customHeight="1">
      <c r="A137" s="625" t="s">
        <v>194</v>
      </c>
      <c r="B137" s="625" t="s">
        <v>199</v>
      </c>
      <c r="C137" s="625">
        <v>69.666666669999998</v>
      </c>
      <c r="D137">
        <f t="shared" si="13"/>
        <v>69666.666669999991</v>
      </c>
      <c r="E137" s="625">
        <v>2.8500000000000001E-3</v>
      </c>
      <c r="F137">
        <f>E137*1000</f>
        <v>2.85</v>
      </c>
      <c r="G137" s="625">
        <v>5.6999999999999998E-4</v>
      </c>
      <c r="H137">
        <f>G137*1000</f>
        <v>0.56999999999999995</v>
      </c>
      <c r="K137" s="625" t="s">
        <v>190</v>
      </c>
      <c r="L137" s="625" t="s">
        <v>200</v>
      </c>
      <c r="M137" s="625">
        <v>9.4999999999999998E-3</v>
      </c>
      <c r="N137">
        <f t="shared" si="14"/>
        <v>9.5</v>
      </c>
      <c r="O137" s="625">
        <v>5.6999999999999998E-4</v>
      </c>
      <c r="P137">
        <f t="shared" si="15"/>
        <v>0.56999999999999995</v>
      </c>
    </row>
    <row r="138" spans="1:16" ht="15" customHeight="1">
      <c r="A138" s="625" t="s">
        <v>201</v>
      </c>
      <c r="B138" s="625" t="s">
        <v>202</v>
      </c>
      <c r="C138" s="625">
        <v>49.17</v>
      </c>
      <c r="D138">
        <f t="shared" si="13"/>
        <v>49170</v>
      </c>
      <c r="E138" s="756">
        <v>8.9999999999999998E-4</v>
      </c>
      <c r="F138">
        <f t="shared" ref="F138:F141" si="16">E138*1000</f>
        <v>0.9</v>
      </c>
      <c r="G138" s="756">
        <v>9.0000000000000006E-5</v>
      </c>
      <c r="H138">
        <f t="shared" ref="H138:H141" si="17">G138*1000</f>
        <v>9.0000000000000011E-2</v>
      </c>
      <c r="K138" s="625" t="s">
        <v>190</v>
      </c>
      <c r="L138" s="625" t="s">
        <v>203</v>
      </c>
      <c r="M138" s="625">
        <v>9.4999999999999998E-3</v>
      </c>
      <c r="N138">
        <f t="shared" si="14"/>
        <v>9.5</v>
      </c>
      <c r="O138" s="625">
        <v>5.6999999999999998E-4</v>
      </c>
      <c r="P138">
        <f t="shared" si="15"/>
        <v>0.56999999999999995</v>
      </c>
    </row>
    <row r="139" spans="1:16" ht="15" customHeight="1">
      <c r="A139" s="625" t="s">
        <v>201</v>
      </c>
      <c r="B139" s="625" t="s">
        <v>204</v>
      </c>
      <c r="C139" s="625">
        <v>89.466666669999995</v>
      </c>
      <c r="D139">
        <f t="shared" si="13"/>
        <v>89466.666669999991</v>
      </c>
      <c r="E139" s="625">
        <v>2.4E-2</v>
      </c>
      <c r="F139">
        <f t="shared" si="16"/>
        <v>24</v>
      </c>
      <c r="G139" s="625">
        <v>3.2000000000000002E-3</v>
      </c>
      <c r="H139">
        <f t="shared" si="17"/>
        <v>3.2</v>
      </c>
      <c r="K139" s="625" t="s">
        <v>190</v>
      </c>
      <c r="L139" s="625" t="s">
        <v>205</v>
      </c>
      <c r="M139" s="625">
        <v>4.7499999999999999E-3</v>
      </c>
      <c r="N139">
        <f t="shared" si="14"/>
        <v>4.75</v>
      </c>
      <c r="O139" s="756">
        <v>9.5000000000000005E-5</v>
      </c>
      <c r="P139">
        <f t="shared" si="15"/>
        <v>9.5000000000000001E-2</v>
      </c>
    </row>
    <row r="140" spans="1:16" ht="15" customHeight="1">
      <c r="A140" s="625" t="s">
        <v>201</v>
      </c>
      <c r="B140" s="625" t="s">
        <v>206</v>
      </c>
      <c r="C140" s="625">
        <v>89.466666669999995</v>
      </c>
      <c r="D140">
        <f t="shared" si="13"/>
        <v>89466.666669999991</v>
      </c>
      <c r="E140" s="625">
        <v>0.24</v>
      </c>
      <c r="F140">
        <f t="shared" si="16"/>
        <v>240</v>
      </c>
      <c r="G140" s="625">
        <v>3.2000000000000002E-3</v>
      </c>
      <c r="H140">
        <f t="shared" si="17"/>
        <v>3.2</v>
      </c>
      <c r="K140" s="625" t="s">
        <v>190</v>
      </c>
      <c r="L140" s="625" t="s">
        <v>207</v>
      </c>
      <c r="M140" s="625">
        <v>9.4999999999999998E-3</v>
      </c>
      <c r="N140">
        <f t="shared" si="14"/>
        <v>9.5</v>
      </c>
      <c r="O140" s="625">
        <v>5.6999999999999998E-4</v>
      </c>
      <c r="P140">
        <f t="shared" si="15"/>
        <v>0.56999999999999995</v>
      </c>
    </row>
    <row r="141" spans="1:16" ht="15" customHeight="1">
      <c r="A141" s="625" t="s">
        <v>201</v>
      </c>
      <c r="B141" s="625" t="s">
        <v>208</v>
      </c>
      <c r="C141" s="625">
        <v>85.8</v>
      </c>
      <c r="D141">
        <f t="shared" si="13"/>
        <v>85800</v>
      </c>
      <c r="E141" s="625">
        <v>2.5799999999999998E-3</v>
      </c>
      <c r="F141">
        <f t="shared" si="16"/>
        <v>2.5799999999999996</v>
      </c>
      <c r="G141" s="625">
        <v>1.72E-3</v>
      </c>
      <c r="H141">
        <f t="shared" si="17"/>
        <v>1.72</v>
      </c>
      <c r="K141" s="625" t="s">
        <v>190</v>
      </c>
      <c r="L141" s="625" t="s">
        <v>209</v>
      </c>
      <c r="M141" s="625">
        <v>9.4999999999999998E-3</v>
      </c>
      <c r="N141">
        <f t="shared" si="14"/>
        <v>9.5</v>
      </c>
      <c r="O141" s="625">
        <v>5.6999999999999998E-4</v>
      </c>
      <c r="P141">
        <f t="shared" si="15"/>
        <v>0.56999999999999995</v>
      </c>
    </row>
    <row r="142" spans="1:16" ht="15" customHeight="1">
      <c r="A142" s="625" t="s">
        <v>210</v>
      </c>
      <c r="B142" s="625" t="s">
        <v>211</v>
      </c>
      <c r="C142" s="625">
        <v>91.99</v>
      </c>
      <c r="D142">
        <f t="shared" si="13"/>
        <v>91990</v>
      </c>
      <c r="E142" s="625"/>
      <c r="K142" s="625" t="s">
        <v>190</v>
      </c>
      <c r="L142" s="625" t="s">
        <v>212</v>
      </c>
      <c r="M142" s="625">
        <v>4.7499999999999999E-3</v>
      </c>
      <c r="N142">
        <f t="shared" si="14"/>
        <v>4.75</v>
      </c>
      <c r="O142" s="756">
        <v>9.5000000000000005E-5</v>
      </c>
      <c r="P142">
        <f t="shared" si="15"/>
        <v>9.5000000000000001E-2</v>
      </c>
    </row>
    <row r="143" spans="1:16" ht="15" customHeight="1">
      <c r="A143" s="625" t="s">
        <v>210</v>
      </c>
      <c r="B143" s="625" t="s">
        <v>213</v>
      </c>
      <c r="C143" s="625">
        <v>89.13</v>
      </c>
      <c r="D143">
        <f t="shared" si="13"/>
        <v>89130</v>
      </c>
      <c r="E143" s="625"/>
      <c r="K143" s="625" t="s">
        <v>190</v>
      </c>
      <c r="L143" s="625" t="s">
        <v>214</v>
      </c>
      <c r="M143" s="625">
        <v>8.5499999999999997E-4</v>
      </c>
      <c r="N143">
        <f t="shared" si="14"/>
        <v>0.85499999999999998</v>
      </c>
      <c r="O143" s="625">
        <v>5.6999999999999998E-4</v>
      </c>
      <c r="P143">
        <f t="shared" si="15"/>
        <v>0.56999999999999995</v>
      </c>
    </row>
    <row r="144" spans="1:16" ht="15" customHeight="1">
      <c r="A144" s="625" t="s">
        <v>210</v>
      </c>
      <c r="B144" s="625" t="s">
        <v>215</v>
      </c>
      <c r="C144" s="625">
        <v>93.11</v>
      </c>
      <c r="D144">
        <f t="shared" si="13"/>
        <v>93110</v>
      </c>
      <c r="E144" s="625"/>
      <c r="K144" s="625" t="s">
        <v>190</v>
      </c>
      <c r="L144" s="625" t="s">
        <v>216</v>
      </c>
      <c r="M144" s="625">
        <v>2.8500000000000001E-3</v>
      </c>
      <c r="N144">
        <f t="shared" si="14"/>
        <v>2.85</v>
      </c>
      <c r="O144" s="625">
        <v>5.6999999999999998E-4</v>
      </c>
      <c r="P144">
        <f t="shared" si="15"/>
        <v>0.56999999999999995</v>
      </c>
    </row>
    <row r="145" spans="1:16" ht="15" customHeight="1">
      <c r="A145" s="625" t="s">
        <v>210</v>
      </c>
      <c r="B145" s="625" t="s">
        <v>217</v>
      </c>
      <c r="C145" s="625">
        <v>2.0150000000000001</v>
      </c>
      <c r="D145">
        <f t="shared" si="13"/>
        <v>2015.0000000000002</v>
      </c>
      <c r="E145" s="625"/>
      <c r="K145" s="625" t="s">
        <v>190</v>
      </c>
      <c r="L145" s="625" t="s">
        <v>218</v>
      </c>
      <c r="M145" s="625">
        <v>2.8500000000000001E-3</v>
      </c>
      <c r="N145">
        <f t="shared" si="14"/>
        <v>2.85</v>
      </c>
      <c r="O145" s="625">
        <v>5.6999999999999998E-4</v>
      </c>
      <c r="P145">
        <f t="shared" si="15"/>
        <v>0.56999999999999995</v>
      </c>
    </row>
    <row r="146" spans="1:16" ht="15" customHeight="1">
      <c r="A146" s="625" t="s">
        <v>210</v>
      </c>
      <c r="B146" s="625" t="s">
        <v>219</v>
      </c>
      <c r="C146" s="625">
        <v>91.99</v>
      </c>
      <c r="D146">
        <f t="shared" si="13"/>
        <v>91990</v>
      </c>
      <c r="E146" s="625"/>
      <c r="K146" s="625" t="s">
        <v>190</v>
      </c>
      <c r="L146" s="625" t="s">
        <v>199</v>
      </c>
      <c r="M146" s="625">
        <v>2.8500000000000001E-3</v>
      </c>
      <c r="N146">
        <f t="shared" si="14"/>
        <v>2.85</v>
      </c>
      <c r="O146" s="625">
        <v>5.6999999999999998E-4</v>
      </c>
      <c r="P146">
        <f t="shared" si="15"/>
        <v>0.56999999999999995</v>
      </c>
    </row>
    <row r="147" spans="1:16" ht="15" customHeight="1">
      <c r="A147" s="625" t="s">
        <v>210</v>
      </c>
      <c r="B147" s="625" t="s">
        <v>220</v>
      </c>
      <c r="C147" s="625">
        <v>60.05</v>
      </c>
      <c r="D147">
        <f t="shared" si="13"/>
        <v>60050</v>
      </c>
      <c r="E147" s="625"/>
      <c r="K147" s="625" t="s">
        <v>221</v>
      </c>
      <c r="L147" s="625" t="s">
        <v>222</v>
      </c>
      <c r="M147" s="625">
        <v>3.1350000000000003E-2</v>
      </c>
      <c r="N147">
        <f t="shared" si="14"/>
        <v>31.35</v>
      </c>
      <c r="O147" s="625">
        <v>7.6E-3</v>
      </c>
      <c r="P147">
        <f t="shared" si="15"/>
        <v>7.6</v>
      </c>
    </row>
    <row r="148" spans="1:16" ht="15" customHeight="1">
      <c r="A148" s="625" t="s">
        <v>210</v>
      </c>
      <c r="B148" s="625" t="s">
        <v>223</v>
      </c>
      <c r="C148" s="625">
        <v>67.56</v>
      </c>
      <c r="D148">
        <f t="shared" si="13"/>
        <v>67560</v>
      </c>
      <c r="E148" s="625"/>
      <c r="K148" s="625" t="s">
        <v>221</v>
      </c>
      <c r="L148" s="625" t="s">
        <v>224</v>
      </c>
      <c r="M148" s="625">
        <v>3.705E-3</v>
      </c>
      <c r="N148">
        <f t="shared" si="14"/>
        <v>3.7050000000000001</v>
      </c>
      <c r="O148" s="625">
        <v>3.705E-3</v>
      </c>
      <c r="P148">
        <f t="shared" si="15"/>
        <v>3.7050000000000001</v>
      </c>
    </row>
    <row r="149" spans="1:16" ht="15" customHeight="1">
      <c r="A149" s="625" t="s">
        <v>210</v>
      </c>
      <c r="B149" s="625" t="s">
        <v>225</v>
      </c>
      <c r="C149" s="625">
        <v>70.84</v>
      </c>
      <c r="D149">
        <f t="shared" si="13"/>
        <v>70840</v>
      </c>
      <c r="E149" s="625"/>
      <c r="K149" s="625" t="s">
        <v>221</v>
      </c>
      <c r="L149" s="625" t="s">
        <v>226</v>
      </c>
      <c r="M149" s="625">
        <v>3.9424999999999998E-3</v>
      </c>
      <c r="N149">
        <f t="shared" si="14"/>
        <v>3.9424999999999999</v>
      </c>
      <c r="O149" s="625">
        <v>2.717E-2</v>
      </c>
      <c r="P149">
        <f t="shared" si="15"/>
        <v>27.169999999999998</v>
      </c>
    </row>
    <row r="150" spans="1:16" ht="15" customHeight="1">
      <c r="A150" s="625" t="s">
        <v>210</v>
      </c>
      <c r="B150" s="625" t="s">
        <v>227</v>
      </c>
      <c r="C150" s="625">
        <v>2.12</v>
      </c>
      <c r="D150">
        <f t="shared" si="13"/>
        <v>2120</v>
      </c>
      <c r="E150" s="625"/>
      <c r="K150" s="625" t="s">
        <v>221</v>
      </c>
      <c r="L150" s="625" t="s">
        <v>228</v>
      </c>
      <c r="M150" s="625">
        <v>6.6499999999999997E-3</v>
      </c>
      <c r="N150">
        <f t="shared" si="14"/>
        <v>6.6499999999999995</v>
      </c>
      <c r="O150" s="625">
        <v>1.9E-3</v>
      </c>
      <c r="P150">
        <f t="shared" si="15"/>
        <v>1.9</v>
      </c>
    </row>
    <row r="151" spans="1:16" ht="15" customHeight="1">
      <c r="A151" s="625" t="s">
        <v>210</v>
      </c>
      <c r="B151" s="625" t="s">
        <v>229</v>
      </c>
      <c r="C151" s="625">
        <v>92.1</v>
      </c>
      <c r="D151">
        <f t="shared" si="13"/>
        <v>92100</v>
      </c>
      <c r="K151" s="625" t="s">
        <v>221</v>
      </c>
      <c r="L151" s="625" t="s">
        <v>230</v>
      </c>
      <c r="M151" s="625" t="s">
        <v>127</v>
      </c>
      <c r="O151" s="625" t="s">
        <v>127</v>
      </c>
    </row>
    <row r="152" spans="1:16" ht="15" customHeight="1">
      <c r="A152" s="625" t="s">
        <v>231</v>
      </c>
      <c r="B152" s="625" t="s">
        <v>232</v>
      </c>
      <c r="C152" s="625">
        <v>1.443333333</v>
      </c>
      <c r="D152">
        <f t="shared" si="13"/>
        <v>1443.333333</v>
      </c>
      <c r="E152" s="625">
        <v>2.7666666999999999E-2</v>
      </c>
      <c r="F152">
        <f>E152*1000</f>
        <v>27.666667</v>
      </c>
      <c r="G152" s="625">
        <v>6.4666666999999997E-2</v>
      </c>
      <c r="H152">
        <f>G152*1000</f>
        <v>64.666667000000004</v>
      </c>
      <c r="K152" s="625" t="s">
        <v>221</v>
      </c>
      <c r="L152" s="625" t="s">
        <v>233</v>
      </c>
      <c r="M152" s="625">
        <v>4.75E-4</v>
      </c>
      <c r="N152">
        <f t="shared" si="14"/>
        <v>0.47499999999999998</v>
      </c>
      <c r="O152" s="625">
        <v>1.9E-3</v>
      </c>
      <c r="P152">
        <f t="shared" si="15"/>
        <v>1.9</v>
      </c>
    </row>
    <row r="153" spans="1:16" ht="15" customHeight="1">
      <c r="K153" s="625" t="s">
        <v>221</v>
      </c>
      <c r="L153" s="625" t="s">
        <v>92</v>
      </c>
      <c r="M153" s="625">
        <v>5.8900000000000001E-2</v>
      </c>
      <c r="N153">
        <f t="shared" si="14"/>
        <v>58.9</v>
      </c>
      <c r="O153" s="625">
        <v>1.9000000000000001E-4</v>
      </c>
      <c r="P153">
        <f t="shared" si="15"/>
        <v>0.19</v>
      </c>
    </row>
    <row r="154" spans="1:16" ht="15" customHeight="1">
      <c r="K154" s="625" t="s">
        <v>221</v>
      </c>
      <c r="L154" s="625" t="s">
        <v>234</v>
      </c>
      <c r="M154" s="625">
        <v>6.6499999999999997E-3</v>
      </c>
      <c r="N154">
        <f t="shared" si="14"/>
        <v>6.6499999999999995</v>
      </c>
      <c r="O154" s="625">
        <v>1.9E-3</v>
      </c>
      <c r="P154">
        <f t="shared" si="15"/>
        <v>1.9</v>
      </c>
    </row>
    <row r="155" spans="1:16" ht="15" customHeight="1">
      <c r="K155" s="625" t="s">
        <v>221</v>
      </c>
      <c r="L155" s="625" t="s">
        <v>235</v>
      </c>
      <c r="M155" s="625">
        <v>4.75E-4</v>
      </c>
      <c r="N155">
        <f t="shared" si="14"/>
        <v>0.47499999999999998</v>
      </c>
      <c r="O155" s="625">
        <v>1.9E-3</v>
      </c>
      <c r="P155">
        <f t="shared" si="15"/>
        <v>1.9</v>
      </c>
    </row>
    <row r="156" spans="1:16" ht="15" customHeight="1">
      <c r="A156" s="139" t="s">
        <v>236</v>
      </c>
      <c r="K156" s="625" t="s">
        <v>221</v>
      </c>
      <c r="L156" s="625" t="s">
        <v>237</v>
      </c>
      <c r="M156" s="625" t="s">
        <v>127</v>
      </c>
      <c r="O156" s="625" t="s">
        <v>127</v>
      </c>
    </row>
    <row r="157" spans="1:16" ht="15" customHeight="1">
      <c r="A157" s="61" t="s">
        <v>238</v>
      </c>
      <c r="K157" s="625" t="s">
        <v>138</v>
      </c>
      <c r="L157" s="625" t="s">
        <v>239</v>
      </c>
      <c r="M157" s="756">
        <v>8.9999999999999998E-4</v>
      </c>
      <c r="N157">
        <f t="shared" si="14"/>
        <v>0.9</v>
      </c>
      <c r="O157" s="756">
        <v>9.0000000000000006E-5</v>
      </c>
      <c r="P157">
        <f t="shared" si="15"/>
        <v>9.0000000000000011E-2</v>
      </c>
    </row>
    <row r="158" spans="1:16" ht="15" customHeight="1">
      <c r="A158" t="s">
        <v>240</v>
      </c>
      <c r="K158" s="625" t="s">
        <v>138</v>
      </c>
      <c r="L158" s="625" t="s">
        <v>241</v>
      </c>
      <c r="M158" s="625">
        <v>4.4999999999999997E-3</v>
      </c>
      <c r="N158">
        <f t="shared" si="14"/>
        <v>4.5</v>
      </c>
      <c r="O158" s="756">
        <v>9.0000000000000006E-5</v>
      </c>
      <c r="P158">
        <f t="shared" si="15"/>
        <v>9.0000000000000011E-2</v>
      </c>
    </row>
    <row r="159" spans="1:16" ht="15" customHeight="1">
      <c r="A159" t="s">
        <v>242</v>
      </c>
      <c r="C159" s="1865" t="s">
        <v>210</v>
      </c>
      <c r="D159" s="1865"/>
      <c r="E159" s="1865"/>
      <c r="F159" s="1865"/>
      <c r="G159" s="1865"/>
      <c r="K159" s="625" t="s">
        <v>138</v>
      </c>
      <c r="L159" s="625" t="s">
        <v>243</v>
      </c>
      <c r="M159" s="625">
        <v>4.4999999999999997E-3</v>
      </c>
      <c r="N159">
        <f t="shared" si="14"/>
        <v>4.5</v>
      </c>
      <c r="O159" s="756">
        <v>9.0000000000000006E-5</v>
      </c>
      <c r="P159">
        <f t="shared" si="15"/>
        <v>9.0000000000000011E-2</v>
      </c>
    </row>
    <row r="160" spans="1:16" ht="15" customHeight="1">
      <c r="C160" s="773" t="s">
        <v>244</v>
      </c>
      <c r="D160" s="773" t="s">
        <v>245</v>
      </c>
      <c r="E160" s="773" t="s">
        <v>246</v>
      </c>
      <c r="F160" s="773" t="s">
        <v>148</v>
      </c>
      <c r="G160" s="773" t="s">
        <v>247</v>
      </c>
      <c r="K160" s="625" t="s">
        <v>138</v>
      </c>
      <c r="L160" s="625" t="s">
        <v>248</v>
      </c>
      <c r="M160" s="625">
        <v>8.2799999999999999E-2</v>
      </c>
      <c r="N160">
        <f t="shared" si="14"/>
        <v>82.8</v>
      </c>
      <c r="O160" s="625">
        <v>2.7000000000000001E-3</v>
      </c>
      <c r="P160">
        <f t="shared" si="15"/>
        <v>2.7</v>
      </c>
    </row>
    <row r="161" spans="1:16" ht="15" customHeight="1">
      <c r="A161" s="1862" t="s">
        <v>249</v>
      </c>
      <c r="B161" s="1673" t="s">
        <v>250</v>
      </c>
      <c r="C161" s="1674">
        <v>1.98</v>
      </c>
      <c r="D161" s="1675">
        <v>53.37</v>
      </c>
      <c r="E161" s="1676">
        <v>55.35</v>
      </c>
      <c r="F161" s="1676">
        <v>5.39</v>
      </c>
      <c r="G161" s="1677">
        <v>60.75</v>
      </c>
      <c r="K161" s="625" t="s">
        <v>138</v>
      </c>
      <c r="L161" s="625" t="s">
        <v>251</v>
      </c>
      <c r="M161" s="756">
        <v>8.9999999999999998E-4</v>
      </c>
      <c r="N161">
        <f t="shared" si="14"/>
        <v>0.9</v>
      </c>
      <c r="O161" s="756">
        <v>9.0000000000000006E-5</v>
      </c>
      <c r="P161">
        <f t="shared" si="15"/>
        <v>9.0000000000000011E-2</v>
      </c>
    </row>
    <row r="162" spans="1:16" ht="15" customHeight="1">
      <c r="A162" s="1863"/>
      <c r="B162" s="773" t="s">
        <v>252</v>
      </c>
      <c r="C162" s="684">
        <v>0.13</v>
      </c>
      <c r="D162" s="734">
        <v>37.22</v>
      </c>
      <c r="E162">
        <v>37.35</v>
      </c>
      <c r="F162">
        <v>0.14000000000000001</v>
      </c>
      <c r="G162" s="738">
        <v>37.49</v>
      </c>
      <c r="K162" s="625" t="s">
        <v>138</v>
      </c>
      <c r="L162" s="625" t="s">
        <v>253</v>
      </c>
      <c r="M162" s="756">
        <v>8.9999999999999998E-4</v>
      </c>
      <c r="N162">
        <f t="shared" si="14"/>
        <v>0.9</v>
      </c>
      <c r="O162" s="756">
        <v>9.0000000000000006E-5</v>
      </c>
      <c r="P162">
        <f t="shared" si="15"/>
        <v>9.0000000000000011E-2</v>
      </c>
    </row>
    <row r="163" spans="1:16" ht="15" customHeight="1">
      <c r="A163" s="1864"/>
      <c r="B163" s="1678" t="s">
        <v>254</v>
      </c>
      <c r="C163" s="1679">
        <v>1.86</v>
      </c>
      <c r="D163" s="1680">
        <v>16.149999999999999</v>
      </c>
      <c r="E163" s="1681">
        <v>18.010000000000002</v>
      </c>
      <c r="F163" s="1681">
        <v>5.25</v>
      </c>
      <c r="G163" s="1577">
        <v>23.26</v>
      </c>
      <c r="K163" s="625" t="s">
        <v>138</v>
      </c>
      <c r="L163" s="625" t="s">
        <v>255</v>
      </c>
      <c r="M163" s="756">
        <v>8.9999999999999998E-4</v>
      </c>
      <c r="N163">
        <f t="shared" si="14"/>
        <v>0.9</v>
      </c>
      <c r="O163" s="756">
        <v>9.0000000000000006E-5</v>
      </c>
      <c r="P163">
        <f t="shared" si="15"/>
        <v>9.0000000000000011E-2</v>
      </c>
    </row>
    <row r="164" spans="1:16" ht="15" customHeight="1">
      <c r="A164" s="1862" t="s">
        <v>256</v>
      </c>
      <c r="B164" s="1673" t="s">
        <v>257</v>
      </c>
      <c r="C164" s="1674">
        <v>0.05</v>
      </c>
      <c r="D164" s="1675">
        <v>1.82</v>
      </c>
      <c r="E164" s="1676">
        <v>1.87</v>
      </c>
      <c r="F164" s="1676">
        <v>0</v>
      </c>
      <c r="G164" s="1677">
        <v>1.87</v>
      </c>
      <c r="K164" s="625" t="s">
        <v>210</v>
      </c>
      <c r="L164" s="625" t="s">
        <v>53</v>
      </c>
      <c r="M164" s="625">
        <v>0.28499999999999998</v>
      </c>
      <c r="N164">
        <f t="shared" si="14"/>
        <v>285</v>
      </c>
      <c r="O164" s="625">
        <v>1.4250000000000001E-3</v>
      </c>
      <c r="P164">
        <f t="shared" si="15"/>
        <v>1.425</v>
      </c>
    </row>
    <row r="165" spans="1:16" ht="15" customHeight="1">
      <c r="A165" s="1863"/>
      <c r="B165" s="773" t="s">
        <v>258</v>
      </c>
      <c r="C165" s="684">
        <v>2.08</v>
      </c>
      <c r="D165" s="734">
        <v>13.93</v>
      </c>
      <c r="E165">
        <v>16.010000000000002</v>
      </c>
      <c r="F165">
        <v>5.09</v>
      </c>
      <c r="G165" s="738">
        <v>21.1</v>
      </c>
      <c r="K165" s="625" t="s">
        <v>210</v>
      </c>
      <c r="L165" s="625" t="s">
        <v>259</v>
      </c>
      <c r="M165" s="625">
        <v>9.5E-4</v>
      </c>
      <c r="N165">
        <f t="shared" si="14"/>
        <v>0.95</v>
      </c>
      <c r="O165" s="625">
        <v>1.33E-3</v>
      </c>
      <c r="P165">
        <f t="shared" si="15"/>
        <v>1.33</v>
      </c>
    </row>
    <row r="166" spans="1:16" ht="15" customHeight="1">
      <c r="A166" s="1863"/>
      <c r="B166" s="773" t="s">
        <v>260</v>
      </c>
      <c r="C166" s="684">
        <v>0.09</v>
      </c>
      <c r="D166" s="734">
        <v>0.44</v>
      </c>
      <c r="E166">
        <v>0.53</v>
      </c>
      <c r="F166">
        <v>0.1</v>
      </c>
      <c r="G166" s="738">
        <v>0.63</v>
      </c>
      <c r="K166" s="625" t="s">
        <v>210</v>
      </c>
      <c r="L166" s="625" t="s">
        <v>261</v>
      </c>
      <c r="M166" s="625">
        <v>9.4999999999999998E-3</v>
      </c>
      <c r="N166">
        <f t="shared" si="14"/>
        <v>9.5</v>
      </c>
      <c r="O166" s="625">
        <v>1.4250000000000001E-3</v>
      </c>
      <c r="P166">
        <f t="shared" si="15"/>
        <v>1.425</v>
      </c>
    </row>
    <row r="167" spans="1:16" ht="15" customHeight="1">
      <c r="A167" s="1863"/>
      <c r="B167" s="773" t="s">
        <v>262</v>
      </c>
      <c r="C167" s="684" t="s">
        <v>48</v>
      </c>
      <c r="D167" s="734" t="s">
        <v>48</v>
      </c>
      <c r="E167">
        <v>0</v>
      </c>
      <c r="F167" t="s">
        <v>48</v>
      </c>
      <c r="G167" s="738">
        <v>0</v>
      </c>
      <c r="K167" s="625" t="s">
        <v>210</v>
      </c>
      <c r="L167" s="625" t="s">
        <v>260</v>
      </c>
      <c r="M167" s="625">
        <v>9.4999999999999998E-3</v>
      </c>
      <c r="N167">
        <f t="shared" si="14"/>
        <v>9.5</v>
      </c>
      <c r="O167" s="625">
        <v>1.4250000000000001E-3</v>
      </c>
      <c r="P167">
        <f t="shared" si="15"/>
        <v>1.425</v>
      </c>
    </row>
    <row r="168" spans="1:16" ht="15" customHeight="1">
      <c r="A168" s="1863"/>
      <c r="B168" s="773" t="s">
        <v>263</v>
      </c>
      <c r="C168" s="684">
        <v>0.01</v>
      </c>
      <c r="D168" s="734">
        <v>0.26</v>
      </c>
      <c r="E168">
        <v>0.27</v>
      </c>
      <c r="F168">
        <v>0.04</v>
      </c>
      <c r="G168" s="738">
        <v>0.31</v>
      </c>
      <c r="K168" s="625" t="s">
        <v>210</v>
      </c>
      <c r="L168" s="625" t="s">
        <v>263</v>
      </c>
      <c r="M168" s="625">
        <v>0.28499999999999998</v>
      </c>
      <c r="N168">
        <f t="shared" si="14"/>
        <v>285</v>
      </c>
      <c r="O168" s="625">
        <v>1.4250000000000001E-3</v>
      </c>
      <c r="P168">
        <f t="shared" si="15"/>
        <v>1.425</v>
      </c>
    </row>
    <row r="169" spans="1:16" ht="15" customHeight="1">
      <c r="A169" s="1864"/>
      <c r="B169" s="1678" t="s">
        <v>264</v>
      </c>
      <c r="C169" s="1679">
        <v>2.2400000000000002</v>
      </c>
      <c r="D169" s="1680">
        <v>16.440000000000001</v>
      </c>
      <c r="E169" s="1681">
        <v>18.68</v>
      </c>
      <c r="F169" s="1681">
        <v>5.23</v>
      </c>
      <c r="G169" s="1577">
        <v>23.91</v>
      </c>
      <c r="K169" s="625" t="s">
        <v>210</v>
      </c>
      <c r="L169" s="625" t="s">
        <v>265</v>
      </c>
      <c r="M169" s="625">
        <v>9.5E-4</v>
      </c>
      <c r="N169">
        <f t="shared" si="14"/>
        <v>0.95</v>
      </c>
      <c r="O169" s="625">
        <v>1.4250000000000001E-3</v>
      </c>
      <c r="P169">
        <f t="shared" si="15"/>
        <v>1.425</v>
      </c>
    </row>
    <row r="170" spans="1:16" ht="15" customHeight="1">
      <c r="K170" s="625" t="s">
        <v>210</v>
      </c>
      <c r="L170" s="625" t="s">
        <v>266</v>
      </c>
      <c r="M170" s="625">
        <v>9.3769999999999999E-3</v>
      </c>
      <c r="N170">
        <f t="shared" si="14"/>
        <v>9.3770000000000007</v>
      </c>
      <c r="O170" s="625">
        <v>1.3127799999999999E-3</v>
      </c>
      <c r="P170">
        <f t="shared" si="15"/>
        <v>1.3127799999999998</v>
      </c>
    </row>
    <row r="171" spans="1:16" ht="18">
      <c r="B171" s="1662" t="s">
        <v>71</v>
      </c>
      <c r="C171" s="1663" t="s">
        <v>72</v>
      </c>
      <c r="D171" s="1663" t="s">
        <v>73</v>
      </c>
      <c r="E171" s="1664" t="s">
        <v>74</v>
      </c>
      <c r="K171" s="625" t="s">
        <v>210</v>
      </c>
      <c r="L171" s="625" t="s">
        <v>244</v>
      </c>
      <c r="M171" s="625" t="s">
        <v>127</v>
      </c>
      <c r="O171" s="625" t="s">
        <v>127</v>
      </c>
    </row>
    <row r="172" spans="1:16">
      <c r="A172" s="1665" t="s">
        <v>81</v>
      </c>
      <c r="B172" s="1665"/>
      <c r="C172" s="1665"/>
      <c r="D172" s="1665"/>
      <c r="E172" s="1665"/>
      <c r="K172" s="625" t="s">
        <v>210</v>
      </c>
      <c r="L172" s="625" t="s">
        <v>267</v>
      </c>
      <c r="M172" s="625" t="s">
        <v>127</v>
      </c>
      <c r="O172" s="625" t="s">
        <v>127</v>
      </c>
    </row>
    <row r="173" spans="1:16">
      <c r="A173" s="876" t="s">
        <v>82</v>
      </c>
      <c r="B173" s="1577">
        <f>((G62*C168)+(G63*D168)+(G64*F168))</f>
        <v>0.6501796326578011</v>
      </c>
      <c r="C173" s="896">
        <f>((H62*C168)+(H63*D168)+(H64*F168))</f>
        <v>0.60085398268852175</v>
      </c>
      <c r="D173" s="886">
        <f>((I62*C168)+(I63*D168)+(I64*F168))</f>
        <v>4.6551198536503802E-2</v>
      </c>
      <c r="E173" s="1577">
        <f>((J62*C168)+(J63*D168)+(J64*F168))</f>
        <v>2.7744514327756268E-3</v>
      </c>
      <c r="K173" s="625" t="s">
        <v>210</v>
      </c>
      <c r="L173" s="625" t="s">
        <v>148</v>
      </c>
      <c r="M173" s="625" t="s">
        <v>127</v>
      </c>
      <c r="O173" s="625" t="s">
        <v>127</v>
      </c>
    </row>
    <row r="174" spans="1:16">
      <c r="A174" s="900" t="s">
        <v>88</v>
      </c>
      <c r="B174" s="900"/>
      <c r="C174" s="900"/>
      <c r="D174" s="900"/>
      <c r="E174" s="900"/>
      <c r="K174" s="625" t="s">
        <v>201</v>
      </c>
      <c r="L174" s="625" t="s">
        <v>202</v>
      </c>
      <c r="M174" s="756">
        <v>8.9999999999999998E-4</v>
      </c>
      <c r="N174">
        <f t="shared" si="14"/>
        <v>0.9</v>
      </c>
      <c r="O174" s="756">
        <v>9.0000000000000006E-5</v>
      </c>
      <c r="P174">
        <f t="shared" si="15"/>
        <v>9.0000000000000011E-2</v>
      </c>
    </row>
    <row r="175" spans="1:16">
      <c r="A175" s="876" t="s">
        <v>82</v>
      </c>
      <c r="B175" s="896">
        <f>((G67*C166)+(G68*D166)+(G69*F166))</f>
        <v>1.2645307370041015</v>
      </c>
      <c r="C175" s="896">
        <f>((H67*C166)+(H68*D166)+(H69*F166))</f>
        <v>1.2554513911839109</v>
      </c>
      <c r="D175" s="886">
        <f>((I67*C166)+(I68*D166)+(I69*F166))</f>
        <v>3.2565802798388403E-3</v>
      </c>
      <c r="E175" s="1577">
        <f>((J67*C166)+(J68*D166)+(J69*F166))</f>
        <v>5.8227655403518463E-3</v>
      </c>
      <c r="K175" s="625" t="s">
        <v>201</v>
      </c>
      <c r="L175" s="625" t="s">
        <v>268</v>
      </c>
      <c r="M175" s="625">
        <v>2.4E-2</v>
      </c>
      <c r="N175">
        <f t="shared" si="14"/>
        <v>24</v>
      </c>
      <c r="O175" s="625">
        <v>3.2000000000000002E-3</v>
      </c>
      <c r="P175">
        <f t="shared" si="15"/>
        <v>3.2</v>
      </c>
    </row>
    <row r="176" spans="1:16">
      <c r="A176" s="900" t="s">
        <v>98</v>
      </c>
      <c r="B176" s="900"/>
      <c r="C176" s="900"/>
      <c r="D176" s="900"/>
      <c r="E176" s="900"/>
      <c r="K176" s="625" t="s">
        <v>201</v>
      </c>
      <c r="L176" s="625" t="s">
        <v>206</v>
      </c>
      <c r="M176" s="625">
        <v>0.24</v>
      </c>
      <c r="N176">
        <f t="shared" si="14"/>
        <v>240</v>
      </c>
      <c r="O176" s="625">
        <v>3.2000000000000002E-3</v>
      </c>
      <c r="P176">
        <f t="shared" si="15"/>
        <v>3.2</v>
      </c>
    </row>
    <row r="177" spans="1:16">
      <c r="A177" s="876" t="s">
        <v>89</v>
      </c>
      <c r="B177" s="896">
        <f>((G78*C165)+(G79*D165)+(G80*F165))</f>
        <v>40.74235800248811</v>
      </c>
      <c r="C177" s="896">
        <f>((H78*C165)+(H79*D165)+(H80*F165))</f>
        <v>40.450551272704729</v>
      </c>
      <c r="D177" s="886">
        <f>((I78*C165)+(I79*D165)+(I80*F165))</f>
        <v>0.1046652545851441</v>
      </c>
      <c r="E177" s="1577">
        <f>((J78*C165)+(J79*D165)+(J80*F165))</f>
        <v>0.18714147519823765</v>
      </c>
      <c r="K177" s="625" t="s">
        <v>201</v>
      </c>
      <c r="L177" s="625" t="s">
        <v>105</v>
      </c>
      <c r="M177" s="625">
        <v>1.7999999999999999E-2</v>
      </c>
      <c r="N177">
        <f t="shared" si="14"/>
        <v>18</v>
      </c>
      <c r="O177" s="625">
        <v>7.6E-3</v>
      </c>
      <c r="P177">
        <f t="shared" si="15"/>
        <v>7.6</v>
      </c>
    </row>
    <row r="178" spans="1:16">
      <c r="A178" s="741"/>
      <c r="B178" s="62"/>
      <c r="C178" s="62"/>
      <c r="D178" s="742"/>
      <c r="K178" s="625" t="s">
        <v>201</v>
      </c>
      <c r="L178" s="625" t="s">
        <v>107</v>
      </c>
      <c r="M178" s="625">
        <v>1.7999999999999999E-2</v>
      </c>
      <c r="N178">
        <f t="shared" si="14"/>
        <v>18</v>
      </c>
      <c r="O178" s="625">
        <v>3.705E-3</v>
      </c>
      <c r="P178">
        <f t="shared" si="15"/>
        <v>3.7050000000000001</v>
      </c>
    </row>
    <row r="179" spans="1:16">
      <c r="A179" s="741"/>
      <c r="B179" s="62"/>
      <c r="C179" s="62"/>
      <c r="D179" s="742"/>
      <c r="K179" s="625" t="s">
        <v>201</v>
      </c>
      <c r="L179" s="625" t="s">
        <v>269</v>
      </c>
      <c r="M179" s="625">
        <v>2.5799999999999998E-3</v>
      </c>
      <c r="N179">
        <f t="shared" si="14"/>
        <v>2.5799999999999996</v>
      </c>
      <c r="O179" s="625">
        <v>1.72E-3</v>
      </c>
      <c r="P179">
        <f t="shared" si="15"/>
        <v>1.72</v>
      </c>
    </row>
    <row r="180" spans="1:16">
      <c r="A180" s="741"/>
      <c r="B180" s="62"/>
      <c r="C180" s="62"/>
      <c r="D180" s="742"/>
      <c r="K180" s="625" t="s">
        <v>231</v>
      </c>
      <c r="L180" s="625" t="s">
        <v>232</v>
      </c>
      <c r="M180" s="625">
        <v>2.7666666999999999E-2</v>
      </c>
      <c r="N180">
        <f t="shared" si="14"/>
        <v>27.666667</v>
      </c>
      <c r="O180" s="625">
        <v>6.4666666999999997E-2</v>
      </c>
      <c r="P180">
        <f t="shared" si="15"/>
        <v>64.666667000000004</v>
      </c>
    </row>
    <row r="181" spans="1:16">
      <c r="A181" s="741"/>
      <c r="B181" s="62"/>
      <c r="C181" s="62"/>
      <c r="D181" s="742"/>
      <c r="E181" s="742"/>
      <c r="F181" s="742"/>
      <c r="G181" s="625"/>
      <c r="H181" s="764"/>
      <c r="I181" s="625"/>
      <c r="J181" s="625"/>
      <c r="K181" s="625"/>
      <c r="L181" s="625"/>
    </row>
    <row r="182" spans="1:16" ht="15" customHeight="1">
      <c r="A182" s="741"/>
      <c r="B182" s="62"/>
      <c r="C182" s="62"/>
      <c r="D182" s="742"/>
      <c r="E182" s="742"/>
      <c r="F182" s="742"/>
      <c r="G182" s="625"/>
      <c r="H182" s="764"/>
      <c r="I182" s="625"/>
      <c r="J182" s="625"/>
      <c r="K182" s="625"/>
      <c r="L182" s="625"/>
    </row>
    <row r="183" spans="1:16" ht="15" customHeight="1">
      <c r="A183" s="741"/>
      <c r="B183" s="62"/>
      <c r="C183" s="62"/>
      <c r="D183" s="742"/>
      <c r="E183" s="742"/>
      <c r="F183" s="742"/>
      <c r="G183" s="625"/>
      <c r="H183" s="764"/>
      <c r="I183" s="625"/>
      <c r="J183" s="625"/>
      <c r="K183" s="625"/>
      <c r="L183" s="625"/>
    </row>
    <row r="184" spans="1:16" ht="15" customHeight="1">
      <c r="A184" s="741"/>
      <c r="B184" s="62"/>
      <c r="C184" s="62"/>
      <c r="D184" s="742"/>
      <c r="E184" s="742"/>
      <c r="F184" s="742"/>
      <c r="G184" s="625"/>
      <c r="H184" s="625"/>
      <c r="I184" s="625"/>
      <c r="J184" s="625"/>
      <c r="K184" s="625"/>
      <c r="L184" s="625"/>
    </row>
    <row r="185" spans="1:16" ht="15" customHeight="1">
      <c r="A185" s="1176"/>
      <c r="B185" s="1177" t="s">
        <v>270</v>
      </c>
      <c r="C185" s="1177"/>
      <c r="D185" s="1178"/>
      <c r="E185" s="1041"/>
      <c r="F185" s="1178"/>
      <c r="G185" s="1042"/>
      <c r="H185" s="1042"/>
      <c r="I185" s="625"/>
      <c r="J185" s="625"/>
      <c r="K185" s="625"/>
      <c r="L185" s="625"/>
    </row>
    <row r="186" spans="1:16" ht="15" customHeight="1">
      <c r="I186" s="625"/>
      <c r="J186" s="625"/>
      <c r="K186" s="625"/>
      <c r="L186" s="625"/>
    </row>
    <row r="187" spans="1:16" ht="15" customHeight="1">
      <c r="C187" s="773" t="s">
        <v>263</v>
      </c>
      <c r="D187" s="773" t="s">
        <v>263</v>
      </c>
      <c r="E187" s="773" t="s">
        <v>260</v>
      </c>
      <c r="F187" s="773" t="s">
        <v>260</v>
      </c>
      <c r="G187" s="773" t="s">
        <v>258</v>
      </c>
      <c r="H187" s="773" t="s">
        <v>258</v>
      </c>
      <c r="I187" s="625"/>
      <c r="J187" s="625"/>
      <c r="K187" s="625"/>
      <c r="L187" s="625"/>
    </row>
    <row r="188" spans="1:16" ht="15" customHeight="1">
      <c r="A188" s="741"/>
      <c r="C188" t="s">
        <v>271</v>
      </c>
      <c r="D188" t="s">
        <v>272</v>
      </c>
      <c r="E188" t="s">
        <v>271</v>
      </c>
      <c r="F188" t="s">
        <v>272</v>
      </c>
      <c r="G188" t="s">
        <v>271</v>
      </c>
      <c r="H188" t="s">
        <v>272</v>
      </c>
      <c r="I188" s="625"/>
      <c r="J188" s="625"/>
      <c r="K188" s="625"/>
      <c r="L188" s="625"/>
    </row>
    <row r="189" spans="1:16" ht="15" customHeight="1">
      <c r="B189" s="773" t="s">
        <v>244</v>
      </c>
      <c r="C189" s="62">
        <f>C168</f>
        <v>0.01</v>
      </c>
      <c r="D189" s="1179">
        <f>C189/$C$192</f>
        <v>3.2258064516129031E-2</v>
      </c>
      <c r="E189" s="36">
        <f>C166</f>
        <v>0.09</v>
      </c>
      <c r="F189" s="1180">
        <f>E189/$E$192</f>
        <v>0.14285714285714285</v>
      </c>
      <c r="G189" s="36">
        <f>C165</f>
        <v>2.08</v>
      </c>
      <c r="H189" s="1180">
        <f>G189/$G$192</f>
        <v>9.857819905213272E-2</v>
      </c>
      <c r="I189" s="625"/>
      <c r="J189" s="625"/>
      <c r="K189" s="625"/>
      <c r="L189" s="625"/>
    </row>
    <row r="190" spans="1:16" ht="15" customHeight="1">
      <c r="B190" s="773" t="s">
        <v>245</v>
      </c>
      <c r="C190" s="62">
        <f>D168</f>
        <v>0.26</v>
      </c>
      <c r="D190" s="1179">
        <f>C190/$C$192</f>
        <v>0.83870967741935487</v>
      </c>
      <c r="E190" s="36">
        <f>D166</f>
        <v>0.44</v>
      </c>
      <c r="F190" s="1180">
        <f t="shared" ref="F190:F191" si="18">E190/$E$192</f>
        <v>0.69841269841269837</v>
      </c>
      <c r="G190" s="36">
        <f>D165</f>
        <v>13.93</v>
      </c>
      <c r="H190" s="1180">
        <f t="shared" ref="H190:H191" si="19">G190/$G$192</f>
        <v>0.66018957345971574</v>
      </c>
      <c r="I190" s="625"/>
      <c r="J190" s="625"/>
      <c r="K190" s="625"/>
      <c r="L190" s="625"/>
    </row>
    <row r="191" spans="1:16" ht="15" customHeight="1">
      <c r="B191" s="773" t="s">
        <v>148</v>
      </c>
      <c r="C191" s="62">
        <f>F168</f>
        <v>0.04</v>
      </c>
      <c r="D191" s="1179">
        <f>C191/$C$192</f>
        <v>0.12903225806451613</v>
      </c>
      <c r="E191" s="1181">
        <f>F166</f>
        <v>0.1</v>
      </c>
      <c r="F191" s="1180">
        <f t="shared" si="18"/>
        <v>0.15873015873015875</v>
      </c>
      <c r="G191" s="36">
        <f>F165</f>
        <v>5.09</v>
      </c>
      <c r="H191" s="1180">
        <f t="shared" si="19"/>
        <v>0.24123222748815168</v>
      </c>
      <c r="I191" s="625"/>
      <c r="J191" s="625"/>
      <c r="K191" s="625"/>
      <c r="L191" s="625"/>
    </row>
    <row r="192" spans="1:16" ht="15" customHeight="1">
      <c r="B192" s="773" t="s">
        <v>247</v>
      </c>
      <c r="C192" s="62">
        <f>SUM(C189:C191)</f>
        <v>0.31</v>
      </c>
      <c r="D192" s="62">
        <f t="shared" ref="D192:H192" si="20">SUM(D189:D191)</f>
        <v>1</v>
      </c>
      <c r="E192" s="62">
        <f t="shared" si="20"/>
        <v>0.63</v>
      </c>
      <c r="F192" s="1179">
        <f t="shared" si="20"/>
        <v>0.99999999999999989</v>
      </c>
      <c r="G192" s="62">
        <f t="shared" si="20"/>
        <v>21.099999999999998</v>
      </c>
      <c r="H192" s="1179">
        <f t="shared" si="20"/>
        <v>1.0000000000000002</v>
      </c>
      <c r="I192" s="625"/>
      <c r="J192" s="625"/>
      <c r="K192" s="625"/>
      <c r="L192" s="625"/>
    </row>
    <row r="193" spans="1:12" ht="15" customHeight="1">
      <c r="F193" s="742"/>
      <c r="G193" s="625"/>
      <c r="H193" s="625"/>
      <c r="I193" s="625"/>
      <c r="J193" s="625"/>
      <c r="K193" s="625"/>
      <c r="L193" s="625"/>
    </row>
    <row r="194" spans="1:12" ht="15" customHeight="1">
      <c r="F194" s="742"/>
      <c r="G194" s="625"/>
      <c r="H194" s="625"/>
      <c r="I194" s="625"/>
      <c r="J194" s="625"/>
      <c r="K194" s="625"/>
      <c r="L194" s="625"/>
    </row>
    <row r="195" spans="1:12" ht="15" customHeight="1">
      <c r="F195" s="742"/>
      <c r="G195" s="625"/>
      <c r="H195" s="625"/>
      <c r="I195" s="625"/>
      <c r="J195" s="625"/>
      <c r="K195" s="625"/>
      <c r="L195" s="625"/>
    </row>
    <row r="196" spans="1:12" ht="15" customHeight="1">
      <c r="B196" s="1662" t="s">
        <v>71</v>
      </c>
      <c r="C196" s="1663" t="s">
        <v>72</v>
      </c>
      <c r="D196" s="1663" t="s">
        <v>73</v>
      </c>
      <c r="E196" s="1664" t="s">
        <v>74</v>
      </c>
      <c r="F196" s="1182" t="s">
        <v>273</v>
      </c>
      <c r="G196" s="625"/>
      <c r="H196" s="625"/>
      <c r="I196" s="625"/>
      <c r="J196" s="625"/>
      <c r="K196" s="625"/>
      <c r="L196" s="625"/>
    </row>
    <row r="197" spans="1:12" ht="15" customHeight="1">
      <c r="A197" s="1665" t="s">
        <v>81</v>
      </c>
      <c r="B197" s="1665"/>
      <c r="C197" s="1665"/>
      <c r="D197" s="1665"/>
      <c r="E197" s="1665"/>
      <c r="F197" s="1182"/>
      <c r="G197" s="625"/>
      <c r="H197" s="625"/>
      <c r="I197" s="625"/>
      <c r="J197" s="625"/>
      <c r="K197" s="625"/>
      <c r="L197" s="625"/>
    </row>
    <row r="198" spans="1:12" ht="15" customHeight="1">
      <c r="A198" s="876" t="s">
        <v>82</v>
      </c>
      <c r="B198" s="1577">
        <f>SUMPRODUCT($D$189:$D$191,G62:G64)</f>
        <v>2.0973536537348423</v>
      </c>
      <c r="C198" s="1577">
        <f t="shared" ref="C198:E198" si="21">SUMPRODUCT($D$189:$D$191,H62:H64)</f>
        <v>1.9382386538339411</v>
      </c>
      <c r="D198" s="1577">
        <f t="shared" si="21"/>
        <v>0.1501651565693671</v>
      </c>
      <c r="E198" s="1577">
        <f t="shared" si="21"/>
        <v>8.9498433315342799E-3</v>
      </c>
      <c r="F198" s="1182" t="b">
        <f>SUM(C198:E198)=B198</f>
        <v>1</v>
      </c>
      <c r="G198" s="625"/>
      <c r="H198" s="625"/>
      <c r="I198" s="625"/>
      <c r="J198" s="625"/>
      <c r="K198" s="625"/>
      <c r="L198" s="625"/>
    </row>
    <row r="199" spans="1:12" ht="15" customHeight="1">
      <c r="A199" s="900" t="s">
        <v>88</v>
      </c>
      <c r="B199" s="900"/>
      <c r="C199" s="900"/>
      <c r="D199" s="900"/>
      <c r="E199" s="900"/>
      <c r="F199" s="1182"/>
      <c r="G199" s="625"/>
      <c r="H199" s="625"/>
      <c r="I199" s="188"/>
      <c r="J199" s="189"/>
      <c r="K199" s="189"/>
      <c r="L199" s="62"/>
    </row>
    <row r="200" spans="1:12" ht="15" customHeight="1">
      <c r="A200" s="876" t="s">
        <v>82</v>
      </c>
      <c r="B200" s="896">
        <f>SUMPRODUCT($F$189:$F$191,G67:G69)</f>
        <v>2.0071916460382564</v>
      </c>
      <c r="C200" s="896">
        <f t="shared" ref="C200:E200" si="22">SUMPRODUCT($F$189:$F$191,H67:H69)</f>
        <v>1.9927799860062074</v>
      </c>
      <c r="D200" s="896">
        <f t="shared" si="22"/>
        <v>5.1691750473632381E-3</v>
      </c>
      <c r="E200" s="896">
        <f t="shared" si="22"/>
        <v>9.2424849846854708E-3</v>
      </c>
      <c r="F200" s="1182" t="b">
        <f t="shared" ref="F200:F202" si="23">SUM(C200:E200)=B200</f>
        <v>1</v>
      </c>
      <c r="G200" s="742"/>
      <c r="H200" s="743"/>
      <c r="I200" s="188"/>
      <c r="J200" s="189"/>
      <c r="K200" s="189"/>
      <c r="L200" s="62"/>
    </row>
    <row r="201" spans="1:12" ht="15" customHeight="1">
      <c r="A201" s="900" t="s">
        <v>98</v>
      </c>
      <c r="B201" s="900"/>
      <c r="C201" s="900"/>
      <c r="D201" s="900"/>
      <c r="E201" s="900"/>
      <c r="F201" s="1182"/>
      <c r="G201" s="742"/>
      <c r="H201" s="743"/>
      <c r="I201" s="188"/>
      <c r="J201" s="189"/>
      <c r="K201" s="189"/>
      <c r="L201" s="62"/>
    </row>
    <row r="202" spans="1:12" ht="15" customHeight="1">
      <c r="A202" s="876" t="s">
        <v>82</v>
      </c>
      <c r="B202" s="896">
        <f>SUMPRODUCT($H$189:$H$191,G78:G80)</f>
        <v>1.9309174408762142</v>
      </c>
      <c r="C202" s="896">
        <f t="shared" ref="C202:D202" si="24">SUMPRODUCT($H$189:$H$191,H78:H80)</f>
        <v>1.9170877380428788</v>
      </c>
      <c r="D202" s="896">
        <f t="shared" si="24"/>
        <v>4.9604386059310009E-3</v>
      </c>
      <c r="E202" s="896">
        <f>SUMPRODUCT($H$189:$H$191,J78:J80)</f>
        <v>8.8692642274046316E-3</v>
      </c>
      <c r="F202" s="1182" t="b">
        <f t="shared" si="23"/>
        <v>1</v>
      </c>
      <c r="G202" s="742"/>
      <c r="H202" s="743"/>
      <c r="I202" s="188"/>
      <c r="J202" s="189"/>
      <c r="K202" s="189"/>
      <c r="L202" s="62"/>
    </row>
    <row r="203" spans="1:12" ht="15" customHeight="1">
      <c r="A203" s="741"/>
      <c r="B203" s="62"/>
      <c r="C203" s="62"/>
      <c r="D203" s="742"/>
      <c r="E203" s="742"/>
      <c r="F203" s="742"/>
      <c r="G203" s="742"/>
      <c r="H203" s="743"/>
      <c r="I203" s="188"/>
      <c r="J203" s="189"/>
      <c r="K203" s="189"/>
      <c r="L203" s="62"/>
    </row>
    <row r="204" spans="1:12" ht="15" customHeight="1">
      <c r="A204" s="741"/>
      <c r="B204" s="62"/>
      <c r="C204" s="62"/>
      <c r="D204" s="742"/>
      <c r="E204" s="742"/>
      <c r="F204" s="742"/>
      <c r="G204" s="742"/>
      <c r="H204" s="743"/>
      <c r="I204" s="188"/>
      <c r="J204" s="189"/>
      <c r="K204" s="189"/>
      <c r="L204" s="62"/>
    </row>
    <row r="205" spans="1:12" ht="15" customHeight="1">
      <c r="A205" s="741"/>
      <c r="B205" s="62"/>
      <c r="C205" s="62"/>
      <c r="D205" s="742"/>
      <c r="E205" s="742"/>
      <c r="F205" s="742"/>
      <c r="G205" s="742"/>
      <c r="H205" s="743"/>
      <c r="I205" s="188"/>
      <c r="J205" s="189"/>
      <c r="K205" s="189"/>
      <c r="L205" s="62"/>
    </row>
    <row r="206" spans="1:12" ht="15" customHeight="1">
      <c r="A206" s="741"/>
      <c r="B206" s="62"/>
      <c r="C206" s="62"/>
      <c r="D206" s="742"/>
      <c r="E206" s="742"/>
      <c r="F206" s="742"/>
      <c r="G206" s="742"/>
      <c r="H206" s="743"/>
      <c r="I206" s="188"/>
      <c r="J206" s="189"/>
      <c r="K206" s="189"/>
      <c r="L206" s="62"/>
    </row>
    <row r="207" spans="1:12" ht="15" customHeight="1">
      <c r="A207" s="741"/>
      <c r="B207" s="62"/>
      <c r="C207" s="62"/>
      <c r="D207" s="742"/>
      <c r="E207" s="742"/>
      <c r="F207" s="742"/>
      <c r="G207" s="742"/>
      <c r="H207" s="743"/>
      <c r="I207" s="188"/>
      <c r="J207" s="189"/>
      <c r="K207" s="189"/>
      <c r="L207" s="62"/>
    </row>
    <row r="208" spans="1:12" ht="15" customHeight="1">
      <c r="A208" s="741"/>
      <c r="B208" s="62"/>
      <c r="C208" s="62"/>
      <c r="D208" s="742"/>
      <c r="E208" s="742"/>
      <c r="F208" s="742"/>
      <c r="G208" s="742"/>
      <c r="H208" s="743"/>
      <c r="I208" s="188"/>
      <c r="J208" s="189"/>
      <c r="K208" s="189"/>
      <c r="L208" s="62"/>
    </row>
    <row r="209" spans="1:28" ht="15" customHeight="1">
      <c r="A209" s="741"/>
      <c r="B209" s="62"/>
      <c r="C209" s="62"/>
      <c r="D209" s="742"/>
      <c r="E209" s="742"/>
      <c r="F209" s="742"/>
      <c r="G209" s="742"/>
      <c r="H209" s="743"/>
      <c r="I209" s="188"/>
      <c r="J209" s="189"/>
      <c r="K209" s="189"/>
      <c r="L209" s="62"/>
    </row>
    <row r="210" spans="1:28" ht="15" customHeight="1">
      <c r="A210" s="741"/>
      <c r="B210" s="62"/>
      <c r="C210" s="62"/>
      <c r="D210" s="742"/>
      <c r="E210" s="742"/>
      <c r="F210" s="742"/>
      <c r="G210" s="742"/>
      <c r="H210" s="743"/>
      <c r="I210" s="188"/>
      <c r="J210" s="189"/>
      <c r="K210" s="189"/>
      <c r="L210" s="62"/>
    </row>
    <row r="211" spans="1:28" s="70" customFormat="1" ht="15.75" thickBot="1"/>
    <row r="212" spans="1:28" s="317" customFormat="1" ht="24" customHeight="1">
      <c r="A212" s="315" t="s">
        <v>274</v>
      </c>
      <c r="B212" s="316" t="s">
        <v>275</v>
      </c>
    </row>
    <row r="214" spans="1:28" ht="57" customHeight="1">
      <c r="A214" s="1857" t="s">
        <v>276</v>
      </c>
      <c r="B214" s="1857"/>
      <c r="C214" s="1857"/>
      <c r="D214" s="1857"/>
      <c r="E214" s="1857"/>
      <c r="F214" s="1857"/>
      <c r="G214" s="1857"/>
      <c r="H214" s="1857"/>
      <c r="I214" s="1857"/>
      <c r="J214" s="1857"/>
      <c r="K214" s="1857"/>
      <c r="L214" s="1857"/>
    </row>
    <row r="215" spans="1:28">
      <c r="A215" s="1834" t="s">
        <v>277</v>
      </c>
      <c r="B215" s="1834"/>
      <c r="M215" s="52" t="s">
        <v>278</v>
      </c>
    </row>
    <row r="216" spans="1:28" ht="15.75" thickBot="1">
      <c r="B216" s="1849" t="s">
        <v>279</v>
      </c>
      <c r="C216" s="1849"/>
      <c r="D216" s="1849"/>
      <c r="M216" s="51" t="s">
        <v>280</v>
      </c>
      <c r="N216" s="52"/>
      <c r="O216" s="52"/>
      <c r="Q216" s="1834" t="s">
        <v>281</v>
      </c>
      <c r="R216" s="1834"/>
      <c r="S216" s="1834"/>
      <c r="T216" s="1834"/>
      <c r="U216" s="1834"/>
      <c r="V216" s="1834"/>
      <c r="W216" s="1834"/>
      <c r="X216" s="1834"/>
      <c r="Z216" s="1849" t="s">
        <v>282</v>
      </c>
      <c r="AA216" s="1849"/>
      <c r="AB216" s="1849"/>
    </row>
    <row r="217" spans="1:28" ht="30" customHeight="1">
      <c r="B217" s="1850" t="s">
        <v>34</v>
      </c>
      <c r="C217" s="1850" t="s">
        <v>283</v>
      </c>
      <c r="D217" s="1850" t="s">
        <v>70</v>
      </c>
      <c r="E217" s="71" t="s">
        <v>284</v>
      </c>
      <c r="F217" s="1852" t="s">
        <v>120</v>
      </c>
      <c r="G217" s="1852" t="s">
        <v>121</v>
      </c>
      <c r="H217" s="1852" t="s">
        <v>122</v>
      </c>
      <c r="M217" t="s">
        <v>285</v>
      </c>
      <c r="N217" t="s">
        <v>286</v>
      </c>
      <c r="O217" t="s">
        <v>287</v>
      </c>
      <c r="Q217" t="s">
        <v>69</v>
      </c>
      <c r="U217" t="s">
        <v>285</v>
      </c>
      <c r="V217" t="s">
        <v>286</v>
      </c>
      <c r="W217" t="s">
        <v>287</v>
      </c>
      <c r="Z217" t="s">
        <v>288</v>
      </c>
    </row>
    <row r="218" spans="1:28" ht="15.75" thickBot="1">
      <c r="B218" s="1851"/>
      <c r="C218" s="1851"/>
      <c r="D218" s="1851"/>
      <c r="E218" s="72" t="s">
        <v>289</v>
      </c>
      <c r="F218" s="1853"/>
      <c r="G218" s="1853"/>
      <c r="H218" s="1853"/>
      <c r="M218" t="s">
        <v>290</v>
      </c>
      <c r="N218" t="s">
        <v>290</v>
      </c>
      <c r="O218" t="s">
        <v>290</v>
      </c>
      <c r="R218" t="s">
        <v>283</v>
      </c>
      <c r="S218" t="s">
        <v>70</v>
      </c>
      <c r="U218" t="s">
        <v>290</v>
      </c>
      <c r="V218" t="s">
        <v>290</v>
      </c>
      <c r="W218" t="s">
        <v>290</v>
      </c>
      <c r="X218" t="s">
        <v>291</v>
      </c>
      <c r="Z218" t="s">
        <v>144</v>
      </c>
      <c r="AA218" t="s">
        <v>292</v>
      </c>
      <c r="AB218" t="s">
        <v>293</v>
      </c>
    </row>
    <row r="219" spans="1:28" ht="15.75" thickBot="1">
      <c r="B219" s="129" t="s">
        <v>294</v>
      </c>
      <c r="C219" s="130"/>
      <c r="D219" s="130"/>
      <c r="E219" s="73"/>
      <c r="F219" s="73"/>
      <c r="G219" s="73"/>
      <c r="H219" s="73"/>
      <c r="Q219" t="s">
        <v>295</v>
      </c>
    </row>
    <row r="220" spans="1:28" ht="15.75" thickBot="1">
      <c r="B220" s="1682" t="s">
        <v>85</v>
      </c>
      <c r="C220" s="1682" t="s">
        <v>263</v>
      </c>
      <c r="D220" s="1682" t="s">
        <v>83</v>
      </c>
      <c r="E220" s="104">
        <v>29.590041273059949</v>
      </c>
      <c r="F220" s="105">
        <v>89.13</v>
      </c>
      <c r="G220" s="106">
        <v>0.28499999999999998</v>
      </c>
      <c r="H220" s="106">
        <v>1.4249999999999998E-3</v>
      </c>
      <c r="M220" s="74">
        <f>(E220*F220)/1000</f>
        <v>2.6373603786678332</v>
      </c>
      <c r="N220">
        <f>((E220*G220)/1000)*25</f>
        <v>0.21082904407055211</v>
      </c>
      <c r="O220" s="75">
        <f>((E220*H220)/1000)*298</f>
        <v>1.2565411026604908E-2</v>
      </c>
      <c r="Q220" t="s">
        <v>296</v>
      </c>
      <c r="R220" t="s">
        <v>263</v>
      </c>
      <c r="S220" t="s">
        <v>83</v>
      </c>
      <c r="T220">
        <v>2.89</v>
      </c>
      <c r="U220">
        <v>2.66</v>
      </c>
      <c r="V220">
        <v>0.21299999999999999</v>
      </c>
      <c r="W220">
        <v>1.2699999999999999E-2</v>
      </c>
      <c r="X220" s="76">
        <v>4.9000000000000002E-2</v>
      </c>
      <c r="Z220" s="76">
        <f t="shared" ref="Z220:AB222" si="25">((M220-U220)/M220)</f>
        <v>-8.5841971068066503E-3</v>
      </c>
      <c r="AA220" s="76">
        <f t="shared" si="25"/>
        <v>-1.0297233661607792E-2</v>
      </c>
      <c r="AB220" s="76">
        <f t="shared" si="25"/>
        <v>-1.0711068114693956E-2</v>
      </c>
    </row>
    <row r="221" spans="1:28" ht="15.75" thickBot="1">
      <c r="B221" s="1682" t="s">
        <v>86</v>
      </c>
      <c r="C221" s="1682" t="s">
        <v>263</v>
      </c>
      <c r="D221" s="1682" t="s">
        <v>83</v>
      </c>
      <c r="E221" s="104">
        <v>21.643759940304214</v>
      </c>
      <c r="F221" s="105">
        <v>91.99</v>
      </c>
      <c r="G221" s="106">
        <v>0.28499999999999998</v>
      </c>
      <c r="H221" s="106">
        <v>1.4249999999999998E-3</v>
      </c>
      <c r="M221" s="74">
        <f>(E221*F221)/1000</f>
        <v>1.9910094769085844</v>
      </c>
      <c r="N221">
        <f>((E221*G221)/1000)*25</f>
        <v>0.15421178957466752</v>
      </c>
      <c r="O221" s="75">
        <f>((E221*H221)/1000)*298</f>
        <v>9.1910226586501848E-3</v>
      </c>
      <c r="Q221" t="s">
        <v>297</v>
      </c>
      <c r="R221" t="s">
        <v>263</v>
      </c>
      <c r="S221" t="s">
        <v>83</v>
      </c>
      <c r="T221">
        <v>2.15</v>
      </c>
      <c r="U221">
        <v>1.99</v>
      </c>
      <c r="V221">
        <v>0.154</v>
      </c>
      <c r="W221">
        <v>9.1699999999999993E-3</v>
      </c>
      <c r="X221" s="76">
        <v>4.8000000000000001E-2</v>
      </c>
      <c r="Z221" s="76">
        <f t="shared" si="25"/>
        <v>5.0701763115253541E-4</v>
      </c>
      <c r="AA221" s="76">
        <f t="shared" si="25"/>
        <v>1.3733682440990012E-3</v>
      </c>
      <c r="AB221" s="76">
        <f t="shared" si="25"/>
        <v>2.2873035385675925E-3</v>
      </c>
    </row>
    <row r="222" spans="1:28" ht="15.75" thickBot="1">
      <c r="B222" s="1682" t="s">
        <v>87</v>
      </c>
      <c r="C222" s="1682" t="s">
        <v>263</v>
      </c>
      <c r="D222" s="1682" t="s">
        <v>83</v>
      </c>
      <c r="E222" s="104">
        <v>15.255588794332368</v>
      </c>
      <c r="F222" s="105">
        <v>93.11</v>
      </c>
      <c r="G222" s="106">
        <v>0.28499999999999998</v>
      </c>
      <c r="H222" s="106">
        <v>1.4249999999999998E-3</v>
      </c>
      <c r="M222" s="74">
        <f>(E222*F222)/1000</f>
        <v>1.4204478726402867</v>
      </c>
      <c r="N222">
        <f>((E222*G222)/1000)*25</f>
        <v>0.1086960701596181</v>
      </c>
      <c r="O222" s="75">
        <f>((E222*H222)/1000)*298</f>
        <v>6.4782857815132398E-3</v>
      </c>
      <c r="Q222" t="s">
        <v>298</v>
      </c>
      <c r="R222" t="s">
        <v>263</v>
      </c>
      <c r="S222" t="s">
        <v>83</v>
      </c>
      <c r="T222">
        <v>1.54</v>
      </c>
      <c r="U222">
        <v>1.42</v>
      </c>
      <c r="V222">
        <v>0.109</v>
      </c>
      <c r="W222">
        <v>6.4799999999999996E-3</v>
      </c>
      <c r="X222" s="76">
        <v>4.8000000000000001E-2</v>
      </c>
      <c r="Z222" s="76">
        <f t="shared" si="25"/>
        <v>3.1530381995242905E-4</v>
      </c>
      <c r="AA222" s="76">
        <f t="shared" si="25"/>
        <v>-2.7961437790306699E-3</v>
      </c>
      <c r="AB222" s="76">
        <f t="shared" si="25"/>
        <v>-2.6460988980319392E-4</v>
      </c>
    </row>
    <row r="223" spans="1:28" ht="15.75" thickBot="1">
      <c r="B223" s="1682" t="s">
        <v>82</v>
      </c>
      <c r="C223" s="1682" t="s">
        <v>263</v>
      </c>
      <c r="D223" s="1682" t="s">
        <v>83</v>
      </c>
      <c r="E223" s="77"/>
      <c r="F223" s="77"/>
      <c r="G223" s="77"/>
      <c r="H223" s="77"/>
      <c r="M223" s="78">
        <f>(E223*F223)/1000</f>
        <v>0</v>
      </c>
      <c r="N223" s="79">
        <f>(E223*G223)/1000</f>
        <v>0</v>
      </c>
      <c r="O223" s="80">
        <f>(E223*H223)/1000</f>
        <v>0</v>
      </c>
      <c r="Q223" t="s">
        <v>299</v>
      </c>
      <c r="R223" t="s">
        <v>263</v>
      </c>
      <c r="S223" t="s">
        <v>83</v>
      </c>
      <c r="T223">
        <v>1.91</v>
      </c>
      <c r="U223">
        <v>1.77</v>
      </c>
      <c r="V223">
        <v>0.13600000000000001</v>
      </c>
      <c r="W223">
        <v>8.1300000000000001E-3</v>
      </c>
      <c r="X223" s="76">
        <v>4.8000000000000001E-2</v>
      </c>
      <c r="Z223" s="76" t="s">
        <v>300</v>
      </c>
      <c r="AA223" s="76" t="s">
        <v>300</v>
      </c>
      <c r="AB223" s="76" t="s">
        <v>300</v>
      </c>
    </row>
    <row r="224" spans="1:28" ht="30.75" customHeight="1" thickBot="1">
      <c r="B224" s="1845" t="s">
        <v>301</v>
      </c>
      <c r="C224" s="1845" t="s">
        <v>260</v>
      </c>
      <c r="D224" s="131" t="s">
        <v>96</v>
      </c>
      <c r="E224" s="104" t="s">
        <v>127</v>
      </c>
      <c r="F224" s="104">
        <f>F225*0.0036</f>
        <v>0.19424428865307317</v>
      </c>
      <c r="G224" s="107">
        <f>G225*0.0036</f>
        <v>1.6199999999999997E-5</v>
      </c>
      <c r="H224" s="107">
        <f>H225*0.0036</f>
        <v>3.2399999999999999E-7</v>
      </c>
      <c r="I224" s="1847"/>
      <c r="M224" s="81">
        <f>F224</f>
        <v>0.19424428865307317</v>
      </c>
      <c r="N224" s="81">
        <f>G224*25</f>
        <v>4.0499999999999992E-4</v>
      </c>
      <c r="O224" s="81">
        <f>H224*298</f>
        <v>9.6551999999999993E-5</v>
      </c>
      <c r="Q224" s="1848" t="s">
        <v>302</v>
      </c>
      <c r="R224" t="s">
        <v>260</v>
      </c>
      <c r="S224" t="s">
        <v>96</v>
      </c>
      <c r="T224">
        <v>0.19400000000000001</v>
      </c>
      <c r="U224">
        <v>0.19400000000000001</v>
      </c>
      <c r="V224">
        <v>4.0499999999999998E-4</v>
      </c>
      <c r="W224">
        <v>9.6600000000000003E-5</v>
      </c>
      <c r="X224" s="76">
        <v>2.4E-2</v>
      </c>
      <c r="Z224" s="76">
        <f t="shared" ref="Z224:AB228" si="26">((M224-U224)/M224)</f>
        <v>1.2576362206945916E-3</v>
      </c>
      <c r="AA224" s="76">
        <f t="shared" si="26"/>
        <v>-1.3385212005993884E-16</v>
      </c>
      <c r="AB224" s="76">
        <f t="shared" si="26"/>
        <v>-4.9714143673885969E-4</v>
      </c>
    </row>
    <row r="225" spans="2:28" ht="15.75" thickBot="1">
      <c r="B225" s="1846"/>
      <c r="C225" s="1846"/>
      <c r="D225" s="131" t="s">
        <v>97</v>
      </c>
      <c r="E225" s="104" t="s">
        <v>127</v>
      </c>
      <c r="F225" s="104">
        <v>53.956746848075881</v>
      </c>
      <c r="G225" s="108">
        <v>4.4999999999999997E-3</v>
      </c>
      <c r="H225" s="108">
        <v>9.0000000000000006E-5</v>
      </c>
      <c r="I225" s="1847"/>
      <c r="M225" s="81">
        <f>F225</f>
        <v>53.956746848075881</v>
      </c>
      <c r="N225" s="81">
        <f>G225*25</f>
        <v>0.11249999999999999</v>
      </c>
      <c r="O225" s="81">
        <f>H225*298</f>
        <v>2.682E-2</v>
      </c>
      <c r="Q225" s="1848"/>
      <c r="S225" t="s">
        <v>97</v>
      </c>
      <c r="T225">
        <v>53.9</v>
      </c>
      <c r="U225">
        <v>53.8</v>
      </c>
      <c r="V225">
        <v>0.113</v>
      </c>
      <c r="W225">
        <v>2.6800000000000001E-2</v>
      </c>
      <c r="X225" s="76">
        <v>2.4E-2</v>
      </c>
      <c r="Z225" s="76">
        <f t="shared" si="26"/>
        <v>2.9050463052791146E-3</v>
      </c>
      <c r="AA225" s="76">
        <f t="shared" si="26"/>
        <v>-4.4444444444445719E-3</v>
      </c>
      <c r="AB225" s="76">
        <f t="shared" si="26"/>
        <v>7.4571215510809785E-4</v>
      </c>
    </row>
    <row r="226" spans="2:28" ht="15.75" thickBot="1">
      <c r="B226" s="656" t="s">
        <v>303</v>
      </c>
      <c r="C226" s="131" t="s">
        <v>260</v>
      </c>
      <c r="D226" s="1682" t="s">
        <v>83</v>
      </c>
      <c r="E226" s="104">
        <v>29.590041273059949</v>
      </c>
      <c r="F226" s="104">
        <v>89.13</v>
      </c>
      <c r="G226" s="109">
        <v>9.4999999999999998E-3</v>
      </c>
      <c r="H226" s="109">
        <v>1.4249999999999998E-3</v>
      </c>
      <c r="M226" s="74">
        <f>(E226*F226)/1000</f>
        <v>2.6373603786678332</v>
      </c>
      <c r="N226">
        <f>((E226*G226)/1000)*25</f>
        <v>7.0276348023517368E-3</v>
      </c>
      <c r="O226" s="75">
        <f>((E226*H226)/1000)*298</f>
        <v>1.2565411026604908E-2</v>
      </c>
      <c r="Q226" t="s">
        <v>296</v>
      </c>
      <c r="R226" t="s">
        <v>260</v>
      </c>
      <c r="S226" t="s">
        <v>83</v>
      </c>
      <c r="T226">
        <v>2.68</v>
      </c>
      <c r="U226">
        <v>2.66</v>
      </c>
      <c r="V226">
        <v>7.1000000000000004E-3</v>
      </c>
      <c r="W226">
        <v>1.2699999999999999E-2</v>
      </c>
      <c r="X226" s="76">
        <v>3.5000000000000003E-2</v>
      </c>
      <c r="Z226" s="76">
        <f t="shared" si="26"/>
        <v>-8.5841971068066503E-3</v>
      </c>
      <c r="AA226" s="76">
        <f t="shared" si="26"/>
        <v>-1.0297233661607924E-2</v>
      </c>
      <c r="AB226" s="76">
        <f t="shared" si="26"/>
        <v>-1.0711068114693956E-2</v>
      </c>
    </row>
    <row r="227" spans="2:28" ht="15.75" thickBot="1">
      <c r="B227" s="656" t="s">
        <v>304</v>
      </c>
      <c r="C227" s="131" t="s">
        <v>260</v>
      </c>
      <c r="D227" s="1682" t="s">
        <v>83</v>
      </c>
      <c r="E227" s="104">
        <v>21.643759940304214</v>
      </c>
      <c r="F227" s="104">
        <v>91.99</v>
      </c>
      <c r="G227" s="109">
        <v>9.4999999999999998E-3</v>
      </c>
      <c r="H227" s="109">
        <v>1.4249999999999998E-3</v>
      </c>
      <c r="M227" s="74">
        <f>(E227*F227)/1000</f>
        <v>1.9910094769085844</v>
      </c>
      <c r="N227">
        <f>((E227*G227)/1000)*25</f>
        <v>5.1403929858222508E-3</v>
      </c>
      <c r="O227" s="75">
        <f>((E227*H227)/1000)*298</f>
        <v>9.1910226586501848E-3</v>
      </c>
      <c r="Q227" t="s">
        <v>297</v>
      </c>
      <c r="R227" t="s">
        <v>260</v>
      </c>
      <c r="S227" t="s">
        <v>83</v>
      </c>
      <c r="T227">
        <v>2</v>
      </c>
      <c r="U227">
        <v>1.99</v>
      </c>
      <c r="V227">
        <v>5.13E-3</v>
      </c>
      <c r="W227">
        <v>9.1699999999999993E-3</v>
      </c>
      <c r="X227" s="76">
        <v>3.5000000000000003E-2</v>
      </c>
      <c r="Z227" s="76">
        <f t="shared" si="26"/>
        <v>5.0701763115253541E-4</v>
      </c>
      <c r="AA227" s="76">
        <f t="shared" si="26"/>
        <v>2.0218270958885323E-3</v>
      </c>
      <c r="AB227" s="76">
        <f t="shared" si="26"/>
        <v>2.2873035385675925E-3</v>
      </c>
    </row>
    <row r="228" spans="2:28" ht="15.75" customHeight="1" thickBot="1">
      <c r="B228" s="656" t="s">
        <v>305</v>
      </c>
      <c r="C228" s="131" t="s">
        <v>260</v>
      </c>
      <c r="D228" s="1682" t="s">
        <v>83</v>
      </c>
      <c r="E228" s="104">
        <v>15.255588794332368</v>
      </c>
      <c r="F228" s="104">
        <v>93.11</v>
      </c>
      <c r="G228" s="109">
        <v>9.4999999999999998E-3</v>
      </c>
      <c r="H228" s="109">
        <v>1.4249999999999998E-3</v>
      </c>
      <c r="M228" s="74">
        <f>(E228*F228)/1000</f>
        <v>1.4204478726402867</v>
      </c>
      <c r="N228">
        <f>((E228*G228)/1000)*25</f>
        <v>3.6232023386539372E-3</v>
      </c>
      <c r="O228" s="75">
        <f>((E228*H228)/1000)*298</f>
        <v>6.4782857815132398E-3</v>
      </c>
      <c r="Q228" t="s">
        <v>298</v>
      </c>
      <c r="R228" t="s">
        <v>260</v>
      </c>
      <c r="S228" t="s">
        <v>83</v>
      </c>
      <c r="T228">
        <v>1.43</v>
      </c>
      <c r="U228">
        <v>1.42</v>
      </c>
      <c r="V228">
        <v>3.63E-3</v>
      </c>
      <c r="W228">
        <v>6.4799999999999996E-3</v>
      </c>
      <c r="X228" s="76">
        <v>3.5000000000000003E-2</v>
      </c>
      <c r="Z228" s="76">
        <f t="shared" si="26"/>
        <v>3.1530381995242905E-4</v>
      </c>
      <c r="AA228" s="76">
        <f t="shared" si="26"/>
        <v>-1.8761473168479427E-3</v>
      </c>
      <c r="AB228" s="76">
        <f t="shared" si="26"/>
        <v>-2.6460988980319392E-4</v>
      </c>
    </row>
    <row r="229" spans="2:28" ht="15.75" thickBot="1">
      <c r="B229" s="132" t="s">
        <v>306</v>
      </c>
      <c r="C229" s="133" t="s">
        <v>260</v>
      </c>
      <c r="D229" s="133" t="s">
        <v>83</v>
      </c>
      <c r="E229" s="110"/>
      <c r="F229" s="110"/>
      <c r="G229" s="111"/>
      <c r="H229" s="111"/>
      <c r="I229" s="49"/>
      <c r="Q229" t="s">
        <v>299</v>
      </c>
      <c r="R229" t="s">
        <v>260</v>
      </c>
      <c r="S229" t="s">
        <v>83</v>
      </c>
      <c r="T229">
        <v>1.95</v>
      </c>
      <c r="U229">
        <v>1.94</v>
      </c>
      <c r="V229">
        <v>5.0000000000000001E-3</v>
      </c>
      <c r="W229">
        <v>8.94E-3</v>
      </c>
      <c r="X229" s="76">
        <v>3.5000000000000003E-2</v>
      </c>
      <c r="Z229" s="76" t="s">
        <v>307</v>
      </c>
      <c r="AA229" s="76" t="s">
        <v>307</v>
      </c>
      <c r="AB229" s="76" t="s">
        <v>307</v>
      </c>
    </row>
    <row r="230" spans="2:28" ht="15.75" thickBot="1">
      <c r="B230" s="656" t="s">
        <v>90</v>
      </c>
      <c r="C230" s="131" t="s">
        <v>260</v>
      </c>
      <c r="D230" s="131" t="s">
        <v>91</v>
      </c>
      <c r="E230" s="104">
        <v>38.209810082809859</v>
      </c>
      <c r="F230" s="104">
        <v>69.305668194279477</v>
      </c>
      <c r="G230" s="109">
        <v>9.4999999999999998E-3</v>
      </c>
      <c r="H230" s="109">
        <v>5.6999999999999998E-4</v>
      </c>
      <c r="M230" s="74">
        <f>(E230*F230)/1000</f>
        <v>2.6481564193656544</v>
      </c>
      <c r="N230">
        <f>((E230*G230)/1000)*25</f>
        <v>9.0748298946673415E-3</v>
      </c>
      <c r="O230" s="75">
        <f>((E230*H230)/1000)*298</f>
        <v>6.4903183406660814E-3</v>
      </c>
      <c r="Q230" t="s">
        <v>90</v>
      </c>
      <c r="R230" t="s">
        <v>260</v>
      </c>
      <c r="S230" t="s">
        <v>91</v>
      </c>
      <c r="T230">
        <v>2.69</v>
      </c>
      <c r="U230">
        <v>2.67</v>
      </c>
      <c r="V230">
        <v>9.1199999999999996E-3</v>
      </c>
      <c r="W230">
        <v>6.5199999999999998E-3</v>
      </c>
      <c r="X230" s="76">
        <v>5.0000000000000001E-3</v>
      </c>
      <c r="Z230" s="76">
        <f t="shared" ref="Z230:AB245" si="27">((M230-U230)/M230)</f>
        <v>-8.248599091279514E-3</v>
      </c>
      <c r="AA230" s="76">
        <f t="shared" si="27"/>
        <v>-4.9775153757098565E-3</v>
      </c>
      <c r="AB230" s="76">
        <f t="shared" si="27"/>
        <v>-4.573220877001267E-3</v>
      </c>
    </row>
    <row r="231" spans="2:28" ht="15.75" thickBot="1">
      <c r="B231" s="656" t="s">
        <v>92</v>
      </c>
      <c r="C231" s="131" t="s">
        <v>260</v>
      </c>
      <c r="D231" s="131" t="s">
        <v>83</v>
      </c>
      <c r="E231" s="104">
        <v>50</v>
      </c>
      <c r="F231" s="104">
        <v>60.426666666666662</v>
      </c>
      <c r="G231" s="108">
        <v>4.7499999999999999E-3</v>
      </c>
      <c r="H231" s="109">
        <v>9.5000000000000005E-5</v>
      </c>
      <c r="M231" s="74">
        <f>(E231*F231)/1000</f>
        <v>3.0213333333333332</v>
      </c>
      <c r="N231">
        <f>((E231*G231)/1000)*25</f>
        <v>5.9375000000000001E-3</v>
      </c>
      <c r="O231" s="75">
        <f>((E231*H231)/1000)*298</f>
        <v>1.4155000000000001E-3</v>
      </c>
      <c r="Q231" t="s">
        <v>308</v>
      </c>
      <c r="R231" t="s">
        <v>260</v>
      </c>
      <c r="S231" t="s">
        <v>83</v>
      </c>
      <c r="T231">
        <v>3.03</v>
      </c>
      <c r="U231">
        <v>3.02</v>
      </c>
      <c r="V231">
        <v>5.94E-3</v>
      </c>
      <c r="W231">
        <v>1.42E-3</v>
      </c>
      <c r="X231" s="76">
        <v>5.0000000000000001E-3</v>
      </c>
      <c r="Z231" s="76">
        <f t="shared" si="27"/>
        <v>4.4130626654893639E-4</v>
      </c>
      <c r="AA231" s="76">
        <f t="shared" si="27"/>
        <v>-4.2105263157893021E-4</v>
      </c>
      <c r="AB231" s="76">
        <f t="shared" si="27"/>
        <v>-3.1790886612504039E-3</v>
      </c>
    </row>
    <row r="232" spans="2:28" ht="15.75" customHeight="1" thickBot="1">
      <c r="B232" s="656" t="s">
        <v>93</v>
      </c>
      <c r="C232" s="131" t="s">
        <v>260</v>
      </c>
      <c r="D232" s="131" t="s">
        <v>91</v>
      </c>
      <c r="E232" s="104">
        <v>40.897639248823445</v>
      </c>
      <c r="F232" s="104">
        <v>73.585659863779085</v>
      </c>
      <c r="G232" s="108">
        <v>9.4999999999999998E-3</v>
      </c>
      <c r="H232" s="109">
        <v>5.6999999999999998E-4</v>
      </c>
      <c r="M232" s="74">
        <f>(E232*F232)/1000</f>
        <v>3.0094797709954637</v>
      </c>
      <c r="N232">
        <f>((E232*G232)/1000)*25</f>
        <v>9.7131893215955684E-3</v>
      </c>
      <c r="O232" s="75">
        <f>((E232*H232)/1000)*298</f>
        <v>6.9468730028051503E-3</v>
      </c>
      <c r="Q232" t="s">
        <v>309</v>
      </c>
      <c r="R232" t="s">
        <v>260</v>
      </c>
      <c r="S232" t="s">
        <v>91</v>
      </c>
      <c r="T232">
        <v>3.02</v>
      </c>
      <c r="U232">
        <v>3.01</v>
      </c>
      <c r="V232">
        <v>9.6900000000000007E-3</v>
      </c>
      <c r="W232">
        <v>6.9300000000000004E-3</v>
      </c>
      <c r="X232" s="76">
        <v>5.0000000000000001E-3</v>
      </c>
      <c r="Z232" s="76">
        <f t="shared" si="27"/>
        <v>-1.728634329261491E-4</v>
      </c>
      <c r="AA232" s="76">
        <f t="shared" si="27"/>
        <v>2.3874054986254981E-3</v>
      </c>
      <c r="AB232" s="76">
        <f t="shared" si="27"/>
        <v>2.4288630004228665E-3</v>
      </c>
    </row>
    <row r="233" spans="2:28" ht="15.75" thickBot="1">
      <c r="B233" s="656" t="s">
        <v>94</v>
      </c>
      <c r="C233" s="131" t="s">
        <v>260</v>
      </c>
      <c r="D233" s="131" t="s">
        <v>91</v>
      </c>
      <c r="E233" s="104">
        <v>40.318996044878318</v>
      </c>
      <c r="F233" s="104">
        <v>72.302842568270648</v>
      </c>
      <c r="G233" s="108">
        <v>9.4999999999999998E-3</v>
      </c>
      <c r="H233" s="109">
        <v>5.6999999999999998E-4</v>
      </c>
      <c r="M233" s="74">
        <f>(E233*F233)/1000</f>
        <v>2.915178023543564</v>
      </c>
      <c r="N233">
        <f>((E233*G233)/1000)*25</f>
        <v>9.5757615606586015E-3</v>
      </c>
      <c r="O233" s="75">
        <f>((E233*H233)/1000)*298</f>
        <v>6.848584668183031E-3</v>
      </c>
      <c r="Q233" t="s">
        <v>310</v>
      </c>
      <c r="R233" t="s">
        <v>260</v>
      </c>
      <c r="S233" t="s">
        <v>91</v>
      </c>
      <c r="T233">
        <v>2.96</v>
      </c>
      <c r="U233">
        <v>2.95</v>
      </c>
      <c r="V233">
        <v>9.5999999999999992E-3</v>
      </c>
      <c r="W233">
        <v>6.8700000000000002E-3</v>
      </c>
      <c r="X233" s="76">
        <v>5.0000000000000001E-3</v>
      </c>
      <c r="Z233" s="76">
        <f t="shared" si="27"/>
        <v>-1.1945060018704469E-2</v>
      </c>
      <c r="AA233" s="76">
        <f t="shared" si="27"/>
        <v>-2.5312283715354547E-3</v>
      </c>
      <c r="AB233" s="76">
        <f t="shared" si="27"/>
        <v>-3.1269719006994188E-3</v>
      </c>
    </row>
    <row r="234" spans="2:28" ht="15.75" thickBot="1">
      <c r="B234" s="1845" t="s">
        <v>301</v>
      </c>
      <c r="C234" s="1845" t="s">
        <v>311</v>
      </c>
      <c r="D234" s="131" t="s">
        <v>96</v>
      </c>
      <c r="E234" s="104" t="s">
        <v>127</v>
      </c>
      <c r="F234" s="104">
        <f>F224</f>
        <v>0.19424428865307317</v>
      </c>
      <c r="G234" s="112">
        <f>G235*0.0036</f>
        <v>3.2399999999999999E-6</v>
      </c>
      <c r="H234" s="113">
        <f>H235*0.0036</f>
        <v>3.2399999999999999E-7</v>
      </c>
      <c r="I234" s="1847"/>
      <c r="M234" s="82">
        <f>F234</f>
        <v>0.19424428865307317</v>
      </c>
      <c r="N234" s="82">
        <f>G234*25</f>
        <v>8.1000000000000004E-5</v>
      </c>
      <c r="O234" s="82">
        <f>H234*298</f>
        <v>9.6551999999999993E-5</v>
      </c>
      <c r="Q234" t="s">
        <v>302</v>
      </c>
      <c r="R234" t="s">
        <v>311</v>
      </c>
      <c r="S234" t="s">
        <v>96</v>
      </c>
      <c r="T234">
        <v>0.19400000000000001</v>
      </c>
      <c r="U234">
        <v>0.19400000000000001</v>
      </c>
      <c r="V234">
        <v>8.1000000000000004E-5</v>
      </c>
      <c r="W234">
        <v>9.6600000000000003E-5</v>
      </c>
      <c r="X234" s="76">
        <v>2.4E-2</v>
      </c>
      <c r="Z234" s="76">
        <f t="shared" si="27"/>
        <v>1.2576362206945916E-3</v>
      </c>
      <c r="AA234" s="76">
        <f t="shared" si="27"/>
        <v>0</v>
      </c>
      <c r="AB234" s="76">
        <f t="shared" si="27"/>
        <v>-4.9714143673885969E-4</v>
      </c>
    </row>
    <row r="235" spans="2:28" ht="15.75" customHeight="1" thickBot="1">
      <c r="B235" s="1846"/>
      <c r="C235" s="1846"/>
      <c r="D235" s="131" t="s">
        <v>97</v>
      </c>
      <c r="E235" s="104" t="s">
        <v>127</v>
      </c>
      <c r="F235" s="104">
        <f>F225</f>
        <v>53.956746848075881</v>
      </c>
      <c r="G235" s="108">
        <v>8.9999999999999998E-4</v>
      </c>
      <c r="H235" s="107">
        <v>9.0000000000000006E-5</v>
      </c>
      <c r="I235" s="1847"/>
      <c r="M235" s="82">
        <f>F235</f>
        <v>53.956746848075881</v>
      </c>
      <c r="N235" s="82">
        <f>G235*25</f>
        <v>2.2499999999999999E-2</v>
      </c>
      <c r="O235" s="82">
        <f>H235*298</f>
        <v>2.682E-2</v>
      </c>
      <c r="S235" t="s">
        <v>97</v>
      </c>
      <c r="T235">
        <v>53.86</v>
      </c>
      <c r="U235">
        <v>53.81</v>
      </c>
      <c r="V235">
        <v>2.2499999999999999E-2</v>
      </c>
      <c r="W235">
        <v>2.6800000000000001E-2</v>
      </c>
      <c r="X235" s="76">
        <v>2.4E-2</v>
      </c>
      <c r="Z235" s="76">
        <f t="shared" si="27"/>
        <v>2.7197126707632726E-3</v>
      </c>
      <c r="AA235" s="76">
        <f t="shared" si="27"/>
        <v>0</v>
      </c>
      <c r="AB235" s="76">
        <f t="shared" si="27"/>
        <v>7.4571215510809785E-4</v>
      </c>
    </row>
    <row r="236" spans="2:28" ht="15.75" thickBot="1">
      <c r="B236" s="656" t="s">
        <v>303</v>
      </c>
      <c r="C236" s="131" t="s">
        <v>311</v>
      </c>
      <c r="D236" s="131" t="s">
        <v>83</v>
      </c>
      <c r="E236" s="104">
        <f>E226</f>
        <v>29.590041273059949</v>
      </c>
      <c r="F236" s="104">
        <f>F226</f>
        <v>89.13</v>
      </c>
      <c r="G236" s="109">
        <v>9.4999999999999998E-3</v>
      </c>
      <c r="H236" s="108">
        <v>1.4249999999999998E-3</v>
      </c>
      <c r="M236" s="74">
        <f>(E236*F236)/1000</f>
        <v>2.6373603786678332</v>
      </c>
      <c r="N236">
        <f>((E236*G236)/1000)*25</f>
        <v>7.0276348023517368E-3</v>
      </c>
      <c r="O236" s="75">
        <f>((E236*H236)/1000)*298</f>
        <v>1.2565411026604908E-2</v>
      </c>
      <c r="Q236" t="s">
        <v>296</v>
      </c>
      <c r="R236" t="s">
        <v>311</v>
      </c>
      <c r="S236" t="s">
        <v>83</v>
      </c>
      <c r="T236">
        <v>2.68</v>
      </c>
      <c r="U236">
        <v>2.66</v>
      </c>
      <c r="V236">
        <v>7.1000000000000004E-3</v>
      </c>
      <c r="W236">
        <v>1.2699999999999999E-2</v>
      </c>
      <c r="X236" s="76">
        <v>3.5000000000000003E-2</v>
      </c>
      <c r="Z236" s="76">
        <f t="shared" si="27"/>
        <v>-8.5841971068066503E-3</v>
      </c>
      <c r="AA236" s="76">
        <f t="shared" si="27"/>
        <v>-1.0297233661607924E-2</v>
      </c>
      <c r="AB236" s="76">
        <f t="shared" si="27"/>
        <v>-1.0711068114693956E-2</v>
      </c>
    </row>
    <row r="237" spans="2:28" ht="15.75" thickBot="1">
      <c r="B237" s="656" t="s">
        <v>304</v>
      </c>
      <c r="C237" s="131" t="s">
        <v>311</v>
      </c>
      <c r="D237" s="131" t="s">
        <v>83</v>
      </c>
      <c r="E237" s="104">
        <f>E227</f>
        <v>21.643759940304214</v>
      </c>
      <c r="F237" s="104">
        <f>F227</f>
        <v>91.99</v>
      </c>
      <c r="G237" s="109">
        <v>9.4999999999999998E-3</v>
      </c>
      <c r="H237" s="108">
        <v>1.4249999999999998E-3</v>
      </c>
      <c r="M237" s="74">
        <f>(E237*F237)/1000</f>
        <v>1.9910094769085844</v>
      </c>
      <c r="N237">
        <f>((E237*G237)/1000)*25</f>
        <v>5.1403929858222508E-3</v>
      </c>
      <c r="O237" s="75">
        <f>((E237*H237)/1000)*298</f>
        <v>9.1910226586501848E-3</v>
      </c>
      <c r="Q237" t="s">
        <v>312</v>
      </c>
      <c r="R237" t="s">
        <v>311</v>
      </c>
      <c r="S237" t="s">
        <v>83</v>
      </c>
      <c r="T237">
        <v>2</v>
      </c>
      <c r="U237">
        <v>1.99</v>
      </c>
      <c r="V237">
        <v>5.13E-3</v>
      </c>
      <c r="W237">
        <v>9.1699999999999993E-3</v>
      </c>
      <c r="X237" s="76">
        <v>3.5000000000000003E-2</v>
      </c>
      <c r="Z237" s="76">
        <f t="shared" si="27"/>
        <v>5.0701763115253541E-4</v>
      </c>
      <c r="AA237" s="76">
        <f t="shared" si="27"/>
        <v>2.0218270958885323E-3</v>
      </c>
      <c r="AB237" s="76">
        <f t="shared" si="27"/>
        <v>2.2873035385675925E-3</v>
      </c>
    </row>
    <row r="238" spans="2:28" ht="15.75" thickBot="1">
      <c r="B238" s="656" t="s">
        <v>305</v>
      </c>
      <c r="C238" s="131" t="s">
        <v>311</v>
      </c>
      <c r="D238" s="131" t="s">
        <v>83</v>
      </c>
      <c r="E238" s="104">
        <f>E228</f>
        <v>15.255588794332368</v>
      </c>
      <c r="F238" s="104">
        <f>F228</f>
        <v>93.11</v>
      </c>
      <c r="G238" s="109">
        <v>9.4999999999999998E-3</v>
      </c>
      <c r="H238" s="108">
        <v>1.4249999999999998E-3</v>
      </c>
      <c r="M238" s="74">
        <f>(E238*F238)/1000</f>
        <v>1.4204478726402867</v>
      </c>
      <c r="N238">
        <f>((E238*G238)/1000)*25</f>
        <v>3.6232023386539372E-3</v>
      </c>
      <c r="O238" s="75">
        <f>((E238*H238)/1000)*298</f>
        <v>6.4782857815132398E-3</v>
      </c>
      <c r="Q238" s="114" t="s">
        <v>298</v>
      </c>
      <c r="R238" s="115" t="s">
        <v>311</v>
      </c>
      <c r="S238" s="115" t="s">
        <v>83</v>
      </c>
      <c r="T238" s="116">
        <v>1.43</v>
      </c>
      <c r="U238" s="116">
        <v>1.42</v>
      </c>
      <c r="V238" s="117">
        <v>3.63E-3</v>
      </c>
      <c r="W238" s="118">
        <v>6.4799999999999996E-3</v>
      </c>
      <c r="X238" s="119">
        <v>3.5000000000000003E-2</v>
      </c>
      <c r="Z238" s="76">
        <f t="shared" si="27"/>
        <v>3.1530381995242905E-4</v>
      </c>
      <c r="AA238" s="76">
        <f t="shared" si="27"/>
        <v>-1.8761473168479427E-3</v>
      </c>
      <c r="AB238" s="76">
        <f t="shared" si="27"/>
        <v>-2.6460988980319392E-4</v>
      </c>
    </row>
    <row r="239" spans="2:28" ht="15.75" thickBot="1">
      <c r="B239" s="132" t="s">
        <v>306</v>
      </c>
      <c r="C239" s="133" t="s">
        <v>311</v>
      </c>
      <c r="D239" s="133" t="s">
        <v>83</v>
      </c>
      <c r="E239" s="110"/>
      <c r="F239" s="110"/>
      <c r="G239" s="111"/>
      <c r="H239" s="111"/>
      <c r="Q239" s="120" t="s">
        <v>299</v>
      </c>
      <c r="R239" s="121" t="s">
        <v>311</v>
      </c>
      <c r="S239" s="121" t="s">
        <v>83</v>
      </c>
      <c r="T239" s="122">
        <v>2.2999999999999998</v>
      </c>
      <c r="U239" s="122">
        <v>2.29</v>
      </c>
      <c r="V239" s="123">
        <v>6.0099999999999997E-3</v>
      </c>
      <c r="W239" s="124">
        <v>1.0800000000000001E-2</v>
      </c>
      <c r="X239" s="125">
        <v>3.5000000000000003E-2</v>
      </c>
      <c r="Z239" s="76" t="e">
        <f t="shared" si="27"/>
        <v>#DIV/0!</v>
      </c>
      <c r="AA239" s="76" t="e">
        <f t="shared" si="27"/>
        <v>#DIV/0!</v>
      </c>
      <c r="AB239" s="76" t="e">
        <f t="shared" si="27"/>
        <v>#DIV/0!</v>
      </c>
    </row>
    <row r="240" spans="2:28" ht="15.75" thickBot="1">
      <c r="B240" s="656" t="s">
        <v>90</v>
      </c>
      <c r="C240" s="131" t="s">
        <v>311</v>
      </c>
      <c r="D240" s="131" t="s">
        <v>91</v>
      </c>
      <c r="E240" s="104">
        <f>E230</f>
        <v>38.209810082809859</v>
      </c>
      <c r="F240" s="104">
        <v>69.305668194279477</v>
      </c>
      <c r="G240" s="109">
        <v>2.8499999999999997E-3</v>
      </c>
      <c r="H240" s="109">
        <v>5.6999999999999998E-4</v>
      </c>
      <c r="M240" s="74">
        <f t="shared" ref="M240:M245" si="28">(E240*F240)/1000</f>
        <v>2.6481564193656544</v>
      </c>
      <c r="N240">
        <f t="shared" ref="N240:N245" si="29">((E240*G240)/1000)*25</f>
        <v>2.7224489684002022E-3</v>
      </c>
      <c r="O240" s="75">
        <f t="shared" ref="O240:O245" si="30">((E240*H240)/1000)*298</f>
        <v>6.4903183406660814E-3</v>
      </c>
      <c r="Q240" s="120" t="s">
        <v>90</v>
      </c>
      <c r="R240" s="121" t="s">
        <v>311</v>
      </c>
      <c r="S240" s="121" t="s">
        <v>91</v>
      </c>
      <c r="T240" s="122">
        <v>2.68</v>
      </c>
      <c r="U240" s="122">
        <v>2.67</v>
      </c>
      <c r="V240" s="123">
        <v>2.7399999999999998E-3</v>
      </c>
      <c r="W240" s="124">
        <v>6.5199999999999998E-3</v>
      </c>
      <c r="X240" s="125">
        <v>5.0000000000000001E-3</v>
      </c>
      <c r="Z240" s="76">
        <f t="shared" si="27"/>
        <v>-8.248599091279514E-3</v>
      </c>
      <c r="AA240" s="76">
        <f t="shared" si="27"/>
        <v>-6.4467807490662258E-3</v>
      </c>
      <c r="AB240" s="76">
        <f t="shared" si="27"/>
        <v>-4.573220877001267E-3</v>
      </c>
    </row>
    <row r="241" spans="1:28" ht="15.75" thickBot="1">
      <c r="B241" s="656" t="s">
        <v>92</v>
      </c>
      <c r="C241" s="131" t="s">
        <v>311</v>
      </c>
      <c r="D241" s="131" t="s">
        <v>83</v>
      </c>
      <c r="E241" s="104">
        <f>E231</f>
        <v>50</v>
      </c>
      <c r="F241" s="104">
        <v>60.426666666666662</v>
      </c>
      <c r="G241" s="108">
        <v>9.5E-4</v>
      </c>
      <c r="H241" s="109">
        <v>9.5000000000000005E-5</v>
      </c>
      <c r="M241" s="74">
        <f t="shared" si="28"/>
        <v>3.0213333333333332</v>
      </c>
      <c r="N241">
        <f t="shared" si="29"/>
        <v>1.1875E-3</v>
      </c>
      <c r="O241" s="75">
        <f t="shared" si="30"/>
        <v>1.4155000000000001E-3</v>
      </c>
      <c r="Q241" s="120" t="s">
        <v>308</v>
      </c>
      <c r="R241" s="121" t="s">
        <v>311</v>
      </c>
      <c r="S241" s="121" t="s">
        <v>83</v>
      </c>
      <c r="T241" s="122">
        <v>3.02</v>
      </c>
      <c r="U241" s="122">
        <v>3.02</v>
      </c>
      <c r="V241" s="123">
        <v>1.1900000000000001E-3</v>
      </c>
      <c r="W241" s="124">
        <v>1.42E-3</v>
      </c>
      <c r="X241" s="125">
        <v>5.0000000000000001E-3</v>
      </c>
      <c r="Z241" s="76">
        <f t="shared" si="27"/>
        <v>4.4130626654893639E-4</v>
      </c>
      <c r="AA241" s="76">
        <f t="shared" si="27"/>
        <v>-2.1052631578948335E-3</v>
      </c>
      <c r="AB241" s="76">
        <f t="shared" si="27"/>
        <v>-3.1790886612504039E-3</v>
      </c>
    </row>
    <row r="242" spans="1:28" ht="15.75" thickBot="1">
      <c r="B242" s="656" t="s">
        <v>93</v>
      </c>
      <c r="C242" s="131" t="s">
        <v>311</v>
      </c>
      <c r="D242" s="131" t="s">
        <v>91</v>
      </c>
      <c r="E242" s="104">
        <f>E232</f>
        <v>40.897639248823445</v>
      </c>
      <c r="F242" s="104">
        <f>F232</f>
        <v>73.585659863779085</v>
      </c>
      <c r="G242" s="108">
        <v>2.8500000000000001E-3</v>
      </c>
      <c r="H242" s="109">
        <v>5.6999999999999998E-4</v>
      </c>
      <c r="M242" s="74">
        <f t="shared" si="28"/>
        <v>3.0094797709954637</v>
      </c>
      <c r="N242">
        <f t="shared" si="29"/>
        <v>2.9139567964786704E-3</v>
      </c>
      <c r="O242" s="75">
        <f t="shared" si="30"/>
        <v>6.9468730028051503E-3</v>
      </c>
      <c r="Q242" s="120" t="s">
        <v>309</v>
      </c>
      <c r="R242" s="121" t="s">
        <v>311</v>
      </c>
      <c r="S242" s="121" t="s">
        <v>91</v>
      </c>
      <c r="T242" s="122">
        <v>3.01</v>
      </c>
      <c r="U242" s="122">
        <v>3.01</v>
      </c>
      <c r="V242" s="123">
        <v>2.9099999999999998E-3</v>
      </c>
      <c r="W242" s="124">
        <v>3.47E-3</v>
      </c>
      <c r="X242" s="125">
        <v>5.0000000000000001E-3</v>
      </c>
      <c r="Z242" s="76">
        <f t="shared" si="27"/>
        <v>-1.728634329261491E-4</v>
      </c>
      <c r="AA242" s="76">
        <f t="shared" si="27"/>
        <v>1.3578775373238718E-3</v>
      </c>
      <c r="AB242" s="76">
        <f t="shared" si="27"/>
        <v>0.50049468320511792</v>
      </c>
    </row>
    <row r="243" spans="1:28" ht="15.75" thickBot="1">
      <c r="B243" s="656" t="s">
        <v>94</v>
      </c>
      <c r="C243" s="131" t="s">
        <v>311</v>
      </c>
      <c r="D243" s="131" t="s">
        <v>91</v>
      </c>
      <c r="E243" s="104">
        <f>E233</f>
        <v>40.318996044878318</v>
      </c>
      <c r="F243" s="104">
        <f>F233</f>
        <v>72.302842568270648</v>
      </c>
      <c r="G243" s="108">
        <v>2.8500000000000001E-3</v>
      </c>
      <c r="H243" s="109">
        <v>5.6999999999999998E-4</v>
      </c>
      <c r="M243" s="74">
        <f>(E243*F243)/1000</f>
        <v>2.915178023543564</v>
      </c>
      <c r="N243">
        <f t="shared" si="29"/>
        <v>2.8727284681975807E-3</v>
      </c>
      <c r="O243" s="75">
        <f t="shared" si="30"/>
        <v>6.848584668183031E-3</v>
      </c>
      <c r="Q243" s="120" t="s">
        <v>310</v>
      </c>
      <c r="R243" s="121" t="s">
        <v>311</v>
      </c>
      <c r="S243" s="121" t="s">
        <v>91</v>
      </c>
      <c r="T243" s="122">
        <v>2.95</v>
      </c>
      <c r="U243" s="122">
        <v>2.95</v>
      </c>
      <c r="V243" s="123">
        <v>2.8800000000000002E-3</v>
      </c>
      <c r="W243" s="124">
        <v>3.4299999999999999E-3</v>
      </c>
      <c r="X243" s="125">
        <v>5.0000000000000001E-3</v>
      </c>
      <c r="Z243" s="76">
        <f t="shared" si="27"/>
        <v>-1.1945060018704469E-2</v>
      </c>
      <c r="AA243" s="76">
        <f t="shared" si="27"/>
        <v>-2.5312283715355145E-3</v>
      </c>
      <c r="AB243" s="76">
        <f t="shared" si="27"/>
        <v>0.49916659190401763</v>
      </c>
    </row>
    <row r="244" spans="1:28" ht="15.75" customHeight="1" thickBot="1">
      <c r="B244" s="656" t="s">
        <v>313</v>
      </c>
      <c r="C244" s="131" t="s">
        <v>311</v>
      </c>
      <c r="D244" s="131" t="s">
        <v>83</v>
      </c>
      <c r="E244" s="104">
        <v>9.6300000000000008</v>
      </c>
      <c r="F244" s="104">
        <v>89.466666666666669</v>
      </c>
      <c r="G244" s="104">
        <v>2.4E-2</v>
      </c>
      <c r="H244" s="108">
        <v>3.2000000000000002E-3</v>
      </c>
      <c r="M244" s="74">
        <f t="shared" si="28"/>
        <v>0.86156400000000011</v>
      </c>
      <c r="N244">
        <f t="shared" si="29"/>
        <v>5.7780000000000001E-3</v>
      </c>
      <c r="O244" s="75">
        <f t="shared" si="30"/>
        <v>9.183168000000002E-3</v>
      </c>
      <c r="Q244" s="120" t="s">
        <v>313</v>
      </c>
      <c r="R244" s="121" t="s">
        <v>314</v>
      </c>
      <c r="S244" s="121" t="s">
        <v>83</v>
      </c>
      <c r="T244" s="123">
        <v>1.4999999999999999E-2</v>
      </c>
      <c r="U244" s="122">
        <v>1</v>
      </c>
      <c r="V244" s="123">
        <v>5.7800000000000004E-3</v>
      </c>
      <c r="W244" s="124">
        <v>9.1800000000000007E-3</v>
      </c>
      <c r="X244" s="125">
        <v>0.36299999999999999</v>
      </c>
      <c r="Z244" s="76">
        <f t="shared" si="27"/>
        <v>-0.16067987984641868</v>
      </c>
      <c r="AA244" s="76">
        <f t="shared" si="27"/>
        <v>-3.4614053305646685E-4</v>
      </c>
      <c r="AB244" s="76">
        <f t="shared" si="27"/>
        <v>3.4497898764362234E-4</v>
      </c>
    </row>
    <row r="245" spans="1:28" ht="30.75" thickBot="1">
      <c r="B245" s="656" t="s">
        <v>313</v>
      </c>
      <c r="C245" s="131" t="s">
        <v>315</v>
      </c>
      <c r="D245" s="131" t="s">
        <v>83</v>
      </c>
      <c r="E245" s="104">
        <v>9.6300000000000008</v>
      </c>
      <c r="F245" s="104">
        <v>89.466666666666669</v>
      </c>
      <c r="G245" s="126">
        <v>0.24</v>
      </c>
      <c r="H245" s="108">
        <v>3.2000000000000002E-3</v>
      </c>
      <c r="M245" s="74">
        <f t="shared" si="28"/>
        <v>0.86156400000000011</v>
      </c>
      <c r="N245">
        <f t="shared" si="29"/>
        <v>5.7779999999999998E-2</v>
      </c>
      <c r="O245" s="75">
        <f t="shared" si="30"/>
        <v>9.183168000000002E-3</v>
      </c>
      <c r="Q245" s="120" t="s">
        <v>313</v>
      </c>
      <c r="R245" s="121" t="s">
        <v>316</v>
      </c>
      <c r="S245" s="121" t="s">
        <v>83</v>
      </c>
      <c r="T245" s="123">
        <v>6.7000000000000004E-2</v>
      </c>
      <c r="U245" s="122">
        <v>1</v>
      </c>
      <c r="V245" s="123">
        <v>5.7799999999999997E-2</v>
      </c>
      <c r="W245" s="124">
        <v>9.1800000000000007E-3</v>
      </c>
      <c r="X245" s="125">
        <v>0.437</v>
      </c>
      <c r="Z245" s="76">
        <f t="shared" si="27"/>
        <v>-0.16067987984641868</v>
      </c>
      <c r="AA245" s="76">
        <f t="shared" si="27"/>
        <v>-3.4614053305640684E-4</v>
      </c>
      <c r="AB245" s="76">
        <f t="shared" si="27"/>
        <v>3.4497898764362234E-4</v>
      </c>
    </row>
    <row r="246" spans="1:28" ht="14.65" customHeight="1" thickBot="1">
      <c r="B246" s="129" t="s">
        <v>317</v>
      </c>
      <c r="C246" s="130"/>
      <c r="D246" s="134"/>
      <c r="E246" s="83"/>
      <c r="F246" s="83"/>
      <c r="G246" s="83"/>
      <c r="H246" s="83"/>
    </row>
    <row r="247" spans="1:28" ht="15.75" thickBot="1">
      <c r="B247" s="656" t="s">
        <v>113</v>
      </c>
      <c r="C247" s="131" t="s">
        <v>318</v>
      </c>
      <c r="D247" s="131" t="s">
        <v>91</v>
      </c>
      <c r="E247" s="104">
        <v>35.172033390297237</v>
      </c>
      <c r="F247" s="104">
        <v>66.701134834277795</v>
      </c>
      <c r="G247" s="104">
        <v>3.1349999999999996E-2</v>
      </c>
      <c r="H247" s="108">
        <v>7.6E-3</v>
      </c>
      <c r="M247" s="74">
        <f>(E247*F247)/1000</f>
        <v>2.3460145415619369</v>
      </c>
      <c r="N247">
        <f>((E247*G247)/1000)*25</f>
        <v>2.7566081169645457E-2</v>
      </c>
      <c r="O247" s="75">
        <f>((E247*H247)/1000)*298</f>
        <v>7.9657621222345196E-2</v>
      </c>
      <c r="Q247" t="s">
        <v>319</v>
      </c>
      <c r="R247" t="s">
        <v>91</v>
      </c>
      <c r="T247">
        <v>2.44</v>
      </c>
      <c r="U247">
        <v>2.33</v>
      </c>
      <c r="V247">
        <v>2.46E-2</v>
      </c>
      <c r="W247">
        <v>7.9299999999999995E-2</v>
      </c>
      <c r="X247">
        <v>1.8</v>
      </c>
      <c r="Z247" s="76">
        <f t="shared" ref="Z247:AB250" si="31">((M247-U247)/M247)</f>
        <v>6.8262754890149194E-3</v>
      </c>
      <c r="AA247" s="76">
        <f t="shared" si="31"/>
        <v>0.10759894202559242</v>
      </c>
      <c r="AB247" s="76">
        <f t="shared" si="31"/>
        <v>4.4894790587203968E-3</v>
      </c>
    </row>
    <row r="248" spans="1:28" ht="15.75" customHeight="1" thickBot="1">
      <c r="B248" s="656" t="s">
        <v>114</v>
      </c>
      <c r="C248" s="131" t="s">
        <v>318</v>
      </c>
      <c r="D248" s="131" t="s">
        <v>91</v>
      </c>
      <c r="E248" s="104">
        <v>35.38298791459323</v>
      </c>
      <c r="F248" s="104">
        <v>66.121855301941835</v>
      </c>
      <c r="G248" s="104">
        <v>3.1349999999999996E-2</v>
      </c>
      <c r="H248" s="108">
        <v>7.6E-3</v>
      </c>
      <c r="M248" s="74">
        <f>(E248*F248)/1000</f>
        <v>2.3395888070390902</v>
      </c>
      <c r="N248">
        <f>((E248*G248)/1000)*25</f>
        <v>2.7731416778062439E-2</v>
      </c>
      <c r="O248" s="75">
        <f>((E248*H248)/1000)*298</f>
        <v>8.0135391028970743E-2</v>
      </c>
      <c r="Q248" t="s">
        <v>320</v>
      </c>
      <c r="R248" t="s">
        <v>91</v>
      </c>
      <c r="T248">
        <v>2.4300000000000002</v>
      </c>
      <c r="U248">
        <v>2.33</v>
      </c>
      <c r="V248">
        <v>2.47E-2</v>
      </c>
      <c r="W248">
        <v>7.9699999999999993E-2</v>
      </c>
      <c r="X248">
        <v>1.8</v>
      </c>
      <c r="Z248" s="76">
        <f t="shared" si="31"/>
        <v>4.098500988823521E-3</v>
      </c>
      <c r="AA248" s="76">
        <f t="shared" si="31"/>
        <v>0.109313447716112</v>
      </c>
      <c r="AB248" s="76">
        <f t="shared" si="31"/>
        <v>5.4331927925995397E-3</v>
      </c>
    </row>
    <row r="249" spans="1:28" ht="15.75" thickBot="1">
      <c r="B249" s="656" t="s">
        <v>90</v>
      </c>
      <c r="C249" s="131" t="s">
        <v>318</v>
      </c>
      <c r="D249" s="131" t="s">
        <v>91</v>
      </c>
      <c r="E249" s="104">
        <v>38.209810082809859</v>
      </c>
      <c r="F249" s="104">
        <v>69.305668194279477</v>
      </c>
      <c r="G249" s="108">
        <v>3.7049999999999995E-3</v>
      </c>
      <c r="H249" s="108">
        <v>3.7049999999999995E-3</v>
      </c>
      <c r="M249" s="74">
        <f>(E249*F249)/1000</f>
        <v>2.6481564193656544</v>
      </c>
      <c r="N249">
        <f>((E249*G249)/1000)*25</f>
        <v>3.5391836589202625E-3</v>
      </c>
      <c r="O249" s="75">
        <f>((E249*H249)/1000)*298</f>
        <v>4.2187069214329527E-2</v>
      </c>
      <c r="Q249" t="s">
        <v>90</v>
      </c>
      <c r="R249" t="s">
        <v>91</v>
      </c>
      <c r="T249">
        <v>2.72</v>
      </c>
      <c r="U249">
        <v>2.67</v>
      </c>
      <c r="V249">
        <v>3.5599999999999998E-3</v>
      </c>
      <c r="W249">
        <v>7.9399999999999998E-2</v>
      </c>
      <c r="X249">
        <v>1.8</v>
      </c>
      <c r="Z249" s="76">
        <f t="shared" si="31"/>
        <v>-8.248599091279514E-3</v>
      </c>
      <c r="AA249" s="76">
        <f t="shared" si="31"/>
        <v>-5.8816786823908231E-3</v>
      </c>
      <c r="AB249" s="76">
        <f t="shared" si="31"/>
        <v>-0.88209329253501434</v>
      </c>
    </row>
    <row r="250" spans="1:28" ht="15.75" customHeight="1" thickBot="1">
      <c r="B250" s="656" t="s">
        <v>92</v>
      </c>
      <c r="C250" s="131" t="s">
        <v>318</v>
      </c>
      <c r="D250" s="131" t="s">
        <v>91</v>
      </c>
      <c r="E250" s="104">
        <v>26.54</v>
      </c>
      <c r="F250" s="104">
        <v>60.426666666666662</v>
      </c>
      <c r="G250" s="104">
        <v>5.8900000000000001E-2</v>
      </c>
      <c r="H250" s="109">
        <v>1.9000000000000001E-4</v>
      </c>
      <c r="M250" s="74">
        <f>(E250*F250)/1000</f>
        <v>1.6037237333333332</v>
      </c>
      <c r="N250">
        <f>((E250*G250)/1000)*25</f>
        <v>3.9080150000000001E-2</v>
      </c>
      <c r="O250" s="75">
        <f>((E250*H250)/1000)*298</f>
        <v>1.5026948000000002E-3</v>
      </c>
      <c r="Q250" t="s">
        <v>92</v>
      </c>
      <c r="R250" t="s">
        <v>91</v>
      </c>
      <c r="T250">
        <v>1.64</v>
      </c>
      <c r="U250">
        <v>1.6</v>
      </c>
      <c r="V250">
        <v>3.9100000000000003E-2</v>
      </c>
      <c r="W250">
        <v>1.5E-3</v>
      </c>
      <c r="X250">
        <v>1.3</v>
      </c>
      <c r="Z250" s="76">
        <f t="shared" si="31"/>
        <v>2.3219294295740863E-3</v>
      </c>
      <c r="AA250" s="76">
        <f t="shared" si="31"/>
        <v>-5.0793049668442446E-4</v>
      </c>
      <c r="AB250" s="76">
        <f t="shared" si="31"/>
        <v>1.7933115892862538E-3</v>
      </c>
    </row>
    <row r="251" spans="1:28" ht="15.75" thickBot="1">
      <c r="B251" s="656" t="s">
        <v>321</v>
      </c>
      <c r="C251" s="131" t="s">
        <v>318</v>
      </c>
      <c r="D251" s="131" t="s">
        <v>91</v>
      </c>
      <c r="E251" s="104" t="s">
        <v>322</v>
      </c>
      <c r="F251" s="104" t="s">
        <v>322</v>
      </c>
      <c r="G251" s="107" t="s">
        <v>322</v>
      </c>
      <c r="H251" s="107" t="s">
        <v>322</v>
      </c>
      <c r="M251" s="74" t="s">
        <v>127</v>
      </c>
      <c r="N251" t="s">
        <v>127</v>
      </c>
      <c r="O251" s="75" t="s">
        <v>127</v>
      </c>
      <c r="Z251" s="76" t="s">
        <v>127</v>
      </c>
      <c r="AA251" s="76" t="s">
        <v>127</v>
      </c>
      <c r="AB251" s="76" t="s">
        <v>127</v>
      </c>
    </row>
    <row r="252" spans="1:28" ht="15.75" thickBot="1">
      <c r="B252" s="656" t="s">
        <v>93</v>
      </c>
      <c r="C252" s="131" t="s">
        <v>318</v>
      </c>
      <c r="D252" s="131" t="s">
        <v>91</v>
      </c>
      <c r="E252" s="104">
        <f>E232</f>
        <v>40.897639248823445</v>
      </c>
      <c r="F252" s="104">
        <f>F232</f>
        <v>73.585659863779085</v>
      </c>
      <c r="G252" s="108">
        <v>6.6499999999999997E-3</v>
      </c>
      <c r="H252" s="108">
        <v>1.9E-3</v>
      </c>
      <c r="M252" s="74">
        <f>(E252*F252)/1000</f>
        <v>3.0094797709954637</v>
      </c>
      <c r="N252">
        <f>((E252*G252)/1000)*25</f>
        <v>6.7992325251168984E-3</v>
      </c>
      <c r="O252" s="75">
        <f>((E252*H252)/1000)*298</f>
        <v>2.3156243342683833E-2</v>
      </c>
      <c r="Q252" t="s">
        <v>309</v>
      </c>
      <c r="R252" t="s">
        <v>91</v>
      </c>
      <c r="T252">
        <v>3.04</v>
      </c>
      <c r="U252">
        <v>3.01</v>
      </c>
      <c r="V252">
        <v>6.7799999999999996E-3</v>
      </c>
      <c r="W252">
        <v>2.3099999999999999E-2</v>
      </c>
      <c r="X252">
        <v>0.6</v>
      </c>
      <c r="Z252" s="76">
        <f t="shared" ref="Z252:AB253" si="32">((M252-U252)/M252)</f>
        <v>-1.728634329261491E-4</v>
      </c>
      <c r="AA252" s="76">
        <f t="shared" si="32"/>
        <v>2.8286317677550217E-3</v>
      </c>
      <c r="AB252" s="76">
        <f t="shared" si="32"/>
        <v>2.4288630004228916E-3</v>
      </c>
    </row>
    <row r="253" spans="1:28" ht="15.75" thickBot="1">
      <c r="B253" s="656" t="s">
        <v>94</v>
      </c>
      <c r="C253" s="131" t="s">
        <v>318</v>
      </c>
      <c r="D253" s="131" t="s">
        <v>91</v>
      </c>
      <c r="E253" s="104">
        <f>E233</f>
        <v>40.318996044878318</v>
      </c>
      <c r="F253" s="104">
        <f>F233</f>
        <v>72.302842568270648</v>
      </c>
      <c r="G253" s="108">
        <v>6.6499999999999997E-3</v>
      </c>
      <c r="H253" s="108">
        <v>1.9E-3</v>
      </c>
      <c r="M253" s="74">
        <f>(E253*F253)/1000</f>
        <v>2.915178023543564</v>
      </c>
      <c r="N253">
        <f>((E253*G253)/1000)*25</f>
        <v>6.7030330924610212E-3</v>
      </c>
      <c r="O253" s="75">
        <f>((E253*H253)/1000)*298</f>
        <v>2.28286155606101E-2</v>
      </c>
      <c r="Q253" t="s">
        <v>310</v>
      </c>
      <c r="R253" t="s">
        <v>91</v>
      </c>
      <c r="T253">
        <v>2.98</v>
      </c>
      <c r="U253">
        <v>2.95</v>
      </c>
      <c r="V253">
        <v>6.7200000000000003E-3</v>
      </c>
      <c r="W253">
        <v>2.29E-2</v>
      </c>
      <c r="X253">
        <v>0.6</v>
      </c>
      <c r="Z253" s="76">
        <f t="shared" si="32"/>
        <v>-1.1945060018704469E-2</v>
      </c>
      <c r="AA253" s="76">
        <f t="shared" si="32"/>
        <v>-2.5312283715355579E-3</v>
      </c>
      <c r="AB253" s="76">
        <f t="shared" si="32"/>
        <v>-3.1269719006995459E-3</v>
      </c>
    </row>
    <row r="254" spans="1:28" ht="15.75" thickBot="1">
      <c r="A254" t="s">
        <v>323</v>
      </c>
      <c r="B254" s="656" t="s">
        <v>324</v>
      </c>
      <c r="C254" s="656" t="s">
        <v>325</v>
      </c>
      <c r="D254" s="131" t="s">
        <v>91</v>
      </c>
      <c r="E254" s="84">
        <v>46.29</v>
      </c>
      <c r="F254" s="84">
        <v>68.22</v>
      </c>
      <c r="G254" s="84">
        <v>0.48</v>
      </c>
      <c r="H254" s="84">
        <v>1.9</v>
      </c>
      <c r="I254" s="85"/>
      <c r="J254" s="85"/>
      <c r="K254" s="85"/>
    </row>
    <row r="255" spans="1:28" ht="15.75" thickBot="1">
      <c r="B255" s="656" t="s">
        <v>326</v>
      </c>
      <c r="C255" s="656" t="s">
        <v>325</v>
      </c>
      <c r="D255" s="131" t="s">
        <v>91</v>
      </c>
      <c r="E255" s="84">
        <v>47.3</v>
      </c>
      <c r="F255" s="84">
        <v>65.89</v>
      </c>
      <c r="G255" s="84">
        <v>0.48</v>
      </c>
      <c r="H255" s="84">
        <v>1.9</v>
      </c>
      <c r="I255" s="85"/>
      <c r="J255" s="85"/>
      <c r="K255" s="85"/>
    </row>
    <row r="256" spans="1:28" ht="15.75" thickBot="1">
      <c r="B256" s="129" t="s">
        <v>327</v>
      </c>
      <c r="C256" s="130"/>
      <c r="D256" s="134"/>
      <c r="E256" s="83"/>
      <c r="F256" s="83"/>
      <c r="G256" s="83"/>
      <c r="H256" s="83"/>
      <c r="I256" s="85"/>
      <c r="J256" s="85"/>
      <c r="K256" s="85"/>
    </row>
    <row r="257" spans="1:27" ht="15.75" thickBot="1">
      <c r="B257" s="656" t="s">
        <v>107</v>
      </c>
      <c r="C257" s="656" t="s">
        <v>328</v>
      </c>
      <c r="D257" s="656" t="s">
        <v>91</v>
      </c>
      <c r="E257" s="84">
        <v>23.6</v>
      </c>
      <c r="F257" s="84">
        <v>64.2</v>
      </c>
      <c r="G257" s="84">
        <v>2.8500000000000001E-3</v>
      </c>
      <c r="H257" s="84">
        <v>5.6999999999999998E-4</v>
      </c>
      <c r="I257" s="85"/>
      <c r="J257" s="85"/>
      <c r="K257" s="85"/>
    </row>
    <row r="258" spans="1:27" ht="15.75" thickBot="1">
      <c r="B258" s="656" t="s">
        <v>105</v>
      </c>
      <c r="C258" s="656" t="s">
        <v>328</v>
      </c>
      <c r="D258" s="656" t="s">
        <v>91</v>
      </c>
      <c r="E258" s="84">
        <v>36.42</v>
      </c>
      <c r="F258" s="84">
        <v>67.260000000000005</v>
      </c>
      <c r="G258" s="84">
        <v>2.8500000000000001E-3</v>
      </c>
      <c r="H258" s="84">
        <v>5.6999999999999998E-4</v>
      </c>
      <c r="I258" s="85"/>
      <c r="J258" s="85"/>
      <c r="K258" s="85"/>
    </row>
    <row r="259" spans="1:27">
      <c r="B259" s="85"/>
      <c r="C259" s="85"/>
      <c r="D259" s="85"/>
      <c r="E259" s="85"/>
      <c r="F259" s="85"/>
      <c r="G259" s="85"/>
      <c r="H259" s="85"/>
      <c r="I259" s="85"/>
      <c r="J259" s="85"/>
      <c r="K259" s="85"/>
    </row>
    <row r="260" spans="1:27">
      <c r="B260" s="85" t="s">
        <v>329</v>
      </c>
      <c r="C260" s="85"/>
      <c r="D260" s="85"/>
      <c r="E260" s="85" t="s">
        <v>330</v>
      </c>
      <c r="F260" s="85" t="s">
        <v>330</v>
      </c>
      <c r="G260" s="85" t="s">
        <v>331</v>
      </c>
      <c r="H260" s="85" t="s">
        <v>331</v>
      </c>
      <c r="I260" s="85"/>
      <c r="J260" s="85"/>
      <c r="K260" s="85"/>
    </row>
    <row r="261" spans="1:27">
      <c r="B261" s="85" t="s">
        <v>332</v>
      </c>
      <c r="C261" s="85"/>
      <c r="D261" s="85"/>
      <c r="E261" s="85"/>
      <c r="F261" s="85"/>
      <c r="G261" s="85"/>
      <c r="H261" s="85"/>
      <c r="I261" s="85"/>
      <c r="J261" s="85"/>
      <c r="K261" s="85"/>
    </row>
    <row r="263" spans="1:27">
      <c r="M263" s="85"/>
    </row>
    <row r="264" spans="1:27">
      <c r="M264" s="85"/>
      <c r="N264" s="85"/>
      <c r="O264" s="86"/>
    </row>
    <row r="265" spans="1:27">
      <c r="A265" s="1834" t="s">
        <v>333</v>
      </c>
      <c r="B265" s="1834"/>
      <c r="C265" s="1834"/>
      <c r="D265" s="1834"/>
      <c r="E265" s="1834"/>
      <c r="F265" s="1834"/>
      <c r="G265" s="1834"/>
      <c r="H265" s="1834"/>
      <c r="I265" s="1834"/>
      <c r="J265" s="1834"/>
      <c r="K265" s="1834"/>
      <c r="L265" s="1834"/>
      <c r="M265" s="85"/>
      <c r="N265" s="85"/>
      <c r="O265" s="1834" t="s">
        <v>334</v>
      </c>
      <c r="P265" s="1834"/>
      <c r="Q265" s="1834"/>
      <c r="R265" s="1834"/>
      <c r="S265" s="1834"/>
      <c r="T265" s="1834"/>
      <c r="U265" s="1834"/>
      <c r="V265" s="1834"/>
      <c r="W265" s="1834"/>
      <c r="X265" s="1834"/>
      <c r="Y265" s="1834"/>
      <c r="Z265" s="1834"/>
    </row>
    <row r="266" spans="1:27" ht="15.75" thickBot="1">
      <c r="M266" s="85"/>
      <c r="N266" s="85"/>
      <c r="O266" s="86"/>
    </row>
    <row r="267" spans="1:27" ht="18.75" thickBot="1">
      <c r="B267" s="87"/>
      <c r="C267" s="88" t="s">
        <v>335</v>
      </c>
      <c r="D267" s="88" t="s">
        <v>336</v>
      </c>
      <c r="E267" s="88" t="s">
        <v>337</v>
      </c>
      <c r="F267" s="88" t="s">
        <v>338</v>
      </c>
      <c r="G267" s="88" t="s">
        <v>339</v>
      </c>
      <c r="H267" s="89" t="s">
        <v>340</v>
      </c>
      <c r="I267" s="90"/>
      <c r="J267" s="90"/>
      <c r="K267" s="90"/>
      <c r="O267" s="86"/>
      <c r="P267" s="1848" t="s">
        <v>341</v>
      </c>
      <c r="Q267" s="1848"/>
      <c r="R267" s="1848"/>
      <c r="S267" s="1848"/>
      <c r="T267" t="s">
        <v>342</v>
      </c>
      <c r="V267" s="1848" t="s">
        <v>343</v>
      </c>
      <c r="W267" s="1848"/>
      <c r="X267" s="1848" t="s">
        <v>344</v>
      </c>
      <c r="Y267" s="1848"/>
      <c r="Z267" t="s">
        <v>345</v>
      </c>
    </row>
    <row r="268" spans="1:27" ht="15.75" thickBot="1">
      <c r="B268" s="1837" t="s">
        <v>324</v>
      </c>
      <c r="C268" s="91" t="s">
        <v>346</v>
      </c>
      <c r="D268" s="91">
        <v>68.22</v>
      </c>
      <c r="E268" s="91">
        <v>0.48</v>
      </c>
      <c r="F268" s="91">
        <v>1.9</v>
      </c>
      <c r="G268" s="92">
        <v>0.5</v>
      </c>
      <c r="H268" t="s">
        <v>347</v>
      </c>
      <c r="P268" t="s">
        <v>348</v>
      </c>
      <c r="Q268" t="s">
        <v>349</v>
      </c>
      <c r="R268" t="s">
        <v>105</v>
      </c>
      <c r="S268" t="s">
        <v>107</v>
      </c>
      <c r="T268" t="s">
        <v>350</v>
      </c>
      <c r="U268" t="s">
        <v>349</v>
      </c>
      <c r="V268" t="s">
        <v>350</v>
      </c>
      <c r="W268" t="s">
        <v>349</v>
      </c>
      <c r="X268" t="s">
        <v>351</v>
      </c>
      <c r="Y268" t="s">
        <v>349</v>
      </c>
      <c r="Z268" t="s">
        <v>351</v>
      </c>
      <c r="AA268" t="s">
        <v>349</v>
      </c>
    </row>
    <row r="269" spans="1:27" ht="15.75" thickBot="1">
      <c r="B269" s="1839"/>
      <c r="C269" s="93" t="s">
        <v>91</v>
      </c>
      <c r="D269" s="93">
        <v>2.5300000000000001E-3</v>
      </c>
      <c r="E269" s="93"/>
      <c r="F269" s="93"/>
      <c r="G269" s="93"/>
      <c r="H269" s="94"/>
      <c r="O269">
        <v>2016</v>
      </c>
      <c r="P269">
        <v>68.22</v>
      </c>
      <c r="Q269">
        <v>65.89</v>
      </c>
      <c r="R269">
        <v>64.2</v>
      </c>
      <c r="S269">
        <v>67.260000000000005</v>
      </c>
      <c r="T269">
        <v>86.11</v>
      </c>
      <c r="U269">
        <v>85</v>
      </c>
      <c r="V269" s="424">
        <v>46.27</v>
      </c>
      <c r="W269">
        <v>47.3</v>
      </c>
      <c r="X269" s="424">
        <f>V269*0.79</f>
        <v>36.553300000000007</v>
      </c>
      <c r="Y269">
        <v>33.869999999999997</v>
      </c>
      <c r="Z269">
        <v>2.5299999999999998</v>
      </c>
      <c r="AA269">
        <v>2.23</v>
      </c>
    </row>
    <row r="270" spans="1:27">
      <c r="B270" t="s">
        <v>116</v>
      </c>
      <c r="C270" s="90" t="s">
        <v>352</v>
      </c>
      <c r="D270">
        <v>65.89</v>
      </c>
      <c r="E270">
        <v>0.48</v>
      </c>
      <c r="F270">
        <v>1.9</v>
      </c>
      <c r="H270" t="s">
        <v>353</v>
      </c>
    </row>
    <row r="271" spans="1:27">
      <c r="A271" s="1834" t="s">
        <v>354</v>
      </c>
      <c r="B271" s="1834"/>
      <c r="C271" s="90"/>
    </row>
    <row r="272" spans="1:27">
      <c r="B272" s="1836" t="s">
        <v>69</v>
      </c>
      <c r="C272" s="1836"/>
      <c r="D272" s="1833" t="s">
        <v>70</v>
      </c>
      <c r="E272" s="1833" t="s">
        <v>355</v>
      </c>
      <c r="F272" s="1833" t="s">
        <v>356</v>
      </c>
      <c r="G272" s="1833" t="s">
        <v>357</v>
      </c>
      <c r="H272" s="1833" t="s">
        <v>358</v>
      </c>
      <c r="I272" s="1833" t="s">
        <v>75</v>
      </c>
      <c r="J272" s="1833"/>
      <c r="K272" s="1833"/>
      <c r="L272" s="1833"/>
      <c r="M272" s="1833" t="s">
        <v>76</v>
      </c>
      <c r="O272" s="4" t="s">
        <v>359</v>
      </c>
    </row>
    <row r="273" spans="1:23">
      <c r="B273" s="1836"/>
      <c r="C273" s="1836"/>
      <c r="D273" s="1833"/>
      <c r="E273" s="1833"/>
      <c r="F273" s="1833"/>
      <c r="G273" s="1833"/>
      <c r="H273" s="1833"/>
      <c r="I273" s="1577" t="s">
        <v>360</v>
      </c>
      <c r="J273" s="1577" t="s">
        <v>356</v>
      </c>
      <c r="K273" s="1577" t="s">
        <v>357</v>
      </c>
      <c r="L273" s="1577" t="s">
        <v>361</v>
      </c>
      <c r="M273" s="1833"/>
      <c r="O273" s="4"/>
    </row>
    <row r="274" spans="1:23">
      <c r="B274" s="1577" t="s">
        <v>324</v>
      </c>
      <c r="C274" s="1577"/>
      <c r="D274" s="1577" t="s">
        <v>97</v>
      </c>
      <c r="E274" s="1577"/>
      <c r="F274" s="1577">
        <f>D268</f>
        <v>68.22</v>
      </c>
      <c r="G274" s="1577">
        <f>E268</f>
        <v>0.48</v>
      </c>
      <c r="H274" s="1577">
        <f>F268</f>
        <v>1.9</v>
      </c>
      <c r="I274" s="1683">
        <v>0.5</v>
      </c>
      <c r="J274" s="1683">
        <v>0.5</v>
      </c>
      <c r="K274" s="1683">
        <v>0.5</v>
      </c>
      <c r="L274" s="1683">
        <v>0.5</v>
      </c>
      <c r="M274" s="1577"/>
      <c r="O274" s="4" t="s">
        <v>362</v>
      </c>
    </row>
    <row r="275" spans="1:23">
      <c r="B275" s="1577"/>
      <c r="C275" s="1577"/>
      <c r="D275" s="1577" t="s">
        <v>91</v>
      </c>
      <c r="E275" s="1577"/>
      <c r="F275" s="1577">
        <v>2.5300000000000001E-3</v>
      </c>
      <c r="G275" s="1577"/>
      <c r="H275" s="1577"/>
      <c r="I275" s="1683"/>
      <c r="J275" s="1683"/>
      <c r="K275" s="1683"/>
      <c r="L275" s="1683"/>
      <c r="M275" s="1577"/>
    </row>
    <row r="276" spans="1:23">
      <c r="B276" s="1577" t="s">
        <v>116</v>
      </c>
      <c r="C276" s="1577"/>
      <c r="D276" s="1577" t="s">
        <v>97</v>
      </c>
      <c r="E276" s="1577"/>
      <c r="F276" s="901">
        <f>D270</f>
        <v>65.89</v>
      </c>
      <c r="G276" s="902">
        <f>E269</f>
        <v>0</v>
      </c>
      <c r="H276" s="902">
        <f>F269</f>
        <v>0</v>
      </c>
      <c r="I276" s="1683">
        <v>0.5</v>
      </c>
      <c r="J276" s="1683">
        <v>0.5</v>
      </c>
      <c r="K276" s="1683">
        <v>0.5</v>
      </c>
      <c r="L276" s="1577"/>
      <c r="M276" s="1577" t="s">
        <v>363</v>
      </c>
    </row>
    <row r="278" spans="1:23" ht="15.75" thickBot="1">
      <c r="A278" s="1834" t="s">
        <v>364</v>
      </c>
      <c r="B278" s="1834"/>
      <c r="C278" s="1834"/>
      <c r="D278" s="1834"/>
      <c r="E278" s="1834"/>
      <c r="F278" s="1834"/>
      <c r="G278" s="1834"/>
      <c r="H278" s="1834"/>
      <c r="I278" s="1834"/>
      <c r="J278" s="1834"/>
      <c r="K278" s="1834"/>
      <c r="L278" s="1834"/>
    </row>
    <row r="279" spans="1:23" ht="15.75" thickBot="1">
      <c r="P279" s="1840" t="s">
        <v>365</v>
      </c>
      <c r="Q279" s="1841"/>
      <c r="R279" s="95"/>
      <c r="S279" s="95"/>
      <c r="T279" s="95"/>
      <c r="U279" s="95"/>
      <c r="V279" s="95"/>
      <c r="W279" s="96"/>
    </row>
    <row r="280" spans="1:23" ht="45.75" thickBot="1">
      <c r="B280" s="87"/>
      <c r="C280" s="88" t="s">
        <v>335</v>
      </c>
      <c r="D280" s="88" t="s">
        <v>366</v>
      </c>
      <c r="E280" s="88" t="s">
        <v>367</v>
      </c>
      <c r="F280" s="88" t="s">
        <v>336</v>
      </c>
      <c r="G280" s="88" t="s">
        <v>368</v>
      </c>
      <c r="H280" s="88" t="s">
        <v>369</v>
      </c>
      <c r="I280" s="88"/>
      <c r="J280" s="88"/>
      <c r="K280" s="88"/>
      <c r="L280" s="88" t="s">
        <v>339</v>
      </c>
      <c r="P280" s="97"/>
      <c r="Q280" s="1" t="s">
        <v>370</v>
      </c>
      <c r="R280" t="s">
        <v>371</v>
      </c>
      <c r="S280" t="s">
        <v>372</v>
      </c>
      <c r="T280" t="s">
        <v>373</v>
      </c>
      <c r="U280" t="s">
        <v>374</v>
      </c>
      <c r="V280" t="s">
        <v>375</v>
      </c>
      <c r="W280" s="98" t="s">
        <v>376</v>
      </c>
    </row>
    <row r="281" spans="1:23" ht="30.75" thickBot="1">
      <c r="B281" s="1837" t="s">
        <v>377</v>
      </c>
      <c r="C281" s="91" t="s">
        <v>378</v>
      </c>
      <c r="D281" s="91" t="s">
        <v>48</v>
      </c>
      <c r="E281" s="91" t="s">
        <v>48</v>
      </c>
      <c r="F281" s="91">
        <v>64.2</v>
      </c>
      <c r="G281" s="91">
        <v>18</v>
      </c>
      <c r="H281" s="91" t="s">
        <v>379</v>
      </c>
      <c r="I281" s="91"/>
      <c r="J281" s="91"/>
      <c r="K281" s="91"/>
      <c r="L281" s="92" t="s">
        <v>380</v>
      </c>
      <c r="P281" s="97" t="s">
        <v>105</v>
      </c>
      <c r="Q281">
        <f>D283</f>
        <v>23.6</v>
      </c>
      <c r="R281">
        <f>F287</f>
        <v>64.2</v>
      </c>
      <c r="S281">
        <f>G287/1000</f>
        <v>2.8500000000000001E-3</v>
      </c>
      <c r="T281">
        <f>H287/1000</f>
        <v>5.6999999999999998E-4</v>
      </c>
      <c r="U281" s="99">
        <f>($Q$281*R281)/1000</f>
        <v>1.51512</v>
      </c>
      <c r="V281" s="99">
        <f>($Q$281*S281)/1000</f>
        <v>6.7260000000000003E-5</v>
      </c>
      <c r="W281" s="99">
        <f>($Q$281*T281)/1000</f>
        <v>1.3452000000000001E-5</v>
      </c>
    </row>
    <row r="282" spans="1:23" ht="15.75" thickBot="1">
      <c r="B282" s="1838"/>
      <c r="C282" s="91" t="s">
        <v>381</v>
      </c>
      <c r="D282" s="91">
        <v>29.7</v>
      </c>
      <c r="E282" s="91"/>
      <c r="F282" s="91"/>
      <c r="G282" s="91"/>
      <c r="H282" s="91"/>
      <c r="I282" s="91"/>
      <c r="J282" s="91"/>
      <c r="K282" s="91"/>
      <c r="L282" s="91"/>
      <c r="P282" s="97" t="s">
        <v>107</v>
      </c>
      <c r="Q282" s="100">
        <f>E286/0.95</f>
        <v>36.421052631578952</v>
      </c>
      <c r="R282">
        <f>F289</f>
        <v>67.260000000000005</v>
      </c>
      <c r="S282">
        <f>G289/1000</f>
        <v>2.8500000000000001E-3</v>
      </c>
      <c r="T282">
        <f>H289/1000</f>
        <v>5.6999999999999998E-4</v>
      </c>
      <c r="U282" s="99">
        <f>($Q$282*R282)/1000</f>
        <v>2.4496800000000003</v>
      </c>
      <c r="V282" s="99">
        <f>($Q$282*S282)/1000</f>
        <v>1.0380000000000002E-4</v>
      </c>
      <c r="W282" s="99">
        <f>($Q$282*T282)/1000</f>
        <v>2.0760000000000001E-5</v>
      </c>
    </row>
    <row r="283" spans="1:23" ht="15.75" thickBot="1">
      <c r="B283" s="1839"/>
      <c r="C283" s="91" t="s">
        <v>382</v>
      </c>
      <c r="D283" s="91">
        <v>23.6</v>
      </c>
      <c r="E283" s="91"/>
      <c r="F283" s="91"/>
      <c r="G283" s="91"/>
      <c r="H283" s="91"/>
      <c r="I283" s="91"/>
      <c r="J283" s="91"/>
      <c r="K283" s="91"/>
      <c r="L283" s="91"/>
      <c r="P283" s="101"/>
      <c r="Q283" s="102"/>
      <c r="R283" s="102"/>
      <c r="S283" s="102"/>
      <c r="T283" s="102"/>
      <c r="U283" s="102"/>
      <c r="V283" s="102"/>
      <c r="W283" s="103"/>
    </row>
    <row r="284" spans="1:23" ht="30.75" thickBot="1">
      <c r="B284" s="1837" t="s">
        <v>383</v>
      </c>
      <c r="C284" s="91" t="s">
        <v>384</v>
      </c>
      <c r="D284" s="91" t="s">
        <v>48</v>
      </c>
      <c r="E284" s="91"/>
      <c r="F284" s="91">
        <v>67.260000000000005</v>
      </c>
      <c r="G284" s="91">
        <v>18</v>
      </c>
      <c r="H284" s="91" t="s">
        <v>385</v>
      </c>
      <c r="I284" s="91"/>
      <c r="J284" s="91"/>
      <c r="K284" s="91"/>
      <c r="L284" s="92" t="s">
        <v>380</v>
      </c>
    </row>
    <row r="285" spans="1:23" ht="15.75" thickBot="1">
      <c r="B285" s="1838"/>
      <c r="C285" s="91" t="s">
        <v>381</v>
      </c>
      <c r="D285" s="91" t="s">
        <v>386</v>
      </c>
      <c r="E285" s="91">
        <v>39.1</v>
      </c>
      <c r="F285" s="91"/>
      <c r="G285" s="91"/>
      <c r="H285" s="91"/>
      <c r="I285" s="91"/>
      <c r="J285" s="91"/>
      <c r="K285" s="91"/>
      <c r="L285" s="91"/>
      <c r="P285" s="1840" t="s">
        <v>387</v>
      </c>
      <c r="Q285" s="1841"/>
      <c r="R285" s="95"/>
      <c r="S285" s="95"/>
      <c r="T285" s="95"/>
      <c r="U285" s="95"/>
      <c r="V285" s="95"/>
      <c r="W285" s="96"/>
    </row>
    <row r="286" spans="1:23" ht="45.75" thickBot="1">
      <c r="B286" s="1839"/>
      <c r="C286" s="91" t="s">
        <v>382</v>
      </c>
      <c r="D286" s="91" t="s">
        <v>386</v>
      </c>
      <c r="E286" s="91">
        <v>34.6</v>
      </c>
      <c r="F286" s="91"/>
      <c r="G286" s="91"/>
      <c r="H286" s="91"/>
      <c r="I286" s="91"/>
      <c r="J286" s="91"/>
      <c r="K286" s="91"/>
      <c r="L286" s="91"/>
      <c r="P286" s="97"/>
      <c r="Q286" s="1" t="s">
        <v>370</v>
      </c>
      <c r="R286" t="s">
        <v>371</v>
      </c>
      <c r="S286" t="s">
        <v>372</v>
      </c>
      <c r="T286" t="s">
        <v>373</v>
      </c>
      <c r="U286" t="s">
        <v>374</v>
      </c>
      <c r="V286" t="s">
        <v>375</v>
      </c>
      <c r="W286" s="98" t="s">
        <v>376</v>
      </c>
    </row>
    <row r="287" spans="1:23" ht="45.75" customHeight="1" thickBot="1">
      <c r="B287" s="1842" t="s">
        <v>388</v>
      </c>
      <c r="C287" s="89" t="s">
        <v>389</v>
      </c>
      <c r="F287" s="91">
        <v>64.2</v>
      </c>
      <c r="G287">
        <v>2.85</v>
      </c>
      <c r="H287">
        <v>0.56999999999999995</v>
      </c>
      <c r="L287" s="1" t="s">
        <v>390</v>
      </c>
      <c r="M287" s="1844" t="s">
        <v>391</v>
      </c>
      <c r="N287" s="1844"/>
      <c r="P287" s="97" t="s">
        <v>392</v>
      </c>
      <c r="Q287" s="424">
        <v>37.200000000000003</v>
      </c>
      <c r="R287">
        <f>P269</f>
        <v>68.22</v>
      </c>
      <c r="S287">
        <f>E268</f>
        <v>0.48</v>
      </c>
      <c r="T287">
        <f>F268</f>
        <v>1.9</v>
      </c>
      <c r="U287" s="425">
        <f>($Q$287*R287)/1000</f>
        <v>2.5377840000000003</v>
      </c>
      <c r="V287" s="425">
        <f>($Q$287*S287)/1000</f>
        <v>1.7856E-2</v>
      </c>
      <c r="W287" s="425">
        <f>($Q$287*T287)/1000</f>
        <v>7.0680000000000007E-2</v>
      </c>
    </row>
    <row r="288" spans="1:23" ht="15.75" thickBot="1">
      <c r="B288" s="1843"/>
      <c r="C288" s="89"/>
      <c r="F288" s="91"/>
      <c r="L288" s="1"/>
      <c r="M288" s="1"/>
      <c r="P288" s="97" t="s">
        <v>393</v>
      </c>
      <c r="Q288" s="100">
        <v>33.869999999999997</v>
      </c>
      <c r="R288">
        <f>Q269</f>
        <v>65.89</v>
      </c>
      <c r="S288">
        <f>E270</f>
        <v>0.48</v>
      </c>
      <c r="T288">
        <f>F270</f>
        <v>1.9</v>
      </c>
      <c r="U288" s="99">
        <f>($Q$288*R288)/1000</f>
        <v>2.2316942999999996</v>
      </c>
      <c r="V288" s="99">
        <f>($Q$288*S288)/1000</f>
        <v>1.6257599999999997E-2</v>
      </c>
      <c r="W288" s="99">
        <f>($Q$288*T288)/1000</f>
        <v>6.4352999999999994E-2</v>
      </c>
    </row>
    <row r="289" spans="1:23" ht="15.75" thickBot="1">
      <c r="B289" t="s">
        <v>394</v>
      </c>
      <c r="C289" s="89" t="s">
        <v>389</v>
      </c>
      <c r="F289" s="91">
        <v>67.260000000000005</v>
      </c>
      <c r="G289">
        <v>2.85</v>
      </c>
      <c r="H289">
        <v>0.56999999999999995</v>
      </c>
      <c r="L289" s="1" t="s">
        <v>390</v>
      </c>
      <c r="P289" s="101"/>
      <c r="Q289" s="102"/>
      <c r="R289" s="102"/>
      <c r="S289" s="102"/>
      <c r="T289" s="102"/>
      <c r="U289" s="102"/>
      <c r="V289" s="102"/>
      <c r="W289" s="103"/>
    </row>
    <row r="291" spans="1:23">
      <c r="A291" s="1834" t="s">
        <v>395</v>
      </c>
      <c r="B291" s="1834"/>
    </row>
    <row r="292" spans="1:23">
      <c r="B292" s="1836" t="s">
        <v>69</v>
      </c>
      <c r="C292" s="1836"/>
      <c r="D292" s="1833" t="s">
        <v>70</v>
      </c>
      <c r="E292" s="1833" t="s">
        <v>355</v>
      </c>
      <c r="F292" s="1833" t="s">
        <v>356</v>
      </c>
      <c r="G292" s="1833" t="s">
        <v>357</v>
      </c>
      <c r="H292" s="1833" t="s">
        <v>358</v>
      </c>
      <c r="I292" s="1833" t="s">
        <v>75</v>
      </c>
      <c r="J292" s="1833"/>
      <c r="K292" s="1833"/>
      <c r="L292" s="1833"/>
      <c r="M292" s="1833" t="s">
        <v>76</v>
      </c>
    </row>
    <row r="293" spans="1:23">
      <c r="B293" s="1836"/>
      <c r="C293" s="1836"/>
      <c r="D293" s="1833"/>
      <c r="E293" s="1833"/>
      <c r="F293" s="1833"/>
      <c r="G293" s="1833"/>
      <c r="H293" s="1833"/>
      <c r="I293" s="1577" t="s">
        <v>360</v>
      </c>
      <c r="J293" s="1577" t="s">
        <v>356</v>
      </c>
      <c r="K293" t="s">
        <v>357</v>
      </c>
      <c r="L293" s="1577" t="s">
        <v>361</v>
      </c>
      <c r="M293" s="1833"/>
    </row>
    <row r="294" spans="1:23">
      <c r="B294" t="s">
        <v>396</v>
      </c>
      <c r="D294" t="s">
        <v>97</v>
      </c>
      <c r="F294" s="3">
        <f>(64.2*10^6)/((10^15)/10^6)</f>
        <v>6.4199999999999993E-2</v>
      </c>
      <c r="G294">
        <f>G287/1000</f>
        <v>2.8500000000000001E-3</v>
      </c>
      <c r="H294">
        <f>H287/1000</f>
        <v>5.6999999999999998E-4</v>
      </c>
    </row>
    <row r="295" spans="1:23">
      <c r="B295" t="s">
        <v>397</v>
      </c>
      <c r="D295" t="s">
        <v>97</v>
      </c>
      <c r="F295" s="3">
        <f>(67.26*10^6)/((10^15)/10^6)</f>
        <v>6.726E-2</v>
      </c>
      <c r="G295">
        <f>G289/1000</f>
        <v>2.8500000000000001E-3</v>
      </c>
      <c r="H295">
        <f>H289/1000</f>
        <v>5.6999999999999998E-4</v>
      </c>
      <c r="M295" t="s">
        <v>398</v>
      </c>
    </row>
    <row r="298" spans="1:23">
      <c r="A298" s="1834" t="s">
        <v>399</v>
      </c>
      <c r="B298" s="1834"/>
      <c r="C298" s="1834"/>
      <c r="D298" s="1834"/>
      <c r="E298" s="1834"/>
      <c r="F298" s="1834"/>
      <c r="G298" s="1834"/>
      <c r="H298" s="1834"/>
      <c r="I298" s="1834"/>
    </row>
    <row r="300" spans="1:23" ht="75">
      <c r="B300" s="1684" t="s">
        <v>34</v>
      </c>
      <c r="C300" s="1684" t="s">
        <v>283</v>
      </c>
      <c r="D300" s="1684" t="s">
        <v>70</v>
      </c>
      <c r="E300" s="1685" t="s">
        <v>400</v>
      </c>
      <c r="F300" s="1686" t="s">
        <v>401</v>
      </c>
      <c r="G300" s="1685" t="s">
        <v>402</v>
      </c>
      <c r="H300" s="1685" t="s">
        <v>403</v>
      </c>
      <c r="I300" s="1685" t="s">
        <v>404</v>
      </c>
      <c r="J300" s="1685" t="s">
        <v>405</v>
      </c>
      <c r="K300" s="1685" t="s">
        <v>406</v>
      </c>
      <c r="L300" s="1685" t="s">
        <v>407</v>
      </c>
      <c r="M300" s="1685" t="s">
        <v>408</v>
      </c>
    </row>
    <row r="301" spans="1:23">
      <c r="B301" s="1687" t="s">
        <v>294</v>
      </c>
      <c r="C301" s="1688"/>
      <c r="D301" s="1688"/>
      <c r="E301" s="1688"/>
      <c r="F301" s="1688"/>
      <c r="G301" s="1688"/>
      <c r="H301" s="1688"/>
      <c r="I301" s="1688"/>
    </row>
    <row r="302" spans="1:23">
      <c r="B302" s="1689" t="s">
        <v>85</v>
      </c>
      <c r="C302" s="1689" t="s">
        <v>263</v>
      </c>
      <c r="D302" s="1689" t="s">
        <v>83</v>
      </c>
      <c r="E302" s="1690">
        <v>2.86075483376499</v>
      </c>
      <c r="F302" s="1691">
        <v>4.9028421911099802E-2</v>
      </c>
      <c r="G302" s="1692">
        <v>2.6373603786678332</v>
      </c>
      <c r="H302" s="1693">
        <v>0.21082904407055211</v>
      </c>
      <c r="I302" s="1690">
        <v>1.2565411026604908E-2</v>
      </c>
      <c r="J302" s="48">
        <v>0.1402582949740481</v>
      </c>
      <c r="K302" s="48">
        <v>9.2307613253374166E-2</v>
      </c>
      <c r="L302" s="48">
        <v>0.10541452203527606</v>
      </c>
      <c r="M302" s="48">
        <v>6.2827055133024539E-3</v>
      </c>
    </row>
    <row r="303" spans="1:23">
      <c r="B303" s="1689" t="s">
        <v>86</v>
      </c>
      <c r="C303" s="1689" t="s">
        <v>263</v>
      </c>
      <c r="D303" s="1689" t="s">
        <v>83</v>
      </c>
      <c r="E303" s="1690">
        <v>2.1544122891419017</v>
      </c>
      <c r="F303" s="1691">
        <v>4.8287491224225827E-2</v>
      </c>
      <c r="G303" s="1692">
        <v>1.9910094769085844</v>
      </c>
      <c r="H303" s="1693">
        <v>0.15421178957466752</v>
      </c>
      <c r="I303" s="1694">
        <v>9.1910226586501848E-3</v>
      </c>
      <c r="J303" s="48">
        <v>0.10403116450530385</v>
      </c>
      <c r="K303" s="48">
        <v>6.9685331691800467E-2</v>
      </c>
      <c r="L303" s="48">
        <v>7.7105894787333762E-2</v>
      </c>
      <c r="M303" s="48">
        <v>4.5955113293250924E-3</v>
      </c>
    </row>
    <row r="304" spans="1:23">
      <c r="B304" s="1689" t="s">
        <v>87</v>
      </c>
      <c r="C304" s="1689" t="s">
        <v>263</v>
      </c>
      <c r="D304" s="1689" t="s">
        <v>83</v>
      </c>
      <c r="E304" s="1690">
        <v>1.5356222285814181</v>
      </c>
      <c r="F304" s="1691">
        <v>4.801194681759046E-2</v>
      </c>
      <c r="G304" s="1692">
        <v>1.4204478726402867</v>
      </c>
      <c r="H304" s="1693">
        <v>0.1086960701596181</v>
      </c>
      <c r="I304" s="1694">
        <v>6.4782857815132398E-3</v>
      </c>
      <c r="J304" s="48">
        <v>7.3728212770560783E-2</v>
      </c>
      <c r="K304" s="48">
        <v>4.9715675542410041E-2</v>
      </c>
      <c r="L304" s="48">
        <v>5.4348035079809051E-2</v>
      </c>
      <c r="M304" s="48">
        <v>3.2391428907566199E-3</v>
      </c>
    </row>
    <row r="305" spans="2:18">
      <c r="B305" s="1689" t="s">
        <v>82</v>
      </c>
      <c r="C305" s="1689" t="s">
        <v>263</v>
      </c>
      <c r="D305" s="1689" t="s">
        <v>83</v>
      </c>
      <c r="E305" s="1695">
        <v>1.8824285993669634</v>
      </c>
      <c r="F305" s="1696">
        <v>4.801194681759046E-2</v>
      </c>
      <c r="G305" s="1697">
        <v>1.7401198329819427</v>
      </c>
      <c r="H305" s="1698">
        <v>0.13430423403644862</v>
      </c>
      <c r="I305" s="1698">
        <v>8.0045323485723376E-3</v>
      </c>
      <c r="J305" s="48"/>
      <c r="K305" s="48"/>
      <c r="L305" s="48"/>
      <c r="M305" s="48"/>
    </row>
    <row r="306" spans="2:18">
      <c r="B306" s="1688" t="s">
        <v>301</v>
      </c>
      <c r="C306" s="1688" t="s">
        <v>260</v>
      </c>
      <c r="D306" s="1688" t="s">
        <v>96</v>
      </c>
      <c r="E306" s="1690">
        <v>0.19474584065307315</v>
      </c>
      <c r="F306" s="1691">
        <v>2.3962045159552331E-2</v>
      </c>
      <c r="G306" s="1690">
        <v>0.19424428865307317</v>
      </c>
      <c r="H306" s="1693">
        <v>4.0499999999999992E-4</v>
      </c>
      <c r="I306" s="1694">
        <v>9.6551999999999993E-5</v>
      </c>
      <c r="J306" s="48">
        <v>4.6665086283639214E-3</v>
      </c>
      <c r="K306" s="48">
        <v>4.6618629276737565E-3</v>
      </c>
      <c r="L306" s="48">
        <v>2.0249999999999996E-4</v>
      </c>
      <c r="M306" s="48">
        <v>4.8275999999999997E-5</v>
      </c>
    </row>
    <row r="307" spans="2:18">
      <c r="B307" s="1688"/>
      <c r="C307" s="1688"/>
      <c r="D307" s="1688" t="s">
        <v>97</v>
      </c>
      <c r="E307" s="1690">
        <v>54.096066848075878</v>
      </c>
      <c r="F307" s="1691">
        <v>2.3962045159552327E-2</v>
      </c>
      <c r="G307" s="1692">
        <v>53.956746848075881</v>
      </c>
      <c r="H307" s="1693">
        <v>0.11249999999999999</v>
      </c>
      <c r="I307" s="1692">
        <v>2.682E-2</v>
      </c>
      <c r="J307" s="48">
        <v>1.2962523967677557</v>
      </c>
      <c r="K307" s="48">
        <v>1.2949619243538211</v>
      </c>
      <c r="L307" s="48">
        <v>5.6249999999999994E-2</v>
      </c>
      <c r="M307" s="48">
        <v>1.341E-2</v>
      </c>
    </row>
    <row r="308" spans="2:18">
      <c r="B308" s="1688" t="s">
        <v>85</v>
      </c>
      <c r="C308" s="1688" t="s">
        <v>260</v>
      </c>
      <c r="D308" s="1688" t="s">
        <v>83</v>
      </c>
      <c r="E308" s="1690">
        <v>2.6569534244967898</v>
      </c>
      <c r="F308" s="1691">
        <v>3.4847383871315175E-2</v>
      </c>
      <c r="G308" s="1692">
        <v>2.6373603786678332</v>
      </c>
      <c r="H308" s="1693">
        <v>7.0276348023517368E-3</v>
      </c>
      <c r="I308" s="1690">
        <v>1.2565411026604908E-2</v>
      </c>
      <c r="J308" s="48">
        <v>9.2587875911645065E-2</v>
      </c>
      <c r="K308" s="48">
        <v>9.2307613253374166E-2</v>
      </c>
      <c r="L308" s="48">
        <v>3.5138174011758684E-3</v>
      </c>
      <c r="M308" s="48">
        <v>6.2827055133024539E-3</v>
      </c>
    </row>
    <row r="309" spans="2:18">
      <c r="B309" s="1688" t="s">
        <v>86</v>
      </c>
      <c r="C309" s="1688" t="s">
        <v>260</v>
      </c>
      <c r="D309" s="1688" t="s">
        <v>83</v>
      </c>
      <c r="E309" s="1690">
        <v>2.0053408925530567</v>
      </c>
      <c r="F309" s="1691">
        <v>3.4848925765214471E-2</v>
      </c>
      <c r="G309" s="1692">
        <v>1.9910094769085844</v>
      </c>
      <c r="H309" s="1693">
        <v>5.1403929858222508E-3</v>
      </c>
      <c r="I309" s="1694">
        <v>9.1910226586501848E-3</v>
      </c>
      <c r="J309" s="48">
        <v>6.9883975898530404E-2</v>
      </c>
      <c r="K309" s="48">
        <v>6.9685331691800467E-2</v>
      </c>
      <c r="L309" s="48">
        <v>2.5701964929111254E-3</v>
      </c>
      <c r="M309" s="48">
        <v>4.5955113293250924E-3</v>
      </c>
    </row>
    <row r="310" spans="2:18">
      <c r="B310" s="1688" t="s">
        <v>87</v>
      </c>
      <c r="C310" s="1688" t="s">
        <v>260</v>
      </c>
      <c r="D310" s="1688" t="s">
        <v>83</v>
      </c>
      <c r="E310" s="1690">
        <v>1.430549360760454</v>
      </c>
      <c r="F310" s="1691">
        <v>3.4849556148489093E-2</v>
      </c>
      <c r="G310" s="1692">
        <v>1.4204478726402867</v>
      </c>
      <c r="H310" s="1693">
        <v>3.6232023386539372E-3</v>
      </c>
      <c r="I310" s="1694">
        <v>6.4782857815132398E-3</v>
      </c>
      <c r="J310" s="48">
        <v>4.9854010271006624E-2</v>
      </c>
      <c r="K310" s="48">
        <v>4.9715675542410041E-2</v>
      </c>
      <c r="L310" s="48">
        <v>1.8116011693269686E-3</v>
      </c>
      <c r="M310" s="48">
        <v>3.2391428907566199E-3</v>
      </c>
      <c r="O310" s="1835" t="s">
        <v>409</v>
      </c>
      <c r="P310" s="1835"/>
      <c r="Q310" s="1835"/>
      <c r="R310" s="1835"/>
    </row>
    <row r="311" spans="2:18">
      <c r="B311" s="1699" t="s">
        <v>82</v>
      </c>
      <c r="C311" s="1699" t="s">
        <v>260</v>
      </c>
      <c r="D311" s="1699" t="s">
        <v>83</v>
      </c>
      <c r="E311" s="1695">
        <v>1.7689033566206671</v>
      </c>
      <c r="F311" s="1696">
        <v>3.4849556148489093E-2</v>
      </c>
      <c r="G311" s="1697">
        <v>1.7562977111514275</v>
      </c>
      <c r="H311" s="1698">
        <v>4.5213936403297357E-3</v>
      </c>
      <c r="I311" s="1698">
        <v>8.0842518289095684E-3</v>
      </c>
      <c r="J311" s="48"/>
      <c r="K311" s="48"/>
      <c r="L311" s="48"/>
      <c r="M311" s="48"/>
      <c r="O311" s="1577"/>
      <c r="P311" s="1577" t="s">
        <v>144</v>
      </c>
      <c r="Q311" s="1577" t="s">
        <v>292</v>
      </c>
      <c r="R311" s="1577" t="s">
        <v>293</v>
      </c>
    </row>
    <row r="312" spans="2:18">
      <c r="B312" s="1688" t="s">
        <v>90</v>
      </c>
      <c r="C312" s="1688" t="s">
        <v>260</v>
      </c>
      <c r="D312" s="1688" t="s">
        <v>91</v>
      </c>
      <c r="E312" s="1690">
        <v>2.6637215676009878</v>
      </c>
      <c r="F312" s="1691">
        <v>5.3939320550575164E-3</v>
      </c>
      <c r="G312" s="1692">
        <v>2.6481564193656544</v>
      </c>
      <c r="H312" s="1693">
        <v>9.0748298946673415E-3</v>
      </c>
      <c r="I312" s="1694">
        <v>6.4903183406660814E-3</v>
      </c>
      <c r="J312" s="48">
        <v>1.4367933149231025E-2</v>
      </c>
      <c r="K312" s="48">
        <v>1.3240782096828272E-2</v>
      </c>
      <c r="L312" s="48">
        <v>4.5374149473336707E-3</v>
      </c>
      <c r="M312" s="48">
        <v>3.2451591703330407E-3</v>
      </c>
      <c r="O312" s="1577" t="s">
        <v>410</v>
      </c>
      <c r="P312" s="1700">
        <v>3.5000000000000003E-2</v>
      </c>
      <c r="Q312" s="1700">
        <v>0.5</v>
      </c>
      <c r="R312" s="1700">
        <v>0.5</v>
      </c>
    </row>
    <row r="313" spans="2:18">
      <c r="B313" s="1688" t="s">
        <v>92</v>
      </c>
      <c r="C313" s="1688" t="s">
        <v>260</v>
      </c>
      <c r="D313" s="1688" t="s">
        <v>83</v>
      </c>
      <c r="E313" s="1690">
        <v>3.0286863333333329</v>
      </c>
      <c r="F313" s="1691">
        <v>5.0886322306602271E-3</v>
      </c>
      <c r="G313" s="1692">
        <v>3.0213333333333332</v>
      </c>
      <c r="H313" s="1694">
        <v>5.9375000000000001E-3</v>
      </c>
      <c r="I313" s="1694">
        <v>1.4155000000000001E-3</v>
      </c>
      <c r="J313" s="48">
        <v>1.5411870892360142E-2</v>
      </c>
      <c r="K313" s="48">
        <v>1.5106666666666666E-2</v>
      </c>
      <c r="L313" s="48">
        <v>2.96875E-3</v>
      </c>
      <c r="M313" s="48">
        <v>7.0775000000000005E-4</v>
      </c>
      <c r="O313" s="1577" t="s">
        <v>411</v>
      </c>
      <c r="P313" s="1700">
        <v>5.0000000000000001E-3</v>
      </c>
      <c r="Q313" s="1700">
        <v>0.5</v>
      </c>
      <c r="R313" s="1700">
        <v>0.5</v>
      </c>
    </row>
    <row r="314" spans="2:18">
      <c r="B314" s="1688" t="s">
        <v>93</v>
      </c>
      <c r="C314" s="1688" t="s">
        <v>260</v>
      </c>
      <c r="D314" s="1688" t="s">
        <v>91</v>
      </c>
      <c r="E314" s="1690">
        <v>3.0261398333198644</v>
      </c>
      <c r="F314" s="1691">
        <v>5.3496356822297884E-3</v>
      </c>
      <c r="G314" s="1692">
        <v>3.0094797709954637</v>
      </c>
      <c r="H314" s="1694">
        <v>9.7131893215955684E-3</v>
      </c>
      <c r="I314" s="1694">
        <v>6.9468730028051503E-3</v>
      </c>
      <c r="J314" s="48">
        <v>1.6188745631744852E-2</v>
      </c>
      <c r="K314" s="48">
        <v>1.5047398854977318E-2</v>
      </c>
      <c r="L314" s="48">
        <v>4.8565946607977842E-3</v>
      </c>
      <c r="M314" s="48">
        <v>3.4734365014025752E-3</v>
      </c>
      <c r="O314" s="1577" t="s">
        <v>412</v>
      </c>
      <c r="P314" s="1700">
        <v>2.4E-2</v>
      </c>
      <c r="Q314" s="1700">
        <v>0.5</v>
      </c>
      <c r="R314" s="1700">
        <v>0.5</v>
      </c>
    </row>
    <row r="315" spans="2:18">
      <c r="B315" s="1688" t="s">
        <v>94</v>
      </c>
      <c r="C315" s="1688" t="s">
        <v>260</v>
      </c>
      <c r="D315" s="1688" t="s">
        <v>91</v>
      </c>
      <c r="E315" s="1690">
        <v>2.9316023697724054</v>
      </c>
      <c r="F315" s="1691">
        <v>5.3621223069577435E-3</v>
      </c>
      <c r="G315" s="1692">
        <v>2.915178023543564</v>
      </c>
      <c r="H315" s="1694">
        <v>9.5757615606586015E-3</v>
      </c>
      <c r="I315" s="1694">
        <v>6.848584668183031E-3</v>
      </c>
      <c r="J315" s="48">
        <v>1.5719610462086798E-2</v>
      </c>
      <c r="K315" s="48">
        <v>1.4575890117717821E-2</v>
      </c>
      <c r="L315" s="48">
        <v>4.7878807803293007E-3</v>
      </c>
      <c r="M315" s="48">
        <v>3.4242923340915155E-3</v>
      </c>
      <c r="O315" s="1577" t="s">
        <v>201</v>
      </c>
      <c r="P315" s="1700"/>
      <c r="Q315" s="1700">
        <v>0.5</v>
      </c>
      <c r="R315" s="1700">
        <v>0.5</v>
      </c>
    </row>
    <row r="316" spans="2:18">
      <c r="B316" s="1688" t="s">
        <v>301</v>
      </c>
      <c r="C316" s="1688" t="s">
        <v>311</v>
      </c>
      <c r="D316" s="1688" t="s">
        <v>96</v>
      </c>
      <c r="E316" s="1690">
        <v>0.19442184065307316</v>
      </c>
      <c r="F316" s="1691">
        <v>2.3980272875657883E-2</v>
      </c>
      <c r="G316" s="1692">
        <v>0.19424428865307317</v>
      </c>
      <c r="H316" s="1693">
        <v>8.1000000000000004E-5</v>
      </c>
      <c r="I316" s="1693">
        <v>9.6551999999999993E-5</v>
      </c>
      <c r="J316" s="48">
        <v>4.6622887918483695E-3</v>
      </c>
      <c r="K316" s="48">
        <v>4.6618629276737565E-3</v>
      </c>
      <c r="L316" s="48">
        <v>4.0500000000000002E-5</v>
      </c>
      <c r="M316" s="48">
        <v>4.8275999999999997E-5</v>
      </c>
    </row>
    <row r="317" spans="2:18">
      <c r="B317" s="1688"/>
      <c r="C317" s="1688"/>
      <c r="D317" s="1688" t="s">
        <v>97</v>
      </c>
      <c r="E317" s="1690">
        <v>54.006066848075882</v>
      </c>
      <c r="F317" s="1691">
        <v>2.3980272875657876E-2</v>
      </c>
      <c r="G317" s="1692">
        <v>53.956746848075881</v>
      </c>
      <c r="H317" s="1690">
        <v>2.2499999999999999E-2</v>
      </c>
      <c r="I317" s="1690">
        <v>2.682E-2</v>
      </c>
      <c r="J317" s="48">
        <v>1.2950802199578801</v>
      </c>
      <c r="K317" s="48">
        <v>1.2949619243538211</v>
      </c>
      <c r="L317" s="48">
        <v>1.125E-2</v>
      </c>
      <c r="M317" s="48">
        <v>1.341E-2</v>
      </c>
    </row>
    <row r="318" spans="2:18">
      <c r="B318" s="1688" t="s">
        <v>85</v>
      </c>
      <c r="C318" s="1688" t="s">
        <v>311</v>
      </c>
      <c r="D318" s="1688" t="s">
        <v>83</v>
      </c>
      <c r="E318" s="1690">
        <v>2.6569534244967898</v>
      </c>
      <c r="F318" s="1691">
        <v>3.4847383871315175E-2</v>
      </c>
      <c r="G318" s="1692">
        <v>2.6373603786678332</v>
      </c>
      <c r="H318" s="1694">
        <v>7.0276348023517368E-3</v>
      </c>
      <c r="I318" s="1690">
        <v>1.2565411026604908E-2</v>
      </c>
      <c r="J318" s="48">
        <v>9.2587875911645065E-2</v>
      </c>
      <c r="K318" s="48">
        <v>9.2307613253374166E-2</v>
      </c>
      <c r="L318" s="48">
        <v>3.5138174011758684E-3</v>
      </c>
      <c r="M318" s="48">
        <v>6.2827055133024539E-3</v>
      </c>
    </row>
    <row r="319" spans="2:18">
      <c r="B319" s="1688" t="s">
        <v>86</v>
      </c>
      <c r="C319" s="1688" t="s">
        <v>311</v>
      </c>
      <c r="D319" s="1688" t="s">
        <v>83</v>
      </c>
      <c r="E319" s="1690">
        <v>2.0053408925530567</v>
      </c>
      <c r="F319" s="1691">
        <v>3.4848925765214471E-2</v>
      </c>
      <c r="G319" s="1692">
        <v>1.9910094769085844</v>
      </c>
      <c r="H319" s="1693">
        <v>5.1403929858222508E-3</v>
      </c>
      <c r="I319" s="1694">
        <v>9.1910226586501848E-3</v>
      </c>
      <c r="J319" s="48">
        <v>6.9883975898530404E-2</v>
      </c>
      <c r="K319" s="48">
        <v>6.9685331691800467E-2</v>
      </c>
      <c r="L319" s="48">
        <v>2.5701964929111254E-3</v>
      </c>
      <c r="M319" s="48">
        <v>4.5955113293250924E-3</v>
      </c>
    </row>
    <row r="320" spans="2:18">
      <c r="B320" s="1688" t="s">
        <v>87</v>
      </c>
      <c r="C320" s="1688" t="s">
        <v>311</v>
      </c>
      <c r="D320" s="1688" t="s">
        <v>83</v>
      </c>
      <c r="E320" s="1690">
        <v>1.430549360760454</v>
      </c>
      <c r="F320" s="1691">
        <v>3.4849556148489093E-2</v>
      </c>
      <c r="G320" s="1692">
        <v>1.4204478726402867</v>
      </c>
      <c r="H320" s="1693">
        <v>3.6232023386539372E-3</v>
      </c>
      <c r="I320" s="1694">
        <v>6.4782857815132398E-3</v>
      </c>
      <c r="J320" s="48">
        <v>4.9854010271006624E-2</v>
      </c>
      <c r="K320" s="48">
        <v>4.9715675542410041E-2</v>
      </c>
      <c r="L320" s="48">
        <v>1.8116011693269686E-3</v>
      </c>
      <c r="M320" s="48">
        <v>3.2391428907566199E-3</v>
      </c>
    </row>
    <row r="321" spans="2:13">
      <c r="B321" s="1699" t="s">
        <v>82</v>
      </c>
      <c r="C321" s="1699" t="s">
        <v>311</v>
      </c>
      <c r="D321" s="1699" t="s">
        <v>83</v>
      </c>
      <c r="E321" s="1695">
        <v>2.049609872269389</v>
      </c>
      <c r="F321" s="1696">
        <v>3.4849556148489093E-2</v>
      </c>
      <c r="G321" s="1697">
        <v>2.0348549830381959</v>
      </c>
      <c r="H321" s="1698">
        <v>5.292284516210115E-3</v>
      </c>
      <c r="I321" s="1698">
        <v>9.4626047149836846E-3</v>
      </c>
      <c r="J321" s="48"/>
      <c r="K321" s="48"/>
      <c r="L321" s="48"/>
      <c r="M321" s="48"/>
    </row>
    <row r="322" spans="2:13">
      <c r="B322" s="1688" t="s">
        <v>90</v>
      </c>
      <c r="C322" s="1688" t="s">
        <v>311</v>
      </c>
      <c r="D322" s="1688" t="s">
        <v>91</v>
      </c>
      <c r="E322" s="1690">
        <v>2.6573691866747207</v>
      </c>
      <c r="F322" s="1691">
        <v>5.1556437814557522E-3</v>
      </c>
      <c r="G322" s="1692">
        <v>2.6481564193656544</v>
      </c>
      <c r="H322" s="1693">
        <v>2.7224489684002022E-3</v>
      </c>
      <c r="I322" s="1694">
        <v>6.4903183406660814E-3</v>
      </c>
      <c r="J322" s="48">
        <v>1.3700448922311655E-2</v>
      </c>
      <c r="K322" s="48">
        <v>1.3240782096828272E-2</v>
      </c>
      <c r="L322" s="48">
        <v>1.3612244842001011E-3</v>
      </c>
      <c r="M322" s="48">
        <v>3.2451591703330407E-3</v>
      </c>
    </row>
    <row r="323" spans="2:13">
      <c r="B323" s="1688" t="s">
        <v>92</v>
      </c>
      <c r="C323" s="1688" t="s">
        <v>311</v>
      </c>
      <c r="D323" s="1688" t="s">
        <v>83</v>
      </c>
      <c r="E323" s="1690">
        <v>3.0239363333333329</v>
      </c>
      <c r="F323" s="1691">
        <v>5.0050285692784333E-3</v>
      </c>
      <c r="G323" s="1692">
        <v>3.0213333333333332</v>
      </c>
      <c r="H323" s="1694">
        <v>1.1875E-3</v>
      </c>
      <c r="I323" s="1694">
        <v>1.4155000000000001E-3</v>
      </c>
      <c r="J323" s="48">
        <v>1.5134887740012403E-2</v>
      </c>
      <c r="K323" s="48">
        <v>1.5106666666666666E-2</v>
      </c>
      <c r="L323" s="48">
        <v>5.9374999999999999E-4</v>
      </c>
      <c r="M323" s="48">
        <v>7.0775000000000005E-4</v>
      </c>
    </row>
    <row r="324" spans="2:13">
      <c r="B324" s="1688" t="s">
        <v>93</v>
      </c>
      <c r="C324" s="1688" t="s">
        <v>311</v>
      </c>
      <c r="D324" s="1688" t="s">
        <v>91</v>
      </c>
      <c r="E324" s="1690">
        <v>3.0193406007947479</v>
      </c>
      <c r="F324" s="1691">
        <v>5.1374347322815529E-3</v>
      </c>
      <c r="G324" s="1692">
        <v>3.0094797709954637</v>
      </c>
      <c r="H324" s="1694">
        <v>2.9139567964786704E-3</v>
      </c>
      <c r="I324" s="1694">
        <v>6.9468730028051503E-3</v>
      </c>
      <c r="J324" s="48">
        <v>1.5511665271110789E-2</v>
      </c>
      <c r="K324" s="48">
        <v>1.5047398854977318E-2</v>
      </c>
      <c r="L324" s="48">
        <v>1.4569783982393352E-3</v>
      </c>
      <c r="M324" s="48">
        <v>3.4734365014025752E-3</v>
      </c>
    </row>
    <row r="325" spans="2:13">
      <c r="B325" s="1688" t="s">
        <v>94</v>
      </c>
      <c r="C325" s="1688" t="s">
        <v>311</v>
      </c>
      <c r="D325" s="1688" t="s">
        <v>91</v>
      </c>
      <c r="E325" s="1690">
        <v>2.9248993366799447</v>
      </c>
      <c r="F325" s="1691">
        <v>5.1425561717323648E-3</v>
      </c>
      <c r="G325" s="1692">
        <v>2.915178023543564</v>
      </c>
      <c r="H325" s="1694">
        <v>2.8727284681975807E-3</v>
      </c>
      <c r="I325" s="1694">
        <v>6.848584668183031E-3</v>
      </c>
      <c r="J325" s="48">
        <v>1.5041459135539349E-2</v>
      </c>
      <c r="K325" s="48">
        <v>1.4575890117717821E-2</v>
      </c>
      <c r="L325" s="48">
        <v>1.4363642340987904E-3</v>
      </c>
      <c r="M325" s="48">
        <v>3.4242923340915155E-3</v>
      </c>
    </row>
    <row r="326" spans="2:13">
      <c r="B326" s="1688" t="s">
        <v>313</v>
      </c>
      <c r="C326" s="1688" t="s">
        <v>311</v>
      </c>
      <c r="D326" s="1688" t="s">
        <v>83</v>
      </c>
      <c r="E326" s="1690">
        <v>1.4961168000000002E-2</v>
      </c>
      <c r="F326" s="1691">
        <v>0.36259515087735805</v>
      </c>
      <c r="G326" s="1692">
        <v>0.86156400000000011</v>
      </c>
      <c r="H326" s="1694">
        <v>5.7780000000000001E-3</v>
      </c>
      <c r="I326" s="1690">
        <v>9.183168000000002E-3</v>
      </c>
      <c r="J326" s="48">
        <v>5.4248469682615019E-3</v>
      </c>
      <c r="K326" s="48"/>
      <c r="L326" s="48">
        <v>2.8890000000000001E-3</v>
      </c>
      <c r="M326" s="48">
        <v>4.591584000000001E-3</v>
      </c>
    </row>
    <row r="327" spans="2:13">
      <c r="B327" s="1688" t="s">
        <v>313</v>
      </c>
      <c r="C327" s="1688" t="s">
        <v>315</v>
      </c>
      <c r="D327" s="1688" t="s">
        <v>83</v>
      </c>
      <c r="E327" s="1690">
        <v>6.6963168000000003E-2</v>
      </c>
      <c r="F327" s="1691">
        <v>0.43684615308872388</v>
      </c>
      <c r="G327" s="1692">
        <v>0.86156400000000011</v>
      </c>
      <c r="H327" s="1690">
        <v>5.7779999999999998E-2</v>
      </c>
      <c r="I327" s="1690">
        <v>9.183168000000002E-3</v>
      </c>
      <c r="J327" s="48">
        <v>2.9252602339433938E-2</v>
      </c>
      <c r="K327" s="48"/>
      <c r="L327" s="48">
        <v>2.8889999999999999E-2</v>
      </c>
      <c r="M327" s="48">
        <v>4.591584000000001E-3</v>
      </c>
    </row>
    <row r="328" spans="2:13" ht="75">
      <c r="B328" s="1684" t="s">
        <v>34</v>
      </c>
      <c r="C328" s="1684" t="s">
        <v>283</v>
      </c>
      <c r="D328" s="1684" t="s">
        <v>70</v>
      </c>
      <c r="E328" s="1686" t="s">
        <v>400</v>
      </c>
      <c r="F328" s="1686" t="s">
        <v>401</v>
      </c>
      <c r="G328" s="1686" t="s">
        <v>402</v>
      </c>
      <c r="H328" s="1685" t="s">
        <v>403</v>
      </c>
      <c r="I328" s="1685" t="s">
        <v>413</v>
      </c>
      <c r="J328" s="1" t="s">
        <v>400</v>
      </c>
      <c r="K328" s="1" t="s">
        <v>402</v>
      </c>
      <c r="L328" s="1" t="s">
        <v>403</v>
      </c>
      <c r="M328" s="1" t="s">
        <v>413</v>
      </c>
    </row>
    <row r="329" spans="2:13">
      <c r="B329" s="1687" t="s">
        <v>317</v>
      </c>
      <c r="C329" s="1688"/>
      <c r="D329" s="1688"/>
      <c r="E329" s="1701"/>
      <c r="F329" s="1701"/>
      <c r="G329" s="1701"/>
      <c r="H329" s="1688"/>
      <c r="I329" s="1688"/>
    </row>
    <row r="330" spans="2:13">
      <c r="B330" s="1688" t="s">
        <v>414</v>
      </c>
      <c r="C330" s="1688" t="s">
        <v>318</v>
      </c>
      <c r="D330" s="1688" t="s">
        <v>91</v>
      </c>
      <c r="E330" s="1690">
        <v>2.4532382439539275</v>
      </c>
      <c r="F330" s="1691">
        <v>1.783281912838499E-2</v>
      </c>
      <c r="G330" s="1692">
        <v>2.3460145415619369</v>
      </c>
      <c r="H330" s="1690">
        <v>2.7566081169645457E-2</v>
      </c>
      <c r="I330" s="1690">
        <v>7.9657621222345196E-2</v>
      </c>
      <c r="J330">
        <v>4.37481538832672E-2</v>
      </c>
      <c r="K330">
        <v>1.1730072707809685E-2</v>
      </c>
      <c r="L330">
        <v>1.3783040584822728E-2</v>
      </c>
      <c r="M330">
        <v>3.9828810611172598E-2</v>
      </c>
    </row>
    <row r="331" spans="2:13">
      <c r="B331" s="1688" t="s">
        <v>114</v>
      </c>
      <c r="C331" s="1688" t="s">
        <v>318</v>
      </c>
      <c r="D331" s="1688" t="s">
        <v>91</v>
      </c>
      <c r="E331" s="1690">
        <v>2.4474556148461235</v>
      </c>
      <c r="F331" s="1691">
        <v>1.7970981044648417E-2</v>
      </c>
      <c r="G331" s="1692">
        <v>2.3395888070390902</v>
      </c>
      <c r="H331" s="1690">
        <v>2.7731416778062439E-2</v>
      </c>
      <c r="I331" s="1690">
        <v>8.0135391028970743E-2</v>
      </c>
      <c r="J331">
        <v>4.3983178462018026E-2</v>
      </c>
      <c r="K331">
        <v>1.1697944035195451E-2</v>
      </c>
      <c r="L331">
        <v>1.386570838903122E-2</v>
      </c>
      <c r="M331">
        <v>4.0067695514485371E-2</v>
      </c>
    </row>
    <row r="332" spans="2:13">
      <c r="B332" s="1699" t="s">
        <v>415</v>
      </c>
      <c r="C332" s="1699" t="s">
        <v>318</v>
      </c>
      <c r="D332" s="1699" t="s">
        <v>91</v>
      </c>
      <c r="E332" s="1695">
        <v>2.4519317098740165</v>
      </c>
      <c r="F332" s="1696">
        <v>1.7970981044648417E-2</v>
      </c>
      <c r="G332" s="1697">
        <v>2.344562703481706</v>
      </c>
      <c r="H332" s="1697">
        <v>2.7603437293130546E-2</v>
      </c>
      <c r="I332" s="1697">
        <v>7.9765569099179673E-2</v>
      </c>
    </row>
    <row r="333" spans="2:13">
      <c r="B333" s="1688" t="s">
        <v>90</v>
      </c>
      <c r="C333" s="1688" t="s">
        <v>318</v>
      </c>
      <c r="D333" s="1688" t="s">
        <v>91</v>
      </c>
      <c r="E333" s="1690">
        <v>2.6938826722389044</v>
      </c>
      <c r="F333" s="1691">
        <v>9.2683021333711309E-3</v>
      </c>
      <c r="G333" s="1692">
        <v>2.6481564193656544</v>
      </c>
      <c r="H333" s="1694">
        <v>3.5391836589202625E-3</v>
      </c>
      <c r="I333" s="1690">
        <v>4.2187069214329527E-2</v>
      </c>
      <c r="J333">
        <v>2.4967718518163363E-2</v>
      </c>
      <c r="K333">
        <v>1.3240782096828272E-2</v>
      </c>
      <c r="L333">
        <v>1.7695918294601313E-3</v>
      </c>
      <c r="M333">
        <v>2.1093534607164764E-2</v>
      </c>
    </row>
    <row r="334" spans="2:13">
      <c r="B334" s="1688" t="s">
        <v>416</v>
      </c>
      <c r="C334" s="1688" t="s">
        <v>318</v>
      </c>
      <c r="D334" s="1688" t="s">
        <v>91</v>
      </c>
      <c r="E334" s="1690">
        <v>1.6443065781333333</v>
      </c>
      <c r="F334" s="1691">
        <v>1.2853285271751128E-2</v>
      </c>
      <c r="G334" s="1692">
        <v>1.6037237333333332</v>
      </c>
      <c r="H334" s="1690">
        <v>3.9080150000000001E-2</v>
      </c>
      <c r="I334" s="1694">
        <v>1.5026948000000002E-3</v>
      </c>
      <c r="J334">
        <v>2.1134741522964667E-2</v>
      </c>
      <c r="K334">
        <v>8.0186186666666662E-3</v>
      </c>
      <c r="L334">
        <v>1.9540075E-2</v>
      </c>
      <c r="M334">
        <v>7.5134740000000011E-4</v>
      </c>
    </row>
    <row r="335" spans="2:13">
      <c r="B335" s="1688" t="s">
        <v>321</v>
      </c>
      <c r="C335" s="1688" t="s">
        <v>318</v>
      </c>
      <c r="D335" s="1688" t="s">
        <v>91</v>
      </c>
      <c r="E335" s="1690"/>
      <c r="F335" s="1691"/>
      <c r="G335" s="1692"/>
      <c r="H335" s="1693"/>
      <c r="I335" s="1702"/>
    </row>
    <row r="336" spans="2:13">
      <c r="B336" s="1688" t="s">
        <v>93</v>
      </c>
      <c r="C336" s="1688" t="s">
        <v>318</v>
      </c>
      <c r="D336" s="1688" t="s">
        <v>91</v>
      </c>
      <c r="E336" s="1690">
        <v>3.0394352468632646</v>
      </c>
      <c r="F336" s="1691">
        <v>6.3459802303280442E-3</v>
      </c>
      <c r="G336" s="1692">
        <v>3.0094797709954637</v>
      </c>
      <c r="H336" s="1694">
        <v>6.7992325251168984E-3</v>
      </c>
      <c r="I336" s="1690">
        <v>2.3156243342683833E-2</v>
      </c>
      <c r="J336">
        <v>1.9288195987956516E-2</v>
      </c>
      <c r="K336">
        <v>1.5047398854977318E-2</v>
      </c>
      <c r="L336">
        <v>3.3996162625584492E-3</v>
      </c>
      <c r="M336">
        <v>1.1578121671341916E-2</v>
      </c>
    </row>
    <row r="337" spans="2:13">
      <c r="B337" s="1688" t="s">
        <v>94</v>
      </c>
      <c r="C337" s="1688" t="s">
        <v>318</v>
      </c>
      <c r="D337" s="1688" t="s">
        <v>91</v>
      </c>
      <c r="E337" s="1690">
        <v>2.9447096721966353</v>
      </c>
      <c r="F337" s="1691">
        <v>6.3891666492790801E-3</v>
      </c>
      <c r="G337" s="1692">
        <v>2.915178023543564</v>
      </c>
      <c r="H337" s="1694">
        <v>6.7030330924610212E-3</v>
      </c>
      <c r="I337" s="1690">
        <v>2.28286155606101E-2</v>
      </c>
      <c r="J337">
        <v>1.8814240829408274E-2</v>
      </c>
      <c r="K337">
        <v>1.4575890117717821E-2</v>
      </c>
      <c r="L337">
        <v>3.3515165462305106E-3</v>
      </c>
      <c r="M337">
        <v>1.141430778030505E-2</v>
      </c>
    </row>
    <row r="340" spans="2:13">
      <c r="B340" s="127" t="s">
        <v>263</v>
      </c>
      <c r="C340" s="85"/>
      <c r="D340" s="85" t="s">
        <v>417</v>
      </c>
      <c r="E340" s="85"/>
      <c r="F340" s="85"/>
      <c r="G340" s="85"/>
    </row>
    <row r="341" spans="2:13">
      <c r="B341" s="85" t="s">
        <v>85</v>
      </c>
      <c r="C341" s="128">
        <v>7.2846118059951394E-3</v>
      </c>
      <c r="D341" s="85"/>
      <c r="E341" s="85"/>
      <c r="F341" s="85"/>
      <c r="G341" s="85"/>
    </row>
    <row r="342" spans="2:13">
      <c r="B342" s="85" t="s">
        <v>86</v>
      </c>
      <c r="C342" s="128">
        <v>0.17766315223689733</v>
      </c>
      <c r="D342" s="85"/>
      <c r="E342" s="85"/>
      <c r="F342" s="85"/>
      <c r="G342" s="85"/>
    </row>
    <row r="343" spans="2:13">
      <c r="B343" s="85" t="s">
        <v>87</v>
      </c>
      <c r="C343" s="128">
        <v>0.15988231817672144</v>
      </c>
      <c r="D343" s="85"/>
      <c r="E343" s="85"/>
      <c r="F343" s="85"/>
      <c r="G343" s="85"/>
    </row>
    <row r="344" spans="2:13">
      <c r="B344" s="85"/>
      <c r="C344" s="85" t="s">
        <v>418</v>
      </c>
      <c r="D344" s="85" t="s">
        <v>144</v>
      </c>
      <c r="E344" s="85" t="s">
        <v>292</v>
      </c>
      <c r="F344" s="85" t="s">
        <v>293</v>
      </c>
      <c r="G344" s="85"/>
    </row>
    <row r="345" spans="2:13">
      <c r="B345" s="85" t="s">
        <v>419</v>
      </c>
      <c r="C345" s="128">
        <v>1.8824285993669634</v>
      </c>
      <c r="D345" s="128">
        <v>1.7401198329819427</v>
      </c>
      <c r="E345" s="128">
        <v>0.13430423403644862</v>
      </c>
      <c r="F345" s="128">
        <v>8.0045323485723376E-3</v>
      </c>
      <c r="G345" s="85" t="b">
        <f>C345=SUM(D345:F345)</f>
        <v>1</v>
      </c>
    </row>
  </sheetData>
  <mergeCells count="80">
    <mergeCell ref="A5:L5"/>
    <mergeCell ref="A6:L6"/>
    <mergeCell ref="A8:L8"/>
    <mergeCell ref="A9:B10"/>
    <mergeCell ref="C9:C10"/>
    <mergeCell ref="D9:D10"/>
    <mergeCell ref="E9:E10"/>
    <mergeCell ref="F9:F10"/>
    <mergeCell ref="G9:G10"/>
    <mergeCell ref="H9:K9"/>
    <mergeCell ref="L9:L10"/>
    <mergeCell ref="N10:O10"/>
    <mergeCell ref="A11:A37"/>
    <mergeCell ref="B11:L11"/>
    <mergeCell ref="B16:L16"/>
    <mergeCell ref="B25:B26"/>
    <mergeCell ref="B27:L27"/>
    <mergeCell ref="B36:B37"/>
    <mergeCell ref="B38:L38"/>
    <mergeCell ref="B39:B40"/>
    <mergeCell ref="L39:L41"/>
    <mergeCell ref="B41:B42"/>
    <mergeCell ref="A215:B215"/>
    <mergeCell ref="A214:L214"/>
    <mergeCell ref="A45:A55"/>
    <mergeCell ref="B52:B53"/>
    <mergeCell ref="B54:B55"/>
    <mergeCell ref="A38:A44"/>
    <mergeCell ref="A161:A163"/>
    <mergeCell ref="A164:A169"/>
    <mergeCell ref="C159:G159"/>
    <mergeCell ref="B216:D216"/>
    <mergeCell ref="Q216:X216"/>
    <mergeCell ref="Z216:AB216"/>
    <mergeCell ref="B217:B218"/>
    <mergeCell ref="C217:C218"/>
    <mergeCell ref="D217:D218"/>
    <mergeCell ref="F217:F218"/>
    <mergeCell ref="G217:G218"/>
    <mergeCell ref="H217:H218"/>
    <mergeCell ref="B268:B269"/>
    <mergeCell ref="B224:B225"/>
    <mergeCell ref="C224:C225"/>
    <mergeCell ref="I224:I225"/>
    <mergeCell ref="Q224:Q225"/>
    <mergeCell ref="B234:B235"/>
    <mergeCell ref="C234:C235"/>
    <mergeCell ref="I234:I235"/>
    <mergeCell ref="A265:L265"/>
    <mergeCell ref="O265:Z265"/>
    <mergeCell ref="P267:S267"/>
    <mergeCell ref="V267:W267"/>
    <mergeCell ref="X267:Y267"/>
    <mergeCell ref="B281:B283"/>
    <mergeCell ref="A271:B271"/>
    <mergeCell ref="B272:C273"/>
    <mergeCell ref="D272:D273"/>
    <mergeCell ref="E272:E273"/>
    <mergeCell ref="H272:H273"/>
    <mergeCell ref="I272:L272"/>
    <mergeCell ref="M272:M273"/>
    <mergeCell ref="A278:L278"/>
    <mergeCell ref="P279:Q279"/>
    <mergeCell ref="F272:F273"/>
    <mergeCell ref="G272:G273"/>
    <mergeCell ref="B284:B286"/>
    <mergeCell ref="P285:Q285"/>
    <mergeCell ref="B287:B288"/>
    <mergeCell ref="M287:N287"/>
    <mergeCell ref="A291:B291"/>
    <mergeCell ref="H292:H293"/>
    <mergeCell ref="I292:L292"/>
    <mergeCell ref="M292:M293"/>
    <mergeCell ref="A298:I298"/>
    <mergeCell ref="O310:R310"/>
    <mergeCell ref="B292:C293"/>
    <mergeCell ref="D292:D293"/>
    <mergeCell ref="E292:E293"/>
    <mergeCell ref="F292:F293"/>
    <mergeCell ref="G292:G293"/>
  </mergeCells>
  <conditionalFormatting sqref="N16:N55">
    <cfRule type="cellIs" dxfId="84" priority="1" operator="lessThan">
      <formula>-0.25</formula>
    </cfRule>
    <cfRule type="cellIs" dxfId="83" priority="2" operator="lessThan">
      <formula>-0.1</formula>
    </cfRule>
    <cfRule type="cellIs" dxfId="82" priority="3" operator="lessThan">
      <formula>-0.25</formula>
    </cfRule>
    <cfRule type="cellIs" dxfId="81" priority="4" operator="greaterThan">
      <formula>0.25</formula>
    </cfRule>
    <cfRule type="cellIs" dxfId="80" priority="5" operator="greaterThan">
      <formula>0.1</formula>
    </cfRule>
    <cfRule type="cellIs" dxfId="79" priority="6" operator="greaterThan">
      <formula>10</formula>
    </cfRule>
  </conditionalFormatting>
  <hyperlinks>
    <hyperlink ref="A156" r:id="rId1" xr:uid="{5F42E46A-D0BA-4721-AE20-2C7FC9253C32}"/>
  </hyperlinks>
  <pageMargins left="0.7" right="0.7" top="0.75" bottom="0.75" header="0.3" footer="0.3"/>
  <pageSetup paperSize="9" orientation="portrait"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499984740745262"/>
  </sheetPr>
  <dimension ref="A1:H54"/>
  <sheetViews>
    <sheetView topLeftCell="A25" zoomScaleNormal="100" workbookViewId="0">
      <selection activeCell="D42" sqref="D42"/>
    </sheetView>
  </sheetViews>
  <sheetFormatPr defaultColWidth="9.140625" defaultRowHeight="15"/>
  <cols>
    <col min="1" max="1" width="16.85546875" customWidth="1"/>
    <col min="2" max="2" width="27.140625" customWidth="1"/>
    <col min="3" max="3" width="5.7109375" customWidth="1"/>
    <col min="4" max="4" width="29.140625" customWidth="1"/>
    <col min="5" max="5" width="30.85546875" customWidth="1"/>
    <col min="6" max="6" width="31" customWidth="1"/>
    <col min="7" max="7" width="30.42578125" customWidth="1"/>
    <col min="8" max="8" width="30.140625" customWidth="1"/>
  </cols>
  <sheetData>
    <row r="1" spans="1:8" ht="31.5">
      <c r="A1" s="64" t="s">
        <v>63</v>
      </c>
    </row>
    <row r="2" spans="1:8" ht="23.25">
      <c r="A2" s="65" t="s">
        <v>420</v>
      </c>
    </row>
    <row r="4" spans="1:8">
      <c r="A4" t="s">
        <v>421</v>
      </c>
    </row>
    <row r="6" spans="1:8">
      <c r="A6" s="1886" t="s">
        <v>422</v>
      </c>
      <c r="B6" s="1887"/>
      <c r="C6" s="1887"/>
      <c r="D6" s="1887"/>
      <c r="E6" s="1887"/>
      <c r="F6" s="1887"/>
      <c r="G6" s="1887"/>
      <c r="H6" s="1888"/>
    </row>
    <row r="7" spans="1:8" ht="15.75" thickBot="1">
      <c r="A7" s="1886"/>
      <c r="B7" s="1887"/>
      <c r="C7" s="1887"/>
      <c r="D7" s="1889"/>
      <c r="E7" s="1890" t="s">
        <v>423</v>
      </c>
      <c r="F7" s="1891"/>
      <c r="G7" s="1891"/>
      <c r="H7" s="1891"/>
    </row>
    <row r="8" spans="1:8" ht="18.75" thickBot="1">
      <c r="A8" s="1892" t="s">
        <v>69</v>
      </c>
      <c r="B8" s="1893"/>
      <c r="C8" s="1373" t="s">
        <v>70</v>
      </c>
      <c r="D8" s="1374" t="s">
        <v>424</v>
      </c>
      <c r="E8" s="1375" t="s">
        <v>59</v>
      </c>
      <c r="F8" s="485" t="s">
        <v>425</v>
      </c>
      <c r="G8" s="485" t="s">
        <v>426</v>
      </c>
      <c r="H8" s="485" t="s">
        <v>427</v>
      </c>
    </row>
    <row r="9" spans="1:8" ht="15.75" customHeight="1">
      <c r="A9" s="1894" t="s">
        <v>80</v>
      </c>
      <c r="B9" s="1895" t="s">
        <v>81</v>
      </c>
      <c r="C9" s="1896"/>
      <c r="D9" s="1896"/>
      <c r="E9" s="1896"/>
      <c r="F9" s="1896"/>
      <c r="G9" s="1896"/>
      <c r="H9" s="1896"/>
    </row>
    <row r="10" spans="1:8" ht="15.75" customHeight="1" thickBot="1">
      <c r="A10" s="1894"/>
      <c r="B10" s="67" t="s">
        <v>82</v>
      </c>
      <c r="C10" s="1376" t="s">
        <v>83</v>
      </c>
      <c r="D10" s="1383"/>
      <c r="E10" s="1378">
        <f>$D$10*'Fuel 2022'!D12</f>
        <v>0</v>
      </c>
      <c r="F10" s="1379">
        <f>$D$10*'Fuel 2022'!E12</f>
        <v>0</v>
      </c>
      <c r="G10" s="1379">
        <f>$D$10*'Fuel 2022'!F12</f>
        <v>0</v>
      </c>
      <c r="H10" s="1380">
        <f>$D$10*'Fuel 2022'!G12</f>
        <v>0</v>
      </c>
    </row>
    <row r="11" spans="1:8" ht="15.75" customHeight="1" thickBot="1">
      <c r="A11" s="1894"/>
      <c r="B11" s="67" t="s">
        <v>85</v>
      </c>
      <c r="C11" s="1376" t="s">
        <v>83</v>
      </c>
      <c r="D11" s="1383"/>
      <c r="E11" s="1378">
        <f>$D$11*'Fuel 2022'!D13</f>
        <v>0</v>
      </c>
      <c r="F11" s="1381">
        <f>$D$11*'Fuel 2022'!E13</f>
        <v>0</v>
      </c>
      <c r="G11" s="1381">
        <f>$D$11*'Fuel 2022'!F13</f>
        <v>0</v>
      </c>
      <c r="H11" s="1381">
        <f>$D$11*'Fuel 2022'!G13</f>
        <v>0</v>
      </c>
    </row>
    <row r="12" spans="1:8" ht="15.75" customHeight="1" thickBot="1">
      <c r="A12" s="1894"/>
      <c r="B12" s="67" t="s">
        <v>86</v>
      </c>
      <c r="C12" s="1376" t="s">
        <v>83</v>
      </c>
      <c r="D12" s="1383"/>
      <c r="E12" s="1378">
        <f>$D$12*'Fuel 2022'!D14</f>
        <v>0</v>
      </c>
      <c r="F12" s="1381">
        <f>$D$12*'Fuel 2022'!E14</f>
        <v>0</v>
      </c>
      <c r="G12" s="1381">
        <f>$D$12*'Fuel 2022'!F14</f>
        <v>0</v>
      </c>
      <c r="H12" s="1381">
        <f>$D$12*'Fuel 2022'!G14</f>
        <v>0</v>
      </c>
    </row>
    <row r="13" spans="1:8" ht="15.75" customHeight="1" thickBot="1">
      <c r="A13" s="1894"/>
      <c r="B13" s="67" t="s">
        <v>87</v>
      </c>
      <c r="C13" s="1376" t="s">
        <v>83</v>
      </c>
      <c r="D13" s="1383"/>
      <c r="E13" s="1378">
        <f>$D$13*'Fuel 2022'!D15</f>
        <v>0</v>
      </c>
      <c r="F13" s="1381">
        <f>$D$13*'Fuel 2022'!E15</f>
        <v>0</v>
      </c>
      <c r="G13" s="1381">
        <f>$D$13*'Fuel 2022'!F15</f>
        <v>0</v>
      </c>
      <c r="H13" s="1381">
        <f>$D$13*'Fuel 2022'!G15</f>
        <v>0</v>
      </c>
    </row>
    <row r="14" spans="1:8" ht="15.75" customHeight="1">
      <c r="A14" s="1894"/>
      <c r="B14" s="1897" t="s">
        <v>88</v>
      </c>
      <c r="C14" s="1897"/>
      <c r="D14" s="1898"/>
      <c r="E14" s="1897"/>
      <c r="F14" s="1897"/>
      <c r="G14" s="1897"/>
      <c r="H14" s="1899"/>
    </row>
    <row r="15" spans="1:8" ht="15.75" customHeight="1" thickBot="1">
      <c r="A15" s="1894"/>
      <c r="B15" s="169" t="s">
        <v>89</v>
      </c>
      <c r="C15" s="137" t="s">
        <v>83</v>
      </c>
      <c r="D15" s="1383"/>
      <c r="E15" s="1378">
        <f>$D$15*'Fuel 2022'!D17</f>
        <v>0</v>
      </c>
      <c r="F15" s="1381">
        <f>$D$15*'Fuel 2022'!E17</f>
        <v>0</v>
      </c>
      <c r="G15" s="1381">
        <f>$D$15*'Fuel 2022'!F17</f>
        <v>0</v>
      </c>
      <c r="H15" s="1381">
        <f>$D$15*'Fuel 2022'!G17</f>
        <v>0</v>
      </c>
    </row>
    <row r="16" spans="1:8" ht="15.75" customHeight="1" thickBot="1">
      <c r="A16" s="1894"/>
      <c r="B16" s="169" t="s">
        <v>85</v>
      </c>
      <c r="C16" s="137" t="s">
        <v>83</v>
      </c>
      <c r="D16" s="1383"/>
      <c r="E16" s="1378">
        <f>$D$16*'Fuel 2022'!D18</f>
        <v>0</v>
      </c>
      <c r="F16" s="1381">
        <f>$D$16*'Fuel 2022'!E18</f>
        <v>0</v>
      </c>
      <c r="G16" s="1381">
        <f>$D$16*'Fuel 2022'!F18</f>
        <v>0</v>
      </c>
      <c r="H16" s="1381">
        <f>$D$16*'Fuel 2022'!G18</f>
        <v>0</v>
      </c>
    </row>
    <row r="17" spans="1:8" ht="15.75" customHeight="1" thickBot="1">
      <c r="A17" s="1894"/>
      <c r="B17" s="169" t="s">
        <v>86</v>
      </c>
      <c r="C17" s="137" t="s">
        <v>83</v>
      </c>
      <c r="D17" s="1383"/>
      <c r="E17" s="1378">
        <f>$D$17*'Fuel 2022'!D19</f>
        <v>0</v>
      </c>
      <c r="F17" s="1381">
        <f>$D$17*'Fuel 2022'!E19</f>
        <v>0</v>
      </c>
      <c r="G17" s="1381">
        <f>$D$17*'Fuel 2022'!F19</f>
        <v>0</v>
      </c>
      <c r="H17" s="1381">
        <f>$D$17*'Fuel 2022'!G19</f>
        <v>0</v>
      </c>
    </row>
    <row r="18" spans="1:8" ht="15.75" customHeight="1" thickBot="1">
      <c r="A18" s="1894"/>
      <c r="B18" s="169" t="s">
        <v>87</v>
      </c>
      <c r="C18" s="137" t="s">
        <v>83</v>
      </c>
      <c r="D18" s="1383"/>
      <c r="E18" s="1378">
        <f>$D$18*'Fuel 2022'!D20</f>
        <v>0</v>
      </c>
      <c r="F18" s="1381">
        <f>$D$18*'Fuel 2022'!E20</f>
        <v>0</v>
      </c>
      <c r="G18" s="1381">
        <f>$D$18*'Fuel 2022'!F20</f>
        <v>0</v>
      </c>
      <c r="H18" s="1381">
        <f>$D$18*'Fuel 2022'!G20</f>
        <v>0</v>
      </c>
    </row>
    <row r="19" spans="1:8" ht="15.75" customHeight="1" thickBot="1">
      <c r="A19" s="1894"/>
      <c r="B19" s="169" t="s">
        <v>90</v>
      </c>
      <c r="C19" s="137" t="s">
        <v>91</v>
      </c>
      <c r="D19" s="1383"/>
      <c r="E19" s="1378">
        <f>$D$19*'Fuel 2022'!D21</f>
        <v>0</v>
      </c>
      <c r="F19" s="1379">
        <f>$D$19*'Fuel 2022'!E21</f>
        <v>0</v>
      </c>
      <c r="G19" s="1379">
        <f>$D$19*'Fuel 2022'!F21</f>
        <v>0</v>
      </c>
      <c r="H19" s="1379">
        <f>$D$19*'Fuel 2022'!G21</f>
        <v>0</v>
      </c>
    </row>
    <row r="20" spans="1:8" ht="15.75" customHeight="1" thickBot="1">
      <c r="A20" s="1894"/>
      <c r="B20" s="169" t="s">
        <v>92</v>
      </c>
      <c r="C20" s="137" t="s">
        <v>83</v>
      </c>
      <c r="D20" s="1383"/>
      <c r="E20" s="1378">
        <f>$D$20*'Fuel 2022'!D22</f>
        <v>0</v>
      </c>
      <c r="F20" s="1381">
        <f>$D$20*'Fuel 2022'!E22</f>
        <v>0</v>
      </c>
      <c r="G20" s="1381">
        <f>$D$20*'Fuel 2022'!F22</f>
        <v>0</v>
      </c>
      <c r="H20" s="1381">
        <f>$D$20*'Fuel 2022'!G22</f>
        <v>0</v>
      </c>
    </row>
    <row r="21" spans="1:8" ht="15.75" customHeight="1" thickBot="1">
      <c r="A21" s="1894"/>
      <c r="B21" s="169" t="s">
        <v>93</v>
      </c>
      <c r="C21" s="137" t="s">
        <v>91</v>
      </c>
      <c r="D21" s="1383"/>
      <c r="E21" s="1378">
        <f>$D$21*'Fuel 2022'!D23</f>
        <v>0</v>
      </c>
      <c r="F21" s="1381">
        <f>$D$21*'Fuel 2022'!E23</f>
        <v>0</v>
      </c>
      <c r="G21" s="1381">
        <f>$D$21*'Fuel 2022'!F23</f>
        <v>0</v>
      </c>
      <c r="H21" s="1381">
        <f>$D$21*'Fuel 2022'!G23</f>
        <v>0</v>
      </c>
    </row>
    <row r="22" spans="1:8" ht="15.75" customHeight="1" thickBot="1">
      <c r="A22" s="1894"/>
      <c r="B22" s="169" t="s">
        <v>94</v>
      </c>
      <c r="C22" s="137" t="s">
        <v>91</v>
      </c>
      <c r="D22" s="1383"/>
      <c r="E22" s="1378">
        <f>$D$22*'Fuel 2022'!D24</f>
        <v>0</v>
      </c>
      <c r="F22" s="1381">
        <f>$D$22*'Fuel 2022'!E24</f>
        <v>0</v>
      </c>
      <c r="G22" s="1381">
        <f>$D$22*'Fuel 2022'!F24</f>
        <v>0</v>
      </c>
      <c r="H22" s="1381">
        <f>$D$22*'Fuel 2022'!G24</f>
        <v>0</v>
      </c>
    </row>
    <row r="23" spans="1:8" ht="15.75" customHeight="1" thickBot="1">
      <c r="A23" s="1894"/>
      <c r="B23" s="1882" t="s">
        <v>95</v>
      </c>
      <c r="C23" s="137" t="s">
        <v>96</v>
      </c>
      <c r="D23" s="1383"/>
      <c r="E23" s="1378">
        <f>$D$23*'Fuel 2022'!D25</f>
        <v>0</v>
      </c>
      <c r="F23" s="1381">
        <f>$D$23*'Fuel 2022'!E25</f>
        <v>0</v>
      </c>
      <c r="G23" s="1381">
        <f>$D$23*'Fuel 2022'!F25</f>
        <v>0</v>
      </c>
      <c r="H23" s="1381">
        <f>$D$23*'Fuel 2022'!G25</f>
        <v>0</v>
      </c>
    </row>
    <row r="24" spans="1:8" ht="15.75" customHeight="1" thickBot="1">
      <c r="A24" s="1894"/>
      <c r="B24" s="1882"/>
      <c r="C24" s="137" t="s">
        <v>97</v>
      </c>
      <c r="D24" s="1383"/>
      <c r="E24" s="1378">
        <f>$D$24*'Fuel 2022'!D26</f>
        <v>0</v>
      </c>
      <c r="F24" s="1381">
        <f>$D$24*'Fuel 2022'!E26</f>
        <v>0</v>
      </c>
      <c r="G24" s="1381">
        <f>$D$24*'Fuel 2022'!F26</f>
        <v>0</v>
      </c>
      <c r="H24" s="1381">
        <f>$D$24*'Fuel 2022'!G26</f>
        <v>0</v>
      </c>
    </row>
    <row r="25" spans="1:8" ht="15.75" customHeight="1">
      <c r="A25" s="1894"/>
      <c r="B25" s="1897" t="s">
        <v>98</v>
      </c>
      <c r="C25" s="1897"/>
      <c r="D25" s="1898"/>
      <c r="E25" s="1897"/>
      <c r="F25" s="1897"/>
      <c r="G25" s="1897"/>
      <c r="H25" s="1899"/>
    </row>
    <row r="26" spans="1:8" ht="15.75" customHeight="1" thickBot="1">
      <c r="A26" s="1894"/>
      <c r="B26" s="169" t="s">
        <v>82</v>
      </c>
      <c r="C26" s="137" t="s">
        <v>83</v>
      </c>
      <c r="D26" s="1383"/>
      <c r="E26" s="1378">
        <f>$D$26*'Fuel 2022'!D28</f>
        <v>0</v>
      </c>
      <c r="F26" s="1381">
        <f>$D$26*'Fuel 2022'!E28</f>
        <v>0</v>
      </c>
      <c r="G26" s="1381">
        <f>$D$26*'Fuel 2022'!F28</f>
        <v>0</v>
      </c>
      <c r="H26" s="1381">
        <f>$D$26*'Fuel 2022'!G28</f>
        <v>0</v>
      </c>
    </row>
    <row r="27" spans="1:8" ht="15.75" customHeight="1" thickBot="1">
      <c r="A27" s="1894"/>
      <c r="B27" s="169" t="s">
        <v>85</v>
      </c>
      <c r="C27" s="137" t="s">
        <v>83</v>
      </c>
      <c r="D27" s="1383"/>
      <c r="E27" s="1378">
        <f>$D$27*'Fuel 2022'!D29</f>
        <v>0</v>
      </c>
      <c r="F27" s="1381">
        <f>$D$27*'Fuel 2022'!E29</f>
        <v>0</v>
      </c>
      <c r="G27" s="1381">
        <f>$D$27*'Fuel 2022'!F29</f>
        <v>0</v>
      </c>
      <c r="H27" s="1381">
        <f>$D$27*'Fuel 2022'!G29</f>
        <v>0</v>
      </c>
    </row>
    <row r="28" spans="1:8" ht="15.75" customHeight="1" thickBot="1">
      <c r="A28" s="1894"/>
      <c r="B28" s="169" t="s">
        <v>86</v>
      </c>
      <c r="C28" s="137" t="s">
        <v>83</v>
      </c>
      <c r="D28" s="1383"/>
      <c r="E28" s="1378">
        <f>$D$28*'Fuel 2022'!D30</f>
        <v>0</v>
      </c>
      <c r="F28" s="1381">
        <f>$D$28*'Fuel 2022'!E30</f>
        <v>0</v>
      </c>
      <c r="G28" s="1381">
        <f>$D$28*'Fuel 2022'!F30</f>
        <v>0</v>
      </c>
      <c r="H28" s="1381">
        <f>$D$28*'Fuel 2022'!G30</f>
        <v>0</v>
      </c>
    </row>
    <row r="29" spans="1:8" ht="15.75" customHeight="1" thickBot="1">
      <c r="A29" s="1894"/>
      <c r="B29" s="169" t="s">
        <v>428</v>
      </c>
      <c r="C29" s="137" t="s">
        <v>83</v>
      </c>
      <c r="D29" s="1383"/>
      <c r="E29" s="1378">
        <f>$D$29*'Fuel 2022'!D31</f>
        <v>0</v>
      </c>
      <c r="F29" s="1381">
        <f>$D$29*'Fuel 2022'!E31</f>
        <v>0</v>
      </c>
      <c r="G29" s="1381">
        <f>$D$29*'Fuel 2022'!F31</f>
        <v>0</v>
      </c>
      <c r="H29" s="1381">
        <f>$D$29*'Fuel 2022'!G31</f>
        <v>0</v>
      </c>
    </row>
    <row r="30" spans="1:8" ht="15.75" customHeight="1" thickBot="1">
      <c r="A30" s="1894"/>
      <c r="B30" s="169" t="s">
        <v>90</v>
      </c>
      <c r="C30" s="137" t="s">
        <v>91</v>
      </c>
      <c r="D30" s="1383"/>
      <c r="E30" s="1378">
        <f>$D$30*'Fuel 2022'!D32</f>
        <v>0</v>
      </c>
      <c r="F30" s="1381">
        <f>$D$30*'Fuel 2022'!E32</f>
        <v>0</v>
      </c>
      <c r="G30" s="1381">
        <f>$D$30*'Fuel 2022'!F32</f>
        <v>0</v>
      </c>
      <c r="H30" s="1381">
        <f>$D$30*'Fuel 2022'!G32</f>
        <v>0</v>
      </c>
    </row>
    <row r="31" spans="1:8" ht="15.75" customHeight="1" thickBot="1">
      <c r="A31" s="1894"/>
      <c r="B31" s="169" t="s">
        <v>92</v>
      </c>
      <c r="C31" s="137" t="s">
        <v>83</v>
      </c>
      <c r="D31" s="1383"/>
      <c r="E31" s="1378">
        <f>$D$31*'Fuel 2022'!D33</f>
        <v>0</v>
      </c>
      <c r="F31" s="1381">
        <f>$D$31*'Fuel 2022'!E33</f>
        <v>0</v>
      </c>
      <c r="G31" s="1381">
        <f>$D$31*'Fuel 2022'!F33</f>
        <v>0</v>
      </c>
      <c r="H31" s="1381">
        <f>$D$31*'Fuel 2022'!G33</f>
        <v>0</v>
      </c>
    </row>
    <row r="32" spans="1:8" ht="15.75" customHeight="1" thickBot="1">
      <c r="A32" s="1894"/>
      <c r="B32" s="169" t="s">
        <v>93</v>
      </c>
      <c r="C32" s="137" t="s">
        <v>91</v>
      </c>
      <c r="D32" s="1383"/>
      <c r="E32" s="1378">
        <f>$D$32*'Fuel 2022'!D34</f>
        <v>0</v>
      </c>
      <c r="F32" s="1381">
        <f>$D$32*'Fuel 2022'!E34</f>
        <v>0</v>
      </c>
      <c r="G32" s="1381">
        <f>$D$32*'Fuel 2022'!F34</f>
        <v>0</v>
      </c>
      <c r="H32" s="1381">
        <f>$D$32*'Fuel 2022'!G34</f>
        <v>0</v>
      </c>
    </row>
    <row r="33" spans="1:8" ht="15.75" customHeight="1" thickBot="1">
      <c r="A33" s="1894"/>
      <c r="B33" s="169" t="s">
        <v>94</v>
      </c>
      <c r="C33" s="137" t="s">
        <v>91</v>
      </c>
      <c r="D33" s="1383"/>
      <c r="E33" s="1378">
        <f>$D$33*'Fuel 2022'!D35</f>
        <v>0</v>
      </c>
      <c r="F33" s="1381">
        <f>$D$33*'Fuel 2022'!E35</f>
        <v>0</v>
      </c>
      <c r="G33" s="1381">
        <f>$D$33*'Fuel 2022'!F35</f>
        <v>0</v>
      </c>
      <c r="H33" s="1381">
        <f>$D$33*'Fuel 2022'!G35</f>
        <v>0</v>
      </c>
    </row>
    <row r="34" spans="1:8" ht="15.75" customHeight="1" thickBot="1">
      <c r="A34" s="1894"/>
      <c r="B34" s="1882" t="s">
        <v>95</v>
      </c>
      <c r="C34" s="137" t="s">
        <v>96</v>
      </c>
      <c r="D34" s="1383"/>
      <c r="E34" s="1378">
        <f>$D$34*'Fuel 2022'!D36</f>
        <v>0</v>
      </c>
      <c r="F34" s="1381">
        <f>$D$34*'Fuel 2022'!E36</f>
        <v>0</v>
      </c>
      <c r="G34" s="1381">
        <f>$D$34*'Fuel 2022'!F36</f>
        <v>0</v>
      </c>
      <c r="H34" s="1381">
        <f>$D$34*'Fuel 2022'!G36</f>
        <v>0</v>
      </c>
    </row>
    <row r="35" spans="1:8" ht="15.75" customHeight="1" thickBot="1">
      <c r="A35" s="1894"/>
      <c r="B35" s="1882"/>
      <c r="C35" s="137" t="s">
        <v>97</v>
      </c>
      <c r="D35" s="1383"/>
      <c r="E35" s="1378">
        <f>$D$35*'Fuel 2022'!D37</f>
        <v>0</v>
      </c>
      <c r="F35" s="1381">
        <f>$D$35*'Fuel 2022'!E37</f>
        <v>0</v>
      </c>
      <c r="G35" s="1381">
        <f>$D$35*'Fuel 2022'!F37</f>
        <v>0</v>
      </c>
      <c r="H35" s="1381">
        <f>$D$35*'Fuel 2022'!G37</f>
        <v>0</v>
      </c>
    </row>
    <row r="36" spans="1:8" ht="16.5" customHeight="1" thickBot="1">
      <c r="A36" s="1879" t="s">
        <v>429</v>
      </c>
      <c r="B36" s="1882" t="s">
        <v>105</v>
      </c>
      <c r="C36" s="137" t="s">
        <v>97</v>
      </c>
      <c r="D36" s="1383"/>
      <c r="E36" s="1378">
        <f>G36+H36</f>
        <v>0</v>
      </c>
      <c r="F36" s="1379">
        <f>$D$36*'Fuel 2022'!E39</f>
        <v>0</v>
      </c>
      <c r="G36" s="1379">
        <f>$D$36*'Fuel 2022'!F39</f>
        <v>0</v>
      </c>
      <c r="H36" s="1380">
        <f>$D$36*'Fuel 2022'!G39</f>
        <v>0</v>
      </c>
    </row>
    <row r="37" spans="1:8" ht="16.5" customHeight="1" thickBot="1">
      <c r="A37" s="1880"/>
      <c r="B37" s="1882"/>
      <c r="C37" s="137" t="s">
        <v>91</v>
      </c>
      <c r="D37" s="1383"/>
      <c r="E37" s="1378">
        <f t="shared" ref="E37:E41" si="0">G37+H37</f>
        <v>0</v>
      </c>
      <c r="F37" s="1379">
        <f>$D$37*'Fuel 2022'!E40</f>
        <v>0</v>
      </c>
      <c r="G37" s="1379">
        <f>$D$37*'Fuel 2022'!F40</f>
        <v>0</v>
      </c>
      <c r="H37" s="1380">
        <f>$D$37*'Fuel 2022'!G40</f>
        <v>0</v>
      </c>
    </row>
    <row r="38" spans="1:8" ht="16.5" customHeight="1" thickBot="1">
      <c r="A38" s="1880"/>
      <c r="B38" s="1882" t="s">
        <v>430</v>
      </c>
      <c r="C38" s="137" t="s">
        <v>97</v>
      </c>
      <c r="D38" s="1383"/>
      <c r="E38" s="1378">
        <f t="shared" si="0"/>
        <v>0</v>
      </c>
      <c r="F38" s="1379">
        <f>$D$38*'Fuel 2022'!E41</f>
        <v>0</v>
      </c>
      <c r="G38" s="1379">
        <f>$D$38*'Fuel 2022'!F41</f>
        <v>0</v>
      </c>
      <c r="H38" s="1379">
        <f>$D$38*'Fuel 2022'!G41</f>
        <v>0</v>
      </c>
    </row>
    <row r="39" spans="1:8" ht="16.5" customHeight="1" thickBot="1">
      <c r="A39" s="1880"/>
      <c r="B39" s="1882"/>
      <c r="C39" s="137" t="s">
        <v>91</v>
      </c>
      <c r="D39" s="1383"/>
      <c r="E39" s="1378">
        <f t="shared" si="0"/>
        <v>0</v>
      </c>
      <c r="F39" s="1379">
        <f>$D$39*'Fuel 2022'!E42</f>
        <v>0</v>
      </c>
      <c r="G39" s="1379">
        <f>$D$39*'Fuel 2022'!F42</f>
        <v>0</v>
      </c>
      <c r="H39" s="1380">
        <f>$D$39*'Fuel 2022'!G42</f>
        <v>0</v>
      </c>
    </row>
    <row r="40" spans="1:8" ht="16.5" customHeight="1" thickBot="1">
      <c r="A40" s="1880"/>
      <c r="B40" s="169" t="s">
        <v>108</v>
      </c>
      <c r="C40" s="137" t="s">
        <v>83</v>
      </c>
      <c r="D40" s="1383"/>
      <c r="E40" s="1378">
        <f t="shared" si="0"/>
        <v>0</v>
      </c>
      <c r="F40" s="1379">
        <f>$D$40*'Fuel 2022'!E43</f>
        <v>0</v>
      </c>
      <c r="G40" s="1379">
        <f>$D$40*'Fuel 2022'!F43</f>
        <v>0</v>
      </c>
      <c r="H40" s="1380">
        <f>$D$40*'Fuel 2022'!G43</f>
        <v>0</v>
      </c>
    </row>
    <row r="41" spans="1:8" ht="16.5" customHeight="1" thickBot="1">
      <c r="A41" s="1881"/>
      <c r="B41" s="169" t="s">
        <v>110</v>
      </c>
      <c r="C41" s="137" t="s">
        <v>83</v>
      </c>
      <c r="D41" s="1383"/>
      <c r="E41" s="1378">
        <f t="shared" si="0"/>
        <v>0</v>
      </c>
      <c r="F41" s="1379">
        <f>$D$41*'Fuel 2022'!E44</f>
        <v>0</v>
      </c>
      <c r="G41" s="1379">
        <f>$D$41*'Fuel 2022'!F44</f>
        <v>0</v>
      </c>
      <c r="H41" s="1379">
        <f>$D$41*'Fuel 2022'!G44</f>
        <v>0</v>
      </c>
    </row>
    <row r="42" spans="1:8" ht="15.75" customHeight="1" thickBot="1">
      <c r="A42" s="1883" t="s">
        <v>112</v>
      </c>
      <c r="B42" s="169" t="s">
        <v>113</v>
      </c>
      <c r="C42" s="137" t="s">
        <v>91</v>
      </c>
      <c r="D42" s="1383"/>
      <c r="E42" s="1378">
        <f>$D$42*'Fuel 2022'!D45</f>
        <v>0</v>
      </c>
      <c r="F42" s="1381">
        <f>$D$42*'Fuel 2022'!E45</f>
        <v>0</v>
      </c>
      <c r="G42" s="1381">
        <f>$D$42*'Fuel 2022'!F45</f>
        <v>0</v>
      </c>
      <c r="H42" s="1381">
        <f>$D$42*'Fuel 2022'!G45</f>
        <v>0</v>
      </c>
    </row>
    <row r="43" spans="1:8" ht="15.75" customHeight="1" thickBot="1">
      <c r="A43" s="1884"/>
      <c r="B43" s="169" t="s">
        <v>114</v>
      </c>
      <c r="C43" s="137" t="s">
        <v>91</v>
      </c>
      <c r="D43" s="1383"/>
      <c r="E43" s="1378">
        <f>$D$43*'Fuel 2022'!D46</f>
        <v>0</v>
      </c>
      <c r="F43" s="1381">
        <f>$D$43*'Fuel 2022'!E46</f>
        <v>0</v>
      </c>
      <c r="G43" s="1381">
        <f>$D$43*'Fuel 2022'!F46</f>
        <v>0</v>
      </c>
      <c r="H43" s="1381">
        <f>$D$43*'Fuel 2022'!G46</f>
        <v>0</v>
      </c>
    </row>
    <row r="44" spans="1:8" ht="15.75" customHeight="1" thickBot="1">
      <c r="A44" s="1884"/>
      <c r="B44" s="169" t="s">
        <v>90</v>
      </c>
      <c r="C44" s="137" t="s">
        <v>91</v>
      </c>
      <c r="D44" s="1383"/>
      <c r="E44" s="1378">
        <f>$D$44*'Fuel 2022'!D48</f>
        <v>0</v>
      </c>
      <c r="F44" s="1381">
        <f>$D$44*'Fuel 2022'!E48</f>
        <v>0</v>
      </c>
      <c r="G44" s="1381">
        <f>$D$44*'Fuel 2022'!F48</f>
        <v>0</v>
      </c>
      <c r="H44" s="1381">
        <f>$D$44*'Fuel 2022'!G48</f>
        <v>0</v>
      </c>
    </row>
    <row r="45" spans="1:8" ht="15.75" customHeight="1" thickBot="1">
      <c r="A45" s="1884"/>
      <c r="B45" s="169" t="s">
        <v>92</v>
      </c>
      <c r="C45" s="137" t="s">
        <v>91</v>
      </c>
      <c r="D45" s="1383"/>
      <c r="E45" s="1378">
        <f>$D$45*'Fuel 2022'!D49</f>
        <v>0</v>
      </c>
      <c r="F45" s="1381">
        <f>$D$45*'Fuel 2022'!E49</f>
        <v>0</v>
      </c>
      <c r="G45" s="1381">
        <f>$D$45*'Fuel 2022'!F49</f>
        <v>0</v>
      </c>
      <c r="H45" s="1381">
        <f>$D$45*'Fuel 2022'!G49</f>
        <v>0</v>
      </c>
    </row>
    <row r="46" spans="1:8" ht="15.75" customHeight="1" thickBot="1">
      <c r="A46" s="1884"/>
      <c r="B46" s="169" t="s">
        <v>93</v>
      </c>
      <c r="C46" s="137" t="s">
        <v>91</v>
      </c>
      <c r="D46" s="1383"/>
      <c r="E46" s="1378">
        <f>$D$46*'Fuel 2022'!D50</f>
        <v>0</v>
      </c>
      <c r="F46" s="1381">
        <f>$D$46*'Fuel 2022'!E50</f>
        <v>0</v>
      </c>
      <c r="G46" s="1381">
        <f>$D$46*'Fuel 2022'!F50</f>
        <v>0</v>
      </c>
      <c r="H46" s="1381">
        <f>$D$46*'Fuel 2022'!G50</f>
        <v>0</v>
      </c>
    </row>
    <row r="47" spans="1:8" ht="15.75" customHeight="1" thickBot="1">
      <c r="A47" s="1884"/>
      <c r="B47" s="169" t="s">
        <v>94</v>
      </c>
      <c r="C47" s="137" t="s">
        <v>91</v>
      </c>
      <c r="D47" s="1383"/>
      <c r="E47" s="1378">
        <f>$D$47*'Fuel 2022'!D51</f>
        <v>0</v>
      </c>
      <c r="F47" s="1381">
        <f>$D$47*'Fuel 2022'!E51</f>
        <v>0</v>
      </c>
      <c r="G47" s="1381">
        <f>$D$47*'Fuel 2022'!F51</f>
        <v>0</v>
      </c>
      <c r="H47" s="1381">
        <f>$D$47*'Fuel 2022'!G51</f>
        <v>0</v>
      </c>
    </row>
    <row r="48" spans="1:8" ht="15" customHeight="1" thickBot="1">
      <c r="A48" s="1884"/>
      <c r="B48" s="1882" t="s">
        <v>115</v>
      </c>
      <c r="C48" s="137" t="s">
        <v>97</v>
      </c>
      <c r="D48" s="1383"/>
      <c r="E48" s="1378">
        <f>$D$48*'Fuel 2022'!D52</f>
        <v>0</v>
      </c>
      <c r="F48" s="1381">
        <f>$D$48*'Fuel 2022'!E52</f>
        <v>0</v>
      </c>
      <c r="G48" s="1381">
        <f>$D$48*'Fuel 2022'!F52</f>
        <v>0</v>
      </c>
      <c r="H48" s="1381">
        <f>$D$48*'Fuel 2022'!G52</f>
        <v>0</v>
      </c>
    </row>
    <row r="49" spans="1:8" ht="15" customHeight="1" thickBot="1">
      <c r="A49" s="1884"/>
      <c r="B49" s="1882"/>
      <c r="C49" s="137" t="s">
        <v>91</v>
      </c>
      <c r="D49" s="1383"/>
      <c r="E49" s="1378">
        <f>$D$49*'Fuel 2022'!D53</f>
        <v>0</v>
      </c>
      <c r="F49" s="1381">
        <f>$D$49*'Fuel 2022'!E53</f>
        <v>0</v>
      </c>
      <c r="G49" s="1381">
        <f>$D$49*'Fuel 2022'!F53</f>
        <v>0</v>
      </c>
      <c r="H49" s="1381">
        <f>$D$49*'Fuel 2022'!G53</f>
        <v>0</v>
      </c>
    </row>
    <row r="50" spans="1:8" ht="15.75" customHeight="1" thickBot="1">
      <c r="A50" s="1884"/>
      <c r="B50" s="1882" t="s">
        <v>116</v>
      </c>
      <c r="C50" s="137" t="s">
        <v>97</v>
      </c>
      <c r="D50" s="1383"/>
      <c r="E50" s="1378">
        <f>$D$50*'Fuel 2022'!D54</f>
        <v>0</v>
      </c>
      <c r="F50" s="1381">
        <f>$D$50*'Fuel 2022'!E54</f>
        <v>0</v>
      </c>
      <c r="G50" s="1381">
        <f>$D$50*'Fuel 2022'!F54</f>
        <v>0</v>
      </c>
      <c r="H50" s="1381">
        <f>$D$50*'Fuel 2022'!G54</f>
        <v>0</v>
      </c>
    </row>
    <row r="51" spans="1:8" ht="15.75" customHeight="1" thickBot="1">
      <c r="A51" s="1885"/>
      <c r="B51" s="1882"/>
      <c r="C51" s="137" t="s">
        <v>91</v>
      </c>
      <c r="D51" s="1383"/>
      <c r="E51" s="1378">
        <f>$D$51*'Fuel 2022'!D55</f>
        <v>0</v>
      </c>
      <c r="F51" s="1381">
        <f>$D$51*'Fuel 2022'!E55</f>
        <v>0</v>
      </c>
      <c r="G51" s="1381">
        <f>$D$51*'Fuel 2022'!F55</f>
        <v>0</v>
      </c>
      <c r="H51" s="1381">
        <f>$D$51*'Fuel 2022'!G55</f>
        <v>0</v>
      </c>
    </row>
    <row r="52" spans="1:8">
      <c r="D52" s="1382" t="s">
        <v>247</v>
      </c>
      <c r="E52" s="175">
        <f>SUM(E26:E51)+SUM(E15:E24)+SUM(E10:E13)-SUM(E36:E41)</f>
        <v>0</v>
      </c>
      <c r="F52" s="175">
        <f>SUM(F26:F51)+SUM(F15:F24)+SUM(F10:F13)-SUM(F36:F41)</f>
        <v>0</v>
      </c>
      <c r="G52" s="175">
        <f>SUM(G26:G51)+SUM(G15:G24)+SUM(G10:G13)-SUM(G36:G41)</f>
        <v>0</v>
      </c>
      <c r="H52" s="175">
        <f>SUM(H26:H51)+SUM(H15:H24)+SUM(H10:H13)-SUM(H36:H41)</f>
        <v>0</v>
      </c>
    </row>
    <row r="54" spans="1:8" s="102" customFormat="1" ht="15.75" thickBot="1"/>
  </sheetData>
  <sheetProtection algorithmName="SHA-512" hashValue="x2uAc3WnOZyYn5Fwk7DGI12C9rzAMsx+q8OcjicClIUCUKQixYryio0Wep8Kxt1qDv9pmlBDHcGbi8kY5r90DA==" saltValue="bFj72tzwwq8eg5NGc8LEtw==" spinCount="100000" sheet="1" objects="1" scenarios="1" selectLockedCells="1"/>
  <mergeCells count="16">
    <mergeCell ref="A6:H6"/>
    <mergeCell ref="A7:D7"/>
    <mergeCell ref="E7:H7"/>
    <mergeCell ref="A8:B8"/>
    <mergeCell ref="A9:A35"/>
    <mergeCell ref="B9:H9"/>
    <mergeCell ref="B14:H14"/>
    <mergeCell ref="B23:B24"/>
    <mergeCell ref="B25:H25"/>
    <mergeCell ref="B34:B35"/>
    <mergeCell ref="A36:A41"/>
    <mergeCell ref="B36:B37"/>
    <mergeCell ref="B38:B39"/>
    <mergeCell ref="B48:B49"/>
    <mergeCell ref="B50:B51"/>
    <mergeCell ref="A42:A5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Q236"/>
  <sheetViews>
    <sheetView topLeftCell="A7" zoomScale="80" zoomScaleNormal="80" workbookViewId="0">
      <selection activeCell="A31" sqref="A31"/>
    </sheetView>
  </sheetViews>
  <sheetFormatPr defaultColWidth="9.140625" defaultRowHeight="15"/>
  <cols>
    <col min="1" max="1" width="62.85546875" customWidth="1"/>
    <col min="2" max="2" width="26.7109375" customWidth="1"/>
    <col min="3" max="3" width="31.5703125" customWidth="1"/>
    <col min="4" max="4" width="17.140625" customWidth="1"/>
    <col min="5" max="5" width="17.28515625" customWidth="1"/>
    <col min="6" max="6" width="14.28515625" customWidth="1"/>
    <col min="7" max="7" width="13.5703125" customWidth="1"/>
    <col min="8" max="8" width="14.85546875" customWidth="1"/>
    <col min="9" max="9" width="14.42578125" customWidth="1"/>
    <col min="10" max="10" width="15.5703125" customWidth="1"/>
    <col min="11" max="11" width="12.42578125" bestFit="1" customWidth="1"/>
    <col min="12" max="13" width="16.5703125" customWidth="1"/>
    <col min="15" max="15" width="10" bestFit="1" customWidth="1"/>
  </cols>
  <sheetData>
    <row r="1" spans="1:14" ht="31.5">
      <c r="A1" s="64" t="s">
        <v>63</v>
      </c>
      <c r="B1" s="64"/>
      <c r="K1" s="228"/>
      <c r="L1" s="228"/>
    </row>
    <row r="2" spans="1:14" ht="23.25">
      <c r="A2" s="65" t="s">
        <v>431</v>
      </c>
      <c r="B2" s="65"/>
    </row>
    <row r="4" spans="1:14" ht="31.5">
      <c r="A4" s="64" t="s">
        <v>432</v>
      </c>
      <c r="B4" s="64"/>
    </row>
    <row r="5" spans="1:14">
      <c r="A5" s="1905" t="s">
        <v>66</v>
      </c>
      <c r="B5" s="1905"/>
      <c r="C5" s="1905"/>
      <c r="D5" s="1905"/>
      <c r="E5" s="1905"/>
      <c r="F5" s="1905"/>
      <c r="G5" s="1905"/>
      <c r="H5" s="1905"/>
      <c r="I5" s="1905"/>
      <c r="J5" s="1905"/>
    </row>
    <row r="6" spans="1:14" ht="17.25" customHeight="1">
      <c r="A6" s="1906" t="s">
        <v>433</v>
      </c>
      <c r="B6" s="1906"/>
      <c r="C6" s="1906"/>
      <c r="D6" s="1906"/>
      <c r="E6" s="1906"/>
      <c r="F6" s="1906"/>
      <c r="G6" s="1906"/>
      <c r="H6" s="1906"/>
      <c r="I6" s="1906"/>
      <c r="J6" s="1906"/>
    </row>
    <row r="7" spans="1:14" ht="17.25" customHeight="1">
      <c r="A7" s="499"/>
      <c r="B7" s="499"/>
      <c r="C7" s="499"/>
      <c r="D7" s="499"/>
      <c r="E7" s="499"/>
      <c r="F7" s="499"/>
      <c r="G7" s="499"/>
      <c r="H7" s="499"/>
      <c r="I7" s="499"/>
      <c r="J7" s="499"/>
    </row>
    <row r="8" spans="1:14" ht="17.25" customHeight="1">
      <c r="A8" s="1886" t="s">
        <v>434</v>
      </c>
      <c r="B8" s="1886"/>
      <c r="C8" s="1887"/>
      <c r="D8" s="1887"/>
      <c r="E8" s="1887"/>
      <c r="F8" s="1887"/>
      <c r="G8" s="1887"/>
      <c r="H8" s="1887"/>
      <c r="I8" s="1887"/>
      <c r="J8" s="1888"/>
    </row>
    <row r="9" spans="1:14" ht="17.25" customHeight="1">
      <c r="A9" s="1900" t="s">
        <v>69</v>
      </c>
      <c r="B9" s="1900"/>
      <c r="C9" s="1901"/>
      <c r="D9" s="492" t="s">
        <v>70</v>
      </c>
      <c r="E9" s="486" t="s">
        <v>435</v>
      </c>
      <c r="F9" s="485" t="s">
        <v>436</v>
      </c>
      <c r="G9" s="485" t="s">
        <v>437</v>
      </c>
      <c r="H9" s="485" t="s">
        <v>438</v>
      </c>
      <c r="I9" s="487" t="s">
        <v>439</v>
      </c>
      <c r="J9" s="488" t="s">
        <v>76</v>
      </c>
    </row>
    <row r="10" spans="1:14" ht="17.25" customHeight="1">
      <c r="A10" s="1903" t="s">
        <v>434</v>
      </c>
      <c r="B10" s="1883"/>
      <c r="C10" s="1882" t="s">
        <v>440</v>
      </c>
      <c r="D10" s="169" t="s">
        <v>96</v>
      </c>
      <c r="E10" s="835">
        <v>1.1564454458054912E-2</v>
      </c>
      <c r="F10" s="1198" t="s">
        <v>48</v>
      </c>
      <c r="G10" s="1199">
        <v>1.1564454458054912E-2</v>
      </c>
      <c r="H10" s="1200" t="s">
        <v>48</v>
      </c>
      <c r="I10" s="903" t="s">
        <v>441</v>
      </c>
      <c r="J10" s="1703"/>
      <c r="L10" s="447"/>
      <c r="N10" s="153"/>
    </row>
    <row r="11" spans="1:14" ht="17.25" customHeight="1">
      <c r="A11" s="1904"/>
      <c r="B11" s="1884"/>
      <c r="C11" s="1882"/>
      <c r="D11" s="169" t="s">
        <v>97</v>
      </c>
      <c r="E11" s="835">
        <v>3.212348460570809</v>
      </c>
      <c r="F11" s="1198" t="s">
        <v>48</v>
      </c>
      <c r="G11" s="1199">
        <v>3.212348460570809</v>
      </c>
      <c r="H11" s="1200" t="s">
        <v>48</v>
      </c>
      <c r="I11" s="903" t="s">
        <v>441</v>
      </c>
      <c r="J11" s="1703"/>
      <c r="L11" s="447"/>
    </row>
    <row r="12" spans="1:14" ht="17.25" customHeight="1">
      <c r="A12" s="499"/>
      <c r="B12" s="499"/>
      <c r="C12" s="499"/>
      <c r="D12" s="499"/>
      <c r="E12" s="499"/>
      <c r="F12" s="499"/>
      <c r="G12" s="499"/>
      <c r="H12" s="499"/>
      <c r="I12" s="499"/>
      <c r="J12" s="499"/>
      <c r="L12" s="447"/>
    </row>
    <row r="13" spans="1:14">
      <c r="L13" s="447"/>
    </row>
    <row r="14" spans="1:14" ht="15.75">
      <c r="A14" s="1886" t="s">
        <v>434</v>
      </c>
      <c r="B14" s="1886"/>
      <c r="C14" s="1887"/>
      <c r="D14" s="1887"/>
      <c r="E14" s="1887"/>
      <c r="F14" s="1887"/>
      <c r="G14" s="1887"/>
      <c r="H14" s="1887"/>
      <c r="I14" s="1887"/>
      <c r="J14" s="1888"/>
      <c r="L14" s="447"/>
      <c r="N14" s="475"/>
    </row>
    <row r="15" spans="1:14" ht="18">
      <c r="A15" s="1900" t="s">
        <v>69</v>
      </c>
      <c r="B15" s="1900"/>
      <c r="C15" s="1901"/>
      <c r="D15" s="492" t="s">
        <v>70</v>
      </c>
      <c r="E15" s="486" t="s">
        <v>435</v>
      </c>
      <c r="F15" s="485" t="s">
        <v>436</v>
      </c>
      <c r="G15" s="485" t="s">
        <v>437</v>
      </c>
      <c r="H15" s="485" t="s">
        <v>438</v>
      </c>
      <c r="I15" s="487" t="s">
        <v>439</v>
      </c>
      <c r="J15" s="488" t="s">
        <v>76</v>
      </c>
      <c r="L15" s="447"/>
    </row>
    <row r="16" spans="1:14">
      <c r="A16" s="1883" t="s">
        <v>434</v>
      </c>
      <c r="B16" s="243">
        <v>2020</v>
      </c>
      <c r="C16" s="169" t="s">
        <v>442</v>
      </c>
      <c r="D16" s="169" t="s">
        <v>96</v>
      </c>
      <c r="E16" s="1573">
        <v>1.1023834999999999E-2</v>
      </c>
      <c r="F16" s="1574">
        <v>1.07473E-2</v>
      </c>
      <c r="G16" s="1574">
        <v>2.5530000000000003E-4</v>
      </c>
      <c r="H16" s="1575">
        <v>2.12E-5</v>
      </c>
      <c r="I16" s="903" t="s">
        <v>441</v>
      </c>
      <c r="J16" s="1703"/>
      <c r="L16" s="447"/>
    </row>
    <row r="17" spans="1:12">
      <c r="A17" s="1884"/>
      <c r="B17" s="243">
        <v>2019</v>
      </c>
      <c r="C17" s="169" t="s">
        <v>442</v>
      </c>
      <c r="D17" s="169" t="s">
        <v>96</v>
      </c>
      <c r="E17" s="1573">
        <v>1.1866671000000001E-2</v>
      </c>
      <c r="F17" s="1574">
        <v>1.15324E-2</v>
      </c>
      <c r="G17" s="1574">
        <v>3.1250000000000001E-4</v>
      </c>
      <c r="H17" s="1575">
        <v>2.1800000000000001E-5</v>
      </c>
      <c r="I17" s="903" t="s">
        <v>441</v>
      </c>
      <c r="J17" s="1703"/>
      <c r="L17" s="447"/>
    </row>
    <row r="18" spans="1:12" ht="15" customHeight="1">
      <c r="A18" s="1884"/>
      <c r="B18" s="243">
        <v>2018</v>
      </c>
      <c r="C18" s="169" t="s">
        <v>442</v>
      </c>
      <c r="D18" s="169" t="s">
        <v>96</v>
      </c>
      <c r="E18" s="1573">
        <v>9.2279070000000005E-3</v>
      </c>
      <c r="F18" s="1574">
        <v>8.9268999999999998E-3</v>
      </c>
      <c r="G18" s="1574">
        <v>2.8820000000000001E-4</v>
      </c>
      <c r="H18" s="1576">
        <v>1.2799999999999999E-5</v>
      </c>
      <c r="I18" s="903" t="s">
        <v>441</v>
      </c>
      <c r="J18" s="1703"/>
      <c r="L18" s="447"/>
    </row>
    <row r="19" spans="1:12">
      <c r="A19" s="1884"/>
      <c r="B19" s="243">
        <v>2017</v>
      </c>
      <c r="C19" s="169" t="s">
        <v>442</v>
      </c>
      <c r="D19" s="169" t="s">
        <v>96</v>
      </c>
      <c r="E19" s="1573">
        <v>9.4338489999999994E-3</v>
      </c>
      <c r="F19" s="1574">
        <v>9.1132999999999995E-3</v>
      </c>
      <c r="G19" s="1574">
        <v>3.1169999999999999E-4</v>
      </c>
      <c r="H19" s="1576">
        <v>8.8000000000000004E-6</v>
      </c>
      <c r="I19" s="903" t="s">
        <v>441</v>
      </c>
      <c r="J19" s="1703"/>
    </row>
    <row r="20" spans="1:12">
      <c r="A20" s="1884"/>
      <c r="B20" s="243">
        <v>2016</v>
      </c>
      <c r="C20" s="169" t="s">
        <v>442</v>
      </c>
      <c r="D20" s="169" t="s">
        <v>96</v>
      </c>
      <c r="E20" s="1573">
        <v>7.5015209999999997E-3</v>
      </c>
      <c r="F20" s="1574">
        <v>7.1925000000000001E-3</v>
      </c>
      <c r="G20" s="1574">
        <v>3.0229999999999998E-4</v>
      </c>
      <c r="H20" s="1576">
        <v>6.8000000000000001E-6</v>
      </c>
      <c r="I20" s="903" t="s">
        <v>441</v>
      </c>
      <c r="J20" s="1703"/>
      <c r="K20" s="176"/>
    </row>
    <row r="21" spans="1:12">
      <c r="A21" s="1884"/>
      <c r="B21" s="243">
        <v>2015</v>
      </c>
      <c r="C21" s="169" t="s">
        <v>442</v>
      </c>
      <c r="D21" s="169" t="s">
        <v>96</v>
      </c>
      <c r="E21" s="1573">
        <v>1.0707213E-2</v>
      </c>
      <c r="F21" s="1574">
        <v>1.03181E-2</v>
      </c>
      <c r="G21" s="1574">
        <v>3.745E-4</v>
      </c>
      <c r="H21" s="1576">
        <v>1.4600000000000001E-5</v>
      </c>
      <c r="I21" s="903" t="s">
        <v>441</v>
      </c>
      <c r="J21" s="903"/>
      <c r="K21" s="4"/>
    </row>
    <row r="22" spans="1:12" ht="16.5" customHeight="1">
      <c r="A22" s="1884"/>
      <c r="B22" s="243">
        <v>2014</v>
      </c>
      <c r="C22" s="169" t="s">
        <v>442</v>
      </c>
      <c r="D22" s="169" t="s">
        <v>96</v>
      </c>
      <c r="E22" s="1573">
        <v>9.2190620000000001E-3</v>
      </c>
      <c r="F22" s="1574">
        <v>8.9128999999999996E-3</v>
      </c>
      <c r="G22" s="1574">
        <v>2.9300000000000002E-4</v>
      </c>
      <c r="H22" s="1576">
        <v>1.3200000000000001E-5</v>
      </c>
      <c r="I22" s="903" t="s">
        <v>441</v>
      </c>
      <c r="J22" s="1703"/>
    </row>
    <row r="23" spans="1:12" ht="16.5" customHeight="1">
      <c r="A23" s="1884"/>
      <c r="B23" s="243">
        <v>2013</v>
      </c>
      <c r="C23" s="169" t="s">
        <v>442</v>
      </c>
      <c r="D23" s="169" t="s">
        <v>96</v>
      </c>
      <c r="E23" s="1573">
        <v>9.9932279999999998E-3</v>
      </c>
      <c r="F23" s="1574">
        <v>9.7184999999999997E-3</v>
      </c>
      <c r="G23" s="1574">
        <v>2.5910000000000001E-4</v>
      </c>
      <c r="H23" s="1576">
        <v>1.56E-5</v>
      </c>
      <c r="I23" s="903" t="s">
        <v>441</v>
      </c>
      <c r="J23" s="1703"/>
    </row>
    <row r="24" spans="1:12" ht="16.5" customHeight="1">
      <c r="A24" s="1884"/>
      <c r="B24" s="243">
        <v>2012</v>
      </c>
      <c r="C24" s="169" t="s">
        <v>442</v>
      </c>
      <c r="D24" s="169" t="s">
        <v>96</v>
      </c>
      <c r="E24" s="1573">
        <v>1.5196728E-2</v>
      </c>
      <c r="F24" s="1574">
        <v>1.4853399999999999E-2</v>
      </c>
      <c r="G24" s="1574">
        <v>3.1300000000000002E-4</v>
      </c>
      <c r="H24" s="1576">
        <v>3.0300000000000001E-5</v>
      </c>
      <c r="I24" s="903" t="s">
        <v>441</v>
      </c>
      <c r="J24" s="1703"/>
    </row>
    <row r="25" spans="1:12">
      <c r="A25" s="1884"/>
      <c r="B25" s="243">
        <v>2011</v>
      </c>
      <c r="C25" s="169" t="s">
        <v>442</v>
      </c>
      <c r="D25" s="169" t="s">
        <v>96</v>
      </c>
      <c r="E25" s="1573">
        <v>1.2615362999999999E-2</v>
      </c>
      <c r="F25" s="1574">
        <v>1.2289E-2</v>
      </c>
      <c r="G25" s="1574">
        <v>3.0719999999999999E-4</v>
      </c>
      <c r="H25" s="1576">
        <v>1.9199999999999999E-5</v>
      </c>
      <c r="I25" s="903" t="s">
        <v>441</v>
      </c>
      <c r="J25" s="1703"/>
      <c r="K25" s="4"/>
    </row>
    <row r="26" spans="1:12" ht="17.25" customHeight="1">
      <c r="A26" s="1884"/>
      <c r="B26" s="243">
        <v>2010</v>
      </c>
      <c r="C26" s="169" t="s">
        <v>442</v>
      </c>
      <c r="D26" s="169" t="s">
        <v>96</v>
      </c>
      <c r="E26" s="1573">
        <v>1.4765486E-2</v>
      </c>
      <c r="F26" s="1574">
        <v>1.44242E-2</v>
      </c>
      <c r="G26" s="1574">
        <v>3.2239999999999998E-4</v>
      </c>
      <c r="H26" s="1576">
        <v>1.88E-5</v>
      </c>
      <c r="I26" s="903" t="s">
        <v>441</v>
      </c>
      <c r="J26" s="1703"/>
      <c r="K26" s="4"/>
    </row>
    <row r="28" spans="1:12" s="1565" customFormat="1" ht="18.75">
      <c r="A28" s="1559" t="s">
        <v>443</v>
      </c>
      <c r="B28" s="1560"/>
      <c r="C28" s="1560"/>
      <c r="D28" s="1561"/>
      <c r="E28" s="1561"/>
      <c r="F28" s="1562"/>
      <c r="G28" s="1563"/>
      <c r="H28" s="1564"/>
      <c r="I28" s="1564"/>
    </row>
    <row r="30" spans="1:12">
      <c r="A30" s="1566" t="s">
        <v>444</v>
      </c>
    </row>
    <row r="31" spans="1:12">
      <c r="A31" s="625"/>
    </row>
    <row r="33" spans="1:6" s="594" customFormat="1" ht="29.25" customHeight="1">
      <c r="A33" s="973" t="s">
        <v>117</v>
      </c>
    </row>
    <row r="34" spans="1:6">
      <c r="A34" t="s">
        <v>445</v>
      </c>
    </row>
    <row r="36" spans="1:6">
      <c r="A36" s="61" t="s">
        <v>446</v>
      </c>
    </row>
    <row r="37" spans="1:6">
      <c r="A37" s="1583" t="s">
        <v>131</v>
      </c>
      <c r="B37" s="1704" t="s">
        <v>447</v>
      </c>
      <c r="C37" s="1584" t="s">
        <v>448</v>
      </c>
      <c r="D37" s="1704" t="s">
        <v>449</v>
      </c>
      <c r="E37" s="1584" t="s">
        <v>450</v>
      </c>
      <c r="F37" s="1704" t="s">
        <v>451</v>
      </c>
    </row>
    <row r="38" spans="1:6" hidden="1">
      <c r="A38" s="684">
        <v>1990</v>
      </c>
      <c r="B38" s="738">
        <v>0.78210028681280896</v>
      </c>
      <c r="C38">
        <v>1.4496836531416899</v>
      </c>
      <c r="D38" s="738">
        <v>11.099407042650901</v>
      </c>
      <c r="E38" t="s">
        <v>271</v>
      </c>
      <c r="F38" s="738" t="s">
        <v>452</v>
      </c>
    </row>
    <row r="39" spans="1:6" hidden="1">
      <c r="A39" s="684">
        <v>1991</v>
      </c>
      <c r="B39" s="738">
        <v>0.85088939489566695</v>
      </c>
      <c r="C39">
        <v>1.6382674391563601</v>
      </c>
      <c r="D39" s="738">
        <v>12.094300476987501</v>
      </c>
      <c r="E39" t="s">
        <v>271</v>
      </c>
      <c r="F39" s="738" t="s">
        <v>452</v>
      </c>
    </row>
    <row r="40" spans="1:6" hidden="1">
      <c r="A40" s="684">
        <v>1992</v>
      </c>
      <c r="B40" s="738">
        <v>0.90130137715952696</v>
      </c>
      <c r="C40">
        <v>1.64780046117127</v>
      </c>
      <c r="D40" s="738">
        <v>12.837557714427399</v>
      </c>
      <c r="E40" t="s">
        <v>271</v>
      </c>
      <c r="F40" s="738" t="s">
        <v>452</v>
      </c>
    </row>
    <row r="41" spans="1:6" hidden="1">
      <c r="A41" s="684">
        <v>1993</v>
      </c>
      <c r="B41" s="738">
        <v>0.87545242038322202</v>
      </c>
      <c r="C41">
        <v>1.3422333951393599</v>
      </c>
      <c r="D41" s="738">
        <v>12.4501497016141</v>
      </c>
      <c r="E41" t="s">
        <v>271</v>
      </c>
      <c r="F41" s="738" t="s">
        <v>452</v>
      </c>
    </row>
    <row r="42" spans="1:6" hidden="1">
      <c r="A42" s="684">
        <v>1994</v>
      </c>
      <c r="B42" s="738">
        <v>0.81337023266691599</v>
      </c>
      <c r="C42">
        <v>1.0243423678538299</v>
      </c>
      <c r="D42" s="738">
        <v>11.495811307322199</v>
      </c>
      <c r="E42" t="s">
        <v>271</v>
      </c>
      <c r="F42" s="738" t="s">
        <v>452</v>
      </c>
    </row>
    <row r="43" spans="1:6" hidden="1">
      <c r="A43" s="684">
        <v>1995</v>
      </c>
      <c r="B43" s="738">
        <v>0.76686716148496104</v>
      </c>
      <c r="C43">
        <v>1.0183570935128401</v>
      </c>
      <c r="D43" s="738">
        <v>10.6544488179421</v>
      </c>
      <c r="E43" t="s">
        <v>271</v>
      </c>
      <c r="F43" s="738" t="s">
        <v>452</v>
      </c>
    </row>
    <row r="44" spans="1:6" hidden="1">
      <c r="A44" s="684">
        <v>1996</v>
      </c>
      <c r="B44" s="738">
        <v>0.87574305389095897</v>
      </c>
      <c r="C44">
        <v>1.2943076663401001</v>
      </c>
      <c r="D44" s="738">
        <v>12.243796336105399</v>
      </c>
      <c r="E44" t="s">
        <v>271</v>
      </c>
      <c r="F44" s="738" t="s">
        <v>452</v>
      </c>
    </row>
    <row r="45" spans="1:6" hidden="1">
      <c r="A45" s="684">
        <v>1997</v>
      </c>
      <c r="B45" s="738">
        <v>0.93817370331891703</v>
      </c>
      <c r="C45">
        <v>1.1090044487250901</v>
      </c>
      <c r="D45" s="738">
        <v>13.0450300503281</v>
      </c>
      <c r="E45" t="s">
        <v>271</v>
      </c>
      <c r="F45" s="738" t="s">
        <v>452</v>
      </c>
    </row>
    <row r="46" spans="1:6" hidden="1">
      <c r="A46" s="684">
        <v>1998</v>
      </c>
      <c r="B46" s="738">
        <v>0.83065510927175601</v>
      </c>
      <c r="C46">
        <v>0.90326247521261904</v>
      </c>
      <c r="D46" s="738">
        <v>11.680895262883</v>
      </c>
      <c r="E46" t="s">
        <v>271</v>
      </c>
      <c r="F46" s="738" t="s">
        <v>452</v>
      </c>
    </row>
    <row r="47" spans="1:6" hidden="1">
      <c r="A47" s="684">
        <v>1999</v>
      </c>
      <c r="B47" s="738">
        <v>0.965031529158351</v>
      </c>
      <c r="C47">
        <v>1.0598911438288801</v>
      </c>
      <c r="D47" s="738">
        <v>13.670444750955101</v>
      </c>
      <c r="E47" t="s">
        <v>271</v>
      </c>
      <c r="F47" s="738" t="s">
        <v>452</v>
      </c>
    </row>
    <row r="48" spans="1:6" hidden="1">
      <c r="A48" s="684">
        <v>2000</v>
      </c>
      <c r="B48" s="738">
        <v>1.01467296147453</v>
      </c>
      <c r="C48">
        <v>1.15964846031295</v>
      </c>
      <c r="D48" s="738">
        <v>14.423643804573199</v>
      </c>
      <c r="E48" t="s">
        <v>271</v>
      </c>
      <c r="F48" s="738" t="s">
        <v>452</v>
      </c>
    </row>
    <row r="49" spans="1:6" hidden="1">
      <c r="A49" s="684">
        <v>2001</v>
      </c>
      <c r="B49" s="738">
        <v>1.0682293554968001</v>
      </c>
      <c r="C49">
        <v>1.44907311604259</v>
      </c>
      <c r="D49" s="738">
        <v>15.099688874917501</v>
      </c>
      <c r="E49" t="s">
        <v>271</v>
      </c>
      <c r="F49" s="738" t="s">
        <v>452</v>
      </c>
    </row>
    <row r="50" spans="1:6" hidden="1">
      <c r="A50" s="684">
        <v>2002</v>
      </c>
      <c r="B50" s="738">
        <v>1.0143639647621701</v>
      </c>
      <c r="C50">
        <v>1.3918554865589701</v>
      </c>
      <c r="D50" s="738">
        <v>14.341592802930499</v>
      </c>
      <c r="E50" t="s">
        <v>271</v>
      </c>
      <c r="F50" s="738" t="s">
        <v>452</v>
      </c>
    </row>
    <row r="51" spans="1:6" hidden="1">
      <c r="A51" s="684">
        <v>2003</v>
      </c>
      <c r="B51" s="738">
        <v>0.76633639688574495</v>
      </c>
      <c r="C51">
        <v>0.92612037640034095</v>
      </c>
      <c r="D51" s="738">
        <v>10.7740405994043</v>
      </c>
      <c r="E51" t="s">
        <v>271</v>
      </c>
      <c r="F51" s="738" t="s">
        <v>452</v>
      </c>
    </row>
    <row r="52" spans="1:6" hidden="1">
      <c r="A52" s="684">
        <v>2004</v>
      </c>
      <c r="B52" s="738">
        <v>0.68737265108859202</v>
      </c>
      <c r="C52">
        <v>1.13913158069142</v>
      </c>
      <c r="D52" s="738">
        <v>9.5698602828482198</v>
      </c>
      <c r="E52" t="s">
        <v>271</v>
      </c>
      <c r="F52" s="738" t="s">
        <v>452</v>
      </c>
    </row>
    <row r="53" spans="1:6" hidden="1">
      <c r="A53" s="684">
        <v>2005</v>
      </c>
      <c r="B53" s="738">
        <v>0.63836225306803895</v>
      </c>
      <c r="C53">
        <v>1.1594284947172799</v>
      </c>
      <c r="D53" s="738">
        <v>8.8933452152263097</v>
      </c>
      <c r="E53" t="s">
        <v>271</v>
      </c>
      <c r="F53" s="738" t="s">
        <v>452</v>
      </c>
    </row>
    <row r="54" spans="1:6" hidden="1">
      <c r="A54" s="684">
        <v>2006</v>
      </c>
      <c r="B54" s="738">
        <v>0.654664396972503</v>
      </c>
      <c r="C54">
        <v>1.07609544591811</v>
      </c>
      <c r="D54" s="738">
        <v>9.1552634427853707</v>
      </c>
      <c r="E54" t="s">
        <v>271</v>
      </c>
      <c r="F54" s="738" t="s">
        <v>452</v>
      </c>
    </row>
    <row r="55" spans="1:6" hidden="1">
      <c r="A55" s="684">
        <v>2007</v>
      </c>
      <c r="B55" s="738">
        <v>0.71915007107086304</v>
      </c>
      <c r="C55">
        <v>1.3374931419048299</v>
      </c>
      <c r="D55" s="738">
        <v>9.9136002953891396</v>
      </c>
      <c r="E55" t="s">
        <v>271</v>
      </c>
      <c r="F55" s="738" t="s">
        <v>452</v>
      </c>
    </row>
    <row r="56" spans="1:6" hidden="1">
      <c r="A56" s="684">
        <v>2008</v>
      </c>
      <c r="B56" s="738">
        <v>0.67785841753497</v>
      </c>
      <c r="C56">
        <v>1.37161610018837</v>
      </c>
      <c r="D56" s="738">
        <v>9.3427628216555902</v>
      </c>
      <c r="E56" t="s">
        <v>271</v>
      </c>
      <c r="F56" s="738" t="s">
        <v>452</v>
      </c>
    </row>
    <row r="57" spans="1:6" hidden="1">
      <c r="A57" s="684">
        <v>2009</v>
      </c>
      <c r="B57" s="738">
        <v>0.54563780507250004</v>
      </c>
      <c r="C57">
        <v>1.15343601776528</v>
      </c>
      <c r="D57" s="738">
        <v>7.6088711167426997</v>
      </c>
      <c r="E57" t="s">
        <v>271</v>
      </c>
      <c r="F57" s="738" t="s">
        <v>452</v>
      </c>
    </row>
    <row r="58" spans="1:6">
      <c r="A58" s="1578">
        <v>2010</v>
      </c>
      <c r="B58" s="1579">
        <v>0.53095853611499999</v>
      </c>
      <c r="C58" s="1676">
        <v>1.0468296872826801</v>
      </c>
      <c r="D58" s="1579">
        <v>7.3500668282982202</v>
      </c>
      <c r="E58" s="1676" t="s">
        <v>271</v>
      </c>
      <c r="F58" s="1579" t="s">
        <v>452</v>
      </c>
    </row>
    <row r="59" spans="1:6">
      <c r="A59" s="684">
        <v>2011</v>
      </c>
      <c r="B59" s="738">
        <v>0.52737938897000003</v>
      </c>
      <c r="C59">
        <v>1.1286695696071001</v>
      </c>
      <c r="D59" s="738">
        <v>7.2850119331950198</v>
      </c>
      <c r="E59" t="s">
        <v>271</v>
      </c>
      <c r="F59" s="738" t="s">
        <v>452</v>
      </c>
    </row>
    <row r="60" spans="1:6">
      <c r="A60" s="684">
        <v>2012</v>
      </c>
      <c r="B60" s="738">
        <v>0.54082596161999996</v>
      </c>
      <c r="C60">
        <v>1.1915023465954699</v>
      </c>
      <c r="D60" s="738">
        <v>7.5314088779706498</v>
      </c>
      <c r="E60" t="s">
        <v>271</v>
      </c>
      <c r="F60" s="738" t="s">
        <v>452</v>
      </c>
    </row>
    <row r="61" spans="1:6">
      <c r="A61" s="684">
        <v>2013</v>
      </c>
      <c r="B61" s="738">
        <v>0.529597856235</v>
      </c>
      <c r="C61">
        <v>1.0824378404438</v>
      </c>
      <c r="D61" s="738">
        <v>7.40996161725469</v>
      </c>
      <c r="E61" t="s">
        <v>271</v>
      </c>
      <c r="F61" s="738" t="s">
        <v>452</v>
      </c>
    </row>
    <row r="62" spans="1:6">
      <c r="A62" s="684">
        <v>2014</v>
      </c>
      <c r="B62" s="738">
        <v>0.56874045641000004</v>
      </c>
      <c r="C62">
        <v>1.2459636477187399</v>
      </c>
      <c r="D62" s="738">
        <v>7.9763535594306401</v>
      </c>
      <c r="E62" t="s">
        <v>271</v>
      </c>
      <c r="F62" s="738" t="s">
        <v>452</v>
      </c>
    </row>
    <row r="63" spans="1:6">
      <c r="A63" s="684">
        <v>2015</v>
      </c>
      <c r="B63" s="738">
        <v>0.58024163147999996</v>
      </c>
      <c r="C63">
        <v>1.29383998725793</v>
      </c>
      <c r="D63" s="738">
        <v>8.5367144178533998</v>
      </c>
      <c r="E63" t="s">
        <v>271</v>
      </c>
      <c r="F63" s="738" t="s">
        <v>452</v>
      </c>
    </row>
    <row r="64" spans="1:6">
      <c r="A64" s="684">
        <v>2016</v>
      </c>
      <c r="B64" s="738">
        <v>0.56995408562750005</v>
      </c>
      <c r="C64">
        <v>1.2421130621318199</v>
      </c>
      <c r="D64" s="738">
        <v>8.1954218377321304</v>
      </c>
      <c r="E64" t="s">
        <v>271</v>
      </c>
      <c r="F64" s="738" t="s">
        <v>452</v>
      </c>
    </row>
    <row r="65" spans="1:17">
      <c r="A65" s="684">
        <v>2017</v>
      </c>
      <c r="B65" s="738">
        <v>0.58431280783749995</v>
      </c>
      <c r="C65">
        <v>1.2698099872708799</v>
      </c>
      <c r="D65" s="738">
        <v>8.3781652546100602</v>
      </c>
      <c r="E65" t="s">
        <v>271</v>
      </c>
      <c r="F65" s="738" t="s">
        <v>452</v>
      </c>
    </row>
    <row r="66" spans="1:17">
      <c r="A66" s="684">
        <v>2018</v>
      </c>
      <c r="B66" s="738">
        <v>0.59419468951499999</v>
      </c>
      <c r="C66">
        <v>1.28764941738604</v>
      </c>
      <c r="D66" s="738">
        <v>8.49586923792344</v>
      </c>
      <c r="E66" t="s">
        <v>271</v>
      </c>
      <c r="F66" s="738" t="s">
        <v>452</v>
      </c>
    </row>
    <row r="67" spans="1:17">
      <c r="A67" s="684">
        <v>2019</v>
      </c>
      <c r="B67" s="738">
        <v>0.59869076198750004</v>
      </c>
      <c r="C67">
        <v>1.2787368831458199</v>
      </c>
      <c r="D67" s="738">
        <v>8.43706462506759</v>
      </c>
      <c r="E67" t="s">
        <v>271</v>
      </c>
      <c r="F67" s="738" t="s">
        <v>452</v>
      </c>
    </row>
    <row r="68" spans="1:17">
      <c r="A68" s="753">
        <v>2020</v>
      </c>
      <c r="B68" s="471">
        <v>0.54563780507250004</v>
      </c>
      <c r="C68" s="754">
        <v>1.16542166755447</v>
      </c>
      <c r="D68" s="471">
        <v>7.6894144950458001</v>
      </c>
      <c r="E68" s="754" t="s">
        <v>271</v>
      </c>
      <c r="F68" s="471" t="s">
        <v>452</v>
      </c>
    </row>
    <row r="70" spans="1:17">
      <c r="A70" s="61" t="s">
        <v>453</v>
      </c>
    </row>
    <row r="71" spans="1:17">
      <c r="A71" s="1583" t="s">
        <v>131</v>
      </c>
      <c r="B71" s="1704" t="s">
        <v>454</v>
      </c>
      <c r="C71" s="1584" t="s">
        <v>447</v>
      </c>
      <c r="D71" s="1704" t="s">
        <v>448</v>
      </c>
      <c r="E71" s="1584" t="s">
        <v>449</v>
      </c>
      <c r="F71" s="1704" t="s">
        <v>450</v>
      </c>
      <c r="G71" s="1585" t="s">
        <v>451</v>
      </c>
      <c r="I71" s="1583" t="s">
        <v>131</v>
      </c>
      <c r="J71" s="1704" t="s">
        <v>454</v>
      </c>
      <c r="K71" s="1584" t="s">
        <v>447</v>
      </c>
      <c r="L71" s="1704" t="s">
        <v>448</v>
      </c>
      <c r="M71" s="1704" t="s">
        <v>449</v>
      </c>
      <c r="N71" s="1704" t="s">
        <v>450</v>
      </c>
      <c r="O71" s="1585" t="s">
        <v>451</v>
      </c>
    </row>
    <row r="72" spans="1:17" hidden="1">
      <c r="A72" s="757">
        <v>1990</v>
      </c>
      <c r="B72" s="762" t="s">
        <v>455</v>
      </c>
      <c r="C72" s="625">
        <v>4000</v>
      </c>
      <c r="D72" s="762">
        <v>7.7999999999999996E-3</v>
      </c>
      <c r="E72" s="625">
        <v>7.1942445999999993E-2</v>
      </c>
      <c r="F72" s="762" t="s">
        <v>97</v>
      </c>
      <c r="G72" s="758" t="s">
        <v>452</v>
      </c>
      <c r="I72" s="757">
        <v>1990</v>
      </c>
      <c r="J72" s="762" t="s">
        <v>456</v>
      </c>
      <c r="K72" s="625">
        <v>1500</v>
      </c>
      <c r="L72" s="762">
        <v>2.9250000000000001E-3</v>
      </c>
      <c r="M72" s="625">
        <v>2.6978417000000001E-2</v>
      </c>
      <c r="N72" s="762" t="s">
        <v>97</v>
      </c>
      <c r="O72" s="758" t="s">
        <v>452</v>
      </c>
      <c r="Q72" s="625" t="s">
        <v>457</v>
      </c>
    </row>
    <row r="73" spans="1:17" hidden="1">
      <c r="A73" s="757">
        <v>1991</v>
      </c>
      <c r="B73" s="762" t="s">
        <v>455</v>
      </c>
      <c r="C73" s="625">
        <v>4000</v>
      </c>
      <c r="D73" s="762">
        <v>7.7999999999999996E-3</v>
      </c>
      <c r="E73" s="625">
        <v>7.1942445999999993E-2</v>
      </c>
      <c r="F73" s="762" t="s">
        <v>97</v>
      </c>
      <c r="G73" s="758" t="s">
        <v>452</v>
      </c>
      <c r="I73" s="757">
        <v>1991</v>
      </c>
      <c r="J73" s="762" t="s">
        <v>456</v>
      </c>
      <c r="K73" s="625">
        <v>1500</v>
      </c>
      <c r="L73" s="762">
        <v>2.9250000000000001E-3</v>
      </c>
      <c r="M73" s="625">
        <v>2.6978417000000001E-2</v>
      </c>
      <c r="N73" s="762" t="s">
        <v>97</v>
      </c>
      <c r="O73" s="758" t="s">
        <v>452</v>
      </c>
      <c r="Q73" s="625" t="s">
        <v>457</v>
      </c>
    </row>
    <row r="74" spans="1:17" hidden="1">
      <c r="A74" s="757">
        <v>1992</v>
      </c>
      <c r="B74" s="762" t="s">
        <v>455</v>
      </c>
      <c r="C74" s="625">
        <v>4000</v>
      </c>
      <c r="D74" s="762">
        <v>7.7999999999999996E-3</v>
      </c>
      <c r="E74" s="625">
        <v>7.1942445999999993E-2</v>
      </c>
      <c r="F74" s="762" t="s">
        <v>97</v>
      </c>
      <c r="G74" s="758" t="s">
        <v>452</v>
      </c>
      <c r="I74" s="757">
        <v>1992</v>
      </c>
      <c r="J74" s="762" t="s">
        <v>456</v>
      </c>
      <c r="K74" s="625">
        <v>3137</v>
      </c>
      <c r="L74" s="762">
        <v>6.11715E-3</v>
      </c>
      <c r="M74" s="625">
        <v>5.6420863000000002E-2</v>
      </c>
      <c r="N74" s="762" t="s">
        <v>97</v>
      </c>
      <c r="O74" s="758" t="s">
        <v>452</v>
      </c>
      <c r="Q74" s="625" t="s">
        <v>457</v>
      </c>
    </row>
    <row r="75" spans="1:17" hidden="1">
      <c r="A75" s="757">
        <v>1993</v>
      </c>
      <c r="B75" s="762" t="s">
        <v>455</v>
      </c>
      <c r="C75" s="625">
        <v>5715</v>
      </c>
      <c r="D75" s="762">
        <v>1.114425E-2</v>
      </c>
      <c r="E75" s="625">
        <v>0.10278777</v>
      </c>
      <c r="F75" s="762" t="s">
        <v>97</v>
      </c>
      <c r="G75" s="758" t="s">
        <v>452</v>
      </c>
      <c r="I75" s="757">
        <v>1993</v>
      </c>
      <c r="J75" s="762" t="s">
        <v>456</v>
      </c>
      <c r="K75" s="625">
        <v>1061</v>
      </c>
      <c r="L75" s="762">
        <v>2.06895E-3</v>
      </c>
      <c r="M75" s="625">
        <v>1.9082734000000001E-2</v>
      </c>
      <c r="N75" s="762" t="s">
        <v>97</v>
      </c>
      <c r="O75" s="758" t="s">
        <v>452</v>
      </c>
      <c r="Q75" s="625" t="s">
        <v>457</v>
      </c>
    </row>
    <row r="76" spans="1:17" hidden="1">
      <c r="A76" s="757">
        <v>1994</v>
      </c>
      <c r="B76" s="762" t="s">
        <v>455</v>
      </c>
      <c r="C76" s="625">
        <v>3487</v>
      </c>
      <c r="D76" s="762">
        <v>6.79965E-3</v>
      </c>
      <c r="E76" s="625">
        <v>6.2715827000000002E-2</v>
      </c>
      <c r="F76" s="762" t="s">
        <v>97</v>
      </c>
      <c r="G76" s="758" t="s">
        <v>452</v>
      </c>
      <c r="I76" s="757">
        <v>1994</v>
      </c>
      <c r="J76" s="762" t="s">
        <v>456</v>
      </c>
      <c r="K76" s="625">
        <v>2112</v>
      </c>
      <c r="L76" s="762">
        <v>4.1184000000000004E-3</v>
      </c>
      <c r="M76" s="625">
        <v>3.7985612000000002E-2</v>
      </c>
      <c r="N76" s="762" t="s">
        <v>97</v>
      </c>
      <c r="O76" s="758" t="s">
        <v>452</v>
      </c>
      <c r="Q76" s="625" t="s">
        <v>457</v>
      </c>
    </row>
    <row r="77" spans="1:17" hidden="1">
      <c r="A77" s="757">
        <v>1995</v>
      </c>
      <c r="B77" s="762" t="s">
        <v>455</v>
      </c>
      <c r="C77" s="625">
        <v>3068</v>
      </c>
      <c r="D77" s="762">
        <v>5.9826000000000002E-3</v>
      </c>
      <c r="E77" s="625">
        <v>5.5179855999999999E-2</v>
      </c>
      <c r="F77" s="762" t="s">
        <v>97</v>
      </c>
      <c r="G77" s="758" t="s">
        <v>452</v>
      </c>
      <c r="I77" s="757">
        <v>1995</v>
      </c>
      <c r="J77" s="762" t="s">
        <v>456</v>
      </c>
      <c r="K77" s="625">
        <v>1265</v>
      </c>
      <c r="L77" s="762">
        <v>2.4667500000000002E-3</v>
      </c>
      <c r="M77" s="625">
        <v>2.2751799E-2</v>
      </c>
      <c r="N77" s="762" t="s">
        <v>97</v>
      </c>
      <c r="O77" s="758" t="s">
        <v>452</v>
      </c>
      <c r="Q77" s="625" t="s">
        <v>457</v>
      </c>
    </row>
    <row r="78" spans="1:17" hidden="1">
      <c r="A78" s="757">
        <v>1996</v>
      </c>
      <c r="B78" s="762" t="s">
        <v>455</v>
      </c>
      <c r="C78" s="625">
        <v>2516</v>
      </c>
      <c r="D78" s="762">
        <v>4.8999999999999998E-3</v>
      </c>
      <c r="E78" s="625">
        <v>4.5251799000000002E-2</v>
      </c>
      <c r="F78" s="762" t="s">
        <v>97</v>
      </c>
      <c r="G78" s="758" t="s">
        <v>452</v>
      </c>
      <c r="I78" s="757">
        <v>1996</v>
      </c>
      <c r="J78" s="762" t="s">
        <v>456</v>
      </c>
      <c r="K78" s="625">
        <v>262</v>
      </c>
      <c r="L78" s="762">
        <v>4.8999999999999998E-3</v>
      </c>
      <c r="M78" s="625">
        <v>4.7122300000000004E-3</v>
      </c>
      <c r="N78" s="762" t="s">
        <v>97</v>
      </c>
      <c r="O78" s="758" t="s">
        <v>452</v>
      </c>
      <c r="Q78" s="625" t="s">
        <v>457</v>
      </c>
    </row>
    <row r="79" spans="1:17" hidden="1">
      <c r="A79" s="757">
        <v>1997</v>
      </c>
      <c r="B79" s="762" t="s">
        <v>455</v>
      </c>
      <c r="C79" s="625">
        <v>1637</v>
      </c>
      <c r="D79" s="762">
        <v>3.2000000000000002E-3</v>
      </c>
      <c r="E79" s="625">
        <v>2.9442446000000001E-2</v>
      </c>
      <c r="F79" s="762" t="s">
        <v>97</v>
      </c>
      <c r="G79" s="758" t="s">
        <v>452</v>
      </c>
      <c r="I79" s="757">
        <v>1997</v>
      </c>
      <c r="J79" s="762" t="s">
        <v>456</v>
      </c>
      <c r="K79" s="625">
        <v>388</v>
      </c>
      <c r="L79" s="762">
        <v>3.2000000000000002E-3</v>
      </c>
      <c r="M79" s="625">
        <v>6.9784169999999998E-3</v>
      </c>
      <c r="N79" s="762" t="s">
        <v>97</v>
      </c>
      <c r="O79" s="758" t="s">
        <v>452</v>
      </c>
      <c r="Q79" s="625" t="s">
        <v>457</v>
      </c>
    </row>
    <row r="80" spans="1:17" hidden="1">
      <c r="A80" s="757">
        <v>1998</v>
      </c>
      <c r="B80" s="762" t="s">
        <v>455</v>
      </c>
      <c r="C80" s="625">
        <v>3265</v>
      </c>
      <c r="D80" s="762">
        <v>6.4000000000000003E-3</v>
      </c>
      <c r="E80" s="625">
        <v>5.8723022E-2</v>
      </c>
      <c r="F80" s="762" t="s">
        <v>97</v>
      </c>
      <c r="G80" s="758" t="s">
        <v>452</v>
      </c>
      <c r="I80" s="757">
        <v>1998</v>
      </c>
      <c r="J80" s="762" t="s">
        <v>456</v>
      </c>
      <c r="K80" s="625">
        <v>9235</v>
      </c>
      <c r="L80" s="762">
        <v>6.4000000000000003E-3</v>
      </c>
      <c r="M80" s="625">
        <v>0.16609712200000001</v>
      </c>
      <c r="N80" s="762" t="s">
        <v>97</v>
      </c>
      <c r="O80" s="758" t="s">
        <v>452</v>
      </c>
      <c r="Q80" s="625" t="s">
        <v>457</v>
      </c>
    </row>
    <row r="81" spans="1:17" hidden="1">
      <c r="A81" s="757">
        <v>1999</v>
      </c>
      <c r="B81" s="762" t="s">
        <v>455</v>
      </c>
      <c r="C81" s="625">
        <v>3703</v>
      </c>
      <c r="D81" s="762">
        <v>7.1999999999999998E-3</v>
      </c>
      <c r="E81" s="625">
        <v>6.6600719000000003E-2</v>
      </c>
      <c r="F81" s="762" t="s">
        <v>97</v>
      </c>
      <c r="G81" s="758" t="s">
        <v>452</v>
      </c>
      <c r="I81" s="757">
        <v>1999</v>
      </c>
      <c r="J81" s="762" t="s">
        <v>456</v>
      </c>
      <c r="K81" s="625">
        <v>1205</v>
      </c>
      <c r="L81" s="762">
        <v>7.1999999999999998E-3</v>
      </c>
      <c r="M81" s="625">
        <v>2.1672661999999999E-2</v>
      </c>
      <c r="N81" s="762" t="s">
        <v>97</v>
      </c>
      <c r="O81" s="758" t="s">
        <v>452</v>
      </c>
      <c r="Q81" s="625" t="s">
        <v>457</v>
      </c>
    </row>
    <row r="82" spans="1:17" hidden="1">
      <c r="A82" s="757">
        <v>2000</v>
      </c>
      <c r="B82" s="762" t="s">
        <v>455</v>
      </c>
      <c r="C82" s="625">
        <v>2447</v>
      </c>
      <c r="D82" s="762">
        <v>4.7699999999999999E-3</v>
      </c>
      <c r="E82" s="625">
        <v>4.4010791E-2</v>
      </c>
      <c r="F82" s="762" t="s">
        <v>97</v>
      </c>
      <c r="G82" s="758" t="s">
        <v>452</v>
      </c>
      <c r="I82" s="757">
        <v>2000</v>
      </c>
      <c r="J82" s="762" t="s">
        <v>456</v>
      </c>
      <c r="K82" s="625">
        <v>11</v>
      </c>
      <c r="L82" s="762">
        <v>4.7699999999999999E-3</v>
      </c>
      <c r="M82" s="625">
        <v>1.9784199999999999E-4</v>
      </c>
      <c r="N82" s="762" t="s">
        <v>97</v>
      </c>
      <c r="O82" s="758" t="s">
        <v>452</v>
      </c>
      <c r="Q82" s="625" t="s">
        <v>457</v>
      </c>
    </row>
    <row r="83" spans="1:17" hidden="1">
      <c r="A83" s="757">
        <v>2001</v>
      </c>
      <c r="B83" s="762" t="s">
        <v>455</v>
      </c>
      <c r="C83" s="625">
        <v>1752</v>
      </c>
      <c r="D83" s="762">
        <v>4.0000000000000001E-3</v>
      </c>
      <c r="E83" s="625">
        <v>3.1510791000000003E-2</v>
      </c>
      <c r="F83" s="762" t="s">
        <v>97</v>
      </c>
      <c r="G83" s="758" t="s">
        <v>452</v>
      </c>
      <c r="I83" s="757">
        <v>2001</v>
      </c>
      <c r="J83" s="762" t="s">
        <v>456</v>
      </c>
      <c r="K83" s="625">
        <v>80</v>
      </c>
      <c r="L83" s="762">
        <v>4.0000000000000001E-3</v>
      </c>
      <c r="M83" s="625">
        <v>1.4388490000000001E-3</v>
      </c>
      <c r="N83" s="762" t="s">
        <v>97</v>
      </c>
      <c r="O83" s="758" t="s">
        <v>452</v>
      </c>
      <c r="Q83" s="625" t="s">
        <v>457</v>
      </c>
    </row>
    <row r="84" spans="1:17" hidden="1">
      <c r="A84" s="757">
        <v>2002</v>
      </c>
      <c r="B84" s="762" t="s">
        <v>455</v>
      </c>
      <c r="C84" s="625">
        <v>1642</v>
      </c>
      <c r="D84" s="762">
        <v>3.767552E-3</v>
      </c>
      <c r="E84" s="625">
        <v>2.9532374E-2</v>
      </c>
      <c r="F84" s="762" t="s">
        <v>97</v>
      </c>
      <c r="G84" s="758" t="s">
        <v>452</v>
      </c>
      <c r="I84" s="757">
        <v>2002</v>
      </c>
      <c r="J84" s="762" t="s">
        <v>456</v>
      </c>
      <c r="K84" s="625">
        <v>8364</v>
      </c>
      <c r="L84" s="762">
        <v>3.767552E-3</v>
      </c>
      <c r="M84" s="625">
        <v>0.150431655</v>
      </c>
      <c r="N84" s="762" t="s">
        <v>97</v>
      </c>
      <c r="O84" s="758" t="s">
        <v>452</v>
      </c>
      <c r="Q84" s="625" t="s">
        <v>457</v>
      </c>
    </row>
    <row r="85" spans="1:17" hidden="1">
      <c r="A85" s="757">
        <v>2003</v>
      </c>
      <c r="B85" s="762" t="s">
        <v>455</v>
      </c>
      <c r="C85" s="625">
        <v>1747</v>
      </c>
      <c r="D85" s="762">
        <v>4.0068500000000002E-3</v>
      </c>
      <c r="E85" s="625">
        <v>3.1420863E-2</v>
      </c>
      <c r="F85" s="762" t="s">
        <v>97</v>
      </c>
      <c r="G85" s="758" t="s">
        <v>452</v>
      </c>
      <c r="I85" s="757">
        <v>2003</v>
      </c>
      <c r="J85" s="762" t="s">
        <v>456</v>
      </c>
      <c r="K85" s="625">
        <v>11040</v>
      </c>
      <c r="L85" s="762">
        <v>4.0068500000000002E-3</v>
      </c>
      <c r="M85" s="625">
        <v>0.19856115099999999</v>
      </c>
      <c r="N85" s="762" t="s">
        <v>97</v>
      </c>
      <c r="O85" s="758" t="s">
        <v>452</v>
      </c>
      <c r="Q85" s="625" t="s">
        <v>457</v>
      </c>
    </row>
    <row r="86" spans="1:17" hidden="1">
      <c r="A86" s="757">
        <v>2004</v>
      </c>
      <c r="B86" s="762" t="s">
        <v>455</v>
      </c>
      <c r="C86" s="625">
        <v>6093</v>
      </c>
      <c r="D86" s="762">
        <v>1.4E-2</v>
      </c>
      <c r="E86" s="625">
        <v>0.109586331</v>
      </c>
      <c r="F86" s="762" t="s">
        <v>97</v>
      </c>
      <c r="G86" s="758" t="s">
        <v>452</v>
      </c>
      <c r="I86" s="757">
        <v>2004</v>
      </c>
      <c r="J86" s="762" t="s">
        <v>456</v>
      </c>
      <c r="K86" s="625">
        <v>4064</v>
      </c>
      <c r="L86" s="762">
        <v>1.4E-2</v>
      </c>
      <c r="M86" s="625">
        <v>7.3093525000000006E-2</v>
      </c>
      <c r="N86" s="762" t="s">
        <v>97</v>
      </c>
      <c r="O86" s="758" t="s">
        <v>452</v>
      </c>
      <c r="Q86" s="625" t="s">
        <v>457</v>
      </c>
    </row>
    <row r="87" spans="1:17" hidden="1">
      <c r="A87" s="757">
        <v>2005</v>
      </c>
      <c r="B87" s="762" t="s">
        <v>455</v>
      </c>
      <c r="C87" s="625">
        <v>6392</v>
      </c>
      <c r="D87" s="762">
        <v>1.47E-2</v>
      </c>
      <c r="E87" s="625">
        <v>0.114964029</v>
      </c>
      <c r="F87" s="762" t="s">
        <v>97</v>
      </c>
      <c r="G87" s="758" t="s">
        <v>452</v>
      </c>
      <c r="I87" s="757">
        <v>2005</v>
      </c>
      <c r="J87" s="762" t="s">
        <v>456</v>
      </c>
      <c r="K87" s="625">
        <v>790</v>
      </c>
      <c r="L87" s="762">
        <v>1.47E-2</v>
      </c>
      <c r="M87" s="625">
        <v>1.4208633E-2</v>
      </c>
      <c r="N87" s="762" t="s">
        <v>97</v>
      </c>
      <c r="O87" s="758" t="s">
        <v>452</v>
      </c>
      <c r="Q87" s="625" t="s">
        <v>457</v>
      </c>
    </row>
    <row r="88" spans="1:17" hidden="1">
      <c r="A88" s="757">
        <v>2006</v>
      </c>
      <c r="B88" s="762" t="s">
        <v>455</v>
      </c>
      <c r="C88" s="625">
        <v>8112</v>
      </c>
      <c r="D88" s="762">
        <v>1.8599999999999998E-2</v>
      </c>
      <c r="E88" s="625">
        <v>0.14589928099999999</v>
      </c>
      <c r="F88" s="762" t="s">
        <v>97</v>
      </c>
      <c r="G88" s="758" t="s">
        <v>452</v>
      </c>
      <c r="I88" s="757">
        <v>2006</v>
      </c>
      <c r="J88" s="762" t="s">
        <v>456</v>
      </c>
      <c r="K88" s="625">
        <v>215</v>
      </c>
      <c r="L88" s="762">
        <v>1.8599999999999998E-2</v>
      </c>
      <c r="M88" s="625">
        <v>3.8669059999999998E-3</v>
      </c>
      <c r="N88" s="762" t="s">
        <v>97</v>
      </c>
      <c r="O88" s="758" t="s">
        <v>452</v>
      </c>
      <c r="Q88" s="625" t="s">
        <v>457</v>
      </c>
    </row>
    <row r="89" spans="1:17" hidden="1">
      <c r="A89" s="757">
        <v>2007</v>
      </c>
      <c r="B89" s="762" t="s">
        <v>455</v>
      </c>
      <c r="C89" s="625">
        <v>5332</v>
      </c>
      <c r="D89" s="762">
        <v>1.2E-2</v>
      </c>
      <c r="E89" s="625">
        <v>9.5899281000000003E-2</v>
      </c>
      <c r="F89" s="762" t="s">
        <v>97</v>
      </c>
      <c r="G89" s="758" t="s">
        <v>452</v>
      </c>
      <c r="I89" s="757">
        <v>2007</v>
      </c>
      <c r="J89" s="762" t="s">
        <v>456</v>
      </c>
      <c r="K89" s="625">
        <v>1330</v>
      </c>
      <c r="L89" s="762">
        <v>1.2E-2</v>
      </c>
      <c r="M89" s="625">
        <v>2.3920863000000001E-2</v>
      </c>
      <c r="N89" s="762" t="s">
        <v>97</v>
      </c>
      <c r="O89" s="758" t="s">
        <v>452</v>
      </c>
      <c r="Q89" s="625" t="s">
        <v>457</v>
      </c>
    </row>
    <row r="90" spans="1:17" hidden="1">
      <c r="A90" s="757">
        <v>2008</v>
      </c>
      <c r="B90" s="762" t="s">
        <v>455</v>
      </c>
      <c r="C90" s="625">
        <v>10650</v>
      </c>
      <c r="D90" s="762">
        <v>2.4E-2</v>
      </c>
      <c r="E90" s="625">
        <v>0.19154676300000001</v>
      </c>
      <c r="F90" s="762" t="s">
        <v>97</v>
      </c>
      <c r="G90" s="758" t="s">
        <v>452</v>
      </c>
      <c r="I90" s="757">
        <v>2008</v>
      </c>
      <c r="J90" s="762" t="s">
        <v>456</v>
      </c>
      <c r="K90" s="625">
        <v>460</v>
      </c>
      <c r="L90" s="762">
        <v>1E-3</v>
      </c>
      <c r="M90" s="625">
        <v>8.2733809999999998E-3</v>
      </c>
      <c r="N90" s="762" t="s">
        <v>97</v>
      </c>
      <c r="O90" s="758" t="s">
        <v>452</v>
      </c>
      <c r="Q90" s="625" t="s">
        <v>457</v>
      </c>
    </row>
    <row r="91" spans="1:17" hidden="1">
      <c r="A91" s="757">
        <v>2009</v>
      </c>
      <c r="B91" s="762" t="s">
        <v>455</v>
      </c>
      <c r="C91" s="625">
        <v>9810.0767500000002</v>
      </c>
      <c r="D91" s="762">
        <v>2.1999999999999999E-2</v>
      </c>
      <c r="E91" s="625">
        <v>0.176440229</v>
      </c>
      <c r="F91" s="762" t="s">
        <v>97</v>
      </c>
      <c r="G91" s="758" t="s">
        <v>452</v>
      </c>
      <c r="I91" s="757">
        <v>2009</v>
      </c>
      <c r="J91" s="762" t="s">
        <v>456</v>
      </c>
      <c r="K91" s="625">
        <v>1401.0371500000001</v>
      </c>
      <c r="L91" s="762">
        <v>3.0000000000000001E-3</v>
      </c>
      <c r="M91" s="625">
        <v>2.519851E-2</v>
      </c>
      <c r="N91" s="762" t="s">
        <v>97</v>
      </c>
      <c r="O91" s="758" t="s">
        <v>452</v>
      </c>
      <c r="Q91" s="625" t="s">
        <v>457</v>
      </c>
    </row>
    <row r="92" spans="1:17">
      <c r="A92" s="757">
        <v>2010</v>
      </c>
      <c r="B92" s="762" t="s">
        <v>455</v>
      </c>
      <c r="C92" s="625">
        <v>9972.6641</v>
      </c>
      <c r="D92" s="762">
        <v>2.3E-2</v>
      </c>
      <c r="E92" s="625">
        <v>0.179364462</v>
      </c>
      <c r="F92" s="762" t="s">
        <v>97</v>
      </c>
      <c r="G92" s="758" t="s">
        <v>452</v>
      </c>
      <c r="I92" s="757">
        <v>2010</v>
      </c>
      <c r="J92" s="762" t="s">
        <v>456</v>
      </c>
      <c r="K92" s="625">
        <v>0</v>
      </c>
      <c r="L92" s="762">
        <v>0</v>
      </c>
      <c r="M92" s="625">
        <v>0</v>
      </c>
      <c r="N92" s="762" t="s">
        <v>97</v>
      </c>
      <c r="O92" s="758" t="s">
        <v>452</v>
      </c>
      <c r="Q92" s="625"/>
    </row>
    <row r="93" spans="1:17">
      <c r="A93" s="757">
        <v>2011</v>
      </c>
      <c r="B93" s="762" t="s">
        <v>455</v>
      </c>
      <c r="C93" s="625">
        <v>10694</v>
      </c>
      <c r="D93" s="762">
        <v>2.4E-2</v>
      </c>
      <c r="E93" s="625">
        <v>0.192338129</v>
      </c>
      <c r="F93" s="762" t="s">
        <v>97</v>
      </c>
      <c r="G93" s="758" t="s">
        <v>452</v>
      </c>
      <c r="I93" s="757">
        <v>2011</v>
      </c>
      <c r="J93" s="762" t="s">
        <v>456</v>
      </c>
      <c r="K93" s="625">
        <v>30022</v>
      </c>
      <c r="L93" s="762">
        <v>6.8000000000000005E-2</v>
      </c>
      <c r="M93" s="625">
        <v>0.53996402899999996</v>
      </c>
      <c r="N93" s="762" t="s">
        <v>97</v>
      </c>
      <c r="O93" s="758" t="s">
        <v>452</v>
      </c>
      <c r="Q93" s="625"/>
    </row>
    <row r="94" spans="1:17">
      <c r="A94" s="757">
        <v>2012</v>
      </c>
      <c r="B94" s="762" t="s">
        <v>455</v>
      </c>
      <c r="C94" s="625">
        <v>11622.11795</v>
      </c>
      <c r="D94" s="762">
        <v>2.7E-2</v>
      </c>
      <c r="E94" s="625">
        <v>0.20903089799999999</v>
      </c>
      <c r="F94" s="762" t="s">
        <v>97</v>
      </c>
      <c r="G94" s="758" t="s">
        <v>452</v>
      </c>
      <c r="I94" s="757">
        <v>2012</v>
      </c>
      <c r="J94" s="762" t="s">
        <v>456</v>
      </c>
      <c r="K94" s="625">
        <v>10253.08185</v>
      </c>
      <c r="L94" s="762">
        <v>2.3E-2</v>
      </c>
      <c r="M94" s="625">
        <v>0.18440794699999999</v>
      </c>
      <c r="N94" s="762" t="s">
        <v>97</v>
      </c>
      <c r="O94" s="758" t="s">
        <v>452</v>
      </c>
      <c r="Q94" s="625"/>
    </row>
    <row r="95" spans="1:17">
      <c r="A95" s="757">
        <v>2013</v>
      </c>
      <c r="B95" s="762" t="s">
        <v>455</v>
      </c>
      <c r="C95" s="625">
        <v>11007.083549999999</v>
      </c>
      <c r="D95" s="762">
        <v>2.5000000000000001E-2</v>
      </c>
      <c r="E95" s="625">
        <v>0.19796912899999999</v>
      </c>
      <c r="F95" s="762" t="s">
        <v>97</v>
      </c>
      <c r="G95" s="758" t="s">
        <v>452</v>
      </c>
      <c r="I95" s="757">
        <v>2013</v>
      </c>
      <c r="J95" s="762" t="s">
        <v>456</v>
      </c>
      <c r="K95" s="625">
        <v>184.67224999999999</v>
      </c>
      <c r="L95" s="762">
        <v>0</v>
      </c>
      <c r="M95" s="625">
        <v>3.3214429999999999E-3</v>
      </c>
      <c r="N95" s="762" t="s">
        <v>97</v>
      </c>
      <c r="O95" s="758" t="s">
        <v>452</v>
      </c>
      <c r="Q95" s="625"/>
    </row>
    <row r="96" spans="1:17">
      <c r="A96" s="757">
        <v>2014</v>
      </c>
      <c r="B96" s="762" t="s">
        <v>455</v>
      </c>
      <c r="C96" s="625">
        <v>19784.558199999999</v>
      </c>
      <c r="D96" s="762">
        <v>4.5999999999999999E-2</v>
      </c>
      <c r="E96" s="625">
        <v>0.35583737799999998</v>
      </c>
      <c r="F96" s="762" t="s">
        <v>97</v>
      </c>
      <c r="G96" s="758" t="s">
        <v>452</v>
      </c>
      <c r="I96" s="757">
        <v>2014</v>
      </c>
      <c r="J96" s="762" t="s">
        <v>456</v>
      </c>
      <c r="K96" s="625">
        <v>0.88570000000000004</v>
      </c>
      <c r="L96" s="762">
        <v>0</v>
      </c>
      <c r="M96" s="756">
        <v>1.59E-5</v>
      </c>
      <c r="N96" s="762" t="s">
        <v>97</v>
      </c>
      <c r="O96" s="758" t="s">
        <v>452</v>
      </c>
      <c r="Q96" s="625"/>
    </row>
    <row r="97" spans="1:17">
      <c r="A97" s="757">
        <v>2015</v>
      </c>
      <c r="B97" s="762" t="s">
        <v>455</v>
      </c>
      <c r="C97" s="625">
        <v>17283</v>
      </c>
      <c r="D97" s="762">
        <v>0.04</v>
      </c>
      <c r="E97" s="625">
        <v>0.31084532399999998</v>
      </c>
      <c r="F97" s="762" t="s">
        <v>97</v>
      </c>
      <c r="G97" s="758" t="s">
        <v>452</v>
      </c>
      <c r="I97" s="757">
        <v>2015</v>
      </c>
      <c r="J97" s="762" t="s">
        <v>456</v>
      </c>
      <c r="K97" s="625">
        <v>4303</v>
      </c>
      <c r="L97" s="762">
        <v>0.01</v>
      </c>
      <c r="M97" s="625">
        <v>7.7392085999999999E-2</v>
      </c>
      <c r="N97" s="762" t="s">
        <v>97</v>
      </c>
      <c r="O97" s="758" t="s">
        <v>452</v>
      </c>
      <c r="Q97" s="625"/>
    </row>
    <row r="98" spans="1:17">
      <c r="A98" s="757">
        <v>2016</v>
      </c>
      <c r="B98" s="762" t="s">
        <v>455</v>
      </c>
      <c r="C98" s="625">
        <v>5294</v>
      </c>
      <c r="D98" s="762">
        <v>1.2E-2</v>
      </c>
      <c r="E98" s="625">
        <v>9.5215827000000003E-2</v>
      </c>
      <c r="F98" s="762" t="s">
        <v>97</v>
      </c>
      <c r="G98" s="758" t="s">
        <v>452</v>
      </c>
      <c r="I98" s="757">
        <v>2016</v>
      </c>
      <c r="J98" s="762" t="s">
        <v>456</v>
      </c>
      <c r="K98" s="625">
        <v>4939</v>
      </c>
      <c r="L98" s="762">
        <v>1.0999999999999999E-2</v>
      </c>
      <c r="M98" s="625">
        <v>8.8830935E-2</v>
      </c>
      <c r="N98" s="762" t="s">
        <v>97</v>
      </c>
      <c r="O98" s="758" t="s">
        <v>452</v>
      </c>
      <c r="Q98" s="625"/>
    </row>
    <row r="99" spans="1:17">
      <c r="A99" s="757">
        <v>2017</v>
      </c>
      <c r="B99" s="762" t="s">
        <v>455</v>
      </c>
      <c r="C99" s="625">
        <v>5582</v>
      </c>
      <c r="D99" s="762">
        <v>1.2999999999999999E-2</v>
      </c>
      <c r="E99" s="625">
        <v>0.100395683</v>
      </c>
      <c r="F99" s="762" t="s">
        <v>97</v>
      </c>
      <c r="G99" s="758" t="s">
        <v>452</v>
      </c>
      <c r="I99" s="757">
        <v>2017</v>
      </c>
      <c r="J99" s="762" t="s">
        <v>456</v>
      </c>
      <c r="K99" s="625">
        <v>0</v>
      </c>
      <c r="L99" s="762">
        <v>0</v>
      </c>
      <c r="M99" s="625">
        <v>0</v>
      </c>
      <c r="N99" s="762" t="s">
        <v>97</v>
      </c>
      <c r="O99" s="758" t="s">
        <v>452</v>
      </c>
      <c r="Q99" s="625"/>
    </row>
    <row r="100" spans="1:17">
      <c r="A100" s="757">
        <v>2018</v>
      </c>
      <c r="B100" s="762" t="s">
        <v>455</v>
      </c>
      <c r="C100" s="625">
        <v>5085</v>
      </c>
      <c r="D100" s="762">
        <v>1.2E-2</v>
      </c>
      <c r="E100" s="625">
        <v>9.1456835E-2</v>
      </c>
      <c r="F100" s="762" t="s">
        <v>97</v>
      </c>
      <c r="G100" s="758" t="s">
        <v>452</v>
      </c>
      <c r="I100" s="757">
        <v>2018</v>
      </c>
      <c r="J100" s="762" t="s">
        <v>456</v>
      </c>
      <c r="K100" s="625">
        <v>27837</v>
      </c>
      <c r="L100" s="762">
        <v>6.4000000000000001E-2</v>
      </c>
      <c r="M100" s="625">
        <v>0.500665468</v>
      </c>
      <c r="N100" s="762" t="s">
        <v>97</v>
      </c>
      <c r="O100" s="758" t="s">
        <v>452</v>
      </c>
      <c r="Q100" s="625"/>
    </row>
    <row r="101" spans="1:17">
      <c r="A101" s="757">
        <v>2019</v>
      </c>
      <c r="B101" s="762" t="s">
        <v>455</v>
      </c>
      <c r="C101" s="625">
        <v>7021</v>
      </c>
      <c r="D101" s="762">
        <v>1.6E-2</v>
      </c>
      <c r="E101" s="625">
        <v>0.12627697800000001</v>
      </c>
      <c r="F101" s="762" t="s">
        <v>97</v>
      </c>
      <c r="G101" s="758" t="s">
        <v>452</v>
      </c>
      <c r="I101" s="757">
        <v>2019</v>
      </c>
      <c r="J101" s="762" t="s">
        <v>456</v>
      </c>
      <c r="K101" s="625">
        <v>3825</v>
      </c>
      <c r="L101" s="762">
        <v>8.9999999999999993E-3</v>
      </c>
      <c r="M101" s="625">
        <v>6.8794964E-2</v>
      </c>
      <c r="N101" s="762" t="s">
        <v>97</v>
      </c>
      <c r="O101" s="758" t="s">
        <v>452</v>
      </c>
      <c r="Q101" s="625"/>
    </row>
    <row r="102" spans="1:17">
      <c r="A102" s="759">
        <v>2020</v>
      </c>
      <c r="B102" s="763" t="s">
        <v>455</v>
      </c>
      <c r="C102" s="760">
        <v>6851</v>
      </c>
      <c r="D102" s="763">
        <v>1.6E-2</v>
      </c>
      <c r="E102" s="760">
        <v>0.12321942399999999</v>
      </c>
      <c r="F102" s="763" t="s">
        <v>97</v>
      </c>
      <c r="G102" s="761" t="s">
        <v>452</v>
      </c>
      <c r="I102" s="759">
        <v>2020</v>
      </c>
      <c r="J102" s="763" t="s">
        <v>456</v>
      </c>
      <c r="K102" s="760">
        <v>6685</v>
      </c>
      <c r="L102" s="763">
        <v>1.4999999999999999E-2</v>
      </c>
      <c r="M102" s="760">
        <v>0.12023381299999999</v>
      </c>
      <c r="N102" s="763" t="s">
        <v>97</v>
      </c>
      <c r="O102" s="761" t="s">
        <v>452</v>
      </c>
      <c r="Q102" s="625"/>
    </row>
    <row r="104" spans="1:17" hidden="1">
      <c r="A104" s="61" t="s">
        <v>458</v>
      </c>
      <c r="B104">
        <v>2019</v>
      </c>
      <c r="C104" s="625">
        <v>2020</v>
      </c>
    </row>
    <row r="105" spans="1:17" hidden="1">
      <c r="A105" t="s">
        <v>459</v>
      </c>
      <c r="B105" s="796">
        <v>-4.4498364216304237E-3</v>
      </c>
      <c r="C105" s="796">
        <v>-3.3538655472521717E-3</v>
      </c>
    </row>
    <row r="107" spans="1:17">
      <c r="A107" s="1902" t="s">
        <v>460</v>
      </c>
      <c r="B107" s="1902"/>
      <c r="C107" s="1902"/>
      <c r="D107" s="1902"/>
    </row>
    <row r="108" spans="1:17">
      <c r="A108" s="444">
        <v>2020</v>
      </c>
      <c r="B108" s="1" t="s">
        <v>461</v>
      </c>
      <c r="C108" s="24"/>
      <c r="D108" s="24"/>
    </row>
    <row r="109" spans="1:17">
      <c r="A109" t="s">
        <v>144</v>
      </c>
      <c r="B109" s="192">
        <f>'Purchased energy 2022'!E10/'Purchased energy 2022'!D10</f>
        <v>0.97491724262686164</v>
      </c>
      <c r="C109" s="24">
        <f>B109*C105</f>
        <v>-3.2697413514683176E-3</v>
      </c>
      <c r="D109" s="3"/>
    </row>
    <row r="110" spans="1:17">
      <c r="A110" t="s">
        <v>292</v>
      </c>
      <c r="B110" s="192">
        <f>'Purchased energy 2022'!F10/'Purchased energy 2022'!D10</f>
        <v>2.3156608924488366E-2</v>
      </c>
      <c r="C110" s="24">
        <f>B110*C105</f>
        <v>-7.7664152863033694E-5</v>
      </c>
      <c r="D110" s="3"/>
    </row>
    <row r="111" spans="1:17">
      <c r="A111" t="s">
        <v>293</v>
      </c>
      <c r="B111" s="1239">
        <f>'Purchased energy 2022'!G10/'Purchased energy 2022'!D10</f>
        <v>1.9261401213039502E-3</v>
      </c>
      <c r="C111" s="217">
        <f>B111*C105</f>
        <v>-6.4600149920214369E-6</v>
      </c>
      <c r="D111" s="3"/>
    </row>
    <row r="112" spans="1:17">
      <c r="B112" s="192"/>
      <c r="C112" s="217"/>
      <c r="D112" s="3"/>
    </row>
    <row r="113" spans="1:11">
      <c r="A113" s="444">
        <v>2019</v>
      </c>
      <c r="B113" s="1" t="s">
        <v>461</v>
      </c>
      <c r="C113" s="24"/>
      <c r="D113" s="3"/>
    </row>
    <row r="114" spans="1:11">
      <c r="A114" t="s">
        <v>144</v>
      </c>
      <c r="B114" s="192">
        <f>'Purchased energy 2022'!E11/'Purchased energy 2022'!D11</f>
        <v>0.97183053223866422</v>
      </c>
      <c r="C114" s="24">
        <f>B114*B105</f>
        <v>-4.3244868980080878E-3</v>
      </c>
      <c r="D114" s="3"/>
    </row>
    <row r="115" spans="1:11">
      <c r="A115" t="s">
        <v>292</v>
      </c>
      <c r="B115" s="192">
        <f>'Purchased energy 2022'!F11/'Purchased energy 2022'!D11</f>
        <v>2.6333164814891744E-2</v>
      </c>
      <c r="C115" s="24">
        <f>B115*B105</f>
        <v>-1.1717827589010206E-4</v>
      </c>
    </row>
    <row r="116" spans="1:11">
      <c r="A116" t="s">
        <v>293</v>
      </c>
      <c r="B116" s="192">
        <f>'Purchased energy 2022'!G11/'Purchased energy 2022'!D11</f>
        <v>1.8362938524137849E-3</v>
      </c>
      <c r="C116" s="217">
        <f>B116*B105</f>
        <v>-8.1712072652869021E-6</v>
      </c>
    </row>
    <row r="120" spans="1:11" s="752" customFormat="1" ht="27" customHeight="1">
      <c r="A120" s="750" t="s">
        <v>462</v>
      </c>
      <c r="B120" s="750"/>
      <c r="C120" s="751" t="s">
        <v>275</v>
      </c>
    </row>
    <row r="123" spans="1:11">
      <c r="D123" s="1"/>
      <c r="E123" s="24"/>
      <c r="F123" s="3"/>
      <c r="J123" s="16"/>
      <c r="K123" s="16"/>
    </row>
    <row r="124" spans="1:11" ht="31.5" customHeight="1">
      <c r="C124" s="1902" t="s">
        <v>460</v>
      </c>
      <c r="D124" s="1902"/>
      <c r="E124" s="1902"/>
      <c r="F124" s="1902"/>
      <c r="J124" s="16"/>
      <c r="K124" s="16"/>
    </row>
    <row r="125" spans="1:11" ht="30">
      <c r="D125" s="1" t="s">
        <v>461</v>
      </c>
      <c r="E125" s="24"/>
      <c r="F125" s="3"/>
      <c r="J125" s="16"/>
      <c r="K125" s="16"/>
    </row>
    <row r="126" spans="1:11">
      <c r="C126" t="s">
        <v>144</v>
      </c>
      <c r="D126" s="192" t="e">
        <f>'Purchased energy 2022'!#REF!/'Purchased energy 2022'!#REF!</f>
        <v>#REF!</v>
      </c>
      <c r="E126" s="24" t="e">
        <f>D126*0.0074</f>
        <v>#REF!</v>
      </c>
      <c r="F126" s="3"/>
      <c r="J126" s="16"/>
      <c r="K126" s="16"/>
    </row>
    <row r="127" spans="1:11">
      <c r="C127" t="s">
        <v>292</v>
      </c>
      <c r="D127" s="192" t="e">
        <f>'Purchased energy 2022'!#REF!/'Purchased energy 2022'!#REF!</f>
        <v>#REF!</v>
      </c>
      <c r="E127" s="24" t="e">
        <f t="shared" ref="E127:E128" si="0">D127*0.0074</f>
        <v>#REF!</v>
      </c>
      <c r="F127" s="3"/>
      <c r="J127" s="16"/>
      <c r="K127" s="16"/>
    </row>
    <row r="128" spans="1:11">
      <c r="C128" t="s">
        <v>293</v>
      </c>
      <c r="D128" s="192" t="e">
        <f>'Purchased energy 2022'!#REF!/'Purchased energy 2022'!#REF!</f>
        <v>#REF!</v>
      </c>
      <c r="E128" s="217" t="e">
        <f t="shared" si="0"/>
        <v>#REF!</v>
      </c>
      <c r="F128" s="3"/>
      <c r="J128" s="16"/>
      <c r="K128" s="16"/>
    </row>
    <row r="129" spans="3:16" ht="15.75" thickBot="1">
      <c r="C129" s="24"/>
      <c r="D129" s="6"/>
      <c r="E129" s="24"/>
      <c r="F129" s="24"/>
    </row>
    <row r="130" spans="3:16">
      <c r="C130" s="141" t="s">
        <v>463</v>
      </c>
      <c r="D130" s="319" t="s">
        <v>464</v>
      </c>
      <c r="E130" s="221"/>
      <c r="F130" s="221"/>
      <c r="G130" s="221"/>
      <c r="H130" s="221"/>
      <c r="I130" s="221"/>
      <c r="J130" s="95"/>
      <c r="K130" s="95"/>
      <c r="L130" s="95"/>
      <c r="M130" s="95"/>
      <c r="N130" s="95"/>
      <c r="O130" s="95"/>
      <c r="P130" s="96"/>
    </row>
    <row r="131" spans="3:16">
      <c r="C131" s="142" t="s">
        <v>465</v>
      </c>
      <c r="D131" s="320" t="s">
        <v>466</v>
      </c>
      <c r="E131" s="94"/>
      <c r="F131" s="94"/>
      <c r="G131" s="94"/>
      <c r="H131" s="94"/>
      <c r="I131" s="94"/>
      <c r="P131" s="98"/>
    </row>
    <row r="132" spans="3:16">
      <c r="C132" s="142"/>
      <c r="D132" s="320" t="s">
        <v>467</v>
      </c>
      <c r="E132" s="94"/>
      <c r="F132" s="94"/>
      <c r="G132" s="94"/>
      <c r="H132" s="94"/>
      <c r="I132" s="94"/>
      <c r="P132" s="98"/>
    </row>
    <row r="133" spans="3:16">
      <c r="C133" s="97"/>
      <c r="D133" s="94"/>
      <c r="E133" s="94"/>
      <c r="F133" s="321"/>
      <c r="G133" s="94"/>
      <c r="H133" s="94"/>
      <c r="I133" s="94"/>
      <c r="P133" s="98"/>
    </row>
    <row r="134" spans="3:16">
      <c r="C134" s="97"/>
      <c r="D134" s="153" t="s">
        <v>70</v>
      </c>
      <c r="E134" s="153">
        <v>2010</v>
      </c>
      <c r="F134" s="153">
        <v>2011</v>
      </c>
      <c r="G134" s="153">
        <v>2012</v>
      </c>
      <c r="H134" s="153">
        <v>2013</v>
      </c>
      <c r="I134" s="153">
        <v>2014</v>
      </c>
      <c r="J134" s="153">
        <v>2015</v>
      </c>
      <c r="K134" s="153">
        <v>2016</v>
      </c>
      <c r="L134" s="153">
        <v>2017</v>
      </c>
      <c r="M134" s="153">
        <v>2018</v>
      </c>
      <c r="N134" s="153">
        <v>2019</v>
      </c>
      <c r="O134" s="153"/>
      <c r="P134" s="322" t="s">
        <v>454</v>
      </c>
    </row>
    <row r="135" spans="3:16">
      <c r="C135" s="143" t="s">
        <v>468</v>
      </c>
      <c r="D135" s="323" t="s">
        <v>469</v>
      </c>
      <c r="E135" s="153"/>
      <c r="F135" s="153"/>
      <c r="G135" s="153"/>
      <c r="I135" s="153"/>
      <c r="J135" s="153"/>
      <c r="K135" s="154">
        <v>3038.6291907212199</v>
      </c>
      <c r="L135" s="153"/>
      <c r="M135" s="153"/>
      <c r="N135" s="153"/>
      <c r="O135" s="153"/>
      <c r="P135" s="579" t="s">
        <v>470</v>
      </c>
    </row>
    <row r="136" spans="3:16">
      <c r="C136" s="143" t="s">
        <v>471</v>
      </c>
      <c r="D136" s="323" t="s">
        <v>469</v>
      </c>
      <c r="E136" s="153"/>
      <c r="F136" s="153"/>
      <c r="G136" s="153"/>
      <c r="I136" s="153"/>
      <c r="J136" s="153"/>
      <c r="K136" s="325">
        <v>831.97571320915301</v>
      </c>
      <c r="L136" s="153"/>
      <c r="M136" s="153"/>
      <c r="N136" s="153"/>
      <c r="O136" s="153"/>
      <c r="P136" s="324" t="s">
        <v>470</v>
      </c>
    </row>
    <row r="137" spans="3:16">
      <c r="C137" s="143" t="s">
        <v>472</v>
      </c>
      <c r="D137" s="323" t="s">
        <v>473</v>
      </c>
      <c r="E137" s="350">
        <f>C224</f>
        <v>40341.601363011112</v>
      </c>
      <c r="F137" s="350">
        <f t="shared" ref="F137:H137" si="1">D224</f>
        <v>39880.155553924917</v>
      </c>
      <c r="G137" s="350">
        <f t="shared" si="1"/>
        <v>39495.812580263519</v>
      </c>
      <c r="H137" s="350">
        <f t="shared" si="1"/>
        <v>39862.905749460697</v>
      </c>
      <c r="I137" s="350">
        <f>F211</f>
        <v>39983.030283748114</v>
      </c>
      <c r="J137" s="350">
        <f t="shared" ref="J137:N137" si="2">G211</f>
        <v>40447.392688444888</v>
      </c>
      <c r="K137" s="350">
        <f t="shared" si="2"/>
        <v>39787.879107349392</v>
      </c>
      <c r="L137" s="350">
        <f t="shared" si="2"/>
        <v>39372.584054704057</v>
      </c>
      <c r="M137" s="350">
        <f t="shared" si="2"/>
        <v>39916.258384385052</v>
      </c>
      <c r="N137" s="350">
        <f t="shared" si="2"/>
        <v>40176.340518651057</v>
      </c>
      <c r="O137" s="153"/>
      <c r="P137" s="326" t="s">
        <v>474</v>
      </c>
    </row>
    <row r="138" spans="3:16">
      <c r="C138" s="140" t="s">
        <v>475</v>
      </c>
      <c r="D138" s="323" t="s">
        <v>473</v>
      </c>
      <c r="E138" s="350">
        <f>B194</f>
        <v>43445.429590697153</v>
      </c>
      <c r="F138" s="350">
        <f t="shared" ref="F138:N138" si="3">C194</f>
        <v>43062.564639634584</v>
      </c>
      <c r="G138" s="350">
        <f t="shared" si="3"/>
        <v>42805.821050759783</v>
      </c>
      <c r="H138" s="350">
        <f t="shared" si="3"/>
        <v>41870.863221971653</v>
      </c>
      <c r="I138" s="350">
        <f t="shared" si="3"/>
        <v>42227.652923757858</v>
      </c>
      <c r="J138" s="350">
        <f t="shared" si="3"/>
        <v>42895.341828357501</v>
      </c>
      <c r="K138" s="350">
        <f t="shared" si="3"/>
        <v>42482.180139857104</v>
      </c>
      <c r="L138" s="350">
        <f t="shared" si="3"/>
        <v>42888.929054729757</v>
      </c>
      <c r="M138" s="350">
        <f t="shared" si="3"/>
        <v>43002.738657510272</v>
      </c>
      <c r="N138" s="350">
        <f t="shared" si="3"/>
        <v>43333.086458670005</v>
      </c>
      <c r="O138" s="153"/>
      <c r="P138" s="323"/>
    </row>
    <row r="139" spans="3:16">
      <c r="C139" s="143" t="s">
        <v>476</v>
      </c>
      <c r="D139" s="323" t="s">
        <v>477</v>
      </c>
      <c r="E139" s="153"/>
      <c r="F139" s="153"/>
      <c r="G139" s="153"/>
      <c r="I139" s="153"/>
      <c r="J139" s="153"/>
      <c r="K139" s="327">
        <f>(K135+K136)/K137</f>
        <v>9.7281005943727641E-2</v>
      </c>
      <c r="L139" s="153"/>
      <c r="M139" s="153"/>
      <c r="N139" s="153"/>
      <c r="O139" s="153"/>
      <c r="P139" s="323" t="s">
        <v>478</v>
      </c>
    </row>
    <row r="140" spans="3:16">
      <c r="C140" s="140"/>
      <c r="D140" s="323"/>
      <c r="E140" s="153"/>
      <c r="F140" s="153"/>
      <c r="G140" s="153"/>
      <c r="I140" s="153"/>
      <c r="J140" s="153"/>
      <c r="K140" s="323"/>
      <c r="L140" s="153"/>
      <c r="M140" s="153"/>
      <c r="N140" s="153"/>
      <c r="O140" s="153"/>
      <c r="P140" s="323"/>
    </row>
    <row r="141" spans="3:16">
      <c r="C141" s="143" t="s">
        <v>479</v>
      </c>
      <c r="D141" s="323" t="s">
        <v>477</v>
      </c>
      <c r="E141" s="153"/>
      <c r="F141" s="153"/>
      <c r="G141" s="153"/>
      <c r="I141" s="153"/>
      <c r="J141" s="153"/>
      <c r="K141" s="328">
        <f>(K135+K136)/K138</f>
        <v>9.111125867805786E-2</v>
      </c>
      <c r="L141" s="153"/>
      <c r="M141" s="153"/>
      <c r="N141" s="153"/>
      <c r="O141" s="153"/>
      <c r="P141" s="323" t="s">
        <v>478</v>
      </c>
    </row>
    <row r="142" spans="3:16">
      <c r="C142" s="140"/>
      <c r="D142" s="323"/>
      <c r="E142" s="153"/>
      <c r="F142" s="153"/>
      <c r="G142" s="153"/>
      <c r="I142" s="153"/>
      <c r="J142" s="153"/>
      <c r="K142" s="323"/>
      <c r="L142" s="153"/>
      <c r="M142" s="153"/>
      <c r="N142" s="153"/>
      <c r="O142" s="153"/>
      <c r="P142" s="323"/>
    </row>
    <row r="143" spans="3:16">
      <c r="C143" s="143" t="s">
        <v>480</v>
      </c>
      <c r="D143" s="323" t="s">
        <v>477</v>
      </c>
      <c r="E143" s="153"/>
      <c r="F143" s="153"/>
      <c r="G143" s="329"/>
      <c r="I143" s="153"/>
      <c r="J143" s="153"/>
      <c r="K143" s="330">
        <f>K139-K141</f>
        <v>6.169747265669781E-3</v>
      </c>
      <c r="L143" s="153"/>
      <c r="M143" s="153"/>
      <c r="N143" s="153"/>
      <c r="O143" s="153"/>
      <c r="P143" s="323" t="s">
        <v>478</v>
      </c>
    </row>
    <row r="144" spans="3:16" ht="15.75" thickBot="1">
      <c r="C144" s="145"/>
      <c r="D144" s="286"/>
      <c r="E144" s="146"/>
      <c r="F144" s="146"/>
      <c r="G144" s="102"/>
      <c r="H144" s="147"/>
      <c r="I144" s="102"/>
      <c r="J144" s="102"/>
      <c r="K144" s="102"/>
      <c r="L144" s="102"/>
      <c r="M144" s="102"/>
      <c r="N144" s="102"/>
      <c r="O144" s="102"/>
      <c r="P144" s="103"/>
    </row>
    <row r="146" spans="1:12">
      <c r="A146" s="148" t="s">
        <v>481</v>
      </c>
    </row>
    <row r="147" spans="1:12" ht="15.75" thickBot="1"/>
    <row r="148" spans="1:12" ht="30">
      <c r="B148" t="s">
        <v>482</v>
      </c>
      <c r="C148" s="149" t="s">
        <v>483</v>
      </c>
      <c r="D148" s="150">
        <v>212.496850666759</v>
      </c>
      <c r="E148" s="151" t="s">
        <v>469</v>
      </c>
      <c r="F148" s="139" t="s">
        <v>470</v>
      </c>
      <c r="G148" s="95"/>
      <c r="H148" s="95"/>
      <c r="I148" s="95"/>
      <c r="J148" s="96"/>
    </row>
    <row r="149" spans="1:12">
      <c r="C149" s="142" t="s">
        <v>484</v>
      </c>
      <c r="D149" s="152">
        <f xml:space="preserve"> 66.15*1000</f>
        <v>66150</v>
      </c>
      <c r="E149" s="16" t="s">
        <v>346</v>
      </c>
      <c r="F149" s="153" t="s">
        <v>485</v>
      </c>
      <c r="I149" s="16"/>
      <c r="J149" s="98"/>
      <c r="K149" s="16"/>
    </row>
    <row r="150" spans="1:12">
      <c r="C150" s="142" t="s">
        <v>486</v>
      </c>
      <c r="D150" s="46">
        <f>D148*10^6</f>
        <v>212496850.66675901</v>
      </c>
      <c r="E150" s="16"/>
      <c r="F150" s="16"/>
      <c r="I150" s="16"/>
      <c r="J150" s="98"/>
      <c r="K150" s="16"/>
    </row>
    <row r="151" spans="1:12">
      <c r="C151" s="142" t="s">
        <v>487</v>
      </c>
      <c r="D151" s="154">
        <f>D149*1000</f>
        <v>66150000</v>
      </c>
      <c r="E151" s="16"/>
      <c r="F151" s="16"/>
      <c r="I151" s="16"/>
      <c r="J151" s="98"/>
    </row>
    <row r="152" spans="1:12">
      <c r="C152" s="97"/>
      <c r="D152" s="6"/>
      <c r="J152" s="98"/>
      <c r="K152" s="16"/>
    </row>
    <row r="153" spans="1:12">
      <c r="C153" s="142" t="s">
        <v>136</v>
      </c>
      <c r="D153" s="47">
        <f>D150/D151</f>
        <v>3.212348460570809</v>
      </c>
      <c r="E153" s="16" t="s">
        <v>488</v>
      </c>
      <c r="F153" s="16"/>
      <c r="J153" s="98"/>
      <c r="K153" s="16"/>
    </row>
    <row r="154" spans="1:12">
      <c r="C154" s="142"/>
      <c r="D154" s="144">
        <f>D153*0.0036</f>
        <v>1.1564454458054912E-2</v>
      </c>
      <c r="E154" s="16" t="s">
        <v>489</v>
      </c>
      <c r="F154" s="16"/>
      <c r="J154" s="98"/>
      <c r="K154" s="155"/>
      <c r="L154" s="16"/>
    </row>
    <row r="155" spans="1:12">
      <c r="C155" s="97"/>
      <c r="J155" s="98"/>
      <c r="L155" s="16"/>
    </row>
    <row r="156" spans="1:12">
      <c r="C156" s="97"/>
      <c r="D156" s="16" t="s">
        <v>490</v>
      </c>
      <c r="J156" s="98"/>
    </row>
    <row r="157" spans="1:12" ht="15.75" thickBot="1">
      <c r="C157" s="101"/>
      <c r="D157" s="102"/>
      <c r="E157" s="102"/>
      <c r="F157" s="102"/>
      <c r="G157" s="102"/>
      <c r="H157" s="102"/>
      <c r="I157" s="102"/>
      <c r="J157" s="103"/>
    </row>
    <row r="159" spans="1:12">
      <c r="C159" s="1902"/>
      <c r="D159" s="1902"/>
      <c r="E159" s="1902"/>
      <c r="F159" s="1902"/>
    </row>
    <row r="162" spans="1:13" s="332" customFormat="1">
      <c r="A162" s="331" t="s">
        <v>491</v>
      </c>
    </row>
    <row r="163" spans="1:13" ht="16.5" customHeight="1"/>
    <row r="165" spans="1:13">
      <c r="A165" s="61" t="s">
        <v>492</v>
      </c>
      <c r="B165" s="61" t="s">
        <v>70</v>
      </c>
      <c r="C165" s="61">
        <v>2010</v>
      </c>
      <c r="D165" s="61">
        <v>2011</v>
      </c>
      <c r="E165" s="61">
        <v>2012</v>
      </c>
      <c r="F165" s="61">
        <v>2013</v>
      </c>
      <c r="G165" s="61">
        <v>2014</v>
      </c>
      <c r="H165" s="61">
        <v>2015</v>
      </c>
      <c r="I165" s="61">
        <v>2016</v>
      </c>
      <c r="J165" s="61">
        <v>2017</v>
      </c>
      <c r="K165" s="61">
        <v>2018</v>
      </c>
      <c r="L165" s="581"/>
      <c r="M165" s="581"/>
    </row>
    <row r="166" spans="1:13">
      <c r="A166" t="s">
        <v>493</v>
      </c>
      <c r="B166" t="s">
        <v>494</v>
      </c>
      <c r="C166" s="244">
        <f t="shared" ref="C166:K166" si="4">C168/C175</f>
        <v>0.14479279604728112</v>
      </c>
      <c r="D166" s="244">
        <f t="shared" si="4"/>
        <v>0.13396078482404572</v>
      </c>
      <c r="E166" s="244">
        <f t="shared" si="4"/>
        <v>0.16745972931405864</v>
      </c>
      <c r="F166" s="244">
        <f t="shared" si="4"/>
        <v>0.14182277270500657</v>
      </c>
      <c r="G166" s="244">
        <f t="shared" si="4"/>
        <v>0.11945853882285175</v>
      </c>
      <c r="H166" s="244">
        <f t="shared" si="4"/>
        <v>0.11391702430442198</v>
      </c>
      <c r="I166" s="244">
        <f t="shared" si="4"/>
        <v>9.1460792638804786E-2</v>
      </c>
      <c r="J166" s="244">
        <f t="shared" si="4"/>
        <v>0.10297209061824107</v>
      </c>
      <c r="K166" s="244">
        <f t="shared" si="4"/>
        <v>9.8860186816637136E-2</v>
      </c>
      <c r="L166" s="16"/>
      <c r="M166" s="16"/>
    </row>
    <row r="167" spans="1:13">
      <c r="A167" t="s">
        <v>495</v>
      </c>
      <c r="B167" t="s">
        <v>494</v>
      </c>
      <c r="C167" s="244">
        <f t="shared" ref="C167:K167" si="5">C168/C176</f>
        <v>0.15459131842209478</v>
      </c>
      <c r="D167" s="244">
        <f t="shared" si="5"/>
        <v>0.14298824847221209</v>
      </c>
      <c r="E167" s="244">
        <f t="shared" si="5"/>
        <v>0.17972817429512153</v>
      </c>
      <c r="F167" s="244">
        <f t="shared" si="5"/>
        <v>0.15032543232754364</v>
      </c>
      <c r="G167" s="244">
        <f t="shared" si="5"/>
        <v>0.12649926476974416</v>
      </c>
      <c r="H167" s="244">
        <f t="shared" si="5"/>
        <v>0.12088300400173757</v>
      </c>
      <c r="I167" s="244">
        <f t="shared" si="5"/>
        <v>9.7864779467619151E-2</v>
      </c>
      <c r="J167" s="244">
        <f t="shared" si="5"/>
        <v>0.11122099013156402</v>
      </c>
      <c r="K167" s="244">
        <f t="shared" si="5"/>
        <v>0.10755515092803689</v>
      </c>
      <c r="L167" s="16"/>
      <c r="M167" s="16"/>
    </row>
    <row r="168" spans="1:13">
      <c r="A168" t="s">
        <v>496</v>
      </c>
      <c r="B168" t="s">
        <v>497</v>
      </c>
      <c r="C168">
        <v>6284.74</v>
      </c>
      <c r="D168">
        <v>5764.78</v>
      </c>
      <c r="E168">
        <v>7165.57</v>
      </c>
      <c r="F168">
        <v>5938.05</v>
      </c>
      <c r="G168">
        <v>5039.46</v>
      </c>
      <c r="H168">
        <v>4878.2299999999996</v>
      </c>
      <c r="I168">
        <v>3875.32</v>
      </c>
      <c r="J168">
        <v>4411</v>
      </c>
      <c r="K168">
        <v>4241.1899999999996</v>
      </c>
      <c r="L168" s="16"/>
      <c r="M168" s="16"/>
    </row>
    <row r="169" spans="1:13">
      <c r="A169" t="s">
        <v>498</v>
      </c>
      <c r="B169" t="s">
        <v>497</v>
      </c>
      <c r="C169">
        <v>5517.85</v>
      </c>
      <c r="D169">
        <v>5007.7700000000004</v>
      </c>
      <c r="E169">
        <v>6415.02</v>
      </c>
      <c r="F169">
        <v>5189.78</v>
      </c>
      <c r="G169">
        <v>4228.05</v>
      </c>
      <c r="H169">
        <v>4026.34</v>
      </c>
      <c r="I169">
        <v>3043.34</v>
      </c>
      <c r="J169">
        <v>3596.23</v>
      </c>
      <c r="K169">
        <v>3495.77</v>
      </c>
      <c r="L169" s="16"/>
      <c r="M169" s="16"/>
    </row>
    <row r="170" spans="1:13">
      <c r="A170" t="s">
        <v>499</v>
      </c>
      <c r="B170" t="s">
        <v>497</v>
      </c>
      <c r="C170">
        <v>0.1</v>
      </c>
      <c r="D170">
        <v>0.1</v>
      </c>
      <c r="E170">
        <v>0.1</v>
      </c>
      <c r="F170">
        <v>0.09</v>
      </c>
      <c r="G170">
        <v>0.1</v>
      </c>
      <c r="H170">
        <v>0.11</v>
      </c>
      <c r="I170">
        <v>0.11</v>
      </c>
      <c r="J170">
        <v>0.12</v>
      </c>
      <c r="K170">
        <v>0.12</v>
      </c>
      <c r="L170" s="16"/>
      <c r="M170" s="16"/>
    </row>
    <row r="171" spans="1:13">
      <c r="A171" t="s">
        <v>500</v>
      </c>
      <c r="B171" t="s">
        <v>497</v>
      </c>
      <c r="C171">
        <v>1288.5</v>
      </c>
      <c r="D171">
        <v>1527.39</v>
      </c>
      <c r="E171">
        <v>2710.9</v>
      </c>
      <c r="F171">
        <v>1623.78</v>
      </c>
      <c r="G171">
        <v>1221.93</v>
      </c>
      <c r="H171">
        <v>1108.8800000000001</v>
      </c>
      <c r="I171">
        <v>447.88</v>
      </c>
      <c r="J171">
        <v>525.20000000000005</v>
      </c>
      <c r="K171">
        <v>928.07</v>
      </c>
      <c r="L171" s="16"/>
      <c r="M171" s="16"/>
    </row>
    <row r="172" spans="1:13">
      <c r="A172" t="s">
        <v>501</v>
      </c>
      <c r="B172" t="s">
        <v>497</v>
      </c>
      <c r="C172">
        <v>4227.59</v>
      </c>
      <c r="D172">
        <v>3478.82</v>
      </c>
      <c r="E172">
        <v>3700.67</v>
      </c>
      <c r="F172">
        <v>3562.1</v>
      </c>
      <c r="G172">
        <v>3003.84</v>
      </c>
      <c r="H172">
        <v>2915.84</v>
      </c>
      <c r="I172">
        <v>2593.31</v>
      </c>
      <c r="J172">
        <v>3068.04</v>
      </c>
      <c r="K172">
        <v>2562.65</v>
      </c>
      <c r="L172" s="16"/>
      <c r="M172" s="16"/>
    </row>
    <row r="173" spans="1:13">
      <c r="A173" t="s">
        <v>502</v>
      </c>
      <c r="B173" t="s">
        <v>497</v>
      </c>
      <c r="C173">
        <v>766.89</v>
      </c>
      <c r="D173">
        <v>757.01</v>
      </c>
      <c r="E173">
        <v>750.55</v>
      </c>
      <c r="F173">
        <v>748.28</v>
      </c>
      <c r="G173">
        <v>811.41</v>
      </c>
      <c r="H173">
        <v>851.9</v>
      </c>
      <c r="I173">
        <v>831.98</v>
      </c>
      <c r="J173">
        <v>814.77</v>
      </c>
      <c r="K173">
        <v>745.42</v>
      </c>
      <c r="L173" s="16"/>
      <c r="M173" s="16"/>
    </row>
    <row r="174" spans="1:13">
      <c r="A174" t="s">
        <v>503</v>
      </c>
      <c r="B174" t="s">
        <v>497</v>
      </c>
      <c r="C174">
        <v>1.67</v>
      </c>
      <c r="D174">
        <v>1.45</v>
      </c>
      <c r="E174">
        <v>3.36</v>
      </c>
      <c r="F174">
        <v>3.81</v>
      </c>
      <c r="G174">
        <v>2.17</v>
      </c>
      <c r="H174">
        <v>1.51</v>
      </c>
      <c r="I174">
        <v>2.04</v>
      </c>
      <c r="J174">
        <v>2.86</v>
      </c>
      <c r="K174">
        <v>4.93</v>
      </c>
      <c r="L174" s="16"/>
      <c r="M174" s="16"/>
    </row>
    <row r="175" spans="1:13">
      <c r="A175" t="s">
        <v>504</v>
      </c>
      <c r="B175" t="s">
        <v>473</v>
      </c>
      <c r="C175">
        <v>43405.06</v>
      </c>
      <c r="D175">
        <v>43033.34</v>
      </c>
      <c r="E175">
        <v>42789.81</v>
      </c>
      <c r="F175">
        <v>41869.51</v>
      </c>
      <c r="G175">
        <v>42185.85</v>
      </c>
      <c r="H175">
        <v>42822.66</v>
      </c>
      <c r="I175">
        <v>42371.38</v>
      </c>
      <c r="J175">
        <v>42836.85</v>
      </c>
      <c r="K175">
        <v>42900.89</v>
      </c>
      <c r="L175" s="16"/>
      <c r="M175" s="16"/>
    </row>
    <row r="176" spans="1:13">
      <c r="A176" t="s">
        <v>505</v>
      </c>
      <c r="B176" t="s">
        <v>473</v>
      </c>
      <c r="C176">
        <v>40653.9</v>
      </c>
      <c r="D176">
        <v>40316.46</v>
      </c>
      <c r="E176">
        <v>39868.93</v>
      </c>
      <c r="F176">
        <v>39501.300000000003</v>
      </c>
      <c r="G176">
        <v>39837.86</v>
      </c>
      <c r="H176">
        <v>40354.97</v>
      </c>
      <c r="I176">
        <v>39598.720000000001</v>
      </c>
      <c r="J176">
        <v>39659.78</v>
      </c>
      <c r="K176">
        <v>39432.699999999997</v>
      </c>
      <c r="L176" s="16"/>
      <c r="M176" s="16"/>
    </row>
    <row r="177" spans="1:13">
      <c r="C177">
        <f>C175-C176</f>
        <v>2751.1599999999962</v>
      </c>
      <c r="D177">
        <f t="shared" ref="D177:K177" si="6">D175-D176</f>
        <v>2716.8799999999974</v>
      </c>
      <c r="E177">
        <f t="shared" si="6"/>
        <v>2920.8799999999974</v>
      </c>
      <c r="F177">
        <f t="shared" si="6"/>
        <v>2368.2099999999991</v>
      </c>
      <c r="G177">
        <f t="shared" si="6"/>
        <v>2347.989999999998</v>
      </c>
      <c r="H177">
        <f t="shared" si="6"/>
        <v>2467.6900000000023</v>
      </c>
      <c r="I177">
        <f t="shared" si="6"/>
        <v>2772.6599999999962</v>
      </c>
      <c r="J177">
        <f t="shared" si="6"/>
        <v>3177.0699999999997</v>
      </c>
      <c r="K177">
        <f t="shared" si="6"/>
        <v>3468.1900000000023</v>
      </c>
      <c r="L177" s="16"/>
      <c r="M177" s="16"/>
    </row>
    <row r="179" spans="1:13">
      <c r="A179" s="153" t="s">
        <v>506</v>
      </c>
      <c r="B179" s="153" t="s">
        <v>507</v>
      </c>
      <c r="C179" s="436">
        <f t="shared" ref="C179:K179" si="7">C167-C166</f>
        <v>9.7985223748136563E-3</v>
      </c>
      <c r="D179" s="436">
        <f t="shared" si="7"/>
        <v>9.0274636481663673E-3</v>
      </c>
      <c r="E179" s="436">
        <f t="shared" si="7"/>
        <v>1.2268444981062887E-2</v>
      </c>
      <c r="F179" s="436">
        <f t="shared" si="7"/>
        <v>8.5026596225370732E-3</v>
      </c>
      <c r="G179" s="436">
        <f t="shared" si="7"/>
        <v>7.0407259468924094E-3</v>
      </c>
      <c r="H179" s="436">
        <f t="shared" si="7"/>
        <v>6.9659796973155913E-3</v>
      </c>
      <c r="I179" s="436">
        <f t="shared" si="7"/>
        <v>6.4039868288143648E-3</v>
      </c>
      <c r="J179" s="436">
        <f t="shared" si="7"/>
        <v>8.2488995133229437E-3</v>
      </c>
      <c r="K179" s="436">
        <f t="shared" si="7"/>
        <v>8.69496411139975E-3</v>
      </c>
    </row>
    <row r="189" spans="1:13" s="332" customFormat="1">
      <c r="A189" s="331" t="s">
        <v>508</v>
      </c>
    </row>
    <row r="192" spans="1:13">
      <c r="A192" s="333" t="s">
        <v>509</v>
      </c>
      <c r="B192" s="337">
        <v>2010</v>
      </c>
      <c r="C192" s="337">
        <v>2011</v>
      </c>
      <c r="D192" s="337">
        <v>2012</v>
      </c>
      <c r="E192" s="337">
        <v>2013</v>
      </c>
      <c r="F192" s="337">
        <v>2014</v>
      </c>
      <c r="G192" s="337">
        <v>2015</v>
      </c>
      <c r="H192" s="337">
        <v>2016</v>
      </c>
      <c r="I192" s="337">
        <v>2017</v>
      </c>
      <c r="J192" s="337">
        <v>2018</v>
      </c>
      <c r="K192" s="337">
        <v>2019</v>
      </c>
      <c r="L192" s="338" t="s">
        <v>510</v>
      </c>
    </row>
    <row r="193" spans="1:12">
      <c r="A193" s="275"/>
      <c r="B193" s="339"/>
      <c r="C193" s="339"/>
      <c r="D193" s="339"/>
      <c r="E193" s="339"/>
      <c r="F193" s="339"/>
      <c r="G193" s="339"/>
      <c r="H193" s="339"/>
      <c r="I193" s="339"/>
      <c r="J193" s="339"/>
      <c r="K193" s="339"/>
      <c r="L193" s="340"/>
    </row>
    <row r="194" spans="1:12" ht="17.25">
      <c r="A194" s="334" t="s">
        <v>511</v>
      </c>
      <c r="B194" s="341">
        <f t="shared" ref="B194:E194" si="8">SUM(B195:B204)</f>
        <v>43445.429590697153</v>
      </c>
      <c r="C194" s="341">
        <f t="shared" si="8"/>
        <v>43062.564639634584</v>
      </c>
      <c r="D194" s="341">
        <f t="shared" si="8"/>
        <v>42805.821050759783</v>
      </c>
      <c r="E194" s="341">
        <f t="shared" si="8"/>
        <v>41870.863221971653</v>
      </c>
      <c r="F194" s="341">
        <f t="shared" ref="F194:K194" si="9">SUM(F195:F204)</f>
        <v>42227.652923757858</v>
      </c>
      <c r="G194" s="341">
        <f t="shared" si="9"/>
        <v>42895.341828357501</v>
      </c>
      <c r="H194" s="341">
        <f t="shared" si="9"/>
        <v>42482.180139857104</v>
      </c>
      <c r="I194" s="341">
        <f t="shared" si="9"/>
        <v>42888.929054729757</v>
      </c>
      <c r="J194" s="341">
        <f t="shared" si="9"/>
        <v>43002.738657510272</v>
      </c>
      <c r="K194" s="341">
        <f t="shared" si="9"/>
        <v>43333.086458670005</v>
      </c>
      <c r="L194" s="342">
        <f>K194/J194-1</f>
        <v>7.6820177382361798E-3</v>
      </c>
    </row>
    <row r="195" spans="1:12">
      <c r="A195" s="335" t="s">
        <v>512</v>
      </c>
      <c r="B195" s="343">
        <v>24479.241180145898</v>
      </c>
      <c r="C195" s="343">
        <v>24859.5605646853</v>
      </c>
      <c r="D195" s="343">
        <v>22667.689465396899</v>
      </c>
      <c r="E195" s="343">
        <v>22798.782214161401</v>
      </c>
      <c r="F195" s="343">
        <v>24074.880153428101</v>
      </c>
      <c r="G195" s="343">
        <v>24284.6434486775</v>
      </c>
      <c r="H195" s="343">
        <v>25663.2856524327</v>
      </c>
      <c r="I195" s="343">
        <v>24927.725397092199</v>
      </c>
      <c r="J195" s="343">
        <v>26026.722842232699</v>
      </c>
      <c r="K195" s="343">
        <v>25329.53866694</v>
      </c>
      <c r="L195" s="342">
        <f t="shared" ref="L195:L204" si="10">K195/J195-1</f>
        <v>-2.6787243999901622E-2</v>
      </c>
    </row>
    <row r="196" spans="1:12">
      <c r="A196" s="335" t="s">
        <v>513</v>
      </c>
      <c r="B196" s="343">
        <v>5534.7218621000002</v>
      </c>
      <c r="C196" s="343">
        <v>5773.6767338250002</v>
      </c>
      <c r="D196" s="343">
        <v>5845.5411496999996</v>
      </c>
      <c r="E196" s="343">
        <v>6072.0778261249998</v>
      </c>
      <c r="F196" s="343">
        <v>6872.8528314499999</v>
      </c>
      <c r="G196" s="343">
        <v>7410.4726919000004</v>
      </c>
      <c r="H196" s="343">
        <v>7424.8247037000001</v>
      </c>
      <c r="I196" s="343">
        <v>7458.9570689800003</v>
      </c>
      <c r="J196" s="343">
        <v>7385.8256145400001</v>
      </c>
      <c r="K196" s="343">
        <v>7438.5510836100002</v>
      </c>
      <c r="L196" s="342">
        <f t="shared" si="10"/>
        <v>7.1387373357696404E-3</v>
      </c>
    </row>
    <row r="197" spans="1:12">
      <c r="A197" s="335" t="s">
        <v>202</v>
      </c>
      <c r="B197" s="343">
        <v>217.50578852500001</v>
      </c>
      <c r="C197" s="343">
        <v>218.244415675</v>
      </c>
      <c r="D197" s="343">
        <v>210.98938405547801</v>
      </c>
      <c r="E197" s="343">
        <v>202.68569151524801</v>
      </c>
      <c r="F197" s="343">
        <v>227.80049937475201</v>
      </c>
      <c r="G197" s="343">
        <v>243.97689811250001</v>
      </c>
      <c r="H197" s="343">
        <v>260.09094475939497</v>
      </c>
      <c r="I197" s="343">
        <v>259.31510460306799</v>
      </c>
      <c r="J197" s="343">
        <v>260.78787142275701</v>
      </c>
      <c r="K197" s="343">
        <v>263.46340300000003</v>
      </c>
      <c r="L197" s="342">
        <f t="shared" si="10"/>
        <v>1.0259417213869471E-2</v>
      </c>
    </row>
    <row r="198" spans="1:12">
      <c r="A198" s="335" t="s">
        <v>313</v>
      </c>
      <c r="B198" s="343">
        <v>344.85500875000002</v>
      </c>
      <c r="C198" s="343">
        <v>348.65628750000002</v>
      </c>
      <c r="D198" s="343">
        <v>359.62569875000003</v>
      </c>
      <c r="E198" s="343">
        <v>363.88444512500001</v>
      </c>
      <c r="F198" s="343">
        <v>355.65645862500003</v>
      </c>
      <c r="G198" s="343">
        <v>348.74575275000001</v>
      </c>
      <c r="H198" s="343">
        <v>331.56439499999999</v>
      </c>
      <c r="I198" s="343">
        <v>303.55463600000002</v>
      </c>
      <c r="J198" s="343">
        <v>288.51227499999999</v>
      </c>
      <c r="K198" s="343">
        <v>303.34089</v>
      </c>
      <c r="L198" s="342">
        <f t="shared" si="10"/>
        <v>5.1396825317051142E-2</v>
      </c>
    </row>
    <row r="199" spans="1:12">
      <c r="A199" s="335" t="s">
        <v>514</v>
      </c>
      <c r="B199" s="343">
        <v>1620.80400571</v>
      </c>
      <c r="C199" s="343">
        <v>1937.6467319000001</v>
      </c>
      <c r="D199" s="343">
        <v>2058.4036045050002</v>
      </c>
      <c r="E199" s="343">
        <v>2001.6517113150001</v>
      </c>
      <c r="F199" s="343">
        <v>2189.1115294299998</v>
      </c>
      <c r="G199" s="343">
        <v>2340.4886199375001</v>
      </c>
      <c r="H199" s="343">
        <v>2307.3851910349999</v>
      </c>
      <c r="I199" s="343">
        <v>2065.5363508199998</v>
      </c>
      <c r="J199" s="343">
        <v>2047.18214831</v>
      </c>
      <c r="K199" s="343">
        <v>2232.6527412099999</v>
      </c>
      <c r="L199" s="342">
        <f t="shared" si="10"/>
        <v>9.0597992490853985E-2</v>
      </c>
    </row>
    <row r="200" spans="1:12" ht="17.25">
      <c r="A200" s="335" t="s">
        <v>515</v>
      </c>
      <c r="B200" s="343">
        <v>3.7902399999999998</v>
      </c>
      <c r="C200" s="343">
        <v>4.0856000000000003</v>
      </c>
      <c r="D200" s="343">
        <v>4.7747200000000003</v>
      </c>
      <c r="E200" s="343">
        <v>6.85212208</v>
      </c>
      <c r="F200" s="343">
        <v>18.312339359999999</v>
      </c>
      <c r="G200" s="343">
        <v>35.966071679999999</v>
      </c>
      <c r="H200" s="343">
        <v>56.004624479999997</v>
      </c>
      <c r="I200" s="343">
        <v>75.595242240000005</v>
      </c>
      <c r="J200" s="343">
        <v>98.482386239999997</v>
      </c>
      <c r="K200" s="343">
        <v>126.05303087999999</v>
      </c>
      <c r="L200" s="342">
        <f t="shared" si="10"/>
        <v>0.27995508326545604</v>
      </c>
    </row>
    <row r="201" spans="1:12">
      <c r="A201" s="335" t="s">
        <v>516</v>
      </c>
      <c r="B201" s="343">
        <v>2.0421914999999999</v>
      </c>
      <c r="C201" s="343">
        <v>2.0823301299999999</v>
      </c>
      <c r="D201" s="343">
        <v>3.4293441200000001</v>
      </c>
      <c r="E201" s="343">
        <v>3.3950119000000001</v>
      </c>
      <c r="F201" s="343">
        <v>3.1404710900000001</v>
      </c>
      <c r="G201" s="343">
        <v>1.44727005</v>
      </c>
      <c r="H201" s="343">
        <v>3.1125948600000002</v>
      </c>
      <c r="I201" s="343">
        <v>5.50744744</v>
      </c>
      <c r="J201" s="343">
        <v>10.902828680000001</v>
      </c>
      <c r="K201" s="343">
        <v>3.9817049299999998</v>
      </c>
      <c r="L201" s="342">
        <f t="shared" si="10"/>
        <v>-0.63480074328747504</v>
      </c>
    </row>
    <row r="202" spans="1:12">
      <c r="A202" s="335" t="s">
        <v>210</v>
      </c>
      <c r="B202" s="343">
        <v>1928.88026776625</v>
      </c>
      <c r="C202" s="343">
        <v>2027.9058153692799</v>
      </c>
      <c r="D202" s="343">
        <v>3317.4904564824001</v>
      </c>
      <c r="E202" s="343">
        <v>2237.2022350000002</v>
      </c>
      <c r="F202" s="343">
        <v>1831.295175</v>
      </c>
      <c r="G202" s="343">
        <v>1753.0155050000001</v>
      </c>
      <c r="H202" s="343">
        <v>979.47719600000005</v>
      </c>
      <c r="I202" s="343">
        <v>1133.13723034492</v>
      </c>
      <c r="J202" s="343">
        <v>1479.42586011497</v>
      </c>
      <c r="K202" s="343">
        <v>2118.6441</v>
      </c>
      <c r="L202" s="342">
        <f t="shared" si="10"/>
        <v>0.43207183078126987</v>
      </c>
    </row>
    <row r="203" spans="1:12">
      <c r="A203" s="335" t="s">
        <v>138</v>
      </c>
      <c r="B203" s="343">
        <v>9256.4338712000008</v>
      </c>
      <c r="C203" s="343">
        <v>7844.4317355499998</v>
      </c>
      <c r="D203" s="343">
        <v>8302.5400622500001</v>
      </c>
      <c r="E203" s="343">
        <v>8140.0858382500001</v>
      </c>
      <c r="F203" s="343">
        <v>6607.2140827499998</v>
      </c>
      <c r="G203" s="343">
        <v>6427.5740244999997</v>
      </c>
      <c r="H203" s="343">
        <v>5405.4607875900001</v>
      </c>
      <c r="I203" s="343">
        <v>6613.1310772095703</v>
      </c>
      <c r="J203" s="343">
        <v>5355.5528309698502</v>
      </c>
      <c r="K203" s="343">
        <v>5466.0078381000003</v>
      </c>
      <c r="L203" s="342">
        <f t="shared" si="10"/>
        <v>2.0624389417170041E-2</v>
      </c>
    </row>
    <row r="204" spans="1:12" ht="17.25">
      <c r="A204" s="335" t="s">
        <v>517</v>
      </c>
      <c r="B204" s="343">
        <v>57.155175</v>
      </c>
      <c r="C204" s="343">
        <v>46.274425000000001</v>
      </c>
      <c r="D204" s="343">
        <v>35.337165499999998</v>
      </c>
      <c r="E204" s="343">
        <v>44.246126500000003</v>
      </c>
      <c r="F204" s="343">
        <v>47.389383250000002</v>
      </c>
      <c r="G204" s="343">
        <v>49.011545750000003</v>
      </c>
      <c r="H204" s="343">
        <v>50.974049999999998</v>
      </c>
      <c r="I204" s="343">
        <v>46.469499999999996</v>
      </c>
      <c r="J204" s="343">
        <v>49.344000000000001</v>
      </c>
      <c r="K204" s="343">
        <v>50.853000000000002</v>
      </c>
      <c r="L204" s="342">
        <f t="shared" si="10"/>
        <v>3.058122568093391E-2</v>
      </c>
    </row>
    <row r="205" spans="1:12">
      <c r="A205" s="336" t="s">
        <v>518</v>
      </c>
      <c r="B205" s="344">
        <f t="shared" ref="B205:I205" si="11">SUM(B195:B200)/B194</f>
        <v>0.74118079596860487</v>
      </c>
      <c r="C205" s="344">
        <f t="shared" si="11"/>
        <v>0.76962137789354224</v>
      </c>
      <c r="D205" s="344">
        <f t="shared" si="11"/>
        <v>0.72763524347477815</v>
      </c>
      <c r="E205" s="344">
        <f t="shared" si="11"/>
        <v>0.75102187035447743</v>
      </c>
      <c r="F205" s="344">
        <f t="shared" si="11"/>
        <v>0.79896966740214082</v>
      </c>
      <c r="G205" s="344">
        <f t="shared" si="11"/>
        <v>0.80811323573930427</v>
      </c>
      <c r="H205" s="344">
        <f t="shared" si="11"/>
        <v>0.84842998623771526</v>
      </c>
      <c r="I205" s="344">
        <f t="shared" si="11"/>
        <v>0.81817579904960336</v>
      </c>
      <c r="J205" s="344">
        <f t="shared" ref="J205:K205" si="12">SUM(J195:J200)/J194</f>
        <v>0.83965613039948572</v>
      </c>
      <c r="K205" s="344">
        <f t="shared" si="12"/>
        <v>0.82370315000948868</v>
      </c>
      <c r="L205" s="342"/>
    </row>
    <row r="207" spans="1:12">
      <c r="A207" s="336" t="s">
        <v>519</v>
      </c>
      <c r="B207" s="277">
        <v>3102.0007695051227</v>
      </c>
      <c r="C207" s="277">
        <v>2998.8447440815507</v>
      </c>
      <c r="D207" s="277">
        <v>3001.949728262548</v>
      </c>
      <c r="E207" s="277">
        <f t="shared" ref="E207:K207" si="13">SUM(E208:E209)</f>
        <v>2895.1490000000003</v>
      </c>
      <c r="F207" s="277">
        <f t="shared" si="13"/>
        <v>2844.2233217004</v>
      </c>
      <c r="G207" s="277">
        <f t="shared" si="13"/>
        <v>2901.51956265218</v>
      </c>
      <c r="H207" s="277">
        <f t="shared" si="13"/>
        <v>2954.5475608233501</v>
      </c>
      <c r="I207" s="277">
        <f t="shared" si="13"/>
        <v>2947.4872622110602</v>
      </c>
      <c r="J207" s="277">
        <f t="shared" si="13"/>
        <v>2960.84292796098</v>
      </c>
      <c r="K207" s="277">
        <f t="shared" si="13"/>
        <v>2910.9859594535301</v>
      </c>
      <c r="L207" s="347">
        <f>K207/J207-1</f>
        <v>-1.6838775213849133E-2</v>
      </c>
    </row>
    <row r="208" spans="1:12">
      <c r="A208" s="335" t="s">
        <v>520</v>
      </c>
      <c r="B208" s="343">
        <v>1358.5909999999999</v>
      </c>
      <c r="C208" s="343">
        <v>1310.8019999999999</v>
      </c>
      <c r="D208" s="343">
        <v>1386.749</v>
      </c>
      <c r="E208" s="343">
        <v>1304.97</v>
      </c>
      <c r="F208" s="343">
        <v>1251.4967730757101</v>
      </c>
      <c r="G208" s="343">
        <v>1244.6490603238401</v>
      </c>
      <c r="H208" s="343">
        <v>1396.1286075742701</v>
      </c>
      <c r="I208" s="343">
        <v>1374.8285789459401</v>
      </c>
      <c r="J208" s="343">
        <v>1393.1202056843099</v>
      </c>
      <c r="K208" s="343">
        <v>1406.5197468399599</v>
      </c>
      <c r="L208" s="347">
        <f t="shared" ref="L208:L209" si="14">K208/J208-1</f>
        <v>9.6183668149929513E-3</v>
      </c>
    </row>
    <row r="209" spans="1:12">
      <c r="A209" s="335" t="s">
        <v>521</v>
      </c>
      <c r="B209" s="343">
        <v>1742.1210000000001</v>
      </c>
      <c r="C209" s="343">
        <v>1689.9929999999999</v>
      </c>
      <c r="D209" s="343">
        <v>1616.16</v>
      </c>
      <c r="E209" s="343">
        <v>1590.1790000000001</v>
      </c>
      <c r="F209" s="343">
        <v>1592.7265486246899</v>
      </c>
      <c r="G209" s="343">
        <v>1656.8705023283401</v>
      </c>
      <c r="H209" s="343">
        <v>1558.41895324908</v>
      </c>
      <c r="I209" s="343">
        <v>1572.6586832651201</v>
      </c>
      <c r="J209" s="343">
        <v>1567.7227222766701</v>
      </c>
      <c r="K209" s="343">
        <v>1504.46621261357</v>
      </c>
      <c r="L209" s="347">
        <f t="shared" si="14"/>
        <v>-4.0349296954271363E-2</v>
      </c>
    </row>
    <row r="210" spans="1:12">
      <c r="A210" s="335"/>
      <c r="B210" s="343"/>
      <c r="C210" s="343"/>
      <c r="D210" s="343"/>
      <c r="E210" s="343"/>
      <c r="F210" s="343"/>
      <c r="G210" s="343"/>
      <c r="H210" s="343"/>
      <c r="I210" s="343"/>
      <c r="J210" s="343"/>
      <c r="K210" s="343"/>
      <c r="L210" s="348"/>
    </row>
    <row r="211" spans="1:12" ht="17.25">
      <c r="A211" s="276" t="s">
        <v>522</v>
      </c>
      <c r="B211" s="277"/>
      <c r="C211" s="277"/>
      <c r="D211" s="277"/>
      <c r="E211" s="277"/>
      <c r="F211" s="277">
        <f t="shared" ref="F211:K211" si="15">SUM(F212,F213,F220,F221,F222)</f>
        <v>39983.030283748114</v>
      </c>
      <c r="G211" s="277">
        <f t="shared" si="15"/>
        <v>40447.392688444888</v>
      </c>
      <c r="H211" s="277">
        <f t="shared" si="15"/>
        <v>39787.879107349392</v>
      </c>
      <c r="I211" s="277">
        <f t="shared" si="15"/>
        <v>39372.584054704057</v>
      </c>
      <c r="J211" s="277">
        <f t="shared" si="15"/>
        <v>39916.258384385052</v>
      </c>
      <c r="K211" s="277">
        <f t="shared" si="15"/>
        <v>40176.340518651057</v>
      </c>
      <c r="L211" s="342">
        <f t="shared" ref="L211:L222" si="16">K211/J211-1</f>
        <v>6.5156942256829886E-3</v>
      </c>
    </row>
    <row r="212" spans="1:12">
      <c r="A212" s="335" t="s">
        <v>523</v>
      </c>
      <c r="B212" s="349"/>
      <c r="C212" s="349"/>
      <c r="D212" s="349"/>
      <c r="E212" s="349"/>
      <c r="F212" s="343">
        <v>2602.0692647331898</v>
      </c>
      <c r="G212" s="343">
        <v>2847.4450078054201</v>
      </c>
      <c r="H212" s="343">
        <v>2577.6457291543302</v>
      </c>
      <c r="I212" s="343">
        <v>2535.2754271439999</v>
      </c>
      <c r="J212" s="343">
        <v>2343.4500510615899</v>
      </c>
      <c r="K212" s="343">
        <v>2446.3167690667101</v>
      </c>
      <c r="L212" s="342">
        <f t="shared" si="16"/>
        <v>4.3895417339286258E-2</v>
      </c>
    </row>
    <row r="213" spans="1:12">
      <c r="A213" s="335" t="s">
        <v>524</v>
      </c>
      <c r="B213" s="349"/>
      <c r="C213" s="349"/>
      <c r="D213" s="349"/>
      <c r="E213" s="349"/>
      <c r="F213" s="343">
        <f t="shared" ref="F213:K213" si="17">SUBTOTAL(9,F214:F219)</f>
        <v>14496.218043210858</v>
      </c>
      <c r="G213" s="343">
        <f t="shared" si="17"/>
        <v>14590.752958919798</v>
      </c>
      <c r="H213" s="343">
        <f t="shared" si="17"/>
        <v>14591.905237412462</v>
      </c>
      <c r="I213" s="343">
        <f t="shared" si="17"/>
        <v>14510.530907553999</v>
      </c>
      <c r="J213" s="343">
        <f t="shared" si="17"/>
        <v>14662.635368008476</v>
      </c>
      <c r="K213" s="343">
        <f t="shared" si="17"/>
        <v>14810.611465909575</v>
      </c>
      <c r="L213" s="342">
        <f t="shared" si="16"/>
        <v>1.0092053316961058E-2</v>
      </c>
    </row>
    <row r="214" spans="1:12">
      <c r="A214" s="345" t="s">
        <v>525</v>
      </c>
      <c r="B214" s="349"/>
      <c r="C214" s="349"/>
      <c r="D214" s="349"/>
      <c r="E214" s="349"/>
      <c r="F214" s="343">
        <v>432.157749174532</v>
      </c>
      <c r="G214" s="343">
        <v>418.62293661285702</v>
      </c>
      <c r="H214" s="343">
        <v>357.60969551282398</v>
      </c>
      <c r="I214" s="343">
        <v>417.81783592379099</v>
      </c>
      <c r="J214" s="343">
        <v>443.17509407818397</v>
      </c>
      <c r="K214" s="343">
        <v>454.42482811426697</v>
      </c>
      <c r="L214" s="342">
        <f t="shared" si="16"/>
        <v>2.5384400401567531E-2</v>
      </c>
    </row>
    <row r="215" spans="1:12">
      <c r="A215" s="345" t="s">
        <v>526</v>
      </c>
      <c r="B215" s="349"/>
      <c r="C215" s="349"/>
      <c r="D215" s="349"/>
      <c r="E215" s="349"/>
      <c r="F215" s="343">
        <v>2328.7319116446301</v>
      </c>
      <c r="G215" s="343">
        <v>2392.9674324378602</v>
      </c>
      <c r="H215" s="343">
        <v>2545.8974406887701</v>
      </c>
      <c r="I215" s="343">
        <v>2621.2316707670502</v>
      </c>
      <c r="J215" s="343">
        <v>2788.1983107597298</v>
      </c>
      <c r="K215" s="343">
        <v>2831.6296394690598</v>
      </c>
      <c r="L215" s="342">
        <f t="shared" si="16"/>
        <v>1.5576843491270864E-2</v>
      </c>
    </row>
    <row r="216" spans="1:12">
      <c r="A216" s="345" t="s">
        <v>527</v>
      </c>
      <c r="B216" s="349"/>
      <c r="C216" s="349"/>
      <c r="D216" s="349"/>
      <c r="E216" s="349"/>
      <c r="F216" s="343">
        <v>2675.4361604959599</v>
      </c>
      <c r="G216" s="343">
        <v>2743.3754147802501</v>
      </c>
      <c r="H216" s="343">
        <v>2727.0753194173599</v>
      </c>
      <c r="I216" s="343">
        <v>2692.1705229044001</v>
      </c>
      <c r="J216" s="343">
        <v>2661.3148666424499</v>
      </c>
      <c r="K216" s="343">
        <v>2556.7956662450902</v>
      </c>
      <c r="L216" s="342">
        <f t="shared" si="16"/>
        <v>-3.9273519156800329E-2</v>
      </c>
    </row>
    <row r="217" spans="1:12">
      <c r="A217" s="345" t="s">
        <v>528</v>
      </c>
      <c r="B217" s="349"/>
      <c r="C217" s="349"/>
      <c r="D217" s="349"/>
      <c r="E217" s="349"/>
      <c r="F217" s="343">
        <v>741.42051349734697</v>
      </c>
      <c r="G217" s="343">
        <v>763.39329450047205</v>
      </c>
      <c r="H217" s="343">
        <v>840.52555011760899</v>
      </c>
      <c r="I217" s="343">
        <v>820.57931104352895</v>
      </c>
      <c r="J217" s="343">
        <v>807.47569261472199</v>
      </c>
      <c r="K217" s="343">
        <v>793.23303896550794</v>
      </c>
      <c r="L217" s="342">
        <f t="shared" si="16"/>
        <v>-1.7638492129830263E-2</v>
      </c>
    </row>
    <row r="218" spans="1:12">
      <c r="A218" s="345" t="s">
        <v>529</v>
      </c>
      <c r="B218" s="349"/>
      <c r="C218" s="349"/>
      <c r="D218" s="349"/>
      <c r="E218" s="349"/>
      <c r="F218" s="343">
        <v>6616.8709788927999</v>
      </c>
      <c r="G218" s="343">
        <v>6544.2782928884699</v>
      </c>
      <c r="H218" s="343">
        <v>6428.7914672050601</v>
      </c>
      <c r="I218" s="343">
        <v>6361.1464728477404</v>
      </c>
      <c r="J218" s="343">
        <v>6388.2026354072796</v>
      </c>
      <c r="K218" s="343">
        <v>6561.6962543944201</v>
      </c>
      <c r="L218" s="342">
        <f t="shared" si="16"/>
        <v>2.7158440157413644E-2</v>
      </c>
    </row>
    <row r="219" spans="1:12">
      <c r="A219" s="345" t="s">
        <v>530</v>
      </c>
      <c r="B219" s="349"/>
      <c r="C219" s="349"/>
      <c r="D219" s="349"/>
      <c r="E219" s="349"/>
      <c r="F219" s="343">
        <v>1701.6007295055899</v>
      </c>
      <c r="G219" s="343">
        <v>1728.1155876998901</v>
      </c>
      <c r="H219" s="343">
        <v>1692.0057644708399</v>
      </c>
      <c r="I219" s="343">
        <v>1597.58509406749</v>
      </c>
      <c r="J219" s="343">
        <v>1574.2687685061101</v>
      </c>
      <c r="K219" s="343">
        <v>1612.83203872123</v>
      </c>
      <c r="L219" s="342">
        <f t="shared" si="16"/>
        <v>2.4495988859458917E-2</v>
      </c>
    </row>
    <row r="220" spans="1:12">
      <c r="A220" s="335" t="s">
        <v>531</v>
      </c>
      <c r="B220" s="349"/>
      <c r="C220" s="349"/>
      <c r="D220" s="349"/>
      <c r="E220" s="349"/>
      <c r="F220" s="343">
        <v>9380.1836158002698</v>
      </c>
      <c r="G220" s="343">
        <v>9573.6463847364703</v>
      </c>
      <c r="H220" s="343">
        <v>9584.8563973780001</v>
      </c>
      <c r="I220" s="343">
        <v>9448.6289673779593</v>
      </c>
      <c r="J220" s="343">
        <v>9566.6612470750806</v>
      </c>
      <c r="K220" s="343">
        <v>9656.29686122157</v>
      </c>
      <c r="L220" s="342">
        <f t="shared" si="16"/>
        <v>9.3695816995604808E-3</v>
      </c>
    </row>
    <row r="221" spans="1:12">
      <c r="A221" s="335" t="s">
        <v>263</v>
      </c>
      <c r="B221" s="349"/>
      <c r="C221" s="349"/>
      <c r="D221" s="349"/>
      <c r="E221" s="349"/>
      <c r="F221" s="343">
        <v>12477.241233803799</v>
      </c>
      <c r="G221" s="343">
        <v>12570.947951083201</v>
      </c>
      <c r="H221" s="343">
        <v>12235.712569904599</v>
      </c>
      <c r="I221" s="343">
        <v>12484.7611594481</v>
      </c>
      <c r="J221" s="343">
        <v>12702.6470626399</v>
      </c>
      <c r="K221" s="343">
        <v>12622.2507668532</v>
      </c>
      <c r="L221" s="342">
        <f t="shared" si="16"/>
        <v>-6.3290978164036726E-3</v>
      </c>
    </row>
    <row r="222" spans="1:12">
      <c r="A222" s="346" t="s">
        <v>532</v>
      </c>
      <c r="B222" s="349"/>
      <c r="C222" s="349"/>
      <c r="D222" s="349"/>
      <c r="E222" s="349"/>
      <c r="F222" s="343">
        <v>1027.3181262000001</v>
      </c>
      <c r="G222" s="343">
        <v>864.60038589999999</v>
      </c>
      <c r="H222" s="343">
        <v>797.75917349999997</v>
      </c>
      <c r="I222" s="343">
        <v>393.38759318000001</v>
      </c>
      <c r="J222" s="343">
        <v>640.86465559999999</v>
      </c>
      <c r="K222" s="343">
        <v>640.86465559999999</v>
      </c>
      <c r="L222" s="342">
        <f t="shared" si="16"/>
        <v>0</v>
      </c>
    </row>
    <row r="223" spans="1:12">
      <c r="A223" s="335"/>
      <c r="B223" s="343"/>
      <c r="C223" s="343"/>
      <c r="D223" s="343"/>
      <c r="E223" s="343"/>
      <c r="F223" s="343"/>
      <c r="G223" s="343"/>
      <c r="H223" s="343"/>
      <c r="I223" s="343"/>
      <c r="J223" s="343"/>
      <c r="K223" s="343"/>
      <c r="L223" s="348"/>
    </row>
    <row r="224" spans="1:12" ht="17.25">
      <c r="A224" s="276" t="s">
        <v>533</v>
      </c>
      <c r="B224" s="277">
        <f t="shared" ref="B224:K224" si="18">SUM(B225,B226,B233,B234,B235,B236)</f>
        <v>40690.47300854911</v>
      </c>
      <c r="C224" s="277">
        <f t="shared" si="18"/>
        <v>40341.601363011112</v>
      </c>
      <c r="D224" s="277">
        <f t="shared" si="18"/>
        <v>39880.155553924917</v>
      </c>
      <c r="E224" s="277">
        <f t="shared" si="18"/>
        <v>39495.812580263519</v>
      </c>
      <c r="F224" s="277">
        <f t="shared" si="18"/>
        <v>39862.905749460697</v>
      </c>
      <c r="G224" s="277">
        <f t="shared" si="18"/>
        <v>40422.323202882995</v>
      </c>
      <c r="H224" s="277">
        <f t="shared" si="18"/>
        <v>39780.232205792636</v>
      </c>
      <c r="I224" s="277">
        <f t="shared" si="18"/>
        <v>39586.717765012727</v>
      </c>
      <c r="J224" s="277">
        <f t="shared" si="18"/>
        <v>39687.463457750848</v>
      </c>
      <c r="K224" s="277">
        <f t="shared" si="18"/>
        <v>40278.056409865887</v>
      </c>
      <c r="L224" s="342">
        <f t="shared" ref="L224:L235" si="19">K224/J224-1</f>
        <v>1.48810959597796E-2</v>
      </c>
    </row>
    <row r="225" spans="1:12">
      <c r="A225" s="335" t="s">
        <v>523</v>
      </c>
      <c r="B225" s="343">
        <v>2132.1789064187801</v>
      </c>
      <c r="C225" s="343">
        <v>2085.6698380181701</v>
      </c>
      <c r="D225" s="343">
        <v>2303.4015853267701</v>
      </c>
      <c r="E225" s="343">
        <v>2368.6991408775302</v>
      </c>
      <c r="F225" s="343">
        <v>2669.0829027209802</v>
      </c>
      <c r="G225" s="343">
        <v>2778.27700344093</v>
      </c>
      <c r="H225" s="343">
        <v>2565.4678274636999</v>
      </c>
      <c r="I225" s="343">
        <v>2523.5616288625602</v>
      </c>
      <c r="J225" s="343">
        <v>2374.8848529604702</v>
      </c>
      <c r="K225" s="343">
        <v>2541.0928516541599</v>
      </c>
      <c r="L225" s="342">
        <f t="shared" si="19"/>
        <v>6.9985708354027842E-2</v>
      </c>
    </row>
    <row r="226" spans="1:12">
      <c r="A226" s="335" t="s">
        <v>524</v>
      </c>
      <c r="B226" s="343">
        <f t="shared" ref="B226:I226" si="20">SUBTOTAL(9,B227:B232)</f>
        <v>15208.558407808981</v>
      </c>
      <c r="C226" s="343">
        <f t="shared" si="20"/>
        <v>15243.881358656765</v>
      </c>
      <c r="D226" s="343">
        <f t="shared" si="20"/>
        <v>14478.06354216878</v>
      </c>
      <c r="E226" s="343">
        <f t="shared" si="20"/>
        <v>14386.004402847546</v>
      </c>
      <c r="F226" s="343">
        <f t="shared" si="20"/>
        <v>14426.208877361107</v>
      </c>
      <c r="G226" s="343">
        <f t="shared" si="20"/>
        <v>14625.257196852108</v>
      </c>
      <c r="H226" s="343">
        <f t="shared" si="20"/>
        <v>14523.864130843944</v>
      </c>
      <c r="I226" s="343">
        <f t="shared" si="20"/>
        <v>14608.953411824084</v>
      </c>
      <c r="J226" s="343">
        <f>SUBTOTAL(9,J227:J232)</f>
        <v>14617.590477690675</v>
      </c>
      <c r="K226" s="343">
        <f>SUBTOTAL(9,K227:K232)</f>
        <v>14815.808504733583</v>
      </c>
      <c r="L226" s="342">
        <f t="shared" si="19"/>
        <v>1.3560239448863198E-2</v>
      </c>
    </row>
    <row r="227" spans="1:12">
      <c r="A227" s="345" t="s">
        <v>525</v>
      </c>
      <c r="B227" s="343">
        <v>425.46826788943702</v>
      </c>
      <c r="C227" s="343">
        <v>399.58227072278402</v>
      </c>
      <c r="D227" s="343">
        <v>461.42358423402499</v>
      </c>
      <c r="E227" s="343">
        <v>465.51829841576898</v>
      </c>
      <c r="F227" s="343">
        <v>446.52373136196002</v>
      </c>
      <c r="G227" s="343">
        <v>404.30834990541302</v>
      </c>
      <c r="H227" s="343">
        <v>361.90433569618699</v>
      </c>
      <c r="I227" s="343">
        <v>417.39300956679801</v>
      </c>
      <c r="J227" s="343">
        <v>450.003947373183</v>
      </c>
      <c r="K227" s="343">
        <v>449.65072091536399</v>
      </c>
      <c r="L227" s="342">
        <f t="shared" si="19"/>
        <v>-7.8494079858837384E-4</v>
      </c>
    </row>
    <row r="228" spans="1:12">
      <c r="A228" s="345" t="s">
        <v>526</v>
      </c>
      <c r="B228" s="343">
        <v>2253.17875190531</v>
      </c>
      <c r="C228" s="343">
        <v>2238.1398367698298</v>
      </c>
      <c r="D228" s="343">
        <v>1965.8015558531299</v>
      </c>
      <c r="E228" s="343">
        <v>2202.3234850183198</v>
      </c>
      <c r="F228" s="343">
        <v>2313.1470189812399</v>
      </c>
      <c r="G228" s="343">
        <v>2445.6335712814998</v>
      </c>
      <c r="H228" s="343">
        <v>2496.62271390871</v>
      </c>
      <c r="I228" s="343">
        <v>2654.2072909721901</v>
      </c>
      <c r="J228" s="343">
        <v>2764.2567912858499</v>
      </c>
      <c r="K228" s="343">
        <v>2822.8975454176002</v>
      </c>
      <c r="L228" s="342">
        <f t="shared" si="19"/>
        <v>2.1213931468527791E-2</v>
      </c>
    </row>
    <row r="229" spans="1:12">
      <c r="A229" s="345" t="s">
        <v>527</v>
      </c>
      <c r="B229" s="343">
        <v>3721.3688714146001</v>
      </c>
      <c r="C229" s="343">
        <v>3739.4992729609999</v>
      </c>
      <c r="D229" s="343">
        <v>3371.3243600973301</v>
      </c>
      <c r="E229" s="343">
        <v>2696.5169475081502</v>
      </c>
      <c r="F229" s="343">
        <v>2676.82713849642</v>
      </c>
      <c r="G229" s="343">
        <v>2727.4687186578899</v>
      </c>
      <c r="H229" s="343">
        <v>2732.5569182620102</v>
      </c>
      <c r="I229" s="343">
        <v>2696.1932705131499</v>
      </c>
      <c r="J229" s="343">
        <v>2663.47476307435</v>
      </c>
      <c r="K229" s="343">
        <v>2555.5406029534101</v>
      </c>
      <c r="L229" s="342">
        <f t="shared" si="19"/>
        <v>-4.0523815587558021E-2</v>
      </c>
    </row>
    <row r="230" spans="1:12">
      <c r="A230" s="345" t="s">
        <v>528</v>
      </c>
      <c r="B230" s="343">
        <v>702.652888242465</v>
      </c>
      <c r="C230" s="343">
        <v>712.73562289086306</v>
      </c>
      <c r="D230" s="343">
        <v>734.56766306204702</v>
      </c>
      <c r="E230" s="343">
        <v>749.27405649713603</v>
      </c>
      <c r="F230" s="343">
        <v>738.11569293502805</v>
      </c>
      <c r="G230" s="343">
        <v>788.17835616626496</v>
      </c>
      <c r="H230" s="343">
        <v>804.453017145476</v>
      </c>
      <c r="I230" s="343">
        <v>869.80306006507601</v>
      </c>
      <c r="J230" s="343">
        <v>783.61733313679395</v>
      </c>
      <c r="K230" s="343">
        <v>789.61479335677802</v>
      </c>
      <c r="L230" s="342">
        <f t="shared" si="19"/>
        <v>7.6535573759917153E-3</v>
      </c>
    </row>
    <row r="231" spans="1:12">
      <c r="A231" s="345" t="s">
        <v>529</v>
      </c>
      <c r="B231" s="343">
        <v>6749.6878760648497</v>
      </c>
      <c r="C231" s="343">
        <v>6907.1906801022496</v>
      </c>
      <c r="D231" s="343">
        <v>6545.70039889698</v>
      </c>
      <c r="E231" s="343">
        <v>6605.6413120159004</v>
      </c>
      <c r="F231" s="343">
        <v>6549.8930570775301</v>
      </c>
      <c r="G231" s="343">
        <v>6524.2867354747004</v>
      </c>
      <c r="H231" s="343">
        <v>6453.3806989164004</v>
      </c>
      <c r="I231" s="343">
        <v>6356.6503913588303</v>
      </c>
      <c r="J231" s="343">
        <v>6387.0720893747502</v>
      </c>
      <c r="K231" s="343">
        <v>6576.4131390902303</v>
      </c>
      <c r="L231" s="342">
        <f t="shared" si="19"/>
        <v>2.9644420333138077E-2</v>
      </c>
    </row>
    <row r="232" spans="1:12">
      <c r="A232" s="345" t="s">
        <v>530</v>
      </c>
      <c r="B232" s="343">
        <v>1356.20175229232</v>
      </c>
      <c r="C232" s="343">
        <v>1246.73367521004</v>
      </c>
      <c r="D232" s="343">
        <v>1399.24598002527</v>
      </c>
      <c r="E232" s="343">
        <v>1666.7303033922699</v>
      </c>
      <c r="F232" s="343">
        <v>1701.7022385089299</v>
      </c>
      <c r="G232" s="343">
        <v>1735.3814653663401</v>
      </c>
      <c r="H232" s="343">
        <v>1674.9464469151601</v>
      </c>
      <c r="I232" s="343">
        <v>1614.7063893480399</v>
      </c>
      <c r="J232" s="343">
        <v>1569.16555344575</v>
      </c>
      <c r="K232" s="343">
        <v>1621.6917030002001</v>
      </c>
      <c r="L232" s="342">
        <f t="shared" si="19"/>
        <v>3.3473937430698264E-2</v>
      </c>
    </row>
    <row r="233" spans="1:12">
      <c r="A233" s="335" t="s">
        <v>531</v>
      </c>
      <c r="B233" s="343">
        <v>9102.2186253227901</v>
      </c>
      <c r="C233" s="343">
        <v>8992.7400452979691</v>
      </c>
      <c r="D233" s="343">
        <v>9402.7728694089201</v>
      </c>
      <c r="E233" s="343">
        <v>9422.8216109766399</v>
      </c>
      <c r="F233" s="343">
        <v>9394.0421090041109</v>
      </c>
      <c r="G233" s="343">
        <v>9574.5786556417606</v>
      </c>
      <c r="H233" s="343">
        <v>9537.2083791745899</v>
      </c>
      <c r="I233" s="343">
        <v>9588.8071894346795</v>
      </c>
      <c r="J233" s="343">
        <v>9493.3359724715992</v>
      </c>
      <c r="K233" s="343">
        <v>9641.2728353212406</v>
      </c>
      <c r="L233" s="342">
        <f t="shared" si="19"/>
        <v>1.5583232625351329E-2</v>
      </c>
    </row>
    <row r="234" spans="1:12">
      <c r="A234" s="335" t="s">
        <v>263</v>
      </c>
      <c r="B234" s="343">
        <v>12710.840552490001</v>
      </c>
      <c r="C234" s="343">
        <v>12575.446894438501</v>
      </c>
      <c r="D234" s="343">
        <v>12504.361992374001</v>
      </c>
      <c r="E234" s="343">
        <v>12365.0774728618</v>
      </c>
      <c r="F234" s="343">
        <v>12346.253734174499</v>
      </c>
      <c r="G234" s="343">
        <v>12579.6099610482</v>
      </c>
      <c r="H234" s="343">
        <v>12355.932694810401</v>
      </c>
      <c r="I234" s="343">
        <v>12472.007941711399</v>
      </c>
      <c r="J234" s="343">
        <v>12560.7874990281</v>
      </c>
      <c r="K234" s="343">
        <v>12639.017562556901</v>
      </c>
      <c r="L234" s="342">
        <f t="shared" si="19"/>
        <v>6.2281177461886994E-3</v>
      </c>
    </row>
    <row r="235" spans="1:12">
      <c r="A235" s="346" t="s">
        <v>532</v>
      </c>
      <c r="B235" s="343">
        <v>1077.1950714</v>
      </c>
      <c r="C235" s="343">
        <v>1228.5333529</v>
      </c>
      <c r="D235" s="343">
        <v>1158.8936775</v>
      </c>
      <c r="E235" s="343">
        <v>953.20995270000003</v>
      </c>
      <c r="F235" s="343">
        <v>1027.3181262000001</v>
      </c>
      <c r="G235" s="343">
        <v>864.60038589999999</v>
      </c>
      <c r="H235" s="343">
        <v>797.75917349999997</v>
      </c>
      <c r="I235" s="343">
        <v>393.38759318000001</v>
      </c>
      <c r="J235" s="343">
        <v>640.86465559999999</v>
      </c>
      <c r="K235" s="343">
        <v>640.86465559999999</v>
      </c>
      <c r="L235" s="342">
        <f t="shared" si="19"/>
        <v>0</v>
      </c>
    </row>
    <row r="236" spans="1:12">
      <c r="A236" s="346" t="s">
        <v>534</v>
      </c>
      <c r="B236" s="343">
        <v>459.481445108564</v>
      </c>
      <c r="C236" s="343">
        <v>215.32987369970601</v>
      </c>
      <c r="D236" s="343">
        <v>32.661887146447199</v>
      </c>
      <c r="E236" s="343">
        <v>0</v>
      </c>
      <c r="F236" s="343">
        <v>0</v>
      </c>
      <c r="G236" s="343">
        <v>0</v>
      </c>
      <c r="H236" s="343">
        <v>0</v>
      </c>
      <c r="I236" s="343">
        <v>0</v>
      </c>
      <c r="J236" s="343">
        <v>0</v>
      </c>
      <c r="K236" s="343">
        <v>0</v>
      </c>
      <c r="L236" s="342"/>
    </row>
  </sheetData>
  <mergeCells count="12">
    <mergeCell ref="A8:J8"/>
    <mergeCell ref="C10:C11"/>
    <mergeCell ref="A9:C9"/>
    <mergeCell ref="A10:B11"/>
    <mergeCell ref="A5:J5"/>
    <mergeCell ref="A6:J6"/>
    <mergeCell ref="A14:J14"/>
    <mergeCell ref="A15:C15"/>
    <mergeCell ref="C124:F124"/>
    <mergeCell ref="C159:F159"/>
    <mergeCell ref="A16:A26"/>
    <mergeCell ref="A107:D107"/>
  </mergeCells>
  <conditionalFormatting sqref="L10:L18">
    <cfRule type="cellIs" dxfId="78" priority="1" operator="lessThan">
      <formula>-0.25</formula>
    </cfRule>
    <cfRule type="cellIs" dxfId="77" priority="2" operator="lessThan">
      <formula>-0.1</formula>
    </cfRule>
    <cfRule type="cellIs" dxfId="76" priority="3" operator="lessThan">
      <formula>-0.25</formula>
    </cfRule>
    <cfRule type="cellIs" dxfId="75" priority="4" operator="greaterThan">
      <formula>0.25</formula>
    </cfRule>
    <cfRule type="cellIs" dxfId="74" priority="5" operator="greaterThan">
      <formula>0.1</formula>
    </cfRule>
    <cfRule type="cellIs" dxfId="73" priority="6" operator="greaterThan">
      <formula>10</formula>
    </cfRule>
  </conditionalFormatting>
  <hyperlinks>
    <hyperlink ref="F148" r:id="rId1" xr:uid="{00000000-0004-0000-0400-000000000000}"/>
    <hyperlink ref="P135" r:id="rId2" xr:uid="{00000000-0004-0000-0400-000001000000}"/>
    <hyperlink ref="P137" r:id="rId3" xr:uid="{00000000-0004-0000-0400-000002000000}"/>
    <hyperlink ref="P136" r:id="rId4" xr:uid="{00000000-0004-0000-0400-000003000000}"/>
  </hyperlinks>
  <pageMargins left="0.7" right="0.7" top="0.75" bottom="0.75" header="0.3" footer="0.3"/>
  <pageSetup paperSize="9" orientation="portrait" r:id="rId5"/>
  <legacy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499984740745262"/>
  </sheetPr>
  <dimension ref="A1:H28"/>
  <sheetViews>
    <sheetView zoomScaleNormal="100" workbookViewId="0">
      <selection activeCell="D14" sqref="D14"/>
    </sheetView>
  </sheetViews>
  <sheetFormatPr defaultColWidth="9.140625" defaultRowHeight="15"/>
  <cols>
    <col min="1" max="1" width="21.5703125" customWidth="1"/>
    <col min="2" max="2" width="17.28515625" customWidth="1"/>
    <col min="4" max="4" width="29.5703125" customWidth="1"/>
    <col min="5" max="5" width="27.85546875" customWidth="1"/>
    <col min="6" max="6" width="26.140625" customWidth="1"/>
    <col min="7" max="8" width="27.5703125" customWidth="1"/>
  </cols>
  <sheetData>
    <row r="1" spans="1:8" ht="31.5">
      <c r="A1" s="64" t="s">
        <v>63</v>
      </c>
    </row>
    <row r="2" spans="1:8" ht="23.25">
      <c r="A2" s="65" t="s">
        <v>420</v>
      </c>
    </row>
    <row r="3" spans="1:8" ht="23.25">
      <c r="A3" s="65"/>
    </row>
    <row r="4" spans="1:8">
      <c r="A4" t="s">
        <v>421</v>
      </c>
    </row>
    <row r="6" spans="1:8" ht="31.5">
      <c r="A6" s="64" t="s">
        <v>432</v>
      </c>
    </row>
    <row r="7" spans="1:8">
      <c r="A7" s="1820" t="s">
        <v>66</v>
      </c>
      <c r="B7" s="1820"/>
      <c r="C7" s="1820"/>
      <c r="D7" s="1820"/>
      <c r="E7" s="1820"/>
      <c r="F7" s="1820"/>
      <c r="G7" s="1820"/>
      <c r="H7" s="1820"/>
    </row>
    <row r="8" spans="1:8" ht="19.5" customHeight="1">
      <c r="A8" s="1856" t="s">
        <v>433</v>
      </c>
      <c r="B8" s="1907"/>
      <c r="C8" s="1907"/>
      <c r="D8" s="1907"/>
      <c r="E8" s="1907"/>
      <c r="F8" s="1907"/>
      <c r="G8" s="1907"/>
      <c r="H8" s="1908"/>
    </row>
    <row r="9" spans="1:8" ht="18.75" customHeight="1">
      <c r="A9" s="499"/>
      <c r="B9" s="499"/>
      <c r="C9" s="499"/>
      <c r="D9" s="499"/>
      <c r="E9" s="499"/>
      <c r="F9" s="499"/>
      <c r="G9" s="499"/>
      <c r="H9" s="499"/>
    </row>
    <row r="11" spans="1:8">
      <c r="A11" s="1913" t="s">
        <v>535</v>
      </c>
      <c r="B11" s="1913"/>
      <c r="C11" s="1913"/>
      <c r="D11" s="1913"/>
      <c r="E11" s="1913"/>
      <c r="F11" s="1913"/>
      <c r="G11" s="1913"/>
      <c r="H11" s="1913"/>
    </row>
    <row r="12" spans="1:8">
      <c r="A12" s="1913"/>
      <c r="B12" s="1913"/>
      <c r="C12" s="1913"/>
      <c r="D12" s="1913"/>
      <c r="E12" s="1914" t="s">
        <v>423</v>
      </c>
      <c r="F12" s="1914"/>
      <c r="G12" s="1914"/>
      <c r="H12" s="1914"/>
    </row>
    <row r="13" spans="1:8" ht="18.75" thickBot="1">
      <c r="A13" s="1915" t="s">
        <v>69</v>
      </c>
      <c r="B13" s="1915"/>
      <c r="C13" s="1384" t="s">
        <v>70</v>
      </c>
      <c r="D13" s="1377" t="s">
        <v>424</v>
      </c>
      <c r="E13" s="1375" t="s">
        <v>59</v>
      </c>
      <c r="F13" s="485" t="s">
        <v>425</v>
      </c>
      <c r="G13" s="485" t="s">
        <v>426</v>
      </c>
      <c r="H13" s="485" t="s">
        <v>427</v>
      </c>
    </row>
    <row r="14" spans="1:8" ht="15.75" customHeight="1" thickBot="1">
      <c r="A14" s="1912" t="s">
        <v>536</v>
      </c>
      <c r="B14" s="1912"/>
      <c r="C14" s="1385" t="s">
        <v>96</v>
      </c>
      <c r="D14" s="1383"/>
      <c r="E14" s="1386">
        <f>SUM(F14:H14)</f>
        <v>0</v>
      </c>
      <c r="F14" s="1387" t="s">
        <v>48</v>
      </c>
      <c r="G14" s="1388">
        <f>$D$14*'T&amp;D losses 2022'!G10</f>
        <v>0</v>
      </c>
      <c r="H14" s="1387" t="s">
        <v>48</v>
      </c>
    </row>
    <row r="15" spans="1:8" ht="15.75" customHeight="1" thickBot="1">
      <c r="A15" s="1912"/>
      <c r="B15" s="1912"/>
      <c r="C15" s="1385" t="s">
        <v>97</v>
      </c>
      <c r="D15" s="1383"/>
      <c r="E15" s="1386">
        <f t="shared" ref="E15:E26" si="0">SUM(F15:H15)</f>
        <v>0</v>
      </c>
      <c r="F15" s="1387" t="s">
        <v>48</v>
      </c>
      <c r="G15" s="1388">
        <f>D15*'T&amp;D losses 2022'!G11</f>
        <v>0</v>
      </c>
      <c r="H15" s="1387" t="s">
        <v>48</v>
      </c>
    </row>
    <row r="16" spans="1:8" ht="15.75" customHeight="1" thickBot="1">
      <c r="A16" s="1909" t="s">
        <v>537</v>
      </c>
      <c r="B16" s="1385">
        <v>2020</v>
      </c>
      <c r="C16" s="1385" t="s">
        <v>96</v>
      </c>
      <c r="D16" s="1383"/>
      <c r="E16" s="1386">
        <f>SUM(F16:H16)</f>
        <v>0</v>
      </c>
      <c r="F16" s="1388">
        <f>D16*'T&amp;D losses 2022'!F16</f>
        <v>0</v>
      </c>
      <c r="G16" s="1388">
        <f>D16*'T&amp;D losses 2022'!G16</f>
        <v>0</v>
      </c>
      <c r="H16" s="1388">
        <f>D16*'T&amp;D losses 2022'!H16</f>
        <v>0</v>
      </c>
    </row>
    <row r="17" spans="1:8" ht="15.75" customHeight="1" thickBot="1">
      <c r="A17" s="1910"/>
      <c r="B17" s="1385">
        <v>2019</v>
      </c>
      <c r="C17" s="1385" t="s">
        <v>96</v>
      </c>
      <c r="D17" s="1383"/>
      <c r="E17" s="1386">
        <f>SUM(F17:H17)</f>
        <v>0</v>
      </c>
      <c r="F17" s="1388">
        <f>D17*'T&amp;D losses 2022'!F17</f>
        <v>0</v>
      </c>
      <c r="G17" s="1388">
        <f>D17*'T&amp;D losses 2022'!G17</f>
        <v>0</v>
      </c>
      <c r="H17" s="1388">
        <f>D17*'T&amp;D losses 2022'!H17</f>
        <v>0</v>
      </c>
    </row>
    <row r="18" spans="1:8" ht="15.75" customHeight="1" thickBot="1">
      <c r="A18" s="1910"/>
      <c r="B18" s="1385">
        <v>2018</v>
      </c>
      <c r="C18" s="1385" t="s">
        <v>96</v>
      </c>
      <c r="D18" s="1383"/>
      <c r="E18" s="1386">
        <f t="shared" si="0"/>
        <v>0</v>
      </c>
      <c r="F18" s="1388">
        <f>D18*'T&amp;D losses 2022'!F18</f>
        <v>0</v>
      </c>
      <c r="G18" s="1388">
        <f>D18*'T&amp;D losses 2022'!G18</f>
        <v>0</v>
      </c>
      <c r="H18" s="1388">
        <f>D18*'T&amp;D losses 2022'!H18</f>
        <v>0</v>
      </c>
    </row>
    <row r="19" spans="1:8" ht="15.75" customHeight="1" thickBot="1">
      <c r="A19" s="1910"/>
      <c r="B19" s="1385">
        <v>2017</v>
      </c>
      <c r="C19" s="1385" t="s">
        <v>96</v>
      </c>
      <c r="D19" s="1383"/>
      <c r="E19" s="1386">
        <f t="shared" si="0"/>
        <v>0</v>
      </c>
      <c r="F19" s="1388">
        <f>D19*'T&amp;D losses 2022'!F19</f>
        <v>0</v>
      </c>
      <c r="G19" s="1388">
        <f>D19*'T&amp;D losses 2022'!G19</f>
        <v>0</v>
      </c>
      <c r="H19" s="1388">
        <f>D19*'T&amp;D losses 2022'!H19</f>
        <v>0</v>
      </c>
    </row>
    <row r="20" spans="1:8" ht="15.75" customHeight="1" thickBot="1">
      <c r="A20" s="1910"/>
      <c r="B20" s="1385">
        <v>2016</v>
      </c>
      <c r="C20" s="1385" t="s">
        <v>96</v>
      </c>
      <c r="D20" s="1383"/>
      <c r="E20" s="1386">
        <f t="shared" si="0"/>
        <v>0</v>
      </c>
      <c r="F20" s="1388">
        <f>D20*'T&amp;D losses 2022'!F20</f>
        <v>0</v>
      </c>
      <c r="G20" s="1388">
        <f>D20*'T&amp;D losses 2022'!G20</f>
        <v>0</v>
      </c>
      <c r="H20" s="1388">
        <f>D20*'T&amp;D losses 2022'!H20</f>
        <v>0</v>
      </c>
    </row>
    <row r="21" spans="1:8" ht="15.75" customHeight="1" thickBot="1">
      <c r="A21" s="1910"/>
      <c r="B21" s="1385">
        <v>2015</v>
      </c>
      <c r="C21" s="1385" t="s">
        <v>96</v>
      </c>
      <c r="D21" s="1383"/>
      <c r="E21" s="1386">
        <f t="shared" si="0"/>
        <v>0</v>
      </c>
      <c r="F21" s="1388">
        <f>D21*'T&amp;D losses 2022'!F21</f>
        <v>0</v>
      </c>
      <c r="G21" s="1388">
        <f>D21*'T&amp;D losses 2022'!G21</f>
        <v>0</v>
      </c>
      <c r="H21" s="1388">
        <f>D21*'T&amp;D losses 2022'!H21</f>
        <v>0</v>
      </c>
    </row>
    <row r="22" spans="1:8" ht="15.75" thickBot="1">
      <c r="A22" s="1910"/>
      <c r="B22" s="1385">
        <v>2014</v>
      </c>
      <c r="C22" s="1385" t="s">
        <v>96</v>
      </c>
      <c r="D22" s="1383"/>
      <c r="E22" s="1386">
        <f t="shared" si="0"/>
        <v>0</v>
      </c>
      <c r="F22" s="1388">
        <f>D22*'T&amp;D losses 2022'!F22</f>
        <v>0</v>
      </c>
      <c r="G22" s="1388">
        <f>D22*'T&amp;D losses 2022'!G22</f>
        <v>0</v>
      </c>
      <c r="H22" s="1388">
        <f>D22*'T&amp;D losses 2022'!H22</f>
        <v>0</v>
      </c>
    </row>
    <row r="23" spans="1:8" ht="15.75" thickBot="1">
      <c r="A23" s="1910"/>
      <c r="B23" s="1385">
        <v>2013</v>
      </c>
      <c r="C23" s="1385" t="s">
        <v>96</v>
      </c>
      <c r="D23" s="1383"/>
      <c r="E23" s="1386">
        <f t="shared" si="0"/>
        <v>0</v>
      </c>
      <c r="F23" s="1388">
        <f>D23*'T&amp;D losses 2022'!F23</f>
        <v>0</v>
      </c>
      <c r="G23" s="1388">
        <f>D23*'T&amp;D losses 2022'!G23</f>
        <v>0</v>
      </c>
      <c r="H23" s="1388">
        <f>D23*'T&amp;D losses 2022'!H23</f>
        <v>0</v>
      </c>
    </row>
    <row r="24" spans="1:8" ht="15.75" thickBot="1">
      <c r="A24" s="1910"/>
      <c r="B24" s="1385">
        <v>2012</v>
      </c>
      <c r="C24" s="1385" t="s">
        <v>96</v>
      </c>
      <c r="D24" s="1383"/>
      <c r="E24" s="1386">
        <f t="shared" si="0"/>
        <v>0</v>
      </c>
      <c r="F24" s="1388">
        <f>D24*'T&amp;D losses 2022'!F24</f>
        <v>0</v>
      </c>
      <c r="G24" s="1388">
        <f>D24*'T&amp;D losses 2022'!G24</f>
        <v>0</v>
      </c>
      <c r="H24" s="1388">
        <f>D24*'T&amp;D losses 2022'!H24</f>
        <v>0</v>
      </c>
    </row>
    <row r="25" spans="1:8" ht="15.75" thickBot="1">
      <c r="A25" s="1910"/>
      <c r="B25" s="1385">
        <v>2011</v>
      </c>
      <c r="C25" s="1385" t="s">
        <v>96</v>
      </c>
      <c r="D25" s="1383"/>
      <c r="E25" s="1386">
        <f t="shared" si="0"/>
        <v>0</v>
      </c>
      <c r="F25" s="1388">
        <f>D25*'T&amp;D losses 2022'!F25</f>
        <v>0</v>
      </c>
      <c r="G25" s="1388">
        <f>D25*'T&amp;D losses 2022'!G25</f>
        <v>0</v>
      </c>
      <c r="H25" s="1388">
        <f>D25*'T&amp;D losses 2022'!H25</f>
        <v>0</v>
      </c>
    </row>
    <row r="26" spans="1:8" ht="15.75" thickBot="1">
      <c r="A26" s="1911"/>
      <c r="B26" s="1385">
        <v>2010</v>
      </c>
      <c r="C26" s="1385" t="s">
        <v>96</v>
      </c>
      <c r="D26" s="1383"/>
      <c r="E26" s="1386">
        <f t="shared" si="0"/>
        <v>0</v>
      </c>
      <c r="F26" s="1388">
        <f>D26*'T&amp;D losses 2022'!F26</f>
        <v>0</v>
      </c>
      <c r="G26" s="1388">
        <f>D26*'T&amp;D losses 2022'!G26</f>
        <v>0</v>
      </c>
      <c r="H26" s="1388">
        <f>D26*'T&amp;D losses 2022'!H26</f>
        <v>0</v>
      </c>
    </row>
    <row r="27" spans="1:8">
      <c r="D27" s="1389" t="s">
        <v>247</v>
      </c>
      <c r="E27" s="1386">
        <f>SUM(E14:E26)</f>
        <v>0</v>
      </c>
      <c r="F27" s="1386">
        <f t="shared" ref="F27:H27" si="1">SUM(F14:F26)</f>
        <v>0</v>
      </c>
      <c r="G27" s="1386">
        <f t="shared" si="1"/>
        <v>0</v>
      </c>
      <c r="H27" s="1386">
        <f t="shared" si="1"/>
        <v>0</v>
      </c>
    </row>
    <row r="28" spans="1:8" s="102" customFormat="1" ht="15.75" thickBot="1"/>
  </sheetData>
  <sheetProtection algorithmName="SHA-512" hashValue="V0JYti/FWC/vgdbr8HKcQ1j2uLzCzf5VskmHbkjT9fafqAB6VQTgSgsRS0Txy7ooud+YYHQgxN6T95XgsUfAQg==" saltValue="9yZzSxs4HeTxJUJ4LfVh0A==" spinCount="100000" sheet="1" objects="1" scenarios="1" selectLockedCells="1"/>
  <mergeCells count="8">
    <mergeCell ref="A7:H7"/>
    <mergeCell ref="A8:H8"/>
    <mergeCell ref="A16:A26"/>
    <mergeCell ref="A14:B15"/>
    <mergeCell ref="A11:H11"/>
    <mergeCell ref="A12:D12"/>
    <mergeCell ref="E12:H12"/>
    <mergeCell ref="A13:B1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Y445"/>
  <sheetViews>
    <sheetView zoomScale="110" zoomScaleNormal="110" workbookViewId="0">
      <selection activeCell="G2" sqref="G2"/>
    </sheetView>
  </sheetViews>
  <sheetFormatPr defaultColWidth="9.140625" defaultRowHeight="15" outlineLevelRow="1"/>
  <cols>
    <col min="1" max="1" width="39.42578125" customWidth="1"/>
    <col min="2" max="2" width="19.7109375" customWidth="1"/>
    <col min="3" max="3" width="21.42578125" customWidth="1"/>
    <col min="4" max="4" width="16" customWidth="1"/>
    <col min="5" max="5" width="18.28515625" customWidth="1"/>
    <col min="6" max="6" width="19.42578125" customWidth="1"/>
    <col min="7" max="7" width="21.28515625" customWidth="1"/>
    <col min="8" max="8" width="20" customWidth="1"/>
    <col min="9" max="9" width="20.140625" customWidth="1"/>
    <col min="10" max="10" width="19.42578125" customWidth="1"/>
    <col min="11" max="11" width="13.5703125" customWidth="1"/>
    <col min="12" max="12" width="24.28515625" customWidth="1"/>
    <col min="13" max="13" width="18" customWidth="1"/>
    <col min="14" max="14" width="12.85546875" customWidth="1"/>
    <col min="15" max="15" width="15.28515625" customWidth="1"/>
    <col min="17" max="17" width="11.85546875" customWidth="1"/>
  </cols>
  <sheetData>
    <row r="1" spans="1:11" ht="31.5">
      <c r="A1" s="64" t="s">
        <v>63</v>
      </c>
    </row>
    <row r="2" spans="1:11" ht="23.25">
      <c r="A2" s="65" t="s">
        <v>538</v>
      </c>
    </row>
    <row r="3" spans="1:11" ht="23.25">
      <c r="A3" s="65"/>
    </row>
    <row r="4" spans="1:11" ht="31.5">
      <c r="A4" s="64" t="s">
        <v>539</v>
      </c>
    </row>
    <row r="5" spans="1:11">
      <c r="A5" s="1905" t="s">
        <v>66</v>
      </c>
      <c r="B5" s="1905"/>
      <c r="C5" s="1905"/>
      <c r="D5" s="1905"/>
      <c r="E5" s="1905"/>
      <c r="F5" s="1905"/>
      <c r="G5" s="1905"/>
      <c r="H5" s="1905"/>
      <c r="I5" s="1905"/>
    </row>
    <row r="6" spans="1:11" ht="49.5" customHeight="1">
      <c r="A6" s="1906" t="s">
        <v>540</v>
      </c>
      <c r="B6" s="1906"/>
      <c r="C6" s="1906"/>
      <c r="D6" s="1906"/>
      <c r="E6" s="1906"/>
      <c r="F6" s="1906"/>
      <c r="G6" s="1906"/>
      <c r="H6" s="1906"/>
      <c r="I6" s="1925"/>
    </row>
    <row r="8" spans="1:11">
      <c r="A8" s="1926" t="s">
        <v>541</v>
      </c>
      <c r="B8" s="1927"/>
      <c r="C8" s="1927"/>
      <c r="D8" s="1927"/>
      <c r="E8" s="1927"/>
      <c r="F8" s="1927"/>
      <c r="G8" s="1927"/>
      <c r="H8" s="1927"/>
      <c r="I8" s="1928"/>
    </row>
    <row r="9" spans="1:11" ht="20.25" customHeight="1">
      <c r="A9" s="1929" t="s">
        <v>69</v>
      </c>
      <c r="B9" s="1930"/>
      <c r="C9" s="1556" t="s">
        <v>70</v>
      </c>
      <c r="D9" s="782" t="s">
        <v>435</v>
      </c>
      <c r="E9" s="485" t="s">
        <v>436</v>
      </c>
      <c r="F9" s="485" t="s">
        <v>437</v>
      </c>
      <c r="G9" s="485" t="s">
        <v>438</v>
      </c>
      <c r="H9" s="489" t="s">
        <v>439</v>
      </c>
      <c r="I9" s="1556" t="s">
        <v>76</v>
      </c>
    </row>
    <row r="10" spans="1:11">
      <c r="A10" s="1909" t="s">
        <v>442</v>
      </c>
      <c r="B10" s="227">
        <v>2020</v>
      </c>
      <c r="C10" s="227" t="s">
        <v>96</v>
      </c>
      <c r="D10" s="1161">
        <v>0.120086279</v>
      </c>
      <c r="E10" s="1201">
        <v>0.117074184</v>
      </c>
      <c r="F10" s="1202">
        <v>2.7807909999999999E-3</v>
      </c>
      <c r="G10" s="1203">
        <v>2.31303E-4</v>
      </c>
      <c r="H10" s="274"/>
      <c r="I10" s="274"/>
    </row>
    <row r="11" spans="1:11">
      <c r="A11" s="1910"/>
      <c r="B11" s="227">
        <v>2019</v>
      </c>
      <c r="C11" s="227" t="s">
        <v>96</v>
      </c>
      <c r="D11" s="1161">
        <v>0.109962248</v>
      </c>
      <c r="E11" s="1201">
        <v>0.10686466999999999</v>
      </c>
      <c r="F11" s="1202">
        <v>2.8956540000000001E-3</v>
      </c>
      <c r="G11" s="1203">
        <v>2.0192300000000001E-4</v>
      </c>
      <c r="H11" s="274"/>
      <c r="I11" s="274"/>
      <c r="K11" s="1150"/>
    </row>
    <row r="12" spans="1:11">
      <c r="A12" s="1910"/>
      <c r="B12" s="1151">
        <v>2018</v>
      </c>
      <c r="C12" s="1152" t="s">
        <v>96</v>
      </c>
      <c r="D12" s="1161">
        <v>9.4323032000000001E-2</v>
      </c>
      <c r="E12" s="1201">
        <v>9.1246640000000004E-2</v>
      </c>
      <c r="F12" s="1202">
        <v>2.9454030000000001E-3</v>
      </c>
      <c r="G12" s="1203">
        <v>1.30989E-4</v>
      </c>
      <c r="H12" s="274"/>
      <c r="I12" s="274"/>
      <c r="K12" s="1150"/>
    </row>
    <row r="13" spans="1:11">
      <c r="A13" s="1910"/>
      <c r="B13" s="1151">
        <v>2017</v>
      </c>
      <c r="C13" s="1152" t="s">
        <v>96</v>
      </c>
      <c r="D13" s="1161">
        <v>9.9246321999999998E-2</v>
      </c>
      <c r="E13" s="1201">
        <v>9.5874051000000002E-2</v>
      </c>
      <c r="F13" s="1202">
        <v>3.2791859999999999E-3</v>
      </c>
      <c r="G13" s="1203">
        <v>9.3085399999999995E-5</v>
      </c>
      <c r="H13" s="274"/>
      <c r="I13" s="274"/>
    </row>
    <row r="14" spans="1:11">
      <c r="A14" s="1910"/>
      <c r="B14" s="1151">
        <v>2016</v>
      </c>
      <c r="C14" s="1152" t="s">
        <v>96</v>
      </c>
      <c r="D14" s="1161">
        <v>8.810366E-2</v>
      </c>
      <c r="E14" s="1201">
        <v>8.4473838999999995E-2</v>
      </c>
      <c r="F14" s="1202">
        <v>3.5502860000000002E-3</v>
      </c>
      <c r="G14" s="1203">
        <v>7.9535200000000004E-5</v>
      </c>
      <c r="H14" s="274"/>
      <c r="I14" s="274"/>
    </row>
    <row r="15" spans="1:11">
      <c r="A15" s="1910"/>
      <c r="B15" s="1151">
        <v>2015</v>
      </c>
      <c r="C15" s="1152" t="s">
        <v>96</v>
      </c>
      <c r="D15" s="1161">
        <v>0.11197612699999999</v>
      </c>
      <c r="E15" s="1201">
        <v>0.107906302</v>
      </c>
      <c r="F15" s="1202">
        <v>3.9169909999999999E-3</v>
      </c>
      <c r="G15" s="1203">
        <v>1.5283399999999999E-4</v>
      </c>
      <c r="H15" s="274"/>
      <c r="I15" s="274"/>
    </row>
    <row r="16" spans="1:11">
      <c r="A16" s="1910"/>
      <c r="B16" s="1151">
        <v>2014</v>
      </c>
      <c r="C16" s="1152" t="s">
        <v>96</v>
      </c>
      <c r="D16" s="1161">
        <v>0.11761551100000001</v>
      </c>
      <c r="E16" s="1201">
        <v>0.11370936199999999</v>
      </c>
      <c r="F16" s="1202">
        <v>3.7374579999999999E-3</v>
      </c>
      <c r="G16" s="1203">
        <v>1.68691E-4</v>
      </c>
      <c r="H16" s="274"/>
      <c r="I16" s="274"/>
    </row>
    <row r="17" spans="1:9">
      <c r="A17" s="1910"/>
      <c r="B17" s="1151">
        <v>2013</v>
      </c>
      <c r="C17" s="1152" t="s">
        <v>96</v>
      </c>
      <c r="D17" s="1161">
        <v>0.14078486200000001</v>
      </c>
      <c r="E17" s="1201">
        <v>0.13691426200000001</v>
      </c>
      <c r="F17" s="1202">
        <v>3.6507430000000001E-3</v>
      </c>
      <c r="G17" s="1203">
        <v>2.1985700000000001E-4</v>
      </c>
      <c r="H17" s="274"/>
      <c r="I17" s="274"/>
    </row>
    <row r="18" spans="1:9">
      <c r="A18" s="1910"/>
      <c r="B18" s="1151">
        <v>2012</v>
      </c>
      <c r="C18" s="1152" t="s">
        <v>96</v>
      </c>
      <c r="D18" s="1161">
        <v>0.16703815599999999</v>
      </c>
      <c r="E18" s="1201">
        <v>0.163264512</v>
      </c>
      <c r="F18" s="1202">
        <v>3.4401179999999998E-3</v>
      </c>
      <c r="G18" s="1203">
        <v>3.33526E-4</v>
      </c>
      <c r="H18" s="274"/>
      <c r="I18" s="274"/>
    </row>
    <row r="19" spans="1:9">
      <c r="A19" s="1910"/>
      <c r="B19" s="1151">
        <v>2011</v>
      </c>
      <c r="C19" s="1152" t="s">
        <v>96</v>
      </c>
      <c r="D19" s="1161">
        <v>0.134198651</v>
      </c>
      <c r="E19" s="1201">
        <v>0.13072642700000001</v>
      </c>
      <c r="F19" s="1202">
        <v>3.2681070000000001E-3</v>
      </c>
      <c r="G19" s="1203">
        <v>2.0411800000000001E-4</v>
      </c>
      <c r="H19" s="274"/>
      <c r="I19" s="274"/>
    </row>
    <row r="20" spans="1:9">
      <c r="A20" s="1911"/>
      <c r="B20" s="1151">
        <v>2010</v>
      </c>
      <c r="C20" s="1152" t="s">
        <v>96</v>
      </c>
      <c r="D20" s="1161">
        <v>0.14534285</v>
      </c>
      <c r="E20" s="1201">
        <v>0.14198359899999999</v>
      </c>
      <c r="F20" s="1202">
        <v>3.173759E-3</v>
      </c>
      <c r="G20" s="1203">
        <v>1.8549300000000001E-4</v>
      </c>
      <c r="H20" s="274"/>
      <c r="I20" s="274"/>
    </row>
    <row r="21" spans="1:9">
      <c r="A21" s="1153"/>
      <c r="B21" s="166"/>
      <c r="C21" s="166"/>
      <c r="D21" s="1154"/>
      <c r="E21" s="1155"/>
      <c r="F21" s="1156"/>
      <c r="G21" s="1157"/>
      <c r="H21" s="1058"/>
      <c r="I21" s="1058"/>
    </row>
    <row r="22" spans="1:9">
      <c r="A22" s="1926" t="s">
        <v>542</v>
      </c>
      <c r="B22" s="1927"/>
      <c r="C22" s="1927"/>
      <c r="D22" s="1927"/>
      <c r="E22" s="1927"/>
      <c r="F22" s="1927"/>
      <c r="G22" s="1927"/>
      <c r="H22" s="1927"/>
      <c r="I22" s="1928"/>
    </row>
    <row r="23" spans="1:9" ht="18">
      <c r="A23" s="1159" t="s">
        <v>69</v>
      </c>
      <c r="B23" s="1159" t="s">
        <v>543</v>
      </c>
      <c r="C23" s="1556" t="s">
        <v>70</v>
      </c>
      <c r="D23" s="782" t="s">
        <v>435</v>
      </c>
      <c r="E23" s="485" t="s">
        <v>436</v>
      </c>
      <c r="F23" s="485" t="s">
        <v>437</v>
      </c>
      <c r="G23" s="485" t="s">
        <v>438</v>
      </c>
      <c r="H23" s="489" t="s">
        <v>439</v>
      </c>
      <c r="I23" s="1556" t="s">
        <v>76</v>
      </c>
    </row>
    <row r="24" spans="1:9">
      <c r="A24" s="1160" t="s">
        <v>442</v>
      </c>
      <c r="B24" s="1149">
        <v>44166</v>
      </c>
      <c r="C24" s="227" t="s">
        <v>96</v>
      </c>
      <c r="D24" s="1161">
        <v>0.10264369800000001</v>
      </c>
      <c r="E24" s="1162">
        <v>9.9585339999999994E-2</v>
      </c>
      <c r="F24" s="839">
        <v>2.8547569999999999E-3</v>
      </c>
      <c r="G24" s="1163">
        <v>2.03601E-4</v>
      </c>
      <c r="H24" s="274"/>
      <c r="I24" s="274"/>
    </row>
    <row r="25" spans="1:9">
      <c r="A25" s="1164"/>
      <c r="B25" s="1149">
        <v>44075</v>
      </c>
      <c r="C25" s="227" t="s">
        <v>96</v>
      </c>
      <c r="D25" s="1161">
        <v>0.14692396699999999</v>
      </c>
      <c r="E25" s="1162">
        <v>0.14426562400000001</v>
      </c>
      <c r="F25" s="839">
        <v>2.344863E-3</v>
      </c>
      <c r="G25" s="1163">
        <v>3.1347999999999999E-4</v>
      </c>
      <c r="H25" s="274"/>
      <c r="I25" s="274"/>
    </row>
    <row r="26" spans="1:9">
      <c r="A26" s="1164"/>
      <c r="B26" s="1149">
        <v>43983</v>
      </c>
      <c r="C26" s="227" t="s">
        <v>96</v>
      </c>
      <c r="D26" s="1161">
        <v>0.111170834</v>
      </c>
      <c r="E26" s="1162">
        <v>0.10795952</v>
      </c>
      <c r="F26" s="839">
        <v>3.041817E-3</v>
      </c>
      <c r="G26" s="1163">
        <v>1.69498E-4</v>
      </c>
      <c r="H26" s="274"/>
      <c r="I26" s="274"/>
    </row>
    <row r="27" spans="1:9">
      <c r="A27" s="1164"/>
      <c r="B27" s="1149">
        <v>43891</v>
      </c>
      <c r="C27" s="227" t="s">
        <v>96</v>
      </c>
      <c r="D27" s="838">
        <v>0.116737619</v>
      </c>
      <c r="E27" s="1162">
        <v>0.11357547</v>
      </c>
      <c r="F27" s="839">
        <v>2.9329159999999998E-3</v>
      </c>
      <c r="G27" s="1163">
        <v>2.2923299999999999E-4</v>
      </c>
      <c r="H27" s="274"/>
      <c r="I27" s="274"/>
    </row>
    <row r="28" spans="1:9">
      <c r="A28" s="1164"/>
      <c r="B28" s="1149">
        <v>43800</v>
      </c>
      <c r="C28" s="227" t="s">
        <v>96</v>
      </c>
      <c r="D28" s="838">
        <v>9.4947654000000006E-2</v>
      </c>
      <c r="E28" s="1162">
        <v>9.1920329999999995E-2</v>
      </c>
      <c r="F28" s="839">
        <v>2.855762E-3</v>
      </c>
      <c r="G28" s="1163">
        <v>1.7156199999999999E-4</v>
      </c>
      <c r="H28" s="274"/>
      <c r="I28" s="274"/>
    </row>
    <row r="29" spans="1:9">
      <c r="A29" s="1164"/>
      <c r="B29" s="1149">
        <v>43709</v>
      </c>
      <c r="C29" s="227" t="s">
        <v>96</v>
      </c>
      <c r="D29" s="838">
        <v>0.11297319</v>
      </c>
      <c r="E29" s="1162">
        <v>0.109970571</v>
      </c>
      <c r="F29" s="839">
        <v>2.810402E-3</v>
      </c>
      <c r="G29" s="1163">
        <v>1.9221700000000001E-4</v>
      </c>
      <c r="H29" s="274"/>
      <c r="I29" s="274"/>
    </row>
    <row r="30" spans="1:9">
      <c r="A30" s="1164"/>
      <c r="B30" s="1149">
        <v>43617</v>
      </c>
      <c r="C30" s="227" t="s">
        <v>96</v>
      </c>
      <c r="D30" s="838">
        <v>0.101386641</v>
      </c>
      <c r="E30" s="1162">
        <v>9.8260722999999994E-2</v>
      </c>
      <c r="F30" s="839">
        <v>2.9594410000000002E-3</v>
      </c>
      <c r="G30" s="1163">
        <v>1.66477E-4</v>
      </c>
      <c r="H30" s="274"/>
      <c r="I30" s="274"/>
    </row>
    <row r="31" spans="1:9">
      <c r="A31" s="1164"/>
      <c r="B31" s="1149">
        <v>43525</v>
      </c>
      <c r="C31" s="227" t="s">
        <v>96</v>
      </c>
      <c r="D31" s="838">
        <v>0.131193384</v>
      </c>
      <c r="E31" s="1162">
        <v>0.127945367</v>
      </c>
      <c r="F31" s="839">
        <v>2.9659970000000002E-3</v>
      </c>
      <c r="G31" s="1163">
        <v>2.8202000000000001E-4</v>
      </c>
      <c r="H31" s="274"/>
      <c r="I31" s="274"/>
    </row>
    <row r="32" spans="1:9">
      <c r="A32" s="1153"/>
      <c r="B32" s="166"/>
      <c r="C32" s="166"/>
      <c r="D32" s="1154"/>
      <c r="E32" s="1155"/>
      <c r="F32" s="1156"/>
      <c r="G32" s="1157"/>
      <c r="H32" s="1058"/>
      <c r="I32" s="1058"/>
    </row>
    <row r="33" spans="1:9" s="1565" customFormat="1" ht="18.75">
      <c r="A33" s="1559" t="s">
        <v>544</v>
      </c>
      <c r="B33" s="1560"/>
      <c r="C33" s="1560"/>
      <c r="D33" s="1561"/>
      <c r="E33" s="1561"/>
      <c r="F33" s="1562"/>
      <c r="G33" s="1563"/>
      <c r="H33" s="1564"/>
      <c r="I33" s="1564"/>
    </row>
    <row r="34" spans="1:9">
      <c r="A34" s="1153"/>
      <c r="B34" s="166"/>
      <c r="C34" s="166"/>
      <c r="D34" s="1154"/>
      <c r="E34" s="1155"/>
      <c r="F34" s="1156"/>
      <c r="G34" s="1157"/>
      <c r="H34" s="1058"/>
      <c r="I34" s="1058"/>
    </row>
    <row r="35" spans="1:9">
      <c r="A35" s="1566" t="s">
        <v>444</v>
      </c>
      <c r="B35" s="1567"/>
      <c r="C35" s="1567"/>
      <c r="D35" s="1568"/>
      <c r="E35" s="1155"/>
      <c r="F35" s="1156"/>
      <c r="G35" s="1157"/>
      <c r="H35" s="1058"/>
      <c r="I35" s="1058"/>
    </row>
    <row r="36" spans="1:9">
      <c r="A36" s="1153"/>
      <c r="B36" s="166"/>
      <c r="C36" s="166"/>
      <c r="D36" s="1154"/>
      <c r="E36" s="1155"/>
      <c r="F36" s="1156"/>
      <c r="G36" s="1157"/>
      <c r="H36" s="1058"/>
      <c r="I36" s="1058"/>
    </row>
    <row r="37" spans="1:9">
      <c r="A37" s="1153"/>
      <c r="B37" s="166"/>
      <c r="C37" s="166"/>
      <c r="D37" s="1154"/>
      <c r="E37" s="1155"/>
      <c r="F37" s="1156"/>
      <c r="G37" s="1157"/>
      <c r="H37" s="1058"/>
      <c r="I37" s="1058"/>
    </row>
    <row r="38" spans="1:9" ht="13.5" customHeight="1"/>
    <row r="39" spans="1:9" ht="13.5" customHeight="1"/>
    <row r="40" spans="1:9" s="769" customFormat="1" ht="40.5" customHeight="1">
      <c r="A40" s="974" t="s">
        <v>117</v>
      </c>
    </row>
    <row r="41" spans="1:9" ht="13.5" customHeight="1"/>
    <row r="42" spans="1:9" ht="13.5" hidden="1" customHeight="1">
      <c r="A42" s="1926" t="s">
        <v>545</v>
      </c>
      <c r="B42" s="1927"/>
      <c r="C42" s="1927"/>
      <c r="D42" s="1927"/>
      <c r="E42" s="1927"/>
      <c r="F42" s="1927"/>
      <c r="G42" s="1927"/>
      <c r="H42" s="1927"/>
      <c r="I42" s="1928"/>
    </row>
    <row r="43" spans="1:9" ht="13.5" hidden="1" customHeight="1">
      <c r="A43" s="1929" t="s">
        <v>69</v>
      </c>
      <c r="B43" s="1930"/>
      <c r="C43" s="1556" t="s">
        <v>70</v>
      </c>
      <c r="D43" s="782" t="s">
        <v>435</v>
      </c>
      <c r="E43" s="485" t="s">
        <v>436</v>
      </c>
      <c r="F43" s="485" t="s">
        <v>437</v>
      </c>
      <c r="G43" s="485" t="s">
        <v>438</v>
      </c>
      <c r="H43" s="489" t="s">
        <v>439</v>
      </c>
      <c r="I43" s="1556" t="s">
        <v>76</v>
      </c>
    </row>
    <row r="44" spans="1:9" ht="13.5" hidden="1" customHeight="1">
      <c r="A44" s="1909" t="s">
        <v>442</v>
      </c>
      <c r="B44" s="227">
        <v>2020</v>
      </c>
      <c r="C44" s="227" t="s">
        <v>96</v>
      </c>
      <c r="D44" s="1158"/>
      <c r="E44" s="1158"/>
      <c r="F44" s="1174"/>
      <c r="G44" s="1175"/>
      <c r="H44" s="274"/>
      <c r="I44" s="274"/>
    </row>
    <row r="45" spans="1:9" ht="13.5" hidden="1" customHeight="1">
      <c r="A45" s="1910"/>
      <c r="B45" s="227">
        <v>2019</v>
      </c>
      <c r="C45" s="227" t="s">
        <v>96</v>
      </c>
      <c r="D45" s="1158"/>
      <c r="E45" s="1158"/>
      <c r="F45" s="1174"/>
      <c r="G45" s="1175"/>
      <c r="H45" s="274"/>
      <c r="I45" s="274"/>
    </row>
    <row r="46" spans="1:9" ht="13.5" hidden="1" customHeight="1">
      <c r="A46" s="1910"/>
      <c r="B46" s="227">
        <v>2018</v>
      </c>
      <c r="C46" s="227" t="s">
        <v>96</v>
      </c>
      <c r="D46" s="783"/>
      <c r="E46" s="784"/>
      <c r="F46" s="785"/>
      <c r="G46" s="786"/>
      <c r="H46" s="274"/>
      <c r="I46" s="274"/>
    </row>
    <row r="47" spans="1:9" ht="13.5" hidden="1" customHeight="1">
      <c r="A47" s="1910"/>
      <c r="B47" s="227">
        <v>2017</v>
      </c>
      <c r="C47" s="227" t="s">
        <v>96</v>
      </c>
      <c r="D47" s="787"/>
      <c r="E47" s="788"/>
      <c r="F47" s="789"/>
      <c r="G47" s="790"/>
      <c r="H47" s="274"/>
      <c r="I47" s="274"/>
    </row>
    <row r="48" spans="1:9" ht="13.5" hidden="1" customHeight="1">
      <c r="A48" s="1910"/>
      <c r="B48" s="227">
        <v>2016</v>
      </c>
      <c r="C48" s="227" t="s">
        <v>96</v>
      </c>
      <c r="D48" s="787"/>
      <c r="E48" s="791"/>
      <c r="F48" s="792"/>
      <c r="G48" s="793"/>
      <c r="H48" s="274"/>
      <c r="I48" s="274"/>
    </row>
    <row r="49" spans="1:9" ht="13.5" hidden="1" customHeight="1">
      <c r="A49" s="1910"/>
      <c r="B49" s="227">
        <v>2015</v>
      </c>
      <c r="C49" s="227" t="s">
        <v>96</v>
      </c>
      <c r="D49" s="787"/>
      <c r="E49" s="791"/>
      <c r="F49" s="792"/>
      <c r="G49" s="794"/>
      <c r="H49" s="274"/>
      <c r="I49" s="274"/>
    </row>
    <row r="50" spans="1:9" ht="13.5" hidden="1" customHeight="1">
      <c r="A50" s="1910"/>
      <c r="B50" s="227">
        <v>2014</v>
      </c>
      <c r="C50" s="227" t="s">
        <v>96</v>
      </c>
      <c r="D50" s="787"/>
      <c r="E50" s="791"/>
      <c r="F50" s="792"/>
      <c r="G50" s="794"/>
      <c r="H50" s="274"/>
      <c r="I50" s="274"/>
    </row>
    <row r="51" spans="1:9" ht="13.5" hidden="1" customHeight="1">
      <c r="A51" s="1910"/>
      <c r="B51" s="227">
        <v>2013</v>
      </c>
      <c r="C51" s="227" t="s">
        <v>96</v>
      </c>
      <c r="D51" s="787"/>
      <c r="E51" s="791"/>
      <c r="F51" s="792"/>
      <c r="G51" s="794"/>
      <c r="H51" s="274"/>
      <c r="I51" s="274"/>
    </row>
    <row r="52" spans="1:9" ht="13.5" hidden="1" customHeight="1">
      <c r="A52" s="1910"/>
      <c r="B52" s="227">
        <v>2012</v>
      </c>
      <c r="C52" s="227" t="s">
        <v>96</v>
      </c>
      <c r="D52" s="787"/>
      <c r="E52" s="791"/>
      <c r="F52" s="792"/>
      <c r="G52" s="794"/>
      <c r="H52" s="274"/>
      <c r="I52" s="274"/>
    </row>
    <row r="53" spans="1:9" ht="13.5" hidden="1" customHeight="1">
      <c r="A53" s="1910"/>
      <c r="B53" s="227">
        <v>2011</v>
      </c>
      <c r="C53" s="227" t="s">
        <v>96</v>
      </c>
      <c r="D53" s="787"/>
      <c r="E53" s="791"/>
      <c r="F53" s="792"/>
      <c r="G53" s="794"/>
      <c r="H53" s="274"/>
      <c r="I53" s="274"/>
    </row>
    <row r="54" spans="1:9" ht="13.5" hidden="1" customHeight="1">
      <c r="A54" s="1911"/>
      <c r="B54" s="227">
        <v>2010</v>
      </c>
      <c r="C54" s="227" t="s">
        <v>96</v>
      </c>
      <c r="D54" s="787"/>
      <c r="E54" s="791"/>
      <c r="F54" s="792"/>
      <c r="G54" s="794"/>
      <c r="H54" s="274"/>
      <c r="I54" s="274"/>
    </row>
    <row r="55" spans="1:9" ht="13.5" hidden="1" customHeight="1"/>
    <row r="56" spans="1:9" ht="13.5" hidden="1" customHeight="1">
      <c r="A56" s="1926" t="s">
        <v>542</v>
      </c>
      <c r="B56" s="1927"/>
      <c r="C56" s="1927"/>
      <c r="D56" s="1927"/>
      <c r="E56" s="1927"/>
      <c r="F56" s="1927"/>
      <c r="G56" s="1927"/>
      <c r="H56" s="1927"/>
      <c r="I56" s="1928"/>
    </row>
    <row r="57" spans="1:9" ht="13.5" hidden="1" customHeight="1">
      <c r="A57" s="1159" t="s">
        <v>69</v>
      </c>
      <c r="B57" s="1159" t="s">
        <v>543</v>
      </c>
      <c r="C57" s="1556" t="s">
        <v>70</v>
      </c>
      <c r="D57" s="782" t="s">
        <v>435</v>
      </c>
      <c r="E57" s="485" t="s">
        <v>436</v>
      </c>
      <c r="F57" s="485" t="s">
        <v>437</v>
      </c>
      <c r="G57" s="485" t="s">
        <v>438</v>
      </c>
      <c r="H57" s="489" t="s">
        <v>439</v>
      </c>
      <c r="I57" s="1556" t="s">
        <v>76</v>
      </c>
    </row>
    <row r="58" spans="1:9" ht="13.5" hidden="1" customHeight="1">
      <c r="A58" s="1160" t="s">
        <v>442</v>
      </c>
      <c r="B58" s="1149">
        <v>44166</v>
      </c>
      <c r="C58" s="227" t="s">
        <v>96</v>
      </c>
      <c r="D58" s="1161"/>
      <c r="E58" s="1162"/>
      <c r="F58" s="839"/>
      <c r="G58" s="1163"/>
      <c r="H58" s="274"/>
      <c r="I58" s="274"/>
    </row>
    <row r="59" spans="1:9" ht="13.5" hidden="1" customHeight="1">
      <c r="A59" s="1164"/>
      <c r="B59" s="1149">
        <v>44075</v>
      </c>
      <c r="C59" s="227" t="s">
        <v>96</v>
      </c>
      <c r="D59" s="1161"/>
      <c r="E59" s="1162"/>
      <c r="F59" s="839"/>
      <c r="G59" s="1163"/>
      <c r="H59" s="274"/>
      <c r="I59" s="274"/>
    </row>
    <row r="60" spans="1:9" ht="13.5" hidden="1" customHeight="1">
      <c r="A60" s="1164"/>
      <c r="B60" s="1149">
        <v>43983</v>
      </c>
      <c r="C60" s="227" t="s">
        <v>96</v>
      </c>
      <c r="D60" s="1161"/>
      <c r="E60" s="1162"/>
      <c r="F60" s="839"/>
      <c r="G60" s="1163"/>
      <c r="H60" s="274"/>
      <c r="I60" s="274"/>
    </row>
    <row r="61" spans="1:9" ht="13.5" hidden="1" customHeight="1">
      <c r="A61" s="1164"/>
      <c r="B61" s="1149">
        <v>43891</v>
      </c>
      <c r="C61" s="227" t="s">
        <v>96</v>
      </c>
      <c r="D61" s="838"/>
      <c r="E61" s="1162"/>
      <c r="F61" s="839"/>
      <c r="G61" s="1163"/>
      <c r="H61" s="274"/>
      <c r="I61" s="274"/>
    </row>
    <row r="62" spans="1:9" ht="13.5" hidden="1" customHeight="1">
      <c r="A62" s="1164"/>
      <c r="B62" s="1149">
        <v>43800</v>
      </c>
      <c r="C62" s="227" t="s">
        <v>96</v>
      </c>
      <c r="D62" s="838"/>
      <c r="E62" s="1162"/>
      <c r="F62" s="839"/>
      <c r="G62" s="1163"/>
      <c r="H62" s="274"/>
      <c r="I62" s="274"/>
    </row>
    <row r="63" spans="1:9" ht="13.5" hidden="1" customHeight="1">
      <c r="A63" s="1164"/>
      <c r="B63" s="1149">
        <v>43709</v>
      </c>
      <c r="C63" s="227" t="s">
        <v>96</v>
      </c>
      <c r="D63" s="838"/>
      <c r="E63" s="1162"/>
      <c r="F63" s="839"/>
      <c r="G63" s="1163"/>
      <c r="H63" s="274"/>
      <c r="I63" s="274"/>
    </row>
    <row r="64" spans="1:9" ht="13.5" hidden="1" customHeight="1">
      <c r="A64" s="1164"/>
      <c r="B64" s="1149">
        <v>43617</v>
      </c>
      <c r="C64" s="227" t="s">
        <v>96</v>
      </c>
      <c r="D64" s="838"/>
      <c r="E64" s="1162"/>
      <c r="F64" s="839"/>
      <c r="G64" s="1163"/>
      <c r="H64" s="274"/>
      <c r="I64" s="274"/>
    </row>
    <row r="65" spans="1:13" ht="13.5" hidden="1" customHeight="1">
      <c r="A65" s="1164"/>
      <c r="B65" s="1149">
        <v>43525</v>
      </c>
      <c r="C65" s="227" t="s">
        <v>96</v>
      </c>
      <c r="D65" s="838"/>
      <c r="E65" s="1162"/>
      <c r="F65" s="839"/>
      <c r="G65" s="1163"/>
      <c r="H65" s="274"/>
      <c r="I65" s="274"/>
    </row>
    <row r="66" spans="1:13" ht="13.5" customHeight="1"/>
    <row r="67" spans="1:13" ht="13.5" customHeight="1"/>
    <row r="68" spans="1:13" ht="13.5" customHeight="1">
      <c r="A68" s="1705" t="s">
        <v>546</v>
      </c>
      <c r="B68" s="1705" t="s">
        <v>547</v>
      </c>
      <c r="C68" s="1705" t="s">
        <v>448</v>
      </c>
      <c r="D68" s="1705" t="s">
        <v>449</v>
      </c>
      <c r="E68" s="1705" t="s">
        <v>548</v>
      </c>
      <c r="F68" s="1705" t="s">
        <v>549</v>
      </c>
      <c r="G68" s="1705" t="s">
        <v>550</v>
      </c>
      <c r="H68" s="1705" t="s">
        <v>551</v>
      </c>
      <c r="I68" s="1705" t="s">
        <v>552</v>
      </c>
      <c r="K68" t="s">
        <v>553</v>
      </c>
    </row>
    <row r="69" spans="1:13" ht="13.5" customHeight="1">
      <c r="A69" s="1586">
        <v>43525</v>
      </c>
      <c r="B69">
        <f>B115+B119+B123+B127+B131+B135</f>
        <v>1211.0270009856079</v>
      </c>
      <c r="C69">
        <f>D115+D119+D123+D127+D131+D135</f>
        <v>1208.4661116049999</v>
      </c>
      <c r="D69">
        <f>F115+F119+F123+F127+F131+F135</f>
        <v>1.22577136</v>
      </c>
      <c r="E69" s="168">
        <f>H115+H119+H123+H127+H131</f>
        <v>9.5517350000000004E-3</v>
      </c>
      <c r="F69" s="773">
        <f>(M72*1000000)/(B69*1000000)</f>
        <v>33.292403858201958</v>
      </c>
      <c r="G69" s="773">
        <f>(M72*1000000)/(C69*1000000)</f>
        <v>33.362954585836469</v>
      </c>
      <c r="H69" s="773">
        <f>(M72*1000000)/(D69*1000000)</f>
        <v>32891.941609730551</v>
      </c>
      <c r="I69" s="972">
        <f>(M72*1000000)/(E69*1000000)</f>
        <v>4221013.250472296</v>
      </c>
      <c r="K69" t="s">
        <v>554</v>
      </c>
    </row>
    <row r="70" spans="1:13" ht="13.5" customHeight="1">
      <c r="A70" s="968">
        <v>43617</v>
      </c>
      <c r="B70">
        <f>B116+B120+B124+B128+B132+B136</f>
        <v>1002.0158281267275</v>
      </c>
      <c r="C70">
        <f>D116+D120+D124+D128+D132+D136</f>
        <v>999.85909558999992</v>
      </c>
      <c r="D70">
        <f>F116+F120+F124+F128+F132+F136</f>
        <v>1.2998144330000001</v>
      </c>
      <c r="E70" s="168">
        <f>H116+H120+H124+H128+H132</f>
        <v>5.9545900000000009E-3</v>
      </c>
      <c r="F70" s="773">
        <f>(M72*1000000)/(B70*1000000)</f>
        <v>40.236889346722855</v>
      </c>
      <c r="G70" s="773">
        <f>(M72*1000000)/(C70*1000000)</f>
        <v>40.323681784590889</v>
      </c>
      <c r="H70" s="773">
        <f>(M72*1000000)/(D70*1000000)</f>
        <v>31018.273821552491</v>
      </c>
      <c r="I70" s="972">
        <f>(M72*1000000)/(E70*1000000)</f>
        <v>6770911.1794430837</v>
      </c>
      <c r="K70" s="1931" t="s">
        <v>555</v>
      </c>
      <c r="L70" s="594" t="s">
        <v>556</v>
      </c>
      <c r="M70" s="594"/>
    </row>
    <row r="71" spans="1:13" ht="13.5" customHeight="1">
      <c r="A71" s="968">
        <v>43709</v>
      </c>
      <c r="B71">
        <f>B117+B121+B125+B129+B133+B137</f>
        <v>1180.5741724173763</v>
      </c>
      <c r="C71">
        <f>D117+D121+D125+D129+D133+D137</f>
        <v>1177.3887110549999</v>
      </c>
      <c r="D71">
        <f>F117+F121+F125+F129+F133+F137</f>
        <v>1.319011988</v>
      </c>
      <c r="E71">
        <f>H117+H121+H125+H129+H133</f>
        <v>7.3361850000000003E-3</v>
      </c>
      <c r="F71" s="773">
        <f>(M72*1000000)/(B71*1000000)</f>
        <v>34.151179097407962</v>
      </c>
      <c r="G71" s="773">
        <f>(M72*1000000)/(C71*1000000)</f>
        <v>34.243576162602267</v>
      </c>
      <c r="H71" s="773">
        <f>(M72*1000000)/(D71*1000000)</f>
        <v>30566.818472312476</v>
      </c>
      <c r="I71" s="972">
        <f>(M72*1000000)/(E71*1000000)</f>
        <v>5495771.9850303661</v>
      </c>
      <c r="K71" s="1931"/>
      <c r="L71" s="773">
        <v>2020</v>
      </c>
      <c r="M71" s="773">
        <v>2019</v>
      </c>
    </row>
    <row r="72" spans="1:13" ht="13.5" customHeight="1">
      <c r="A72" s="969">
        <v>43800</v>
      </c>
      <c r="B72">
        <f>B118+B122+B126+B130+B134+B138</f>
        <v>848.29175904730005</v>
      </c>
      <c r="C72">
        <f>D118+D122+D126+D130+D134+D138</f>
        <v>847.85211279599991</v>
      </c>
      <c r="D72">
        <f>F118+F122+F126+F130+F134+F138</f>
        <v>1.221240275</v>
      </c>
      <c r="E72">
        <f>H118+H122+H126+H130+H134</f>
        <v>5.8867949999999994E-3</v>
      </c>
      <c r="F72" s="773">
        <f>(M72*1000000)/(B72*1000000)</f>
        <v>47.528458894001702</v>
      </c>
      <c r="G72" s="773">
        <f>(M72*1000000)/(C72*1000000)</f>
        <v>47.553104358071984</v>
      </c>
      <c r="H72" s="773">
        <f>(M72*1000000)/(D72*1000000)</f>
        <v>33013.978350820442</v>
      </c>
      <c r="I72" s="972">
        <f>(M72*1000000)/(E72*1000000)</f>
        <v>6848888.0621798458</v>
      </c>
      <c r="K72" s="773" t="s">
        <v>557</v>
      </c>
      <c r="L72" s="811">
        <f>M97</f>
        <v>39441</v>
      </c>
      <c r="M72" s="811">
        <f>L97</f>
        <v>40318</v>
      </c>
    </row>
    <row r="73" spans="1:13" ht="13.5" customHeight="1">
      <c r="A73" s="970" t="s">
        <v>558</v>
      </c>
      <c r="B73" s="1580">
        <f>B139</f>
        <v>4241.9087605770119</v>
      </c>
      <c r="C73" s="1582">
        <f>D139</f>
        <v>4233.5660310459998</v>
      </c>
      <c r="D73" s="1582">
        <f>F139</f>
        <v>5.0658380560000005</v>
      </c>
      <c r="E73" s="1581">
        <f>H139</f>
        <v>2.8729305000000004E-2</v>
      </c>
      <c r="F73" s="1587">
        <f>(M72*1000000)/(B73*1000000)</f>
        <v>9.5046834516345609</v>
      </c>
      <c r="G73" s="1706">
        <f>(M72*1000000)/(C73*1000000)</f>
        <v>9.5234135252258039</v>
      </c>
      <c r="H73" s="1706">
        <f>(M72*1000000)/(D73*1000000)</f>
        <v>7958.8015949793707</v>
      </c>
      <c r="I73" s="1707">
        <f>(M72*1000000)/(E73*1000000)</f>
        <v>1403375.4036166205</v>
      </c>
      <c r="K73" s="773" t="s">
        <v>559</v>
      </c>
      <c r="L73" s="812">
        <f>SUM(D142:D161)</f>
        <v>4174.1552159099992</v>
      </c>
      <c r="M73" s="812">
        <f>SUM(D115:D134)</f>
        <v>3756.4587190459993</v>
      </c>
    </row>
    <row r="74" spans="1:13" ht="13.5" customHeight="1">
      <c r="A74" s="1588">
        <v>43891</v>
      </c>
      <c r="B74">
        <f>B142+B146+B150+B154+B158+B162</f>
        <v>1064.9472621150326</v>
      </c>
      <c r="C74">
        <f>D142+D146+D150+D154+D158+D162</f>
        <v>1062.747264654</v>
      </c>
      <c r="D74">
        <f>F142+F146+F150+F154+F158+F162</f>
        <v>1.221863854</v>
      </c>
      <c r="E74">
        <f>H142+H146+H150+H154+H158</f>
        <v>7.7626809999999996E-3</v>
      </c>
      <c r="F74" s="1673">
        <f>(L72*1000000)/(B74*1000000)</f>
        <v>37.03563678981476</v>
      </c>
      <c r="G74" s="773">
        <f>(L72*1000000)/(C74*1000000)</f>
        <v>37.11230441307309</v>
      </c>
      <c r="H74" s="773">
        <f>(L72*1000000)/(D74*1000000)</f>
        <v>32279.373737820712</v>
      </c>
      <c r="I74" s="773">
        <f>(L72*1000000)/(E74*1000000)</f>
        <v>5080847.7122787861</v>
      </c>
      <c r="K74" s="773" t="s">
        <v>560</v>
      </c>
      <c r="L74" s="812">
        <f>SUM(D162:D165)</f>
        <v>449.68574419999999</v>
      </c>
      <c r="M74" s="812">
        <f>SUM(D135:D138)</f>
        <v>477.10731199999998</v>
      </c>
    </row>
    <row r="75" spans="1:13" ht="13.5" customHeight="1">
      <c r="A75" s="971">
        <v>43983</v>
      </c>
      <c r="B75">
        <f>B143+B147+B151+B155+B159+B163</f>
        <v>1058.4115419952054</v>
      </c>
      <c r="C75">
        <f>D143+D147+D151+D155+D159+D163</f>
        <v>1058.3712782740001</v>
      </c>
      <c r="D75">
        <f t="shared" ref="D75:D77" si="0">F143+F147+F151+F155+F159+F163</f>
        <v>1.264918022</v>
      </c>
      <c r="E75">
        <f t="shared" ref="E75:E77" si="1">H143+H147+H151+H155+H159</f>
        <v>5.7494340000000003E-3</v>
      </c>
      <c r="F75" s="773">
        <f>(L72*1000000)/(B75*1000000)</f>
        <v>37.264332856433143</v>
      </c>
      <c r="G75" s="773">
        <f>(L72*1000000)/(C75*1000000)</f>
        <v>37.265750507062776</v>
      </c>
      <c r="H75" s="773">
        <f>(L72*1000000)/(D75*1000000)</f>
        <v>31180.676782230239</v>
      </c>
      <c r="I75" s="773">
        <f>(L72*1000000)/(E75*1000000)</f>
        <v>6859979.6084275423</v>
      </c>
      <c r="K75" s="773" t="s">
        <v>561</v>
      </c>
      <c r="L75" s="812">
        <f>SUM(F142:F161)</f>
        <v>5.9220651999999999E-2</v>
      </c>
      <c r="M75" s="812">
        <f>SUM(F115:F134)</f>
        <v>5.2409261000000006E-2</v>
      </c>
    </row>
    <row r="76" spans="1:13" ht="13.5" customHeight="1">
      <c r="A76" s="971">
        <v>44075</v>
      </c>
      <c r="B76">
        <f>B144+B148+B152+B156+B160+B164</f>
        <v>1570.0356172159929</v>
      </c>
      <c r="C76">
        <f>D144+D148+D152+D156+D160+D164</f>
        <v>1573.1662852299999</v>
      </c>
      <c r="D76">
        <f t="shared" si="0"/>
        <v>1.093268616</v>
      </c>
      <c r="E76">
        <f t="shared" si="1"/>
        <v>1.2035712E-2</v>
      </c>
      <c r="F76" s="773">
        <f>(L72*1000000)/(B76*1000000)</f>
        <v>25.121086150858972</v>
      </c>
      <c r="G76" s="773">
        <f>(L72*1000000)/(C76*1000000)</f>
        <v>25.07109411783107</v>
      </c>
      <c r="H76" s="773">
        <f>(L72*1000000)/(D76*1000000)</f>
        <v>36076.220814153508</v>
      </c>
      <c r="I76" s="773">
        <f>(L72*1000000)/(E76*1000000)</f>
        <v>3276997.6549787829</v>
      </c>
      <c r="K76" s="773" t="s">
        <v>562</v>
      </c>
      <c r="L76" s="812">
        <f>SUM(F162:F165)</f>
        <v>4.7342197580000001</v>
      </c>
      <c r="M76" s="812">
        <f>SUM(F135:F138)</f>
        <v>5.0134287950000003</v>
      </c>
    </row>
    <row r="77" spans="1:13" ht="13.5" customHeight="1">
      <c r="A77" s="971">
        <v>44166</v>
      </c>
      <c r="B77">
        <f>B145+B149+B153+B157+B161+B165</f>
        <v>928.07884909171321</v>
      </c>
      <c r="C77">
        <f>D145+D149+D153+D157+D161+D165</f>
        <v>929.55613195199999</v>
      </c>
      <c r="D77">
        <f t="shared" si="0"/>
        <v>1.2133899180000001</v>
      </c>
      <c r="E77">
        <f t="shared" si="1"/>
        <v>6.9903830000000002E-3</v>
      </c>
      <c r="F77" s="773">
        <f>(L72*1000000)/(B77*1000000)</f>
        <v>42.497466716971182</v>
      </c>
      <c r="G77" s="773">
        <f>(L72*1000000)/(C77*1000000)</f>
        <v>42.429928268212031</v>
      </c>
      <c r="H77" s="773">
        <f>(L72*1000000)/(D77*1000000)</f>
        <v>32504.802796622542</v>
      </c>
      <c r="I77" s="773">
        <f>(L72*1000000)/(E77*1000000)</f>
        <v>5642180.120888941</v>
      </c>
      <c r="K77" s="773" t="s">
        <v>563</v>
      </c>
      <c r="L77" s="812">
        <f>SUM(H142:H161)</f>
        <v>3.2538210000000005E-2</v>
      </c>
      <c r="M77" s="812">
        <f>SUM(H115:H134)</f>
        <v>2.8729305000000004E-2</v>
      </c>
    </row>
    <row r="78" spans="1:13" ht="13.5" customHeight="1">
      <c r="A78" s="1589" t="s">
        <v>564</v>
      </c>
      <c r="B78" s="1580">
        <f>B166</f>
        <v>4621.4732704179432</v>
      </c>
      <c r="C78" s="1582">
        <f>D166</f>
        <v>4623.8409601099993</v>
      </c>
      <c r="D78" s="1582">
        <f>F166</f>
        <v>4.7934404100000005</v>
      </c>
      <c r="E78" s="1581">
        <f>H166</f>
        <v>3.2538210000000005E-2</v>
      </c>
      <c r="F78" s="1706">
        <f>(L72*1000000)/(B78*1000000)</f>
        <v>8.5342914893529507</v>
      </c>
      <c r="G78" s="1706">
        <f>(L72*1000000)/(C78*1000000)</f>
        <v>8.5299214095507541</v>
      </c>
      <c r="H78" s="1706">
        <f>(L72*1000000)/(D78*1000000)</f>
        <v>8228.1193936861728</v>
      </c>
      <c r="I78" s="1706">
        <f>(L72*1000000)/(E78*1000000)</f>
        <v>1212144.122248888</v>
      </c>
      <c r="K78" s="773" t="s">
        <v>565</v>
      </c>
      <c r="L78" t="s">
        <v>48</v>
      </c>
      <c r="M78" t="s">
        <v>48</v>
      </c>
    </row>
    <row r="79" spans="1:13" ht="13.5" customHeight="1"/>
    <row r="80" spans="1:13" ht="13.5" customHeight="1">
      <c r="A80" s="153"/>
      <c r="L80" s="94">
        <f>L73/L72</f>
        <v>0.10583289510686847</v>
      </c>
      <c r="M80" s="94">
        <f>M73/M72</f>
        <v>9.317076043072571E-2</v>
      </c>
    </row>
    <row r="81" spans="1:13" ht="13.5" customHeight="1"/>
    <row r="82" spans="1:13" ht="13.5" customHeight="1"/>
    <row r="83" spans="1:13" ht="13.5" customHeight="1">
      <c r="A83" s="772"/>
    </row>
    <row r="84" spans="1:13" ht="13.5" customHeight="1"/>
    <row r="85" spans="1:13" ht="13.5" customHeight="1"/>
    <row r="86" spans="1:13" ht="13.5" customHeight="1">
      <c r="A86" s="61" t="s">
        <v>492</v>
      </c>
      <c r="B86" s="61" t="s">
        <v>70</v>
      </c>
      <c r="C86" s="61">
        <v>2010</v>
      </c>
      <c r="D86" s="61">
        <v>2011</v>
      </c>
      <c r="E86" s="61">
        <v>2012</v>
      </c>
      <c r="F86" s="61">
        <v>2013</v>
      </c>
      <c r="G86" s="61">
        <v>2014</v>
      </c>
      <c r="H86" s="61">
        <v>2015</v>
      </c>
      <c r="I86" s="61">
        <v>2016</v>
      </c>
      <c r="J86" s="61">
        <v>2017</v>
      </c>
      <c r="K86" s="61">
        <v>2018</v>
      </c>
      <c r="L86" s="61">
        <v>2019</v>
      </c>
      <c r="M86" s="61">
        <v>2020</v>
      </c>
    </row>
    <row r="87" spans="1:13" ht="13.5" customHeight="1">
      <c r="A87" t="s">
        <v>493</v>
      </c>
      <c r="B87" t="s">
        <v>494</v>
      </c>
      <c r="C87" s="436">
        <v>0.14534285</v>
      </c>
      <c r="D87" s="436">
        <v>0.134198651</v>
      </c>
      <c r="E87" s="436">
        <v>0.16703815599999999</v>
      </c>
      <c r="F87" s="436">
        <v>0.14078486200000001</v>
      </c>
      <c r="G87" s="436">
        <v>0.11761551100000001</v>
      </c>
      <c r="H87" s="436">
        <v>0.11197612699999999</v>
      </c>
      <c r="I87" s="436">
        <v>8.810366E-2</v>
      </c>
      <c r="J87" s="436">
        <v>9.9246321999999998E-2</v>
      </c>
      <c r="K87" s="436">
        <v>9.4323032000000001E-2</v>
      </c>
      <c r="L87" s="436">
        <v>0.109962248</v>
      </c>
      <c r="M87" s="436">
        <v>0.120086279</v>
      </c>
    </row>
    <row r="88" spans="1:13" ht="13.5" customHeight="1">
      <c r="A88" t="s">
        <v>495</v>
      </c>
      <c r="B88" t="s">
        <v>494</v>
      </c>
      <c r="C88" s="436">
        <f>C89/C97</f>
        <v>0.15245095047594878</v>
      </c>
      <c r="D88" s="436">
        <f>D89/D97</f>
        <v>0.14023712942378433</v>
      </c>
      <c r="E88" s="436">
        <f>E89/E97</f>
        <v>0.17618218142814035</v>
      </c>
      <c r="F88" s="436">
        <f>F89/F97</f>
        <v>0.14699862026554406</v>
      </c>
      <c r="G88" s="436">
        <f t="shared" ref="G88:M88" si="2">G89/G97</f>
        <v>0.12053001566241835</v>
      </c>
      <c r="H88" s="436">
        <f t="shared" si="2"/>
        <v>0.11476116812384636</v>
      </c>
      <c r="I88" s="436">
        <f t="shared" si="2"/>
        <v>9.0115689452910874E-2</v>
      </c>
      <c r="J88" s="436">
        <f t="shared" si="2"/>
        <v>0.10398420001798664</v>
      </c>
      <c r="K88" s="436">
        <f t="shared" si="2"/>
        <v>9.9132033927990595E-2</v>
      </c>
      <c r="L88" s="436">
        <f>L89/L97</f>
        <v>0.11614600387415992</v>
      </c>
      <c r="M88" s="436">
        <f t="shared" si="2"/>
        <v>0.12817943441473595</v>
      </c>
    </row>
    <row r="89" spans="1:13" ht="13.5" customHeight="1">
      <c r="A89" t="s">
        <v>496</v>
      </c>
      <c r="B89" t="s">
        <v>497</v>
      </c>
      <c r="C89" s="1572">
        <v>6186.1546684130499</v>
      </c>
      <c r="D89" s="1572">
        <v>5656.4646153083404</v>
      </c>
      <c r="E89" s="1572">
        <v>7044.8207065856204</v>
      </c>
      <c r="F89" s="1572">
        <v>5799.5365653365097</v>
      </c>
      <c r="G89" s="1572">
        <v>4849.8867702243897</v>
      </c>
      <c r="H89" s="1572">
        <v>4675.9437952061198</v>
      </c>
      <c r="I89" s="1572">
        <v>3625.5344180695101</v>
      </c>
      <c r="J89" s="1572">
        <v>4152.4010593182602</v>
      </c>
      <c r="K89" s="1304">
        <v>3962.01</v>
      </c>
      <c r="L89" s="1572">
        <v>4682.7745841983797</v>
      </c>
      <c r="M89">
        <v>5055.5250727516004</v>
      </c>
    </row>
    <row r="90" spans="1:13" ht="13.5" customHeight="1">
      <c r="A90" t="s">
        <v>498</v>
      </c>
      <c r="B90" t="s">
        <v>497</v>
      </c>
      <c r="G90">
        <v>4228.05</v>
      </c>
      <c r="H90">
        <v>4026.34</v>
      </c>
      <c r="I90">
        <v>3043.34</v>
      </c>
      <c r="J90">
        <v>3596.23</v>
      </c>
      <c r="K90">
        <v>3495.77</v>
      </c>
      <c r="L90" s="55"/>
      <c r="M90" s="55"/>
    </row>
    <row r="91" spans="1:13" ht="13.5" customHeight="1">
      <c r="A91" t="s">
        <v>499</v>
      </c>
      <c r="B91" t="s">
        <v>497</v>
      </c>
      <c r="G91">
        <v>0.1</v>
      </c>
      <c r="H91">
        <v>0.11</v>
      </c>
      <c r="I91">
        <v>0.11</v>
      </c>
      <c r="J91">
        <v>0.12</v>
      </c>
      <c r="K91">
        <v>0.12</v>
      </c>
      <c r="L91" s="55"/>
      <c r="M91" s="55"/>
    </row>
    <row r="92" spans="1:13" ht="13.5" customHeight="1">
      <c r="A92" t="s">
        <v>500</v>
      </c>
      <c r="B92" t="s">
        <v>497</v>
      </c>
      <c r="G92">
        <v>1221.93</v>
      </c>
      <c r="H92">
        <v>1108.8800000000001</v>
      </c>
      <c r="I92">
        <v>447.88</v>
      </c>
      <c r="J92">
        <v>525.20000000000005</v>
      </c>
      <c r="K92">
        <v>928.07</v>
      </c>
      <c r="L92" s="55"/>
      <c r="M92" s="55"/>
    </row>
    <row r="93" spans="1:13" ht="13.5" customHeight="1">
      <c r="A93" t="s">
        <v>501</v>
      </c>
      <c r="B93" t="s">
        <v>497</v>
      </c>
      <c r="G93">
        <v>3003.84</v>
      </c>
      <c r="H93">
        <v>2915.84</v>
      </c>
      <c r="I93">
        <v>2593.31</v>
      </c>
      <c r="J93">
        <v>3068.04</v>
      </c>
      <c r="K93">
        <v>2562.65</v>
      </c>
      <c r="L93" s="55"/>
      <c r="M93" s="55"/>
    </row>
    <row r="94" spans="1:13" ht="13.5" customHeight="1">
      <c r="A94" t="s">
        <v>502</v>
      </c>
      <c r="B94" t="s">
        <v>497</v>
      </c>
      <c r="G94">
        <v>811.41</v>
      </c>
      <c r="H94">
        <v>851.9</v>
      </c>
      <c r="I94">
        <v>831.98</v>
      </c>
      <c r="J94">
        <v>814.77</v>
      </c>
      <c r="K94">
        <v>745.42</v>
      </c>
      <c r="L94" s="55"/>
      <c r="M94" s="55"/>
    </row>
    <row r="95" spans="1:13" ht="13.5" customHeight="1">
      <c r="A95" t="s">
        <v>503</v>
      </c>
      <c r="B95" t="s">
        <v>497</v>
      </c>
      <c r="G95">
        <v>2.17</v>
      </c>
      <c r="H95">
        <v>1.51</v>
      </c>
      <c r="I95">
        <v>2.04</v>
      </c>
      <c r="J95">
        <v>2.86</v>
      </c>
      <c r="K95">
        <v>4.93</v>
      </c>
      <c r="L95" s="55"/>
      <c r="M95" s="55"/>
    </row>
    <row r="96" spans="1:13" ht="13.5" customHeight="1">
      <c r="A96" t="s">
        <v>504</v>
      </c>
      <c r="B96" t="s">
        <v>473</v>
      </c>
      <c r="G96">
        <v>42185.85</v>
      </c>
      <c r="H96">
        <v>42822.66</v>
      </c>
      <c r="I96">
        <v>42371.38</v>
      </c>
      <c r="J96">
        <v>42836.85</v>
      </c>
      <c r="K96">
        <v>42900.89</v>
      </c>
      <c r="L96" s="1165">
        <f>B106</f>
        <v>43820.767761327123</v>
      </c>
      <c r="M96" s="1165">
        <f>C106</f>
        <v>43186.776617029187</v>
      </c>
    </row>
    <row r="97" spans="1:13" ht="13.5" customHeight="1">
      <c r="A97" t="s">
        <v>505</v>
      </c>
      <c r="B97" t="s">
        <v>473</v>
      </c>
      <c r="C97" s="200">
        <v>40578</v>
      </c>
      <c r="D97" s="200">
        <v>40335</v>
      </c>
      <c r="E97" s="200">
        <v>39986</v>
      </c>
      <c r="F97" s="200">
        <v>39453</v>
      </c>
      <c r="G97" s="200">
        <v>40238</v>
      </c>
      <c r="H97" s="200">
        <v>40745</v>
      </c>
      <c r="I97" s="200">
        <v>40232</v>
      </c>
      <c r="J97" s="200">
        <v>39933</v>
      </c>
      <c r="K97" s="200">
        <v>39967</v>
      </c>
      <c r="L97" s="775">
        <v>40318</v>
      </c>
      <c r="M97" s="775">
        <v>39441</v>
      </c>
    </row>
    <row r="98" spans="1:13" ht="13.5" customHeight="1">
      <c r="A98" s="443"/>
      <c r="B98" s="442"/>
      <c r="G98" s="442"/>
      <c r="H98" s="442"/>
      <c r="I98" s="442"/>
      <c r="J98" s="442"/>
      <c r="K98" s="442"/>
      <c r="L98" s="442"/>
      <c r="M98" s="442"/>
    </row>
    <row r="99" spans="1:13" ht="13.5" customHeight="1">
      <c r="A99" s="440" t="s">
        <v>459</v>
      </c>
      <c r="B99" t="s">
        <v>494</v>
      </c>
      <c r="C99" s="437">
        <f>C88-C87</f>
        <v>7.1081004759487865E-3</v>
      </c>
      <c r="D99" s="437">
        <f>D88-D87</f>
        <v>6.038478423784327E-3</v>
      </c>
      <c r="E99" s="437">
        <f>E88-E87</f>
        <v>9.1440254281403566E-3</v>
      </c>
      <c r="F99" s="437">
        <f>F88-F87</f>
        <v>6.2137582655440449E-3</v>
      </c>
      <c r="G99" s="437">
        <f t="shared" ref="G99:L99" si="3">G88-G87</f>
        <v>2.9145046624183407E-3</v>
      </c>
      <c r="H99" s="437">
        <f t="shared" si="3"/>
        <v>2.7850411238463657E-3</v>
      </c>
      <c r="I99" s="437">
        <f t="shared" si="3"/>
        <v>2.012029452910874E-3</v>
      </c>
      <c r="J99" s="437">
        <f t="shared" si="3"/>
        <v>4.7378780179866409E-3</v>
      </c>
      <c r="K99" s="437">
        <f t="shared" si="3"/>
        <v>4.8090019279905943E-3</v>
      </c>
      <c r="L99" s="437">
        <f t="shared" si="3"/>
        <v>6.1837558741599241E-3</v>
      </c>
      <c r="M99" s="437">
        <f>M88-M87</f>
        <v>8.0931554147359447E-3</v>
      </c>
    </row>
    <row r="100" spans="1:13" ht="13.5" customHeight="1">
      <c r="A100" s="771"/>
      <c r="B100" s="625"/>
      <c r="G100" s="625"/>
      <c r="H100" s="625"/>
      <c r="J100" s="625"/>
      <c r="K100" s="625"/>
      <c r="L100" s="625"/>
      <c r="M100" s="625"/>
    </row>
    <row r="101" spans="1:13" ht="13.5" hidden="1" customHeight="1">
      <c r="A101" s="771"/>
      <c r="B101" s="1166" t="s">
        <v>566</v>
      </c>
      <c r="G101" s="1167">
        <f>1-SUM(G97/G96)</f>
        <v>4.6173065139140212E-2</v>
      </c>
      <c r="H101" s="1167">
        <f t="shared" ref="H101:L101" si="4">1-SUM(H97/H96)</f>
        <v>4.8517770731664078E-2</v>
      </c>
      <c r="I101" s="1167">
        <f t="shared" si="4"/>
        <v>5.0491157002674814E-2</v>
      </c>
      <c r="J101" s="1167">
        <f t="shared" si="4"/>
        <v>6.778859790110614E-2</v>
      </c>
      <c r="K101" s="1167">
        <f t="shared" si="4"/>
        <v>6.8387625524785167E-2</v>
      </c>
      <c r="L101" s="1167">
        <f t="shared" si="4"/>
        <v>7.9933966022804337E-2</v>
      </c>
      <c r="M101" s="1167">
        <f>1-SUM(M97/M96)</f>
        <v>8.6734341167573281E-2</v>
      </c>
    </row>
    <row r="102" spans="1:13" ht="13.5" customHeight="1">
      <c r="A102" s="771"/>
      <c r="B102" s="625"/>
      <c r="C102" s="625"/>
      <c r="D102" s="625"/>
      <c r="F102" s="625"/>
      <c r="G102" s="625"/>
      <c r="H102" s="1168"/>
      <c r="I102" s="625"/>
    </row>
    <row r="103" spans="1:13" ht="13.5" customHeight="1">
      <c r="D103" s="625"/>
      <c r="F103" s="625"/>
      <c r="G103" s="625"/>
      <c r="H103" s="625"/>
      <c r="I103" s="625"/>
    </row>
    <row r="104" spans="1:13" ht="13.5" customHeight="1">
      <c r="A104" s="61" t="s">
        <v>567</v>
      </c>
      <c r="B104" s="764" t="s">
        <v>568</v>
      </c>
      <c r="C104" s="625"/>
      <c r="D104" s="625"/>
      <c r="F104" s="625"/>
      <c r="G104" s="625"/>
      <c r="H104" s="625"/>
      <c r="I104" s="625"/>
    </row>
    <row r="105" spans="1:13" ht="13.5" customHeight="1">
      <c r="B105" s="337">
        <v>2019</v>
      </c>
      <c r="C105" s="337">
        <v>2020</v>
      </c>
      <c r="D105" s="625"/>
      <c r="F105" s="625"/>
      <c r="G105" s="625"/>
      <c r="H105" s="625"/>
      <c r="I105" s="625"/>
    </row>
    <row r="106" spans="1:13" ht="13.5" customHeight="1">
      <c r="A106" s="334" t="s">
        <v>511</v>
      </c>
      <c r="B106">
        <v>43820.767761327123</v>
      </c>
      <c r="C106">
        <v>43186.776617029187</v>
      </c>
      <c r="D106" s="625"/>
      <c r="F106" s="625"/>
      <c r="G106" s="625"/>
      <c r="H106" s="625"/>
      <c r="I106" s="625"/>
    </row>
    <row r="107" spans="1:13" ht="13.5" customHeight="1">
      <c r="A107" s="276" t="s">
        <v>569</v>
      </c>
      <c r="B107" s="625">
        <v>40202.936290829872</v>
      </c>
      <c r="C107" s="625">
        <v>39590.317151188443</v>
      </c>
      <c r="D107" s="625"/>
      <c r="F107" s="625"/>
      <c r="G107" s="625"/>
      <c r="H107" s="625"/>
      <c r="I107" s="625"/>
    </row>
    <row r="108" spans="1:13" ht="13.5" customHeight="1">
      <c r="A108" s="795"/>
      <c r="B108" s="625"/>
      <c r="C108" s="625"/>
      <c r="D108" s="625"/>
      <c r="F108" s="625"/>
      <c r="G108" s="625"/>
      <c r="H108" s="625"/>
      <c r="I108" s="625"/>
    </row>
    <row r="109" spans="1:13" ht="13.5" customHeight="1">
      <c r="A109" s="795"/>
      <c r="B109" s="625"/>
      <c r="C109" s="625"/>
      <c r="D109" s="625"/>
      <c r="F109" s="625"/>
      <c r="G109" s="625"/>
      <c r="H109" s="625"/>
      <c r="I109" s="625"/>
    </row>
    <row r="110" spans="1:13" ht="13.5" customHeight="1"/>
    <row r="111" spans="1:13" ht="13.5" customHeight="1">
      <c r="A111" s="52" t="s">
        <v>570</v>
      </c>
    </row>
    <row r="112" spans="1:13" ht="13.5" customHeight="1">
      <c r="A112" s="61" t="s">
        <v>571</v>
      </c>
      <c r="F112" t="s">
        <v>572</v>
      </c>
      <c r="H112" t="s">
        <v>573</v>
      </c>
    </row>
    <row r="113" spans="1:25" ht="13.5" customHeight="1"/>
    <row r="114" spans="1:25" ht="13.5" customHeight="1">
      <c r="A114" s="1704" t="s">
        <v>574</v>
      </c>
      <c r="B114" s="1704" t="s">
        <v>547</v>
      </c>
      <c r="C114" s="1704" t="s">
        <v>575</v>
      </c>
      <c r="D114" s="1704" t="s">
        <v>448</v>
      </c>
      <c r="E114" s="1704" t="s">
        <v>576</v>
      </c>
      <c r="F114" s="1704" t="s">
        <v>449</v>
      </c>
      <c r="G114" s="1704" t="s">
        <v>185</v>
      </c>
      <c r="H114" s="1704" t="s">
        <v>548</v>
      </c>
      <c r="I114" s="1704" t="s">
        <v>187</v>
      </c>
      <c r="J114" s="1704" t="s">
        <v>40</v>
      </c>
      <c r="K114" s="1704" t="s">
        <v>577</v>
      </c>
      <c r="N114" s="625"/>
      <c r="O114" s="625"/>
      <c r="P114" s="625"/>
      <c r="Q114" s="625"/>
      <c r="R114" s="625"/>
      <c r="S114" s="625"/>
      <c r="T114" s="625"/>
      <c r="U114" s="625"/>
      <c r="V114" s="625"/>
      <c r="W114" s="625"/>
    </row>
    <row r="115" spans="1:25" ht="13.5" customHeight="1">
      <c r="A115" s="1590">
        <v>43525</v>
      </c>
      <c r="B115" s="1579">
        <v>498.79717321656199</v>
      </c>
      <c r="C115" s="1591">
        <v>53.907479129999999</v>
      </c>
      <c r="D115">
        <v>498.34082319999999</v>
      </c>
      <c r="E115" s="1591">
        <v>53.858159129999997</v>
      </c>
      <c r="F115">
        <v>8.3275539999999992E-3</v>
      </c>
      <c r="G115" s="1591">
        <v>8.3275539999999992E-3</v>
      </c>
      <c r="H115">
        <v>8.3275500000000002E-4</v>
      </c>
      <c r="I115" s="1591">
        <v>8.3275500000000002E-4</v>
      </c>
      <c r="J115" s="1591" t="s">
        <v>95</v>
      </c>
      <c r="K115" s="1591" t="s">
        <v>265</v>
      </c>
      <c r="N115" s="771"/>
      <c r="O115" s="625"/>
      <c r="P115" s="625"/>
      <c r="Q115" s="625"/>
      <c r="R115" s="625"/>
      <c r="S115" s="625"/>
      <c r="T115" s="625"/>
      <c r="U115" s="625"/>
      <c r="V115" s="625"/>
      <c r="W115" s="625"/>
    </row>
    <row r="116" spans="1:25" ht="13.5" customHeight="1">
      <c r="A116" s="776">
        <v>43617</v>
      </c>
      <c r="B116" s="738">
        <v>517.30344304839605</v>
      </c>
      <c r="C116" s="762">
        <v>53.907479129999999</v>
      </c>
      <c r="D116">
        <v>516.83016169999996</v>
      </c>
      <c r="E116" s="762">
        <v>53.858159129999997</v>
      </c>
      <c r="F116">
        <v>8.6365209999999994E-3</v>
      </c>
      <c r="G116" s="762">
        <v>8.6365209999999994E-3</v>
      </c>
      <c r="H116">
        <v>8.6365200000000002E-4</v>
      </c>
      <c r="I116" s="762">
        <v>8.6365200000000002E-4</v>
      </c>
      <c r="J116" s="762" t="s">
        <v>95</v>
      </c>
      <c r="K116" s="762" t="s">
        <v>265</v>
      </c>
      <c r="N116" s="771"/>
      <c r="O116" s="625"/>
      <c r="P116" s="625"/>
      <c r="Q116" s="625"/>
      <c r="R116" s="625"/>
      <c r="S116" s="625"/>
      <c r="T116" s="625"/>
      <c r="U116" s="625"/>
      <c r="V116" s="625"/>
      <c r="W116" s="625"/>
    </row>
    <row r="117" spans="1:25" ht="13.5" customHeight="1">
      <c r="A117" s="776">
        <v>43709</v>
      </c>
      <c r="B117" s="738">
        <v>615.55451619054202</v>
      </c>
      <c r="C117" s="762">
        <v>53.907479129999999</v>
      </c>
      <c r="D117">
        <v>614.99134479999998</v>
      </c>
      <c r="E117" s="762">
        <v>53.858159129999997</v>
      </c>
      <c r="F117">
        <v>1.0276850000000001E-2</v>
      </c>
      <c r="G117" s="762">
        <v>1.0276850000000001E-2</v>
      </c>
      <c r="H117">
        <v>1.027685E-3</v>
      </c>
      <c r="I117" s="762">
        <v>1.027685E-3</v>
      </c>
      <c r="J117" s="762" t="s">
        <v>95</v>
      </c>
      <c r="K117" s="762" t="s">
        <v>265</v>
      </c>
      <c r="N117" s="771"/>
      <c r="O117" s="625"/>
      <c r="P117" s="625"/>
      <c r="Q117" s="625"/>
      <c r="R117" s="625"/>
      <c r="S117" s="625"/>
      <c r="T117" s="625"/>
      <c r="U117" s="625"/>
      <c r="V117" s="625"/>
      <c r="W117" s="625"/>
    </row>
    <row r="118" spans="1:25" ht="13.5" customHeight="1">
      <c r="A118" s="777">
        <v>43800</v>
      </c>
      <c r="B118" s="471">
        <v>362.33837038513002</v>
      </c>
      <c r="C118" s="763">
        <v>53.907479129999999</v>
      </c>
      <c r="D118">
        <v>362.00686669999999</v>
      </c>
      <c r="E118" s="763">
        <v>53.858159129999997</v>
      </c>
      <c r="F118">
        <v>6.0493370000000001E-3</v>
      </c>
      <c r="G118" s="763">
        <v>6.0493370000000001E-3</v>
      </c>
      <c r="H118">
        <v>6.0493400000000001E-4</v>
      </c>
      <c r="I118" s="763">
        <v>6.0493400000000001E-4</v>
      </c>
      <c r="J118" s="763" t="s">
        <v>95</v>
      </c>
      <c r="K118" s="763" t="s">
        <v>265</v>
      </c>
      <c r="N118" s="771"/>
      <c r="O118" s="625"/>
      <c r="P118" s="625"/>
      <c r="Q118" s="625"/>
      <c r="R118" s="625"/>
      <c r="S118" s="625"/>
      <c r="T118" s="625"/>
      <c r="U118" s="625"/>
      <c r="V118" s="625"/>
      <c r="W118" s="625"/>
    </row>
    <row r="119" spans="1:25" ht="13.5" customHeight="1">
      <c r="A119" s="1590">
        <v>43525</v>
      </c>
      <c r="B119" s="1579">
        <v>565.43743849910402</v>
      </c>
      <c r="C119" s="1591">
        <v>93.088217940000007</v>
      </c>
      <c r="D119" s="1579">
        <v>562.71376250000003</v>
      </c>
      <c r="E119" s="1591">
        <v>92.63981794</v>
      </c>
      <c r="F119" s="1579">
        <v>5.7704999999999996E-3</v>
      </c>
      <c r="G119" s="1591">
        <v>9.5E-4</v>
      </c>
      <c r="H119" s="1579">
        <v>8.6557500000000002E-3</v>
      </c>
      <c r="I119" s="1591">
        <v>1.4250000000000001E-3</v>
      </c>
      <c r="J119" s="1591" t="s">
        <v>267</v>
      </c>
      <c r="K119" s="1591" t="s">
        <v>265</v>
      </c>
      <c r="N119" s="771"/>
      <c r="O119" s="625"/>
      <c r="P119" s="625"/>
      <c r="Q119" s="625"/>
      <c r="R119" s="625"/>
      <c r="S119" s="625"/>
      <c r="T119" s="625"/>
      <c r="U119" s="625"/>
      <c r="V119" s="625"/>
      <c r="W119" s="625"/>
      <c r="Y119" s="54"/>
    </row>
    <row r="120" spans="1:25" ht="13.5" customHeight="1">
      <c r="A120" s="776">
        <v>43617</v>
      </c>
      <c r="B120" s="738">
        <v>328.44647312801499</v>
      </c>
      <c r="C120" s="762">
        <v>93.088217940000007</v>
      </c>
      <c r="D120" s="738">
        <v>326.86436739999999</v>
      </c>
      <c r="E120" s="762">
        <v>92.63981794</v>
      </c>
      <c r="F120" s="738">
        <v>3.3519190000000001E-3</v>
      </c>
      <c r="G120" s="762">
        <v>9.5E-4</v>
      </c>
      <c r="H120" s="738">
        <v>5.0278780000000004E-3</v>
      </c>
      <c r="I120" s="762">
        <v>1.4250000000000001E-3</v>
      </c>
      <c r="J120" s="762" t="s">
        <v>267</v>
      </c>
      <c r="K120" s="762" t="s">
        <v>265</v>
      </c>
      <c r="N120" s="771"/>
      <c r="O120" s="625"/>
      <c r="P120" s="625"/>
      <c r="Q120" s="625"/>
      <c r="R120" s="625"/>
      <c r="S120" s="625"/>
      <c r="T120" s="625"/>
      <c r="U120" s="625"/>
      <c r="V120" s="625"/>
      <c r="W120" s="625"/>
      <c r="Y120" s="54"/>
    </row>
    <row r="121" spans="1:25" ht="13.5" customHeight="1">
      <c r="A121" s="776">
        <v>43709</v>
      </c>
      <c r="B121" s="738">
        <v>407.89494945087603</v>
      </c>
      <c r="C121" s="762">
        <v>93.088217940000007</v>
      </c>
      <c r="D121" s="738">
        <v>405.93014549999998</v>
      </c>
      <c r="E121" s="762">
        <v>92.63981794</v>
      </c>
      <c r="F121" s="738">
        <v>4.16272E-3</v>
      </c>
      <c r="G121" s="762">
        <v>9.5E-4</v>
      </c>
      <c r="H121" s="738">
        <v>6.2440799999999999E-3</v>
      </c>
      <c r="I121" s="762">
        <v>1.4250000000000001E-3</v>
      </c>
      <c r="J121" s="762" t="s">
        <v>267</v>
      </c>
      <c r="K121" s="762" t="s">
        <v>265</v>
      </c>
      <c r="N121" s="771"/>
      <c r="O121" s="625"/>
      <c r="P121" s="625"/>
      <c r="Q121" s="625"/>
      <c r="R121" s="625"/>
      <c r="S121" s="625"/>
      <c r="T121" s="625"/>
      <c r="U121" s="625"/>
      <c r="V121" s="625"/>
      <c r="W121" s="625"/>
      <c r="Y121" s="54"/>
    </row>
    <row r="122" spans="1:25" ht="13.5" customHeight="1">
      <c r="A122" s="777">
        <v>43800</v>
      </c>
      <c r="B122" s="471">
        <v>340.90481130144599</v>
      </c>
      <c r="C122" s="763">
        <v>93.088217940000007</v>
      </c>
      <c r="D122" s="471">
        <v>339.26269459999997</v>
      </c>
      <c r="E122" s="762">
        <v>92.63981794</v>
      </c>
      <c r="F122" s="471">
        <v>3.4790609999999999E-3</v>
      </c>
      <c r="G122" s="762">
        <v>9.5E-4</v>
      </c>
      <c r="H122" s="471">
        <v>5.2185909999999999E-3</v>
      </c>
      <c r="I122" s="763">
        <v>1.4250000000000001E-3</v>
      </c>
      <c r="J122" s="763" t="s">
        <v>267</v>
      </c>
      <c r="K122" s="763" t="s">
        <v>265</v>
      </c>
      <c r="N122" s="771"/>
      <c r="O122" s="625"/>
      <c r="P122" s="625"/>
      <c r="Q122" s="625"/>
      <c r="R122" s="625"/>
      <c r="S122" s="625"/>
      <c r="T122" s="625"/>
      <c r="U122" s="625"/>
      <c r="V122" s="625"/>
      <c r="W122" s="625"/>
      <c r="Y122" s="54"/>
    </row>
    <row r="123" spans="1:25" ht="13.5" customHeight="1">
      <c r="A123" s="1590">
        <v>43525</v>
      </c>
      <c r="B123" s="1579">
        <v>0.81010177395676297</v>
      </c>
      <c r="C123" s="1591">
        <v>69.636318930000002</v>
      </c>
      <c r="D123" s="1578">
        <v>0.80787707499999994</v>
      </c>
      <c r="E123" s="1591">
        <v>69.445083929999996</v>
      </c>
      <c r="F123" s="1676">
        <v>9.9499999999999996E-6</v>
      </c>
      <c r="G123" s="1591">
        <v>8.5499999999999997E-4</v>
      </c>
      <c r="H123" s="1675">
        <v>6.63E-6</v>
      </c>
      <c r="I123" s="1591">
        <v>5.6999999999999998E-4</v>
      </c>
      <c r="J123" s="1591" t="s">
        <v>90</v>
      </c>
      <c r="K123" s="1591" t="s">
        <v>265</v>
      </c>
      <c r="N123" s="770"/>
    </row>
    <row r="124" spans="1:25" ht="13.5" customHeight="1">
      <c r="A124" s="776">
        <v>43617</v>
      </c>
      <c r="B124" s="738">
        <v>0.520949369229873</v>
      </c>
      <c r="C124" s="762">
        <v>69.636318930000002</v>
      </c>
      <c r="D124" s="684">
        <v>0.51951873999999998</v>
      </c>
      <c r="E124" s="762">
        <v>69.445083929999996</v>
      </c>
      <c r="F124">
        <v>6.3999999999999997E-6</v>
      </c>
      <c r="G124" s="762">
        <v>8.5499999999999997E-4</v>
      </c>
      <c r="H124" s="734">
        <v>4.2599999999999999E-6</v>
      </c>
      <c r="I124" s="762">
        <v>5.6999999999999998E-4</v>
      </c>
      <c r="J124" s="762" t="s">
        <v>90</v>
      </c>
      <c r="K124" s="762" t="s">
        <v>265</v>
      </c>
      <c r="L124" s="770"/>
      <c r="W124" s="770"/>
    </row>
    <row r="125" spans="1:25" ht="13.5" customHeight="1">
      <c r="A125" s="776">
        <v>43709</v>
      </c>
      <c r="B125" s="738">
        <v>0.72295394798770596</v>
      </c>
      <c r="C125" s="762">
        <v>69.636318930000002</v>
      </c>
      <c r="D125" s="684">
        <v>0.720968575</v>
      </c>
      <c r="E125" s="762">
        <v>69.445083929999996</v>
      </c>
      <c r="F125">
        <v>8.8799999999999997E-6</v>
      </c>
      <c r="G125" s="762">
        <v>8.5499999999999997E-4</v>
      </c>
      <c r="H125" s="734">
        <v>5.9200000000000001E-6</v>
      </c>
      <c r="I125" s="762">
        <v>5.6999999999999998E-4</v>
      </c>
      <c r="J125" s="762" t="s">
        <v>90</v>
      </c>
      <c r="K125" s="762" t="s">
        <v>265</v>
      </c>
      <c r="L125" s="770"/>
      <c r="W125" s="770"/>
    </row>
    <row r="126" spans="1:25" ht="13.5" customHeight="1">
      <c r="A126" s="777">
        <v>43800</v>
      </c>
      <c r="B126" s="471">
        <v>0.60729682266789697</v>
      </c>
      <c r="C126" s="763">
        <v>69.636318930000002</v>
      </c>
      <c r="D126" s="753">
        <v>0.60562906599999999</v>
      </c>
      <c r="E126" s="763">
        <v>69.445083929999996</v>
      </c>
      <c r="F126" s="754">
        <v>7.4599999999999997E-6</v>
      </c>
      <c r="G126" s="763">
        <v>8.5499999999999997E-4</v>
      </c>
      <c r="H126" s="735">
        <v>4.9699999999999998E-6</v>
      </c>
      <c r="I126" s="763">
        <v>5.6999999999999998E-4</v>
      </c>
      <c r="J126" s="763" t="s">
        <v>90</v>
      </c>
      <c r="K126" s="763" t="s">
        <v>265</v>
      </c>
      <c r="L126" s="770"/>
      <c r="W126" s="770"/>
    </row>
    <row r="127" spans="1:25" ht="13.5" customHeight="1">
      <c r="A127" s="1590">
        <v>43525</v>
      </c>
      <c r="B127" s="1579">
        <v>0</v>
      </c>
      <c r="C127" s="1591">
        <v>73.574931140000004</v>
      </c>
      <c r="D127">
        <v>0</v>
      </c>
      <c r="E127" s="762">
        <v>73.333821139999998</v>
      </c>
      <c r="F127">
        <v>0</v>
      </c>
      <c r="G127" s="762">
        <v>2.8500000000000001E-3</v>
      </c>
      <c r="H127">
        <v>0</v>
      </c>
      <c r="I127" s="1591">
        <v>5.6999999999999998E-4</v>
      </c>
      <c r="J127" s="1591" t="s">
        <v>578</v>
      </c>
      <c r="K127" s="1591" t="s">
        <v>265</v>
      </c>
      <c r="L127" s="770"/>
      <c r="N127" s="54"/>
      <c r="W127" s="770"/>
      <c r="Y127" s="54"/>
    </row>
    <row r="128" spans="1:25" ht="13.5" customHeight="1">
      <c r="A128" s="776">
        <v>43617</v>
      </c>
      <c r="B128" s="738">
        <v>0</v>
      </c>
      <c r="C128" s="762">
        <v>73.574931140000004</v>
      </c>
      <c r="D128">
        <v>0</v>
      </c>
      <c r="E128" s="762">
        <v>73.333821139999998</v>
      </c>
      <c r="F128">
        <v>0</v>
      </c>
      <c r="G128" s="762">
        <v>2.8500000000000001E-3</v>
      </c>
      <c r="H128">
        <v>0</v>
      </c>
      <c r="I128" s="762">
        <v>5.6999999999999998E-4</v>
      </c>
      <c r="J128" s="762" t="s">
        <v>578</v>
      </c>
      <c r="K128" s="762" t="s">
        <v>265</v>
      </c>
      <c r="L128" s="770"/>
      <c r="N128" s="54"/>
      <c r="W128" s="770"/>
      <c r="Y128" s="54"/>
    </row>
    <row r="129" spans="1:25" ht="13.5" customHeight="1">
      <c r="A129" s="776">
        <v>43709</v>
      </c>
      <c r="B129" s="738">
        <v>0</v>
      </c>
      <c r="C129" s="762">
        <v>73.574931140000004</v>
      </c>
      <c r="D129">
        <v>0</v>
      </c>
      <c r="E129" s="762">
        <v>73.333821139999998</v>
      </c>
      <c r="F129">
        <v>0</v>
      </c>
      <c r="G129" s="762">
        <v>2.8500000000000001E-3</v>
      </c>
      <c r="H129">
        <v>0</v>
      </c>
      <c r="I129" s="762">
        <v>5.6999999999999998E-4</v>
      </c>
      <c r="J129" s="762" t="s">
        <v>578</v>
      </c>
      <c r="K129" s="762" t="s">
        <v>265</v>
      </c>
      <c r="L129" s="770"/>
      <c r="N129" s="54"/>
      <c r="W129" s="770"/>
      <c r="Y129" s="54"/>
    </row>
    <row r="130" spans="1:25" ht="13.5" customHeight="1">
      <c r="A130" s="777">
        <v>43800</v>
      </c>
      <c r="B130" s="471">
        <v>0</v>
      </c>
      <c r="C130" s="763">
        <v>73.574931140000004</v>
      </c>
      <c r="D130" s="625">
        <v>0</v>
      </c>
      <c r="E130" s="762">
        <v>73.333821139999998</v>
      </c>
      <c r="F130">
        <v>0</v>
      </c>
      <c r="G130" s="762">
        <v>2.8500000000000001E-3</v>
      </c>
      <c r="H130">
        <v>0</v>
      </c>
      <c r="I130" s="763">
        <v>5.6999999999999998E-4</v>
      </c>
      <c r="J130" s="763" t="s">
        <v>578</v>
      </c>
      <c r="K130" s="763" t="s">
        <v>265</v>
      </c>
      <c r="L130" s="770"/>
      <c r="N130" s="54"/>
      <c r="W130" s="770"/>
      <c r="Y130" s="54"/>
    </row>
    <row r="131" spans="1:25" ht="13.5" customHeight="1">
      <c r="A131" s="1590">
        <v>43525</v>
      </c>
      <c r="B131" s="1579">
        <v>3.1024171787083499E-2</v>
      </c>
      <c r="C131" s="1591">
        <v>4.9320000000000003E-2</v>
      </c>
      <c r="D131" s="1592">
        <v>30.929816030000001</v>
      </c>
      <c r="E131" s="1591">
        <v>49.17</v>
      </c>
      <c r="F131" s="1676">
        <v>5.6613500000000005E-4</v>
      </c>
      <c r="G131" s="1593">
        <v>8.9999999999999998E-4</v>
      </c>
      <c r="H131" s="1675">
        <v>5.66E-5</v>
      </c>
      <c r="I131" s="1593">
        <v>9.0000000000000006E-5</v>
      </c>
      <c r="J131" s="1591" t="s">
        <v>579</v>
      </c>
      <c r="K131" s="1591" t="s">
        <v>265</v>
      </c>
      <c r="L131" s="770"/>
      <c r="W131" s="770"/>
    </row>
    <row r="132" spans="1:25" ht="13.5" customHeight="1">
      <c r="A132" s="776">
        <v>43617</v>
      </c>
      <c r="B132" s="738">
        <v>3.2211056753524099E-2</v>
      </c>
      <c r="C132" s="762">
        <v>4.9320000000000003E-2</v>
      </c>
      <c r="D132" s="757">
        <v>32.113091249999997</v>
      </c>
      <c r="E132" s="762">
        <v>49.17</v>
      </c>
      <c r="F132">
        <v>5.8779299999999997E-4</v>
      </c>
      <c r="G132" s="778">
        <v>8.9999999999999998E-4</v>
      </c>
      <c r="H132" s="734">
        <v>5.8799999999999999E-5</v>
      </c>
      <c r="I132" s="778">
        <v>9.0000000000000006E-5</v>
      </c>
      <c r="J132" s="762" t="s">
        <v>579</v>
      </c>
      <c r="K132" s="762" t="s">
        <v>265</v>
      </c>
      <c r="L132" s="770"/>
      <c r="W132" s="770"/>
    </row>
    <row r="133" spans="1:25" ht="13.5" customHeight="1">
      <c r="A133" s="776">
        <v>43709</v>
      </c>
      <c r="B133" s="738">
        <v>3.2073576651516E-2</v>
      </c>
      <c r="C133" s="762">
        <v>4.9320000000000003E-2</v>
      </c>
      <c r="D133" s="757">
        <v>31.976029279999999</v>
      </c>
      <c r="E133" s="762">
        <v>49.17</v>
      </c>
      <c r="F133">
        <v>5.8528400000000004E-4</v>
      </c>
      <c r="G133" s="778">
        <v>8.9999999999999998E-4</v>
      </c>
      <c r="H133" s="734">
        <v>5.8499999999999999E-5</v>
      </c>
      <c r="I133" s="778">
        <v>9.0000000000000006E-5</v>
      </c>
      <c r="J133" s="762" t="s">
        <v>579</v>
      </c>
      <c r="K133" s="762" t="s">
        <v>265</v>
      </c>
      <c r="L133" s="770"/>
      <c r="W133" s="770"/>
    </row>
    <row r="134" spans="1:25" ht="13.5" customHeight="1">
      <c r="A134" s="777">
        <v>43800</v>
      </c>
      <c r="B134" s="471">
        <v>3.1942772185130697E-2</v>
      </c>
      <c r="C134" s="763">
        <v>4.9320000000000003E-2</v>
      </c>
      <c r="D134" s="759">
        <v>31.845622630000001</v>
      </c>
      <c r="E134" s="763">
        <v>49.17</v>
      </c>
      <c r="F134" s="754">
        <v>5.8289699999999997E-4</v>
      </c>
      <c r="G134" s="779">
        <v>8.9999999999999998E-4</v>
      </c>
      <c r="H134" s="735">
        <v>5.8300000000000001E-5</v>
      </c>
      <c r="I134" s="778">
        <v>9.0000000000000006E-5</v>
      </c>
      <c r="J134" s="763" t="s">
        <v>579</v>
      </c>
      <c r="K134" s="763" t="s">
        <v>265</v>
      </c>
      <c r="L134" s="770"/>
      <c r="W134" s="770"/>
    </row>
    <row r="135" spans="1:25" ht="13.5" customHeight="1">
      <c r="A135" s="1590">
        <v>43525</v>
      </c>
      <c r="B135" s="1579">
        <v>145.95126332419801</v>
      </c>
      <c r="C135" s="1591">
        <v>3.0602107859999998</v>
      </c>
      <c r="D135" s="1578">
        <v>115.6738328</v>
      </c>
      <c r="E135" s="1591">
        <v>2.4253733930000001</v>
      </c>
      <c r="F135" s="1676">
        <v>1.2110972209999999</v>
      </c>
      <c r="G135" s="1591">
        <v>2.5393496000000002E-2</v>
      </c>
      <c r="H135" s="809" t="s">
        <v>48</v>
      </c>
      <c r="I135" s="1594" t="s">
        <v>48</v>
      </c>
      <c r="J135" s="1708" t="s">
        <v>513</v>
      </c>
      <c r="K135" s="1591" t="s">
        <v>265</v>
      </c>
      <c r="L135" s="770"/>
      <c r="W135" s="770"/>
    </row>
    <row r="136" spans="1:25" ht="13.5" customHeight="1">
      <c r="A136" s="776">
        <v>43617</v>
      </c>
      <c r="B136" s="738">
        <v>155.71275152433299</v>
      </c>
      <c r="C136" s="762">
        <v>3.1254402290000001</v>
      </c>
      <c r="D136" s="757">
        <v>123.53195650000001</v>
      </c>
      <c r="E136" s="762">
        <v>2.4795127099999998</v>
      </c>
      <c r="F136">
        <v>1.2872318</v>
      </c>
      <c r="G136" s="762">
        <v>2.5837101000000001E-2</v>
      </c>
      <c r="H136" s="809" t="s">
        <v>48</v>
      </c>
      <c r="I136" s="736" t="s">
        <v>48</v>
      </c>
      <c r="J136" s="758" t="s">
        <v>513</v>
      </c>
      <c r="K136" s="762" t="s">
        <v>265</v>
      </c>
      <c r="L136" s="770"/>
      <c r="W136" s="770"/>
    </row>
    <row r="137" spans="1:25" ht="13.5" customHeight="1">
      <c r="A137" s="776">
        <v>43709</v>
      </c>
      <c r="B137" s="738">
        <v>156.36967925131901</v>
      </c>
      <c r="C137" s="762">
        <v>3.128007658</v>
      </c>
      <c r="D137" s="757">
        <v>123.77022289999999</v>
      </c>
      <c r="E137" s="762">
        <v>2.4758905109999998</v>
      </c>
      <c r="F137">
        <v>1.303978254</v>
      </c>
      <c r="G137" s="762">
        <v>2.6084685999999999E-2</v>
      </c>
      <c r="H137" s="809" t="s">
        <v>48</v>
      </c>
      <c r="I137" s="736" t="s">
        <v>48</v>
      </c>
      <c r="J137" s="758" t="s">
        <v>513</v>
      </c>
      <c r="K137" s="762" t="s">
        <v>265</v>
      </c>
      <c r="L137" s="770"/>
      <c r="W137" s="770"/>
    </row>
    <row r="138" spans="1:25" ht="13.5" customHeight="1">
      <c r="A138" s="777">
        <v>43800</v>
      </c>
      <c r="B138" s="471">
        <v>144.40933776587099</v>
      </c>
      <c r="C138" s="763">
        <v>3.1713028099999998</v>
      </c>
      <c r="D138" s="759">
        <v>114.13129979999999</v>
      </c>
      <c r="E138" s="763">
        <v>2.506381631</v>
      </c>
      <c r="F138" s="754">
        <v>1.2111215200000001</v>
      </c>
      <c r="G138" s="763">
        <v>2.6596847E-2</v>
      </c>
      <c r="H138" s="810" t="s">
        <v>48</v>
      </c>
      <c r="I138" s="737" t="s">
        <v>48</v>
      </c>
      <c r="J138" s="761" t="s">
        <v>513</v>
      </c>
      <c r="K138" s="763" t="s">
        <v>265</v>
      </c>
      <c r="L138" s="770"/>
      <c r="W138" s="770"/>
    </row>
    <row r="139" spans="1:25" ht="13.5" customHeight="1">
      <c r="A139" s="1580"/>
      <c r="B139" s="1709">
        <f>SUM(B115:B138)</f>
        <v>4241.9087605770119</v>
      </c>
      <c r="C139" s="1580"/>
      <c r="D139" s="1710">
        <f>SUM(D115:D138)</f>
        <v>4233.5660310459998</v>
      </c>
      <c r="E139" s="1582"/>
      <c r="F139" s="1710">
        <f>SUM(F115:F138)</f>
        <v>5.0658380560000005</v>
      </c>
      <c r="G139" s="1582"/>
      <c r="H139" s="1710">
        <f>SUM(H115:H134)</f>
        <v>2.8729305000000004E-2</v>
      </c>
      <c r="I139" s="1582"/>
      <c r="J139" s="1582"/>
      <c r="K139" s="1581"/>
      <c r="L139" s="770"/>
      <c r="W139" s="770"/>
    </row>
    <row r="140" spans="1:25" ht="13.5" customHeight="1">
      <c r="I140" s="625"/>
      <c r="J140" s="625"/>
      <c r="K140" s="625"/>
      <c r="L140" s="770"/>
      <c r="W140" s="770"/>
    </row>
    <row r="141" spans="1:25" ht="13.5" customHeight="1">
      <c r="A141" s="1704" t="s">
        <v>574</v>
      </c>
      <c r="B141" s="1704" t="s">
        <v>547</v>
      </c>
      <c r="C141" s="1704" t="s">
        <v>575</v>
      </c>
      <c r="D141" s="1704" t="s">
        <v>448</v>
      </c>
      <c r="E141" s="1595" t="s">
        <v>576</v>
      </c>
      <c r="F141" s="1704" t="s">
        <v>449</v>
      </c>
      <c r="G141" s="1595" t="s">
        <v>185</v>
      </c>
      <c r="H141" s="1704" t="s">
        <v>548</v>
      </c>
      <c r="I141" s="1595" t="s">
        <v>187</v>
      </c>
      <c r="J141" s="1704" t="s">
        <v>40</v>
      </c>
      <c r="K141" s="1704" t="s">
        <v>577</v>
      </c>
      <c r="L141" s="770"/>
      <c r="W141" s="770"/>
    </row>
    <row r="142" spans="1:25" ht="13.5" customHeight="1">
      <c r="A142" s="1596">
        <v>43891</v>
      </c>
      <c r="B142" s="1579">
        <v>470.18825812743199</v>
      </c>
      <c r="C142" s="1711">
        <v>51.856574019999996</v>
      </c>
      <c r="D142" s="1579">
        <v>469.74106920000003</v>
      </c>
      <c r="E142" s="1591">
        <v>51.807254020000002</v>
      </c>
      <c r="F142" s="1676">
        <v>8.1603820000000007E-3</v>
      </c>
      <c r="G142" s="1591">
        <v>8.1603820000000007E-3</v>
      </c>
      <c r="H142" s="1579">
        <v>8.1603800000000005E-4</v>
      </c>
      <c r="I142" s="1591">
        <v>8.1603800000000005E-4</v>
      </c>
      <c r="J142" s="1711" t="s">
        <v>95</v>
      </c>
      <c r="K142" s="1591" t="s">
        <v>265</v>
      </c>
      <c r="L142" s="770"/>
      <c r="W142" s="770"/>
    </row>
    <row r="143" spans="1:25" ht="13.5" customHeight="1">
      <c r="A143" s="780">
        <v>43983</v>
      </c>
      <c r="B143" s="738">
        <v>606.41976063445804</v>
      </c>
      <c r="C143" s="625">
        <v>51.856574019999996</v>
      </c>
      <c r="D143" s="738">
        <v>605.84300399999995</v>
      </c>
      <c r="E143" s="762">
        <v>51.807254020000002</v>
      </c>
      <c r="F143">
        <v>1.0524756E-2</v>
      </c>
      <c r="G143" s="762">
        <v>1.0524756E-2</v>
      </c>
      <c r="H143" s="738">
        <v>1.0524760000000001E-3</v>
      </c>
      <c r="I143" s="762">
        <v>1.0524760000000001E-3</v>
      </c>
      <c r="J143" s="625" t="s">
        <v>95</v>
      </c>
      <c r="K143" s="762" t="s">
        <v>265</v>
      </c>
      <c r="L143" s="770"/>
      <c r="W143" s="770"/>
    </row>
    <row r="144" spans="1:25" ht="13.5" customHeight="1">
      <c r="A144" s="780">
        <v>44075</v>
      </c>
      <c r="B144" s="738">
        <v>684.694166760092</v>
      </c>
      <c r="C144" s="625">
        <v>51.856574019999996</v>
      </c>
      <c r="D144" s="738">
        <v>684.04296450000004</v>
      </c>
      <c r="E144" s="762">
        <v>51.807254020000002</v>
      </c>
      <c r="F144">
        <v>1.1883252E-2</v>
      </c>
      <c r="G144" s="762">
        <v>1.1883252E-2</v>
      </c>
      <c r="H144" s="738">
        <v>1.1883250000000001E-3</v>
      </c>
      <c r="I144" s="762">
        <v>1.1883250000000001E-3</v>
      </c>
      <c r="J144" s="625" t="s">
        <v>95</v>
      </c>
      <c r="K144" s="762" t="s">
        <v>265</v>
      </c>
      <c r="L144" s="770"/>
      <c r="W144" s="770"/>
    </row>
    <row r="145" spans="1:23" ht="13.5" customHeight="1">
      <c r="A145" s="781">
        <v>44166</v>
      </c>
      <c r="B145" s="471">
        <v>374.49346149441698</v>
      </c>
      <c r="C145" s="760">
        <v>51.856574019999996</v>
      </c>
      <c r="D145" s="471">
        <v>374.13728650000002</v>
      </c>
      <c r="E145" s="763">
        <v>51.807254020000002</v>
      </c>
      <c r="F145" s="754">
        <v>6.4995449999999998E-3</v>
      </c>
      <c r="G145" s="763">
        <v>6.4995449999999998E-3</v>
      </c>
      <c r="H145" s="471">
        <v>6.49954E-4</v>
      </c>
      <c r="I145" s="763">
        <v>6.49954E-4</v>
      </c>
      <c r="J145" s="760" t="s">
        <v>95</v>
      </c>
      <c r="K145" s="763" t="s">
        <v>265</v>
      </c>
      <c r="L145" s="770"/>
      <c r="W145" s="770"/>
    </row>
    <row r="146" spans="1:23" ht="13.5" customHeight="1">
      <c r="A146" s="780">
        <v>43891</v>
      </c>
      <c r="B146" s="738">
        <v>450.83730467585201</v>
      </c>
      <c r="C146" s="625">
        <v>93.271772530000007</v>
      </c>
      <c r="D146" s="738">
        <v>448.66992390000001</v>
      </c>
      <c r="E146" s="762">
        <v>92.82337253</v>
      </c>
      <c r="F146">
        <v>4.5919079999999996E-3</v>
      </c>
      <c r="G146" s="762">
        <v>9.5E-4</v>
      </c>
      <c r="H146" s="738">
        <v>6.8878630000000001E-3</v>
      </c>
      <c r="I146" s="762">
        <v>1.4250000000000001E-3</v>
      </c>
      <c r="J146" s="625" t="s">
        <v>267</v>
      </c>
      <c r="K146" s="762" t="s">
        <v>265</v>
      </c>
      <c r="L146" s="770"/>
      <c r="W146" s="770"/>
    </row>
    <row r="147" spans="1:23" ht="13.5" customHeight="1">
      <c r="A147" s="780">
        <v>43983</v>
      </c>
      <c r="B147" s="738">
        <v>302.15200496113198</v>
      </c>
      <c r="C147" s="625">
        <v>93.271772530000007</v>
      </c>
      <c r="D147" s="738">
        <v>300.69942229999998</v>
      </c>
      <c r="E147" s="762">
        <v>92.82337253</v>
      </c>
      <c r="F147">
        <v>3.0775059999999998E-3</v>
      </c>
      <c r="G147" s="762">
        <v>9.5E-4</v>
      </c>
      <c r="H147" s="738">
        <v>4.6162579999999998E-3</v>
      </c>
      <c r="I147" s="762">
        <v>1.4250000000000001E-3</v>
      </c>
      <c r="J147" s="625" t="s">
        <v>267</v>
      </c>
      <c r="K147" s="762" t="s">
        <v>265</v>
      </c>
      <c r="L147" s="770"/>
      <c r="W147" s="770"/>
    </row>
    <row r="148" spans="1:23" ht="13.5" customHeight="1">
      <c r="A148" s="780">
        <v>44075</v>
      </c>
      <c r="B148" s="738">
        <v>654.64384718413498</v>
      </c>
      <c r="C148" s="625">
        <v>93.271772530000007</v>
      </c>
      <c r="D148" s="738">
        <v>651.49667529999999</v>
      </c>
      <c r="E148" s="762">
        <v>92.82337253</v>
      </c>
      <c r="F148">
        <v>6.667737E-3</v>
      </c>
      <c r="G148" s="762">
        <v>9.5E-4</v>
      </c>
      <c r="H148" s="738">
        <v>1.0001606E-2</v>
      </c>
      <c r="I148" s="762">
        <v>1.4250000000000001E-3</v>
      </c>
      <c r="J148" s="625" t="s">
        <v>267</v>
      </c>
      <c r="K148" s="762" t="s">
        <v>265</v>
      </c>
      <c r="L148" s="770"/>
      <c r="W148" s="770"/>
    </row>
    <row r="149" spans="1:23" ht="13.5" customHeight="1">
      <c r="A149" s="780">
        <v>44166</v>
      </c>
      <c r="B149" s="738">
        <v>410.41995956579598</v>
      </c>
      <c r="C149" s="625">
        <v>93.271772530000007</v>
      </c>
      <c r="D149" s="738">
        <v>408.44688339999999</v>
      </c>
      <c r="E149" s="762">
        <v>92.82337253</v>
      </c>
      <c r="F149">
        <v>4.1802460000000003E-3</v>
      </c>
      <c r="G149" s="762">
        <v>9.5E-4</v>
      </c>
      <c r="H149" s="738">
        <v>6.2703689999999996E-3</v>
      </c>
      <c r="I149" s="762">
        <v>1.4250000000000001E-3</v>
      </c>
      <c r="J149" s="625" t="s">
        <v>267</v>
      </c>
      <c r="K149" s="762" t="s">
        <v>265</v>
      </c>
      <c r="L149" s="770"/>
      <c r="W149" s="770"/>
    </row>
    <row r="150" spans="1:23" ht="13.5" customHeight="1">
      <c r="A150" s="1596">
        <v>43891</v>
      </c>
      <c r="B150" s="1579">
        <v>0.327248763203077</v>
      </c>
      <c r="C150" s="1711">
        <v>69.636318930000002</v>
      </c>
      <c r="D150" s="1579">
        <v>0.32635007399999999</v>
      </c>
      <c r="E150" s="1591">
        <v>69.445083929999996</v>
      </c>
      <c r="F150" s="1676">
        <v>4.0199999999999996E-6</v>
      </c>
      <c r="G150" s="1591">
        <v>8.5499999999999997E-4</v>
      </c>
      <c r="H150" s="1579">
        <v>2.6800000000000002E-6</v>
      </c>
      <c r="I150" s="1591">
        <v>5.6999999999999998E-4</v>
      </c>
      <c r="J150" s="1711" t="s">
        <v>90</v>
      </c>
      <c r="K150" s="1591" t="s">
        <v>265</v>
      </c>
      <c r="L150" s="770"/>
      <c r="W150" s="770"/>
    </row>
    <row r="151" spans="1:23" ht="13.5" customHeight="1">
      <c r="A151" s="780">
        <v>43983</v>
      </c>
      <c r="B151" s="738">
        <v>2.42168093546691</v>
      </c>
      <c r="C151" s="625">
        <v>69.636318930000002</v>
      </c>
      <c r="D151" s="738">
        <v>2.4150305240000001</v>
      </c>
      <c r="E151" s="762">
        <v>69.445083929999996</v>
      </c>
      <c r="F151">
        <v>2.97E-5</v>
      </c>
      <c r="G151" s="762">
        <v>8.5499999999999997E-4</v>
      </c>
      <c r="H151" s="738">
        <v>1.98E-5</v>
      </c>
      <c r="I151" s="762">
        <v>5.6999999999999998E-4</v>
      </c>
      <c r="J151" s="625" t="s">
        <v>90</v>
      </c>
      <c r="K151" s="762" t="s">
        <v>265</v>
      </c>
      <c r="L151" s="770"/>
      <c r="W151" s="770"/>
    </row>
    <row r="152" spans="1:23" ht="13.5" customHeight="1">
      <c r="A152" s="780">
        <v>44075</v>
      </c>
      <c r="B152" s="738">
        <v>95.717025592668193</v>
      </c>
      <c r="C152" s="625">
        <v>69.636318930000002</v>
      </c>
      <c r="D152" s="738">
        <v>95.454167850000005</v>
      </c>
      <c r="E152" s="762">
        <v>69.445083929999996</v>
      </c>
      <c r="F152">
        <v>1.1752209999999999E-3</v>
      </c>
      <c r="G152" s="762">
        <v>8.5499999999999997E-4</v>
      </c>
      <c r="H152" s="738">
        <v>7.8348100000000004E-4</v>
      </c>
      <c r="I152" s="762">
        <v>5.6999999999999998E-4</v>
      </c>
      <c r="J152" s="625" t="s">
        <v>90</v>
      </c>
      <c r="K152" s="762" t="s">
        <v>265</v>
      </c>
      <c r="L152" s="770"/>
      <c r="W152" s="770"/>
    </row>
    <row r="153" spans="1:23" ht="13.5" customHeight="1">
      <c r="A153" s="781">
        <v>44166</v>
      </c>
      <c r="B153" s="471">
        <v>0.98501109579838897</v>
      </c>
      <c r="C153" s="760">
        <v>69.636318930000002</v>
      </c>
      <c r="D153" s="471">
        <v>0.98230606200000004</v>
      </c>
      <c r="E153" s="763">
        <v>69.445083929999996</v>
      </c>
      <c r="F153" s="754">
        <v>1.2099999999999999E-5</v>
      </c>
      <c r="G153" s="763">
        <v>8.5499999999999997E-4</v>
      </c>
      <c r="H153" s="471">
        <v>8.0600000000000008E-6</v>
      </c>
      <c r="I153" s="763">
        <v>5.6999999999999998E-4</v>
      </c>
      <c r="J153" s="760" t="s">
        <v>90</v>
      </c>
      <c r="K153" s="763" t="s">
        <v>265</v>
      </c>
      <c r="L153" s="770"/>
      <c r="W153" s="770"/>
    </row>
    <row r="154" spans="1:23" ht="13.5" customHeight="1">
      <c r="A154" s="780">
        <v>43891</v>
      </c>
      <c r="B154" s="738">
        <v>0</v>
      </c>
      <c r="C154" s="625">
        <v>73.574931140000004</v>
      </c>
      <c r="D154" s="738">
        <v>0</v>
      </c>
      <c r="E154" s="762">
        <v>73.333821139999998</v>
      </c>
      <c r="F154">
        <v>0</v>
      </c>
      <c r="G154" s="762">
        <v>2.8500000000000001E-3</v>
      </c>
      <c r="H154" s="738">
        <v>0</v>
      </c>
      <c r="I154" s="762">
        <v>5.6999999999999998E-4</v>
      </c>
      <c r="J154" s="625" t="s">
        <v>578</v>
      </c>
      <c r="K154" s="762" t="s">
        <v>265</v>
      </c>
      <c r="L154" s="770"/>
      <c r="W154" s="770"/>
    </row>
    <row r="155" spans="1:23" ht="13.5" customHeight="1">
      <c r="A155" s="780">
        <v>43983</v>
      </c>
      <c r="B155" s="738">
        <v>0</v>
      </c>
      <c r="C155" s="625">
        <v>73.574931140000004</v>
      </c>
      <c r="D155" s="738">
        <v>0</v>
      </c>
      <c r="E155" s="762">
        <v>73.333821139999998</v>
      </c>
      <c r="F155">
        <v>0</v>
      </c>
      <c r="G155" s="762">
        <v>2.8500000000000001E-3</v>
      </c>
      <c r="H155" s="738">
        <v>0</v>
      </c>
      <c r="I155" s="762">
        <v>5.6999999999999998E-4</v>
      </c>
      <c r="J155" s="625" t="s">
        <v>578</v>
      </c>
      <c r="K155" s="762" t="s">
        <v>265</v>
      </c>
      <c r="L155" s="770"/>
      <c r="W155" s="770"/>
    </row>
    <row r="156" spans="1:23" ht="13.5" customHeight="1">
      <c r="A156" s="780">
        <v>44075</v>
      </c>
      <c r="B156" s="738">
        <v>0</v>
      </c>
      <c r="C156" s="625">
        <v>73.574931140000004</v>
      </c>
      <c r="D156" s="738">
        <v>0</v>
      </c>
      <c r="E156" s="762">
        <v>73.333821139999998</v>
      </c>
      <c r="F156">
        <v>0</v>
      </c>
      <c r="G156" s="762">
        <v>2.8500000000000001E-3</v>
      </c>
      <c r="H156" s="738">
        <v>0</v>
      </c>
      <c r="I156" s="762">
        <v>5.6999999999999998E-4</v>
      </c>
      <c r="J156" s="625" t="s">
        <v>578</v>
      </c>
      <c r="K156" s="762" t="s">
        <v>265</v>
      </c>
      <c r="L156" s="770"/>
      <c r="W156" s="770"/>
    </row>
    <row r="157" spans="1:23" ht="13.5" customHeight="1">
      <c r="A157" s="780">
        <v>44166</v>
      </c>
      <c r="B157" s="738">
        <v>0</v>
      </c>
      <c r="C157" s="625">
        <v>73.574931140000004</v>
      </c>
      <c r="D157" s="738">
        <v>0</v>
      </c>
      <c r="E157" s="762">
        <v>73.333821139999998</v>
      </c>
      <c r="F157">
        <v>0</v>
      </c>
      <c r="G157" s="762">
        <v>2.8500000000000001E-3</v>
      </c>
      <c r="H157" s="738">
        <v>0</v>
      </c>
      <c r="I157" s="762">
        <v>5.6999999999999998E-4</v>
      </c>
      <c r="J157" s="625" t="s">
        <v>578</v>
      </c>
      <c r="K157" s="762" t="s">
        <v>265</v>
      </c>
      <c r="L157" s="770"/>
      <c r="W157" s="770"/>
    </row>
    <row r="158" spans="1:23" ht="13.5" customHeight="1">
      <c r="A158" s="1596">
        <v>43891</v>
      </c>
      <c r="B158" s="1579">
        <v>3.07534153696125E-2</v>
      </c>
      <c r="C158" s="1711">
        <v>4.9320000000000003E-2</v>
      </c>
      <c r="D158" s="1579">
        <v>30.65988308</v>
      </c>
      <c r="E158" s="1591">
        <v>49.17</v>
      </c>
      <c r="F158" s="1676">
        <v>5.6119399999999999E-4</v>
      </c>
      <c r="G158" s="1593">
        <v>8.9999999999999998E-4</v>
      </c>
      <c r="H158" s="1579">
        <v>5.6100000000000002E-5</v>
      </c>
      <c r="I158" s="1593">
        <v>9.0000000000000006E-5</v>
      </c>
      <c r="J158" s="1711" t="s">
        <v>579</v>
      </c>
      <c r="K158" s="1591" t="s">
        <v>265</v>
      </c>
      <c r="L158" s="770"/>
      <c r="W158" s="770"/>
    </row>
    <row r="159" spans="1:23" ht="13.5" customHeight="1">
      <c r="A159" s="780">
        <v>43983</v>
      </c>
      <c r="B159" s="738">
        <v>3.3397613198427399E-2</v>
      </c>
      <c r="C159" s="625">
        <v>4.9320000000000003E-2</v>
      </c>
      <c r="D159" s="738">
        <v>33.296038950000003</v>
      </c>
      <c r="E159" s="762">
        <v>49.17</v>
      </c>
      <c r="F159">
        <v>6.0944500000000002E-4</v>
      </c>
      <c r="G159" s="778">
        <v>8.9999999999999998E-4</v>
      </c>
      <c r="H159" s="738">
        <v>6.0900000000000003E-5</v>
      </c>
      <c r="I159" s="778">
        <v>9.0000000000000006E-5</v>
      </c>
      <c r="J159" s="625" t="s">
        <v>579</v>
      </c>
      <c r="K159" s="762" t="s">
        <v>265</v>
      </c>
      <c r="L159" s="770"/>
      <c r="W159" s="770"/>
    </row>
    <row r="160" spans="1:23" ht="13.5" customHeight="1">
      <c r="A160" s="780">
        <v>44075</v>
      </c>
      <c r="B160" s="738">
        <v>3.4152903636567297E-2</v>
      </c>
      <c r="C160" s="625">
        <v>4.9320000000000003E-2</v>
      </c>
      <c r="D160" s="738">
        <v>34.049032279999999</v>
      </c>
      <c r="E160" s="762">
        <v>49.17</v>
      </c>
      <c r="F160">
        <v>6.2322799999999998E-4</v>
      </c>
      <c r="G160" s="778">
        <v>8.9999999999999998E-4</v>
      </c>
      <c r="H160" s="738">
        <v>6.2299999999999996E-5</v>
      </c>
      <c r="I160" s="778">
        <v>9.0000000000000006E-5</v>
      </c>
      <c r="J160" s="625" t="s">
        <v>579</v>
      </c>
      <c r="K160" s="762" t="s">
        <v>265</v>
      </c>
      <c r="L160" s="770"/>
      <c r="W160" s="770"/>
    </row>
    <row r="161" spans="1:23" ht="13.5" customHeight="1">
      <c r="A161" s="781">
        <v>44166</v>
      </c>
      <c r="B161" s="471">
        <v>3.3998579999885703E-2</v>
      </c>
      <c r="C161" s="760">
        <v>4.9320000000000003E-2</v>
      </c>
      <c r="D161" s="471">
        <v>33.895177990000001</v>
      </c>
      <c r="E161" s="763">
        <v>49.17</v>
      </c>
      <c r="F161" s="754">
        <v>6.2041199999999998E-4</v>
      </c>
      <c r="G161" s="779">
        <v>8.9999999999999998E-4</v>
      </c>
      <c r="H161" s="471">
        <v>6.2000000000000003E-5</v>
      </c>
      <c r="I161" s="779">
        <v>9.0000000000000006E-5</v>
      </c>
      <c r="J161" s="760" t="s">
        <v>579</v>
      </c>
      <c r="K161" s="763" t="s">
        <v>265</v>
      </c>
      <c r="L161" s="770"/>
      <c r="W161" s="770"/>
    </row>
    <row r="162" spans="1:23" ht="13.5" customHeight="1">
      <c r="A162" s="780">
        <v>43891</v>
      </c>
      <c r="B162" s="738">
        <v>143.56369713317599</v>
      </c>
      <c r="C162" s="625">
        <v>2.946387402</v>
      </c>
      <c r="D162">
        <v>113.3500384</v>
      </c>
      <c r="E162" s="762">
        <v>2.3263062450000001</v>
      </c>
      <c r="F162">
        <v>1.20854635</v>
      </c>
      <c r="G162" s="625">
        <v>2.4803246000000001E-2</v>
      </c>
      <c r="H162" s="809" t="s">
        <v>48</v>
      </c>
      <c r="I162" s="736" t="s">
        <v>48</v>
      </c>
      <c r="J162" s="625" t="s">
        <v>513</v>
      </c>
      <c r="K162" s="762" t="s">
        <v>265</v>
      </c>
      <c r="L162" s="770"/>
      <c r="W162" s="770"/>
    </row>
    <row r="163" spans="1:23" ht="13.5" customHeight="1">
      <c r="A163" s="780">
        <v>43983</v>
      </c>
      <c r="B163" s="738">
        <v>147.38469785095</v>
      </c>
      <c r="C163" s="625">
        <v>3.0290705849999999</v>
      </c>
      <c r="D163">
        <v>116.1177825</v>
      </c>
      <c r="E163" s="762">
        <v>2.3864686389999998</v>
      </c>
      <c r="F163">
        <v>1.2506766149999999</v>
      </c>
      <c r="G163" s="625">
        <v>2.5704078000000002E-2</v>
      </c>
      <c r="H163" s="809" t="s">
        <v>48</v>
      </c>
      <c r="I163" s="736" t="s">
        <v>48</v>
      </c>
      <c r="J163" s="625" t="s">
        <v>513</v>
      </c>
      <c r="K163" s="762" t="s">
        <v>265</v>
      </c>
      <c r="L163" s="770"/>
      <c r="W163" s="770"/>
    </row>
    <row r="164" spans="1:23" ht="13.5" customHeight="1">
      <c r="A164" s="780">
        <v>44075</v>
      </c>
      <c r="B164" s="738">
        <v>134.946424775461</v>
      </c>
      <c r="C164" s="625">
        <v>2.7758738759999999</v>
      </c>
      <c r="D164">
        <v>108.1234453</v>
      </c>
      <c r="E164" s="762">
        <v>2.224120037</v>
      </c>
      <c r="F164">
        <v>1.072919178</v>
      </c>
      <c r="G164" s="625">
        <v>2.2070154000000002E-2</v>
      </c>
      <c r="H164" s="809" t="s">
        <v>48</v>
      </c>
      <c r="I164" s="736" t="s">
        <v>48</v>
      </c>
      <c r="J164" s="625" t="s">
        <v>513</v>
      </c>
      <c r="K164" s="762" t="s">
        <v>265</v>
      </c>
      <c r="L164" s="770"/>
      <c r="W164" s="770"/>
    </row>
    <row r="165" spans="1:23" ht="13.5" customHeight="1">
      <c r="A165" s="781">
        <v>44166</v>
      </c>
      <c r="B165" s="471">
        <v>142.146418355702</v>
      </c>
      <c r="C165" s="625">
        <v>3.029257275</v>
      </c>
      <c r="D165">
        <v>112.094478</v>
      </c>
      <c r="E165" s="762">
        <v>2.388825669</v>
      </c>
      <c r="F165">
        <v>1.2020776150000001</v>
      </c>
      <c r="G165" s="625">
        <v>2.5617264000000001E-2</v>
      </c>
      <c r="H165" s="809" t="s">
        <v>48</v>
      </c>
      <c r="I165" s="736" t="s">
        <v>48</v>
      </c>
      <c r="J165" s="625" t="s">
        <v>513</v>
      </c>
      <c r="K165" s="762" t="s">
        <v>265</v>
      </c>
      <c r="L165" s="770"/>
      <c r="W165" s="770"/>
    </row>
    <row r="166" spans="1:23" ht="13.5" customHeight="1">
      <c r="A166" s="1580"/>
      <c r="B166" s="1709">
        <f>SUM(B142:B165)</f>
        <v>4621.4732704179432</v>
      </c>
      <c r="C166" s="1580"/>
      <c r="D166" s="1712">
        <f>SUM(D142:D165)</f>
        <v>4623.8409601099993</v>
      </c>
      <c r="E166" s="1582"/>
      <c r="F166" s="1710">
        <f>SUM(F142:F165)</f>
        <v>4.7934404100000005</v>
      </c>
      <c r="G166" s="1582"/>
      <c r="H166" s="1710">
        <f>SUM(H142:H161)</f>
        <v>3.2538210000000005E-2</v>
      </c>
      <c r="I166" s="1582"/>
      <c r="J166" s="1582"/>
      <c r="K166" s="1581"/>
      <c r="L166" s="770"/>
      <c r="W166" s="770"/>
    </row>
    <row r="167" spans="1:23" ht="13.5" customHeight="1">
      <c r="I167" s="625"/>
      <c r="J167" s="625"/>
      <c r="K167" s="625"/>
      <c r="L167" s="770"/>
      <c r="W167" s="770"/>
    </row>
    <row r="168" spans="1:23" ht="13.5" customHeight="1">
      <c r="A168" s="139" t="s">
        <v>580</v>
      </c>
      <c r="B168" s="625"/>
      <c r="C168" s="625"/>
      <c r="D168" s="625"/>
      <c r="F168" s="625"/>
      <c r="G168" s="625"/>
      <c r="H168" s="625"/>
      <c r="I168" s="625"/>
      <c r="J168" s="625"/>
      <c r="L168" s="770"/>
    </row>
    <row r="169" spans="1:23" ht="13.5" customHeight="1">
      <c r="A169" s="771"/>
      <c r="B169" s="1169">
        <v>43525</v>
      </c>
      <c r="C169" s="1169">
        <v>43617</v>
      </c>
      <c r="D169" s="1169">
        <v>43709</v>
      </c>
      <c r="E169" s="1169">
        <v>43800</v>
      </c>
      <c r="F169" s="1169">
        <v>43891</v>
      </c>
      <c r="G169" s="1169">
        <v>43983</v>
      </c>
      <c r="H169" s="1169">
        <v>44075</v>
      </c>
      <c r="I169" s="1169">
        <v>44166</v>
      </c>
      <c r="J169" s="625"/>
      <c r="L169" s="770"/>
    </row>
    <row r="170" spans="1:23" ht="13.5" customHeight="1">
      <c r="A170" s="1170" t="s">
        <v>511</v>
      </c>
      <c r="B170" s="1171">
        <v>10352.576637506207</v>
      </c>
      <c r="C170" s="1171">
        <v>10996.152008225616</v>
      </c>
      <c r="D170" s="1171">
        <v>11755.199618262217</v>
      </c>
      <c r="E170" s="1171">
        <v>10715.741667923292</v>
      </c>
      <c r="F170" s="1171">
        <v>10437.809169886135</v>
      </c>
      <c r="G170" s="1171">
        <v>10410.181352050346</v>
      </c>
      <c r="H170" s="1171">
        <v>11683.103244567517</v>
      </c>
      <c r="I170" s="1171">
        <v>10651.142415019061</v>
      </c>
      <c r="J170" s="625"/>
      <c r="L170" s="770"/>
    </row>
    <row r="171" spans="1:23" ht="13.5" customHeight="1">
      <c r="A171" s="1172" t="s">
        <v>581</v>
      </c>
      <c r="B171" s="1173">
        <v>9420.2973328106054</v>
      </c>
      <c r="C171" s="1173">
        <v>9957.5957854364042</v>
      </c>
      <c r="D171" s="1173">
        <v>10931.068841207307</v>
      </c>
      <c r="E171" s="1173">
        <v>9892.8765019658003</v>
      </c>
      <c r="F171" s="1173">
        <v>9605.3048514198344</v>
      </c>
      <c r="G171" s="1173">
        <v>9421.1110937376779</v>
      </c>
      <c r="H171" s="1173">
        <v>10700.354851561557</v>
      </c>
      <c r="I171" s="1173">
        <v>9863.3029189632671</v>
      </c>
      <c r="J171" s="625"/>
      <c r="L171" s="770"/>
    </row>
    <row r="172" spans="1:23" ht="13.5" customHeight="1">
      <c r="A172" s="771" t="s">
        <v>582</v>
      </c>
      <c r="B172" s="625">
        <f>B115+B119+B123+B127+B131+B135</f>
        <v>1211.0270009856079</v>
      </c>
      <c r="C172">
        <f>B116+B120+B124+B128+B132+B136</f>
        <v>1002.0158281267275</v>
      </c>
      <c r="D172" s="625">
        <f>B117+B121+B125+B129+B133+B137</f>
        <v>1180.5741724173763</v>
      </c>
      <c r="E172">
        <f>B118+B122+B126+B130+B134+B138</f>
        <v>848.29175904730005</v>
      </c>
      <c r="F172" s="625">
        <f>B142+B146+B150+B154+B158+B162</f>
        <v>1064.9472621150326</v>
      </c>
      <c r="G172" s="625">
        <f>B143+B147+B151+B155+B159+B163</f>
        <v>1058.4115419952054</v>
      </c>
      <c r="H172" s="625">
        <f>B144+B148+B152+B156+B160+B164</f>
        <v>1570.0356172159929</v>
      </c>
      <c r="I172" s="625">
        <f>B145+B149+B153+B157+B161+B165</f>
        <v>928.07884909171321</v>
      </c>
      <c r="J172" s="625"/>
      <c r="L172" s="770"/>
    </row>
    <row r="173" spans="1:23" ht="13.5" customHeight="1">
      <c r="A173" s="771" t="s">
        <v>583</v>
      </c>
      <c r="B173" s="625">
        <f>D115+D119+D123+D127+D131+D135</f>
        <v>1208.4661116049999</v>
      </c>
      <c r="C173" s="625">
        <f>D116+D120+D124+D128+D132+D136</f>
        <v>999.85909558999992</v>
      </c>
      <c r="D173" s="625">
        <f>D117+D121+D125+D129+D133+D137</f>
        <v>1177.3887110549999</v>
      </c>
      <c r="E173">
        <f>D118+D122+D126+D130+D134+D138</f>
        <v>847.85211279599991</v>
      </c>
      <c r="F173" s="625">
        <f>D142+D146+D150+D154+D158+D162</f>
        <v>1062.747264654</v>
      </c>
      <c r="G173" s="625">
        <f>D143+D147+D151+D155+D159+D163</f>
        <v>1058.3712782740001</v>
      </c>
      <c r="H173" s="625">
        <f>D144+D148+D152+D156+D160+D164</f>
        <v>1573.1662852299999</v>
      </c>
      <c r="I173" s="625">
        <f>D145+D149+D153+D157+D161+D165</f>
        <v>929.55613195199999</v>
      </c>
      <c r="J173" s="625"/>
      <c r="L173" s="770"/>
    </row>
    <row r="174" spans="1:23" ht="13.5" customHeight="1">
      <c r="A174" s="771" t="s">
        <v>584</v>
      </c>
      <c r="B174" s="625">
        <f>F115+F119+F123+F127+F131+F135</f>
        <v>1.22577136</v>
      </c>
      <c r="C174" s="625">
        <f>F116+F120+F124+F128+F132+F136</f>
        <v>1.2998144330000001</v>
      </c>
      <c r="D174" s="625">
        <f>F117+F121+F125+F129+F133+F137</f>
        <v>1.319011988</v>
      </c>
      <c r="E174">
        <f>F118+F122+F126+F130+F134+F138</f>
        <v>1.221240275</v>
      </c>
      <c r="F174" s="625">
        <f>F142+F146+F150+F154+F158+F162</f>
        <v>1.221863854</v>
      </c>
      <c r="G174" s="625">
        <f>F143+F147+F151+F155+F159+F163</f>
        <v>1.264918022</v>
      </c>
      <c r="H174" s="625">
        <f>F144+F148+F152+F156+F160+F164</f>
        <v>1.093268616</v>
      </c>
      <c r="I174" s="625">
        <f>F145+F149+F153+F157+F161+F165</f>
        <v>1.2133899180000001</v>
      </c>
      <c r="J174" s="625"/>
    </row>
    <row r="175" spans="1:23" ht="13.5" customHeight="1">
      <c r="A175" s="771" t="s">
        <v>585</v>
      </c>
      <c r="B175" s="625">
        <f>H115+H119+H123+H127+H131</f>
        <v>9.5517350000000004E-3</v>
      </c>
      <c r="C175" s="625">
        <f>H116+H120+H124+H128+H132</f>
        <v>5.9545900000000009E-3</v>
      </c>
      <c r="D175" s="625">
        <f>H117+H121+H125+H129+H133</f>
        <v>7.3361850000000003E-3</v>
      </c>
      <c r="E175">
        <f>H118+H122+H126+H130+H134</f>
        <v>5.8867949999999994E-3</v>
      </c>
      <c r="F175" s="625">
        <f>H142+H146+H150+H154+H158</f>
        <v>7.7626809999999996E-3</v>
      </c>
      <c r="G175" s="625">
        <f>H143+H147+H151+H155+H159</f>
        <v>5.7494340000000003E-3</v>
      </c>
      <c r="H175" s="625">
        <f>H144+H148+H152+H156+H160</f>
        <v>1.2035712E-2</v>
      </c>
      <c r="I175" s="625">
        <f>H145+H149+H153+H157+H161</f>
        <v>6.9903830000000002E-3</v>
      </c>
      <c r="J175" s="625"/>
    </row>
    <row r="176" spans="1:23" ht="13.5" customHeight="1">
      <c r="A176" s="771"/>
      <c r="B176" s="625"/>
      <c r="C176" s="625"/>
      <c r="D176" s="625"/>
      <c r="F176" s="625"/>
      <c r="G176" s="625"/>
      <c r="H176" s="625"/>
      <c r="I176" s="625"/>
      <c r="J176" s="625"/>
    </row>
    <row r="177" spans="1:12" ht="13.5" customHeight="1">
      <c r="A177" s="771"/>
      <c r="B177" s="625"/>
      <c r="C177" s="625"/>
      <c r="D177" s="625"/>
      <c r="F177" s="625"/>
      <c r="G177" s="625"/>
      <c r="H177" s="625"/>
      <c r="I177" s="625"/>
      <c r="J177" s="625"/>
    </row>
    <row r="178" spans="1:12" ht="13.5" customHeight="1">
      <c r="A178" s="771"/>
      <c r="B178" s="625"/>
      <c r="C178" s="625"/>
      <c r="D178" s="625"/>
      <c r="F178" s="625"/>
      <c r="G178" s="625"/>
      <c r="H178" s="625"/>
      <c r="I178" s="625"/>
      <c r="J178" s="625"/>
    </row>
    <row r="179" spans="1:12" ht="13.5" customHeight="1">
      <c r="A179" s="771"/>
      <c r="B179" s="625"/>
      <c r="C179" s="625"/>
      <c r="D179" s="625"/>
      <c r="F179" s="625"/>
      <c r="G179" s="625"/>
      <c r="H179" s="625"/>
      <c r="I179" s="625"/>
      <c r="J179" s="625"/>
    </row>
    <row r="180" spans="1:12" ht="13.5" customHeight="1">
      <c r="A180" s="771"/>
      <c r="B180" s="625"/>
      <c r="C180" s="625"/>
      <c r="D180" s="625"/>
      <c r="E180" s="625"/>
      <c r="F180" s="625"/>
      <c r="G180" s="625"/>
      <c r="H180" s="625"/>
      <c r="I180" s="625"/>
      <c r="J180" s="625"/>
      <c r="K180" s="625"/>
    </row>
    <row r="181" spans="1:12" s="70" customFormat="1" ht="15.75" thickBot="1"/>
    <row r="182" spans="1:12" s="752" customFormat="1" ht="30" customHeight="1">
      <c r="A182" s="750" t="s">
        <v>462</v>
      </c>
      <c r="B182" s="751" t="s">
        <v>275</v>
      </c>
    </row>
    <row r="183" spans="1:12" ht="26.25" customHeight="1"/>
    <row r="187" spans="1:12">
      <c r="A187" t="s">
        <v>586</v>
      </c>
      <c r="B187" s="1848" t="s">
        <v>587</v>
      </c>
      <c r="C187" s="1848"/>
      <c r="D187" s="1848"/>
      <c r="E187" s="1848"/>
    </row>
    <row r="188" spans="1:12">
      <c r="A188" s="61" t="s">
        <v>588</v>
      </c>
      <c r="D188">
        <v>2018</v>
      </c>
      <c r="E188">
        <v>2017</v>
      </c>
      <c r="F188">
        <v>2016</v>
      </c>
      <c r="G188">
        <v>2015</v>
      </c>
      <c r="H188">
        <v>2014</v>
      </c>
      <c r="I188">
        <v>2013</v>
      </c>
      <c r="J188">
        <v>2012</v>
      </c>
      <c r="K188">
        <v>2011</v>
      </c>
      <c r="L188">
        <v>2010</v>
      </c>
    </row>
    <row r="189" spans="1:12">
      <c r="A189" t="s">
        <v>589</v>
      </c>
      <c r="C189" s="168"/>
      <c r="D189" s="100">
        <f>G230+H244</f>
        <v>3887.4241416256255</v>
      </c>
      <c r="E189" s="100">
        <f>G255+H270</f>
        <v>4253.9414663232055</v>
      </c>
      <c r="F189" s="187">
        <f>G282+H297</f>
        <v>3717.0463812875878</v>
      </c>
      <c r="G189" s="100">
        <f>G310+H323</f>
        <v>4714.2657368166383</v>
      </c>
      <c r="H189" s="100">
        <f>G334+H347</f>
        <v>4885.7063527852242</v>
      </c>
      <c r="I189" s="100">
        <f>G358+H371</f>
        <v>5792.5305792329164</v>
      </c>
      <c r="J189" s="100">
        <f>G382+H394</f>
        <v>7022.5196190503721</v>
      </c>
      <c r="K189" s="100">
        <f>G407+H419</f>
        <v>5632.5520314682362</v>
      </c>
      <c r="L189" s="100">
        <f>G431+H443</f>
        <v>6149.133642180238</v>
      </c>
    </row>
    <row r="190" spans="1:12">
      <c r="A190" t="s">
        <v>590</v>
      </c>
      <c r="D190" s="100">
        <f>H230+J244</f>
        <v>6.1894843404800799</v>
      </c>
      <c r="E190" s="100">
        <f>H255+J270</f>
        <v>6.91950525929885</v>
      </c>
      <c r="F190" s="187">
        <f>H282+J297</f>
        <v>6.9632781761260203</v>
      </c>
      <c r="G190" s="100">
        <f>H310+J323</f>
        <v>7.11098822284207</v>
      </c>
      <c r="H190" s="100">
        <f>H334+J347</f>
        <v>6.7016703461315501</v>
      </c>
      <c r="I190" s="100">
        <f>H358+J370</f>
        <v>6.1426910160961006</v>
      </c>
      <c r="J190" s="100">
        <f>H382+J394</f>
        <v>5.9239661835589095</v>
      </c>
      <c r="K190" s="100">
        <f>H407+J419</f>
        <v>5.6431332895946298</v>
      </c>
      <c r="L190" s="100">
        <f>H431+J443</f>
        <v>5.5306383240147001</v>
      </c>
    </row>
    <row r="191" spans="1:12">
      <c r="A191" t="s">
        <v>591</v>
      </c>
      <c r="D191" s="100">
        <f>I230</f>
        <v>1.8638370650339998E-2</v>
      </c>
      <c r="E191" s="100">
        <f>I255</f>
        <v>1.352078484434E-2</v>
      </c>
      <c r="F191" s="187">
        <f>I282</f>
        <v>1.1473406327950001E-2</v>
      </c>
      <c r="G191" s="100">
        <f>I310</f>
        <v>2.2244465708350002E-2</v>
      </c>
      <c r="H191" s="100">
        <f>I334</f>
        <v>2.415721047684E-2</v>
      </c>
      <c r="I191" s="100">
        <f>I358</f>
        <v>3.125967797754E-2</v>
      </c>
      <c r="J191" s="100">
        <f>I382</f>
        <v>4.8265682226570003E-2</v>
      </c>
      <c r="K191" s="100">
        <f>I407</f>
        <v>2.9609558412579999E-2</v>
      </c>
      <c r="L191" s="100">
        <f>I431</f>
        <v>2.7067701657659999E-2</v>
      </c>
    </row>
    <row r="192" spans="1:12">
      <c r="A192" t="s">
        <v>592</v>
      </c>
      <c r="B192" s="168"/>
      <c r="C192" s="240"/>
      <c r="D192" s="240">
        <f>K204*10^6</f>
        <v>39916258384.385048</v>
      </c>
      <c r="E192" s="240">
        <f>J204*10^6</f>
        <v>39372584054.704056</v>
      </c>
      <c r="F192" s="187">
        <f>I204*10^6</f>
        <v>39787879107.349396</v>
      </c>
      <c r="G192" s="168">
        <f>H204*10^6</f>
        <v>40447392688.444885</v>
      </c>
      <c r="H192" s="100">
        <f>G204*10^6</f>
        <v>39983030283.748116</v>
      </c>
      <c r="I192" s="240">
        <f>F205*10^6</f>
        <v>39495812580.263519</v>
      </c>
      <c r="J192" s="240">
        <f>E205*10^6</f>
        <v>39880155553.924919</v>
      </c>
      <c r="K192" s="240">
        <f>D205*10^6</f>
        <v>40341601363.011108</v>
      </c>
      <c r="L192" s="240">
        <f>C205*10^6</f>
        <v>40690473008.54911</v>
      </c>
    </row>
    <row r="193" spans="1:12">
      <c r="C193" s="240"/>
      <c r="D193" s="240"/>
      <c r="E193" s="240"/>
      <c r="F193" s="187"/>
    </row>
    <row r="195" spans="1:12">
      <c r="A195" t="s">
        <v>593</v>
      </c>
      <c r="D195" s="168">
        <f>(D189*(10^6))/$D$192</f>
        <v>9.7389492376528899E-2</v>
      </c>
      <c r="E195" s="168">
        <f>(E189*(10^6))/$E$192</f>
        <v>0.10804323791430104</v>
      </c>
      <c r="F195">
        <f>(F189*(10^6))/$F$192</f>
        <v>9.3421576235788742E-2</v>
      </c>
      <c r="G195" s="168">
        <f>(G189*(10^6))/$G$192</f>
        <v>0.11655301920520136</v>
      </c>
      <c r="H195" s="168">
        <f>(H189*(10^6))/H192</f>
        <v>0.12219449896900673</v>
      </c>
      <c r="I195" s="168">
        <f t="shared" ref="I195:L195" si="5">(I189*(10^6))/I192</f>
        <v>0.14666189149701164</v>
      </c>
      <c r="J195" s="168">
        <f t="shared" si="5"/>
        <v>0.17609057741900486</v>
      </c>
      <c r="K195" s="168">
        <f t="shared" si="5"/>
        <v>0.13962142902519178</v>
      </c>
      <c r="L195" s="168">
        <f t="shared" si="5"/>
        <v>0.15111973854145905</v>
      </c>
    </row>
    <row r="196" spans="1:12">
      <c r="A196" t="s">
        <v>594</v>
      </c>
      <c r="D196" s="239">
        <f>(D190*(10^6))/$D$192</f>
        <v>1.5506173652040896E-4</v>
      </c>
      <c r="E196" s="239">
        <f>(E190*(10^6))/$E$192</f>
        <v>1.7574425010268379E-4</v>
      </c>
      <c r="F196" s="161">
        <f>(F190*(10^6))/$F$192</f>
        <v>1.7501003653245246E-4</v>
      </c>
      <c r="G196" s="161">
        <f>(G190*(10^6))/$G$192</f>
        <v>1.7580832162943238E-4</v>
      </c>
      <c r="H196" s="161">
        <f>(H190*(10^6))/H192</f>
        <v>1.6761286722321233E-4</v>
      </c>
      <c r="I196" s="161">
        <f t="shared" ref="I196:L196" si="6">(I190*(10^6))/I192</f>
        <v>1.5552765254830251E-4</v>
      </c>
      <c r="J196" s="161">
        <f t="shared" si="6"/>
        <v>1.485442095517575E-4</v>
      </c>
      <c r="K196" s="161">
        <f t="shared" si="6"/>
        <v>1.3988372050021726E-4</v>
      </c>
      <c r="L196" s="161">
        <f t="shared" si="6"/>
        <v>1.3591973538505455E-4</v>
      </c>
    </row>
    <row r="197" spans="1:12">
      <c r="A197" t="s">
        <v>595</v>
      </c>
      <c r="D197" s="238">
        <f>(D191*(10^6))/$D$192</f>
        <v>4.669368173453651E-7</v>
      </c>
      <c r="E197" s="238">
        <f>(E191*(10^6))/$E$192</f>
        <v>3.4340608240379385E-7</v>
      </c>
      <c r="F197" s="161">
        <f>(F191*(10^6))/$F$192</f>
        <v>2.8836436083949738E-7</v>
      </c>
      <c r="G197" s="161">
        <f>(G191*(10^6))/G192</f>
        <v>5.4996043576140964E-7</v>
      </c>
      <c r="H197" s="161">
        <f t="shared" ref="H197:L197" si="7">(H191*(10^6))/H192</f>
        <v>6.0418658379325409E-7</v>
      </c>
      <c r="I197" s="161">
        <f t="shared" si="7"/>
        <v>7.9146815663088281E-7</v>
      </c>
      <c r="J197" s="161">
        <f t="shared" si="7"/>
        <v>1.2102681535759405E-6</v>
      </c>
      <c r="K197" s="161">
        <f t="shared" si="7"/>
        <v>7.3397082446332345E-7</v>
      </c>
      <c r="L197" s="161">
        <f t="shared" si="7"/>
        <v>6.6520980603919369E-7</v>
      </c>
    </row>
    <row r="198" spans="1:12">
      <c r="B198" s="161"/>
    </row>
    <row r="199" spans="1:12" s="231" customFormat="1">
      <c r="A199" s="231" t="s">
        <v>596</v>
      </c>
    </row>
    <row r="200" spans="1:12" outlineLevel="1"/>
    <row r="201" spans="1:12" outlineLevel="1">
      <c r="A201" t="s">
        <v>597</v>
      </c>
    </row>
    <row r="202" spans="1:12" outlineLevel="1"/>
    <row r="203" spans="1:12" outlineLevel="1">
      <c r="B203" s="233" t="s">
        <v>509</v>
      </c>
      <c r="C203" s="232">
        <v>2010</v>
      </c>
      <c r="D203" s="232">
        <v>2011</v>
      </c>
      <c r="E203" s="232">
        <v>2012</v>
      </c>
      <c r="F203" s="232">
        <v>2013</v>
      </c>
      <c r="G203" s="232">
        <v>2014</v>
      </c>
      <c r="H203" s="232">
        <v>2015</v>
      </c>
      <c r="I203" s="232">
        <v>2016</v>
      </c>
      <c r="J203" s="232">
        <v>2017</v>
      </c>
      <c r="K203" s="232">
        <v>2018</v>
      </c>
      <c r="L203" s="232">
        <v>2019</v>
      </c>
    </row>
    <row r="204" spans="1:12" ht="17.25" outlineLevel="1">
      <c r="B204" s="234" t="s">
        <v>598</v>
      </c>
      <c r="C204" t="s">
        <v>599</v>
      </c>
      <c r="G204" s="235">
        <v>39983.030283748114</v>
      </c>
      <c r="H204" s="235">
        <v>40447.392688444888</v>
      </c>
      <c r="I204" s="235">
        <v>39787.879107349399</v>
      </c>
      <c r="J204" s="235">
        <v>39372.584054704057</v>
      </c>
      <c r="K204" s="235">
        <v>39916.258384385052</v>
      </c>
      <c r="L204" s="235">
        <v>40176.340518651057</v>
      </c>
    </row>
    <row r="205" spans="1:12" ht="17.25" outlineLevel="1">
      <c r="B205" s="236" t="s">
        <v>600</v>
      </c>
      <c r="C205" s="237">
        <v>40690.47300854911</v>
      </c>
      <c r="D205" s="237">
        <v>40341.601363011112</v>
      </c>
      <c r="E205" s="237">
        <v>39880.155553924917</v>
      </c>
      <c r="F205" s="237">
        <v>39495.812580263519</v>
      </c>
      <c r="G205" s="237">
        <v>39862.905749460697</v>
      </c>
      <c r="H205" s="237">
        <v>40422.323202882995</v>
      </c>
      <c r="I205" s="237">
        <v>39780.232205792636</v>
      </c>
      <c r="J205" s="237">
        <v>39586.717765012727</v>
      </c>
      <c r="K205" s="237">
        <v>39687.463457750848</v>
      </c>
      <c r="L205" s="237">
        <v>40278.056409865887</v>
      </c>
    </row>
    <row r="206" spans="1:12" outlineLevel="1">
      <c r="B206" s="443"/>
      <c r="C206" s="442"/>
      <c r="D206" s="442"/>
      <c r="E206" s="442"/>
      <c r="F206" s="442"/>
      <c r="G206" s="442"/>
      <c r="H206" s="442"/>
      <c r="I206" s="442"/>
      <c r="J206" s="442"/>
      <c r="K206" s="442"/>
      <c r="L206" s="442"/>
    </row>
    <row r="207" spans="1:12" outlineLevel="1">
      <c r="A207" s="139" t="s">
        <v>601</v>
      </c>
      <c r="B207" s="61" t="s">
        <v>492</v>
      </c>
      <c r="C207" s="61" t="s">
        <v>70</v>
      </c>
      <c r="D207" s="61">
        <v>2014</v>
      </c>
      <c r="E207" s="61">
        <v>2015</v>
      </c>
      <c r="F207" s="61">
        <v>2016</v>
      </c>
      <c r="G207" s="61">
        <v>2017</v>
      </c>
      <c r="H207" s="61">
        <v>2018</v>
      </c>
      <c r="I207" s="581"/>
      <c r="J207" s="581"/>
    </row>
    <row r="208" spans="1:12" outlineLevel="1">
      <c r="B208" t="s">
        <v>493</v>
      </c>
      <c r="C208" t="s">
        <v>494</v>
      </c>
      <c r="D208" s="436">
        <f>D210/D217</f>
        <v>0.11945853882285175</v>
      </c>
      <c r="E208" s="436">
        <f>E210/E217</f>
        <v>0.11391702430442198</v>
      </c>
      <c r="F208" s="436">
        <f>F210/F217</f>
        <v>9.1460792638804786E-2</v>
      </c>
      <c r="G208" s="436">
        <f>G210/G217</f>
        <v>0.10297209061824107</v>
      </c>
      <c r="H208" s="436">
        <f>H210/H217</f>
        <v>9.8860186816637136E-2</v>
      </c>
    </row>
    <row r="209" spans="1:12" outlineLevel="1">
      <c r="B209" t="s">
        <v>495</v>
      </c>
      <c r="C209" t="s">
        <v>494</v>
      </c>
      <c r="D209" s="436">
        <f>D210/D218</f>
        <v>0.12649926476974416</v>
      </c>
      <c r="E209" s="436">
        <f>E210/E218</f>
        <v>0.12088300400173757</v>
      </c>
      <c r="F209" s="436">
        <f>F210/F218</f>
        <v>9.7864779467619151E-2</v>
      </c>
      <c r="G209" s="436">
        <f>G210/G218</f>
        <v>0.11122099013156402</v>
      </c>
      <c r="H209" s="436">
        <f>H210/H218</f>
        <v>0.10755515092803689</v>
      </c>
    </row>
    <row r="210" spans="1:12" outlineLevel="1">
      <c r="B210" t="s">
        <v>496</v>
      </c>
      <c r="C210" t="s">
        <v>497</v>
      </c>
      <c r="D210">
        <v>5039.46</v>
      </c>
      <c r="E210">
        <v>4878.2299999999996</v>
      </c>
      <c r="F210">
        <v>3875.32</v>
      </c>
      <c r="G210">
        <v>4411</v>
      </c>
      <c r="H210">
        <v>4241.1899999999996</v>
      </c>
    </row>
    <row r="211" spans="1:12" outlineLevel="1">
      <c r="B211" t="s">
        <v>498</v>
      </c>
      <c r="C211" t="s">
        <v>497</v>
      </c>
      <c r="D211">
        <v>4228.05</v>
      </c>
      <c r="E211">
        <v>4026.34</v>
      </c>
      <c r="F211">
        <v>3043.34</v>
      </c>
      <c r="G211">
        <v>3596.23</v>
      </c>
      <c r="H211">
        <v>3495.77</v>
      </c>
    </row>
    <row r="212" spans="1:12" outlineLevel="1">
      <c r="B212" t="s">
        <v>499</v>
      </c>
      <c r="C212" t="s">
        <v>497</v>
      </c>
      <c r="D212">
        <v>0.1</v>
      </c>
      <c r="E212">
        <v>0.11</v>
      </c>
      <c r="F212">
        <v>0.11</v>
      </c>
      <c r="G212">
        <v>0.12</v>
      </c>
      <c r="H212">
        <v>0.12</v>
      </c>
    </row>
    <row r="213" spans="1:12" outlineLevel="1">
      <c r="B213" t="s">
        <v>500</v>
      </c>
      <c r="C213" t="s">
        <v>497</v>
      </c>
      <c r="D213">
        <v>1221.93</v>
      </c>
      <c r="E213">
        <v>1108.8800000000001</v>
      </c>
      <c r="F213">
        <v>447.88</v>
      </c>
      <c r="G213">
        <v>525.20000000000005</v>
      </c>
      <c r="H213">
        <v>928.07</v>
      </c>
    </row>
    <row r="214" spans="1:12" outlineLevel="1">
      <c r="B214" t="s">
        <v>501</v>
      </c>
      <c r="C214" t="s">
        <v>497</v>
      </c>
      <c r="D214">
        <v>3003.84</v>
      </c>
      <c r="E214">
        <v>2915.84</v>
      </c>
      <c r="F214">
        <v>2593.31</v>
      </c>
      <c r="G214">
        <v>3068.04</v>
      </c>
      <c r="H214">
        <v>2562.65</v>
      </c>
    </row>
    <row r="215" spans="1:12" outlineLevel="1">
      <c r="B215" t="s">
        <v>502</v>
      </c>
      <c r="C215" t="s">
        <v>497</v>
      </c>
      <c r="D215">
        <v>811.41</v>
      </c>
      <c r="E215">
        <v>851.9</v>
      </c>
      <c r="F215">
        <v>831.98</v>
      </c>
      <c r="G215">
        <v>814.77</v>
      </c>
      <c r="H215">
        <v>745.42</v>
      </c>
    </row>
    <row r="216" spans="1:12" outlineLevel="1">
      <c r="B216" t="s">
        <v>503</v>
      </c>
      <c r="C216" t="s">
        <v>497</v>
      </c>
      <c r="D216">
        <v>2.17</v>
      </c>
      <c r="E216">
        <v>1.51</v>
      </c>
      <c r="F216">
        <v>2.04</v>
      </c>
      <c r="G216">
        <v>2.86</v>
      </c>
      <c r="H216">
        <v>4.93</v>
      </c>
    </row>
    <row r="217" spans="1:12" outlineLevel="1">
      <c r="B217" t="s">
        <v>504</v>
      </c>
      <c r="C217" t="s">
        <v>473</v>
      </c>
      <c r="D217">
        <v>42185.85</v>
      </c>
      <c r="E217">
        <v>42822.66</v>
      </c>
      <c r="F217">
        <v>42371.38</v>
      </c>
      <c r="G217">
        <v>42836.85</v>
      </c>
      <c r="H217">
        <v>42900.89</v>
      </c>
    </row>
    <row r="218" spans="1:12" outlineLevel="1">
      <c r="B218" t="s">
        <v>505</v>
      </c>
      <c r="C218" t="s">
        <v>473</v>
      </c>
      <c r="D218">
        <v>39837.86</v>
      </c>
      <c r="E218">
        <v>40354.97</v>
      </c>
      <c r="F218">
        <v>39598.720000000001</v>
      </c>
      <c r="G218">
        <v>39659.78</v>
      </c>
      <c r="H218">
        <v>39432.699999999997</v>
      </c>
    </row>
    <row r="219" spans="1:12" outlineLevel="1">
      <c r="B219" s="443"/>
      <c r="C219" s="442"/>
      <c r="D219" s="442"/>
      <c r="E219" s="442"/>
      <c r="F219" s="442"/>
      <c r="G219" s="442"/>
      <c r="H219" s="442"/>
      <c r="I219" s="774"/>
      <c r="J219" s="774"/>
      <c r="K219" s="442"/>
      <c r="L219" s="442"/>
    </row>
    <row r="220" spans="1:12" outlineLevel="1">
      <c r="B220" s="440" t="s">
        <v>459</v>
      </c>
      <c r="C220" t="s">
        <v>494</v>
      </c>
      <c r="D220" s="437">
        <f>D209-D208</f>
        <v>7.0407259468924094E-3</v>
      </c>
      <c r="E220" s="437">
        <f>E209-E208</f>
        <v>6.9659796973155913E-3</v>
      </c>
      <c r="F220" s="437">
        <f>F209-F208</f>
        <v>6.4039868288143648E-3</v>
      </c>
      <c r="G220" s="437">
        <f>G209-G208</f>
        <v>8.2488995133229437E-3</v>
      </c>
      <c r="H220" s="437">
        <f>H209-H208</f>
        <v>8.69496411139975E-3</v>
      </c>
      <c r="K220" s="440"/>
      <c r="L220" s="440"/>
    </row>
    <row r="221" spans="1:12" outlineLevel="1">
      <c r="B221" s="441"/>
      <c r="C221" s="440"/>
      <c r="D221" s="440"/>
      <c r="E221" s="440"/>
      <c r="F221" s="440"/>
      <c r="G221" s="440"/>
      <c r="H221" s="440"/>
      <c r="I221" s="440"/>
      <c r="J221" s="440"/>
      <c r="K221" s="440"/>
      <c r="L221" s="440"/>
    </row>
    <row r="222" spans="1:12" s="231" customFormat="1">
      <c r="A222" s="231" t="s">
        <v>602</v>
      </c>
    </row>
    <row r="223" spans="1:12" outlineLevel="1"/>
    <row r="224" spans="1:12" outlineLevel="1">
      <c r="A224" t="s">
        <v>603</v>
      </c>
    </row>
    <row r="225" spans="1:11" outlineLevel="1"/>
    <row r="226" spans="1:11" outlineLevel="1">
      <c r="A226" s="1932" t="s">
        <v>604</v>
      </c>
      <c r="B226" s="1916" t="s">
        <v>605</v>
      </c>
      <c r="C226" s="1918"/>
      <c r="D226" s="1916" t="s">
        <v>606</v>
      </c>
      <c r="E226" s="1917"/>
      <c r="F226" s="1918"/>
      <c r="G226" s="1916" t="s">
        <v>607</v>
      </c>
      <c r="H226" s="1917"/>
      <c r="I226" s="1917"/>
      <c r="J226" s="1918"/>
    </row>
    <row r="227" spans="1:11" outlineLevel="1">
      <c r="A227" s="1933"/>
      <c r="B227" s="1935" t="s">
        <v>608</v>
      </c>
      <c r="C227" s="1936"/>
      <c r="D227" s="1939" t="s">
        <v>609</v>
      </c>
      <c r="E227" s="1935" t="s">
        <v>610</v>
      </c>
      <c r="F227" s="1936" t="s">
        <v>611</v>
      </c>
      <c r="G227" s="1939" t="s">
        <v>612</v>
      </c>
      <c r="H227" s="1939" t="s">
        <v>610</v>
      </c>
      <c r="I227" s="1939" t="s">
        <v>611</v>
      </c>
      <c r="J227" s="1597" t="s">
        <v>613</v>
      </c>
    </row>
    <row r="228" spans="1:11" outlineLevel="1">
      <c r="A228" s="1933"/>
      <c r="B228" s="1937"/>
      <c r="C228" s="1938"/>
      <c r="D228" s="1940"/>
      <c r="E228" s="1937"/>
      <c r="F228" s="1938"/>
      <c r="G228" s="1940"/>
      <c r="H228" s="1940"/>
      <c r="I228" s="1940"/>
      <c r="J228" s="1597" t="s">
        <v>614</v>
      </c>
    </row>
    <row r="229" spans="1:11" ht="15.75" outlineLevel="1" thickBot="1">
      <c r="A229" s="1934"/>
      <c r="B229" s="1557" t="s">
        <v>615</v>
      </c>
      <c r="C229" s="242" t="s">
        <v>616</v>
      </c>
      <c r="D229" s="242" t="s">
        <v>617</v>
      </c>
      <c r="E229" s="1922" t="s">
        <v>618</v>
      </c>
      <c r="F229" s="1924"/>
      <c r="G229" s="1922" t="s">
        <v>619</v>
      </c>
      <c r="H229" s="1923"/>
      <c r="I229" s="1923"/>
      <c r="J229" s="1924"/>
    </row>
    <row r="230" spans="1:11" ht="15.75" outlineLevel="1" thickTop="1">
      <c r="A230" s="1598" t="s">
        <v>620</v>
      </c>
      <c r="B230" s="1713">
        <v>56967.288617890408</v>
      </c>
      <c r="C230" s="1713" t="s">
        <v>621</v>
      </c>
      <c r="D230" s="1714" t="s">
        <v>622</v>
      </c>
      <c r="E230" s="1714" t="s">
        <v>622</v>
      </c>
      <c r="F230" s="1714" t="s">
        <v>622</v>
      </c>
      <c r="G230" s="1713">
        <v>3303.9843473472024</v>
      </c>
      <c r="H230" s="1713">
        <v>5.1768882610600003E-2</v>
      </c>
      <c r="I230" s="1713">
        <v>1.8638370650339998E-2</v>
      </c>
      <c r="J230" s="1713" t="s">
        <v>623</v>
      </c>
    </row>
    <row r="231" spans="1:11" outlineLevel="1">
      <c r="A231" s="1599" t="s">
        <v>624</v>
      </c>
      <c r="B231" s="1713">
        <v>122.56583963022</v>
      </c>
      <c r="C231" s="1713" t="s">
        <v>621</v>
      </c>
      <c r="D231" s="1713">
        <v>69.373300971227209</v>
      </c>
      <c r="E231" s="1713">
        <v>0.85499999996869003</v>
      </c>
      <c r="F231" s="1713">
        <v>0.57000000000632001</v>
      </c>
      <c r="G231" s="1713">
        <v>8.5027968814584192</v>
      </c>
      <c r="H231" s="1713">
        <v>1.0479379288E-4</v>
      </c>
      <c r="I231" s="1713">
        <v>6.9862528589999994E-5</v>
      </c>
      <c r="J231" s="1713" t="s">
        <v>623</v>
      </c>
    </row>
    <row r="232" spans="1:11" outlineLevel="1">
      <c r="A232" s="1599" t="s">
        <v>625</v>
      </c>
      <c r="B232" s="1713">
        <v>10076.766345854299</v>
      </c>
      <c r="C232" s="1713" t="s">
        <v>621</v>
      </c>
      <c r="D232" s="1713">
        <v>92.182232818101795</v>
      </c>
      <c r="E232" s="1713">
        <v>0.94999999999983997</v>
      </c>
      <c r="F232" s="1713">
        <v>1.42499999999976</v>
      </c>
      <c r="G232" s="1713">
        <v>928.89882134715401</v>
      </c>
      <c r="H232" s="1713">
        <v>9.5729280285599995E-3</v>
      </c>
      <c r="I232" s="1713">
        <v>1.4359392042839999E-2</v>
      </c>
      <c r="J232" s="1713" t="s">
        <v>623</v>
      </c>
    </row>
    <row r="233" spans="1:11" outlineLevel="1">
      <c r="A233" s="1599" t="s">
        <v>626</v>
      </c>
      <c r="B233" s="1713">
        <v>44271.525109824703</v>
      </c>
      <c r="C233" s="1713" t="s">
        <v>621</v>
      </c>
      <c r="D233" s="1713">
        <v>53.456092222885722</v>
      </c>
      <c r="E233" s="1713">
        <v>0.89999999999994995</v>
      </c>
      <c r="F233" s="1713">
        <v>8.9999999999899993E-2</v>
      </c>
      <c r="G233" s="1713">
        <v>2366.5827291185901</v>
      </c>
      <c r="H233" s="1713">
        <v>3.9844372598840001E-2</v>
      </c>
      <c r="I233" s="1713">
        <v>3.9844372598799999E-3</v>
      </c>
      <c r="J233" s="1713" t="s">
        <v>623</v>
      </c>
    </row>
    <row r="234" spans="1:11" outlineLevel="1">
      <c r="A234" s="1599" t="s">
        <v>627</v>
      </c>
      <c r="B234" s="1713" t="s">
        <v>623</v>
      </c>
      <c r="C234" s="1713" t="s">
        <v>621</v>
      </c>
      <c r="D234" s="1713" t="s">
        <v>623</v>
      </c>
      <c r="E234" s="1713" t="s">
        <v>623</v>
      </c>
      <c r="F234" s="1713" t="s">
        <v>623</v>
      </c>
      <c r="G234" s="1713" t="s">
        <v>623</v>
      </c>
      <c r="H234" s="1713" t="s">
        <v>623</v>
      </c>
      <c r="I234" s="1713" t="s">
        <v>623</v>
      </c>
      <c r="J234" s="1713" t="s">
        <v>623</v>
      </c>
    </row>
    <row r="235" spans="1:11" outlineLevel="1">
      <c r="A235" s="1599" t="s">
        <v>628</v>
      </c>
      <c r="B235" s="1713" t="s">
        <v>623</v>
      </c>
      <c r="C235" s="1713" t="s">
        <v>621</v>
      </c>
      <c r="D235" s="1713" t="s">
        <v>623</v>
      </c>
      <c r="E235" s="1713" t="s">
        <v>623</v>
      </c>
      <c r="F235" s="1713" t="s">
        <v>623</v>
      </c>
      <c r="G235" s="1713" t="s">
        <v>623</v>
      </c>
      <c r="H235" s="1713" t="s">
        <v>623</v>
      </c>
      <c r="I235" s="1713" t="s">
        <v>623</v>
      </c>
      <c r="J235" s="1713" t="s">
        <v>623</v>
      </c>
    </row>
    <row r="236" spans="1:11" outlineLevel="1">
      <c r="A236" s="1599" t="s">
        <v>629</v>
      </c>
      <c r="B236" s="1713">
        <v>2496.4313225811902</v>
      </c>
      <c r="C236" s="1713" t="s">
        <v>621</v>
      </c>
      <c r="D236" s="1713">
        <v>49.169999999999959</v>
      </c>
      <c r="E236" s="1713">
        <v>0.89999999999877001</v>
      </c>
      <c r="F236" s="1713">
        <v>8.9999999999079996E-2</v>
      </c>
      <c r="G236" s="1713">
        <v>122.74952813131701</v>
      </c>
      <c r="H236" s="1713">
        <v>2.2467881903200002E-3</v>
      </c>
      <c r="I236" s="1713">
        <v>2.2467881903000001E-4</v>
      </c>
      <c r="J236" s="1713" t="s">
        <v>623</v>
      </c>
    </row>
    <row r="237" spans="1:11" outlineLevel="1"/>
    <row r="238" spans="1:11" outlineLevel="1">
      <c r="A238" t="s">
        <v>630</v>
      </c>
    </row>
    <row r="239" spans="1:11" outlineLevel="1"/>
    <row r="240" spans="1:11" outlineLevel="1">
      <c r="A240" s="1600" t="s">
        <v>631</v>
      </c>
      <c r="B240" s="1916" t="s">
        <v>632</v>
      </c>
      <c r="C240" s="1917"/>
      <c r="D240" s="1918"/>
      <c r="E240" s="1916" t="s">
        <v>633</v>
      </c>
      <c r="F240" s="1917"/>
      <c r="G240" s="1918"/>
      <c r="H240" s="1916" t="s">
        <v>607</v>
      </c>
      <c r="I240" s="1917"/>
      <c r="J240" s="1917"/>
      <c r="K240" s="1918"/>
    </row>
    <row r="241" spans="1:11" outlineLevel="1">
      <c r="A241" s="391" t="s">
        <v>634</v>
      </c>
      <c r="B241" s="1601" t="s">
        <v>635</v>
      </c>
      <c r="C241" s="1601" t="s">
        <v>636</v>
      </c>
      <c r="D241" s="1601" t="s">
        <v>637</v>
      </c>
      <c r="E241" s="1601" t="s">
        <v>638</v>
      </c>
      <c r="F241" s="1602" t="s">
        <v>610</v>
      </c>
      <c r="G241" s="1602" t="s">
        <v>611</v>
      </c>
      <c r="H241" s="1916" t="s">
        <v>613</v>
      </c>
      <c r="I241" s="1918"/>
      <c r="J241" s="1602" t="s">
        <v>639</v>
      </c>
      <c r="K241" s="1602" t="s">
        <v>611</v>
      </c>
    </row>
    <row r="242" spans="1:11" outlineLevel="1">
      <c r="A242" s="391"/>
      <c r="B242" s="388"/>
      <c r="C242" s="388"/>
      <c r="D242" s="388"/>
      <c r="E242" s="1143"/>
      <c r="F242" s="1142"/>
      <c r="G242" s="1142"/>
      <c r="H242" s="389" t="s">
        <v>640</v>
      </c>
      <c r="I242" s="1603" t="s">
        <v>641</v>
      </c>
      <c r="J242" s="1142"/>
      <c r="K242" s="1142"/>
    </row>
    <row r="243" spans="1:11" ht="15.75" outlineLevel="1" thickBot="1">
      <c r="A243" s="392"/>
      <c r="B243" s="390"/>
      <c r="C243" s="390"/>
      <c r="D243" s="390"/>
      <c r="E243" s="1919" t="s">
        <v>642</v>
      </c>
      <c r="F243" s="1920"/>
      <c r="G243" s="1921"/>
      <c r="H243" s="1922" t="s">
        <v>619</v>
      </c>
      <c r="I243" s="1923"/>
      <c r="J243" s="1923"/>
      <c r="K243" s="1924"/>
    </row>
    <row r="244" spans="1:11" ht="15.75" outlineLevel="1" thickTop="1">
      <c r="A244" s="241" t="s">
        <v>643</v>
      </c>
      <c r="B244" s="1714" t="s">
        <v>622</v>
      </c>
      <c r="C244" s="1714" t="s">
        <v>622</v>
      </c>
      <c r="D244" s="1714" t="s">
        <v>622</v>
      </c>
      <c r="E244" s="1714" t="s">
        <v>622</v>
      </c>
      <c r="F244" s="1714" t="s">
        <v>622</v>
      </c>
      <c r="G244" s="1714" t="s">
        <v>622</v>
      </c>
      <c r="H244" s="1713">
        <v>583.43979427842305</v>
      </c>
      <c r="I244" s="1713" t="s">
        <v>623</v>
      </c>
      <c r="J244" s="1713">
        <v>6.1377154578694801</v>
      </c>
      <c r="K244" s="1713" t="s">
        <v>623</v>
      </c>
    </row>
    <row r="245" spans="1:11" outlineLevel="1">
      <c r="A245" s="1715" t="s">
        <v>513</v>
      </c>
      <c r="B245" s="1716" t="s">
        <v>622</v>
      </c>
      <c r="C245" s="1716" t="s">
        <v>346</v>
      </c>
      <c r="D245" s="1716">
        <v>191292.26120000001</v>
      </c>
      <c r="E245" s="1713">
        <v>3049.9916233852487</v>
      </c>
      <c r="F245" s="1713">
        <v>32.085539788002052</v>
      </c>
      <c r="G245" s="1713" t="s">
        <v>623</v>
      </c>
      <c r="H245" s="1716">
        <v>583.43979427842305</v>
      </c>
      <c r="I245" s="1716" t="s">
        <v>623</v>
      </c>
      <c r="J245" s="1716">
        <v>6.1377154578694801</v>
      </c>
      <c r="K245" s="1716" t="s">
        <v>623</v>
      </c>
    </row>
    <row r="246" spans="1:11" outlineLevel="1"/>
    <row r="248" spans="1:11" s="231" customFormat="1">
      <c r="A248" s="231" t="s">
        <v>644</v>
      </c>
    </row>
    <row r="249" spans="1:11" ht="15" hidden="1" customHeight="1" outlineLevel="1"/>
    <row r="250" spans="1:11" ht="15" hidden="1" customHeight="1" outlineLevel="1">
      <c r="A250" t="s">
        <v>645</v>
      </c>
    </row>
    <row r="251" spans="1:11" ht="15" hidden="1" customHeight="1" outlineLevel="1">
      <c r="A251" s="1932" t="s">
        <v>604</v>
      </c>
      <c r="B251" s="1916" t="s">
        <v>605</v>
      </c>
      <c r="C251" s="1918"/>
      <c r="D251" s="1916" t="s">
        <v>606</v>
      </c>
      <c r="E251" s="1917"/>
      <c r="F251" s="1918"/>
      <c r="G251" s="1916" t="s">
        <v>607</v>
      </c>
      <c r="H251" s="1917"/>
      <c r="I251" s="1917"/>
      <c r="J251" s="1918"/>
    </row>
    <row r="252" spans="1:11" ht="15" hidden="1" customHeight="1" outlineLevel="1">
      <c r="A252" s="1933"/>
      <c r="B252" s="1935" t="s">
        <v>608</v>
      </c>
      <c r="C252" s="1936"/>
      <c r="D252" s="1939" t="s">
        <v>609</v>
      </c>
      <c r="E252" s="1935" t="s">
        <v>610</v>
      </c>
      <c r="F252" s="1936" t="s">
        <v>611</v>
      </c>
      <c r="G252" s="1939" t="s">
        <v>612</v>
      </c>
      <c r="H252" s="1939" t="s">
        <v>610</v>
      </c>
      <c r="I252" s="1939" t="s">
        <v>611</v>
      </c>
      <c r="J252" s="1597" t="s">
        <v>613</v>
      </c>
    </row>
    <row r="253" spans="1:11" ht="15" hidden="1" customHeight="1" outlineLevel="1">
      <c r="A253" s="1933"/>
      <c r="B253" s="1937"/>
      <c r="C253" s="1938"/>
      <c r="D253" s="1940"/>
      <c r="E253" s="1937"/>
      <c r="F253" s="1938"/>
      <c r="G253" s="1940"/>
      <c r="H253" s="1940"/>
      <c r="I253" s="1940"/>
      <c r="J253" s="1597" t="s">
        <v>614</v>
      </c>
    </row>
    <row r="254" spans="1:11" ht="15.75" hidden="1" customHeight="1" outlineLevel="1" thickBot="1">
      <c r="A254" s="1934"/>
      <c r="B254" s="1557" t="s">
        <v>615</v>
      </c>
      <c r="C254" s="242" t="s">
        <v>616</v>
      </c>
      <c r="D254" s="242" t="s">
        <v>617</v>
      </c>
      <c r="E254" s="1922" t="s">
        <v>618</v>
      </c>
      <c r="F254" s="1924"/>
      <c r="G254" s="1922" t="s">
        <v>619</v>
      </c>
      <c r="H254" s="1923"/>
      <c r="I254" s="1923"/>
      <c r="J254" s="1924"/>
    </row>
    <row r="255" spans="1:11" ht="15" hidden="1" customHeight="1" outlineLevel="1">
      <c r="A255" s="1598" t="s">
        <v>620</v>
      </c>
      <c r="B255" s="1713">
        <v>65640.194525532876</v>
      </c>
      <c r="C255" s="1713" t="s">
        <v>621</v>
      </c>
      <c r="D255" s="1714" t="s">
        <v>622</v>
      </c>
      <c r="E255" s="1714" t="s">
        <v>622</v>
      </c>
      <c r="F255" s="1714" t="s">
        <v>622</v>
      </c>
      <c r="G255" s="1713">
        <v>3610.6785292326044</v>
      </c>
      <c r="H255" s="1713">
        <v>5.9357513582779999E-2</v>
      </c>
      <c r="I255" s="1713">
        <v>1.352078484434E-2</v>
      </c>
      <c r="J255" s="1713" t="s">
        <v>623</v>
      </c>
    </row>
    <row r="256" spans="1:11" ht="15" hidden="1" customHeight="1" outlineLevel="1">
      <c r="A256" s="1599" t="s">
        <v>624</v>
      </c>
      <c r="B256" s="1713">
        <v>60.320621722050497</v>
      </c>
      <c r="C256" s="1713" t="s">
        <v>621</v>
      </c>
      <c r="D256" s="1713">
        <v>69.373300971227295</v>
      </c>
      <c r="E256" s="1713">
        <v>0.85499999996098996</v>
      </c>
      <c r="F256" s="1713">
        <v>0.56999999997398998</v>
      </c>
      <c r="G256" s="1713">
        <v>4.1846406454953602</v>
      </c>
      <c r="H256" s="1713">
        <v>5.1574131570000003E-5</v>
      </c>
      <c r="I256" s="1713">
        <v>3.438275438E-5</v>
      </c>
      <c r="J256" s="1713" t="s">
        <v>623</v>
      </c>
    </row>
    <row r="257" spans="1:11" ht="15" hidden="1" customHeight="1" outlineLevel="1">
      <c r="A257" s="1599" t="s">
        <v>625</v>
      </c>
      <c r="B257" s="1713">
        <v>5681.0587555256498</v>
      </c>
      <c r="C257" s="1713" t="s">
        <v>621</v>
      </c>
      <c r="D257" s="1713">
        <v>91.999999999999858</v>
      </c>
      <c r="E257" s="1713">
        <v>0.95000000000010998</v>
      </c>
      <c r="F257" s="1713">
        <v>1.4249999999992899</v>
      </c>
      <c r="G257" s="1713">
        <v>522.65740550835903</v>
      </c>
      <c r="H257" s="1713">
        <v>5.3970058177500004E-3</v>
      </c>
      <c r="I257" s="1713">
        <v>8.0955087266199998E-3</v>
      </c>
      <c r="J257" s="1713" t="s">
        <v>623</v>
      </c>
    </row>
    <row r="258" spans="1:11" ht="15" hidden="1" customHeight="1" outlineLevel="1">
      <c r="A258" s="1599" t="s">
        <v>626</v>
      </c>
      <c r="B258" s="1713">
        <v>57467.641289352803</v>
      </c>
      <c r="C258" s="1713" t="s">
        <v>621</v>
      </c>
      <c r="D258" s="1713">
        <v>53.662137750729322</v>
      </c>
      <c r="E258" s="1713">
        <v>0.90000000000003999</v>
      </c>
      <c r="F258" s="1713">
        <v>8.9999999999970007E-2</v>
      </c>
      <c r="G258" s="1713">
        <v>3083.83648307875</v>
      </c>
      <c r="H258" s="1713">
        <v>5.1720877160420002E-2</v>
      </c>
      <c r="I258" s="1713">
        <v>5.1720877160400004E-3</v>
      </c>
      <c r="J258" s="1713" t="s">
        <v>623</v>
      </c>
    </row>
    <row r="259" spans="1:11" ht="15" hidden="1" customHeight="1" outlineLevel="1">
      <c r="A259" s="1599" t="s">
        <v>627</v>
      </c>
      <c r="B259" s="1713" t="s">
        <v>623</v>
      </c>
      <c r="C259" s="1713" t="s">
        <v>621</v>
      </c>
      <c r="D259" s="1713" t="s">
        <v>623</v>
      </c>
      <c r="E259" s="1713" t="s">
        <v>623</v>
      </c>
      <c r="F259" s="1713" t="s">
        <v>623</v>
      </c>
      <c r="G259" s="1713" t="s">
        <v>623</v>
      </c>
      <c r="H259" s="1713" t="s">
        <v>623</v>
      </c>
      <c r="I259" s="1713" t="s">
        <v>623</v>
      </c>
      <c r="J259" s="1713" t="s">
        <v>623</v>
      </c>
    </row>
    <row r="260" spans="1:11" ht="15" hidden="1" customHeight="1" outlineLevel="1">
      <c r="A260" s="1599" t="s">
        <v>628</v>
      </c>
      <c r="B260" s="1713" t="s">
        <v>623</v>
      </c>
      <c r="C260" s="1713" t="s">
        <v>621</v>
      </c>
      <c r="D260" s="1713" t="s">
        <v>623</v>
      </c>
      <c r="E260" s="1713" t="s">
        <v>623</v>
      </c>
      <c r="F260" s="1713" t="s">
        <v>623</v>
      </c>
      <c r="G260" s="1713" t="s">
        <v>623</v>
      </c>
      <c r="H260" s="1713" t="s">
        <v>623</v>
      </c>
      <c r="I260" s="1713" t="s">
        <v>623</v>
      </c>
      <c r="J260" s="1713" t="s">
        <v>623</v>
      </c>
    </row>
    <row r="261" spans="1:11" ht="15" hidden="1" customHeight="1" outlineLevel="1">
      <c r="A261" s="1599" t="s">
        <v>629</v>
      </c>
      <c r="B261" s="1713">
        <v>2431.17385893238</v>
      </c>
      <c r="C261" s="1713" t="s">
        <v>621</v>
      </c>
      <c r="D261" s="1713">
        <v>49.169999999999952</v>
      </c>
      <c r="E261" s="1713">
        <v>0.90000000000034996</v>
      </c>
      <c r="F261" s="1713">
        <v>8.9999999998390007E-2</v>
      </c>
      <c r="G261" s="1713">
        <v>119.54081864370499</v>
      </c>
      <c r="H261" s="1713">
        <v>2.1880564730399998E-3</v>
      </c>
      <c r="I261" s="1713">
        <v>2.1880564730000001E-4</v>
      </c>
      <c r="J261" s="1713" t="s">
        <v>623</v>
      </c>
    </row>
    <row r="262" spans="1:11" ht="15" hidden="1" customHeight="1" outlineLevel="1"/>
    <row r="263" spans="1:11" ht="15" hidden="1" customHeight="1" outlineLevel="1"/>
    <row r="264" spans="1:11" ht="15" hidden="1" customHeight="1" outlineLevel="1"/>
    <row r="265" spans="1:11" ht="15" hidden="1" customHeight="1" outlineLevel="1">
      <c r="A265" s="1600" t="s">
        <v>631</v>
      </c>
      <c r="B265" s="1916" t="s">
        <v>632</v>
      </c>
      <c r="C265" s="1917"/>
      <c r="D265" s="1918"/>
      <c r="E265" s="1916" t="s">
        <v>633</v>
      </c>
      <c r="F265" s="1917"/>
      <c r="G265" s="1918"/>
      <c r="H265" s="1916" t="s">
        <v>607</v>
      </c>
      <c r="I265" s="1917"/>
      <c r="J265" s="1917"/>
      <c r="K265" s="1918"/>
    </row>
    <row r="266" spans="1:11" ht="15" hidden="1" customHeight="1" outlineLevel="1">
      <c r="A266" s="391" t="s">
        <v>634</v>
      </c>
      <c r="B266" s="1601" t="s">
        <v>635</v>
      </c>
      <c r="C266" s="1601" t="s">
        <v>636</v>
      </c>
      <c r="D266" s="1601" t="s">
        <v>637</v>
      </c>
      <c r="E266" s="1601" t="s">
        <v>638</v>
      </c>
      <c r="F266" s="1602" t="s">
        <v>610</v>
      </c>
      <c r="G266" s="1602" t="s">
        <v>611</v>
      </c>
      <c r="H266" s="1916" t="s">
        <v>613</v>
      </c>
      <c r="I266" s="1918"/>
      <c r="J266" s="1602" t="s">
        <v>639</v>
      </c>
      <c r="K266" s="1602" t="s">
        <v>611</v>
      </c>
    </row>
    <row r="267" spans="1:11" ht="15" hidden="1" customHeight="1" outlineLevel="1">
      <c r="A267" s="391"/>
      <c r="B267" s="388"/>
      <c r="C267" s="388"/>
      <c r="D267" s="388"/>
      <c r="E267" s="1143"/>
      <c r="F267" s="1142"/>
      <c r="G267" s="1142"/>
      <c r="H267" s="389" t="s">
        <v>640</v>
      </c>
      <c r="I267" s="1603" t="s">
        <v>641</v>
      </c>
      <c r="J267" s="1142"/>
      <c r="K267" s="1142"/>
    </row>
    <row r="268" spans="1:11" ht="15.75" hidden="1" customHeight="1" outlineLevel="1" thickBot="1">
      <c r="A268" s="392"/>
      <c r="B268" s="390"/>
      <c r="C268" s="390"/>
      <c r="D268" s="390"/>
      <c r="E268" s="1919" t="s">
        <v>642</v>
      </c>
      <c r="F268" s="1920"/>
      <c r="G268" s="1921"/>
      <c r="H268" s="1922" t="s">
        <v>619</v>
      </c>
      <c r="I268" s="1923"/>
      <c r="J268" s="1923"/>
      <c r="K268" s="1924"/>
    </row>
    <row r="269" spans="1:11" ht="15" hidden="1" customHeight="1" outlineLevel="1">
      <c r="A269" s="241" t="s">
        <v>643</v>
      </c>
      <c r="B269" s="1714" t="s">
        <v>622</v>
      </c>
      <c r="C269" s="1714" t="s">
        <v>622</v>
      </c>
      <c r="D269" s="1714" t="s">
        <v>622</v>
      </c>
      <c r="E269" s="1714" t="s">
        <v>622</v>
      </c>
      <c r="F269" s="1714" t="s">
        <v>622</v>
      </c>
      <c r="G269" s="1714" t="s">
        <v>622</v>
      </c>
      <c r="H269" s="1713">
        <v>643.26293709060099</v>
      </c>
      <c r="I269" s="1713" t="s">
        <v>623</v>
      </c>
      <c r="J269" s="1713">
        <v>6.8601477457160698</v>
      </c>
      <c r="K269" s="1713" t="s">
        <v>623</v>
      </c>
    </row>
    <row r="270" spans="1:11" ht="15" hidden="1" customHeight="1" outlineLevel="1">
      <c r="A270" s="1715" t="s">
        <v>513</v>
      </c>
      <c r="B270" s="1716" t="s">
        <v>622</v>
      </c>
      <c r="C270" s="1716" t="s">
        <v>346</v>
      </c>
      <c r="D270" s="1716">
        <v>187816.6292</v>
      </c>
      <c r="E270" s="1713">
        <v>3424.951985511414</v>
      </c>
      <c r="F270" s="1713">
        <v>36.525773968666613</v>
      </c>
      <c r="G270" s="1713" t="s">
        <v>623</v>
      </c>
      <c r="H270" s="1716">
        <v>643.26293709060099</v>
      </c>
      <c r="I270" s="1716" t="s">
        <v>623</v>
      </c>
      <c r="J270" s="1716">
        <v>6.8601477457160698</v>
      </c>
      <c r="K270" s="1716" t="s">
        <v>623</v>
      </c>
    </row>
    <row r="271" spans="1:11" ht="15" hidden="1" customHeight="1" outlineLevel="1"/>
    <row r="272" spans="1:11" collapsed="1"/>
    <row r="273" spans="1:10" s="231" customFormat="1">
      <c r="A273" s="231" t="s">
        <v>646</v>
      </c>
    </row>
    <row r="274" spans="1:10" ht="15" hidden="1" customHeight="1" outlineLevel="1">
      <c r="A274" t="s">
        <v>647</v>
      </c>
      <c r="J274" t="s">
        <v>648</v>
      </c>
    </row>
    <row r="275" spans="1:10" ht="15" hidden="1" customHeight="1" outlineLevel="1">
      <c r="A275" t="s">
        <v>649</v>
      </c>
      <c r="J275" t="s">
        <v>650</v>
      </c>
    </row>
    <row r="276" spans="1:10" ht="15" hidden="1" customHeight="1" outlineLevel="1">
      <c r="A276" t="s">
        <v>651</v>
      </c>
      <c r="J276" t="s">
        <v>652</v>
      </c>
    </row>
    <row r="277" spans="1:10" ht="15" hidden="1" customHeight="1" outlineLevel="1"/>
    <row r="278" spans="1:10" ht="15" hidden="1" customHeight="1" outlineLevel="1">
      <c r="A278" s="1941" t="s">
        <v>604</v>
      </c>
      <c r="B278" s="1944" t="s">
        <v>605</v>
      </c>
      <c r="C278" s="1945"/>
      <c r="D278" s="1944" t="s">
        <v>606</v>
      </c>
      <c r="E278" s="1946"/>
      <c r="F278" s="1945"/>
      <c r="G278" s="1944" t="s">
        <v>607</v>
      </c>
      <c r="H278" s="1946"/>
      <c r="I278" s="1946"/>
      <c r="J278" s="1945"/>
    </row>
    <row r="279" spans="1:10" ht="18" hidden="1" customHeight="1" outlineLevel="1">
      <c r="A279" s="1942"/>
      <c r="B279" s="1947" t="s">
        <v>608</v>
      </c>
      <c r="C279" s="1948"/>
      <c r="D279" s="1951" t="s">
        <v>653</v>
      </c>
      <c r="E279" s="1947" t="s">
        <v>654</v>
      </c>
      <c r="F279" s="1948" t="s">
        <v>655</v>
      </c>
      <c r="G279" s="1951" t="s">
        <v>656</v>
      </c>
      <c r="H279" s="1951" t="s">
        <v>654</v>
      </c>
      <c r="I279" s="1951" t="s">
        <v>655</v>
      </c>
      <c r="J279" s="1604" t="s">
        <v>657</v>
      </c>
    </row>
    <row r="280" spans="1:10" ht="15" hidden="1" customHeight="1" outlineLevel="1">
      <c r="A280" s="1942"/>
      <c r="B280" s="1949"/>
      <c r="C280" s="1950"/>
      <c r="D280" s="1952"/>
      <c r="E280" s="1949"/>
      <c r="F280" s="1950"/>
      <c r="G280" s="1952"/>
      <c r="H280" s="1952"/>
      <c r="I280" s="1952"/>
      <c r="J280" s="1604" t="s">
        <v>614</v>
      </c>
    </row>
    <row r="281" spans="1:10" ht="18" hidden="1" customHeight="1" outlineLevel="1" thickBot="1">
      <c r="A281" s="1943"/>
      <c r="B281" s="1144" t="s">
        <v>615</v>
      </c>
      <c r="C281" s="162" t="s">
        <v>658</v>
      </c>
      <c r="D281" s="162" t="s">
        <v>617</v>
      </c>
      <c r="E281" s="1953" t="s">
        <v>618</v>
      </c>
      <c r="F281" s="1954"/>
      <c r="G281" s="1953" t="s">
        <v>619</v>
      </c>
      <c r="H281" s="1955"/>
      <c r="I281" s="1955"/>
      <c r="J281" s="1954"/>
    </row>
    <row r="282" spans="1:10" ht="15" hidden="1" customHeight="1" outlineLevel="1">
      <c r="A282" s="1598" t="s">
        <v>620</v>
      </c>
      <c r="B282" s="1713">
        <v>55420.958099947544</v>
      </c>
      <c r="C282" s="1713" t="s">
        <v>621</v>
      </c>
      <c r="D282" s="1714" t="s">
        <v>622</v>
      </c>
      <c r="E282" s="1714" t="s">
        <v>622</v>
      </c>
      <c r="F282" s="1714" t="s">
        <v>622</v>
      </c>
      <c r="G282" s="1713">
        <v>3057.8996380825038</v>
      </c>
      <c r="H282" s="1713">
        <v>5.0119409030830002E-2</v>
      </c>
      <c r="I282" s="1713">
        <v>1.1473406327950001E-2</v>
      </c>
      <c r="J282" s="1713" t="s">
        <v>623</v>
      </c>
    </row>
    <row r="283" spans="1:10" ht="15" hidden="1" customHeight="1" outlineLevel="1">
      <c r="A283" s="1599" t="s">
        <v>624</v>
      </c>
      <c r="B283" s="1713">
        <v>37.420230390217</v>
      </c>
      <c r="C283" s="1713" t="s">
        <v>621</v>
      </c>
      <c r="D283" s="1713">
        <v>69.305644721039371</v>
      </c>
      <c r="E283" s="1713">
        <v>0.85499999990285003</v>
      </c>
      <c r="F283" s="1713">
        <v>0.56999999993522998</v>
      </c>
      <c r="G283" s="1713">
        <v>2.5934331928038201</v>
      </c>
      <c r="H283" s="1713">
        <v>3.1994296979999998E-5</v>
      </c>
      <c r="I283" s="1713">
        <v>2.1329531319999999E-5</v>
      </c>
      <c r="J283" s="1713" t="s">
        <v>623</v>
      </c>
    </row>
    <row r="284" spans="1:10" ht="15" hidden="1" customHeight="1" outlineLevel="1">
      <c r="A284" s="1599" t="s">
        <v>625</v>
      </c>
      <c r="B284" s="1713">
        <v>4844.6130249999997</v>
      </c>
      <c r="C284" s="1713" t="s">
        <v>621</v>
      </c>
      <c r="D284" s="1713">
        <v>92</v>
      </c>
      <c r="E284" s="1713">
        <v>0.95</v>
      </c>
      <c r="F284" s="1713">
        <v>1.42499999999897</v>
      </c>
      <c r="G284" s="1713">
        <v>445.70439829999998</v>
      </c>
      <c r="H284" s="1713">
        <v>4.60238237375E-3</v>
      </c>
      <c r="I284" s="1713">
        <v>6.9035735606199997E-3</v>
      </c>
      <c r="J284" s="1713" t="s">
        <v>623</v>
      </c>
    </row>
    <row r="285" spans="1:10" ht="15" hidden="1" customHeight="1" outlineLevel="1">
      <c r="A285" s="1599" t="s">
        <v>626</v>
      </c>
      <c r="B285" s="1713">
        <v>48224.677118646701</v>
      </c>
      <c r="C285" s="1713" t="s">
        <v>621</v>
      </c>
      <c r="D285" s="1713">
        <v>54.113411691058552</v>
      </c>
      <c r="E285" s="1713">
        <v>0.89999999999996005</v>
      </c>
      <c r="F285" s="1713">
        <v>9.0000000000040006E-2</v>
      </c>
      <c r="G285" s="1713">
        <v>2609.6018065897001</v>
      </c>
      <c r="H285" s="1713">
        <v>4.3402209406780003E-2</v>
      </c>
      <c r="I285" s="1713">
        <v>4.3402209406799997E-3</v>
      </c>
      <c r="J285" s="1713" t="s">
        <v>623</v>
      </c>
    </row>
    <row r="286" spans="1:10" ht="15" hidden="1" customHeight="1" outlineLevel="1">
      <c r="A286" s="1599" t="s">
        <v>627</v>
      </c>
      <c r="B286" s="1713" t="s">
        <v>623</v>
      </c>
      <c r="C286" s="1713" t="s">
        <v>621</v>
      </c>
      <c r="D286" s="1713" t="s">
        <v>623</v>
      </c>
      <c r="E286" s="1713" t="s">
        <v>623</v>
      </c>
      <c r="F286" s="1713" t="s">
        <v>623</v>
      </c>
      <c r="G286" s="1713" t="s">
        <v>623</v>
      </c>
      <c r="H286" s="1713" t="s">
        <v>623</v>
      </c>
      <c r="I286" s="1713" t="s">
        <v>623</v>
      </c>
      <c r="J286" s="1713" t="s">
        <v>623</v>
      </c>
    </row>
    <row r="287" spans="1:10" ht="15" hidden="1" customHeight="1" outlineLevel="1">
      <c r="A287" s="1599" t="s">
        <v>628</v>
      </c>
      <c r="B287" s="1713" t="s">
        <v>623</v>
      </c>
      <c r="C287" s="1713" t="s">
        <v>621</v>
      </c>
      <c r="D287" s="1713" t="s">
        <v>623</v>
      </c>
      <c r="E287" s="1713" t="s">
        <v>623</v>
      </c>
      <c r="F287" s="1713" t="s">
        <v>623</v>
      </c>
      <c r="G287" s="1713" t="s">
        <v>623</v>
      </c>
      <c r="H287" s="1713" t="s">
        <v>623</v>
      </c>
      <c r="I287" s="1713" t="s">
        <v>623</v>
      </c>
      <c r="J287" s="1713" t="s">
        <v>623</v>
      </c>
    </row>
    <row r="288" spans="1:10" ht="15" hidden="1" customHeight="1" outlineLevel="1">
      <c r="A288" s="1599" t="s">
        <v>629</v>
      </c>
      <c r="B288" s="1713">
        <v>2314.2477259106299</v>
      </c>
      <c r="C288" s="1713" t="s">
        <v>621</v>
      </c>
      <c r="D288" s="1713">
        <v>49.170000000000137</v>
      </c>
      <c r="E288" s="1713">
        <v>0.90000000000018998</v>
      </c>
      <c r="F288" s="1713">
        <v>8.9999999999149996E-2</v>
      </c>
      <c r="G288" s="1713">
        <v>113.79156068302601</v>
      </c>
      <c r="H288" s="1713">
        <v>2.08282295332E-3</v>
      </c>
      <c r="I288" s="1713">
        <v>2.0828229532999999E-4</v>
      </c>
      <c r="J288" s="1713" t="s">
        <v>623</v>
      </c>
    </row>
    <row r="289" spans="1:12" ht="15" hidden="1" customHeight="1" outlineLevel="1"/>
    <row r="290" spans="1:12" ht="15" hidden="1" customHeight="1" outlineLevel="1">
      <c r="A290" s="180" t="s">
        <v>659</v>
      </c>
    </row>
    <row r="291" spans="1:12" ht="15" hidden="1" customHeight="1" outlineLevel="1"/>
    <row r="292" spans="1:12" ht="15" hidden="1" customHeight="1" outlineLevel="1">
      <c r="A292" s="1600" t="s">
        <v>631</v>
      </c>
      <c r="B292" s="1916" t="s">
        <v>632</v>
      </c>
      <c r="C292" s="1917"/>
      <c r="D292" s="1918"/>
      <c r="E292" s="1916" t="s">
        <v>633</v>
      </c>
      <c r="F292" s="1917"/>
      <c r="G292" s="1918"/>
      <c r="H292" s="1916" t="s">
        <v>607</v>
      </c>
      <c r="I292" s="1917"/>
      <c r="J292" s="1917"/>
      <c r="K292" s="1918"/>
      <c r="L292" s="181"/>
    </row>
    <row r="293" spans="1:12" ht="15" hidden="1" customHeight="1" outlineLevel="1">
      <c r="A293" s="391" t="s">
        <v>634</v>
      </c>
      <c r="B293" s="1601" t="s">
        <v>635</v>
      </c>
      <c r="C293" s="1601" t="s">
        <v>636</v>
      </c>
      <c r="D293" s="1601" t="s">
        <v>637</v>
      </c>
      <c r="E293" s="1601" t="s">
        <v>638</v>
      </c>
      <c r="F293" s="1602" t="s">
        <v>610</v>
      </c>
      <c r="G293" s="1602" t="s">
        <v>611</v>
      </c>
      <c r="H293" s="1916" t="s">
        <v>613</v>
      </c>
      <c r="I293" s="1918"/>
      <c r="J293" s="1602" t="s">
        <v>639</v>
      </c>
      <c r="K293" s="1602" t="s">
        <v>611</v>
      </c>
      <c r="L293" s="181"/>
    </row>
    <row r="294" spans="1:12" ht="15" hidden="1" customHeight="1" outlineLevel="1">
      <c r="A294" s="391"/>
      <c r="B294" s="388"/>
      <c r="C294" s="388"/>
      <c r="D294" s="388"/>
      <c r="E294" s="1143"/>
      <c r="F294" s="1142"/>
      <c r="G294" s="1142"/>
      <c r="H294" s="389" t="s">
        <v>640</v>
      </c>
      <c r="I294" s="1603" t="s">
        <v>641</v>
      </c>
      <c r="J294" s="1142"/>
      <c r="K294" s="1142"/>
      <c r="L294" s="181"/>
    </row>
    <row r="295" spans="1:12" ht="15.75" hidden="1" customHeight="1" outlineLevel="1" thickBot="1">
      <c r="A295" s="392"/>
      <c r="B295" s="390"/>
      <c r="C295" s="390"/>
      <c r="D295" s="390"/>
      <c r="E295" s="1919" t="s">
        <v>642</v>
      </c>
      <c r="F295" s="1920"/>
      <c r="G295" s="1921"/>
      <c r="H295" s="1922" t="s">
        <v>619</v>
      </c>
      <c r="I295" s="1923"/>
      <c r="J295" s="1923"/>
      <c r="K295" s="1924"/>
      <c r="L295" s="181"/>
    </row>
    <row r="296" spans="1:12" ht="15" hidden="1" customHeight="1" outlineLevel="1">
      <c r="A296" s="241" t="s">
        <v>643</v>
      </c>
      <c r="B296" s="1714" t="s">
        <v>622</v>
      </c>
      <c r="C296" s="1714" t="s">
        <v>622</v>
      </c>
      <c r="D296" s="1714" t="s">
        <v>622</v>
      </c>
      <c r="E296" s="1714" t="s">
        <v>622</v>
      </c>
      <c r="F296" s="1714" t="s">
        <v>622</v>
      </c>
      <c r="G296" s="1714" t="s">
        <v>622</v>
      </c>
      <c r="H296" s="1713">
        <v>659.14674384771297</v>
      </c>
      <c r="I296" s="1713" t="s">
        <v>623</v>
      </c>
      <c r="J296" s="1713">
        <v>6.9131587744576297</v>
      </c>
      <c r="K296" s="1713" t="s">
        <v>623</v>
      </c>
      <c r="L296" s="181"/>
    </row>
    <row r="297" spans="1:12" ht="15" hidden="1" customHeight="1" outlineLevel="1">
      <c r="A297" s="1715" t="s">
        <v>513</v>
      </c>
      <c r="B297" s="1716" t="s">
        <v>622</v>
      </c>
      <c r="C297" s="1716" t="s">
        <v>346</v>
      </c>
      <c r="D297" s="1716">
        <v>185962.52119999999</v>
      </c>
      <c r="E297" s="1713">
        <v>3544.5139103926281</v>
      </c>
      <c r="F297" s="1713">
        <v>37.175010977938868</v>
      </c>
      <c r="G297" s="1713" t="s">
        <v>623</v>
      </c>
      <c r="H297" s="1716">
        <v>659.14674320508402</v>
      </c>
      <c r="I297" s="1716" t="s">
        <v>623</v>
      </c>
      <c r="J297" s="1716">
        <v>6.9131587670951902</v>
      </c>
      <c r="K297" s="1716" t="s">
        <v>623</v>
      </c>
      <c r="L297" s="181"/>
    </row>
    <row r="298" spans="1:12" ht="15" hidden="1" customHeight="1" outlineLevel="1"/>
    <row r="299" spans="1:12" ht="15" hidden="1" customHeight="1" outlineLevel="1"/>
    <row r="300" spans="1:12" collapsed="1"/>
    <row r="301" spans="1:12" s="231" customFormat="1">
      <c r="A301" s="231" t="s">
        <v>660</v>
      </c>
    </row>
    <row r="302" spans="1:12" hidden="1" outlineLevel="1">
      <c r="A302" t="s">
        <v>647</v>
      </c>
      <c r="J302" t="s">
        <v>661</v>
      </c>
    </row>
    <row r="303" spans="1:12" hidden="1" outlineLevel="1">
      <c r="A303" t="s">
        <v>649</v>
      </c>
      <c r="J303" t="s">
        <v>650</v>
      </c>
    </row>
    <row r="304" spans="1:12" hidden="1" outlineLevel="1">
      <c r="A304" t="s">
        <v>651</v>
      </c>
      <c r="J304" t="s">
        <v>652</v>
      </c>
    </row>
    <row r="305" spans="1:11" hidden="1" outlineLevel="1"/>
    <row r="306" spans="1:11" hidden="1" outlineLevel="1">
      <c r="A306" s="1941" t="s">
        <v>604</v>
      </c>
      <c r="B306" s="1944" t="s">
        <v>605</v>
      </c>
      <c r="C306" s="1956"/>
      <c r="D306" s="1944" t="s">
        <v>606</v>
      </c>
      <c r="E306" s="1946"/>
      <c r="F306" s="1945"/>
      <c r="G306" s="1944" t="s">
        <v>607</v>
      </c>
      <c r="H306" s="1957"/>
      <c r="I306" s="1957"/>
      <c r="J306" s="1956"/>
    </row>
    <row r="307" spans="1:11" ht="18" hidden="1" outlineLevel="1">
      <c r="A307" s="1942"/>
      <c r="B307" s="1947" t="s">
        <v>608</v>
      </c>
      <c r="C307" s="1948"/>
      <c r="D307" s="1951" t="s">
        <v>653</v>
      </c>
      <c r="E307" s="1947" t="s">
        <v>654</v>
      </c>
      <c r="F307" s="1948" t="s">
        <v>655</v>
      </c>
      <c r="G307" s="1951" t="s">
        <v>656</v>
      </c>
      <c r="H307" s="1951" t="s">
        <v>654</v>
      </c>
      <c r="I307" s="1951" t="s">
        <v>655</v>
      </c>
      <c r="J307" s="1604" t="s">
        <v>657</v>
      </c>
    </row>
    <row r="308" spans="1:11" hidden="1" outlineLevel="1">
      <c r="A308" s="1942"/>
      <c r="B308" s="1949"/>
      <c r="C308" s="1950"/>
      <c r="D308" s="1952"/>
      <c r="E308" s="1949"/>
      <c r="F308" s="1950"/>
      <c r="G308" s="1958"/>
      <c r="H308" s="1952"/>
      <c r="I308" s="1952"/>
      <c r="J308" s="1604" t="s">
        <v>614</v>
      </c>
    </row>
    <row r="309" spans="1:11" ht="18" hidden="1" outlineLevel="1" thickBot="1">
      <c r="A309" s="1943"/>
      <c r="B309" s="1144" t="s">
        <v>615</v>
      </c>
      <c r="C309" s="162" t="s">
        <v>658</v>
      </c>
      <c r="D309" s="162" t="s">
        <v>617</v>
      </c>
      <c r="E309" s="1953" t="s">
        <v>618</v>
      </c>
      <c r="F309" s="1954"/>
      <c r="G309" s="1953" t="s">
        <v>619</v>
      </c>
      <c r="H309" s="1959"/>
      <c r="I309" s="1959"/>
      <c r="J309" s="1960"/>
    </row>
    <row r="310" spans="1:11" hidden="1" outlineLevel="1">
      <c r="A310" s="1598" t="s">
        <v>620</v>
      </c>
      <c r="B310" s="1713">
        <v>69172.623185884222</v>
      </c>
      <c r="C310" s="1713" t="s">
        <v>621</v>
      </c>
      <c r="D310" s="1714" t="s">
        <v>622</v>
      </c>
      <c r="E310" s="1714" t="s">
        <v>622</v>
      </c>
      <c r="F310" s="1714" t="s">
        <v>622</v>
      </c>
      <c r="G310" s="1713">
        <v>4038.5733770643869</v>
      </c>
      <c r="H310" s="1713">
        <v>6.2854508337690004E-2</v>
      </c>
      <c r="I310" s="1713">
        <v>2.2244465708350002E-2</v>
      </c>
      <c r="J310" s="1713" t="s">
        <v>623</v>
      </c>
    </row>
    <row r="311" spans="1:11" hidden="1" outlineLevel="1">
      <c r="A311" s="1599" t="s">
        <v>624</v>
      </c>
      <c r="B311" s="1713">
        <v>12.9004829498222</v>
      </c>
      <c r="C311" s="1713" t="s">
        <v>621</v>
      </c>
      <c r="D311" s="1713">
        <v>69.687234076714191</v>
      </c>
      <c r="E311" s="1713">
        <v>0.85499999983736996</v>
      </c>
      <c r="F311" s="1713">
        <v>0.56999999989158001</v>
      </c>
      <c r="G311" s="1713">
        <v>0.89899897502692006</v>
      </c>
      <c r="H311" s="1713">
        <v>1.1029912919999999E-5</v>
      </c>
      <c r="I311" s="1713">
        <v>7.3532752799999997E-6</v>
      </c>
      <c r="J311" s="1713" t="s">
        <v>623</v>
      </c>
    </row>
    <row r="312" spans="1:11" hidden="1" outlineLevel="1">
      <c r="A312" s="1599" t="s">
        <v>625</v>
      </c>
      <c r="B312" s="1713">
        <v>11994.559842545101</v>
      </c>
      <c r="C312" s="1713" t="s">
        <v>621</v>
      </c>
      <c r="D312" s="1713">
        <v>92.000000000000071</v>
      </c>
      <c r="E312" s="1713">
        <v>0.95000000000018003</v>
      </c>
      <c r="F312" s="1713">
        <v>1.4250000000002701</v>
      </c>
      <c r="G312" s="1713">
        <v>1103.4995055141501</v>
      </c>
      <c r="H312" s="1713">
        <v>1.1394831850419999E-2</v>
      </c>
      <c r="I312" s="1713">
        <v>1.7092247775629999E-2</v>
      </c>
      <c r="J312" s="1713" t="s">
        <v>623</v>
      </c>
    </row>
    <row r="313" spans="1:11" hidden="1" outlineLevel="1">
      <c r="A313" s="1599" t="s">
        <v>626</v>
      </c>
      <c r="B313" s="1713">
        <v>54917.068556424798</v>
      </c>
      <c r="C313" s="1713" t="s">
        <v>621</v>
      </c>
      <c r="D313" s="1713">
        <v>53.429196963790559</v>
      </c>
      <c r="E313" s="1713">
        <v>0.89999999999996005</v>
      </c>
      <c r="F313" s="1713">
        <v>9.000000000003E-2</v>
      </c>
      <c r="G313" s="1713">
        <v>2934.17487257521</v>
      </c>
      <c r="H313" s="1713">
        <v>4.9425361700779998E-2</v>
      </c>
      <c r="I313" s="1713">
        <v>4.9425361700800004E-3</v>
      </c>
      <c r="J313" s="1713" t="s">
        <v>623</v>
      </c>
    </row>
    <row r="314" spans="1:11" hidden="1" outlineLevel="1">
      <c r="A314" s="1599" t="s">
        <v>627</v>
      </c>
      <c r="B314" s="1713" t="s">
        <v>623</v>
      </c>
      <c r="C314" s="1713" t="s">
        <v>621</v>
      </c>
      <c r="D314" s="1713" t="s">
        <v>623</v>
      </c>
      <c r="E314" s="1713" t="s">
        <v>623</v>
      </c>
      <c r="F314" s="1713" t="s">
        <v>623</v>
      </c>
      <c r="G314" s="1713" t="s">
        <v>623</v>
      </c>
      <c r="H314" s="1713" t="s">
        <v>623</v>
      </c>
      <c r="I314" s="1713" t="s">
        <v>623</v>
      </c>
      <c r="J314" s="1713" t="s">
        <v>623</v>
      </c>
    </row>
    <row r="315" spans="1:11" hidden="1" outlineLevel="1">
      <c r="A315" s="1599" t="s">
        <v>628</v>
      </c>
      <c r="B315" s="1713" t="s">
        <v>623</v>
      </c>
      <c r="C315" s="1713" t="s">
        <v>621</v>
      </c>
      <c r="D315" s="1713" t="s">
        <v>623</v>
      </c>
      <c r="E315" s="1713" t="s">
        <v>623</v>
      </c>
      <c r="F315" s="1713" t="s">
        <v>623</v>
      </c>
      <c r="G315" s="1713" t="s">
        <v>623</v>
      </c>
      <c r="H315" s="1713" t="s">
        <v>623</v>
      </c>
      <c r="I315" s="1713" t="s">
        <v>623</v>
      </c>
      <c r="J315" s="1713" t="s">
        <v>623</v>
      </c>
    </row>
    <row r="316" spans="1:11" hidden="1" outlineLevel="1">
      <c r="A316" s="1599" t="s">
        <v>629</v>
      </c>
      <c r="B316" s="1713">
        <v>2248.0943039644999</v>
      </c>
      <c r="C316" s="1713" t="s">
        <v>621</v>
      </c>
      <c r="D316" s="1713">
        <v>49.169999999999789</v>
      </c>
      <c r="E316" s="1713">
        <v>0.90000000000086999</v>
      </c>
      <c r="F316" s="1713">
        <v>9.000000000142E-2</v>
      </c>
      <c r="G316" s="1713">
        <v>110.53879692593399</v>
      </c>
      <c r="H316" s="1713">
        <v>2.02328487357E-3</v>
      </c>
      <c r="I316" s="1713">
        <v>2.0232848736E-4</v>
      </c>
      <c r="J316" s="1713" t="s">
        <v>623</v>
      </c>
    </row>
    <row r="317" spans="1:11" hidden="1" outlineLevel="1"/>
    <row r="318" spans="1:11" hidden="1" outlineLevel="1">
      <c r="A318" s="1600" t="s">
        <v>631</v>
      </c>
      <c r="B318" s="1916" t="s">
        <v>632</v>
      </c>
      <c r="C318" s="1917"/>
      <c r="D318" s="1918"/>
      <c r="E318" s="1916" t="s">
        <v>633</v>
      </c>
      <c r="F318" s="1917"/>
      <c r="G318" s="1918"/>
      <c r="H318" s="1916" t="s">
        <v>607</v>
      </c>
      <c r="I318" s="1917"/>
      <c r="J318" s="1917"/>
      <c r="K318" s="1918"/>
    </row>
    <row r="319" spans="1:11" hidden="1" outlineLevel="1">
      <c r="A319" s="391" t="s">
        <v>634</v>
      </c>
      <c r="B319" s="1601" t="s">
        <v>635</v>
      </c>
      <c r="C319" s="1601" t="s">
        <v>636</v>
      </c>
      <c r="D319" s="1601" t="s">
        <v>637</v>
      </c>
      <c r="E319" s="1601" t="s">
        <v>638</v>
      </c>
      <c r="F319" s="1602" t="s">
        <v>610</v>
      </c>
      <c r="G319" s="1602" t="s">
        <v>611</v>
      </c>
      <c r="H319" s="1916" t="s">
        <v>613</v>
      </c>
      <c r="I319" s="1918"/>
      <c r="J319" s="1602" t="s">
        <v>639</v>
      </c>
      <c r="K319" s="1602" t="s">
        <v>611</v>
      </c>
    </row>
    <row r="320" spans="1:11" hidden="1" outlineLevel="1">
      <c r="A320" s="391"/>
      <c r="B320" s="388"/>
      <c r="C320" s="388"/>
      <c r="D320" s="388"/>
      <c r="E320" s="1143"/>
      <c r="F320" s="1142"/>
      <c r="G320" s="1142"/>
      <c r="H320" s="389" t="s">
        <v>640</v>
      </c>
      <c r="I320" s="1603" t="s">
        <v>641</v>
      </c>
      <c r="J320" s="1142"/>
      <c r="K320" s="1142"/>
    </row>
    <row r="321" spans="1:11" ht="15.75" hidden="1" outlineLevel="1" thickBot="1">
      <c r="A321" s="392"/>
      <c r="B321" s="390"/>
      <c r="C321" s="390"/>
      <c r="D321" s="390"/>
      <c r="E321" s="1919" t="s">
        <v>642</v>
      </c>
      <c r="F321" s="1920"/>
      <c r="G321" s="1921"/>
      <c r="H321" s="1922" t="s">
        <v>619</v>
      </c>
      <c r="I321" s="1923"/>
      <c r="J321" s="1923"/>
      <c r="K321" s="1924"/>
    </row>
    <row r="322" spans="1:11" hidden="1" outlineLevel="1">
      <c r="A322" s="241" t="s">
        <v>643</v>
      </c>
      <c r="B322" s="1714" t="s">
        <v>622</v>
      </c>
      <c r="C322" s="1714" t="s">
        <v>622</v>
      </c>
      <c r="D322" s="1714" t="s">
        <v>622</v>
      </c>
      <c r="E322" s="1714" t="s">
        <v>622</v>
      </c>
      <c r="F322" s="1714" t="s">
        <v>622</v>
      </c>
      <c r="G322" s="1714" t="s">
        <v>622</v>
      </c>
      <c r="H322" s="1713">
        <v>675.69235975225104</v>
      </c>
      <c r="I322" s="1713" t="s">
        <v>623</v>
      </c>
      <c r="J322" s="1713">
        <v>7.0481337145043801</v>
      </c>
      <c r="K322" s="1713" t="s">
        <v>623</v>
      </c>
    </row>
    <row r="323" spans="1:11" hidden="1" outlineLevel="1">
      <c r="A323" s="1715" t="s">
        <v>513</v>
      </c>
      <c r="B323" s="1716" t="s">
        <v>622</v>
      </c>
      <c r="C323" s="1716" t="s">
        <v>346</v>
      </c>
      <c r="D323" s="1716">
        <v>188234.9572</v>
      </c>
      <c r="E323" s="1713">
        <v>3589.6220861586648</v>
      </c>
      <c r="F323" s="1713">
        <v>37.44327737709061</v>
      </c>
      <c r="G323" s="1713" t="s">
        <v>623</v>
      </c>
      <c r="H323" s="1716">
        <v>675.69235975225104</v>
      </c>
      <c r="I323" s="1716" t="s">
        <v>623</v>
      </c>
      <c r="J323" s="1716">
        <v>7.0481337145043801</v>
      </c>
      <c r="K323" s="1716" t="s">
        <v>623</v>
      </c>
    </row>
    <row r="324" spans="1:11" hidden="1" outlineLevel="1"/>
    <row r="325" spans="1:11" s="231" customFormat="1" collapsed="1">
      <c r="A325" s="231" t="s">
        <v>662</v>
      </c>
    </row>
    <row r="326" spans="1:11" hidden="1" outlineLevel="1">
      <c r="A326" t="s">
        <v>647</v>
      </c>
      <c r="J326" t="s">
        <v>663</v>
      </c>
    </row>
    <row r="327" spans="1:11" hidden="1" outlineLevel="1">
      <c r="A327" t="s">
        <v>649</v>
      </c>
      <c r="J327" t="s">
        <v>650</v>
      </c>
    </row>
    <row r="328" spans="1:11" hidden="1" outlineLevel="1">
      <c r="A328" t="s">
        <v>651</v>
      </c>
      <c r="J328" t="s">
        <v>652</v>
      </c>
    </row>
    <row r="329" spans="1:11" hidden="1" outlineLevel="1"/>
    <row r="330" spans="1:11" hidden="1" outlineLevel="1">
      <c r="A330" s="1941" t="s">
        <v>604</v>
      </c>
      <c r="B330" s="1944" t="s">
        <v>605</v>
      </c>
      <c r="C330" s="1956"/>
      <c r="D330" s="1944" t="s">
        <v>606</v>
      </c>
      <c r="E330" s="1946"/>
      <c r="F330" s="1945"/>
      <c r="G330" s="1944" t="s">
        <v>607</v>
      </c>
      <c r="H330" s="1957"/>
      <c r="I330" s="1957"/>
      <c r="J330" s="1956"/>
    </row>
    <row r="331" spans="1:11" ht="18" hidden="1" outlineLevel="1">
      <c r="A331" s="1942"/>
      <c r="B331" s="1947" t="s">
        <v>608</v>
      </c>
      <c r="C331" s="1948"/>
      <c r="D331" s="1951" t="s">
        <v>653</v>
      </c>
      <c r="E331" s="1947" t="s">
        <v>654</v>
      </c>
      <c r="F331" s="1948" t="s">
        <v>655</v>
      </c>
      <c r="G331" s="1951" t="s">
        <v>656</v>
      </c>
      <c r="H331" s="1951" t="s">
        <v>654</v>
      </c>
      <c r="I331" s="1951" t="s">
        <v>655</v>
      </c>
      <c r="J331" s="1604" t="s">
        <v>657</v>
      </c>
    </row>
    <row r="332" spans="1:11" hidden="1" outlineLevel="1">
      <c r="A332" s="1942"/>
      <c r="B332" s="1949"/>
      <c r="C332" s="1950"/>
      <c r="D332" s="1952"/>
      <c r="E332" s="1949"/>
      <c r="F332" s="1950"/>
      <c r="G332" s="1958"/>
      <c r="H332" s="1952"/>
      <c r="I332" s="1952"/>
      <c r="J332" s="1604" t="s">
        <v>614</v>
      </c>
    </row>
    <row r="333" spans="1:11" ht="18" hidden="1" outlineLevel="1" thickBot="1">
      <c r="A333" s="1943"/>
      <c r="B333" s="1144" t="s">
        <v>615</v>
      </c>
      <c r="C333" s="162" t="s">
        <v>658</v>
      </c>
      <c r="D333" s="162" t="s">
        <v>617</v>
      </c>
      <c r="E333" s="1953" t="s">
        <v>618</v>
      </c>
      <c r="F333" s="1954"/>
      <c r="G333" s="1953" t="s">
        <v>619</v>
      </c>
      <c r="H333" s="1959"/>
      <c r="I333" s="1959"/>
      <c r="J333" s="1960"/>
    </row>
    <row r="334" spans="1:11" hidden="1" outlineLevel="1">
      <c r="A334" s="1598" t="s">
        <v>620</v>
      </c>
      <c r="B334" s="1713">
        <v>72155.013225007322</v>
      </c>
      <c r="C334" s="1713" t="s">
        <v>621</v>
      </c>
      <c r="D334" s="1714" t="s">
        <v>622</v>
      </c>
      <c r="E334" s="1714" t="s">
        <v>622</v>
      </c>
      <c r="F334" s="1714" t="s">
        <v>622</v>
      </c>
      <c r="G334" s="1713">
        <v>4240.1976313634505</v>
      </c>
      <c r="H334" s="1713">
        <v>6.5598698408090003E-2</v>
      </c>
      <c r="I334" s="1713">
        <v>2.415721047684E-2</v>
      </c>
      <c r="J334" s="1713" t="s">
        <v>623</v>
      </c>
    </row>
    <row r="335" spans="1:11" hidden="1" outlineLevel="1">
      <c r="A335" s="1599" t="s">
        <v>624</v>
      </c>
      <c r="B335" s="1713">
        <v>37.454408109615102</v>
      </c>
      <c r="C335" s="1713" t="s">
        <v>621</v>
      </c>
      <c r="D335" s="1713">
        <v>69.579036184292036</v>
      </c>
      <c r="E335" s="1713">
        <v>0.85499999990065001</v>
      </c>
      <c r="F335" s="1713">
        <v>0.56999999993377004</v>
      </c>
      <c r="G335" s="1713">
        <v>2.6060416171201499</v>
      </c>
      <c r="H335" s="1713">
        <v>3.2023518929999999E-5</v>
      </c>
      <c r="I335" s="1713">
        <v>2.1349012620000001E-5</v>
      </c>
      <c r="J335" s="1713" t="s">
        <v>623</v>
      </c>
    </row>
    <row r="336" spans="1:11" hidden="1" outlineLevel="1">
      <c r="A336" s="1599" t="s">
        <v>625</v>
      </c>
      <c r="B336" s="1713">
        <v>13217.439079170201</v>
      </c>
      <c r="C336" s="1713" t="s">
        <v>621</v>
      </c>
      <c r="D336" s="1713">
        <v>92.000000000000114</v>
      </c>
      <c r="E336" s="1713">
        <v>0.94999999999986995</v>
      </c>
      <c r="F336" s="1713">
        <v>1.4250000000001899</v>
      </c>
      <c r="G336" s="1713">
        <v>1216.00439528366</v>
      </c>
      <c r="H336" s="1713">
        <v>1.255656712521E-2</v>
      </c>
      <c r="I336" s="1713">
        <v>1.8834850687819999E-2</v>
      </c>
      <c r="J336" s="1713" t="s">
        <v>623</v>
      </c>
    </row>
    <row r="337" spans="1:11" hidden="1" outlineLevel="1">
      <c r="A337" s="1599" t="s">
        <v>626</v>
      </c>
      <c r="B337" s="1713">
        <v>56804.152097968799</v>
      </c>
      <c r="C337" s="1713" t="s">
        <v>621</v>
      </c>
      <c r="D337" s="1713">
        <v>53.193069218803032</v>
      </c>
      <c r="E337" s="1713">
        <v>0.89999999999997005</v>
      </c>
      <c r="F337" s="1713">
        <v>9.0000000000049998E-2</v>
      </c>
      <c r="G337" s="1713">
        <v>3021.5871944626701</v>
      </c>
      <c r="H337" s="1713">
        <v>5.1123736888169999E-2</v>
      </c>
      <c r="I337" s="1713">
        <v>5.1123736888200001E-3</v>
      </c>
      <c r="J337" s="1713" t="s">
        <v>623</v>
      </c>
    </row>
    <row r="338" spans="1:11" hidden="1" outlineLevel="1">
      <c r="A338" s="1599" t="s">
        <v>627</v>
      </c>
      <c r="B338" s="1713" t="s">
        <v>623</v>
      </c>
      <c r="C338" s="1713" t="s">
        <v>621</v>
      </c>
      <c r="D338" s="1713" t="s">
        <v>623</v>
      </c>
      <c r="E338" s="1713" t="s">
        <v>623</v>
      </c>
      <c r="F338" s="1713" t="s">
        <v>623</v>
      </c>
      <c r="G338" s="1713" t="s">
        <v>623</v>
      </c>
      <c r="H338" s="1713" t="s">
        <v>623</v>
      </c>
      <c r="I338" s="1713" t="s">
        <v>623</v>
      </c>
      <c r="J338" s="1713" t="s">
        <v>623</v>
      </c>
    </row>
    <row r="339" spans="1:11" hidden="1" outlineLevel="1">
      <c r="A339" s="1599" t="s">
        <v>628</v>
      </c>
      <c r="B339" s="1713" t="s">
        <v>623</v>
      </c>
      <c r="C339" s="1713" t="s">
        <v>621</v>
      </c>
      <c r="D339" s="1713" t="s">
        <v>623</v>
      </c>
      <c r="E339" s="1713" t="s">
        <v>623</v>
      </c>
      <c r="F339" s="1713" t="s">
        <v>623</v>
      </c>
      <c r="G339" s="1713" t="s">
        <v>623</v>
      </c>
      <c r="H339" s="1713" t="s">
        <v>623</v>
      </c>
      <c r="I339" s="1713" t="s">
        <v>623</v>
      </c>
      <c r="J339" s="1713" t="s">
        <v>623</v>
      </c>
    </row>
    <row r="340" spans="1:11" hidden="1" outlineLevel="1">
      <c r="A340" s="1599" t="s">
        <v>629</v>
      </c>
      <c r="B340" s="1713">
        <v>2095.9676397587</v>
      </c>
      <c r="C340" s="1713" t="s">
        <v>621</v>
      </c>
      <c r="D340" s="1713">
        <v>49.169999999999867</v>
      </c>
      <c r="E340" s="1713">
        <v>0.89999999999864999</v>
      </c>
      <c r="F340" s="1713">
        <v>9.0000000000819994E-2</v>
      </c>
      <c r="G340" s="1713">
        <v>103.058728846935</v>
      </c>
      <c r="H340" s="1713">
        <v>1.88637087578E-3</v>
      </c>
      <c r="I340" s="1713">
        <v>1.8863708757999999E-4</v>
      </c>
      <c r="J340" s="1713" t="s">
        <v>623</v>
      </c>
    </row>
    <row r="341" spans="1:11" hidden="1" outlineLevel="1"/>
    <row r="342" spans="1:11" hidden="1" outlineLevel="1">
      <c r="A342" s="1600" t="s">
        <v>631</v>
      </c>
      <c r="B342" s="1916" t="s">
        <v>632</v>
      </c>
      <c r="C342" s="1917"/>
      <c r="D342" s="1918"/>
      <c r="E342" s="1916" t="s">
        <v>633</v>
      </c>
      <c r="F342" s="1917"/>
      <c r="G342" s="1918"/>
      <c r="H342" s="1916" t="s">
        <v>607</v>
      </c>
      <c r="I342" s="1917"/>
      <c r="J342" s="1917"/>
      <c r="K342" s="1918"/>
    </row>
    <row r="343" spans="1:11" hidden="1" outlineLevel="1">
      <c r="A343" s="391" t="s">
        <v>634</v>
      </c>
      <c r="B343" s="1601" t="s">
        <v>635</v>
      </c>
      <c r="C343" s="1601" t="s">
        <v>636</v>
      </c>
      <c r="D343" s="1601" t="s">
        <v>637</v>
      </c>
      <c r="E343" s="1601" t="s">
        <v>638</v>
      </c>
      <c r="F343" s="1602" t="s">
        <v>610</v>
      </c>
      <c r="G343" s="1602" t="s">
        <v>611</v>
      </c>
      <c r="H343" s="1916" t="s">
        <v>613</v>
      </c>
      <c r="I343" s="1918"/>
      <c r="J343" s="1602" t="s">
        <v>639</v>
      </c>
      <c r="K343" s="1602" t="s">
        <v>611</v>
      </c>
    </row>
    <row r="344" spans="1:11" hidden="1" outlineLevel="1">
      <c r="A344" s="391"/>
      <c r="B344" s="388"/>
      <c r="C344" s="388"/>
      <c r="D344" s="388"/>
      <c r="E344" s="1143"/>
      <c r="F344" s="1142"/>
      <c r="G344" s="1142"/>
      <c r="H344" s="389" t="s">
        <v>640</v>
      </c>
      <c r="I344" s="1603" t="s">
        <v>641</v>
      </c>
      <c r="J344" s="1142"/>
      <c r="K344" s="1142"/>
    </row>
    <row r="345" spans="1:11" ht="15.75" hidden="1" outlineLevel="1" thickBot="1">
      <c r="A345" s="392"/>
      <c r="B345" s="390"/>
      <c r="C345" s="390"/>
      <c r="D345" s="390"/>
      <c r="E345" s="1919" t="s">
        <v>642</v>
      </c>
      <c r="F345" s="1920"/>
      <c r="G345" s="1921"/>
      <c r="H345" s="1922" t="s">
        <v>619</v>
      </c>
      <c r="I345" s="1923"/>
      <c r="J345" s="1923"/>
      <c r="K345" s="1924"/>
    </row>
    <row r="346" spans="1:11" hidden="1" outlineLevel="1">
      <c r="A346" s="241" t="s">
        <v>643</v>
      </c>
      <c r="B346" s="1714" t="s">
        <v>622</v>
      </c>
      <c r="C346" s="1714" t="s">
        <v>622</v>
      </c>
      <c r="D346" s="1714" t="s">
        <v>622</v>
      </c>
      <c r="E346" s="1714" t="s">
        <v>622</v>
      </c>
      <c r="F346" s="1714" t="s">
        <v>622</v>
      </c>
      <c r="G346" s="1714" t="s">
        <v>622</v>
      </c>
      <c r="H346" s="1713">
        <v>645.508721421774</v>
      </c>
      <c r="I346" s="1713" t="s">
        <v>623</v>
      </c>
      <c r="J346" s="1713">
        <v>6.63607164772346</v>
      </c>
      <c r="K346" s="1713" t="s">
        <v>623</v>
      </c>
    </row>
    <row r="347" spans="1:11" hidden="1" outlineLevel="1">
      <c r="A347" s="1715" t="s">
        <v>513</v>
      </c>
      <c r="B347" s="1716" t="s">
        <v>622</v>
      </c>
      <c r="C347" s="1716" t="s">
        <v>346</v>
      </c>
      <c r="D347" s="1716">
        <v>181002.0252</v>
      </c>
      <c r="E347" s="1713">
        <v>3566.3066239646359</v>
      </c>
      <c r="F347" s="1713">
        <v>36.66296904905272</v>
      </c>
      <c r="G347" s="1713" t="s">
        <v>623</v>
      </c>
      <c r="H347" s="1716">
        <v>645.508721421774</v>
      </c>
      <c r="I347" s="1716" t="s">
        <v>623</v>
      </c>
      <c r="J347" s="1716">
        <v>6.63607164772346</v>
      </c>
      <c r="K347" s="1716" t="s">
        <v>623</v>
      </c>
    </row>
    <row r="348" spans="1:11" collapsed="1"/>
    <row r="349" spans="1:11" s="231" customFormat="1">
      <c r="A349" s="231" t="s">
        <v>664</v>
      </c>
    </row>
    <row r="350" spans="1:11" hidden="1" outlineLevel="1">
      <c r="A350" t="s">
        <v>647</v>
      </c>
      <c r="J350" t="s">
        <v>665</v>
      </c>
    </row>
    <row r="351" spans="1:11" hidden="1" outlineLevel="1">
      <c r="A351" t="s">
        <v>649</v>
      </c>
      <c r="J351" t="s">
        <v>650</v>
      </c>
    </row>
    <row r="352" spans="1:11" hidden="1" outlineLevel="1">
      <c r="A352" t="s">
        <v>651</v>
      </c>
      <c r="J352" t="s">
        <v>652</v>
      </c>
    </row>
    <row r="353" spans="1:11" hidden="1" outlineLevel="1"/>
    <row r="354" spans="1:11" hidden="1" outlineLevel="1">
      <c r="A354" s="1941" t="s">
        <v>604</v>
      </c>
      <c r="B354" s="1944" t="s">
        <v>605</v>
      </c>
      <c r="C354" s="1956"/>
      <c r="D354" s="1944" t="s">
        <v>606</v>
      </c>
      <c r="E354" s="1946"/>
      <c r="F354" s="1945"/>
      <c r="G354" s="1944" t="s">
        <v>607</v>
      </c>
      <c r="H354" s="1957"/>
      <c r="I354" s="1957"/>
      <c r="J354" s="1956"/>
    </row>
    <row r="355" spans="1:11" ht="18" hidden="1" outlineLevel="1">
      <c r="A355" s="1942"/>
      <c r="B355" s="1947" t="s">
        <v>608</v>
      </c>
      <c r="C355" s="1948"/>
      <c r="D355" s="1951" t="s">
        <v>653</v>
      </c>
      <c r="E355" s="1947" t="s">
        <v>654</v>
      </c>
      <c r="F355" s="1948" t="s">
        <v>655</v>
      </c>
      <c r="G355" s="1951" t="s">
        <v>656</v>
      </c>
      <c r="H355" s="1951" t="s">
        <v>654</v>
      </c>
      <c r="I355" s="1951" t="s">
        <v>655</v>
      </c>
      <c r="J355" s="1604" t="s">
        <v>657</v>
      </c>
    </row>
    <row r="356" spans="1:11" hidden="1" outlineLevel="1">
      <c r="A356" s="1942"/>
      <c r="B356" s="1949"/>
      <c r="C356" s="1950"/>
      <c r="D356" s="1952"/>
      <c r="E356" s="1949"/>
      <c r="F356" s="1950"/>
      <c r="G356" s="1958"/>
      <c r="H356" s="1952"/>
      <c r="I356" s="1952"/>
      <c r="J356" s="1604" t="s">
        <v>614</v>
      </c>
    </row>
    <row r="357" spans="1:11" ht="18" hidden="1" outlineLevel="1" thickBot="1">
      <c r="A357" s="1943"/>
      <c r="B357" s="1144" t="s">
        <v>615</v>
      </c>
      <c r="C357" s="162" t="s">
        <v>658</v>
      </c>
      <c r="D357" s="162" t="s">
        <v>617</v>
      </c>
      <c r="E357" s="1953" t="s">
        <v>618</v>
      </c>
      <c r="F357" s="1954"/>
      <c r="G357" s="1953" t="s">
        <v>619</v>
      </c>
      <c r="H357" s="1959"/>
      <c r="I357" s="1959"/>
      <c r="J357" s="1960"/>
    </row>
    <row r="358" spans="1:11" hidden="1" outlineLevel="1">
      <c r="A358" s="1598" t="s">
        <v>620</v>
      </c>
      <c r="B358" s="1713">
        <v>86582.564823827241</v>
      </c>
      <c r="C358" s="1713" t="s">
        <v>621</v>
      </c>
      <c r="D358" s="1714" t="s">
        <v>622</v>
      </c>
      <c r="E358" s="1714" t="s">
        <v>622</v>
      </c>
      <c r="F358" s="1714" t="s">
        <v>622</v>
      </c>
      <c r="G358" s="1713">
        <v>5195.8504246810771</v>
      </c>
      <c r="H358" s="1713">
        <v>7.8800728328409994E-2</v>
      </c>
      <c r="I358" s="1713">
        <v>3.125967797754E-2</v>
      </c>
      <c r="J358" s="1713" t="s">
        <v>623</v>
      </c>
    </row>
    <row r="359" spans="1:11" hidden="1" outlineLevel="1">
      <c r="A359" s="1599" t="s">
        <v>624</v>
      </c>
      <c r="B359" s="1713">
        <v>39.746352451734403</v>
      </c>
      <c r="C359" s="1713" t="s">
        <v>621</v>
      </c>
      <c r="D359" s="1713">
        <v>69.573408531391706</v>
      </c>
      <c r="E359" s="1713">
        <v>0.85500000009478005</v>
      </c>
      <c r="F359" s="1713">
        <v>0.57000000006318996</v>
      </c>
      <c r="G359" s="1713">
        <v>2.7652892167571999</v>
      </c>
      <c r="H359" s="1713">
        <v>3.3983131349999999E-5</v>
      </c>
      <c r="I359" s="1713">
        <v>2.2655420899999999E-5</v>
      </c>
      <c r="J359" s="1713" t="s">
        <v>623</v>
      </c>
    </row>
    <row r="360" spans="1:11" hidden="1" outlineLevel="1">
      <c r="A360" s="1599" t="s">
        <v>625</v>
      </c>
      <c r="B360" s="1713">
        <v>17564.171456346601</v>
      </c>
      <c r="C360" s="1713" t="s">
        <v>621</v>
      </c>
      <c r="D360" s="1713">
        <v>92.000000000000156</v>
      </c>
      <c r="E360" s="1713">
        <v>0.95000000000004003</v>
      </c>
      <c r="F360" s="1713">
        <v>1.42499999999978</v>
      </c>
      <c r="G360" s="1713">
        <v>1615.90377398389</v>
      </c>
      <c r="H360" s="1713">
        <v>1.6685962883530001E-2</v>
      </c>
      <c r="I360" s="1713">
        <v>2.5028944325290001E-2</v>
      </c>
      <c r="J360" s="1713" t="s">
        <v>623</v>
      </c>
    </row>
    <row r="361" spans="1:11" hidden="1" outlineLevel="1">
      <c r="A361" s="1599" t="s">
        <v>626</v>
      </c>
      <c r="B361" s="1713">
        <v>67166.831415999899</v>
      </c>
      <c r="C361" s="1713" t="s">
        <v>621</v>
      </c>
      <c r="D361" s="1713">
        <v>53.2581526635527</v>
      </c>
      <c r="E361" s="1713">
        <v>0.9</v>
      </c>
      <c r="F361" s="1713">
        <v>0.09</v>
      </c>
      <c r="G361" s="1713">
        <v>3577.18136148043</v>
      </c>
      <c r="H361" s="1713">
        <v>6.0450148274399998E-2</v>
      </c>
      <c r="I361" s="1713">
        <v>6.0450148274399998E-3</v>
      </c>
      <c r="J361" s="1713" t="s">
        <v>623</v>
      </c>
    </row>
    <row r="362" spans="1:11" hidden="1" outlineLevel="1">
      <c r="A362" s="1599" t="s">
        <v>627</v>
      </c>
      <c r="B362" s="1713" t="s">
        <v>623</v>
      </c>
      <c r="C362" s="1713" t="s">
        <v>621</v>
      </c>
      <c r="D362" s="1713" t="s">
        <v>623</v>
      </c>
      <c r="E362" s="1713" t="s">
        <v>623</v>
      </c>
      <c r="F362" s="1713" t="s">
        <v>623</v>
      </c>
      <c r="G362" s="1713" t="s">
        <v>623</v>
      </c>
      <c r="H362" s="1713" t="s">
        <v>623</v>
      </c>
      <c r="I362" s="1713" t="s">
        <v>623</v>
      </c>
      <c r="J362" s="1713" t="s">
        <v>623</v>
      </c>
    </row>
    <row r="363" spans="1:11" hidden="1" outlineLevel="1">
      <c r="A363" s="1599" t="s">
        <v>628</v>
      </c>
      <c r="B363" s="1713" t="s">
        <v>623</v>
      </c>
      <c r="C363" s="1713" t="s">
        <v>621</v>
      </c>
      <c r="D363" s="1713" t="s">
        <v>623</v>
      </c>
      <c r="E363" s="1713" t="s">
        <v>623</v>
      </c>
      <c r="F363" s="1713" t="s">
        <v>623</v>
      </c>
      <c r="G363" s="1713" t="s">
        <v>623</v>
      </c>
      <c r="H363" s="1713" t="s">
        <v>623</v>
      </c>
      <c r="I363" s="1713" t="s">
        <v>623</v>
      </c>
      <c r="J363" s="1713" t="s">
        <v>623</v>
      </c>
    </row>
    <row r="364" spans="1:11" hidden="1" outlineLevel="1">
      <c r="A364" s="1599" t="s">
        <v>629</v>
      </c>
      <c r="B364" s="1713">
        <v>1811.8155990289999</v>
      </c>
      <c r="C364" s="1713" t="s">
        <v>621</v>
      </c>
      <c r="D364" s="1713">
        <v>49.16999999999998</v>
      </c>
      <c r="E364" s="1713">
        <v>0.90000000000214997</v>
      </c>
      <c r="F364" s="1713">
        <v>8.9999999998559996E-2</v>
      </c>
      <c r="G364" s="1713">
        <v>89.086973004255896</v>
      </c>
      <c r="H364" s="1713">
        <v>1.63063403913E-3</v>
      </c>
      <c r="I364" s="1713">
        <v>1.6306340391E-4</v>
      </c>
      <c r="J364" s="1713" t="s">
        <v>623</v>
      </c>
    </row>
    <row r="365" spans="1:11" hidden="1" outlineLevel="1"/>
    <row r="366" spans="1:11" hidden="1" outlineLevel="1">
      <c r="A366" s="1600" t="s">
        <v>631</v>
      </c>
      <c r="B366" s="1916" t="s">
        <v>632</v>
      </c>
      <c r="C366" s="1917"/>
      <c r="D366" s="1918"/>
      <c r="E366" s="1916" t="s">
        <v>633</v>
      </c>
      <c r="F366" s="1917"/>
      <c r="G366" s="1918"/>
      <c r="H366" s="1916" t="s">
        <v>607</v>
      </c>
      <c r="I366" s="1917"/>
      <c r="J366" s="1917"/>
      <c r="K366" s="1918"/>
    </row>
    <row r="367" spans="1:11" hidden="1" outlineLevel="1">
      <c r="A367" s="391" t="s">
        <v>634</v>
      </c>
      <c r="B367" s="1601" t="s">
        <v>635</v>
      </c>
      <c r="C367" s="1601" t="s">
        <v>636</v>
      </c>
      <c r="D367" s="1601" t="s">
        <v>637</v>
      </c>
      <c r="E367" s="1601" t="s">
        <v>638</v>
      </c>
      <c r="F367" s="1602" t="s">
        <v>610</v>
      </c>
      <c r="G367" s="1602" t="s">
        <v>611</v>
      </c>
      <c r="H367" s="1916" t="s">
        <v>613</v>
      </c>
      <c r="I367" s="1918"/>
      <c r="J367" s="1602" t="s">
        <v>639</v>
      </c>
      <c r="K367" s="1602" t="s">
        <v>611</v>
      </c>
    </row>
    <row r="368" spans="1:11" hidden="1" outlineLevel="1">
      <c r="A368" s="391"/>
      <c r="B368" s="388"/>
      <c r="C368" s="388"/>
      <c r="D368" s="388"/>
      <c r="E368" s="1143"/>
      <c r="F368" s="1142"/>
      <c r="G368" s="1142"/>
      <c r="H368" s="389" t="s">
        <v>640</v>
      </c>
      <c r="I368" s="1603" t="s">
        <v>641</v>
      </c>
      <c r="J368" s="1142"/>
      <c r="K368" s="1142"/>
    </row>
    <row r="369" spans="1:11" ht="15.75" hidden="1" outlineLevel="1" thickBot="1">
      <c r="A369" s="392"/>
      <c r="B369" s="390"/>
      <c r="C369" s="390"/>
      <c r="D369" s="390"/>
      <c r="E369" s="1919" t="s">
        <v>642</v>
      </c>
      <c r="F369" s="1920"/>
      <c r="G369" s="1921"/>
      <c r="H369" s="1922" t="s">
        <v>619</v>
      </c>
      <c r="I369" s="1923"/>
      <c r="J369" s="1923"/>
      <c r="K369" s="1924"/>
    </row>
    <row r="370" spans="1:11" hidden="1" outlineLevel="1">
      <c r="A370" s="241" t="s">
        <v>643</v>
      </c>
      <c r="B370" s="1714" t="s">
        <v>622</v>
      </c>
      <c r="C370" s="1714" t="s">
        <v>622</v>
      </c>
      <c r="D370" s="1714" t="s">
        <v>622</v>
      </c>
      <c r="E370" s="1714" t="s">
        <v>622</v>
      </c>
      <c r="F370" s="1714" t="s">
        <v>622</v>
      </c>
      <c r="G370" s="1714" t="s">
        <v>622</v>
      </c>
      <c r="H370" s="1713">
        <v>596.680154551839</v>
      </c>
      <c r="I370" s="1713" t="s">
        <v>623</v>
      </c>
      <c r="J370" s="1713">
        <v>6.0638902877676903</v>
      </c>
      <c r="K370" s="1713" t="s">
        <v>623</v>
      </c>
    </row>
    <row r="371" spans="1:11" hidden="1" outlineLevel="1">
      <c r="A371" s="1715" t="s">
        <v>513</v>
      </c>
      <c r="B371" s="1716" t="s">
        <v>622</v>
      </c>
      <c r="C371" s="1716" t="s">
        <v>346</v>
      </c>
      <c r="D371" s="1716">
        <v>160013.88959999999</v>
      </c>
      <c r="E371" s="1713">
        <v>3728.9272577737465</v>
      </c>
      <c r="F371" s="1713">
        <v>37.896024544657337</v>
      </c>
      <c r="G371" s="1713" t="s">
        <v>623</v>
      </c>
      <c r="H371" s="1716">
        <v>596.680154551839</v>
      </c>
      <c r="I371" s="1716" t="s">
        <v>623</v>
      </c>
      <c r="J371" s="1716">
        <v>6.0638902877676903</v>
      </c>
      <c r="K371" s="1716" t="s">
        <v>623</v>
      </c>
    </row>
    <row r="372" spans="1:11" collapsed="1"/>
    <row r="373" spans="1:11" s="231" customFormat="1">
      <c r="A373" s="231" t="s">
        <v>666</v>
      </c>
    </row>
    <row r="374" spans="1:11" hidden="1" outlineLevel="1">
      <c r="A374" t="s">
        <v>647</v>
      </c>
      <c r="J374" t="s">
        <v>667</v>
      </c>
    </row>
    <row r="375" spans="1:11" hidden="1" outlineLevel="1">
      <c r="A375" t="s">
        <v>649</v>
      </c>
      <c r="J375" t="s">
        <v>650</v>
      </c>
    </row>
    <row r="376" spans="1:11" hidden="1" outlineLevel="1">
      <c r="A376" t="s">
        <v>651</v>
      </c>
      <c r="J376" t="s">
        <v>652</v>
      </c>
    </row>
    <row r="377" spans="1:11" hidden="1" outlineLevel="1"/>
    <row r="378" spans="1:11" hidden="1" outlineLevel="1">
      <c r="A378" s="1941" t="s">
        <v>604</v>
      </c>
      <c r="B378" s="1944" t="s">
        <v>605</v>
      </c>
      <c r="C378" s="1956"/>
      <c r="D378" s="1944" t="s">
        <v>606</v>
      </c>
      <c r="E378" s="1946"/>
      <c r="F378" s="1945"/>
      <c r="G378" s="1944" t="s">
        <v>607</v>
      </c>
      <c r="H378" s="1957"/>
      <c r="I378" s="1957"/>
      <c r="J378" s="1956"/>
    </row>
    <row r="379" spans="1:11" ht="18" hidden="1" outlineLevel="1">
      <c r="A379" s="1942"/>
      <c r="B379" s="1947" t="s">
        <v>608</v>
      </c>
      <c r="C379" s="1948"/>
      <c r="D379" s="1951" t="s">
        <v>653</v>
      </c>
      <c r="E379" s="1947" t="s">
        <v>654</v>
      </c>
      <c r="F379" s="1948" t="s">
        <v>655</v>
      </c>
      <c r="G379" s="1951" t="s">
        <v>656</v>
      </c>
      <c r="H379" s="1951" t="s">
        <v>654</v>
      </c>
      <c r="I379" s="1951" t="s">
        <v>655</v>
      </c>
      <c r="J379" s="1604" t="s">
        <v>657</v>
      </c>
    </row>
    <row r="380" spans="1:11" hidden="1" outlineLevel="1">
      <c r="A380" s="1942"/>
      <c r="B380" s="1949"/>
      <c r="C380" s="1950"/>
      <c r="D380" s="1952"/>
      <c r="E380" s="1949"/>
      <c r="F380" s="1950"/>
      <c r="G380" s="1958"/>
      <c r="H380" s="1952"/>
      <c r="I380" s="1952"/>
      <c r="J380" s="1604" t="s">
        <v>614</v>
      </c>
    </row>
    <row r="381" spans="1:11" ht="18" hidden="1" outlineLevel="1" thickBot="1">
      <c r="A381" s="1943"/>
      <c r="B381" s="1144" t="s">
        <v>615</v>
      </c>
      <c r="C381" s="162" t="s">
        <v>658</v>
      </c>
      <c r="D381" s="162" t="s">
        <v>617</v>
      </c>
      <c r="E381" s="1953" t="s">
        <v>618</v>
      </c>
      <c r="F381" s="1954"/>
      <c r="G381" s="1953" t="s">
        <v>619</v>
      </c>
      <c r="H381" s="1959"/>
      <c r="I381" s="1959"/>
      <c r="J381" s="1960"/>
    </row>
    <row r="382" spans="1:11" hidden="1" outlineLevel="1">
      <c r="A382" s="1598" t="s">
        <v>620</v>
      </c>
      <c r="B382" s="1713">
        <v>101107.21290547941</v>
      </c>
      <c r="C382" s="1713" t="s">
        <v>621</v>
      </c>
      <c r="D382" s="1714" t="s">
        <v>622</v>
      </c>
      <c r="E382" s="1714" t="s">
        <v>622</v>
      </c>
      <c r="F382" s="1714" t="s">
        <v>622</v>
      </c>
      <c r="G382" s="1713">
        <v>6417.7536522191449</v>
      </c>
      <c r="H382" s="1713">
        <v>9.246085046126E-2</v>
      </c>
      <c r="I382" s="1713">
        <v>4.8265682226570003E-2</v>
      </c>
      <c r="J382" s="1713" t="s">
        <v>623</v>
      </c>
    </row>
    <row r="383" spans="1:11" hidden="1" outlineLevel="1">
      <c r="A383" s="1599" t="s">
        <v>624</v>
      </c>
      <c r="B383" s="1713">
        <v>40.233046815412798</v>
      </c>
      <c r="C383" s="1713" t="s">
        <v>621</v>
      </c>
      <c r="D383" s="1713">
        <v>69.73241961930033</v>
      </c>
      <c r="E383" s="1713">
        <v>0.85500000007013999</v>
      </c>
      <c r="F383" s="1713">
        <v>0.56999999988105998</v>
      </c>
      <c r="G383" s="1713">
        <v>2.80554770309532</v>
      </c>
      <c r="H383" s="1713">
        <v>3.4399255030000001E-5</v>
      </c>
      <c r="I383" s="1713">
        <v>2.2932836679999998E-5</v>
      </c>
      <c r="J383" s="1713" t="s">
        <v>623</v>
      </c>
    </row>
    <row r="384" spans="1:11" hidden="1" outlineLevel="1">
      <c r="A384" s="1599" t="s">
        <v>625</v>
      </c>
      <c r="B384" s="1713">
        <v>29323.3866686254</v>
      </c>
      <c r="C384" s="1713" t="s">
        <v>621</v>
      </c>
      <c r="D384" s="1713">
        <v>92.000000000000114</v>
      </c>
      <c r="E384" s="1713">
        <v>0.94999999999985996</v>
      </c>
      <c r="F384" s="1713">
        <v>1.4249999999999601</v>
      </c>
      <c r="G384" s="1713">
        <v>2697.7515735135398</v>
      </c>
      <c r="H384" s="1713">
        <v>2.7857217335190001E-2</v>
      </c>
      <c r="I384" s="1713">
        <v>4.1785826002790002E-2</v>
      </c>
      <c r="J384" s="1713" t="s">
        <v>623</v>
      </c>
    </row>
    <row r="385" spans="1:11" hidden="1" outlineLevel="1">
      <c r="A385" s="1599" t="s">
        <v>626</v>
      </c>
      <c r="B385" s="1713">
        <v>69792.816131108601</v>
      </c>
      <c r="C385" s="1713" t="s">
        <v>621</v>
      </c>
      <c r="D385" s="1713">
        <v>53.260446233027871</v>
      </c>
      <c r="E385" s="1713">
        <v>0.90000000000003</v>
      </c>
      <c r="F385" s="1713">
        <v>0.09</v>
      </c>
      <c r="G385" s="1713">
        <v>3717.1965310025098</v>
      </c>
      <c r="H385" s="1713">
        <v>6.2813534517999994E-2</v>
      </c>
      <c r="I385" s="1713">
        <v>6.2813534518000001E-3</v>
      </c>
      <c r="J385" s="1713" t="s">
        <v>623</v>
      </c>
    </row>
    <row r="386" spans="1:11" hidden="1" outlineLevel="1">
      <c r="A386" s="1599" t="s">
        <v>627</v>
      </c>
      <c r="B386" s="1713" t="s">
        <v>623</v>
      </c>
      <c r="C386" s="1713" t="s">
        <v>621</v>
      </c>
      <c r="D386" s="1713" t="s">
        <v>623</v>
      </c>
      <c r="E386" s="1713" t="s">
        <v>623</v>
      </c>
      <c r="F386" s="1713" t="s">
        <v>623</v>
      </c>
      <c r="G386" s="1713" t="s">
        <v>623</v>
      </c>
      <c r="H386" s="1713" t="s">
        <v>623</v>
      </c>
      <c r="I386" s="1713" t="s">
        <v>623</v>
      </c>
      <c r="J386" s="1713" t="s">
        <v>623</v>
      </c>
    </row>
    <row r="387" spans="1:11" hidden="1" outlineLevel="1">
      <c r="A387" s="1599" t="s">
        <v>628</v>
      </c>
      <c r="B387" s="1713" t="s">
        <v>623</v>
      </c>
      <c r="C387" s="1713" t="s">
        <v>621</v>
      </c>
      <c r="D387" s="1713" t="s">
        <v>623</v>
      </c>
      <c r="E387" s="1713" t="s">
        <v>623</v>
      </c>
      <c r="F387" s="1713" t="s">
        <v>623</v>
      </c>
      <c r="G387" s="1713" t="s">
        <v>623</v>
      </c>
      <c r="H387" s="1713" t="s">
        <v>623</v>
      </c>
      <c r="I387" s="1713" t="s">
        <v>623</v>
      </c>
      <c r="J387" s="1713" t="s">
        <v>623</v>
      </c>
    </row>
    <row r="388" spans="1:11" hidden="1" outlineLevel="1">
      <c r="A388" s="1599" t="s">
        <v>629</v>
      </c>
      <c r="B388" s="1713">
        <v>1950.7770589300001</v>
      </c>
      <c r="C388" s="1713" t="s">
        <v>621</v>
      </c>
      <c r="D388" s="1713">
        <v>49.17</v>
      </c>
      <c r="E388" s="1713">
        <v>0.90000000000154001</v>
      </c>
      <c r="F388" s="1713">
        <v>8.9999999998100003E-2</v>
      </c>
      <c r="G388" s="1713">
        <v>95.919707987588097</v>
      </c>
      <c r="H388" s="1713">
        <v>1.7556993530399999E-3</v>
      </c>
      <c r="I388" s="1713">
        <v>1.755699353E-4</v>
      </c>
      <c r="J388" s="1713" t="s">
        <v>623</v>
      </c>
    </row>
    <row r="389" spans="1:11" hidden="1" outlineLevel="1"/>
    <row r="390" spans="1:11" hidden="1" outlineLevel="1">
      <c r="A390" s="1600" t="s">
        <v>631</v>
      </c>
      <c r="B390" s="1916" t="s">
        <v>632</v>
      </c>
      <c r="C390" s="1917"/>
      <c r="D390" s="1918"/>
      <c r="E390" s="1916" t="s">
        <v>633</v>
      </c>
      <c r="F390" s="1917"/>
      <c r="G390" s="1918"/>
      <c r="H390" s="1916" t="s">
        <v>607</v>
      </c>
      <c r="I390" s="1917"/>
      <c r="J390" s="1917"/>
      <c r="K390" s="1918"/>
    </row>
    <row r="391" spans="1:11" hidden="1" outlineLevel="1">
      <c r="A391" s="391" t="s">
        <v>634</v>
      </c>
      <c r="B391" s="1601" t="s">
        <v>635</v>
      </c>
      <c r="C391" s="1601" t="s">
        <v>636</v>
      </c>
      <c r="D391" s="1601" t="s">
        <v>637</v>
      </c>
      <c r="E391" s="1601" t="s">
        <v>638</v>
      </c>
      <c r="F391" s="1602" t="s">
        <v>610</v>
      </c>
      <c r="G391" s="1602" t="s">
        <v>611</v>
      </c>
      <c r="H391" s="1916" t="s">
        <v>613</v>
      </c>
      <c r="I391" s="1918"/>
      <c r="J391" s="1602" t="s">
        <v>639</v>
      </c>
      <c r="K391" s="1602" t="s">
        <v>611</v>
      </c>
    </row>
    <row r="392" spans="1:11" hidden="1" outlineLevel="1">
      <c r="A392" s="391"/>
      <c r="B392" s="388"/>
      <c r="C392" s="388"/>
      <c r="D392" s="388"/>
      <c r="E392" s="1143"/>
      <c r="F392" s="1142"/>
      <c r="G392" s="1142"/>
      <c r="H392" s="389" t="s">
        <v>640</v>
      </c>
      <c r="I392" s="1603" t="s">
        <v>641</v>
      </c>
      <c r="J392" s="1142"/>
      <c r="K392" s="1142"/>
    </row>
    <row r="393" spans="1:11" ht="15.75" hidden="1" outlineLevel="1" thickBot="1">
      <c r="A393" s="392"/>
      <c r="B393" s="390"/>
      <c r="C393" s="390"/>
      <c r="D393" s="390"/>
      <c r="E393" s="1919" t="s">
        <v>642</v>
      </c>
      <c r="F393" s="1920"/>
      <c r="G393" s="1921"/>
      <c r="H393" s="1922" t="s">
        <v>619</v>
      </c>
      <c r="I393" s="1923"/>
      <c r="J393" s="1923"/>
      <c r="K393" s="1924"/>
    </row>
    <row r="394" spans="1:11" hidden="1" outlineLevel="1">
      <c r="A394" s="241" t="s">
        <v>643</v>
      </c>
      <c r="B394" s="1714" t="s">
        <v>622</v>
      </c>
      <c r="C394" s="1714" t="s">
        <v>622</v>
      </c>
      <c r="D394" s="1714" t="s">
        <v>622</v>
      </c>
      <c r="E394" s="1714" t="s">
        <v>622</v>
      </c>
      <c r="F394" s="1714" t="s">
        <v>622</v>
      </c>
      <c r="G394" s="1714" t="s">
        <v>622</v>
      </c>
      <c r="H394" s="1713">
        <v>604.76596683122705</v>
      </c>
      <c r="I394" s="1713" t="s">
        <v>623</v>
      </c>
      <c r="J394" s="1713">
        <v>5.8315053330976498</v>
      </c>
      <c r="K394" s="1713" t="s">
        <v>623</v>
      </c>
    </row>
    <row r="395" spans="1:11" hidden="1" outlineLevel="1">
      <c r="A395" s="1715" t="s">
        <v>513</v>
      </c>
      <c r="B395" s="1716" t="s">
        <v>622</v>
      </c>
      <c r="C395" s="1716" t="s">
        <v>346</v>
      </c>
      <c r="D395" s="1716">
        <v>143458.79759999999</v>
      </c>
      <c r="E395" s="1713">
        <v>4215.6073865715089</v>
      </c>
      <c r="F395" s="1713">
        <v>40.649339257376077</v>
      </c>
      <c r="G395" s="1713" t="s">
        <v>623</v>
      </c>
      <c r="H395" s="1716">
        <v>604.76596683122705</v>
      </c>
      <c r="I395" s="1716" t="s">
        <v>623</v>
      </c>
      <c r="J395" s="1716">
        <v>5.8315053330976498</v>
      </c>
      <c r="K395" s="1716" t="s">
        <v>623</v>
      </c>
    </row>
    <row r="396" spans="1:11" collapsed="1"/>
    <row r="397" spans="1:11" s="231" customFormat="1">
      <c r="A397" s="231" t="s">
        <v>668</v>
      </c>
    </row>
    <row r="398" spans="1:11" hidden="1" outlineLevel="1">
      <c r="A398" t="s">
        <v>647</v>
      </c>
      <c r="J398" t="s">
        <v>669</v>
      </c>
    </row>
    <row r="399" spans="1:11" hidden="1" outlineLevel="1">
      <c r="A399" t="s">
        <v>649</v>
      </c>
      <c r="J399" t="s">
        <v>650</v>
      </c>
    </row>
    <row r="400" spans="1:11" hidden="1" outlineLevel="1">
      <c r="A400" t="s">
        <v>651</v>
      </c>
      <c r="J400" t="s">
        <v>652</v>
      </c>
    </row>
    <row r="401" spans="1:11" hidden="1" outlineLevel="1"/>
    <row r="402" spans="1:11" hidden="1" outlineLevel="1"/>
    <row r="403" spans="1:11" hidden="1" outlineLevel="1">
      <c r="A403" s="1941" t="s">
        <v>604</v>
      </c>
      <c r="B403" s="1944" t="s">
        <v>605</v>
      </c>
      <c r="C403" s="1956"/>
      <c r="D403" s="1944" t="s">
        <v>606</v>
      </c>
      <c r="E403" s="1946"/>
      <c r="F403" s="1945"/>
      <c r="G403" s="1944" t="s">
        <v>607</v>
      </c>
      <c r="H403" s="1957"/>
      <c r="I403" s="1957"/>
      <c r="J403" s="1956"/>
    </row>
    <row r="404" spans="1:11" ht="18" hidden="1" outlineLevel="1">
      <c r="A404" s="1942"/>
      <c r="B404" s="1947" t="s">
        <v>608</v>
      </c>
      <c r="C404" s="1948"/>
      <c r="D404" s="1951" t="s">
        <v>653</v>
      </c>
      <c r="E404" s="1947" t="s">
        <v>654</v>
      </c>
      <c r="F404" s="1948" t="s">
        <v>655</v>
      </c>
      <c r="G404" s="1951" t="s">
        <v>656</v>
      </c>
      <c r="H404" s="1951" t="s">
        <v>654</v>
      </c>
      <c r="I404" s="1951" t="s">
        <v>655</v>
      </c>
      <c r="J404" s="1604" t="s">
        <v>657</v>
      </c>
    </row>
    <row r="405" spans="1:11" hidden="1" outlineLevel="1">
      <c r="A405" s="1942"/>
      <c r="B405" s="1949"/>
      <c r="C405" s="1950"/>
      <c r="D405" s="1952"/>
      <c r="E405" s="1949"/>
      <c r="F405" s="1950"/>
      <c r="G405" s="1958"/>
      <c r="H405" s="1952"/>
      <c r="I405" s="1952"/>
      <c r="J405" s="1604" t="s">
        <v>614</v>
      </c>
    </row>
    <row r="406" spans="1:11" ht="18" hidden="1" outlineLevel="1" thickBot="1">
      <c r="A406" s="1943"/>
      <c r="B406" s="1144" t="s">
        <v>615</v>
      </c>
      <c r="C406" s="162" t="s">
        <v>658</v>
      </c>
      <c r="D406" s="162" t="s">
        <v>617</v>
      </c>
      <c r="E406" s="1953" t="s">
        <v>618</v>
      </c>
      <c r="F406" s="1954"/>
      <c r="G406" s="1953" t="s">
        <v>619</v>
      </c>
      <c r="H406" s="1959"/>
      <c r="I406" s="1959"/>
      <c r="J406" s="1960"/>
    </row>
    <row r="407" spans="1:11" hidden="1" outlineLevel="1">
      <c r="A407" s="1598" t="s">
        <v>620</v>
      </c>
      <c r="B407" s="1713">
        <v>84044.053450095904</v>
      </c>
      <c r="C407" s="1713" t="s">
        <v>621</v>
      </c>
      <c r="D407" s="1714" t="s">
        <v>622</v>
      </c>
      <c r="E407" s="1714" t="s">
        <v>622</v>
      </c>
      <c r="F407" s="1714" t="s">
        <v>622</v>
      </c>
      <c r="G407" s="1713">
        <v>5014.7053651572442</v>
      </c>
      <c r="H407" s="1713">
        <v>7.6471790223450006E-2</v>
      </c>
      <c r="I407" s="1713">
        <v>2.9609558412579999E-2</v>
      </c>
      <c r="J407" s="1713" t="s">
        <v>623</v>
      </c>
    </row>
    <row r="408" spans="1:11" hidden="1" outlineLevel="1">
      <c r="A408" s="1599" t="s">
        <v>624</v>
      </c>
      <c r="B408" s="1713">
        <v>19.7756513546063</v>
      </c>
      <c r="C408" s="1713" t="s">
        <v>621</v>
      </c>
      <c r="D408" s="1713">
        <v>70.462791967130187</v>
      </c>
      <c r="E408" s="1713">
        <v>1.2448671585356299</v>
      </c>
      <c r="F408" s="1713">
        <v>0.56999999989251005</v>
      </c>
      <c r="G408" s="1713">
        <v>1.39344760741412</v>
      </c>
      <c r="H408" s="1713">
        <v>2.461805891E-5</v>
      </c>
      <c r="I408" s="1713">
        <v>1.1272121269999999E-5</v>
      </c>
      <c r="J408" s="1713" t="s">
        <v>623</v>
      </c>
    </row>
    <row r="409" spans="1:11" hidden="1" outlineLevel="1">
      <c r="A409" s="1599" t="s">
        <v>625</v>
      </c>
      <c r="B409" s="1713">
        <v>16506.4429134243</v>
      </c>
      <c r="C409" s="1713" t="s">
        <v>621</v>
      </c>
      <c r="D409" s="1713">
        <v>91.999999999999659</v>
      </c>
      <c r="E409" s="1713">
        <v>0.94999999999981</v>
      </c>
      <c r="F409" s="1713">
        <v>1.42500000000002</v>
      </c>
      <c r="G409" s="1713">
        <v>1518.5927480350299</v>
      </c>
      <c r="H409" s="1713">
        <v>1.5681120767749999E-2</v>
      </c>
      <c r="I409" s="1713">
        <v>2.3521681151629999E-2</v>
      </c>
      <c r="J409" s="1713" t="s">
        <v>623</v>
      </c>
    </row>
    <row r="410" spans="1:11" hidden="1" outlineLevel="1">
      <c r="A410" s="1599" t="s">
        <v>626</v>
      </c>
      <c r="B410" s="1713">
        <v>65496.325747700001</v>
      </c>
      <c r="C410" s="1713" t="s">
        <v>621</v>
      </c>
      <c r="D410" s="1713">
        <v>53.357484249985163</v>
      </c>
      <c r="E410" s="1713">
        <v>0.9</v>
      </c>
      <c r="F410" s="1713">
        <v>8.9999999999949995E-2</v>
      </c>
      <c r="G410" s="1713">
        <v>3494.7191695147999</v>
      </c>
      <c r="H410" s="1713">
        <v>5.8946693172929998E-2</v>
      </c>
      <c r="I410" s="1713">
        <v>5.8946693172899998E-3</v>
      </c>
      <c r="J410" s="1713" t="s">
        <v>623</v>
      </c>
    </row>
    <row r="411" spans="1:11" hidden="1" outlineLevel="1">
      <c r="A411" s="1599" t="s">
        <v>627</v>
      </c>
      <c r="B411" s="1713" t="s">
        <v>623</v>
      </c>
      <c r="C411" s="1713" t="s">
        <v>621</v>
      </c>
      <c r="D411" s="1713" t="s">
        <v>623</v>
      </c>
      <c r="E411" s="1713" t="s">
        <v>623</v>
      </c>
      <c r="F411" s="1713" t="s">
        <v>623</v>
      </c>
      <c r="G411" s="1713" t="s">
        <v>623</v>
      </c>
      <c r="H411" s="1713" t="s">
        <v>623</v>
      </c>
      <c r="I411" s="1713" t="s">
        <v>623</v>
      </c>
      <c r="J411" s="1713" t="s">
        <v>623</v>
      </c>
    </row>
    <row r="412" spans="1:11" hidden="1" outlineLevel="1">
      <c r="A412" s="1599" t="s">
        <v>628</v>
      </c>
      <c r="B412" s="1713" t="s">
        <v>623</v>
      </c>
      <c r="C412" s="1713" t="s">
        <v>621</v>
      </c>
      <c r="D412" s="1713" t="s">
        <v>623</v>
      </c>
      <c r="E412" s="1713" t="s">
        <v>623</v>
      </c>
      <c r="F412" s="1713" t="s">
        <v>623</v>
      </c>
      <c r="G412" s="1713" t="s">
        <v>623</v>
      </c>
      <c r="H412" s="1713" t="s">
        <v>623</v>
      </c>
      <c r="I412" s="1713" t="s">
        <v>623</v>
      </c>
      <c r="J412" s="1713" t="s">
        <v>623</v>
      </c>
    </row>
    <row r="413" spans="1:11" hidden="1" outlineLevel="1">
      <c r="A413" s="1599" t="s">
        <v>629</v>
      </c>
      <c r="B413" s="1713">
        <v>2021.5091376170001</v>
      </c>
      <c r="C413" s="1713" t="s">
        <v>621</v>
      </c>
      <c r="D413" s="1713">
        <v>49.17</v>
      </c>
      <c r="E413" s="1713">
        <v>0.90000000000232006</v>
      </c>
      <c r="F413" s="1713">
        <v>9.0000000002210007E-2</v>
      </c>
      <c r="G413" s="1713">
        <v>99.397604296627904</v>
      </c>
      <c r="H413" s="1713">
        <v>1.8193582238600001E-3</v>
      </c>
      <c r="I413" s="1713">
        <v>1.8193582239E-4</v>
      </c>
      <c r="J413" s="1713" t="s">
        <v>623</v>
      </c>
    </row>
    <row r="414" spans="1:11" hidden="1" outlineLevel="1"/>
    <row r="415" spans="1:11" hidden="1" outlineLevel="1">
      <c r="A415" s="1600" t="s">
        <v>631</v>
      </c>
      <c r="B415" s="1916" t="s">
        <v>632</v>
      </c>
      <c r="C415" s="1917"/>
      <c r="D415" s="1918"/>
      <c r="E415" s="1916" t="s">
        <v>633</v>
      </c>
      <c r="F415" s="1917"/>
      <c r="G415" s="1918"/>
      <c r="H415" s="1916" t="s">
        <v>607</v>
      </c>
      <c r="I415" s="1917"/>
      <c r="J415" s="1917"/>
      <c r="K415" s="1918"/>
    </row>
    <row r="416" spans="1:11" hidden="1" outlineLevel="1">
      <c r="A416" s="391" t="s">
        <v>634</v>
      </c>
      <c r="B416" s="1601" t="s">
        <v>635</v>
      </c>
      <c r="C416" s="1601" t="s">
        <v>636</v>
      </c>
      <c r="D416" s="1601" t="s">
        <v>637</v>
      </c>
      <c r="E416" s="1601" t="s">
        <v>638</v>
      </c>
      <c r="F416" s="1602" t="s">
        <v>610</v>
      </c>
      <c r="G416" s="1602" t="s">
        <v>611</v>
      </c>
      <c r="H416" s="1916" t="s">
        <v>613</v>
      </c>
      <c r="I416" s="1918"/>
      <c r="J416" s="1602" t="s">
        <v>639</v>
      </c>
      <c r="K416" s="1602" t="s">
        <v>611</v>
      </c>
    </row>
    <row r="417" spans="1:11" hidden="1" outlineLevel="1">
      <c r="A417" s="391"/>
      <c r="B417" s="388"/>
      <c r="C417" s="388"/>
      <c r="D417" s="388"/>
      <c r="E417" s="1143"/>
      <c r="F417" s="1142"/>
      <c r="G417" s="1142"/>
      <c r="H417" s="389" t="s">
        <v>640</v>
      </c>
      <c r="I417" s="1603" t="s">
        <v>641</v>
      </c>
      <c r="J417" s="1142"/>
      <c r="K417" s="1142"/>
    </row>
    <row r="418" spans="1:11" ht="15.75" hidden="1" outlineLevel="1" thickBot="1">
      <c r="A418" s="392"/>
      <c r="B418" s="390"/>
      <c r="C418" s="390"/>
      <c r="D418" s="390"/>
      <c r="E418" s="1919" t="s">
        <v>642</v>
      </c>
      <c r="F418" s="1920"/>
      <c r="G418" s="1921"/>
      <c r="H418" s="1922" t="s">
        <v>619</v>
      </c>
      <c r="I418" s="1923"/>
      <c r="J418" s="1923"/>
      <c r="K418" s="1924"/>
    </row>
    <row r="419" spans="1:11" hidden="1" outlineLevel="1">
      <c r="A419" s="241" t="s">
        <v>643</v>
      </c>
      <c r="B419" s="1714" t="s">
        <v>622</v>
      </c>
      <c r="C419" s="1714" t="s">
        <v>622</v>
      </c>
      <c r="D419" s="1714" t="s">
        <v>622</v>
      </c>
      <c r="E419" s="1714" t="s">
        <v>622</v>
      </c>
      <c r="F419" s="1714" t="s">
        <v>622</v>
      </c>
      <c r="G419" s="1714" t="s">
        <v>622</v>
      </c>
      <c r="H419" s="1713">
        <v>617.84666631099196</v>
      </c>
      <c r="I419" s="1713" t="s">
        <v>623</v>
      </c>
      <c r="J419" s="1713">
        <v>5.5666614993711798</v>
      </c>
      <c r="K419" s="1713" t="s">
        <v>623</v>
      </c>
    </row>
    <row r="420" spans="1:11" hidden="1" outlineLevel="1">
      <c r="A420" s="1715" t="s">
        <v>513</v>
      </c>
      <c r="B420" s="1716" t="s">
        <v>622</v>
      </c>
      <c r="C420" s="1716" t="s">
        <v>346</v>
      </c>
      <c r="D420" s="1716">
        <v>141400.66080000001</v>
      </c>
      <c r="E420" s="1713">
        <v>4369.4750987400757</v>
      </c>
      <c r="F420" s="1713">
        <v>39.368002015526507</v>
      </c>
      <c r="G420" s="1713" t="s">
        <v>623</v>
      </c>
      <c r="H420" s="1716">
        <v>617.84666631099196</v>
      </c>
      <c r="I420" s="1716" t="s">
        <v>623</v>
      </c>
      <c r="J420" s="1716">
        <v>5.5666614993711798</v>
      </c>
      <c r="K420" s="1716" t="s">
        <v>623</v>
      </c>
    </row>
    <row r="421" spans="1:11" collapsed="1"/>
    <row r="422" spans="1:11" s="231" customFormat="1">
      <c r="A422" s="231" t="s">
        <v>670</v>
      </c>
    </row>
    <row r="423" spans="1:11" outlineLevel="1">
      <c r="A423" t="s">
        <v>647</v>
      </c>
      <c r="J423" t="s">
        <v>669</v>
      </c>
    </row>
    <row r="424" spans="1:11" outlineLevel="1">
      <c r="A424" t="s">
        <v>649</v>
      </c>
      <c r="J424" t="s">
        <v>650</v>
      </c>
    </row>
    <row r="425" spans="1:11" outlineLevel="1">
      <c r="A425" t="s">
        <v>651</v>
      </c>
      <c r="J425" t="s">
        <v>652</v>
      </c>
    </row>
    <row r="426" spans="1:11" outlineLevel="1"/>
    <row r="427" spans="1:11" outlineLevel="1">
      <c r="A427" s="1941" t="s">
        <v>604</v>
      </c>
      <c r="B427" s="1944" t="s">
        <v>605</v>
      </c>
      <c r="C427" s="1956"/>
      <c r="D427" s="1944" t="s">
        <v>606</v>
      </c>
      <c r="E427" s="1946"/>
      <c r="F427" s="1945"/>
      <c r="G427" s="1944" t="s">
        <v>607</v>
      </c>
      <c r="H427" s="1957"/>
      <c r="I427" s="1957"/>
      <c r="J427" s="1956"/>
    </row>
    <row r="428" spans="1:11" ht="18" outlineLevel="1">
      <c r="A428" s="1942"/>
      <c r="B428" s="1947" t="s">
        <v>608</v>
      </c>
      <c r="C428" s="1948"/>
      <c r="D428" s="1951" t="s">
        <v>653</v>
      </c>
      <c r="E428" s="1947" t="s">
        <v>654</v>
      </c>
      <c r="F428" s="1948" t="s">
        <v>655</v>
      </c>
      <c r="G428" s="1951" t="s">
        <v>656</v>
      </c>
      <c r="H428" s="1951" t="s">
        <v>654</v>
      </c>
      <c r="I428" s="1951" t="s">
        <v>655</v>
      </c>
      <c r="J428" s="1604" t="s">
        <v>657</v>
      </c>
    </row>
    <row r="429" spans="1:11" outlineLevel="1">
      <c r="A429" s="1942"/>
      <c r="B429" s="1949"/>
      <c r="C429" s="1950"/>
      <c r="D429" s="1952"/>
      <c r="E429" s="1949"/>
      <c r="F429" s="1950"/>
      <c r="G429" s="1958"/>
      <c r="H429" s="1952"/>
      <c r="I429" s="1952"/>
      <c r="J429" s="1604" t="s">
        <v>614</v>
      </c>
    </row>
    <row r="430" spans="1:11" ht="18" outlineLevel="1" thickBot="1">
      <c r="A430" s="1943"/>
      <c r="B430" s="1144" t="s">
        <v>615</v>
      </c>
      <c r="C430" s="162" t="s">
        <v>658</v>
      </c>
      <c r="D430" s="162" t="s">
        <v>617</v>
      </c>
      <c r="E430" s="1953" t="s">
        <v>618</v>
      </c>
      <c r="F430" s="1954"/>
      <c r="G430" s="1953" t="s">
        <v>619</v>
      </c>
      <c r="H430" s="1959"/>
      <c r="I430" s="1959"/>
      <c r="J430" s="1960"/>
    </row>
    <row r="431" spans="1:11" ht="15.75" outlineLevel="1" thickTop="1">
      <c r="A431" s="1598" t="s">
        <v>620</v>
      </c>
      <c r="B431" s="1713">
        <v>95405.1616700757</v>
      </c>
      <c r="C431" s="1713" t="s">
        <v>621</v>
      </c>
      <c r="D431" s="1714" t="s">
        <v>622</v>
      </c>
      <c r="E431" s="1714" t="s">
        <v>622</v>
      </c>
      <c r="F431" s="1714" t="s">
        <v>622</v>
      </c>
      <c r="G431" s="1713">
        <v>5518.348264827293</v>
      </c>
      <c r="H431" s="1713">
        <v>8.6556731450510002E-2</v>
      </c>
      <c r="I431" s="1713">
        <v>2.7067701657659999E-2</v>
      </c>
      <c r="J431" s="1713" t="s">
        <v>623</v>
      </c>
    </row>
    <row r="432" spans="1:11" outlineLevel="1">
      <c r="A432" s="1599" t="s">
        <v>624</v>
      </c>
      <c r="B432" s="1713">
        <v>25.37790708</v>
      </c>
      <c r="C432" s="1713" t="s">
        <v>621</v>
      </c>
      <c r="D432" s="1713">
        <v>69.756579585623967</v>
      </c>
      <c r="E432" s="1713">
        <v>0.91422553943718998</v>
      </c>
      <c r="F432" s="1713">
        <v>0.57000000017338004</v>
      </c>
      <c r="G432" s="1713">
        <v>1.7702759949425899</v>
      </c>
      <c r="H432" s="1713">
        <v>2.3201130789999999E-5</v>
      </c>
      <c r="I432" s="1713">
        <v>1.4465407040000001E-5</v>
      </c>
      <c r="J432" s="1713" t="s">
        <v>623</v>
      </c>
    </row>
    <row r="433" spans="1:11" outlineLevel="1">
      <c r="A433" s="1599" t="s">
        <v>625</v>
      </c>
      <c r="B433" s="1713">
        <v>13834.4986606366</v>
      </c>
      <c r="C433" s="1713" t="s">
        <v>621</v>
      </c>
      <c r="D433" s="1713">
        <v>92.197605544769118</v>
      </c>
      <c r="E433" s="1713">
        <v>0.94999999999966001</v>
      </c>
      <c r="F433" s="1713">
        <v>1.4250000000002101</v>
      </c>
      <c r="G433" s="1713">
        <v>1275.5076504230101</v>
      </c>
      <c r="H433" s="1713">
        <v>1.3142773727599999E-2</v>
      </c>
      <c r="I433" s="1713">
        <v>1.9714160591409999E-2</v>
      </c>
      <c r="J433" s="1713" t="s">
        <v>623</v>
      </c>
    </row>
    <row r="434" spans="1:11" outlineLevel="1">
      <c r="A434" s="1599" t="s">
        <v>626</v>
      </c>
      <c r="B434" s="1713">
        <v>79610.659150248102</v>
      </c>
      <c r="C434" s="1713" t="s">
        <v>621</v>
      </c>
      <c r="D434" s="1713">
        <v>53.272644438293447</v>
      </c>
      <c r="E434" s="1713">
        <v>0.89999999999996005</v>
      </c>
      <c r="F434" s="1713">
        <v>8.9999999999970007E-2</v>
      </c>
      <c r="G434" s="1713">
        <v>4241.0703384093404</v>
      </c>
      <c r="H434" s="1713">
        <v>7.1649593235219994E-2</v>
      </c>
      <c r="I434" s="1713">
        <v>7.1649593235200001E-3</v>
      </c>
      <c r="J434" s="1713" t="s">
        <v>623</v>
      </c>
    </row>
    <row r="435" spans="1:11" outlineLevel="1">
      <c r="A435" s="1599" t="s">
        <v>627</v>
      </c>
      <c r="B435" s="1713" t="s">
        <v>623</v>
      </c>
      <c r="C435" s="1713" t="s">
        <v>621</v>
      </c>
      <c r="D435" s="1713" t="s">
        <v>623</v>
      </c>
      <c r="E435" s="1713" t="s">
        <v>623</v>
      </c>
      <c r="F435" s="1713" t="s">
        <v>623</v>
      </c>
      <c r="G435" s="1713" t="s">
        <v>623</v>
      </c>
      <c r="H435" s="1713" t="s">
        <v>623</v>
      </c>
      <c r="I435" s="1713" t="s">
        <v>623</v>
      </c>
      <c r="J435" s="1713" t="s">
        <v>623</v>
      </c>
    </row>
    <row r="436" spans="1:11" outlineLevel="1">
      <c r="A436" s="1599" t="s">
        <v>628</v>
      </c>
      <c r="B436" s="1713" t="s">
        <v>623</v>
      </c>
      <c r="C436" s="1713" t="s">
        <v>621</v>
      </c>
      <c r="D436" s="1713" t="s">
        <v>623</v>
      </c>
      <c r="E436" s="1713" t="s">
        <v>623</v>
      </c>
      <c r="F436" s="1713" t="s">
        <v>623</v>
      </c>
      <c r="G436" s="1713" t="s">
        <v>623</v>
      </c>
      <c r="H436" s="1713" t="s">
        <v>623</v>
      </c>
      <c r="I436" s="1713" t="s">
        <v>623</v>
      </c>
      <c r="J436" s="1713" t="s">
        <v>623</v>
      </c>
    </row>
    <row r="437" spans="1:11" outlineLevel="1">
      <c r="A437" s="1599" t="s">
        <v>629</v>
      </c>
      <c r="B437" s="1713">
        <v>1934.6259521110001</v>
      </c>
      <c r="C437" s="1713" t="s">
        <v>621</v>
      </c>
      <c r="D437" s="1713">
        <v>49.170000000000023</v>
      </c>
      <c r="E437" s="1713">
        <v>0.90000000000004998</v>
      </c>
      <c r="F437" s="1713">
        <v>9.0000000000010003E-2</v>
      </c>
      <c r="G437" s="1713">
        <v>95.125558065297895</v>
      </c>
      <c r="H437" s="1713">
        <v>1.7411633569E-3</v>
      </c>
      <c r="I437" s="1713">
        <v>1.7411633569000001E-4</v>
      </c>
      <c r="J437" s="1713" t="s">
        <v>623</v>
      </c>
    </row>
    <row r="438" spans="1:11" outlineLevel="1"/>
    <row r="439" spans="1:11" outlineLevel="1">
      <c r="A439" s="1600" t="s">
        <v>631</v>
      </c>
      <c r="B439" s="1916" t="s">
        <v>632</v>
      </c>
      <c r="C439" s="1917"/>
      <c r="D439" s="1918"/>
      <c r="E439" s="1916" t="s">
        <v>633</v>
      </c>
      <c r="F439" s="1917"/>
      <c r="G439" s="1918"/>
      <c r="H439" s="1916" t="s">
        <v>607</v>
      </c>
      <c r="I439" s="1917"/>
      <c r="J439" s="1917"/>
      <c r="K439" s="1918"/>
    </row>
    <row r="440" spans="1:11" outlineLevel="1">
      <c r="A440" s="391" t="s">
        <v>634</v>
      </c>
      <c r="B440" s="1601" t="s">
        <v>635</v>
      </c>
      <c r="C440" s="1601" t="s">
        <v>636</v>
      </c>
      <c r="D440" s="1601" t="s">
        <v>637</v>
      </c>
      <c r="E440" s="1601" t="s">
        <v>638</v>
      </c>
      <c r="F440" s="1602" t="s">
        <v>610</v>
      </c>
      <c r="G440" s="1602" t="s">
        <v>611</v>
      </c>
      <c r="H440" s="1916" t="s">
        <v>613</v>
      </c>
      <c r="I440" s="1918"/>
      <c r="J440" s="1602" t="s">
        <v>639</v>
      </c>
      <c r="K440" s="1602" t="s">
        <v>611</v>
      </c>
    </row>
    <row r="441" spans="1:11" outlineLevel="1">
      <c r="A441" s="391"/>
      <c r="B441" s="388"/>
      <c r="C441" s="388"/>
      <c r="D441" s="388"/>
      <c r="E441" s="1143"/>
      <c r="F441" s="1142"/>
      <c r="G441" s="1142"/>
      <c r="H441" s="389" t="s">
        <v>640</v>
      </c>
      <c r="I441" s="1603" t="s">
        <v>641</v>
      </c>
      <c r="J441" s="1142"/>
      <c r="K441" s="1142"/>
    </row>
    <row r="442" spans="1:11" ht="15.75" outlineLevel="1" thickBot="1">
      <c r="A442" s="392"/>
      <c r="B442" s="390"/>
      <c r="C442" s="390"/>
      <c r="D442" s="390"/>
      <c r="E442" s="1919" t="s">
        <v>642</v>
      </c>
      <c r="F442" s="1920"/>
      <c r="G442" s="1921"/>
      <c r="H442" s="1922" t="s">
        <v>619</v>
      </c>
      <c r="I442" s="1923"/>
      <c r="J442" s="1923"/>
      <c r="K442" s="1924"/>
    </row>
    <row r="443" spans="1:11" ht="15.75" outlineLevel="1" thickTop="1">
      <c r="A443" s="241" t="s">
        <v>643</v>
      </c>
      <c r="B443" s="1714" t="s">
        <v>622</v>
      </c>
      <c r="C443" s="1714" t="s">
        <v>622</v>
      </c>
      <c r="D443" s="1714" t="s">
        <v>622</v>
      </c>
      <c r="E443" s="1714" t="s">
        <v>622</v>
      </c>
      <c r="F443" s="1714" t="s">
        <v>622</v>
      </c>
      <c r="G443" s="1714" t="s">
        <v>622</v>
      </c>
      <c r="H443" s="1713">
        <v>630.78537735294503</v>
      </c>
      <c r="I443" s="1713" t="s">
        <v>623</v>
      </c>
      <c r="J443" s="1713">
        <v>5.4440815925641903</v>
      </c>
      <c r="K443" s="1713" t="s">
        <v>623</v>
      </c>
    </row>
    <row r="444" spans="1:11" outlineLevel="1">
      <c r="A444" s="1715" t="s">
        <v>513</v>
      </c>
      <c r="B444" s="1716" t="s">
        <v>622</v>
      </c>
      <c r="C444" s="1716" t="s">
        <v>346</v>
      </c>
      <c r="D444" s="1716">
        <v>133827.41800000001</v>
      </c>
      <c r="E444" s="1713">
        <v>4713.4241008292111</v>
      </c>
      <c r="F444" s="1713">
        <v>40.679867204522992</v>
      </c>
      <c r="G444" s="1713" t="s">
        <v>623</v>
      </c>
      <c r="H444" s="1716">
        <v>630.78537735294503</v>
      </c>
      <c r="I444" s="1716" t="s">
        <v>623</v>
      </c>
      <c r="J444" s="1716">
        <v>5.4440815925641903</v>
      </c>
      <c r="K444" s="1716" t="s">
        <v>623</v>
      </c>
    </row>
    <row r="445" spans="1:11" outlineLevel="1"/>
  </sheetData>
  <mergeCells count="183">
    <mergeCell ref="B439:D439"/>
    <mergeCell ref="E439:G439"/>
    <mergeCell ref="H439:K439"/>
    <mergeCell ref="H440:I440"/>
    <mergeCell ref="E442:G442"/>
    <mergeCell ref="H442:K442"/>
    <mergeCell ref="A22:I22"/>
    <mergeCell ref="B415:D415"/>
    <mergeCell ref="E415:G415"/>
    <mergeCell ref="H415:K415"/>
    <mergeCell ref="H416:I416"/>
    <mergeCell ref="E418:G418"/>
    <mergeCell ref="H418:K418"/>
    <mergeCell ref="A427:A430"/>
    <mergeCell ref="B427:C427"/>
    <mergeCell ref="D427:F427"/>
    <mergeCell ref="G427:J427"/>
    <mergeCell ref="B428:C429"/>
    <mergeCell ref="D428:D429"/>
    <mergeCell ref="E428:E429"/>
    <mergeCell ref="F428:F429"/>
    <mergeCell ref="G428:G429"/>
    <mergeCell ref="H428:H429"/>
    <mergeCell ref="I428:I429"/>
    <mergeCell ref="E430:F430"/>
    <mergeCell ref="G430:J430"/>
    <mergeCell ref="A403:A406"/>
    <mergeCell ref="B403:C403"/>
    <mergeCell ref="D403:F403"/>
    <mergeCell ref="G403:J403"/>
    <mergeCell ref="B404:C405"/>
    <mergeCell ref="D404:D405"/>
    <mergeCell ref="E404:E405"/>
    <mergeCell ref="F404:F405"/>
    <mergeCell ref="G404:G405"/>
    <mergeCell ref="H404:H405"/>
    <mergeCell ref="I404:I405"/>
    <mergeCell ref="E406:F406"/>
    <mergeCell ref="G406:J406"/>
    <mergeCell ref="A378:A381"/>
    <mergeCell ref="B378:C378"/>
    <mergeCell ref="D378:F378"/>
    <mergeCell ref="G378:J378"/>
    <mergeCell ref="B379:C380"/>
    <mergeCell ref="D379:D380"/>
    <mergeCell ref="E379:E380"/>
    <mergeCell ref="F379:F380"/>
    <mergeCell ref="G379:G380"/>
    <mergeCell ref="H379:H380"/>
    <mergeCell ref="I379:I380"/>
    <mergeCell ref="E381:F381"/>
    <mergeCell ref="G381:J381"/>
    <mergeCell ref="A354:A357"/>
    <mergeCell ref="B354:C354"/>
    <mergeCell ref="D354:F354"/>
    <mergeCell ref="G354:J354"/>
    <mergeCell ref="B355:C356"/>
    <mergeCell ref="D355:D356"/>
    <mergeCell ref="E355:E356"/>
    <mergeCell ref="F355:F356"/>
    <mergeCell ref="G355:G356"/>
    <mergeCell ref="H355:H356"/>
    <mergeCell ref="I355:I356"/>
    <mergeCell ref="E357:F357"/>
    <mergeCell ref="G357:J357"/>
    <mergeCell ref="H321:K321"/>
    <mergeCell ref="A330:A333"/>
    <mergeCell ref="B330:C330"/>
    <mergeCell ref="D330:F330"/>
    <mergeCell ref="G330:J330"/>
    <mergeCell ref="B331:C332"/>
    <mergeCell ref="D331:D332"/>
    <mergeCell ref="E331:E332"/>
    <mergeCell ref="F331:F332"/>
    <mergeCell ref="G331:G332"/>
    <mergeCell ref="H331:H332"/>
    <mergeCell ref="I331:I332"/>
    <mergeCell ref="E333:F333"/>
    <mergeCell ref="G333:J333"/>
    <mergeCell ref="E321:G321"/>
    <mergeCell ref="A306:A309"/>
    <mergeCell ref="B306:C306"/>
    <mergeCell ref="D306:F306"/>
    <mergeCell ref="G306:J306"/>
    <mergeCell ref="B307:C308"/>
    <mergeCell ref="D307:D308"/>
    <mergeCell ref="E307:E308"/>
    <mergeCell ref="F307:F308"/>
    <mergeCell ref="G307:G308"/>
    <mergeCell ref="H307:H308"/>
    <mergeCell ref="I307:I308"/>
    <mergeCell ref="E309:F309"/>
    <mergeCell ref="G309:J309"/>
    <mergeCell ref="A278:A281"/>
    <mergeCell ref="B278:C278"/>
    <mergeCell ref="D278:F278"/>
    <mergeCell ref="G278:J278"/>
    <mergeCell ref="B279:C280"/>
    <mergeCell ref="D279:D280"/>
    <mergeCell ref="E279:E280"/>
    <mergeCell ref="F279:F280"/>
    <mergeCell ref="G279:G280"/>
    <mergeCell ref="H279:H280"/>
    <mergeCell ref="I279:I280"/>
    <mergeCell ref="E281:F281"/>
    <mergeCell ref="G281:J281"/>
    <mergeCell ref="H241:I241"/>
    <mergeCell ref="E243:G243"/>
    <mergeCell ref="H243:K243"/>
    <mergeCell ref="A251:A254"/>
    <mergeCell ref="B251:C251"/>
    <mergeCell ref="D251:F251"/>
    <mergeCell ref="G251:J251"/>
    <mergeCell ref="B252:C253"/>
    <mergeCell ref="D252:D253"/>
    <mergeCell ref="E252:E253"/>
    <mergeCell ref="F252:F253"/>
    <mergeCell ref="G252:G253"/>
    <mergeCell ref="H252:H253"/>
    <mergeCell ref="I252:I253"/>
    <mergeCell ref="E254:F254"/>
    <mergeCell ref="G254:J254"/>
    <mergeCell ref="F227:F228"/>
    <mergeCell ref="G227:G228"/>
    <mergeCell ref="H227:H228"/>
    <mergeCell ref="I227:I228"/>
    <mergeCell ref="E229:F229"/>
    <mergeCell ref="G229:J229"/>
    <mergeCell ref="B240:D240"/>
    <mergeCell ref="E240:G240"/>
    <mergeCell ref="H240:K240"/>
    <mergeCell ref="B265:D265"/>
    <mergeCell ref="E265:G265"/>
    <mergeCell ref="H265:K265"/>
    <mergeCell ref="H266:I266"/>
    <mergeCell ref="E268:G268"/>
    <mergeCell ref="H268:K268"/>
    <mergeCell ref="A5:I5"/>
    <mergeCell ref="A6:I6"/>
    <mergeCell ref="A8:I8"/>
    <mergeCell ref="A9:B9"/>
    <mergeCell ref="A10:A20"/>
    <mergeCell ref="A42:I42"/>
    <mergeCell ref="A43:B43"/>
    <mergeCell ref="A44:A54"/>
    <mergeCell ref="A56:I56"/>
    <mergeCell ref="K70:K71"/>
    <mergeCell ref="B187:E187"/>
    <mergeCell ref="A226:A229"/>
    <mergeCell ref="B226:C226"/>
    <mergeCell ref="D226:F226"/>
    <mergeCell ref="G226:J226"/>
    <mergeCell ref="B227:C228"/>
    <mergeCell ref="D227:D228"/>
    <mergeCell ref="E227:E228"/>
    <mergeCell ref="B292:D292"/>
    <mergeCell ref="E292:G292"/>
    <mergeCell ref="H292:K292"/>
    <mergeCell ref="H293:I293"/>
    <mergeCell ref="E295:G295"/>
    <mergeCell ref="B318:D318"/>
    <mergeCell ref="E318:G318"/>
    <mergeCell ref="H318:K318"/>
    <mergeCell ref="H319:I319"/>
    <mergeCell ref="H295:K295"/>
    <mergeCell ref="B390:D390"/>
    <mergeCell ref="E390:G390"/>
    <mergeCell ref="H390:K390"/>
    <mergeCell ref="H391:I391"/>
    <mergeCell ref="E393:G393"/>
    <mergeCell ref="H393:K393"/>
    <mergeCell ref="B342:D342"/>
    <mergeCell ref="E342:G342"/>
    <mergeCell ref="H342:K342"/>
    <mergeCell ref="H343:I343"/>
    <mergeCell ref="E345:G345"/>
    <mergeCell ref="B366:D366"/>
    <mergeCell ref="E366:G366"/>
    <mergeCell ref="H366:K366"/>
    <mergeCell ref="H367:I367"/>
    <mergeCell ref="H345:K345"/>
    <mergeCell ref="H369:K369"/>
    <mergeCell ref="E369:G369"/>
  </mergeCells>
  <phoneticPr fontId="193" type="noConversion"/>
  <hyperlinks>
    <hyperlink ref="A168" r:id="rId1" display="https://www.mbie.govt.nz/building-and-energy/energy-and-natural-resources/energy-statistics-and-modelling/energy-statistics/electricity-statistics/" xr:uid="{F8B7636C-01CE-490B-B532-B21F02880188}"/>
    <hyperlink ref="A207" r:id="rId2" xr:uid="{450F58A7-6DE6-42F6-A5F5-C70D1C15C52A}"/>
  </hyperlinks>
  <pageMargins left="0.7" right="0.7" top="0.75" bottom="0.75" header="0.3" footer="0.3"/>
  <pageSetup paperSize="9" orientation="portrait"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499984740745262"/>
  </sheetPr>
  <dimension ref="A1:I39"/>
  <sheetViews>
    <sheetView topLeftCell="A13" workbookViewId="0">
      <selection activeCell="D30" sqref="D30"/>
    </sheetView>
  </sheetViews>
  <sheetFormatPr defaultColWidth="9.140625" defaultRowHeight="15"/>
  <cols>
    <col min="1" max="1" width="19" customWidth="1"/>
    <col min="2" max="2" width="33" customWidth="1"/>
    <col min="4" max="4" width="29.140625" customWidth="1"/>
    <col min="5" max="5" width="28.7109375" customWidth="1"/>
    <col min="6" max="6" width="29.42578125" customWidth="1"/>
    <col min="7" max="7" width="28.140625" customWidth="1"/>
    <col min="8" max="8" width="28.7109375" customWidth="1"/>
  </cols>
  <sheetData>
    <row r="1" spans="1:9" ht="31.5">
      <c r="A1" s="64" t="s">
        <v>63</v>
      </c>
    </row>
    <row r="2" spans="1:9" ht="23.25">
      <c r="A2" s="65" t="s">
        <v>671</v>
      </c>
    </row>
    <row r="3" spans="1:9">
      <c r="A3" s="163"/>
    </row>
    <row r="4" spans="1:9">
      <c r="A4" t="s">
        <v>421</v>
      </c>
    </row>
    <row r="6" spans="1:9" ht="31.5">
      <c r="A6" s="64" t="s">
        <v>539</v>
      </c>
    </row>
    <row r="7" spans="1:9">
      <c r="A7" s="1961" t="s">
        <v>66</v>
      </c>
      <c r="B7" s="1961"/>
      <c r="C7" s="1961"/>
      <c r="D7" s="1961"/>
      <c r="E7" s="1961"/>
      <c r="F7" s="1961"/>
      <c r="G7" s="1961"/>
      <c r="H7" s="1961"/>
      <c r="I7" s="470"/>
    </row>
    <row r="8" spans="1:9" ht="21" customHeight="1">
      <c r="A8" s="1802" t="s">
        <v>433</v>
      </c>
      <c r="B8" s="1802"/>
      <c r="C8" s="1802"/>
      <c r="D8" s="1802"/>
      <c r="E8" s="1802"/>
      <c r="F8" s="1802"/>
      <c r="G8" s="1802"/>
      <c r="H8" s="1803"/>
      <c r="I8" s="499"/>
    </row>
    <row r="10" spans="1:9">
      <c r="A10" s="1886" t="s">
        <v>672</v>
      </c>
      <c r="B10" s="1887"/>
      <c r="C10" s="1887"/>
      <c r="D10" s="1887"/>
      <c r="E10" s="1887"/>
      <c r="F10" s="1887"/>
      <c r="G10" s="1887"/>
      <c r="H10" s="1888"/>
    </row>
    <row r="11" spans="1:9" ht="15.75" thickBot="1">
      <c r="A11" s="1886"/>
      <c r="B11" s="1887"/>
      <c r="C11" s="1887"/>
      <c r="D11" s="1889"/>
      <c r="E11" s="1890" t="s">
        <v>423</v>
      </c>
      <c r="F11" s="1891"/>
      <c r="G11" s="1891"/>
      <c r="H11" s="1891"/>
    </row>
    <row r="12" spans="1:9" ht="18.75" thickBot="1">
      <c r="A12" s="1892" t="s">
        <v>69</v>
      </c>
      <c r="B12" s="1893"/>
      <c r="C12" s="1373" t="s">
        <v>70</v>
      </c>
      <c r="D12" s="1374" t="s">
        <v>424</v>
      </c>
      <c r="E12" s="1375" t="s">
        <v>59</v>
      </c>
      <c r="F12" s="485" t="s">
        <v>425</v>
      </c>
      <c r="G12" s="485" t="s">
        <v>426</v>
      </c>
      <c r="H12" s="485" t="s">
        <v>427</v>
      </c>
    </row>
    <row r="13" spans="1:9" ht="15.75" thickBot="1">
      <c r="A13" s="1962" t="s">
        <v>673</v>
      </c>
      <c r="B13" s="169">
        <v>2020</v>
      </c>
      <c r="C13" s="1376" t="s">
        <v>96</v>
      </c>
      <c r="D13" s="1383"/>
      <c r="E13" s="1390">
        <f>SUM(F13:H13)</f>
        <v>0</v>
      </c>
      <c r="F13" s="1391">
        <f>D13*'Purchased energy 2022'!E10</f>
        <v>0</v>
      </c>
      <c r="G13" s="1392">
        <f>D13*'Purchased energy 2022'!F10</f>
        <v>0</v>
      </c>
      <c r="H13" s="1392">
        <f>D13*'Purchased energy 2022'!G10</f>
        <v>0</v>
      </c>
    </row>
    <row r="14" spans="1:9" ht="15.75" thickBot="1">
      <c r="A14" s="1963"/>
      <c r="B14" s="169">
        <v>2019</v>
      </c>
      <c r="C14" s="1376" t="s">
        <v>96</v>
      </c>
      <c r="D14" s="1383"/>
      <c r="E14" s="1390">
        <f t="shared" ref="E14:E15" si="0">SUM(F14:H14)</f>
        <v>0</v>
      </c>
      <c r="F14" s="1391">
        <f>D14*'Purchased energy 2022'!E11</f>
        <v>0</v>
      </c>
      <c r="G14" s="1392">
        <f>D14*'Purchased energy 2022'!F11</f>
        <v>0</v>
      </c>
      <c r="H14" s="1392">
        <f>D14*'Purchased energy 2022'!G11</f>
        <v>0</v>
      </c>
    </row>
    <row r="15" spans="1:9" ht="15.75" thickBot="1">
      <c r="A15" s="1963"/>
      <c r="B15" s="169">
        <v>2018</v>
      </c>
      <c r="C15" s="1376" t="s">
        <v>96</v>
      </c>
      <c r="D15" s="1383"/>
      <c r="E15" s="1390">
        <f t="shared" si="0"/>
        <v>0</v>
      </c>
      <c r="F15" s="1391">
        <f>D15*'Purchased energy 2022'!E12</f>
        <v>0</v>
      </c>
      <c r="G15" s="1392">
        <f>D15*'Purchased energy 2022'!F12</f>
        <v>0</v>
      </c>
      <c r="H15" s="1392">
        <f>D15*'Purchased energy 2022'!G12</f>
        <v>0</v>
      </c>
    </row>
    <row r="16" spans="1:9" ht="15.75" thickBot="1">
      <c r="A16" s="1963"/>
      <c r="B16" s="169">
        <v>2017</v>
      </c>
      <c r="C16" s="1376" t="s">
        <v>96</v>
      </c>
      <c r="D16" s="1383"/>
      <c r="E16" s="1390">
        <f t="shared" ref="E16:E23" si="1">SUM(F16:H16)</f>
        <v>0</v>
      </c>
      <c r="F16" s="1391">
        <f>D16*'Purchased energy 2022'!E13</f>
        <v>0</v>
      </c>
      <c r="G16" s="1392">
        <f>D16*'Purchased energy 2022'!F13</f>
        <v>0</v>
      </c>
      <c r="H16" s="1392">
        <f>D16*'Purchased energy 2022'!G13</f>
        <v>0</v>
      </c>
    </row>
    <row r="17" spans="1:8" ht="15.75" thickBot="1">
      <c r="A17" s="1963"/>
      <c r="B17" s="169">
        <v>2016</v>
      </c>
      <c r="C17" s="1376" t="s">
        <v>96</v>
      </c>
      <c r="D17" s="1383"/>
      <c r="E17" s="1390">
        <f t="shared" si="1"/>
        <v>0</v>
      </c>
      <c r="F17" s="1391">
        <f>D17*'Purchased energy 2022'!E14</f>
        <v>0</v>
      </c>
      <c r="G17" s="1392">
        <f>D17*'Purchased energy 2022'!F14</f>
        <v>0</v>
      </c>
      <c r="H17" s="1392">
        <f>D17*'Purchased energy 2022'!G14</f>
        <v>0</v>
      </c>
    </row>
    <row r="18" spans="1:8" ht="15.75" thickBot="1">
      <c r="A18" s="1963"/>
      <c r="B18" s="169">
        <v>2015</v>
      </c>
      <c r="C18" s="1376" t="s">
        <v>96</v>
      </c>
      <c r="D18" s="1383"/>
      <c r="E18" s="1390">
        <f t="shared" si="1"/>
        <v>0</v>
      </c>
      <c r="F18" s="1391">
        <f>D18*'Purchased energy 2022'!E15</f>
        <v>0</v>
      </c>
      <c r="G18" s="1392">
        <f>D18*'Purchased energy 2022'!F15</f>
        <v>0</v>
      </c>
      <c r="H18" s="1392">
        <f>D18*'Purchased energy 2022'!G15</f>
        <v>0</v>
      </c>
    </row>
    <row r="19" spans="1:8" ht="15.75" thickBot="1">
      <c r="A19" s="1963"/>
      <c r="B19" s="169">
        <v>2014</v>
      </c>
      <c r="C19" s="1376" t="s">
        <v>96</v>
      </c>
      <c r="D19" s="1383"/>
      <c r="E19" s="1390">
        <f t="shared" si="1"/>
        <v>0</v>
      </c>
      <c r="F19" s="1391">
        <f>D19*'Purchased energy 2022'!E16</f>
        <v>0</v>
      </c>
      <c r="G19" s="1392">
        <f>D19*'Purchased energy 2022'!F16</f>
        <v>0</v>
      </c>
      <c r="H19" s="1392">
        <f>D19*'Purchased energy 2022'!G16</f>
        <v>0</v>
      </c>
    </row>
    <row r="20" spans="1:8" ht="15.75" thickBot="1">
      <c r="A20" s="1963"/>
      <c r="B20" s="169">
        <v>2013</v>
      </c>
      <c r="C20" s="1376" t="s">
        <v>96</v>
      </c>
      <c r="D20" s="1383"/>
      <c r="E20" s="1390">
        <f t="shared" si="1"/>
        <v>0</v>
      </c>
      <c r="F20" s="1391">
        <f>D20*'Purchased energy 2022'!E17</f>
        <v>0</v>
      </c>
      <c r="G20" s="1392">
        <f>D20*'Purchased energy 2022'!F17</f>
        <v>0</v>
      </c>
      <c r="H20" s="1392">
        <f>D20*'Purchased energy 2022'!G17</f>
        <v>0</v>
      </c>
    </row>
    <row r="21" spans="1:8" ht="15.75" thickBot="1">
      <c r="A21" s="1963"/>
      <c r="B21" s="169">
        <v>2012</v>
      </c>
      <c r="C21" s="1376" t="s">
        <v>96</v>
      </c>
      <c r="D21" s="1383"/>
      <c r="E21" s="1390">
        <f t="shared" si="1"/>
        <v>0</v>
      </c>
      <c r="F21" s="1391">
        <f>D21*'Purchased energy 2022'!E18</f>
        <v>0</v>
      </c>
      <c r="G21" s="1392">
        <f>D21*'Purchased energy 2022'!F18</f>
        <v>0</v>
      </c>
      <c r="H21" s="1392">
        <f>D21*'Purchased energy 2022'!G18</f>
        <v>0</v>
      </c>
    </row>
    <row r="22" spans="1:8" ht="15.75" thickBot="1">
      <c r="A22" s="1963"/>
      <c r="B22" s="169">
        <v>2011</v>
      </c>
      <c r="C22" s="1376" t="s">
        <v>96</v>
      </c>
      <c r="D22" s="1383"/>
      <c r="E22" s="1390">
        <f t="shared" si="1"/>
        <v>0</v>
      </c>
      <c r="F22" s="1391">
        <f>D22*'Purchased energy 2022'!E19</f>
        <v>0</v>
      </c>
      <c r="G22" s="1392">
        <f>D22*'Purchased energy 2022'!F19</f>
        <v>0</v>
      </c>
      <c r="H22" s="1392">
        <f>D22*'Purchased energy 2022'!G19</f>
        <v>0</v>
      </c>
    </row>
    <row r="23" spans="1:8" ht="15.75" thickBot="1">
      <c r="A23" s="1963"/>
      <c r="B23" s="169">
        <v>2010</v>
      </c>
      <c r="C23" s="1376" t="s">
        <v>96</v>
      </c>
      <c r="D23" s="1383"/>
      <c r="E23" s="1390">
        <f t="shared" si="1"/>
        <v>0</v>
      </c>
      <c r="F23" s="1391">
        <f>D23*'Purchased energy 2022'!E20</f>
        <v>0</v>
      </c>
      <c r="G23" s="1392">
        <f>D23*'Purchased energy 2022'!F20</f>
        <v>0</v>
      </c>
      <c r="H23" s="1392">
        <f>D23*'Purchased energy 2022'!G20</f>
        <v>0</v>
      </c>
    </row>
    <row r="24" spans="1:8">
      <c r="D24" s="1389" t="s">
        <v>247</v>
      </c>
      <c r="E24" s="1390">
        <f>SUM(E13:E23)</f>
        <v>0</v>
      </c>
      <c r="F24" s="1390">
        <f>SUM(F13:F23)</f>
        <v>0</v>
      </c>
      <c r="G24" s="1390">
        <f>SUM(G13:G23)</f>
        <v>0</v>
      </c>
      <c r="H24" s="1390">
        <f>SUM(H13:H23)</f>
        <v>0</v>
      </c>
    </row>
    <row r="26" spans="1:8">
      <c r="A26" s="1886" t="s">
        <v>674</v>
      </c>
      <c r="B26" s="1887"/>
      <c r="C26" s="1887"/>
      <c r="D26" s="1887"/>
      <c r="E26" s="1887"/>
      <c r="F26" s="1887"/>
      <c r="G26" s="1887"/>
      <c r="H26" s="1888"/>
    </row>
    <row r="27" spans="1:8" ht="15.75" thickBot="1">
      <c r="A27" s="1886"/>
      <c r="B27" s="1887"/>
      <c r="C27" s="1887"/>
      <c r="D27" s="1889"/>
      <c r="E27" s="1890" t="s">
        <v>423</v>
      </c>
      <c r="F27" s="1891"/>
      <c r="G27" s="1891"/>
      <c r="H27" s="1891"/>
    </row>
    <row r="28" spans="1:8" ht="18.75" thickBot="1">
      <c r="A28" s="1393" t="s">
        <v>69</v>
      </c>
      <c r="B28" s="1394" t="s">
        <v>675</v>
      </c>
      <c r="C28" s="1373" t="s">
        <v>70</v>
      </c>
      <c r="D28" s="1374" t="s">
        <v>424</v>
      </c>
      <c r="E28" s="1375" t="s">
        <v>59</v>
      </c>
      <c r="F28" s="485" t="s">
        <v>425</v>
      </c>
      <c r="G28" s="485" t="s">
        <v>426</v>
      </c>
      <c r="H28" s="485" t="s">
        <v>427</v>
      </c>
    </row>
    <row r="29" spans="1:8" ht="15.75" thickBot="1">
      <c r="A29" s="1395" t="s">
        <v>673</v>
      </c>
      <c r="B29" s="1149">
        <v>44166</v>
      </c>
      <c r="C29" s="1376" t="s">
        <v>96</v>
      </c>
      <c r="D29" s="1383"/>
      <c r="E29" s="1390">
        <f>SUM(F29:H29)</f>
        <v>0</v>
      </c>
      <c r="F29" s="1391">
        <f>D29*'Purchased energy 2022'!E24</f>
        <v>0</v>
      </c>
      <c r="G29" s="1392">
        <f>D29*'Purchased energy 2022'!F24</f>
        <v>0</v>
      </c>
      <c r="H29" s="1392">
        <f>D29*'Purchased energy 2022'!G24</f>
        <v>0</v>
      </c>
    </row>
    <row r="30" spans="1:8" ht="15.75" thickBot="1">
      <c r="A30" s="1396"/>
      <c r="B30" s="1149">
        <v>44075</v>
      </c>
      <c r="C30" s="1376" t="s">
        <v>96</v>
      </c>
      <c r="D30" s="1383"/>
      <c r="E30" s="1390">
        <f t="shared" ref="E30:E36" si="2">SUM(F30:H30)</f>
        <v>0</v>
      </c>
      <c r="F30" s="1391">
        <f>D30*'Purchased energy 2022'!E25</f>
        <v>0</v>
      </c>
      <c r="G30" s="1392">
        <f>D30*'Purchased energy 2022'!F25</f>
        <v>0</v>
      </c>
      <c r="H30" s="1392">
        <f>D30*'Purchased energy 2022'!G25</f>
        <v>0</v>
      </c>
    </row>
    <row r="31" spans="1:8" ht="15.75" thickBot="1">
      <c r="A31" s="1396"/>
      <c r="B31" s="1149">
        <v>43983</v>
      </c>
      <c r="C31" s="1376" t="s">
        <v>96</v>
      </c>
      <c r="D31" s="1383"/>
      <c r="E31" s="1390">
        <f t="shared" si="2"/>
        <v>0</v>
      </c>
      <c r="F31" s="1391">
        <f>D31*'Purchased energy 2022'!E26</f>
        <v>0</v>
      </c>
      <c r="G31" s="1392">
        <f>D31*'Purchased energy 2022'!F26</f>
        <v>0</v>
      </c>
      <c r="H31" s="1392">
        <f>D31*'Purchased energy 2022'!G26</f>
        <v>0</v>
      </c>
    </row>
    <row r="32" spans="1:8" ht="15.75" thickBot="1">
      <c r="A32" s="1396"/>
      <c r="B32" s="1149">
        <v>43891</v>
      </c>
      <c r="C32" s="1376" t="s">
        <v>96</v>
      </c>
      <c r="D32" s="1383"/>
      <c r="E32" s="1390">
        <f t="shared" si="2"/>
        <v>0</v>
      </c>
      <c r="F32" s="1391">
        <f>D32*'Purchased energy 2022'!E27</f>
        <v>0</v>
      </c>
      <c r="G32" s="1392">
        <f>D32*'Purchased energy 2022'!F27</f>
        <v>0</v>
      </c>
      <c r="H32" s="1392">
        <f>D32*'Purchased energy 2022'!G27</f>
        <v>0</v>
      </c>
    </row>
    <row r="33" spans="1:8" ht="15.75" thickBot="1">
      <c r="A33" s="1396"/>
      <c r="B33" s="1149">
        <v>43800</v>
      </c>
      <c r="C33" s="1376" t="s">
        <v>96</v>
      </c>
      <c r="D33" s="1383"/>
      <c r="E33" s="1390">
        <f t="shared" si="2"/>
        <v>0</v>
      </c>
      <c r="F33" s="1391">
        <f>D33*'Purchased energy 2022'!E28</f>
        <v>0</v>
      </c>
      <c r="G33" s="1392">
        <f>D33*'Purchased energy 2022'!F28</f>
        <v>0</v>
      </c>
      <c r="H33" s="1392">
        <f>D33*'Purchased energy 2022'!G28</f>
        <v>0</v>
      </c>
    </row>
    <row r="34" spans="1:8" ht="15.75" thickBot="1">
      <c r="A34" s="1396"/>
      <c r="B34" s="1149">
        <v>43709</v>
      </c>
      <c r="C34" s="1376" t="s">
        <v>96</v>
      </c>
      <c r="D34" s="1383"/>
      <c r="E34" s="1390">
        <f t="shared" si="2"/>
        <v>0</v>
      </c>
      <c r="F34" s="1391">
        <f>D34*'Purchased energy 2022'!E29</f>
        <v>0</v>
      </c>
      <c r="G34" s="1392">
        <f>D34*'Purchased energy 2022'!F29</f>
        <v>0</v>
      </c>
      <c r="H34" s="1392">
        <f>D34*'Purchased energy 2022'!G29</f>
        <v>0</v>
      </c>
    </row>
    <row r="35" spans="1:8" ht="15.75" thickBot="1">
      <c r="A35" s="1396"/>
      <c r="B35" s="1149">
        <v>43617</v>
      </c>
      <c r="C35" s="1376" t="s">
        <v>96</v>
      </c>
      <c r="D35" s="1383"/>
      <c r="E35" s="1390">
        <f t="shared" si="2"/>
        <v>0</v>
      </c>
      <c r="F35" s="1391">
        <f>D35*'Purchased energy 2022'!E30</f>
        <v>0</v>
      </c>
      <c r="G35" s="1392">
        <f>D35*'Purchased energy 2022'!F30</f>
        <v>0</v>
      </c>
      <c r="H35" s="1392">
        <f>D35*'Purchased energy 2022'!G30</f>
        <v>0</v>
      </c>
    </row>
    <row r="36" spans="1:8" ht="15.75" thickBot="1">
      <c r="A36" s="1396"/>
      <c r="B36" s="1149">
        <v>43525</v>
      </c>
      <c r="C36" s="1376" t="s">
        <v>96</v>
      </c>
      <c r="D36" s="1383"/>
      <c r="E36" s="1390">
        <f t="shared" si="2"/>
        <v>0</v>
      </c>
      <c r="F36" s="1391">
        <f>D36*'Purchased energy 2022'!E31</f>
        <v>0</v>
      </c>
      <c r="G36" s="1392">
        <f>D36*'Purchased energy 2022'!F31</f>
        <v>0</v>
      </c>
      <c r="H36" s="1392">
        <f>D36*'Purchased energy 2022'!G31</f>
        <v>0</v>
      </c>
    </row>
    <row r="37" spans="1:8">
      <c r="D37" s="1389" t="s">
        <v>247</v>
      </c>
      <c r="E37" s="1390">
        <f>SUM(E29:E36)</f>
        <v>0</v>
      </c>
      <c r="F37" s="1390">
        <f>SUM(F29:F36)</f>
        <v>0</v>
      </c>
      <c r="G37" s="1390">
        <f>SUM(G29:G36)</f>
        <v>0</v>
      </c>
      <c r="H37" s="1390">
        <f>SUM(H29:H36)</f>
        <v>0</v>
      </c>
    </row>
    <row r="39" spans="1:8" s="102" customFormat="1" ht="15.75" thickBot="1"/>
  </sheetData>
  <sheetProtection algorithmName="SHA-512" hashValue="I7DlCjiKyRPaNYLbBGR/dT4EzlTZGogKa5pb4oN8HY0s3lBDUUQNzc0c/uW3Wor5jlJaFH9PJGVlLUd9K5FPHg==" saltValue="puQlvEsDUoosxeQg+d6SnQ==" spinCount="100000" sheet="1" objects="1" scenarios="1" selectLockedCells="1"/>
  <mergeCells count="10">
    <mergeCell ref="A26:H26"/>
    <mergeCell ref="A27:D27"/>
    <mergeCell ref="E27:H27"/>
    <mergeCell ref="A13:A23"/>
    <mergeCell ref="A12:B12"/>
    <mergeCell ref="A10:H10"/>
    <mergeCell ref="A11:D11"/>
    <mergeCell ref="E11:H11"/>
    <mergeCell ref="A7:H7"/>
    <mergeCell ref="A8:H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158"/>
  <sheetViews>
    <sheetView workbookViewId="0">
      <selection activeCell="D10" sqref="D10"/>
    </sheetView>
  </sheetViews>
  <sheetFormatPr defaultRowHeight="15"/>
  <cols>
    <col min="1" max="1" width="34.5703125" customWidth="1"/>
    <col min="2" max="2" width="20.5703125" customWidth="1"/>
    <col min="3" max="3" width="18.28515625" customWidth="1"/>
    <col min="4" max="4" width="20.28515625" customWidth="1"/>
    <col min="5" max="5" width="19.140625" customWidth="1"/>
    <col min="6" max="6" width="18.5703125" customWidth="1"/>
    <col min="7" max="7" width="15" customWidth="1"/>
    <col min="8" max="8" width="37.7109375" customWidth="1"/>
    <col min="9" max="9" width="48.28515625" customWidth="1"/>
  </cols>
  <sheetData>
    <row r="1" spans="1:11" ht="31.5">
      <c r="A1" s="64" t="s">
        <v>63</v>
      </c>
      <c r="J1" s="153"/>
      <c r="K1" s="153"/>
    </row>
    <row r="2" spans="1:11" ht="23.25">
      <c r="A2" s="65" t="s">
        <v>431</v>
      </c>
    </row>
    <row r="3" spans="1:11" ht="23.25">
      <c r="A3" s="65"/>
    </row>
    <row r="4" spans="1:11" ht="31.5">
      <c r="A4" s="64" t="s">
        <v>676</v>
      </c>
    </row>
    <row r="5" spans="1:11">
      <c r="A5" s="1905" t="s">
        <v>66</v>
      </c>
      <c r="B5" s="1905"/>
      <c r="C5" s="1905"/>
      <c r="D5" s="1905"/>
      <c r="E5" s="1905"/>
      <c r="F5" s="1905"/>
      <c r="G5" s="1905"/>
      <c r="H5" s="1905"/>
      <c r="I5" s="1905"/>
    </row>
    <row r="6" spans="1:11" ht="19.5" customHeight="1">
      <c r="A6" s="1906" t="s">
        <v>433</v>
      </c>
      <c r="B6" s="1906"/>
      <c r="C6" s="1906"/>
      <c r="D6" s="1906"/>
      <c r="E6" s="1906"/>
      <c r="F6" s="1906"/>
      <c r="G6" s="1906"/>
      <c r="H6" s="1906"/>
      <c r="I6" s="1925"/>
    </row>
    <row r="8" spans="1:11">
      <c r="A8" s="1964" t="s">
        <v>677</v>
      </c>
      <c r="B8" s="1965"/>
      <c r="C8" s="1965"/>
      <c r="D8" s="1965"/>
      <c r="E8" s="1965"/>
      <c r="F8" s="1965"/>
      <c r="G8" s="1965"/>
      <c r="H8" s="1966"/>
      <c r="I8" s="476"/>
    </row>
    <row r="9" spans="1:11" ht="18">
      <c r="A9" s="1717" t="s">
        <v>69</v>
      </c>
      <c r="B9" s="1717" t="s">
        <v>70</v>
      </c>
      <c r="C9" s="1718" t="s">
        <v>435</v>
      </c>
      <c r="D9" s="1717" t="s">
        <v>436</v>
      </c>
      <c r="E9" s="1717" t="s">
        <v>437</v>
      </c>
      <c r="F9" s="1717" t="s">
        <v>438</v>
      </c>
      <c r="G9" s="1717" t="s">
        <v>439</v>
      </c>
      <c r="H9" s="1717" t="s">
        <v>76</v>
      </c>
      <c r="K9" s="444"/>
    </row>
    <row r="10" spans="1:11">
      <c r="A10" s="1002" t="s">
        <v>678</v>
      </c>
      <c r="B10" s="1719" t="s">
        <v>679</v>
      </c>
      <c r="C10" s="1720">
        <v>0.44600000000000001</v>
      </c>
      <c r="D10" s="1721">
        <v>0.42899999999999999</v>
      </c>
      <c r="E10" s="1721">
        <v>1.7000000000000001E-2</v>
      </c>
      <c r="F10" s="1721">
        <v>6.0999999999999997E-4</v>
      </c>
      <c r="G10" s="1002" t="s">
        <v>680</v>
      </c>
      <c r="H10" s="1719" t="s">
        <v>681</v>
      </c>
      <c r="K10" s="444"/>
    </row>
    <row r="11" spans="1:11">
      <c r="A11" s="1002" t="s">
        <v>682</v>
      </c>
      <c r="B11" s="1719" t="s">
        <v>679</v>
      </c>
      <c r="C11" s="1720">
        <v>6.6500000000000004E-2</v>
      </c>
      <c r="D11" s="1721">
        <v>6.3799999999999996E-2</v>
      </c>
      <c r="E11" s="1721">
        <v>2.5000000000000001E-3</v>
      </c>
      <c r="F11" s="1721">
        <v>9.0000000000000006E-5</v>
      </c>
      <c r="G11" s="1002" t="s">
        <v>680</v>
      </c>
      <c r="H11" s="1719" t="s">
        <v>681</v>
      </c>
      <c r="K11" s="444"/>
    </row>
    <row r="12" spans="1:11">
      <c r="A12" s="1002" t="s">
        <v>683</v>
      </c>
      <c r="B12" s="1719" t="s">
        <v>679</v>
      </c>
      <c r="C12" s="1720">
        <v>0.97909999999999997</v>
      </c>
      <c r="D12" s="1721">
        <v>0.94030000000000002</v>
      </c>
      <c r="E12" s="1721">
        <v>3.7400000000000003E-2</v>
      </c>
      <c r="F12" s="1721">
        <v>1.2999999999999999E-3</v>
      </c>
      <c r="G12" s="1002" t="s">
        <v>680</v>
      </c>
      <c r="H12" s="1719" t="s">
        <v>681</v>
      </c>
      <c r="K12" s="444"/>
    </row>
    <row r="13" spans="1:11">
      <c r="A13" s="1186"/>
      <c r="B13" s="1187"/>
      <c r="C13" s="1188"/>
      <c r="D13" s="1188"/>
      <c r="E13" s="1188"/>
      <c r="F13" s="1188"/>
      <c r="G13" s="1186"/>
      <c r="H13" s="1187"/>
      <c r="K13" s="444"/>
    </row>
    <row r="14" spans="1:11">
      <c r="A14" s="1186"/>
      <c r="B14" s="1187"/>
      <c r="C14" s="1188"/>
      <c r="D14" s="1188"/>
      <c r="E14" s="1188"/>
      <c r="F14" s="1188"/>
      <c r="G14" s="1186"/>
      <c r="H14" s="1187"/>
      <c r="K14" s="444"/>
    </row>
    <row r="16" spans="1:11" s="226" customFormat="1" ht="21" customHeight="1">
      <c r="A16" s="1185" t="s">
        <v>117</v>
      </c>
    </row>
    <row r="19" spans="1:7" ht="15.75" thickBot="1">
      <c r="A19" s="1189" t="s">
        <v>684</v>
      </c>
      <c r="B19" s="1189" t="s">
        <v>685</v>
      </c>
    </row>
    <row r="20" spans="1:7">
      <c r="A20" s="1967" t="s">
        <v>69</v>
      </c>
      <c r="B20" s="1969" t="s">
        <v>70</v>
      </c>
      <c r="C20" s="1971" t="s">
        <v>686</v>
      </c>
      <c r="D20" s="1190" t="s">
        <v>687</v>
      </c>
      <c r="E20" s="1190" t="s">
        <v>688</v>
      </c>
      <c r="F20" s="1973" t="s">
        <v>689</v>
      </c>
      <c r="G20" s="1975" t="s">
        <v>76</v>
      </c>
    </row>
    <row r="21" spans="1:7">
      <c r="A21" s="1968"/>
      <c r="B21" s="1970"/>
      <c r="C21" s="1972"/>
      <c r="D21" s="1204" t="s">
        <v>690</v>
      </c>
      <c r="E21" s="1204" t="s">
        <v>691</v>
      </c>
      <c r="F21" s="1974"/>
      <c r="G21" s="1976"/>
    </row>
    <row r="22" spans="1:7">
      <c r="A22" s="943" t="s">
        <v>692</v>
      </c>
      <c r="B22" s="943" t="s">
        <v>693</v>
      </c>
      <c r="C22" s="1722">
        <v>0.02</v>
      </c>
      <c r="D22" s="1723">
        <v>1.9E-2</v>
      </c>
      <c r="E22" s="1723">
        <v>1E-3</v>
      </c>
      <c r="F22" s="1723">
        <v>0</v>
      </c>
      <c r="G22" s="943" t="s">
        <v>694</v>
      </c>
    </row>
    <row r="23" spans="1:7">
      <c r="A23" s="943" t="s">
        <v>695</v>
      </c>
      <c r="B23" s="943" t="s">
        <v>696</v>
      </c>
      <c r="C23" s="1722">
        <v>0.01</v>
      </c>
      <c r="D23" s="1723">
        <v>8.9999999999999993E-3</v>
      </c>
      <c r="E23" s="1723">
        <v>0</v>
      </c>
      <c r="F23" s="1723">
        <v>0</v>
      </c>
      <c r="G23" s="943" t="s">
        <v>694</v>
      </c>
    </row>
    <row r="24" spans="1:7" ht="24">
      <c r="A24" s="943" t="s">
        <v>697</v>
      </c>
      <c r="B24" s="943" t="s">
        <v>696</v>
      </c>
      <c r="C24" s="1722">
        <v>0.01</v>
      </c>
      <c r="D24" s="1723">
        <v>8.9999999999999993E-3</v>
      </c>
      <c r="E24" s="1723">
        <v>3.6999999999999999E-4</v>
      </c>
      <c r="F24" s="1723">
        <v>1.0000000000000001E-5</v>
      </c>
      <c r="G24" s="943" t="s">
        <v>698</v>
      </c>
    </row>
    <row r="25" spans="1:7">
      <c r="A25" s="1977" t="s">
        <v>699</v>
      </c>
      <c r="B25" s="1977" t="s">
        <v>679</v>
      </c>
      <c r="C25" s="1978">
        <v>0.40799999999999997</v>
      </c>
      <c r="D25" s="1979">
        <v>0.39</v>
      </c>
      <c r="E25" s="1979">
        <v>1.7999999999999999E-2</v>
      </c>
      <c r="F25" s="1979">
        <v>4.0000000000000002E-4</v>
      </c>
      <c r="G25" s="943" t="s">
        <v>700</v>
      </c>
    </row>
    <row r="26" spans="1:7" ht="24">
      <c r="A26" s="1977"/>
      <c r="B26" s="1977"/>
      <c r="C26" s="1978"/>
      <c r="D26" s="1979"/>
      <c r="E26" s="1979"/>
      <c r="F26" s="1979"/>
      <c r="G26" s="943" t="s">
        <v>701</v>
      </c>
    </row>
    <row r="27" spans="1:7">
      <c r="A27" s="1977" t="s">
        <v>702</v>
      </c>
      <c r="B27" s="1977" t="s">
        <v>696</v>
      </c>
      <c r="C27" s="1978">
        <v>0.81499999999999995</v>
      </c>
      <c r="D27" s="1979">
        <v>0.77900000000000003</v>
      </c>
      <c r="E27" s="1979">
        <v>3.5000000000000003E-2</v>
      </c>
      <c r="F27" s="1979">
        <v>1E-3</v>
      </c>
      <c r="G27" s="943" t="s">
        <v>703</v>
      </c>
    </row>
    <row r="28" spans="1:7" ht="24">
      <c r="A28" s="1977"/>
      <c r="B28" s="1977"/>
      <c r="C28" s="1978"/>
      <c r="D28" s="1979"/>
      <c r="E28" s="1979"/>
      <c r="F28" s="1979"/>
      <c r="G28" s="943" t="s">
        <v>701</v>
      </c>
    </row>
    <row r="31" spans="1:7" s="1191" customFormat="1" ht="15.75">
      <c r="A31" s="1192" t="s">
        <v>704</v>
      </c>
    </row>
    <row r="33" spans="1:9" s="16" customFormat="1" ht="30" customHeight="1">
      <c r="A33" s="1829" t="s">
        <v>705</v>
      </c>
      <c r="B33" s="1829"/>
      <c r="C33" s="1829"/>
      <c r="D33" s="1829"/>
      <c r="E33" s="1829"/>
      <c r="F33" s="1829"/>
      <c r="G33" s="1829"/>
      <c r="H33" s="1829"/>
      <c r="I33" s="1829"/>
    </row>
    <row r="34" spans="1:9">
      <c r="A34" s="153"/>
      <c r="B34" s="153"/>
      <c r="C34" s="153"/>
      <c r="D34" s="153"/>
      <c r="E34" s="153"/>
      <c r="F34" s="153"/>
      <c r="G34" s="153"/>
      <c r="H34" s="153"/>
      <c r="I34" s="153"/>
    </row>
    <row r="35" spans="1:9" s="16" customFormat="1" ht="18">
      <c r="A35" s="1605" t="s">
        <v>69</v>
      </c>
      <c r="B35" s="1724" t="s">
        <v>70</v>
      </c>
      <c r="C35" s="1717" t="s">
        <v>59</v>
      </c>
      <c r="D35" s="1717" t="s">
        <v>706</v>
      </c>
      <c r="E35" s="1717" t="s">
        <v>707</v>
      </c>
      <c r="F35" s="1717" t="s">
        <v>708</v>
      </c>
      <c r="G35" s="1717" t="s">
        <v>439</v>
      </c>
      <c r="H35" s="1717" t="s">
        <v>76</v>
      </c>
    </row>
    <row r="36" spans="1:9" s="16" customFormat="1">
      <c r="A36" s="1606" t="s">
        <v>678</v>
      </c>
      <c r="B36" s="813" t="s">
        <v>696</v>
      </c>
      <c r="C36" s="1725" t="e">
        <f>SUM(D36:F36)</f>
        <v>#REF!</v>
      </c>
      <c r="D36" s="1725" t="e">
        <f>D37+(D38/2)+(D39/2)+D40+D41+(D42/2)+(D43/2)+D44+D45+D46</f>
        <v>#REF!</v>
      </c>
      <c r="E36" s="1725" t="e">
        <f>(E38/2)+(E39/2)+E40+E41+(E42/2)+(E43/2)+E44+E45+E46</f>
        <v>#REF!</v>
      </c>
      <c r="F36" s="1725" t="e">
        <f>(F38/2)+(F39/2)+F40+F41+(F42/2)+(F43/2)+F44+F45+F46</f>
        <v>#REF!</v>
      </c>
      <c r="G36" s="1726"/>
      <c r="H36" s="1726"/>
    </row>
    <row r="37" spans="1:9" s="16" customFormat="1">
      <c r="A37" s="1607" t="s">
        <v>709</v>
      </c>
      <c r="B37" s="813" t="s">
        <v>696</v>
      </c>
      <c r="C37" s="1727" t="e">
        <f>SUM(D37:F37)</f>
        <v>#REF!</v>
      </c>
      <c r="D37" s="1727" t="e">
        <f>$D$87*'Purchased energy 2022'!#REF!</f>
        <v>#REF!</v>
      </c>
      <c r="E37" s="1727" t="e">
        <f>$D$87*'Purchased energy 2022'!#REF!</f>
        <v>#REF!</v>
      </c>
      <c r="F37" s="1727" t="e">
        <f>$D$87*'Purchased energy 2022'!#REF!</f>
        <v>#REF!</v>
      </c>
      <c r="G37" s="1726"/>
      <c r="H37" s="813" t="s">
        <v>710</v>
      </c>
    </row>
    <row r="38" spans="1:9" s="16" customFormat="1">
      <c r="A38" s="813" t="s">
        <v>711</v>
      </c>
      <c r="B38" s="813" t="s">
        <v>696</v>
      </c>
      <c r="C38" s="1727" t="e">
        <f>SUM(D38:F38)</f>
        <v>#REF!</v>
      </c>
      <c r="D38" s="1727" t="e">
        <f>($D$90)*'Purchased energy 2022'!#REF!</f>
        <v>#REF!</v>
      </c>
      <c r="E38" s="1727" t="e">
        <f>($D$90)*'Purchased energy 2022'!#REF!</f>
        <v>#REF!</v>
      </c>
      <c r="F38" s="1727" t="e">
        <f>($D$90)*'Purchased energy 2022'!#REF!</f>
        <v>#REF!</v>
      </c>
      <c r="G38" s="813"/>
      <c r="H38" s="813" t="s">
        <v>710</v>
      </c>
    </row>
    <row r="39" spans="1:9" s="16" customFormat="1">
      <c r="A39" s="813" t="s">
        <v>695</v>
      </c>
      <c r="B39" s="813" t="s">
        <v>696</v>
      </c>
      <c r="C39" s="1728" t="e">
        <f t="shared" ref="C39:C46" si="0">SUM(D39:F39)</f>
        <v>#REF!</v>
      </c>
      <c r="D39" s="1728" t="e">
        <f>($D$84)*'Purchased energy 2022'!#REF!</f>
        <v>#REF!</v>
      </c>
      <c r="E39" s="1729" t="e">
        <f>($D$84)*'Purchased energy 2022'!#REF!</f>
        <v>#REF!</v>
      </c>
      <c r="F39" s="1729" t="e">
        <f>($D$84)*'Purchased energy 2022'!#REF!</f>
        <v>#REF!</v>
      </c>
      <c r="G39" s="813"/>
      <c r="H39" s="813" t="s">
        <v>710</v>
      </c>
    </row>
    <row r="40" spans="1:9" s="16" customFormat="1">
      <c r="A40" s="813" t="s">
        <v>712</v>
      </c>
      <c r="B40" s="813" t="s">
        <v>696</v>
      </c>
      <c r="C40" s="1728" t="e">
        <f t="shared" si="0"/>
        <v>#REF!</v>
      </c>
      <c r="D40" s="1728" t="e">
        <f>$D$96*'Purchased energy 2022'!#REF!</f>
        <v>#REF!</v>
      </c>
      <c r="E40" s="1729" t="e">
        <f>$D$96*'Purchased energy 2022'!#REF!</f>
        <v>#REF!</v>
      </c>
      <c r="F40" s="1729" t="e">
        <f>$D$96*'Purchased energy 2022'!#REF!</f>
        <v>#REF!</v>
      </c>
      <c r="G40" s="813"/>
      <c r="H40" s="813" t="s">
        <v>713</v>
      </c>
    </row>
    <row r="41" spans="1:9" s="16" customFormat="1">
      <c r="A41" s="813" t="s">
        <v>697</v>
      </c>
      <c r="B41" s="813" t="s">
        <v>679</v>
      </c>
      <c r="C41" s="1728" t="e">
        <f>SUM(D41:F41)</f>
        <v>#REF!</v>
      </c>
      <c r="D41" s="1728" t="e">
        <f>D144</f>
        <v>#REF!</v>
      </c>
      <c r="E41" s="1729" t="e">
        <f>E144</f>
        <v>#REF!</v>
      </c>
      <c r="F41" s="1729" t="e">
        <f>F144</f>
        <v>#REF!</v>
      </c>
      <c r="G41" s="813"/>
      <c r="H41" s="813" t="s">
        <v>710</v>
      </c>
    </row>
    <row r="42" spans="1:9" s="16" customFormat="1">
      <c r="A42" s="813" t="s">
        <v>699</v>
      </c>
      <c r="B42" s="813" t="s">
        <v>696</v>
      </c>
      <c r="C42" s="1728" t="e">
        <f t="shared" si="0"/>
        <v>#REF!</v>
      </c>
      <c r="D42" s="1728" t="e">
        <f>(D100*electricity_2020_CO2)*4</f>
        <v>#REF!</v>
      </c>
      <c r="E42" s="1728" t="e">
        <f>($D$100*'Purchased energy 2022'!#REF!)*4</f>
        <v>#REF!</v>
      </c>
      <c r="F42" s="1730" t="e">
        <f>($D$100*'Purchased energy 2022'!#REF!)*4</f>
        <v>#REF!</v>
      </c>
      <c r="G42" s="813"/>
      <c r="H42" s="813" t="s">
        <v>714</v>
      </c>
    </row>
    <row r="43" spans="1:9" s="16" customFormat="1">
      <c r="A43" s="813" t="s">
        <v>702</v>
      </c>
      <c r="B43" s="813" t="s">
        <v>696</v>
      </c>
      <c r="C43" s="1728" t="e">
        <f t="shared" si="0"/>
        <v>#REF!</v>
      </c>
      <c r="D43" s="1728" t="e">
        <f>(D103*electricity_2020_CO2)*4</f>
        <v>#REF!</v>
      </c>
      <c r="E43" s="1728" t="e">
        <f>($D$103*'Purchased energy 2022'!#REF!)*4</f>
        <v>#REF!</v>
      </c>
      <c r="F43" s="1728" t="e">
        <f>($D$103*'Purchased energy 2022'!#REF!)*4</f>
        <v>#REF!</v>
      </c>
      <c r="G43" s="813"/>
      <c r="H43" s="813" t="s">
        <v>714</v>
      </c>
    </row>
    <row r="44" spans="1:9" s="16" customFormat="1">
      <c r="A44" s="1193" t="s">
        <v>715</v>
      </c>
      <c r="B44" s="813" t="s">
        <v>679</v>
      </c>
      <c r="C44" s="1728" t="e">
        <f t="shared" si="0"/>
        <v>#REF!</v>
      </c>
      <c r="D44" s="1194">
        <v>0</v>
      </c>
      <c r="E44" s="1728" t="e">
        <f>E141</f>
        <v>#REF!</v>
      </c>
      <c r="F44" s="1728">
        <v>0</v>
      </c>
      <c r="G44" s="813"/>
      <c r="H44" s="813" t="s">
        <v>716</v>
      </c>
    </row>
    <row r="45" spans="1:9" s="16" customFormat="1">
      <c r="A45" s="1193" t="s">
        <v>717</v>
      </c>
      <c r="B45" s="813" t="s">
        <v>679</v>
      </c>
      <c r="C45" s="1728" t="e">
        <f t="shared" si="0"/>
        <v>#VALUE!</v>
      </c>
      <c r="D45" s="1728" t="e">
        <f>C132</f>
        <v>#VALUE!</v>
      </c>
      <c r="E45" s="1728" t="e">
        <f>D132</f>
        <v>#VALUE!</v>
      </c>
      <c r="F45" s="1728" t="e">
        <f>E132</f>
        <v>#VALUE!</v>
      </c>
      <c r="G45" s="813"/>
      <c r="H45" s="813" t="s">
        <v>716</v>
      </c>
    </row>
    <row r="46" spans="1:9" s="16" customFormat="1">
      <c r="A46" s="1193" t="s">
        <v>718</v>
      </c>
      <c r="B46" s="813" t="s">
        <v>679</v>
      </c>
      <c r="C46" s="1728" t="e">
        <f t="shared" si="0"/>
        <v>#REF!</v>
      </c>
      <c r="D46" s="1728" t="e">
        <f>C128</f>
        <v>#REF!</v>
      </c>
      <c r="E46" s="1731" t="e">
        <f>D128</f>
        <v>#REF!</v>
      </c>
      <c r="F46" s="1731" t="e">
        <f>E128</f>
        <v>#REF!</v>
      </c>
      <c r="G46" s="813"/>
      <c r="H46" s="813" t="s">
        <v>716</v>
      </c>
    </row>
    <row r="47" spans="1:9" s="16" customFormat="1">
      <c r="C47" s="1195"/>
      <c r="D47" s="1196"/>
      <c r="E47" s="1196"/>
      <c r="F47" s="1196"/>
    </row>
    <row r="48" spans="1:9" s="16" customFormat="1">
      <c r="C48" s="1195"/>
      <c r="D48" s="1196"/>
      <c r="E48" s="1196"/>
      <c r="F48" s="1196"/>
    </row>
    <row r="49" spans="1:9" s="16" customFormat="1"/>
    <row r="50" spans="1:9" s="16" customFormat="1">
      <c r="A50" s="647" t="s">
        <v>719</v>
      </c>
      <c r="F50" s="1197"/>
    </row>
    <row r="51" spans="1:9" s="16" customFormat="1"/>
    <row r="52" spans="1:9" s="16" customFormat="1">
      <c r="A52" s="16" t="s">
        <v>720</v>
      </c>
    </row>
    <row r="53" spans="1:9" s="16" customFormat="1">
      <c r="A53" s="16" t="s">
        <v>721</v>
      </c>
    </row>
    <row r="54" spans="1:9" s="16" customFormat="1"/>
    <row r="55" spans="1:9" s="16" customFormat="1">
      <c r="A55" s="813" t="s">
        <v>722</v>
      </c>
      <c r="B55" s="813">
        <v>150</v>
      </c>
      <c r="C55" s="813" t="s">
        <v>723</v>
      </c>
    </row>
    <row r="56" spans="1:9" s="16" customFormat="1">
      <c r="A56" s="813" t="s">
        <v>724</v>
      </c>
      <c r="B56" s="813">
        <v>8</v>
      </c>
      <c r="C56" s="813" t="s">
        <v>725</v>
      </c>
    </row>
    <row r="57" spans="1:9" s="16" customFormat="1">
      <c r="A57" s="813" t="s">
        <v>722</v>
      </c>
      <c r="B57" s="813">
        <f>B55*B56/1000</f>
        <v>1.2</v>
      </c>
      <c r="C57" s="813" t="s">
        <v>726</v>
      </c>
    </row>
    <row r="58" spans="1:9" s="16" customFormat="1"/>
    <row r="59" spans="1:9" s="16" customFormat="1"/>
    <row r="60" spans="1:9" s="16" customFormat="1">
      <c r="A60" s="16" t="s">
        <v>727</v>
      </c>
    </row>
    <row r="61" spans="1:9" s="16" customFormat="1">
      <c r="B61" s="16" t="s">
        <v>728</v>
      </c>
    </row>
    <row r="62" spans="1:9" s="16" customFormat="1">
      <c r="A62" s="16" t="s">
        <v>729</v>
      </c>
    </row>
    <row r="63" spans="1:9" s="16" customFormat="1">
      <c r="A63" s="16" t="s">
        <v>730</v>
      </c>
      <c r="B63" s="16" t="s">
        <v>731</v>
      </c>
      <c r="I63" s="222"/>
    </row>
    <row r="64" spans="1:9" s="16" customFormat="1">
      <c r="A64" s="16" t="s">
        <v>732</v>
      </c>
    </row>
    <row r="67" spans="1:8">
      <c r="A67" s="61" t="s">
        <v>733</v>
      </c>
    </row>
    <row r="68" spans="1:8">
      <c r="A68" s="61" t="s">
        <v>734</v>
      </c>
    </row>
    <row r="69" spans="1:8">
      <c r="A69" s="61" t="s">
        <v>735</v>
      </c>
    </row>
    <row r="72" spans="1:8">
      <c r="A72" t="s">
        <v>736</v>
      </c>
    </row>
    <row r="74" spans="1:8">
      <c r="A74" s="139" t="s">
        <v>737</v>
      </c>
      <c r="H74" s="229"/>
    </row>
    <row r="76" spans="1:8">
      <c r="A76" t="s">
        <v>738</v>
      </c>
    </row>
    <row r="78" spans="1:8">
      <c r="A78" s="139" t="s">
        <v>739</v>
      </c>
      <c r="H78">
        <f>SUM(D84+D87+D90)</f>
        <v>1.0960000000000001</v>
      </c>
    </row>
    <row r="81" spans="1:9">
      <c r="B81" t="s">
        <v>740</v>
      </c>
      <c r="C81" t="s">
        <v>741</v>
      </c>
      <c r="D81" t="s">
        <v>742</v>
      </c>
      <c r="E81" t="s">
        <v>743</v>
      </c>
      <c r="F81" s="100" t="s">
        <v>744</v>
      </c>
      <c r="G81" s="230" t="s">
        <v>745</v>
      </c>
    </row>
    <row r="83" spans="1:9">
      <c r="A83" t="s">
        <v>746</v>
      </c>
      <c r="B83">
        <v>35</v>
      </c>
      <c r="C83">
        <v>1</v>
      </c>
      <c r="D83">
        <v>3.5000000000000003E-2</v>
      </c>
      <c r="E83">
        <v>0.25</v>
      </c>
      <c r="F83" s="100">
        <v>8.7500000000000008E-3</v>
      </c>
      <c r="G83" s="100">
        <v>0.87500000000000011</v>
      </c>
      <c r="I83" t="s">
        <v>747</v>
      </c>
    </row>
    <row r="84" spans="1:9">
      <c r="B84">
        <v>12</v>
      </c>
      <c r="C84">
        <v>8</v>
      </c>
      <c r="D84">
        <v>9.6000000000000002E-2</v>
      </c>
      <c r="E84">
        <v>0.3</v>
      </c>
      <c r="F84" s="100">
        <v>2.8799999999999999E-2</v>
      </c>
      <c r="G84" s="230">
        <v>2.88</v>
      </c>
      <c r="I84" t="s">
        <v>748</v>
      </c>
    </row>
    <row r="86" spans="1:9">
      <c r="A86" t="s">
        <v>692</v>
      </c>
      <c r="B86">
        <v>20</v>
      </c>
      <c r="C86">
        <v>1</v>
      </c>
      <c r="D86">
        <v>0.02</v>
      </c>
      <c r="E86">
        <v>0.25</v>
      </c>
      <c r="F86" s="100">
        <v>5.0000000000000001E-3</v>
      </c>
      <c r="G86" s="230">
        <v>0.5</v>
      </c>
      <c r="I86" t="s">
        <v>747</v>
      </c>
    </row>
    <row r="87" spans="1:9">
      <c r="B87">
        <v>25</v>
      </c>
      <c r="C87">
        <v>8</v>
      </c>
      <c r="D87">
        <v>0.2</v>
      </c>
      <c r="E87">
        <v>0.3</v>
      </c>
      <c r="F87" s="100">
        <v>0.06</v>
      </c>
      <c r="G87" s="230">
        <v>6</v>
      </c>
      <c r="I87" t="s">
        <v>748</v>
      </c>
    </row>
    <row r="88" spans="1:9">
      <c r="F88" s="100"/>
      <c r="G88" s="230"/>
    </row>
    <row r="89" spans="1:9">
      <c r="A89" t="s">
        <v>749</v>
      </c>
      <c r="B89">
        <v>100</v>
      </c>
      <c r="C89">
        <v>1</v>
      </c>
      <c r="D89">
        <v>0.1</v>
      </c>
      <c r="E89">
        <v>0.25</v>
      </c>
      <c r="F89" s="100">
        <v>2.5000000000000001E-2</v>
      </c>
      <c r="G89" s="230">
        <v>2.5</v>
      </c>
      <c r="I89" t="s">
        <v>747</v>
      </c>
    </row>
    <row r="90" spans="1:9">
      <c r="C90" s="153">
        <v>8</v>
      </c>
      <c r="D90" s="153">
        <f>D89*8</f>
        <v>0.8</v>
      </c>
      <c r="F90" s="100"/>
      <c r="G90" s="230"/>
      <c r="I90" s="153" t="s">
        <v>750</v>
      </c>
    </row>
    <row r="92" spans="1:9">
      <c r="A92" t="s">
        <v>751</v>
      </c>
      <c r="B92">
        <v>2000</v>
      </c>
      <c r="C92">
        <v>3.3333333333333333E-2</v>
      </c>
      <c r="D92">
        <v>6.6666666666666666E-2</v>
      </c>
      <c r="E92">
        <v>0.25</v>
      </c>
      <c r="F92" s="100">
        <v>1.6666666666666666E-2</v>
      </c>
      <c r="G92" s="100">
        <v>1.6666666666666667</v>
      </c>
      <c r="I92" t="s">
        <v>752</v>
      </c>
    </row>
    <row r="93" spans="1:9">
      <c r="B93">
        <v>2000</v>
      </c>
      <c r="C93">
        <v>8.3333333333333329E-2</v>
      </c>
      <c r="D93">
        <v>0.16666666666666666</v>
      </c>
      <c r="E93">
        <v>0.3</v>
      </c>
      <c r="F93" s="100">
        <v>4.9999999999999996E-2</v>
      </c>
      <c r="G93" s="230">
        <v>5</v>
      </c>
      <c r="I93" t="s">
        <v>753</v>
      </c>
    </row>
    <row r="94" spans="1:9">
      <c r="D94" s="229">
        <v>0.23333333333333331</v>
      </c>
      <c r="E94">
        <v>0.25</v>
      </c>
      <c r="F94" s="100">
        <v>5.8333333333333327E-2</v>
      </c>
      <c r="G94" s="230">
        <v>5.833333333333333</v>
      </c>
      <c r="I94" t="s">
        <v>754</v>
      </c>
    </row>
    <row r="95" spans="1:9">
      <c r="A95" s="153" t="s">
        <v>755</v>
      </c>
      <c r="B95" s="153"/>
      <c r="C95" s="153"/>
      <c r="D95" s="244">
        <f>D94/4</f>
        <v>5.8333333333333327E-2</v>
      </c>
      <c r="F95" s="100"/>
      <c r="G95" s="230"/>
      <c r="I95" s="153" t="s">
        <v>750</v>
      </c>
    </row>
    <row r="96" spans="1:9">
      <c r="A96" s="153" t="s">
        <v>756</v>
      </c>
      <c r="B96" s="153"/>
      <c r="C96" s="153"/>
      <c r="D96" s="244">
        <f>D95*2</f>
        <v>0.11666666666666665</v>
      </c>
      <c r="F96" s="100"/>
      <c r="G96" s="230"/>
      <c r="I96" s="153" t="s">
        <v>750</v>
      </c>
    </row>
    <row r="98" spans="1:11" ht="120">
      <c r="A98" t="s">
        <v>757</v>
      </c>
      <c r="B98">
        <v>1000</v>
      </c>
      <c r="C98">
        <v>15</v>
      </c>
      <c r="D98">
        <f>(B98*C98)/1000</f>
        <v>15</v>
      </c>
      <c r="E98">
        <v>0.25</v>
      </c>
      <c r="F98" s="100">
        <v>5.625</v>
      </c>
      <c r="I98" t="s">
        <v>758</v>
      </c>
      <c r="J98" s="445" t="s">
        <v>759</v>
      </c>
      <c r="K98" s="139" t="s">
        <v>760</v>
      </c>
    </row>
    <row r="99" spans="1:11">
      <c r="B99">
        <v>1500</v>
      </c>
      <c r="C99">
        <v>40</v>
      </c>
      <c r="D99">
        <f>(B99*C99)/1000</f>
        <v>60</v>
      </c>
      <c r="E99">
        <v>0.25</v>
      </c>
      <c r="F99" s="100">
        <v>15</v>
      </c>
      <c r="I99" t="s">
        <v>747</v>
      </c>
    </row>
    <row r="100" spans="1:11">
      <c r="A100" s="153" t="s">
        <v>761</v>
      </c>
      <c r="B100" s="153"/>
      <c r="C100" s="153"/>
      <c r="D100" s="153">
        <f>D98/C98</f>
        <v>1</v>
      </c>
      <c r="E100" s="153"/>
      <c r="F100" s="353"/>
    </row>
    <row r="102" spans="1:11">
      <c r="A102" t="s">
        <v>762</v>
      </c>
      <c r="B102">
        <v>2000</v>
      </c>
      <c r="C102">
        <v>5</v>
      </c>
      <c r="D102">
        <v>10</v>
      </c>
      <c r="E102">
        <v>0.25</v>
      </c>
      <c r="F102" s="100">
        <v>2.5</v>
      </c>
      <c r="I102" t="s">
        <v>747</v>
      </c>
    </row>
    <row r="103" spans="1:11">
      <c r="A103" s="153" t="s">
        <v>763</v>
      </c>
      <c r="D103" s="153">
        <f>D102/C102</f>
        <v>2</v>
      </c>
    </row>
    <row r="105" spans="1:11">
      <c r="A105" s="61" t="s">
        <v>764</v>
      </c>
    </row>
    <row r="107" spans="1:11">
      <c r="A107" t="s">
        <v>765</v>
      </c>
      <c r="B107">
        <v>4.2</v>
      </c>
      <c r="C107" t="s">
        <v>766</v>
      </c>
    </row>
    <row r="108" spans="1:11">
      <c r="A108" t="s">
        <v>767</v>
      </c>
      <c r="B108">
        <v>2</v>
      </c>
      <c r="C108" t="s">
        <v>83</v>
      </c>
      <c r="D108" t="s">
        <v>768</v>
      </c>
    </row>
    <row r="109" spans="1:11">
      <c r="A109" t="s">
        <v>769</v>
      </c>
      <c r="B109">
        <v>90</v>
      </c>
      <c r="C109" t="s">
        <v>770</v>
      </c>
      <c r="D109" t="s">
        <v>771</v>
      </c>
    </row>
    <row r="111" spans="1:11">
      <c r="A111" t="s">
        <v>772</v>
      </c>
      <c r="B111">
        <v>756</v>
      </c>
      <c r="C111" t="s">
        <v>773</v>
      </c>
    </row>
    <row r="112" spans="1:11">
      <c r="B112">
        <v>0.75600000000000001</v>
      </c>
      <c r="C112" t="s">
        <v>774</v>
      </c>
    </row>
    <row r="113" spans="1:6">
      <c r="B113" s="229">
        <v>0.21</v>
      </c>
      <c r="C113" t="s">
        <v>96</v>
      </c>
    </row>
    <row r="115" spans="1:6">
      <c r="A115" t="s">
        <v>775</v>
      </c>
      <c r="B115">
        <v>0.9</v>
      </c>
    </row>
    <row r="117" spans="1:6">
      <c r="A117" t="s">
        <v>772</v>
      </c>
      <c r="B117" s="229">
        <v>0.23333333333333331</v>
      </c>
      <c r="C117" t="s">
        <v>96</v>
      </c>
    </row>
    <row r="120" spans="1:6">
      <c r="A120" s="228" t="s">
        <v>776</v>
      </c>
      <c r="B120" s="153" t="s">
        <v>777</v>
      </c>
      <c r="C120" s="153"/>
      <c r="D120" s="153"/>
      <c r="E120" s="153"/>
      <c r="F120" s="153"/>
    </row>
    <row r="121" spans="1:6">
      <c r="B121" s="904" t="s">
        <v>778</v>
      </c>
      <c r="C121" s="904">
        <f>52*(7*24)</f>
        <v>8736</v>
      </c>
      <c r="F121" s="153"/>
    </row>
    <row r="122" spans="1:6">
      <c r="B122" s="904" t="s">
        <v>779</v>
      </c>
      <c r="C122" s="904">
        <f>46*40</f>
        <v>1840</v>
      </c>
      <c r="F122" s="153"/>
    </row>
    <row r="123" spans="1:6">
      <c r="B123" s="904" t="s">
        <v>780</v>
      </c>
      <c r="C123" s="904">
        <f>C122/C121</f>
        <v>0.21062271062271062</v>
      </c>
      <c r="F123" s="153"/>
    </row>
    <row r="124" spans="1:6">
      <c r="B124" s="904" t="s">
        <v>781</v>
      </c>
      <c r="C124" s="904">
        <f>46*5</f>
        <v>230</v>
      </c>
    </row>
    <row r="125" spans="1:6" ht="18">
      <c r="A125" s="1732" t="s">
        <v>782</v>
      </c>
      <c r="B125" s="1733" t="s">
        <v>783</v>
      </c>
      <c r="C125" s="1734" t="s">
        <v>784</v>
      </c>
      <c r="D125" s="1734" t="s">
        <v>785</v>
      </c>
      <c r="E125" s="1734" t="s">
        <v>786</v>
      </c>
    </row>
    <row r="126" spans="1:6">
      <c r="A126" s="904" t="s">
        <v>787</v>
      </c>
      <c r="B126" s="904">
        <f>'Wastewater 2022'!D32</f>
        <v>3.7850000000000001</v>
      </c>
      <c r="C126" s="904" t="e">
        <f>'Wastewater 2022'!#REF!</f>
        <v>#REF!</v>
      </c>
      <c r="D126" s="904" t="e">
        <f>'Wastewater 2022'!#REF!</f>
        <v>#REF!</v>
      </c>
      <c r="E126" s="904" t="e">
        <f>'Wastewater 2022'!#REF!</f>
        <v>#REF!</v>
      </c>
    </row>
    <row r="127" spans="1:6">
      <c r="A127" s="904" t="s">
        <v>788</v>
      </c>
      <c r="B127" s="904" t="e">
        <f>SUM(C127:E127)</f>
        <v>#REF!</v>
      </c>
      <c r="C127" s="904" t="e">
        <f>C126*$C$123</f>
        <v>#REF!</v>
      </c>
      <c r="D127" s="904" t="e">
        <f t="shared" ref="D127" si="1">D126*$C$123</f>
        <v>#REF!</v>
      </c>
      <c r="E127" s="904" t="e">
        <f>E126*$C$123</f>
        <v>#REF!</v>
      </c>
    </row>
    <row r="128" spans="1:6">
      <c r="A128" s="1735" t="s">
        <v>679</v>
      </c>
      <c r="B128" s="1736" t="e">
        <f>SUM(C128:E128)</f>
        <v>#REF!</v>
      </c>
      <c r="C128" s="904" t="e">
        <f>C127/C124</f>
        <v>#REF!</v>
      </c>
      <c r="D128" s="904" t="e">
        <f>D127/C124</f>
        <v>#REF!</v>
      </c>
      <c r="E128" s="904" t="e">
        <f>E127/C124</f>
        <v>#REF!</v>
      </c>
    </row>
    <row r="129" spans="1:6" ht="18">
      <c r="A129" s="1732" t="s">
        <v>789</v>
      </c>
      <c r="B129" s="1733" t="s">
        <v>783</v>
      </c>
      <c r="C129" s="1734" t="s">
        <v>784</v>
      </c>
      <c r="D129" s="1734" t="s">
        <v>785</v>
      </c>
      <c r="E129" s="1734" t="s">
        <v>786</v>
      </c>
    </row>
    <row r="130" spans="1:6">
      <c r="A130" s="904" t="s">
        <v>787</v>
      </c>
      <c r="B130" s="904" t="str">
        <f>'Wastewater 2022'!D10</f>
        <v>kg CO2e</v>
      </c>
      <c r="C130" s="904" t="str">
        <f>'Wastewater 2022'!E10</f>
        <v>CO2 (kg CO2e)</v>
      </c>
      <c r="D130" s="904" t="str">
        <f>'Wastewater 2022'!F10</f>
        <v>CH4 (kg CO2e)</v>
      </c>
      <c r="E130" s="904" t="str">
        <f>'Wastewater 2022'!G10</f>
        <v>N2O (kg CO2e)</v>
      </c>
    </row>
    <row r="131" spans="1:6">
      <c r="A131" s="904" t="s">
        <v>788</v>
      </c>
      <c r="B131" s="904" t="e">
        <f>SUM(C131:E131)</f>
        <v>#VALUE!</v>
      </c>
      <c r="C131" s="904" t="e">
        <f>C130*$C$123</f>
        <v>#VALUE!</v>
      </c>
      <c r="D131" s="904" t="e">
        <f t="shared" ref="D131:E131" si="2">D130*$C$123</f>
        <v>#VALUE!</v>
      </c>
      <c r="E131" s="904" t="e">
        <f t="shared" si="2"/>
        <v>#VALUE!</v>
      </c>
    </row>
    <row r="132" spans="1:6">
      <c r="A132" s="1735" t="s">
        <v>679</v>
      </c>
      <c r="B132" s="1736" t="e">
        <f>SUM(C132:E132)</f>
        <v>#VALUE!</v>
      </c>
      <c r="C132" s="904" t="e">
        <f>C131/C124</f>
        <v>#VALUE!</v>
      </c>
      <c r="D132" s="904" t="e">
        <f>D131/C124</f>
        <v>#VALUE!</v>
      </c>
      <c r="E132" s="904" t="e">
        <f>E131/C124</f>
        <v>#VALUE!</v>
      </c>
    </row>
    <row r="136" spans="1:6">
      <c r="A136" s="419" t="s">
        <v>790</v>
      </c>
    </row>
    <row r="137" spans="1:6">
      <c r="A137" s="36"/>
      <c r="B137" s="36" t="s">
        <v>791</v>
      </c>
      <c r="C137" s="36"/>
      <c r="D137" s="36"/>
      <c r="E137" s="36"/>
    </row>
    <row r="138" spans="1:6" ht="18">
      <c r="A138" s="36"/>
      <c r="B138" s="434" t="s">
        <v>83</v>
      </c>
      <c r="C138" s="1734" t="s">
        <v>784</v>
      </c>
      <c r="D138" s="1734" t="s">
        <v>784</v>
      </c>
      <c r="E138" s="1734" t="s">
        <v>785</v>
      </c>
      <c r="F138" s="1734" t="s">
        <v>786</v>
      </c>
    </row>
    <row r="139" spans="1:6">
      <c r="A139" s="329" t="s">
        <v>792</v>
      </c>
      <c r="B139" s="439">
        <v>160</v>
      </c>
      <c r="C139" s="329"/>
      <c r="D139" s="36"/>
      <c r="E139" s="36"/>
    </row>
    <row r="140" spans="1:6">
      <c r="A140" s="329" t="s">
        <v>793</v>
      </c>
      <c r="B140" s="329">
        <f>0.2*B139</f>
        <v>32</v>
      </c>
      <c r="C140" s="329"/>
      <c r="D140" s="329"/>
      <c r="E140" s="36"/>
    </row>
    <row r="141" spans="1:6">
      <c r="A141" s="329" t="s">
        <v>679</v>
      </c>
      <c r="B141" s="329">
        <f>B140/230</f>
        <v>0.1391304347826087</v>
      </c>
      <c r="C141" s="439" t="e">
        <f>SUM(D141:F141)</f>
        <v>#REF!</v>
      </c>
      <c r="D141" s="36" t="s">
        <v>794</v>
      </c>
      <c r="E141" s="36" t="e">
        <f>B141*#REF!</f>
        <v>#REF!</v>
      </c>
      <c r="F141" t="s">
        <v>794</v>
      </c>
    </row>
    <row r="142" spans="1:6">
      <c r="A142" s="36"/>
      <c r="B142" s="36"/>
      <c r="C142" s="36"/>
      <c r="D142" s="36"/>
      <c r="E142" s="36"/>
    </row>
    <row r="143" spans="1:6" ht="18">
      <c r="A143" s="329" t="s">
        <v>795</v>
      </c>
      <c r="B143" s="153" t="s">
        <v>796</v>
      </c>
      <c r="C143" s="1734" t="s">
        <v>784</v>
      </c>
      <c r="D143" s="1734" t="s">
        <v>784</v>
      </c>
      <c r="E143" s="1734" t="s">
        <v>785</v>
      </c>
      <c r="F143" s="1734" t="s">
        <v>786</v>
      </c>
    </row>
    <row r="144" spans="1:6">
      <c r="A144" s="329" t="s">
        <v>797</v>
      </c>
      <c r="B144" s="153">
        <f>(12*8)/1000</f>
        <v>9.6000000000000002E-2</v>
      </c>
      <c r="C144" s="94" t="e">
        <f>SUM(D144:F144)</f>
        <v>#REF!</v>
      </c>
      <c r="D144" t="e">
        <f>B144*electricity_2020_CO2</f>
        <v>#REF!</v>
      </c>
      <c r="E144" t="e">
        <f>B144*electricity_2020_CH4</f>
        <v>#REF!</v>
      </c>
      <c r="F144" t="e">
        <f>B144*electricity_2020_N2O</f>
        <v>#REF!</v>
      </c>
    </row>
    <row r="145" spans="1:2">
      <c r="A145" s="329"/>
    </row>
    <row r="146" spans="1:2">
      <c r="A146" s="153"/>
      <c r="B146" s="153"/>
    </row>
    <row r="158" spans="1:2">
      <c r="B158" t="s">
        <v>798</v>
      </c>
    </row>
  </sheetData>
  <mergeCells count="21">
    <mergeCell ref="B27:B28"/>
    <mergeCell ref="C27:C28"/>
    <mergeCell ref="D27:D28"/>
    <mergeCell ref="E27:E28"/>
    <mergeCell ref="F27:F28"/>
    <mergeCell ref="A5:I5"/>
    <mergeCell ref="A6:I6"/>
    <mergeCell ref="A33:I33"/>
    <mergeCell ref="A8:H8"/>
    <mergeCell ref="A20:A21"/>
    <mergeCell ref="B20:B21"/>
    <mergeCell ref="C20:C21"/>
    <mergeCell ref="F20:F21"/>
    <mergeCell ref="G20:G21"/>
    <mergeCell ref="A25:A26"/>
    <mergeCell ref="B25:B26"/>
    <mergeCell ref="C25:C26"/>
    <mergeCell ref="D25:D26"/>
    <mergeCell ref="E25:E26"/>
    <mergeCell ref="F25:F26"/>
    <mergeCell ref="A27:A28"/>
  </mergeCells>
  <hyperlinks>
    <hyperlink ref="A74" r:id="rId1" xr:uid="{00000000-0004-0000-0800-000000000000}"/>
    <hyperlink ref="A78" r:id="rId2" xr:uid="{00000000-0004-0000-0800-000001000000}"/>
    <hyperlink ref="K98" r:id="rId3" xr:uid="{00000000-0004-0000-0800-000002000000}"/>
  </hyperlinks>
  <pageMargins left="0.7" right="0.7" top="0.75" bottom="0.75" header="0.3" footer="0.3"/>
  <pageSetup paperSize="9" orientation="portrait" r:id="rId4"/>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58a6f171-52cb-4404-b47d-af1c8daf8fd1">ECM-547756131-137323</_dlc_DocId>
    <_dlc_DocIdUrl xmlns="58a6f171-52cb-4404-b47d-af1c8daf8fd1">
      <Url>https://ministryforenvironment.sharepoint.com/sites/ECM-Pol-CAP/_layouts/15/DocIdRedir.aspx?ID=ECM-547756131-137323</Url>
      <Description>ECM-547756131-137323</Description>
    </_dlc_DocIdUrl>
    <OpenText_x0020_Path xmlns="4a94300e-a927-4b92-9d3a-682523035cb6" xsi:nil="true"/>
    <Legacy_x0020_DocID xmlns="4a94300e-a927-4b92-9d3a-682523035cb6" xsi:nil="true"/>
    <Year xmlns="4a94300e-a927-4b92-9d3a-682523035cb6" xsi:nil="true"/>
    <Legacy_x0020_Version xmlns="4a94300e-a927-4b92-9d3a-682523035cb6" xsi:nil="true"/>
    <Nickname xmlns="4a94300e-a927-4b92-9d3a-682523035cb6" xsi:nil="true"/>
    <Sender_x0020_Date xmlns="4a94300e-a927-4b92-9d3a-682523035cb6" xsi:nil="true"/>
    <Library xmlns="4a94300e-a927-4b92-9d3a-682523035cb6" xsi:nil="true"/>
    <Current_x0020_Security_x0020_Clearance_x0020_Level xmlns="4a94300e-a927-4b92-9d3a-682523035cb6" xsi:nil="true"/>
    <Class xmlns="4a94300e-a927-4b92-9d3a-682523035cb6" xsi:nil="true"/>
    <From xmlns="4a94300e-a927-4b92-9d3a-682523035cb6" xsi:nil="true"/>
    <Sender xmlns="4a94300e-a927-4b92-9d3a-682523035cb6" xsi:nil="true"/>
    <Supplemental_x0020_Markings xmlns="4a94300e-a927-4b92-9d3a-682523035cb6" xsi:nil="true"/>
    <Owned_x0020_By xmlns="4a94300e-a927-4b92-9d3a-682523035cb6">
      <UserInfo>
        <DisplayName/>
        <AccountId xsi:nil="true"/>
        <AccountType/>
      </UserInfo>
    </Owned_x0020_By>
    <Te_x0020_Puna_x0020_Created_x0020_By xmlns="4a94300e-a927-4b92-9d3a-682523035cb6" xsi:nil="true"/>
    <Te_x0020_Puna_x0020_Owned_x0020_By xmlns="4a94300e-a927-4b92-9d3a-682523035cb6" xsi:nil="true"/>
    <_ExtendedDescription xmlns="http://schemas.microsoft.com/sharepoint/v3" xsi:nil="true"/>
    <Other_x0020_Details xmlns="4a94300e-a927-4b92-9d3a-682523035cb6" xsi:nil="true"/>
    <Best_x0020_Bets_x0020_Expiry xmlns="4a94300e-a927-4b92-9d3a-682523035cb6" xsi:nil="true"/>
    <Carbon_x0020_Copy xmlns="4a94300e-a927-4b92-9d3a-682523035cb6" xsi:nil="true"/>
    <Author0 xmlns="4a94300e-a927-4b92-9d3a-682523035cb6" xsi:nil="true"/>
    <Te_x0020_Puna_x0020_Name xmlns="4a94300e-a927-4b92-9d3a-682523035cb6" xsi:nil="true"/>
    <Audit xmlns="4a94300e-a927-4b92-9d3a-682523035cb6" xsi:nil="true"/>
    <Email_x0020_Table xmlns="4a94300e-a927-4b92-9d3a-682523035cb6" xsi:nil="true"/>
    <MTS_x0020_ID xmlns="4a94300e-a927-4b92-9d3a-682523035cb6" xsi:nil="true"/>
    <Best_x0020_Bets_x0020_Value xmlns="4a94300e-a927-4b92-9d3a-682523035cb6" xsi:nil="true"/>
    <MTS_x0020_Type xmlns="4a94300e-a927-4b92-9d3a-682523035cb6" xsi:nil="true"/>
    <Receiver xmlns="4a94300e-a927-4b92-9d3a-682523035cb6" xsi:nil="true"/>
    <Other_x0020_Details_2 xmlns="4a94300e-a927-4b92-9d3a-682523035cb6" xsi:nil="true"/>
    <Sent_x002f_Received xmlns="4a94300e-a927-4b92-9d3a-682523035cb6" xsi:nil="true"/>
    <To xmlns="4a94300e-a927-4b92-9d3a-682523035cb6" xsi:nil="true"/>
    <Other_x0020_Details_3 xmlns="4a94300e-a927-4b92-9d3a-682523035cb6" xsi:nil="true"/>
    <Te_x0020_Puna_x0020_Modified_x0020_By xmlns="4a94300e-a927-4b92-9d3a-682523035cb6" xsi:nil="true"/>
    <Receiver_x0020_Date xmlns="4a94300e-a927-4b92-9d3a-682523035cb6" xsi:nil="true"/>
    <Status xmlns="4a94300e-a927-4b92-9d3a-682523035cb6" xsi:nil="true"/>
    <Contract_x0020_Number xmlns="4a94300e-a927-4b92-9d3a-682523035cb6" xsi:nil="true"/>
    <Document_x0020_Type xmlns="4a94300e-a927-4b92-9d3a-682523035cb6" xsi:nil="true"/>
    <lcf76f155ced4ddcb4097134ff3c332f xmlns="4a94300e-a927-4b92-9d3a-682523035cb6" xsi:nil="true"/>
    <TaxCatchAll xmlns="58a6f171-52cb-4404-b47d-af1c8daf8fd1" xsi:nil="true"/>
  </documentManagement>
</p:properties>
</file>

<file path=customXml/item4.xml><?xml version="1.0" encoding="utf-8"?>
<ct:contentTypeSchema xmlns:ct="http://schemas.microsoft.com/office/2006/metadata/contentType" xmlns:ma="http://schemas.microsoft.com/office/2006/metadata/properties/metaAttributes" ct:_="" ma:_="" ma:contentTypeName="Te Puna Document" ma:contentTypeID="0x010100D50ED7AFFD01F14AA9CDF79350FE43BA00D6EDFF20929DCF4EA8192F86BEA695E0" ma:contentTypeVersion="29" ma:contentTypeDescription="Create a new document." ma:contentTypeScope="" ma:versionID="44dec79cae19180ea1fb0b080bb80afb">
  <xsd:schema xmlns:xsd="http://www.w3.org/2001/XMLSchema" xmlns:xs="http://www.w3.org/2001/XMLSchema" xmlns:p="http://schemas.microsoft.com/office/2006/metadata/properties" xmlns:ns1="http://schemas.microsoft.com/sharepoint/v3" xmlns:ns2="58a6f171-52cb-4404-b47d-af1c8daf8fd1" xmlns:ns3="4a94300e-a927-4b92-9d3a-682523035cb6" targetNamespace="http://schemas.microsoft.com/office/2006/metadata/properties" ma:root="true" ma:fieldsID="a33c085466a80d47655cd0144a2c08b0" ns1:_="" ns2:_="" ns3:_="">
    <xsd:import namespace="http://schemas.microsoft.com/sharepoint/v3"/>
    <xsd:import namespace="58a6f171-52cb-4404-b47d-af1c8daf8fd1"/>
    <xsd:import namespace="4a94300e-a927-4b92-9d3a-682523035cb6"/>
    <xsd:element name="properties">
      <xsd:complexType>
        <xsd:sequence>
          <xsd:element name="documentManagement">
            <xsd:complexType>
              <xsd:all>
                <xsd:element ref="ns2:_dlc_DocId" minOccurs="0"/>
                <xsd:element ref="ns2:_dlc_DocIdUrl" minOccurs="0"/>
                <xsd:element ref="ns2:_dlc_DocIdPersistId" minOccurs="0"/>
                <xsd:element ref="ns1:_ExtendedDescription" minOccurs="0"/>
                <xsd:element ref="ns3:Owned_x0020_By" minOccurs="0"/>
                <xsd:element ref="ns3:Te_x0020_Puna_x0020_Created_x0020_By" minOccurs="0"/>
                <xsd:element ref="ns3:Te_x0020_Puna_x0020_Modified_x0020_By" minOccurs="0"/>
                <xsd:element ref="ns3:Te_x0020_Puna_x0020_Owned_x0020_By" minOccurs="0"/>
                <xsd:element ref="ns3:Te_x0020_Puna_x0020_Name" minOccurs="0"/>
                <xsd:element ref="ns3:Nickname" minOccurs="0"/>
                <xsd:element ref="ns3:Best_x0020_Bets_x0020_Value" minOccurs="0"/>
                <xsd:element ref="ns3:Best_x0020_Bets_x0020_Expiry" minOccurs="0"/>
                <xsd:element ref="ns3:Audit" minOccurs="0"/>
                <xsd:element ref="ns3:Current_x0020_Security_x0020_Clearance_x0020_Level" minOccurs="0"/>
                <xsd:element ref="ns3:OpenText_x0020_Path" minOccurs="0"/>
                <xsd:element ref="ns3:Document_x0020_Type" minOccurs="0"/>
                <xsd:element ref="ns3:Sender" minOccurs="0"/>
                <xsd:element ref="ns3:Receiver" minOccurs="0"/>
                <xsd:element ref="ns3:Sender_x0020_Date" minOccurs="0"/>
                <xsd:element ref="ns3:Receiver_x0020_Date" minOccurs="0"/>
                <xsd:element ref="ns3:Carbon_x0020_Copy" minOccurs="0"/>
                <xsd:element ref="ns3:Email_x0020_Table" minOccurs="0"/>
                <xsd:element ref="ns3:Library" minOccurs="0"/>
                <xsd:element ref="ns3:Legacy_x0020_DocID" minOccurs="0"/>
                <xsd:element ref="ns3:Legacy_x0020_Version" minOccurs="0"/>
                <xsd:element ref="ns3:Class" minOccurs="0"/>
                <xsd:element ref="ns3:Author0" minOccurs="0"/>
                <xsd:element ref="ns3:Status" minOccurs="0"/>
                <xsd:element ref="ns3:Year" minOccurs="0"/>
                <xsd:element ref="ns3:Other_x0020_Details" minOccurs="0"/>
                <xsd:element ref="ns3:Other_x0020_Details_2" minOccurs="0"/>
                <xsd:element ref="ns3:MTS_x0020_Type" minOccurs="0"/>
                <xsd:element ref="ns3:MTS_x0020_ID" minOccurs="0"/>
                <xsd:element ref="ns3:Supplemental_x0020_Markings" minOccurs="0"/>
                <xsd:element ref="ns3:To" minOccurs="0"/>
                <xsd:element ref="ns3:From" minOccurs="0"/>
                <xsd:element ref="ns3:Sent_x002f_Received" minOccurs="0"/>
                <xsd:element ref="ns3:Contract_x0020_Number" minOccurs="0"/>
                <xsd:element ref="ns3:Other_x0020_Details_3"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ExtendedDescription" ma:index="11" nillable="true" ma:displayName="Description" ma:internalName="_Extended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8a6f171-52cb-4404-b47d-af1c8daf8fd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49" nillable="true" ma:displayName="Taxonomy Catch All Column" ma:hidden="true" ma:list="{ffc8bc6b-b675-45cd-8c52-a10dd19693fc}" ma:internalName="TaxCatchAll" ma:showField="CatchAllData" ma:web="0a5b0190-e301-4766-933d-448c7c363fc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a94300e-a927-4b92-9d3a-682523035cb6" elementFormDefault="qualified">
    <xsd:import namespace="http://schemas.microsoft.com/office/2006/documentManagement/types"/>
    <xsd:import namespace="http://schemas.microsoft.com/office/infopath/2007/PartnerControls"/>
    <xsd:element name="Owned_x0020_By" ma:index="12" nillable="true" ma:displayName="Owned By" ma:description="" ma:list="UserInfo" ma:SharePointGroup="0" ma:internalName="Owned_x0020_By"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e_x0020_Puna_x0020_Created_x0020_By" ma:index="13" nillable="true" ma:displayName="Te Puna Created By" ma:default="" ma:description="" ma:internalName="Te_x0020_Puna_x0020_Created_x0020_By" ma:readOnly="false">
      <xsd:simpleType>
        <xsd:restriction base="dms:Text">
          <xsd:maxLength value="255"/>
        </xsd:restriction>
      </xsd:simpleType>
    </xsd:element>
    <xsd:element name="Te_x0020_Puna_x0020_Modified_x0020_By" ma:index="14" nillable="true" ma:displayName="Te Puna Modified By" ma:default="" ma:description="" ma:internalName="Te_x0020_Puna_x0020_Modified_x0020_By" ma:readOnly="false">
      <xsd:simpleType>
        <xsd:restriction base="dms:Text">
          <xsd:maxLength value="255"/>
        </xsd:restriction>
      </xsd:simpleType>
    </xsd:element>
    <xsd:element name="Te_x0020_Puna_x0020_Owned_x0020_By" ma:index="15" nillable="true" ma:displayName="Te Puna Owned By" ma:default="" ma:description="" ma:internalName="Te_x0020_Puna_x0020_Owned_x0020_By" ma:readOnly="false">
      <xsd:simpleType>
        <xsd:restriction base="dms:Text">
          <xsd:maxLength value="255"/>
        </xsd:restriction>
      </xsd:simpleType>
    </xsd:element>
    <xsd:element name="Te_x0020_Puna_x0020_Name" ma:index="16" nillable="true" ma:displayName="Te Puna Name" ma:default="" ma:description="" ma:internalName="Te_x0020_Puna_x0020_Name" ma:readOnly="false">
      <xsd:simpleType>
        <xsd:restriction base="dms:Note"/>
      </xsd:simpleType>
    </xsd:element>
    <xsd:element name="Nickname" ma:index="17" nillable="true" ma:displayName="Nickname" ma:default="" ma:description="" ma:internalName="Nickname" ma:readOnly="false">
      <xsd:simpleType>
        <xsd:restriction base="dms:Text">
          <xsd:maxLength value="255"/>
        </xsd:restriction>
      </xsd:simpleType>
    </xsd:element>
    <xsd:element name="Best_x0020_Bets_x0020_Value" ma:index="18" nillable="true" ma:displayName="Best Bets Value" ma:default="" ma:description="" ma:internalName="Best_x0020_Bets_x0020_Value" ma:readOnly="false">
      <xsd:simpleType>
        <xsd:restriction base="dms:Text">
          <xsd:maxLength value="255"/>
        </xsd:restriction>
      </xsd:simpleType>
    </xsd:element>
    <xsd:element name="Best_x0020_Bets_x0020_Expiry" ma:index="19" nillable="true" ma:displayName="Best Bets Expiry" ma:default="" ma:description="" ma:format="DateTime" ma:internalName="Best_x0020_Bets_x0020_Expiry" ma:readOnly="false">
      <xsd:simpleType>
        <xsd:restriction base="dms:DateTime"/>
      </xsd:simpleType>
    </xsd:element>
    <xsd:element name="Audit" ma:index="20" nillable="true" ma:displayName="Audit" ma:default="" ma:description="" ma:internalName="Audit" ma:readOnly="false">
      <xsd:simpleType>
        <xsd:restriction base="dms:Note"/>
      </xsd:simpleType>
    </xsd:element>
    <xsd:element name="Current_x0020_Security_x0020_Clearance_x0020_Level" ma:index="21" nillable="true" ma:displayName="Current Security Clearance Level" ma:default="" ma:description="" ma:internalName="Current_x0020_Security_x0020_Clearance_x0020_Level" ma:readOnly="false">
      <xsd:simpleType>
        <xsd:restriction base="dms:Text">
          <xsd:maxLength value="255"/>
        </xsd:restriction>
      </xsd:simpleType>
    </xsd:element>
    <xsd:element name="OpenText_x0020_Path" ma:index="22" nillable="true" ma:displayName="OpenText Path" ma:default="" ma:description="" ma:internalName="OpenText_x0020_Path" ma:readOnly="false">
      <xsd:simpleType>
        <xsd:restriction base="dms:Note"/>
      </xsd:simpleType>
    </xsd:element>
    <xsd:element name="Document_x0020_Type" ma:index="23" nillable="true" ma:displayName="Document Type" ma:default="" ma:description="" ma:internalName="Document_x0020_Type">
      <xsd:simpleType>
        <xsd:restriction base="dms:Note">
          <xsd:maxLength value="255"/>
        </xsd:restriction>
      </xsd:simpleType>
    </xsd:element>
    <xsd:element name="Sender" ma:index="24" nillable="true" ma:displayName="Sender" ma:description="" ma:internalName="Sender">
      <xsd:simpleType>
        <xsd:restriction base="dms:Text">
          <xsd:maxLength value="255"/>
        </xsd:restriction>
      </xsd:simpleType>
    </xsd:element>
    <xsd:element name="Receiver" ma:index="25" nillable="true" ma:displayName="Receiver" ma:description="" ma:internalName="Receiver">
      <xsd:simpleType>
        <xsd:restriction base="dms:Text">
          <xsd:maxLength value="255"/>
        </xsd:restriction>
      </xsd:simpleType>
    </xsd:element>
    <xsd:element name="Sender_x0020_Date" ma:index="26" nillable="true" ma:displayName="Sender Date" ma:default="" ma:description="" ma:format="DateTime" ma:internalName="Sender_x0020_Date">
      <xsd:simpleType>
        <xsd:restriction base="dms:DateTime"/>
      </xsd:simpleType>
    </xsd:element>
    <xsd:element name="Receiver_x0020_Date" ma:index="27" nillable="true" ma:displayName="Receiver Date" ma:default="" ma:description="" ma:format="DateTime" ma:internalName="Receiver_x0020_Date">
      <xsd:simpleType>
        <xsd:restriction base="dms:DateTime"/>
      </xsd:simpleType>
    </xsd:element>
    <xsd:element name="Carbon_x0020_Copy" ma:index="28" nillable="true" ma:displayName="Carbon Copy" ma:description="" ma:internalName="Carbon_x0020_Copy">
      <xsd:simpleType>
        <xsd:restriction base="dms:Text">
          <xsd:maxLength value="255"/>
        </xsd:restriction>
      </xsd:simpleType>
    </xsd:element>
    <xsd:element name="Email_x0020_Table" ma:index="30" nillable="true" ma:displayName="Email Table" ma:description="" ma:internalName="Email_x0020_Table">
      <xsd:simpleType>
        <xsd:restriction base="dms:Note">
          <xsd:maxLength value="255"/>
        </xsd:restriction>
      </xsd:simpleType>
    </xsd:element>
    <xsd:element name="Library" ma:index="31" nillable="true" ma:displayName="Library" ma:default="" ma:description="" ma:internalName="Library">
      <xsd:simpleType>
        <xsd:restriction base="dms:Text">
          <xsd:maxLength value="255"/>
        </xsd:restriction>
      </xsd:simpleType>
    </xsd:element>
    <xsd:element name="Legacy_x0020_DocID" ma:index="32" nillable="true" ma:displayName="Legacy DocID" ma:decimals="-1" ma:default="" ma:description="" ma:internalName="Legacy_x0020_DocID">
      <xsd:simpleType>
        <xsd:restriction base="dms:Number"/>
      </xsd:simpleType>
    </xsd:element>
    <xsd:element name="Legacy_x0020_Version" ma:index="33" nillable="true" ma:displayName="Legacy Version" ma:default="" ma:description="" ma:internalName="Legacy_x0020_Version">
      <xsd:simpleType>
        <xsd:restriction base="dms:Text">
          <xsd:maxLength value="255"/>
        </xsd:restriction>
      </xsd:simpleType>
    </xsd:element>
    <xsd:element name="Class" ma:index="34" nillable="true" ma:displayName="Class" ma:default="" ma:description="" ma:internalName="Class">
      <xsd:simpleType>
        <xsd:restriction base="dms:Text">
          <xsd:maxLength value="255"/>
        </xsd:restriction>
      </xsd:simpleType>
    </xsd:element>
    <xsd:element name="Author0" ma:index="35" nillable="true" ma:displayName="Author" ma:default="" ma:description="" ma:internalName="Author0">
      <xsd:simpleType>
        <xsd:restriction base="dms:Text">
          <xsd:maxLength value="255"/>
        </xsd:restriction>
      </xsd:simpleType>
    </xsd:element>
    <xsd:element name="Status" ma:index="36" nillable="true" ma:displayName="Status" ma:default="" ma:description="" ma:internalName="Status">
      <xsd:simpleType>
        <xsd:restriction base="dms:Text">
          <xsd:maxLength value="255"/>
        </xsd:restriction>
      </xsd:simpleType>
    </xsd:element>
    <xsd:element name="Year" ma:index="37" nillable="true" ma:displayName="Year" ma:default="" ma:description="" ma:internalName="Year">
      <xsd:simpleType>
        <xsd:restriction base="dms:Text">
          <xsd:maxLength value="255"/>
        </xsd:restriction>
      </xsd:simpleType>
    </xsd:element>
    <xsd:element name="Other_x0020_Details" ma:index="38" nillable="true" ma:displayName="Other Details" ma:default="" ma:description="" ma:internalName="Other_x0020_Details">
      <xsd:simpleType>
        <xsd:restriction base="dms:Text">
          <xsd:maxLength value="255"/>
        </xsd:restriction>
      </xsd:simpleType>
    </xsd:element>
    <xsd:element name="Other_x0020_Details_2" ma:index="39" nillable="true" ma:displayName="Other Details_2" ma:description="" ma:internalName="Other_x0020_Details_2">
      <xsd:simpleType>
        <xsd:restriction base="dms:Text">
          <xsd:maxLength value="255"/>
        </xsd:restriction>
      </xsd:simpleType>
    </xsd:element>
    <xsd:element name="MTS_x0020_Type" ma:index="40" nillable="true" ma:displayName="MTS Type" ma:default="" ma:description="" ma:internalName="MTS_x0020_Type">
      <xsd:simpleType>
        <xsd:restriction base="dms:Note">
          <xsd:maxLength value="255"/>
        </xsd:restriction>
      </xsd:simpleType>
    </xsd:element>
    <xsd:element name="MTS_x0020_ID" ma:index="41" nillable="true" ma:displayName="MTS ID" ma:default="" ma:description="" ma:internalName="MTS_x0020_ID">
      <xsd:simpleType>
        <xsd:restriction base="dms:Text">
          <xsd:maxLength value="255"/>
        </xsd:restriction>
      </xsd:simpleType>
    </xsd:element>
    <xsd:element name="Supplemental_x0020_Markings" ma:index="42" nillable="true" ma:displayName="Supplemental Markings" ma:description="" ma:internalName="Supplemental_x0020_Markings">
      <xsd:simpleType>
        <xsd:restriction base="dms:Note">
          <xsd:maxLength value="255"/>
        </xsd:restriction>
      </xsd:simpleType>
    </xsd:element>
    <xsd:element name="To" ma:index="43" nillable="true" ma:displayName="To" ma:default="" ma:description="" ma:internalName="To">
      <xsd:simpleType>
        <xsd:restriction base="dms:Note">
          <xsd:maxLength value="255"/>
        </xsd:restriction>
      </xsd:simpleType>
    </xsd:element>
    <xsd:element name="From" ma:index="44" nillable="true" ma:displayName="From" ma:default="" ma:description="" ma:internalName="From">
      <xsd:simpleType>
        <xsd:restriction base="dms:Text">
          <xsd:maxLength value="255"/>
        </xsd:restriction>
      </xsd:simpleType>
    </xsd:element>
    <xsd:element name="Sent_x002f_Received" ma:index="45" nillable="true" ma:displayName="Sent/Received" ma:default="" ma:description="" ma:internalName="Sent_x002f_Received">
      <xsd:simpleType>
        <xsd:restriction base="dms:Text">
          <xsd:maxLength value="255"/>
        </xsd:restriction>
      </xsd:simpleType>
    </xsd:element>
    <xsd:element name="Contract_x0020_Number" ma:index="46" nillable="true" ma:displayName="Contract Number" ma:default="" ma:description="" ma:internalName="Contract_x0020_Number">
      <xsd:simpleType>
        <xsd:restriction base="dms:Text">
          <xsd:maxLength value="255"/>
        </xsd:restriction>
      </xsd:simpleType>
    </xsd:element>
    <xsd:element name="Other_x0020_Details_3" ma:index="47" nillable="true" ma:displayName="Other Details_3" ma:description="" ma:internalName="Other_x0020_Details_3">
      <xsd:simpleType>
        <xsd:restriction base="dms:Text">
          <xsd:maxLength value="255"/>
        </xsd:restriction>
      </xsd:simpleType>
    </xsd:element>
    <xsd:element name="lcf76f155ced4ddcb4097134ff3c332f" ma:index="48"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29"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0B670EA-F5BA-4165-B79B-222F848D6286}">
  <ds:schemaRefs>
    <ds:schemaRef ds:uri="http://schemas.microsoft.com/sharepoint/v3/contenttype/forms"/>
  </ds:schemaRefs>
</ds:datastoreItem>
</file>

<file path=customXml/itemProps2.xml><?xml version="1.0" encoding="utf-8"?>
<ds:datastoreItem xmlns:ds="http://schemas.openxmlformats.org/officeDocument/2006/customXml" ds:itemID="{83FDC15B-E121-4EB0-A279-A5C639ADAD32}">
  <ds:schemaRefs>
    <ds:schemaRef ds:uri="http://schemas.microsoft.com/sharepoint/events"/>
  </ds:schemaRefs>
</ds:datastoreItem>
</file>

<file path=customXml/itemProps3.xml><?xml version="1.0" encoding="utf-8"?>
<ds:datastoreItem xmlns:ds="http://schemas.openxmlformats.org/officeDocument/2006/customXml" ds:itemID="{A4FF8950-3382-4992-9318-03C0D47B75B3}">
  <ds:schemaRefs>
    <ds:schemaRef ds:uri="58a6f171-52cb-4404-b47d-af1c8daf8fd1"/>
    <ds:schemaRef ds:uri="4a94300e-a927-4b92-9d3a-682523035cb6"/>
    <ds:schemaRef ds:uri="http://www.w3.org/XML/1998/namespace"/>
    <ds:schemaRef ds:uri="http://purl.org/dc/terms/"/>
    <ds:schemaRef ds:uri="http://purl.org/dc/elements/1.1/"/>
    <ds:schemaRef ds:uri="http://schemas.microsoft.com/sharepoint/v3"/>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BA699E7D-5727-42F3-8A3E-3E84F0B21C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a6f171-52cb-4404-b47d-af1c8daf8fd1"/>
    <ds:schemaRef ds:uri="4a94300e-a927-4b92-9d3a-682523035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Intro</vt:lpstr>
      <vt:lpstr>Summary Sheet</vt:lpstr>
      <vt:lpstr>Fuel 2022</vt:lpstr>
      <vt:lpstr>Fuel workbook 2022</vt:lpstr>
      <vt:lpstr>T&amp;D losses 2022</vt:lpstr>
      <vt:lpstr>T&amp;D Losses workbook 2022</vt:lpstr>
      <vt:lpstr>Purchased energy 2022</vt:lpstr>
      <vt:lpstr>Purchased Energy workbook 2022</vt:lpstr>
      <vt:lpstr>2022 Working from home</vt:lpstr>
      <vt:lpstr>2022 Working from home workbook</vt:lpstr>
      <vt:lpstr>Refrigerant &amp; Other 2022</vt:lpstr>
      <vt:lpstr>Refrigerant &amp; Oth workbook 2022</vt:lpstr>
      <vt:lpstr>Travel 2022</vt:lpstr>
      <vt:lpstr>Travel workbook 2022</vt:lpstr>
      <vt:lpstr>Freight 2022</vt:lpstr>
      <vt:lpstr>Freight workbook 2022</vt:lpstr>
      <vt:lpstr>Wastewater 2022</vt:lpstr>
      <vt:lpstr>Wastewater workbook 2022</vt:lpstr>
      <vt:lpstr>Waste 2022</vt:lpstr>
      <vt:lpstr>Waste workbook 2022</vt:lpstr>
      <vt:lpstr>Agriculture forestry other 2022</vt:lpstr>
      <vt:lpstr>Agri Forest workbook 2022</vt:lpstr>
      <vt:lpstr>Conversions</vt:lpstr>
      <vt:lpstr>Def_Pet_CH4</vt:lpstr>
      <vt:lpstr>Def_Pet_CO2</vt:lpstr>
      <vt:lpstr>Def_Pet_CO2e</vt:lpstr>
      <vt:lpstr>Def_Pet_N2O</vt:lpstr>
      <vt:lpstr>Diesel_CH4</vt:lpstr>
      <vt:lpstr>Diesel_CO2</vt:lpstr>
      <vt:lpstr>Diesel_CO2e</vt:lpstr>
      <vt:lpstr>Diesel_N2O</vt:lpstr>
      <vt:lpstr>GWP_CH4</vt:lpstr>
      <vt:lpstr>GWP_N2O</vt:lpstr>
      <vt:lpstr>Prem_Pet_CH4</vt:lpstr>
      <vt:lpstr>Prem_Pet_CO2</vt:lpstr>
      <vt:lpstr>Prem_Pet_CO2e</vt:lpstr>
      <vt:lpstr>Prem_Pet_N2O</vt:lpstr>
      <vt:lpstr>Reg_Pet_CH4</vt:lpstr>
      <vt:lpstr>Reg_Pet_CO2</vt:lpstr>
      <vt:lpstr>Reg_Pet_CO2e</vt:lpstr>
      <vt:lpstr>Reg_Pet_N2O</vt:lpstr>
    </vt:vector>
  </TitlesOfParts>
  <Manager/>
  <Company>Landcare Research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Workbook</dc:title>
  <dc:subject/>
  <dc:creator>Sophia White</dc:creator>
  <cp:keywords/>
  <dc:description/>
  <cp:lastModifiedBy>Daisy Smith</cp:lastModifiedBy>
  <cp:revision/>
  <dcterms:created xsi:type="dcterms:W3CDTF">2018-09-27T03:16:21Z</dcterms:created>
  <dcterms:modified xsi:type="dcterms:W3CDTF">2022-08-15T02:46:52Z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0x010100D50ED7AFFD01F14AA9CDF79350FE43BA00D6EDFF20929DCF4EA8192F86BEA695E0</vt:lpwstr>
  </property>
  <property fmtid="{D5CDD505-2E9C-101B-9397-08002B2CF9AE}" pid="3" name="TaxKeyword">
    <vt:lpwstr/>
  </property>
  <property fmtid="{D5CDD505-2E9C-101B-9397-08002B2CF9AE}" pid="4" name="_dlc_DocIdItemGuid">
    <vt:lpwstr>917b7069-f7b6-4560-82c5-4d0a9dddccb5</vt:lpwstr>
  </property>
  <property fmtid="{D5CDD505-2E9C-101B-9397-08002B2CF9AE}" pid="5" name="MSIP_Label_52dda6cc-d61d-4fd2-bf18-9b3017d931cc_Enabled">
    <vt:lpwstr>true</vt:lpwstr>
  </property>
  <property fmtid="{D5CDD505-2E9C-101B-9397-08002B2CF9AE}" pid="6" name="MSIP_Label_52dda6cc-d61d-4fd2-bf18-9b3017d931cc_SetDate">
    <vt:lpwstr>2021-08-12T02:05:09Z</vt:lpwstr>
  </property>
  <property fmtid="{D5CDD505-2E9C-101B-9397-08002B2CF9AE}" pid="7" name="MSIP_Label_52dda6cc-d61d-4fd2-bf18-9b3017d931cc_Method">
    <vt:lpwstr>Privileged</vt:lpwstr>
  </property>
  <property fmtid="{D5CDD505-2E9C-101B-9397-08002B2CF9AE}" pid="8" name="MSIP_Label_52dda6cc-d61d-4fd2-bf18-9b3017d931cc_Name">
    <vt:lpwstr>[UNCLASSIFIED]</vt:lpwstr>
  </property>
  <property fmtid="{D5CDD505-2E9C-101B-9397-08002B2CF9AE}" pid="9" name="MSIP_Label_52dda6cc-d61d-4fd2-bf18-9b3017d931cc_SiteId">
    <vt:lpwstr>761dd003-d4ff-4049-8a72-8549b20fcbb1</vt:lpwstr>
  </property>
  <property fmtid="{D5CDD505-2E9C-101B-9397-08002B2CF9AE}" pid="10" name="MSIP_Label_52dda6cc-d61d-4fd2-bf18-9b3017d931cc_ActionId">
    <vt:lpwstr>42ee1015-e628-4cac-a6c8-1a686ab559e0</vt:lpwstr>
  </property>
  <property fmtid="{D5CDD505-2E9C-101B-9397-08002B2CF9AE}" pid="11" name="MSIP_Label_52dda6cc-d61d-4fd2-bf18-9b3017d931cc_ContentBits">
    <vt:lpwstr>0</vt:lpwstr>
  </property>
  <property fmtid="{D5CDD505-2E9C-101B-9397-08002B2CF9AE}" pid="12" name="MediaServiceImageTags">
    <vt:lpwstr/>
  </property>
</Properties>
</file>